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5"/>
    <sheet state="visible" name="ARBITRAGES" sheetId="2" r:id="rId6"/>
    <sheet state="visible" name="HISTORIQUE RAPIDE" sheetId="3" r:id="rId7"/>
    <sheet state="visible" name="PV (%)" sheetId="4" r:id="rId8"/>
    <sheet state="visible" name="Historique détail" sheetId="5" r:id="rId9"/>
    <sheet state="visible" name="Exposition" sheetId="6" r:id="rId10"/>
    <sheet state="visible" name="QUANTITE DETENUES" sheetId="7" r:id="rId11"/>
    <sheet state="visible" name="PRIX" sheetId="8" r:id="rId12"/>
    <sheet state="visible" name="PLAN SORTIE" sheetId="9" r:id="rId13"/>
    <sheet state="visible" name="BILAN" sheetId="10" r:id="rId14"/>
    <sheet state="visible" name="RAPPEL" sheetId="11" r:id="rId15"/>
    <sheet state="visible" name="EXPORT" sheetId="12" r:id="rId16"/>
  </sheets>
  <definedNames/>
  <calcPr/>
</workbook>
</file>

<file path=xl/sharedStrings.xml><?xml version="1.0" encoding="utf-8"?>
<sst xmlns="http://schemas.openxmlformats.org/spreadsheetml/2006/main" count="1057" uniqueCount="191">
  <si>
    <t>ALT COINS</t>
  </si>
  <si>
    <t>PRIX</t>
  </si>
  <si>
    <t>lien</t>
  </si>
  <si>
    <t>Crypto Prices</t>
  </si>
  <si>
    <t>PAIR</t>
  </si>
  <si>
    <t>$BTC*</t>
  </si>
  <si>
    <t>$ETH</t>
  </si>
  <si>
    <t>$TON</t>
  </si>
  <si>
    <t>$SOL*</t>
  </si>
  <si>
    <t>$TAO*</t>
  </si>
  <si>
    <t>ALT</t>
  </si>
  <si>
    <t>USDC</t>
  </si>
  <si>
    <t>$RON</t>
  </si>
  <si>
    <t>$LINK</t>
  </si>
  <si>
    <t>$DOGE</t>
  </si>
  <si>
    <t>$SHIB</t>
  </si>
  <si>
    <t>$CAKE</t>
  </si>
  <si>
    <t>$JUP</t>
  </si>
  <si>
    <t>$AAVE</t>
  </si>
  <si>
    <t>$CKB</t>
  </si>
  <si>
    <t>$PENDLE</t>
  </si>
  <si>
    <t>$BOME</t>
  </si>
  <si>
    <t>$PEPE</t>
  </si>
  <si>
    <t>$WIF</t>
  </si>
  <si>
    <t>$RAY</t>
  </si>
  <si>
    <t>$BTC</t>
  </si>
  <si>
    <t>https://cryptoprices.cc/BTC/</t>
  </si>
  <si>
    <t>PF at</t>
  </si>
  <si>
    <t>https://cryptoprices.cc/ETH/</t>
  </si>
  <si>
    <t>QTY at</t>
  </si>
  <si>
    <t>-</t>
  </si>
  <si>
    <t>https://cryptoprices.cc/TON/</t>
  </si>
  <si>
    <t>Pondération (%)</t>
  </si>
  <si>
    <t>$SOL</t>
  </si>
  <si>
    <t>https://cryptoprices.cc/SOL/</t>
  </si>
  <si>
    <t>PRIX ACTUELS</t>
  </si>
  <si>
    <t>$TAO</t>
  </si>
  <si>
    <t>https://cryptoprices.cc/TAO/</t>
  </si>
  <si>
    <t>Prix d'entrée</t>
  </si>
  <si>
    <t>https://cryptoprices.cc/RON</t>
  </si>
  <si>
    <t>PERF (par rapport au PMA)</t>
  </si>
  <si>
    <t>https://cryptoprices.cc/LINK/</t>
  </si>
  <si>
    <t>AUJOURD'HUI</t>
  </si>
  <si>
    <t>https://cryptoprices.cc/DOGE/</t>
  </si>
  <si>
    <t>TOTAL INVESTI</t>
  </si>
  <si>
    <t>PORTFOLLIO</t>
  </si>
  <si>
    <t>ROI %</t>
  </si>
  <si>
    <t>ROI $</t>
  </si>
  <si>
    <t>https://cryptoprices.cc/SHIB/</t>
  </si>
  <si>
    <t>https://cryptoprices.cc/CAKE/</t>
  </si>
  <si>
    <t>https://cryptoprices.cc/JUP/</t>
  </si>
  <si>
    <t>https://cryptoprices.cc/AAVE/</t>
  </si>
  <si>
    <t>https://cryptoprices.cc/CKB/</t>
  </si>
  <si>
    <t>https://cryptoprices.cc/PENDLE/</t>
  </si>
  <si>
    <t>https://cryptoprices.cc/BOME/</t>
  </si>
  <si>
    <t>https://cryptoprices.cc/PEPE/</t>
  </si>
  <si>
    <t>https://cryptoprices.cc/WIF/</t>
  </si>
  <si>
    <t>Global perf from 11/08</t>
  </si>
  <si>
    <t>https://cryptoprices.cc/RAY/</t>
  </si>
  <si>
    <t>Sp500</t>
  </si>
  <si>
    <t>Nasdaq 100</t>
  </si>
  <si>
    <t>$$$</t>
  </si>
  <si>
    <t>Aujourd'hui</t>
  </si>
  <si>
    <t>Perf</t>
  </si>
  <si>
    <t>ARBITRAGES</t>
  </si>
  <si>
    <t>.</t>
  </si>
  <si>
    <t>DATE</t>
  </si>
  <si>
    <t>+/-</t>
  </si>
  <si>
    <t>$ INJECTED</t>
  </si>
  <si>
    <t>ACTIF</t>
  </si>
  <si>
    <t>PRIX ($)</t>
  </si>
  <si>
    <t>MONTANT ($)</t>
  </si>
  <si>
    <t>QUANTITE</t>
  </si>
  <si>
    <t>Frais</t>
  </si>
  <si>
    <t>Liquidités</t>
  </si>
  <si>
    <t>Surperf/Sousperf</t>
  </si>
  <si>
    <t>Invest</t>
  </si>
  <si>
    <t>$21 550,45</t>
  </si>
  <si>
    <t>$ 1,00</t>
  </si>
  <si>
    <t>$21 550,44</t>
  </si>
  <si>
    <t>$1,00</t>
  </si>
  <si>
    <t>BTC</t>
  </si>
  <si>
    <t>$ 58 000,00</t>
  </si>
  <si>
    <t>ETH</t>
  </si>
  <si>
    <t>$ 2 600,00</t>
  </si>
  <si>
    <t>SOL</t>
  </si>
  <si>
    <t>$ 145,00</t>
  </si>
  <si>
    <t>TAO</t>
  </si>
  <si>
    <t>RON</t>
  </si>
  <si>
    <t>TON</t>
  </si>
  <si>
    <t>Retrait</t>
  </si>
  <si>
    <t>DOGE</t>
  </si>
  <si>
    <t>LINK</t>
  </si>
  <si>
    <t>JUP</t>
  </si>
  <si>
    <t>SHIB</t>
  </si>
  <si>
    <t>CKB</t>
  </si>
  <si>
    <t>AAVE</t>
  </si>
  <si>
    <t>PENDLE</t>
  </si>
  <si>
    <t>BOME</t>
  </si>
  <si>
    <t>WIF</t>
  </si>
  <si>
    <t>CAKE</t>
  </si>
  <si>
    <t>PEPE</t>
  </si>
  <si>
    <t>RAY</t>
  </si>
  <si>
    <t xml:space="preserve"> </t>
  </si>
  <si>
    <t>INITIAL ENTRY</t>
  </si>
  <si>
    <t>ACTUAL PORTFOLLIO</t>
  </si>
  <si>
    <t>PV</t>
  </si>
  <si>
    <t>total</t>
  </si>
  <si>
    <t>Date</t>
  </si>
  <si>
    <t>Investissement</t>
  </si>
  <si>
    <t xml:space="preserve">$BTC </t>
  </si>
  <si>
    <t>Portefeuille full BTC</t>
  </si>
  <si>
    <t>Portefeuille sans arbitrage</t>
  </si>
  <si>
    <t>Portefeuille avec arbitrage</t>
  </si>
  <si>
    <t>Plus value</t>
  </si>
  <si>
    <t>ROI GLOBAL</t>
  </si>
  <si>
    <t>Quantité prévue (%)</t>
  </si>
  <si>
    <t>PMA</t>
  </si>
  <si>
    <t>Quantité prévue</t>
  </si>
  <si>
    <t>Prix actuel</t>
  </si>
  <si>
    <t>Moyenne de performance</t>
  </si>
  <si>
    <t>10 dernier jours</t>
  </si>
  <si>
    <t>le mois en cours</t>
  </si>
  <si>
    <t>6 dernier mois</t>
  </si>
  <si>
    <t>l'année en cours</t>
  </si>
  <si>
    <t>Historique détaillé</t>
  </si>
  <si>
    <t>%</t>
  </si>
  <si>
    <t>TOTAL</t>
  </si>
  <si>
    <t>Exposition</t>
  </si>
  <si>
    <t>OWNED QUANTITY</t>
  </si>
  <si>
    <t xml:space="preserve">$TON </t>
  </si>
  <si>
    <t>AUTRES CRYPTO DEJA POSSEDEES</t>
  </si>
  <si>
    <t>DAY 0 QTY</t>
  </si>
  <si>
    <t>QUANTITY</t>
  </si>
  <si>
    <t>PRIX (28/09)</t>
  </si>
  <si>
    <t>VALUE</t>
  </si>
  <si>
    <t>$ETHW</t>
  </si>
  <si>
    <t>$BONK</t>
  </si>
  <si>
    <t>PRIX (11/08)</t>
  </si>
  <si>
    <t>EXIT PLAN</t>
  </si>
  <si>
    <t>Portefeuille</t>
  </si>
  <si>
    <t xml:space="preserve"> Prix</t>
  </si>
  <si>
    <t>% de Sortie</t>
  </si>
  <si>
    <t>Gain</t>
  </si>
  <si>
    <t>Probabilité</t>
  </si>
  <si>
    <t>Gain cumulé si revente totale P+1</t>
  </si>
  <si>
    <t>Horizon de temps</t>
  </si>
  <si>
    <t>Prix</t>
  </si>
  <si>
    <t>3-4 Mois</t>
  </si>
  <si>
    <t>6-7 Mois</t>
  </si>
  <si>
    <t>10-12 Mois</t>
  </si>
  <si>
    <t>Suivi Investissement crypto*</t>
  </si>
  <si>
    <t>14-16 Mois</t>
  </si>
  <si>
    <t>18-20 Mois</t>
  </si>
  <si>
    <t>Portefeuille restant</t>
  </si>
  <si>
    <t>&lt;24 Mois</t>
  </si>
  <si>
    <t>$BTC Prix</t>
  </si>
  <si>
    <t>30mois</t>
  </si>
  <si>
    <t>ENTRY CASH</t>
  </si>
  <si>
    <t>RESUME</t>
  </si>
  <si>
    <t>Commision = 5% des gains sortis par paliers de prix atteint</t>
  </si>
  <si>
    <t>4-5 Mois</t>
  </si>
  <si>
    <t>5-7 Mois</t>
  </si>
  <si>
    <t>8-12 Mois</t>
  </si>
  <si>
    <t>12-16 Mois</t>
  </si>
  <si>
    <t>16-18 Mois</t>
  </si>
  <si>
    <t>avec mise à disposition de ma comission comme liquidité pour racheter en cas d'opportunité</t>
  </si>
  <si>
    <t>Gain Total supposé**</t>
  </si>
  <si>
    <t>Retrait de 25% On-Chain de la comission si palier de prix suivant atteint</t>
  </si>
  <si>
    <t>Commission***</t>
  </si>
  <si>
    <t xml:space="preserve">Gain Net </t>
  </si>
  <si>
    <t>Comission totale =</t>
  </si>
  <si>
    <t xml:space="preserve">soit </t>
  </si>
  <si>
    <t>du portefeuille total (multiplié par 2,7)</t>
  </si>
  <si>
    <t>pour une diminution du risque maximale</t>
  </si>
  <si>
    <t>*supposition de non diversification et de non sur-performance du marché</t>
  </si>
  <si>
    <t>**avec une revente du portefeuille si il y a un retour au palier précédent (décotte comprise), équivalent à -35% du cours</t>
  </si>
  <si>
    <t>Probabilité de repartir avec une moins value =</t>
  </si>
  <si>
    <t>***25% des pertes sont assurées par mes soins en cas de moins-value du portefeuille</t>
  </si>
  <si>
    <t>Probabilité de repartir avec plus value d'au moins 200% =</t>
  </si>
  <si>
    <t>Allocation</t>
  </si>
  <si>
    <t>Détails</t>
  </si>
  <si>
    <t>inflows garantits (etf) + valeur refuge en devenir</t>
  </si>
  <si>
    <t>inflows garantits (etf) + pillier de le DeFi</t>
  </si>
  <si>
    <t>L1 polyvalente de telegram : premier pas vers la mass adopton : plusieurs millions d'utilisateurs</t>
  </si>
  <si>
    <t>L1  parfaite + scalable + très hype (memecoins)</t>
  </si>
  <si>
    <t xml:space="preserve">top 1 projet blockchain IA </t>
  </si>
  <si>
    <t>Oracle "équivalenté du TCPIP mais pour les blockchains + travaillent avec JPMorgan</t>
  </si>
  <si>
    <t xml:space="preserve">Blockchain gaming </t>
  </si>
  <si>
    <t>memecoin originel + décentralisation + potentiel survalorisation grace a un ETF ou Elon</t>
  </si>
  <si>
    <t>Achat/vente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</si>
</sst>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7">
    <numFmt numFmtId="164" formatCode="[$$]#,##0.000"/>
    <numFmt numFmtId="165" formatCode="[$$]#,##0"/>
    <numFmt numFmtId="166" formatCode="#,##0.00\ [$€-1]"/>
    <numFmt numFmtId="167" formatCode="dd/MM/yyyy"/>
    <numFmt numFmtId="168" formatCode="[$$]#,##0.00"/>
    <numFmt numFmtId="169" formatCode="[$$]#,##0.0"/>
    <numFmt numFmtId="170" formatCode="#,##0.00000000"/>
    <numFmt numFmtId="171" formatCode="#,##0.0000"/>
    <numFmt numFmtId="172" formatCode="_([$$-409]* #,##0_);_([$$-409]* \(#,##0\);_([$$-409]* &quot;-&quot;??_);_(@_)"/>
    <numFmt numFmtId="173" formatCode="[$$]#,##0.000000"/>
    <numFmt numFmtId="174" formatCode="[$$]#,##0.0000"/>
    <numFmt numFmtId="175" formatCode="[$$]#,##0.00000"/>
    <numFmt numFmtId="176" formatCode="_([$$-409]* #,##0.00_);_([$$-409]* \(#,##0.00\);_([$$-409]* &quot;-&quot;??_);_(@_)"/>
    <numFmt numFmtId="177" formatCode="[$$]#,##0.00000000"/>
    <numFmt numFmtId="178" formatCode="dd/mm/yyyy"/>
    <numFmt numFmtId="179" formatCode="dd/mm"/>
    <numFmt numFmtId="180" formatCode="0.0000"/>
    <numFmt numFmtId="181" formatCode="0.000"/>
    <numFmt numFmtId="182" formatCode="0.0"/>
    <numFmt numFmtId="183" formatCode="0.000000"/>
    <numFmt numFmtId="184" formatCode="0.00000"/>
    <numFmt numFmtId="185" formatCode="d/m/yyyy"/>
    <numFmt numFmtId="186" formatCode="0.0000000"/>
    <numFmt numFmtId="187" formatCode="[$$]#,##0.0000000"/>
    <numFmt numFmtId="188" formatCode="[$$-86B]#,##0.00"/>
    <numFmt numFmtId="189" formatCode="0.000%"/>
    <numFmt numFmtId="190" formatCode="0.0%"/>
  </numFmts>
  <fonts count="53">
    <font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Arial"/>
    </font>
    <font>
      <b/>
      <color theme="1"/>
      <name val="Arial"/>
    </font>
    <font>
      <b/>
      <u/>
      <color rgb="FF0000FF"/>
      <name val="Arial"/>
    </font>
    <font>
      <b/>
      <sz val="11.0"/>
      <color rgb="FFF6B26B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color rgb="FFB4A7D6"/>
      <name val="Arial"/>
    </font>
    <font>
      <b/>
      <sz val="11.0"/>
      <color rgb="FF000000"/>
      <name val="Arial"/>
    </font>
    <font>
      <u/>
      <color rgb="FFB4A7D6"/>
      <name val="Arial"/>
    </font>
    <font>
      <sz val="9.0"/>
      <color theme="1"/>
      <name val="Arial"/>
    </font>
    <font>
      <u/>
      <color rgb="FFB4A7D6"/>
      <name val="Arial"/>
    </font>
    <font>
      <b/>
      <sz val="10.0"/>
      <color theme="1"/>
      <name val="Arial"/>
    </font>
    <font>
      <sz val="8.0"/>
      <color theme="1"/>
      <name val="Arial"/>
    </font>
    <font>
      <b/>
      <sz val="9.0"/>
      <color theme="1"/>
      <name val="Arial"/>
    </font>
    <font>
      <u/>
      <color rgb="FFB4A7D6"/>
      <name val="Arial"/>
    </font>
    <font>
      <b/>
      <sz val="15.0"/>
      <color theme="1"/>
      <name val="Arial"/>
    </font>
    <font>
      <u/>
      <color rgb="FFB4A7D6"/>
      <name val="Arial"/>
    </font>
    <font>
      <b/>
      <sz val="12.0"/>
      <color theme="1"/>
      <name val="Arial"/>
    </font>
    <font>
      <b/>
      <sz val="14.0"/>
      <color theme="1"/>
      <name val="Arial"/>
    </font>
    <font>
      <u/>
      <color rgb="FFB4A7D6"/>
      <name val="Arial"/>
    </font>
    <font>
      <u/>
      <color rgb="FFB4A7D6"/>
      <name val="Arial"/>
    </font>
    <font>
      <u/>
      <color rgb="FF0000FF"/>
      <name val="Arial"/>
    </font>
    <font>
      <color theme="1"/>
      <name val="Arial"/>
      <scheme val="minor"/>
    </font>
    <font>
      <b/>
      <sz val="22.0"/>
      <color rgb="FF000000"/>
      <name val="Arial"/>
      <scheme val="minor"/>
    </font>
    <font>
      <b/>
      <sz val="1.0"/>
      <color rgb="FF660000"/>
      <name val="Arial"/>
      <scheme val="minor"/>
    </font>
    <font>
      <b/>
      <sz val="12.0"/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b/>
      <sz val="1.0"/>
      <color theme="1"/>
      <name val="Arial"/>
      <scheme val="minor"/>
    </font>
    <font>
      <sz val="11.0"/>
      <color rgb="FF000000"/>
      <name val="Arial"/>
      <scheme val="minor"/>
    </font>
    <font>
      <b/>
      <sz val="9.0"/>
      <color theme="1"/>
      <name val="Arial"/>
      <scheme val="minor"/>
    </font>
    <font>
      <b/>
      <sz val="17.0"/>
      <color theme="1"/>
      <name val="Arial"/>
      <scheme val="minor"/>
    </font>
    <font>
      <b/>
      <sz val="20.0"/>
      <color theme="1"/>
      <name val="Arial"/>
      <scheme val="minor"/>
    </font>
    <font>
      <i/>
      <color theme="1"/>
      <name val="Arial"/>
      <scheme val="minor"/>
    </font>
    <font>
      <b/>
      <sz val="14.0"/>
      <color theme="1"/>
      <name val="Arial"/>
      <scheme val="minor"/>
    </font>
    <font/>
    <font>
      <b/>
      <color rgb="FF000000"/>
      <name val="Arial"/>
      <scheme val="minor"/>
    </font>
    <font>
      <b/>
      <sz val="8.0"/>
      <color theme="1"/>
      <name val="Arial"/>
      <scheme val="minor"/>
    </font>
    <font>
      <sz val="10.0"/>
      <color rgb="FF000000"/>
      <name val="Arial"/>
    </font>
    <font>
      <b/>
      <sz val="22.0"/>
      <color theme="1"/>
      <name val="Arial"/>
    </font>
    <font>
      <b/>
      <sz val="21.0"/>
      <color theme="1"/>
      <name val="Arial"/>
    </font>
    <font>
      <b/>
      <sz val="7.0"/>
      <color theme="1"/>
      <name val="Arial"/>
    </font>
    <font>
      <b/>
      <sz val="8.0"/>
      <color theme="1"/>
      <name val="Arial"/>
    </font>
    <font>
      <sz val="11.0"/>
      <color theme="1"/>
      <name val="Arial"/>
    </font>
    <font>
      <b/>
      <sz val="14.0"/>
      <color rgb="FF000000"/>
      <name val="Arial"/>
      <scheme val="minor"/>
    </font>
    <font>
      <b/>
      <sz val="25.0"/>
      <color theme="1"/>
      <name val="Arial"/>
    </font>
    <font>
      <sz val="20.0"/>
      <color theme="1"/>
      <name val="Arial"/>
    </font>
    <font>
      <sz val="10.0"/>
      <color theme="1"/>
      <name val="Arial"/>
    </font>
  </fonts>
  <fills count="5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DD7E6B"/>
        <bgColor rgb="FFDD7E6B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EE1CC"/>
        <bgColor rgb="FFFEE1CC"/>
      </patternFill>
    </fill>
    <fill>
      <patternFill patternType="solid">
        <fgColor rgb="FFC27BA0"/>
        <bgColor rgb="FFC27BA0"/>
      </patternFill>
    </fill>
    <fill>
      <patternFill patternType="solid">
        <fgColor rgb="FF3C78D8"/>
        <bgColor rgb="FF3C78D8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674EA7"/>
        <bgColor rgb="FF674EA7"/>
      </patternFill>
    </fill>
    <fill>
      <patternFill patternType="solid">
        <fgColor rgb="FFD5A6BD"/>
        <bgColor rgb="FFD5A6BD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theme="5"/>
        <bgColor theme="5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  <fill>
      <patternFill patternType="solid">
        <fgColor rgb="FFC09FC1"/>
        <bgColor rgb="FFC09FC1"/>
      </patternFill>
    </fill>
    <fill>
      <patternFill patternType="solid">
        <fgColor rgb="FFB2CDFA"/>
        <bgColor rgb="FFB2CDFA"/>
      </patternFill>
    </fill>
    <fill>
      <patternFill patternType="solid">
        <fgColor rgb="FFD1F1DA"/>
        <bgColor rgb="FFD1F1DA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CC0000"/>
        <bgColor rgb="FFCC0000"/>
      </patternFill>
    </fill>
    <fill>
      <patternFill patternType="solid">
        <fgColor rgb="FFA64D79"/>
        <bgColor rgb="FFA64D79"/>
      </patternFill>
    </fill>
    <fill>
      <patternFill patternType="solid">
        <fgColor rgb="FFFFD966"/>
        <bgColor rgb="FFFFD966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theme="6"/>
        <bgColor theme="6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3D85C6"/>
        <bgColor rgb="FF3D85C6"/>
      </patternFill>
    </fill>
    <fill>
      <patternFill patternType="solid">
        <fgColor rgb="FFBF9000"/>
        <bgColor rgb="FFBF9000"/>
      </patternFill>
    </fill>
    <fill>
      <patternFill patternType="solid">
        <fgColor rgb="FFD9F1F3"/>
        <bgColor rgb="FFD9F1F3"/>
      </patternFill>
    </fill>
    <fill>
      <patternFill patternType="solid">
        <fgColor rgb="FFD9D9D9"/>
        <bgColor rgb="FFD9D9D9"/>
      </patternFill>
    </fill>
  </fills>
  <borders count="1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</border>
    <border>
      <right style="thick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horizontal="center" readingOrder="0" vertical="center"/>
    </xf>
    <xf borderId="0" fillId="2" fontId="3" numFmtId="164" xfId="0" applyAlignment="1" applyFont="1" applyNumberForma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ill="1" applyFont="1">
      <alignment horizontal="center" vertical="center"/>
    </xf>
    <xf borderId="0" fillId="4" fontId="6" numFmtId="0" xfId="0" applyAlignment="1" applyFont="1">
      <alignment horizontal="center" vertical="center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0" fillId="8" fontId="8" numFmtId="0" xfId="0" applyAlignment="1" applyFill="1" applyFon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10" fontId="7" numFmtId="0" xfId="0" applyAlignment="1" applyFill="1" applyFont="1">
      <alignment horizontal="center" readingOrder="0"/>
    </xf>
    <xf borderId="0" fillId="11" fontId="7" numFmtId="165" xfId="0" applyAlignment="1" applyFill="1" applyFont="1" applyNumberFormat="1">
      <alignment horizontal="center" readingOrder="0" vertical="center"/>
    </xf>
    <xf borderId="0" fillId="12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14" fontId="8" numFmtId="0" xfId="0" applyAlignment="1" applyFill="1" applyFont="1">
      <alignment horizontal="center" readingOrder="0" vertical="center"/>
    </xf>
    <xf borderId="0" fillId="10" fontId="8" numFmtId="0" xfId="0" applyAlignment="1" applyFont="1">
      <alignment horizontal="center" readingOrder="0"/>
    </xf>
    <xf borderId="0" fillId="15" fontId="8" numFmtId="0" xfId="0" applyAlignment="1" applyFill="1" applyFont="1">
      <alignment horizontal="center" readingOrder="0"/>
    </xf>
    <xf borderId="0" fillId="16" fontId="8" numFmtId="0" xfId="0" applyAlignment="1" applyFill="1" applyFont="1">
      <alignment horizontal="center" readingOrder="0"/>
    </xf>
    <xf borderId="1" fillId="17" fontId="8" numFmtId="0" xfId="0" applyAlignment="1" applyBorder="1" applyFill="1" applyFont="1">
      <alignment horizontal="center" readingOrder="0"/>
    </xf>
    <xf borderId="2" fillId="18" fontId="8" numFmtId="0" xfId="0" applyAlignment="1" applyBorder="1" applyFill="1" applyFont="1">
      <alignment horizontal="center" readingOrder="0"/>
    </xf>
    <xf borderId="2" fillId="7" fontId="8" numFmtId="0" xfId="0" applyAlignment="1" applyBorder="1" applyFont="1">
      <alignment horizontal="center" readingOrder="0"/>
    </xf>
    <xf borderId="2" fillId="19" fontId="8" numFmtId="0" xfId="0" applyAlignment="1" applyBorder="1" applyFill="1" applyFont="1">
      <alignment horizontal="center" readingOrder="0"/>
    </xf>
    <xf borderId="2" fillId="20" fontId="6" numFmtId="0" xfId="0" applyAlignment="1" applyBorder="1" applyFill="1" applyFont="1">
      <alignment horizontal="center" readingOrder="0" vertical="center"/>
    </xf>
    <xf borderId="2" fillId="21" fontId="6" numFmtId="0" xfId="0" applyAlignment="1" applyBorder="1" applyFill="1" applyFont="1">
      <alignment horizontal="center" readingOrder="0" vertical="center"/>
    </xf>
    <xf borderId="2" fillId="22" fontId="6" numFmtId="0" xfId="0" applyAlignment="1" applyBorder="1" applyFill="1" applyFont="1">
      <alignment horizontal="center" readingOrder="0" vertical="center"/>
    </xf>
    <xf borderId="3" fillId="11" fontId="6" numFmtId="0" xfId="0" applyAlignment="1" applyBorder="1" applyFont="1">
      <alignment horizontal="center" readingOrder="0" vertical="center"/>
    </xf>
    <xf borderId="0" fillId="18" fontId="6" numFmtId="0" xfId="0" applyAlignment="1" applyFont="1">
      <alignment horizontal="center" readingOrder="0" vertical="center"/>
    </xf>
    <xf borderId="0" fillId="5" fontId="9" numFmtId="165" xfId="0" applyAlignment="1" applyFont="1" applyNumberFormat="1">
      <alignment horizontal="center" readingOrder="0" vertical="center"/>
    </xf>
    <xf borderId="0" fillId="23" fontId="10" numFmtId="166" xfId="0" applyAlignment="1" applyFill="1" applyFont="1" applyNumberFormat="1">
      <alignment horizontal="center" readingOrder="0" vertical="center"/>
    </xf>
    <xf borderId="0" fillId="23" fontId="11" numFmtId="165" xfId="0" applyAlignment="1" applyFont="1" applyNumberFormat="1">
      <alignment horizontal="center" readingOrder="0"/>
    </xf>
    <xf borderId="0" fillId="23" fontId="10" numFmtId="165" xfId="0" applyAlignment="1" applyFont="1" applyNumberFormat="1">
      <alignment horizontal="center" readingOrder="0" vertical="center"/>
    </xf>
    <xf borderId="0" fillId="24" fontId="12" numFmtId="0" xfId="0" applyAlignment="1" applyFill="1" applyFont="1">
      <alignment horizontal="center" readingOrder="0" vertical="center"/>
    </xf>
    <xf borderId="0" fillId="4" fontId="6" numFmtId="167" xfId="0" applyAlignment="1" applyFont="1" applyNumberFormat="1">
      <alignment horizontal="center" readingOrder="0" vertical="center"/>
    </xf>
    <xf borderId="0" fillId="5" fontId="6" numFmtId="168" xfId="0" applyAlignment="1" applyFont="1" applyNumberFormat="1">
      <alignment horizontal="center" vertical="center"/>
    </xf>
    <xf borderId="0" fillId="25" fontId="6" numFmtId="168" xfId="0" applyAlignment="1" applyFill="1" applyFont="1" applyNumberFormat="1">
      <alignment horizontal="center" vertical="center"/>
    </xf>
    <xf borderId="0" fillId="25" fontId="6" numFmtId="168" xfId="0" applyAlignment="1" applyFont="1" applyNumberFormat="1">
      <alignment horizontal="center"/>
    </xf>
    <xf borderId="0" fillId="5" fontId="6" numFmtId="165" xfId="0" applyAlignment="1" applyFont="1" applyNumberFormat="1">
      <alignment horizontal="center" vertical="center"/>
    </xf>
    <xf borderId="0" fillId="5" fontId="6" numFmtId="166" xfId="0" applyAlignment="1" applyFont="1" applyNumberFormat="1">
      <alignment horizontal="center" readingOrder="0" vertical="center"/>
    </xf>
    <xf borderId="0" fillId="25" fontId="6" numFmtId="169" xfId="0" applyAlignment="1" applyFont="1" applyNumberFormat="1">
      <alignment horizontal="center" vertical="center"/>
    </xf>
    <xf borderId="4" fillId="25" fontId="6" numFmtId="168" xfId="0" applyAlignment="1" applyBorder="1" applyFont="1" applyNumberFormat="1">
      <alignment horizontal="center" vertical="center"/>
    </xf>
    <xf borderId="5" fillId="25" fontId="6" numFmtId="168" xfId="0" applyAlignment="1" applyBorder="1" applyFont="1" applyNumberFormat="1">
      <alignment horizontal="center" vertical="center"/>
    </xf>
    <xf borderId="0" fillId="2" fontId="1" numFmtId="168" xfId="0" applyAlignment="1" applyFont="1" applyNumberFormat="1">
      <alignment vertical="center"/>
    </xf>
    <xf borderId="0" fillId="6" fontId="9" numFmtId="165" xfId="0" applyAlignment="1" applyFont="1" applyNumberFormat="1">
      <alignment horizontal="center" readingOrder="0" vertical="center"/>
    </xf>
    <xf borderId="0" fillId="23" fontId="13" numFmtId="165" xfId="0" applyAlignment="1" applyFont="1" applyNumberFormat="1">
      <alignment horizontal="center"/>
    </xf>
    <xf borderId="0" fillId="4" fontId="6" numFmtId="167" xfId="0" applyAlignment="1" applyFont="1" applyNumberFormat="1">
      <alignment horizontal="center" vertical="center"/>
    </xf>
    <xf borderId="0" fillId="26" fontId="14" numFmtId="170" xfId="0" applyAlignment="1" applyFill="1" applyFont="1" applyNumberFormat="1">
      <alignment horizontal="center" vertical="center"/>
    </xf>
    <xf borderId="0" fillId="26" fontId="14" numFmtId="171" xfId="0" applyAlignment="1" applyFont="1" applyNumberFormat="1">
      <alignment horizontal="center" vertical="center"/>
    </xf>
    <xf borderId="0" fillId="25" fontId="14" numFmtId="4" xfId="0" applyAlignment="1" applyFont="1" applyNumberFormat="1">
      <alignment horizontal="center" vertical="center"/>
    </xf>
    <xf borderId="0" fillId="25" fontId="14" numFmtId="4" xfId="0" applyAlignment="1" applyFont="1" applyNumberFormat="1">
      <alignment horizontal="center"/>
    </xf>
    <xf borderId="0" fillId="26" fontId="14" numFmtId="3" xfId="0" applyAlignment="1" applyFont="1" applyNumberFormat="1">
      <alignment horizontal="center" vertical="center"/>
    </xf>
    <xf borderId="0" fillId="26" fontId="14" numFmtId="4" xfId="0" applyAlignment="1" applyFont="1" applyNumberFormat="1">
      <alignment horizontal="center" vertical="center"/>
    </xf>
    <xf borderId="0" fillId="26" fontId="14" numFmtId="4" xfId="0" applyAlignment="1" applyFont="1" applyNumberFormat="1">
      <alignment horizontal="center" readingOrder="0" vertical="center"/>
    </xf>
    <xf borderId="0" fillId="25" fontId="14" numFmtId="3" xfId="0" applyAlignment="1" applyFont="1" applyNumberFormat="1">
      <alignment horizontal="center" vertical="center"/>
    </xf>
    <xf borderId="0" fillId="25" fontId="14" numFmtId="169" xfId="0" applyAlignment="1" applyFont="1" applyNumberFormat="1">
      <alignment horizontal="center" vertical="center"/>
    </xf>
    <xf borderId="4" fillId="25" fontId="14" numFmtId="3" xfId="0" applyAlignment="1" applyBorder="1" applyFont="1" applyNumberFormat="1">
      <alignment horizontal="center" vertical="center"/>
    </xf>
    <xf borderId="5" fillId="25" fontId="14" numFmtId="3" xfId="0" applyAlignment="1" applyBorder="1" applyFont="1" applyNumberFormat="1">
      <alignment horizontal="center" vertical="center"/>
    </xf>
    <xf borderId="0" fillId="7" fontId="9" numFmtId="168" xfId="0" applyAlignment="1" applyFont="1" applyNumberFormat="1">
      <alignment horizontal="center" readingOrder="0" vertical="center"/>
    </xf>
    <xf borderId="0" fillId="23" fontId="15" numFmtId="168" xfId="0" applyAlignment="1" applyFont="1" applyNumberFormat="1">
      <alignment horizontal="center"/>
    </xf>
    <xf borderId="0" fillId="4" fontId="5" numFmtId="0" xfId="0" applyAlignment="1" applyFont="1">
      <alignment horizontal="center" readingOrder="0" vertical="center"/>
    </xf>
    <xf borderId="0" fillId="4" fontId="6" numFmtId="0" xfId="0" applyAlignment="1" applyFont="1">
      <alignment horizontal="center"/>
    </xf>
    <xf borderId="0" fillId="26" fontId="14" numFmtId="10" xfId="0" applyAlignment="1" applyFont="1" applyNumberFormat="1">
      <alignment horizontal="center"/>
    </xf>
    <xf borderId="0" fillId="25" fontId="14" numFmtId="10" xfId="0" applyAlignment="1" applyFont="1" applyNumberFormat="1">
      <alignment horizontal="center"/>
    </xf>
    <xf borderId="0" fillId="25" fontId="14" numFmtId="10" xfId="0" applyAlignment="1" applyFont="1" applyNumberFormat="1">
      <alignment horizontal="center" vertical="bottom"/>
    </xf>
    <xf borderId="0" fillId="26" fontId="14" numFmtId="166" xfId="0" applyAlignment="1" applyFont="1" applyNumberFormat="1">
      <alignment horizontal="center"/>
    </xf>
    <xf borderId="0" fillId="25" fontId="14" numFmtId="169" xfId="0" applyAlignment="1" applyFont="1" applyNumberFormat="1">
      <alignment horizontal="center"/>
    </xf>
    <xf borderId="4" fillId="25" fontId="14" numFmtId="10" xfId="0" applyAlignment="1" applyBorder="1" applyFont="1" applyNumberFormat="1">
      <alignment horizontal="center"/>
    </xf>
    <xf borderId="5" fillId="25" fontId="14" numFmtId="10" xfId="0" applyAlignment="1" applyBorder="1" applyFont="1" applyNumberFormat="1">
      <alignment horizontal="center"/>
    </xf>
    <xf borderId="0" fillId="8" fontId="9" numFmtId="165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6" fontId="1" numFmtId="165" xfId="0" applyAlignment="1" applyFont="1" applyNumberFormat="1">
      <alignment horizontal="center" readingOrder="0" vertical="center"/>
    </xf>
    <xf borderId="0" fillId="25" fontId="1" numFmtId="168" xfId="0" applyAlignment="1" applyFont="1" applyNumberFormat="1">
      <alignment horizontal="center" readingOrder="0" vertical="center"/>
    </xf>
    <xf borderId="0" fillId="25" fontId="1" numFmtId="168" xfId="0" applyAlignment="1" applyFont="1" applyNumberFormat="1">
      <alignment horizontal="center"/>
    </xf>
    <xf borderId="0" fillId="26" fontId="1" numFmtId="172" xfId="0" applyAlignment="1" applyFont="1" applyNumberFormat="1">
      <alignment horizontal="center" readingOrder="0" vertical="center"/>
    </xf>
    <xf borderId="0" fillId="25" fontId="1" numFmtId="173" xfId="0" applyAlignment="1" applyFont="1" applyNumberFormat="1">
      <alignment horizontal="center" readingOrder="0" vertical="center"/>
    </xf>
    <xf borderId="0" fillId="25" fontId="1" numFmtId="169" xfId="0" applyAlignment="1" applyFont="1" applyNumberFormat="1">
      <alignment horizontal="center" readingOrder="0" vertical="center"/>
    </xf>
    <xf borderId="4" fillId="25" fontId="1" numFmtId="164" xfId="0" applyAlignment="1" applyBorder="1" applyFont="1" applyNumberFormat="1">
      <alignment horizontal="center" readingOrder="0" vertical="center"/>
    </xf>
    <xf borderId="0" fillId="25" fontId="1" numFmtId="174" xfId="0" applyAlignment="1" applyFont="1" applyNumberFormat="1">
      <alignment horizontal="center" readingOrder="0" vertical="center"/>
    </xf>
    <xf borderId="0" fillId="25" fontId="1" numFmtId="164" xfId="0" applyAlignment="1" applyFont="1" applyNumberFormat="1">
      <alignment horizontal="center" readingOrder="0" vertical="center"/>
    </xf>
    <xf borderId="5" fillId="25" fontId="1" numFmtId="164" xfId="0" applyAlignment="1" applyBorder="1" applyFont="1" applyNumberFormat="1">
      <alignment horizontal="center" readingOrder="0" vertical="center"/>
    </xf>
    <xf borderId="0" fillId="9" fontId="9" numFmtId="165" xfId="0" applyAlignment="1" applyFont="1" applyNumberFormat="1">
      <alignment horizontal="center" readingOrder="0" vertical="center"/>
    </xf>
    <xf borderId="0" fillId="4" fontId="16" numFmtId="0" xfId="0" applyAlignment="1" applyFont="1">
      <alignment horizontal="center" readingOrder="0" vertical="center"/>
    </xf>
    <xf borderId="0" fillId="26" fontId="1" numFmtId="168" xfId="0" applyAlignment="1" applyFont="1" applyNumberFormat="1">
      <alignment horizontal="center" readingOrder="0" vertical="center"/>
    </xf>
    <xf borderId="0" fillId="25" fontId="1" numFmtId="168" xfId="0" applyAlignment="1" applyFont="1" applyNumberFormat="1">
      <alignment horizontal="center" readingOrder="0" vertical="center"/>
    </xf>
    <xf borderId="0" fillId="25" fontId="1" numFmtId="168" xfId="0" applyAlignment="1" applyFont="1" applyNumberFormat="1">
      <alignment horizontal="center"/>
    </xf>
    <xf borderId="0" fillId="12" fontId="1" numFmtId="169" xfId="0" applyAlignment="1" applyFont="1" applyNumberFormat="1">
      <alignment horizontal="center" readingOrder="0" vertical="center"/>
    </xf>
    <xf borderId="0" fillId="25" fontId="1" numFmtId="175" xfId="0" applyAlignment="1" applyFont="1" applyNumberFormat="1">
      <alignment horizontal="center" readingOrder="0" vertical="center"/>
    </xf>
    <xf borderId="0" fillId="12" fontId="17" numFmtId="176" xfId="0" applyAlignment="1" applyFont="1" applyNumberFormat="1">
      <alignment horizontal="left" readingOrder="0" vertical="center"/>
    </xf>
    <xf borderId="0" fillId="13" fontId="9" numFmtId="168" xfId="0" applyAlignment="1" applyFont="1" applyNumberFormat="1">
      <alignment horizontal="center" readingOrder="0" vertical="center"/>
    </xf>
    <xf borderId="0" fillId="7" fontId="18" numFmtId="0" xfId="0" applyAlignment="1" applyFont="1">
      <alignment horizontal="center" readingOrder="0" shrinkToFit="0" vertical="center" wrapText="1"/>
    </xf>
    <xf borderId="0" fillId="2" fontId="3" numFmtId="10" xfId="0" applyAlignment="1" applyFont="1" applyNumberFormat="1">
      <alignment vertical="center"/>
    </xf>
    <xf borderId="0" fillId="12" fontId="17" numFmtId="176" xfId="0" applyAlignment="1" applyFont="1" applyNumberFormat="1">
      <alignment horizontal="center" shrinkToFit="0" vertical="center" wrapText="1"/>
    </xf>
    <xf borderId="6" fillId="25" fontId="3" numFmtId="10" xfId="0" applyAlignment="1" applyBorder="1" applyFont="1" applyNumberFormat="1">
      <alignment vertical="center"/>
    </xf>
    <xf borderId="7" fillId="2" fontId="3" numFmtId="10" xfId="0" applyAlignment="1" applyBorder="1" applyFont="1" applyNumberFormat="1">
      <alignment vertical="center"/>
    </xf>
    <xf borderId="7" fillId="27" fontId="3" numFmtId="10" xfId="0" applyAlignment="1" applyBorder="1" applyFill="1" applyFont="1" applyNumberFormat="1">
      <alignment vertical="center"/>
    </xf>
    <xf borderId="8" fillId="2" fontId="3" numFmtId="10" xfId="0" applyAlignment="1" applyBorder="1" applyFont="1" applyNumberFormat="1">
      <alignment vertical="center"/>
    </xf>
    <xf borderId="0" fillId="12" fontId="17" numFmtId="176" xfId="0" applyAlignment="1" applyFont="1" applyNumberFormat="1">
      <alignment shrinkToFit="0" vertical="center" wrapText="1"/>
    </xf>
    <xf borderId="0" fillId="12" fontId="17" numFmtId="176" xfId="0" applyFont="1" applyNumberFormat="1"/>
    <xf borderId="0" fillId="2" fontId="19" numFmtId="0" xfId="0" applyAlignment="1" applyFont="1">
      <alignment readingOrder="0" vertical="center"/>
    </xf>
    <xf borderId="0" fillId="28" fontId="1" numFmtId="0" xfId="0" applyAlignment="1" applyFill="1" applyFont="1">
      <alignment vertical="center"/>
    </xf>
    <xf borderId="0" fillId="14" fontId="8" numFmtId="168" xfId="0" applyAlignment="1" applyFont="1" applyNumberFormat="1">
      <alignment horizontal="center" readingOrder="0" vertical="center"/>
    </xf>
    <xf borderId="0" fillId="2" fontId="1" numFmtId="3" xfId="0" applyAlignment="1" applyFont="1" applyNumberFormat="1">
      <alignment vertical="center"/>
    </xf>
    <xf borderId="0" fillId="29" fontId="2" numFmtId="0" xfId="0" applyAlignment="1" applyFill="1" applyFont="1">
      <alignment horizontal="center" readingOrder="0" vertical="center"/>
    </xf>
    <xf borderId="0" fillId="30" fontId="20" numFmtId="0" xfId="0" applyAlignment="1" applyFill="1" applyFont="1">
      <alignment horizontal="center" readingOrder="0" vertical="center"/>
    </xf>
    <xf borderId="0" fillId="23" fontId="21" numFmtId="164" xfId="0" applyAlignment="1" applyFont="1" applyNumberFormat="1">
      <alignment horizontal="center"/>
    </xf>
    <xf borderId="0" fillId="19" fontId="22" numFmtId="0" xfId="0" applyAlignment="1" applyFont="1">
      <alignment horizontal="center" readingOrder="0" vertical="center"/>
    </xf>
    <xf borderId="0" fillId="19" fontId="22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10" xfId="0" applyAlignment="1" applyFont="1" applyNumberFormat="1">
      <alignment horizontal="center" readingOrder="0" vertical="center"/>
    </xf>
    <xf borderId="0" fillId="20" fontId="23" numFmtId="0" xfId="0" applyAlignment="1" applyFont="1">
      <alignment horizontal="center"/>
    </xf>
    <xf borderId="0" fillId="15" fontId="8" numFmtId="177" xfId="0" applyAlignment="1" applyFont="1" applyNumberFormat="1">
      <alignment horizontal="center" readingOrder="0"/>
    </xf>
    <xf borderId="0" fillId="23" fontId="24" numFmtId="177" xfId="0" applyAlignment="1" applyFont="1" applyNumberFormat="1">
      <alignment horizontal="center"/>
    </xf>
    <xf borderId="0" fillId="15" fontId="22" numFmtId="168" xfId="0" applyAlignment="1" applyFont="1" applyNumberFormat="1">
      <alignment horizontal="center" vertical="center"/>
    </xf>
    <xf borderId="0" fillId="15" fontId="22" numFmtId="10" xfId="0" applyAlignment="1" applyFont="1" applyNumberFormat="1">
      <alignment horizontal="center" vertical="center"/>
    </xf>
    <xf borderId="0" fillId="2" fontId="1" numFmtId="0" xfId="0" applyAlignment="1" applyFont="1">
      <alignment readingOrder="0" vertical="center"/>
    </xf>
    <xf borderId="0" fillId="2" fontId="1" numFmtId="178" xfId="0" applyAlignment="1" applyFont="1" applyNumberFormat="1">
      <alignment readingOrder="0" vertical="center"/>
    </xf>
    <xf borderId="0" fillId="17" fontId="8" numFmtId="0" xfId="0" applyAlignment="1" applyFont="1">
      <alignment horizontal="center" readingOrder="0"/>
    </xf>
    <xf borderId="0" fillId="18" fontId="8" numFmtId="0" xfId="0" applyAlignment="1" applyFont="1">
      <alignment horizontal="center" readingOrder="0"/>
    </xf>
    <xf borderId="0" fillId="31" fontId="3" numFmtId="0" xfId="0" applyAlignment="1" applyFill="1" applyFont="1">
      <alignment horizontal="center" readingOrder="0" vertical="center"/>
    </xf>
    <xf borderId="0" fillId="7" fontId="8" numFmtId="175" xfId="0" applyAlignment="1" applyFont="1" applyNumberFormat="1">
      <alignment horizontal="center" readingOrder="0"/>
    </xf>
    <xf borderId="0" fillId="23" fontId="25" numFmtId="175" xfId="0" applyAlignment="1" applyFont="1" applyNumberFormat="1">
      <alignment horizontal="center"/>
    </xf>
    <xf borderId="0" fillId="8" fontId="2" numFmtId="0" xfId="0" applyAlignment="1" applyFont="1">
      <alignment horizontal="center" readingOrder="0" vertical="center"/>
    </xf>
    <xf borderId="0" fillId="20" fontId="23" numFmtId="0" xfId="0" applyAlignment="1" applyFont="1">
      <alignment horizontal="center" readingOrder="0" vertical="center"/>
    </xf>
    <xf borderId="0" fillId="19" fontId="8" numFmtId="0" xfId="0" applyAlignment="1" applyFont="1">
      <alignment horizontal="center" readingOrder="0"/>
    </xf>
    <xf borderId="0" fillId="11" fontId="3" numFmtId="0" xfId="0" applyAlignment="1" applyFont="1">
      <alignment horizontal="center" readingOrder="0" vertical="center"/>
    </xf>
    <xf borderId="0" fillId="20" fontId="6" numFmtId="0" xfId="0" applyAlignment="1" applyFont="1">
      <alignment horizontal="center" readingOrder="0" vertical="center"/>
    </xf>
    <xf borderId="0" fillId="26" fontId="3" numFmtId="0" xfId="0" applyAlignment="1" applyFont="1">
      <alignment horizontal="center" readingOrder="0" vertical="center"/>
    </xf>
    <xf borderId="0" fillId="32" fontId="1" numFmtId="0" xfId="0" applyAlignment="1" applyFill="1" applyFont="1">
      <alignment horizontal="center" readingOrder="0" vertical="center"/>
    </xf>
    <xf borderId="0" fillId="2" fontId="1" numFmtId="168" xfId="0" applyAlignment="1" applyFont="1" applyNumberFormat="1">
      <alignment horizontal="center" readingOrder="0" vertical="center"/>
    </xf>
    <xf borderId="0" fillId="2" fontId="1" numFmtId="1" xfId="0" applyAlignment="1" applyFont="1" applyNumberFormat="1">
      <alignment horizontal="center" vertical="center"/>
    </xf>
    <xf borderId="0" fillId="2" fontId="1" numFmtId="168" xfId="0" applyAlignment="1" applyFont="1" applyNumberFormat="1">
      <alignment horizontal="center" vertical="center"/>
    </xf>
    <xf borderId="0" fillId="21" fontId="6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2" fontId="6" numFmtId="0" xfId="0" applyAlignment="1" applyFont="1">
      <alignment horizontal="center" readingOrder="0" vertical="center"/>
    </xf>
    <xf borderId="0" fillId="23" fontId="1" numFmtId="166" xfId="0" applyAlignment="1" applyFont="1" applyNumberFormat="1">
      <alignment horizontal="center" readingOrder="0" vertical="center"/>
    </xf>
    <xf borderId="0" fillId="23" fontId="26" numFmtId="0" xfId="0" applyAlignment="1" applyFont="1">
      <alignment readingOrder="0" vertical="center"/>
    </xf>
    <xf borderId="0" fillId="2" fontId="3" numFmtId="0" xfId="0" applyAlignment="1" applyFont="1">
      <alignment horizontal="center" vertical="center"/>
    </xf>
    <xf borderId="0" fillId="7" fontId="3" numFmtId="0" xfId="0" applyAlignment="1" applyFont="1">
      <alignment horizontal="center" readingOrder="0" vertical="center"/>
    </xf>
    <xf borderId="0" fillId="2" fontId="3" numFmtId="166" xfId="0" applyAlignment="1" applyFont="1" applyNumberFormat="1">
      <alignment horizontal="center" readingOrder="0" vertical="center"/>
    </xf>
    <xf borderId="0" fillId="2" fontId="3" numFmtId="165" xfId="0" applyAlignment="1" applyFont="1" applyNumberFormat="1">
      <alignment horizontal="center" readingOrder="0" vertical="center"/>
    </xf>
    <xf borderId="0" fillId="2" fontId="3" numFmtId="10" xfId="0" applyAlignment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vertical="center"/>
    </xf>
    <xf borderId="0" fillId="2" fontId="1" numFmtId="166" xfId="0" applyAlignment="1" applyFont="1" applyNumberFormat="1">
      <alignment horizontal="center" readingOrder="0" vertical="center"/>
    </xf>
    <xf borderId="0" fillId="2" fontId="1" numFmtId="165" xfId="0" applyAlignment="1" applyFont="1" applyNumberFormat="1">
      <alignment horizontal="center" readingOrder="0" vertical="center"/>
    </xf>
    <xf borderId="0" fillId="2" fontId="1" numFmtId="168" xfId="0" applyAlignment="1" applyFont="1" applyNumberFormat="1">
      <alignment horizontal="center" readingOrder="0" vertical="center"/>
    </xf>
    <xf borderId="0" fillId="31" fontId="3" numFmtId="179" xfId="0" applyAlignment="1" applyFont="1" applyNumberFormat="1">
      <alignment horizontal="center" readingOrder="0" vertical="center"/>
    </xf>
    <xf borderId="0" fillId="12" fontId="1" numFmtId="0" xfId="0" applyAlignment="1" applyFont="1">
      <alignment readingOrder="0" vertical="center"/>
    </xf>
    <xf borderId="0" fillId="0" fontId="27" numFmtId="0" xfId="0" applyFont="1"/>
    <xf borderId="0" fillId="20" fontId="23" numFmtId="164" xfId="0" applyAlignment="1" applyFont="1" applyNumberFormat="1">
      <alignment horizontal="center" readingOrder="0" vertical="center"/>
    </xf>
    <xf borderId="0" fillId="20" fontId="22" numFmtId="0" xfId="0" applyAlignment="1" applyFont="1">
      <alignment horizontal="center" readingOrder="0" vertical="center"/>
    </xf>
    <xf borderId="0" fillId="7" fontId="8" numFmtId="0" xfId="0" applyAlignment="1" applyFont="1">
      <alignment horizontal="center" readingOrder="0"/>
    </xf>
    <xf borderId="0" fillId="5" fontId="6" numFmtId="167" xfId="0" applyAlignment="1" applyFont="1" applyNumberFormat="1">
      <alignment horizontal="center" vertical="center"/>
    </xf>
    <xf borderId="0" fillId="24" fontId="12" numFmtId="168" xfId="0" applyAlignment="1" applyFont="1" applyNumberFormat="1">
      <alignment horizontal="center" readingOrder="0" vertical="center"/>
    </xf>
    <xf borderId="0" fillId="24" fontId="12" numFmtId="169" xfId="0" applyAlignment="1" applyFont="1" applyNumberFormat="1">
      <alignment horizontal="center" readingOrder="0" vertical="center"/>
    </xf>
    <xf borderId="0" fillId="33" fontId="28" numFmtId="0" xfId="0" applyAlignment="1" applyFill="1" applyFont="1">
      <alignment horizontal="center" readingOrder="0" vertical="center"/>
    </xf>
    <xf borderId="0" fillId="33" fontId="29" numFmtId="0" xfId="0" applyAlignment="1" applyFont="1">
      <alignment horizontal="center" readingOrder="0" vertical="center"/>
    </xf>
    <xf borderId="0" fillId="6" fontId="30" numFmtId="0" xfId="0" applyAlignment="1" applyFont="1">
      <alignment horizontal="center" readingOrder="0" vertical="center"/>
    </xf>
    <xf borderId="0" fillId="34" fontId="30" numFmtId="167" xfId="0" applyAlignment="1" applyFill="1" applyFont="1" applyNumberFormat="1">
      <alignment horizontal="center" readingOrder="0" vertical="center"/>
    </xf>
    <xf quotePrefix="1" borderId="0" fillId="21" fontId="30" numFmtId="0" xfId="0" applyAlignment="1" applyFont="1">
      <alignment horizontal="center" readingOrder="0" vertical="center"/>
    </xf>
    <xf borderId="0" fillId="21" fontId="30" numFmtId="168" xfId="0" applyAlignment="1" applyFont="1" applyNumberFormat="1">
      <alignment horizontal="center" readingOrder="0" vertical="center"/>
    </xf>
    <xf borderId="0" fillId="21" fontId="30" numFmtId="0" xfId="0" applyAlignment="1" applyFont="1">
      <alignment horizontal="center" readingOrder="0" vertical="center"/>
    </xf>
    <xf borderId="0" fillId="21" fontId="30" numFmtId="1" xfId="0" applyAlignment="1" applyFont="1" applyNumberFormat="1">
      <alignment horizontal="center" readingOrder="0" vertical="center"/>
    </xf>
    <xf borderId="0" fillId="19" fontId="30" numFmtId="168" xfId="0" applyAlignment="1" applyFont="1" applyNumberFormat="1">
      <alignment horizontal="center" readingOrder="0" vertical="center"/>
    </xf>
    <xf borderId="0" fillId="21" fontId="30" numFmtId="165" xfId="0" applyAlignment="1" applyFont="1" applyNumberFormat="1">
      <alignment horizontal="center" readingOrder="0" vertical="center"/>
    </xf>
    <xf borderId="0" fillId="21" fontId="30" numFmtId="0" xfId="0" applyAlignment="1" applyFont="1">
      <alignment horizontal="center" vertical="center"/>
    </xf>
    <xf borderId="0" fillId="34" fontId="27" numFmtId="167" xfId="0" applyAlignment="1" applyFont="1" applyNumberFormat="1">
      <alignment horizontal="center" vertical="center"/>
    </xf>
    <xf borderId="0" fillId="35" fontId="31" numFmtId="0" xfId="0" applyAlignment="1" applyFill="1" applyFont="1">
      <alignment horizontal="center" readingOrder="0" shrinkToFit="0" wrapText="0"/>
    </xf>
    <xf borderId="0" fillId="26" fontId="31" numFmtId="168" xfId="0" applyAlignment="1" applyFont="1" applyNumberFormat="1">
      <alignment horizontal="center" readingOrder="0" shrinkToFit="0" wrapText="0"/>
    </xf>
    <xf borderId="0" fillId="0" fontId="32" numFmtId="0" xfId="0" applyAlignment="1" applyFont="1">
      <alignment horizontal="center" readingOrder="0" shrinkToFit="0" wrapText="0"/>
    </xf>
    <xf borderId="0" fillId="23" fontId="31" numFmtId="168" xfId="0" applyAlignment="1" applyFont="1" applyNumberFormat="1">
      <alignment horizontal="center" readingOrder="0" shrinkToFit="0" wrapText="0"/>
    </xf>
    <xf borderId="0" fillId="35" fontId="31" numFmtId="168" xfId="0" applyAlignment="1" applyFont="1" applyNumberFormat="1">
      <alignment horizontal="center" readingOrder="0" shrinkToFit="0" wrapText="0"/>
    </xf>
    <xf borderId="0" fillId="15" fontId="31" numFmtId="1" xfId="0" applyAlignment="1" applyFont="1" applyNumberFormat="1">
      <alignment horizontal="center" readingOrder="0" shrinkToFit="0" wrapText="0"/>
    </xf>
    <xf borderId="0" fillId="19" fontId="31" numFmtId="168" xfId="0" applyAlignment="1" applyFont="1" applyNumberFormat="1">
      <alignment horizontal="center" readingOrder="0" shrinkToFit="0" wrapText="0"/>
    </xf>
    <xf borderId="0" fillId="31" fontId="32" numFmtId="165" xfId="0" applyAlignment="1" applyFont="1" applyNumberFormat="1">
      <alignment horizontal="center" readingOrder="0" shrinkToFit="0" wrapText="0"/>
    </xf>
    <xf borderId="0" fillId="21" fontId="33" numFmtId="0" xfId="0" applyAlignment="1" applyFont="1">
      <alignment horizontal="center" readingOrder="0" vertical="center"/>
    </xf>
    <xf borderId="0" fillId="7" fontId="31" numFmtId="168" xfId="0" applyAlignment="1" applyFont="1" applyNumberFormat="1">
      <alignment horizontal="center" readingOrder="0" shrinkToFit="0" wrapText="0"/>
    </xf>
    <xf borderId="0" fillId="15" fontId="31" numFmtId="180" xfId="0" applyAlignment="1" applyFont="1" applyNumberFormat="1">
      <alignment horizontal="center" readingOrder="0" shrinkToFit="0" wrapText="0"/>
    </xf>
    <xf borderId="0" fillId="31" fontId="3" numFmtId="165" xfId="0" applyAlignment="1" applyFont="1" applyNumberFormat="1">
      <alignment horizontal="center"/>
    </xf>
    <xf borderId="0" fillId="36" fontId="31" numFmtId="0" xfId="0" applyAlignment="1" applyFill="1" applyFont="1">
      <alignment horizontal="center" readingOrder="0" shrinkToFit="0" wrapText="0"/>
    </xf>
    <xf borderId="0" fillId="15" fontId="31" numFmtId="181" xfId="0" applyAlignment="1" applyFont="1" applyNumberFormat="1">
      <alignment horizontal="center" readingOrder="0" shrinkToFit="0" wrapText="0"/>
    </xf>
    <xf borderId="0" fillId="6" fontId="32" numFmtId="0" xfId="0" applyAlignment="1" applyFont="1">
      <alignment horizontal="center" readingOrder="0" shrinkToFit="0" wrapText="0"/>
    </xf>
    <xf borderId="0" fillId="6" fontId="31" numFmtId="168" xfId="0" applyAlignment="1" applyFont="1" applyNumberFormat="1">
      <alignment horizontal="center" readingOrder="0" shrinkToFit="0" wrapText="0"/>
    </xf>
    <xf borderId="0" fillId="6" fontId="31" numFmtId="1" xfId="0" applyAlignment="1" applyFont="1" applyNumberFormat="1">
      <alignment horizontal="center" readingOrder="0" shrinkToFit="0" wrapText="0"/>
    </xf>
    <xf borderId="0" fillId="6" fontId="31" numFmtId="182" xfId="0" applyAlignment="1" applyFont="1" applyNumberFormat="1">
      <alignment horizontal="center" readingOrder="0" shrinkToFit="0" wrapText="0"/>
    </xf>
    <xf borderId="0" fillId="35" fontId="27" numFmtId="0" xfId="0" applyAlignment="1" applyFont="1">
      <alignment horizontal="center" readingOrder="0" vertical="center"/>
    </xf>
    <xf borderId="0" fillId="26" fontId="27" numFmtId="168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23" fontId="27" numFmtId="168" xfId="0" applyAlignment="1" applyFont="1" applyNumberFormat="1">
      <alignment horizontal="center" readingOrder="0" vertical="center"/>
    </xf>
    <xf borderId="0" fillId="7" fontId="27" numFmtId="168" xfId="0" applyAlignment="1" applyFont="1" applyNumberFormat="1">
      <alignment horizontal="center" readingOrder="0" vertical="center"/>
    </xf>
    <xf borderId="0" fillId="15" fontId="27" numFmtId="2" xfId="0" applyAlignment="1" applyFont="1" applyNumberFormat="1">
      <alignment horizontal="center" vertical="center"/>
    </xf>
    <xf borderId="0" fillId="19" fontId="27" numFmtId="168" xfId="0" applyAlignment="1" applyFont="1" applyNumberFormat="1">
      <alignment horizontal="center" readingOrder="0" vertical="center"/>
    </xf>
    <xf borderId="0" fillId="34" fontId="27" numFmtId="167" xfId="0" applyAlignment="1" applyFont="1" applyNumberFormat="1">
      <alignment horizontal="center" readingOrder="0" vertical="center"/>
    </xf>
    <xf borderId="0" fillId="15" fontId="27" numFmtId="180" xfId="0" applyAlignment="1" applyFont="1" applyNumberFormat="1">
      <alignment horizontal="center" vertical="center"/>
    </xf>
    <xf borderId="0" fillId="15" fontId="27" numFmtId="1" xfId="0" applyAlignment="1" applyFont="1" applyNumberFormat="1">
      <alignment horizontal="center" vertical="center"/>
    </xf>
    <xf borderId="0" fillId="15" fontId="27" numFmtId="181" xfId="0" applyAlignment="1" applyFont="1" applyNumberFormat="1">
      <alignment horizontal="center" vertical="center"/>
    </xf>
    <xf borderId="0" fillId="34" fontId="27" numFmtId="178" xfId="0" applyAlignment="1" applyFont="1" applyNumberFormat="1">
      <alignment horizontal="center" readingOrder="0" vertical="center"/>
    </xf>
    <xf borderId="0" fillId="15" fontId="27" numFmtId="183" xfId="0" applyAlignment="1" applyFont="1" applyNumberFormat="1">
      <alignment horizontal="center" vertical="center"/>
    </xf>
    <xf borderId="0" fillId="15" fontId="27" numFmtId="182" xfId="0" applyAlignment="1" applyFont="1" applyNumberFormat="1">
      <alignment horizontal="center" vertical="center"/>
    </xf>
    <xf borderId="0" fillId="15" fontId="27" numFmtId="184" xfId="0" applyAlignment="1" applyFont="1" applyNumberFormat="1">
      <alignment horizontal="center" vertical="center"/>
    </xf>
    <xf borderId="0" fillId="34" fontId="27" numFmtId="185" xfId="0" applyAlignment="1" applyFont="1" applyNumberForma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0" fillId="23" fontId="27" numFmtId="164" xfId="0" applyAlignment="1" applyFont="1" applyNumberFormat="1">
      <alignment horizontal="center" readingOrder="0" vertical="center"/>
    </xf>
    <xf borderId="0" fillId="23" fontId="27" numFmtId="174" xfId="0" applyAlignment="1" applyFont="1" applyNumberFormat="1">
      <alignment horizontal="center" readingOrder="0" vertical="center"/>
    </xf>
    <xf borderId="0" fillId="23" fontId="27" numFmtId="173" xfId="0" applyAlignment="1" applyFont="1" applyNumberFormat="1">
      <alignment horizontal="center" readingOrder="0" vertical="center"/>
    </xf>
    <xf borderId="0" fillId="7" fontId="27" numFmtId="173" xfId="0" applyAlignment="1" applyFont="1" applyNumberFormat="1">
      <alignment horizontal="center" vertical="center"/>
    </xf>
    <xf borderId="0" fillId="7" fontId="27" numFmtId="0" xfId="0" applyAlignment="1" applyFont="1">
      <alignment horizontal="center" vertical="center"/>
    </xf>
    <xf borderId="0" fillId="23" fontId="27" numFmtId="175" xfId="0" applyAlignment="1" applyFont="1" applyNumberFormat="1">
      <alignment horizontal="center" readingOrder="0" vertical="center"/>
    </xf>
    <xf borderId="0" fillId="31" fontId="33" numFmtId="0" xfId="0" applyAlignment="1" applyFont="1">
      <alignment horizontal="center" readingOrder="0" vertical="center"/>
    </xf>
    <xf borderId="0" fillId="15" fontId="27" numFmtId="2" xfId="0" applyAlignment="1" applyFont="1" applyNumberFormat="1">
      <alignment horizontal="center" readingOrder="0" vertical="center"/>
    </xf>
    <xf borderId="0" fillId="15" fontId="27" numFmtId="186" xfId="0" applyAlignment="1" applyFont="1" applyNumberFormat="1">
      <alignment horizontal="center" vertical="center"/>
    </xf>
    <xf borderId="0" fillId="0" fontId="27" numFmtId="168" xfId="0" applyAlignment="1" applyFont="1" applyNumberFormat="1">
      <alignment horizontal="center" readingOrder="0" vertical="center"/>
    </xf>
    <xf borderId="0" fillId="0" fontId="27" numFmtId="164" xfId="0" applyAlignment="1" applyFont="1" applyNumberFormat="1">
      <alignment horizontal="center" readingOrder="0" vertical="center"/>
    </xf>
    <xf borderId="0" fillId="0" fontId="27" numFmtId="174" xfId="0" applyAlignment="1" applyFont="1" applyNumberFormat="1">
      <alignment horizontal="center" readingOrder="0" vertical="center"/>
    </xf>
    <xf borderId="0" fillId="35" fontId="27" numFmtId="0" xfId="0" applyAlignment="1" applyFont="1">
      <alignment horizontal="center" vertical="center"/>
    </xf>
    <xf borderId="0" fillId="0" fontId="27" numFmtId="168" xfId="0" applyAlignment="1" applyFont="1" applyNumberFormat="1">
      <alignment horizontal="center" vertical="center"/>
    </xf>
    <xf borderId="0" fillId="0" fontId="27" numFmtId="0" xfId="0" applyAlignment="1" applyFont="1">
      <alignment horizontal="center" vertical="center"/>
    </xf>
    <xf borderId="0" fillId="19" fontId="27" numFmtId="168" xfId="0" applyAlignment="1" applyFont="1" applyNumberFormat="1">
      <alignment horizontal="center" vertical="center"/>
    </xf>
    <xf borderId="0" fillId="0" fontId="27" numFmtId="1" xfId="0" applyAlignment="1" applyFont="1" applyNumberFormat="1">
      <alignment horizontal="center" vertical="center"/>
    </xf>
    <xf borderId="0" fillId="0" fontId="27" numFmtId="165" xfId="0" applyAlignment="1" applyFont="1" applyNumberFormat="1">
      <alignment horizontal="center" vertical="center"/>
    </xf>
    <xf borderId="0" fillId="2" fontId="27" numFmtId="167" xfId="0" applyAlignment="1" applyFont="1" applyNumberFormat="1">
      <alignment horizontal="center" readingOrder="0" vertical="center"/>
    </xf>
    <xf borderId="0" fillId="32" fontId="27" numFmtId="168" xfId="0" applyFont="1" applyNumberFormat="1"/>
    <xf borderId="0" fillId="37" fontId="10" numFmtId="168" xfId="0" applyAlignment="1" applyFill="1" applyFont="1" applyNumberFormat="1">
      <alignment horizontal="center"/>
    </xf>
    <xf borderId="0" fillId="26" fontId="27" numFmtId="10" xfId="0" applyAlignment="1" applyFont="1" applyNumberFormat="1">
      <alignment horizontal="center" vertical="center"/>
    </xf>
    <xf borderId="0" fillId="23" fontId="27" numFmtId="0" xfId="0" applyAlignment="1" applyFont="1">
      <alignment horizontal="center" vertical="center"/>
    </xf>
    <xf borderId="0" fillId="0" fontId="7" numFmtId="167" xfId="0" applyAlignment="1" applyFont="1" applyNumberFormat="1">
      <alignment horizontal="center" readingOrder="0" shrinkToFit="0" vertical="center" wrapText="0"/>
    </xf>
    <xf borderId="0" fillId="0" fontId="22" numFmtId="168" xfId="0" applyAlignment="1" applyFont="1" applyNumberFormat="1">
      <alignment horizontal="center" readingOrder="0" shrinkToFit="0" vertical="center" wrapText="0"/>
    </xf>
    <xf borderId="0" fillId="0" fontId="9" numFmtId="168" xfId="0" applyAlignment="1" applyFont="1" applyNumberFormat="1">
      <alignment horizontal="center" readingOrder="0" shrinkToFit="0" vertical="center" wrapText="0"/>
    </xf>
    <xf borderId="0" fillId="0" fontId="27" numFmtId="0" xfId="0" applyAlignment="1" applyFont="1">
      <alignment horizontal="center" readingOrder="0" shrinkToFit="0" vertical="center" wrapText="0"/>
    </xf>
    <xf borderId="0" fillId="2" fontId="7" numFmtId="167" xfId="0" applyAlignment="1" applyFont="1" applyNumberFormat="1">
      <alignment horizontal="center" readingOrder="0" shrinkToFit="0" vertical="center" wrapText="0"/>
    </xf>
    <xf borderId="0" fillId="32" fontId="34" numFmtId="168" xfId="0" applyAlignment="1" applyFont="1" applyNumberFormat="1">
      <alignment horizontal="center" shrinkToFit="0" vertical="center" wrapText="0"/>
    </xf>
    <xf borderId="0" fillId="37" fontId="0" numFmtId="168" xfId="0" applyAlignment="1" applyFont="1" applyNumberFormat="1">
      <alignment shrinkToFit="0" vertical="center" wrapText="0"/>
    </xf>
    <xf borderId="0" fillId="26" fontId="27" numFmtId="10" xfId="0" applyAlignment="1" applyFont="1" applyNumberFormat="1">
      <alignment horizontal="center" shrinkToFit="0" vertical="center" wrapText="0"/>
    </xf>
    <xf borderId="0" fillId="23" fontId="27" numFmtId="168" xfId="0" applyAlignment="1" applyFont="1" applyNumberFormat="1">
      <alignment horizontal="center" shrinkToFit="0" vertical="center" wrapText="0"/>
    </xf>
    <xf borderId="0" fillId="37" fontId="10" numFmtId="168" xfId="0" applyAlignment="1" applyFont="1" applyNumberFormat="1">
      <alignment shrinkToFit="0" vertical="center" wrapText="0"/>
    </xf>
    <xf borderId="0" fillId="37" fontId="10" numFmtId="168" xfId="0" applyAlignment="1" applyFont="1" applyNumberFormat="1">
      <alignment readingOrder="0" shrinkToFit="0" vertical="center" wrapText="0"/>
    </xf>
    <xf borderId="0" fillId="37" fontId="0" numFmtId="168" xfId="0" applyAlignment="1" applyFont="1" applyNumberFormat="1">
      <alignment readingOrder="0" shrinkToFit="0" vertical="center" wrapText="0"/>
    </xf>
    <xf borderId="0" fillId="23" fontId="27" numFmtId="168" xfId="0" applyAlignment="1" applyFont="1" applyNumberFormat="1">
      <alignment horizontal="center" shrinkToFit="0" vertical="center" wrapText="0"/>
    </xf>
    <xf borderId="9" fillId="37" fontId="31" numFmtId="168" xfId="0" applyAlignment="1" applyBorder="1" applyFont="1" applyNumberFormat="1">
      <alignment readingOrder="0" shrinkToFit="0" vertical="center" wrapText="0"/>
    </xf>
    <xf borderId="0" fillId="2" fontId="27" numFmtId="167" xfId="0" applyAlignment="1" applyFont="1" applyNumberFormat="1">
      <alignment horizontal="center" vertical="center"/>
    </xf>
    <xf borderId="0" fillId="5" fontId="27" numFmtId="0" xfId="0" applyAlignment="1" applyFont="1">
      <alignment horizontal="center" vertical="center"/>
    </xf>
    <xf borderId="0" fillId="30" fontId="27" numFmtId="168" xfId="0" applyAlignment="1" applyFont="1" applyNumberFormat="1">
      <alignment horizontal="center" vertical="center"/>
    </xf>
    <xf borderId="0" fillId="20" fontId="27" numFmtId="0" xfId="0" applyAlignment="1" applyFont="1">
      <alignment horizontal="center" vertical="center"/>
    </xf>
    <xf borderId="0" fillId="19" fontId="27" numFmtId="10" xfId="0" applyAlignment="1" applyFont="1" applyNumberFormat="1">
      <alignment horizontal="center" vertical="center"/>
    </xf>
    <xf borderId="0" fillId="0" fontId="27" numFmtId="10" xfId="0" applyAlignment="1" applyFont="1" applyNumberFormat="1">
      <alignment horizontal="center" vertical="center"/>
    </xf>
    <xf borderId="0" fillId="5" fontId="27" numFmtId="0" xfId="0" applyAlignment="1" applyFont="1">
      <alignment horizontal="center" readingOrder="0" vertical="center"/>
    </xf>
    <xf borderId="0" fillId="32" fontId="27" numFmtId="168" xfId="0" applyAlignment="1" applyFont="1" applyNumberFormat="1">
      <alignment horizontal="center" vertical="center"/>
    </xf>
    <xf borderId="0" fillId="30" fontId="27" numFmtId="168" xfId="0" applyAlignment="1" applyFont="1" applyNumberFormat="1">
      <alignment horizontal="center" readingOrder="0" vertical="center"/>
    </xf>
    <xf borderId="0" fillId="20" fontId="27" numFmtId="0" xfId="0" applyAlignment="1" applyFont="1">
      <alignment horizontal="center" readingOrder="0" vertical="center"/>
    </xf>
    <xf borderId="0" fillId="19" fontId="27" numFmtId="10" xfId="0" applyAlignment="1" applyFont="1" applyNumberFormat="1">
      <alignment horizontal="center" readingOrder="0" vertical="center"/>
    </xf>
    <xf borderId="0" fillId="10" fontId="8" numFmtId="0" xfId="0" applyAlignment="1" applyFont="1">
      <alignment horizontal="center" readingOrder="0" vertical="center"/>
    </xf>
    <xf borderId="0" fillId="38" fontId="7" numFmtId="165" xfId="0" applyAlignment="1" applyFill="1" applyFont="1" applyNumberFormat="1">
      <alignment horizontal="center" readingOrder="0" vertical="center"/>
    </xf>
    <xf borderId="0" fillId="24" fontId="7" numFmtId="0" xfId="0" applyAlignment="1" applyFont="1">
      <alignment horizontal="center" readingOrder="0" vertical="center"/>
    </xf>
    <xf borderId="0" fillId="8" fontId="7" numFmtId="168" xfId="0" applyAlignment="1" applyFont="1" applyNumberFormat="1">
      <alignment horizontal="center" readingOrder="0" vertical="center"/>
    </xf>
    <xf borderId="0" fillId="14" fontId="7" numFmtId="168" xfId="0" applyAlignment="1" applyFont="1" applyNumberFormat="1">
      <alignment horizontal="center" readingOrder="0" vertical="center"/>
    </xf>
    <xf borderId="0" fillId="21" fontId="7" numFmtId="0" xfId="0" applyAlignment="1" applyFont="1">
      <alignment horizontal="center" readingOrder="0" vertical="center"/>
    </xf>
    <xf borderId="0" fillId="39" fontId="7" numFmtId="10" xfId="0" applyAlignment="1" applyFill="1" applyFont="1" applyNumberFormat="1">
      <alignment horizontal="center" readingOrder="0" vertical="center"/>
    </xf>
    <xf borderId="0" fillId="13" fontId="7" numFmtId="10" xfId="0" applyAlignment="1" applyFont="1" applyNumberFormat="1">
      <alignment horizontal="center" readingOrder="0" vertical="center"/>
    </xf>
    <xf borderId="0" fillId="13" fontId="27" numFmtId="0" xfId="0" applyAlignment="1" applyFont="1">
      <alignment horizontal="center" readingOrder="0" vertical="center"/>
    </xf>
    <xf borderId="0" fillId="0" fontId="27" numFmtId="178" xfId="0" applyAlignment="1" applyFont="1" applyNumberFormat="1">
      <alignment horizontal="center" readingOrder="0" vertical="center"/>
    </xf>
    <xf borderId="0" fillId="6" fontId="35" numFmtId="168" xfId="0" applyAlignment="1" applyFont="1" applyNumberFormat="1">
      <alignment horizontal="center" readingOrder="0" vertical="center"/>
    </xf>
    <xf borderId="0" fillId="38" fontId="35" numFmtId="182" xfId="0" applyAlignment="1" applyFont="1" applyNumberFormat="1">
      <alignment horizontal="center" readingOrder="0" vertical="center"/>
    </xf>
    <xf borderId="0" fillId="5" fontId="27" numFmtId="167" xfId="0" applyAlignment="1" applyFont="1" applyNumberFormat="1">
      <alignment horizontal="center" vertical="center"/>
    </xf>
    <xf borderId="0" fillId="11" fontId="27" numFmtId="168" xfId="0" applyAlignment="1" applyFont="1" applyNumberFormat="1">
      <alignment horizontal="center" vertical="center"/>
    </xf>
    <xf borderId="0" fillId="20" fontId="27" numFmtId="168" xfId="0" applyAlignment="1" applyFont="1" applyNumberFormat="1">
      <alignment horizontal="center" vertical="center"/>
    </xf>
    <xf borderId="0" fillId="18" fontId="27" numFmtId="10" xfId="0" applyAlignment="1" applyFont="1" applyNumberFormat="1">
      <alignment horizontal="center" vertical="center"/>
    </xf>
    <xf borderId="0" fillId="23" fontId="27" numFmtId="0" xfId="0" applyAlignment="1" applyFont="1">
      <alignment horizontal="center" readingOrder="0" vertical="center"/>
    </xf>
    <xf borderId="0" fillId="23" fontId="27" numFmtId="10" xfId="0" applyAlignment="1" applyFont="1" applyNumberFormat="1">
      <alignment horizontal="center" readingOrder="0" vertical="center"/>
    </xf>
    <xf borderId="0" fillId="23" fontId="27" numFmtId="10" xfId="0" applyAlignment="1" applyFont="1" applyNumberFormat="1">
      <alignment horizontal="center" vertical="center"/>
    </xf>
    <xf borderId="0" fillId="20" fontId="27" numFmtId="165" xfId="0" applyAlignment="1" applyFont="1" applyNumberFormat="1">
      <alignment horizontal="center" vertical="center"/>
    </xf>
    <xf borderId="0" fillId="23" fontId="1" numFmtId="165" xfId="0" applyAlignment="1" applyFont="1" applyNumberFormat="1">
      <alignment horizontal="center" vertical="center"/>
    </xf>
    <xf borderId="0" fillId="23" fontId="1" numFmtId="168" xfId="0" applyAlignment="1" applyFont="1" applyNumberFormat="1">
      <alignment horizontal="center" vertical="center"/>
    </xf>
    <xf borderId="0" fillId="23" fontId="1" numFmtId="165" xfId="0" applyAlignment="1" applyFont="1" applyNumberFormat="1">
      <alignment horizontal="center" readingOrder="0" vertical="center"/>
    </xf>
    <xf borderId="0" fillId="23" fontId="1" numFmtId="168" xfId="0" applyAlignment="1" applyFont="1" applyNumberFormat="1">
      <alignment horizontal="center" readingOrder="0" vertical="center"/>
    </xf>
    <xf borderId="0" fillId="23" fontId="1" numFmtId="164" xfId="0" applyAlignment="1" applyFont="1" applyNumberFormat="1">
      <alignment horizontal="center" vertical="center"/>
    </xf>
    <xf borderId="0" fillId="23" fontId="1" numFmtId="187" xfId="0" applyAlignment="1" applyFont="1" applyNumberFormat="1">
      <alignment horizontal="center" readingOrder="0" vertical="center"/>
    </xf>
    <xf borderId="0" fillId="23" fontId="27" numFmtId="171" xfId="0" applyAlignment="1" applyFont="1" applyNumberFormat="1">
      <alignment horizontal="center" vertical="center"/>
    </xf>
    <xf borderId="0" fillId="23" fontId="27" numFmtId="166" xfId="0" applyAlignment="1" applyFont="1" applyNumberFormat="1">
      <alignment horizontal="center" readingOrder="0" vertical="center"/>
    </xf>
    <xf borderId="0" fillId="23" fontId="27" numFmtId="166" xfId="0" applyAlignment="1" applyFont="1" applyNumberFormat="1">
      <alignment horizontal="center" vertical="center"/>
    </xf>
    <xf borderId="0" fillId="40" fontId="7" numFmtId="0" xfId="0" applyAlignment="1" applyFill="1" applyFont="1">
      <alignment horizontal="center" readingOrder="0" vertical="center"/>
    </xf>
    <xf borderId="0" fillId="5" fontId="27" numFmtId="178" xfId="0" applyAlignment="1" applyFont="1" applyNumberFormat="1">
      <alignment horizontal="center" vertical="center"/>
    </xf>
    <xf borderId="0" fillId="5" fontId="27" numFmtId="185" xfId="0" applyAlignment="1" applyFont="1" applyNumberFormat="1">
      <alignment horizontal="center" vertical="center"/>
    </xf>
    <xf borderId="0" fillId="23" fontId="36" numFmtId="165" xfId="0" applyAlignment="1" applyFont="1" applyNumberFormat="1">
      <alignment horizontal="center" readingOrder="0" vertical="center"/>
    </xf>
    <xf borderId="10" fillId="23" fontId="36" numFmtId="165" xfId="0" applyAlignment="1" applyBorder="1" applyFont="1" applyNumberFormat="1">
      <alignment horizontal="center" readingOrder="0" vertical="center"/>
    </xf>
    <xf borderId="0" fillId="11" fontId="37" numFmtId="165" xfId="0" applyAlignment="1" applyFont="1" applyNumberFormat="1">
      <alignment horizontal="center" readingOrder="0" vertical="center"/>
    </xf>
    <xf borderId="0" fillId="41" fontId="37" numFmtId="165" xfId="0" applyAlignment="1" applyFill="1" applyFont="1" applyNumberFormat="1">
      <alignment horizontal="center" readingOrder="0" vertical="center"/>
    </xf>
    <xf borderId="0" fillId="20" fontId="37" numFmtId="10" xfId="0" applyAlignment="1" applyFont="1" applyNumberFormat="1">
      <alignment horizontal="center" readingOrder="0" vertical="center"/>
    </xf>
    <xf borderId="0" fillId="42" fontId="27" numFmtId="165" xfId="0" applyAlignment="1" applyFill="1" applyFont="1" applyNumberFormat="1">
      <alignment horizontal="center" vertical="center"/>
    </xf>
    <xf borderId="0" fillId="43" fontId="7" numFmtId="165" xfId="0" applyAlignment="1" applyFill="1" applyFont="1" applyNumberFormat="1">
      <alignment horizontal="center" readingOrder="0" vertical="center"/>
    </xf>
    <xf borderId="0" fillId="2" fontId="7" numFmtId="167" xfId="0" applyAlignment="1" applyFont="1" applyNumberFormat="1">
      <alignment horizontal="center" readingOrder="0" vertical="center"/>
    </xf>
    <xf borderId="0" fillId="15" fontId="8" numFmtId="177" xfId="0" applyAlignment="1" applyFont="1" applyNumberFormat="1">
      <alignment horizontal="center" readingOrder="0" vertical="center"/>
    </xf>
    <xf borderId="0" fillId="16" fontId="8" numFmtId="0" xfId="0" applyAlignment="1" applyFont="1">
      <alignment horizontal="center" readingOrder="0" vertical="center"/>
    </xf>
    <xf borderId="0" fillId="17" fontId="8" numFmtId="0" xfId="0" applyAlignment="1" applyFont="1">
      <alignment horizontal="center" readingOrder="0" vertical="center"/>
    </xf>
    <xf borderId="0" fillId="18" fontId="8" numFmtId="0" xfId="0" applyAlignment="1" applyFont="1">
      <alignment horizontal="center" readingOrder="0" vertical="center"/>
    </xf>
    <xf borderId="0" fillId="7" fontId="8" numFmtId="175" xfId="0" applyAlignment="1" applyFont="1" applyNumberFormat="1">
      <alignment horizontal="center" readingOrder="0" vertical="center"/>
    </xf>
    <xf borderId="0" fillId="19" fontId="8" numFmtId="0" xfId="0" applyAlignment="1" applyFont="1">
      <alignment horizontal="center" readingOrder="0" vertical="center"/>
    </xf>
    <xf borderId="10" fillId="11" fontId="3" numFmtId="0" xfId="0" applyAlignment="1" applyBorder="1" applyFont="1">
      <alignment horizontal="center" readingOrder="0" vertical="center"/>
    </xf>
    <xf borderId="0" fillId="43" fontId="10" numFmtId="165" xfId="0" applyAlignment="1" applyFont="1" applyNumberFormat="1">
      <alignment horizontal="center" readingOrder="0" vertical="center"/>
    </xf>
    <xf borderId="0" fillId="44" fontId="10" numFmtId="165" xfId="0" applyAlignment="1" applyFill="1" applyFont="1" applyNumberFormat="1">
      <alignment horizontal="center" readingOrder="0" vertical="center"/>
    </xf>
    <xf borderId="10" fillId="44" fontId="10" numFmtId="165" xfId="0" applyAlignment="1" applyBorder="1" applyFont="1" applyNumberFormat="1">
      <alignment horizontal="center" readingOrder="0" vertical="center"/>
    </xf>
    <xf borderId="0" fillId="41" fontId="7" numFmtId="165" xfId="0" applyAlignment="1" applyFont="1" applyNumberFormat="1">
      <alignment horizontal="center" vertical="center"/>
    </xf>
    <xf borderId="0" fillId="20" fontId="7" numFmtId="10" xfId="0" applyAlignment="1" applyFont="1" applyNumberFormat="1">
      <alignment horizontal="center" vertical="center"/>
    </xf>
    <xf borderId="0" fillId="43" fontId="10" numFmtId="168" xfId="0" applyAlignment="1" applyFont="1" applyNumberFormat="1">
      <alignment horizontal="center" readingOrder="0" vertical="center"/>
    </xf>
    <xf borderId="0" fillId="43" fontId="10" numFmtId="164" xfId="0" applyAlignment="1" applyFont="1" applyNumberFormat="1">
      <alignment horizontal="center" readingOrder="0" vertical="center"/>
    </xf>
    <xf borderId="0" fillId="43" fontId="10" numFmtId="177" xfId="0" applyAlignment="1" applyFont="1" applyNumberFormat="1">
      <alignment horizontal="center" readingOrder="0" vertical="center"/>
    </xf>
    <xf borderId="0" fillId="43" fontId="10" numFmtId="175" xfId="0" applyAlignment="1" applyFont="1" applyNumberFormat="1">
      <alignment horizontal="center" readingOrder="0" vertical="center"/>
    </xf>
    <xf borderId="0" fillId="42" fontId="27" numFmtId="172" xfId="0" applyAlignment="1" applyFont="1" applyNumberFormat="1">
      <alignment horizontal="center" readingOrder="0" vertical="center"/>
    </xf>
    <xf borderId="0" fillId="0" fontId="38" numFmtId="165" xfId="0" applyAlignment="1" applyFont="1" applyNumberFormat="1">
      <alignment horizontal="center" vertical="center"/>
    </xf>
    <xf borderId="0" fillId="42" fontId="27" numFmtId="165" xfId="0" applyAlignment="1" applyFont="1" applyNumberFormat="1">
      <alignment horizontal="center" readingOrder="0" vertical="center"/>
    </xf>
    <xf borderId="0" fillId="0" fontId="27" numFmtId="165" xfId="0" applyAlignment="1" applyFont="1" applyNumberFormat="1">
      <alignment horizontal="center" readingOrder="0" vertical="center"/>
    </xf>
    <xf borderId="0" fillId="0" fontId="10" numFmtId="165" xfId="0" applyAlignment="1" applyFont="1" applyNumberFormat="1">
      <alignment horizontal="center" vertical="center"/>
    </xf>
    <xf borderId="0" fillId="0" fontId="10" numFmtId="168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0" fontId="10" numFmtId="177" xfId="0" applyAlignment="1" applyFont="1" applyNumberFormat="1">
      <alignment horizontal="center" vertical="center"/>
    </xf>
    <xf borderId="0" fillId="0" fontId="10" numFmtId="175" xfId="0" applyAlignment="1" applyFont="1" applyNumberFormat="1">
      <alignment horizontal="center" vertical="center"/>
    </xf>
    <xf borderId="10" fillId="0" fontId="10" numFmtId="164" xfId="0" applyAlignment="1" applyBorder="1" applyFont="1" applyNumberFormat="1">
      <alignment horizontal="center" vertical="center"/>
    </xf>
    <xf borderId="0" fillId="11" fontId="27" numFmtId="165" xfId="0" applyAlignment="1" applyFont="1" applyNumberFormat="1">
      <alignment horizontal="center" vertical="center"/>
    </xf>
    <xf borderId="0" fillId="41" fontId="27" numFmtId="165" xfId="0" applyAlignment="1" applyFont="1" applyNumberFormat="1">
      <alignment horizontal="center" vertical="center"/>
    </xf>
    <xf borderId="0" fillId="20" fontId="27" numFmtId="10" xfId="0" applyAlignment="1" applyFont="1" applyNumberFormat="1">
      <alignment horizontal="center" vertical="center"/>
    </xf>
    <xf borderId="0" fillId="23" fontId="36" numFmtId="10" xfId="0" applyAlignment="1" applyFont="1" applyNumberFormat="1">
      <alignment horizontal="center" readingOrder="0" vertical="center"/>
    </xf>
    <xf borderId="0" fillId="20" fontId="37" numFmtId="0" xfId="0" applyAlignment="1" applyFont="1">
      <alignment horizontal="center" readingOrder="0" vertical="center"/>
    </xf>
    <xf borderId="0" fillId="5" fontId="9" numFmtId="0" xfId="0" applyAlignment="1" applyFont="1">
      <alignment horizontal="center" readingOrder="0" vertical="center"/>
    </xf>
    <xf borderId="0" fillId="6" fontId="9" numFmtId="10" xfId="0" applyAlignment="1" applyFont="1" applyNumberFormat="1">
      <alignment horizontal="center" readingOrder="0" vertical="center"/>
    </xf>
    <xf borderId="0" fillId="7" fontId="9" numFmtId="10" xfId="0" applyAlignment="1" applyFont="1" applyNumberFormat="1">
      <alignment horizontal="center" readingOrder="0" vertical="center"/>
    </xf>
    <xf borderId="0" fillId="8" fontId="9" numFmtId="10" xfId="0" applyAlignment="1" applyFont="1" applyNumberFormat="1">
      <alignment horizontal="center" readingOrder="0" vertical="center"/>
    </xf>
    <xf borderId="0" fillId="9" fontId="9" numFmtId="10" xfId="0" applyAlignment="1" applyFont="1" applyNumberFormat="1">
      <alignment horizontal="center" readingOrder="0" vertical="center"/>
    </xf>
    <xf borderId="0" fillId="13" fontId="9" numFmtId="10" xfId="0" applyAlignment="1" applyFont="1" applyNumberFormat="1">
      <alignment horizontal="center" readingOrder="0" vertical="center"/>
    </xf>
    <xf borderId="0" fillId="14" fontId="8" numFmtId="10" xfId="0" applyAlignment="1" applyFont="1" applyNumberFormat="1">
      <alignment horizontal="center" readingOrder="0" vertical="center"/>
    </xf>
    <xf borderId="0" fillId="10" fontId="8" numFmtId="10" xfId="0" applyAlignment="1" applyFont="1" applyNumberFormat="1">
      <alignment horizontal="center" readingOrder="0" vertical="center"/>
    </xf>
    <xf borderId="0" fillId="15" fontId="8" numFmtId="10" xfId="0" applyAlignment="1" applyFont="1" applyNumberFormat="1">
      <alignment horizontal="center" readingOrder="0" vertical="center"/>
    </xf>
    <xf borderId="0" fillId="16" fontId="8" numFmtId="10" xfId="0" applyAlignment="1" applyFont="1" applyNumberFormat="1">
      <alignment horizontal="center" readingOrder="0" vertical="center"/>
    </xf>
    <xf borderId="0" fillId="17" fontId="8" numFmtId="10" xfId="0" applyAlignment="1" applyFont="1" applyNumberFormat="1">
      <alignment horizontal="center" readingOrder="0" vertical="center"/>
    </xf>
    <xf borderId="0" fillId="18" fontId="8" numFmtId="10" xfId="0" applyAlignment="1" applyFont="1" applyNumberFormat="1">
      <alignment horizontal="center" readingOrder="0" vertical="center"/>
    </xf>
    <xf borderId="0" fillId="7" fontId="8" numFmtId="10" xfId="0" applyAlignment="1" applyFont="1" applyNumberFormat="1">
      <alignment horizontal="center" readingOrder="0" vertical="center"/>
    </xf>
    <xf borderId="0" fillId="19" fontId="8" numFmtId="10" xfId="0" applyAlignment="1" applyFont="1" applyNumberFormat="1">
      <alignment horizontal="center" readingOrder="0" vertical="center"/>
    </xf>
    <xf borderId="0" fillId="20" fontId="6" numFmtId="10" xfId="0" applyAlignment="1" applyFont="1" applyNumberFormat="1">
      <alignment horizontal="center" readingOrder="0" vertical="center"/>
    </xf>
    <xf borderId="0" fillId="21" fontId="6" numFmtId="10" xfId="0" applyAlignment="1" applyFont="1" applyNumberFormat="1">
      <alignment horizontal="center" readingOrder="0" vertical="center"/>
    </xf>
    <xf borderId="0" fillId="22" fontId="6" numFmtId="10" xfId="0" applyAlignment="1" applyFont="1" applyNumberFormat="1">
      <alignment horizontal="center" readingOrder="0" vertical="center"/>
    </xf>
    <xf borderId="10" fillId="11" fontId="3" numFmtId="10" xfId="0" applyAlignment="1" applyBorder="1" applyFont="1" applyNumberFormat="1">
      <alignment horizontal="center" readingOrder="0" vertical="center"/>
    </xf>
    <xf borderId="0" fillId="11" fontId="7" numFmtId="10" xfId="0" applyAlignment="1" applyFont="1" applyNumberFormat="1">
      <alignment horizontal="center" readingOrder="0" vertical="center"/>
    </xf>
    <xf borderId="0" fillId="44" fontId="10" numFmtId="10" xfId="0" applyAlignment="1" applyFont="1" applyNumberFormat="1">
      <alignment horizontal="center" readingOrder="0" vertical="center"/>
    </xf>
    <xf borderId="0" fillId="41" fontId="7" numFmtId="165" xfId="0" applyAlignment="1" applyFont="1" applyNumberFormat="1">
      <alignment horizontal="center" readingOrder="0" vertical="center"/>
    </xf>
    <xf borderId="0" fillId="41" fontId="7" numFmtId="0" xfId="0" applyAlignment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0" fillId="11" fontId="27" numFmtId="10" xfId="0" applyAlignment="1" applyFont="1" applyNumberFormat="1">
      <alignment horizontal="center" vertical="center"/>
    </xf>
    <xf borderId="0" fillId="0" fontId="10" numFmtId="10" xfId="0" applyAlignment="1" applyFont="1" applyNumberFormat="1">
      <alignment horizontal="center" vertical="center"/>
    </xf>
    <xf borderId="10" fillId="0" fontId="10" numFmtId="10" xfId="0" applyAlignment="1" applyBorder="1" applyFont="1" applyNumberFormat="1">
      <alignment horizontal="center" vertical="center"/>
    </xf>
    <xf borderId="0" fillId="0" fontId="27" numFmtId="10" xfId="0" applyFont="1" applyNumberFormat="1"/>
    <xf borderId="0" fillId="24" fontId="7" numFmtId="0" xfId="0" applyAlignment="1" applyFont="1">
      <alignment horizontal="center" vertical="center"/>
    </xf>
    <xf borderId="0" fillId="24" fontId="39" numFmtId="184" xfId="0" applyAlignment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0" fillId="26" fontId="7" numFmtId="184" xfId="0" applyAlignment="1" applyFont="1" applyNumberFormat="1">
      <alignment horizontal="center" readingOrder="0" vertical="center"/>
    </xf>
    <xf borderId="0" fillId="6" fontId="7" numFmtId="184" xfId="0" applyAlignment="1" applyFont="1" applyNumberFormat="1">
      <alignment horizontal="center" readingOrder="0" vertical="center"/>
    </xf>
    <xf borderId="0" fillId="7" fontId="7" numFmtId="0" xfId="0" applyAlignment="1" applyFont="1">
      <alignment horizontal="center" readingOrder="0" vertical="center"/>
    </xf>
    <xf borderId="0" fillId="8" fontId="8" numFmtId="0" xfId="0" applyAlignment="1" applyFont="1">
      <alignment horizontal="center" readingOrder="0" vertical="center"/>
    </xf>
    <xf borderId="0" fillId="9" fontId="7" numFmtId="181" xfId="0" applyAlignment="1" applyFont="1" applyNumberFormat="1">
      <alignment horizontal="center" readingOrder="0" vertical="center"/>
    </xf>
    <xf borderId="0" fillId="13" fontId="7" numFmtId="182" xfId="0" applyAlignment="1" applyFont="1" applyNumberFormat="1">
      <alignment horizontal="center" readingOrder="0" vertical="center"/>
    </xf>
    <xf borderId="0" fillId="10" fontId="8" numFmtId="182" xfId="0" applyAlignment="1" applyFont="1" applyNumberFormat="1">
      <alignment horizontal="center" readingOrder="0" vertical="center"/>
    </xf>
    <xf borderId="0" fillId="18" fontId="8" numFmtId="2" xfId="0" applyAlignment="1" applyFont="1" applyNumberFormat="1">
      <alignment horizontal="center" readingOrder="0"/>
    </xf>
    <xf borderId="0" fillId="31" fontId="7" numFmtId="0" xfId="0" applyAlignment="1" applyFont="1">
      <alignment horizontal="center" vertical="center"/>
    </xf>
    <xf borderId="11" fillId="45" fontId="7" numFmtId="0" xfId="0" applyAlignment="1" applyBorder="1" applyFill="1" applyFont="1">
      <alignment horizontal="center" readingOrder="0" vertical="center"/>
    </xf>
    <xf borderId="12" fillId="0" fontId="40" numFmtId="0" xfId="0" applyBorder="1" applyFont="1"/>
    <xf borderId="13" fillId="0" fontId="40" numFmtId="0" xfId="0" applyBorder="1" applyFont="1"/>
    <xf borderId="0" fillId="31" fontId="7" numFmtId="0" xfId="0" applyAlignment="1" applyFont="1">
      <alignment horizontal="center" readingOrder="0" vertical="center"/>
    </xf>
    <xf borderId="0" fillId="5" fontId="35" numFmtId="167" xfId="0" applyAlignment="1" applyFont="1" applyNumberFormat="1">
      <alignment horizontal="center" readingOrder="0" vertical="center"/>
    </xf>
    <xf borderId="0" fillId="19" fontId="35" numFmtId="184" xfId="0" applyAlignment="1" applyFont="1" applyNumberFormat="1">
      <alignment horizontal="center" readingOrder="0" vertical="center"/>
    </xf>
    <xf borderId="0" fillId="19" fontId="35" numFmtId="180" xfId="0" applyAlignment="1" applyFont="1" applyNumberFormat="1">
      <alignment horizontal="center" readingOrder="0" vertical="center"/>
    </xf>
    <xf borderId="0" fillId="19" fontId="35" numFmtId="181" xfId="0" applyAlignment="1" applyFont="1" applyNumberFormat="1">
      <alignment horizontal="center" readingOrder="0" vertical="center"/>
    </xf>
    <xf borderId="0" fillId="19" fontId="35" numFmtId="182" xfId="0" applyAlignment="1" applyFont="1" applyNumberFormat="1">
      <alignment horizontal="center" readingOrder="0" vertical="center"/>
    </xf>
    <xf borderId="0" fillId="19" fontId="35" numFmtId="2" xfId="0" applyAlignment="1" applyFont="1" applyNumberFormat="1">
      <alignment horizontal="center" readingOrder="0" vertical="center"/>
    </xf>
    <xf borderId="0" fillId="24" fontId="8" numFmtId="0" xfId="0" applyAlignment="1" applyFont="1">
      <alignment horizontal="center" readingOrder="0" vertical="center"/>
    </xf>
    <xf borderId="14" fillId="5" fontId="41" numFmtId="0" xfId="0" applyAlignment="1" applyBorder="1" applyFont="1">
      <alignment horizontal="center" readingOrder="0" vertical="center"/>
    </xf>
    <xf borderId="15" fillId="5" fontId="7" numFmtId="0" xfId="0" applyAlignment="1" applyBorder="1" applyFont="1">
      <alignment horizontal="center" readingOrder="0" vertical="center"/>
    </xf>
    <xf borderId="0" fillId="46" fontId="35" numFmtId="184" xfId="0" applyAlignment="1" applyFill="1" applyFont="1" applyNumberFormat="1">
      <alignment horizontal="center" readingOrder="0" vertical="center"/>
    </xf>
    <xf borderId="0" fillId="31" fontId="35" numFmtId="184" xfId="0" applyAlignment="1" applyFont="1" applyNumberFormat="1">
      <alignment horizontal="center" readingOrder="0" vertical="center"/>
    </xf>
    <xf borderId="0" fillId="31" fontId="35" numFmtId="2" xfId="0" applyAlignment="1" applyFont="1" applyNumberFormat="1">
      <alignment horizontal="center" readingOrder="0" vertical="center"/>
    </xf>
    <xf borderId="0" fillId="31" fontId="35" numFmtId="181" xfId="0" applyAlignment="1" applyFont="1" applyNumberFormat="1">
      <alignment horizontal="center" readingOrder="0" vertical="center"/>
    </xf>
    <xf borderId="0" fillId="31" fontId="35" numFmtId="182" xfId="0" applyAlignment="1" applyFont="1" applyNumberFormat="1">
      <alignment horizontal="center" readingOrder="0" vertical="center"/>
    </xf>
    <xf borderId="14" fillId="15" fontId="7" numFmtId="0" xfId="0" applyAlignment="1" applyBorder="1" applyFon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borderId="15" fillId="16" fontId="7" numFmtId="168" xfId="0" applyAlignment="1" applyBorder="1" applyFont="1" applyNumberFormat="1">
      <alignment horizontal="center" vertical="center"/>
    </xf>
    <xf borderId="14" fillId="2" fontId="7" numFmtId="0" xfId="0" applyAlignment="1" applyBorder="1" applyFont="1">
      <alignment horizontal="center" readingOrder="0" vertical="center"/>
    </xf>
    <xf borderId="0" fillId="46" fontId="35" numFmtId="2" xfId="0" applyAlignment="1" applyFont="1" applyNumberFormat="1">
      <alignment horizontal="center" readingOrder="0" vertical="center"/>
    </xf>
    <xf borderId="14" fillId="7" fontId="7" numFmtId="0" xfId="0" applyAlignment="1" applyBorder="1" applyFont="1">
      <alignment horizontal="center" readingOrder="0" vertical="center"/>
    </xf>
    <xf borderId="0" fillId="46" fontId="35" numFmtId="181" xfId="0" applyAlignment="1" applyFont="1" applyNumberFormat="1">
      <alignment horizontal="center" readingOrder="0" vertical="center"/>
    </xf>
    <xf borderId="16" fillId="47" fontId="7" numFmtId="0" xfId="0" applyAlignment="1" applyBorder="1" applyFill="1" applyFont="1">
      <alignment horizontal="center" readingOrder="0" vertical="center"/>
    </xf>
    <xf borderId="17" fillId="16" fontId="7" numFmtId="0" xfId="0" applyAlignment="1" applyBorder="1" applyFont="1">
      <alignment horizontal="center" readingOrder="0" vertical="center"/>
    </xf>
    <xf borderId="18" fillId="16" fontId="7" numFmtId="168" xfId="0" applyAlignment="1" applyBorder="1" applyFont="1" applyNumberFormat="1">
      <alignment horizontal="center" vertical="center"/>
    </xf>
    <xf borderId="0" fillId="46" fontId="35" numFmtId="182" xfId="0" applyAlignment="1" applyFont="1" applyNumberFormat="1">
      <alignment horizontal="center" readingOrder="0" vertical="center"/>
    </xf>
    <xf borderId="0" fillId="31" fontId="42" numFmtId="0" xfId="0" applyAlignment="1" applyFont="1">
      <alignment horizontal="center" vertical="center"/>
    </xf>
    <xf borderId="0" fillId="16" fontId="35" numFmtId="181" xfId="0" applyAlignment="1" applyFont="1" applyNumberFormat="1">
      <alignment horizontal="center" readingOrder="0" vertical="center"/>
    </xf>
    <xf borderId="0" fillId="16" fontId="35" numFmtId="2" xfId="0" applyAlignment="1" applyFont="1" applyNumberFormat="1">
      <alignment horizontal="center" readingOrder="0" vertical="center"/>
    </xf>
    <xf borderId="0" fillId="16" fontId="35" numFmtId="184" xfId="0" applyAlignment="1" applyFont="1" applyNumberFormat="1">
      <alignment horizontal="center" readingOrder="0" vertical="center"/>
    </xf>
    <xf borderId="0" fillId="16" fontId="35" numFmtId="182" xfId="0" applyAlignment="1" applyFont="1" applyNumberFormat="1">
      <alignment horizontal="center" readingOrder="0" vertical="center"/>
    </xf>
    <xf borderId="0" fillId="2" fontId="35" numFmtId="184" xfId="0" applyAlignment="1" applyFont="1" applyNumberFormat="1">
      <alignment horizontal="center" readingOrder="0" vertical="center"/>
    </xf>
    <xf borderId="0" fillId="31" fontId="35" numFmtId="186" xfId="0" applyAlignment="1" applyFont="1" applyNumberFormat="1">
      <alignment horizontal="center" readingOrder="0" vertical="center"/>
    </xf>
    <xf borderId="0" fillId="46" fontId="35" numFmtId="186" xfId="0" applyAlignment="1" applyFont="1" applyNumberFormat="1">
      <alignment horizontal="center" readingOrder="0" vertical="center"/>
    </xf>
    <xf borderId="0" fillId="48" fontId="35" numFmtId="182" xfId="0" applyAlignment="1" applyFill="1" applyFont="1" applyNumberFormat="1">
      <alignment horizontal="center" readingOrder="0" vertical="center"/>
    </xf>
    <xf borderId="0" fillId="5" fontId="7" numFmtId="0" xfId="0" applyAlignment="1" applyFont="1">
      <alignment horizontal="center" vertical="center"/>
    </xf>
    <xf borderId="0" fillId="31" fontId="7" numFmtId="184" xfId="0" applyAlignment="1" applyFont="1" applyNumberFormat="1">
      <alignment horizontal="center" vertical="center"/>
    </xf>
    <xf borderId="0" fillId="31" fontId="7" numFmtId="180" xfId="0" applyAlignment="1" applyFont="1" applyNumberFormat="1">
      <alignment horizontal="center" vertical="center"/>
    </xf>
    <xf borderId="0" fillId="31" fontId="7" numFmtId="181" xfId="0" applyAlignment="1" applyFont="1" applyNumberFormat="1">
      <alignment horizontal="center" vertical="center"/>
    </xf>
    <xf borderId="0" fillId="31" fontId="7" numFmtId="182" xfId="0" applyAlignment="1" applyFont="1" applyNumberFormat="1">
      <alignment horizontal="center" vertical="center"/>
    </xf>
    <xf borderId="0" fillId="31" fontId="7" numFmtId="2" xfId="0" applyAlignment="1" applyFont="1" applyNumberFormat="1">
      <alignment horizontal="center" vertical="center"/>
    </xf>
    <xf borderId="0" fillId="46" fontId="27" numFmtId="167" xfId="0" applyAlignment="1" applyFont="1" applyNumberFormat="1">
      <alignment horizontal="center" readingOrder="0" vertical="center"/>
    </xf>
    <xf borderId="0" fillId="21" fontId="36" numFmtId="165" xfId="0" applyAlignment="1" applyFont="1" applyNumberFormat="1">
      <alignment horizontal="center" readingOrder="0" vertical="center"/>
    </xf>
    <xf borderId="0" fillId="21" fontId="36" numFmtId="173" xfId="0" applyAlignment="1" applyFont="1" applyNumberFormat="1">
      <alignment horizontal="center" readingOrder="0" vertical="center"/>
    </xf>
    <xf borderId="0" fillId="47" fontId="37" numFmtId="165" xfId="0" applyAlignment="1" applyFont="1" applyNumberFormat="1">
      <alignment horizontal="center" readingOrder="0" vertical="center"/>
    </xf>
    <xf borderId="0" fillId="46" fontId="7" numFmtId="167" xfId="0" applyAlignment="1" applyFont="1" applyNumberFormat="1">
      <alignment horizontal="center" readingOrder="0" vertical="center"/>
    </xf>
    <xf borderId="0" fillId="15" fontId="8" numFmtId="187" xfId="0" applyAlignment="1" applyFont="1" applyNumberFormat="1">
      <alignment horizontal="center" readingOrder="0" vertical="center"/>
    </xf>
    <xf borderId="0" fillId="21" fontId="6" numFmtId="173" xfId="0" applyAlignment="1" applyFont="1" applyNumberFormat="1">
      <alignment horizontal="center" readingOrder="0" vertical="center"/>
    </xf>
    <xf borderId="0" fillId="23" fontId="10" numFmtId="168" xfId="0" applyAlignment="1" applyFont="1" applyNumberFormat="1">
      <alignment horizontal="center" readingOrder="0" vertical="center"/>
    </xf>
    <xf borderId="0" fillId="23" fontId="10" numFmtId="164" xfId="0" applyAlignment="1" applyFont="1" applyNumberFormat="1">
      <alignment horizontal="center" readingOrder="0" vertical="center"/>
    </xf>
    <xf borderId="0" fillId="23" fontId="10" numFmtId="187" xfId="0" applyAlignment="1" applyFont="1" applyNumberFormat="1">
      <alignment horizontal="center" readingOrder="0" vertical="center"/>
    </xf>
    <xf borderId="0" fillId="23" fontId="10" numFmtId="175" xfId="0" applyAlignment="1" applyFont="1" applyNumberFormat="1">
      <alignment horizontal="center" readingOrder="0" vertical="center"/>
    </xf>
    <xf borderId="0" fillId="23" fontId="10" numFmtId="173" xfId="0" applyAlignment="1" applyFont="1" applyNumberFormat="1">
      <alignment horizontal="center" readingOrder="0" vertical="center"/>
    </xf>
    <xf borderId="0" fillId="47" fontId="7" numFmtId="165" xfId="0" applyAlignment="1" applyFont="1" applyNumberFormat="1">
      <alignment horizontal="center" vertical="center"/>
    </xf>
    <xf borderId="0" fillId="23" fontId="43" numFmtId="165" xfId="0" applyAlignment="1" applyFont="1" applyNumberFormat="1">
      <alignment horizontal="center" readingOrder="0" shrinkToFit="0" wrapText="0"/>
    </xf>
    <xf borderId="0" fillId="23" fontId="43" numFmtId="168" xfId="0" applyAlignment="1" applyFont="1" applyNumberFormat="1">
      <alignment horizontal="center" readingOrder="0" shrinkToFit="0" wrapText="0"/>
    </xf>
    <xf borderId="0" fillId="23" fontId="43" numFmtId="164" xfId="0" applyAlignment="1" applyFont="1" applyNumberFormat="1">
      <alignment horizontal="center" readingOrder="0" shrinkToFit="0" wrapText="0"/>
    </xf>
    <xf borderId="0" fillId="23" fontId="43" numFmtId="175" xfId="0" applyAlignment="1" applyFont="1" applyNumberFormat="1">
      <alignment horizontal="center" readingOrder="0" shrinkToFit="0" wrapText="0"/>
    </xf>
    <xf borderId="0" fillId="23" fontId="10" numFmtId="168" xfId="0" applyAlignment="1" applyFont="1" applyNumberFormat="1">
      <alignment horizontal="center" readingOrder="0" vertical="center"/>
    </xf>
    <xf borderId="0" fillId="23" fontId="1" numFmtId="164" xfId="0" applyAlignment="1" applyFont="1" applyNumberFormat="1">
      <alignment horizontal="center" readingOrder="0" vertical="center"/>
    </xf>
    <xf borderId="0" fillId="23" fontId="10" numFmtId="165" xfId="0" applyAlignment="1" applyFont="1" applyNumberFormat="1">
      <alignment horizontal="center" vertical="center"/>
    </xf>
    <xf borderId="0" fillId="23" fontId="10" numFmtId="168" xfId="0" applyAlignment="1" applyFont="1" applyNumberFormat="1">
      <alignment horizontal="center" vertical="center"/>
    </xf>
    <xf borderId="0" fillId="23" fontId="10" numFmtId="164" xfId="0" applyAlignment="1" applyFont="1" applyNumberFormat="1">
      <alignment horizontal="center" vertical="center"/>
    </xf>
    <xf borderId="0" fillId="23" fontId="10" numFmtId="187" xfId="0" applyAlignment="1" applyFont="1" applyNumberFormat="1">
      <alignment horizontal="center" vertical="center"/>
    </xf>
    <xf borderId="0" fillId="23" fontId="10" numFmtId="175" xfId="0" applyAlignment="1" applyFont="1" applyNumberFormat="1">
      <alignment horizontal="center" vertical="center"/>
    </xf>
    <xf borderId="0" fillId="23" fontId="10" numFmtId="173" xfId="0" applyAlignment="1" applyFont="1" applyNumberFormat="1">
      <alignment horizontal="center" vertical="center"/>
    </xf>
    <xf borderId="0" fillId="46" fontId="27" numFmtId="167" xfId="0" applyAlignment="1" applyFont="1" applyNumberFormat="1">
      <alignment horizontal="center" vertical="center"/>
    </xf>
    <xf borderId="0" fillId="0" fontId="10" numFmtId="187" xfId="0" applyAlignment="1" applyFont="1" applyNumberFormat="1">
      <alignment horizontal="center" vertical="center"/>
    </xf>
    <xf borderId="0" fillId="0" fontId="10" numFmtId="173" xfId="0" applyAlignment="1" applyFont="1" applyNumberFormat="1">
      <alignment horizontal="center" vertical="center"/>
    </xf>
    <xf borderId="0" fillId="47" fontId="27" numFmtId="165" xfId="0" applyAlignment="1" applyFont="1" applyNumberFormat="1">
      <alignment horizontal="center" vertical="center"/>
    </xf>
    <xf borderId="0" fillId="22" fontId="1" numFmtId="1" xfId="0" applyFont="1" applyNumberFormat="1"/>
    <xf borderId="0" fillId="40" fontId="44" numFmtId="1" xfId="0" applyAlignment="1" applyFont="1" applyNumberFormat="1">
      <alignment horizontal="center"/>
    </xf>
    <xf borderId="0" fillId="4" fontId="45" numFmtId="1" xfId="0" applyAlignment="1" applyFont="1" applyNumberFormat="1">
      <alignment horizontal="center"/>
    </xf>
    <xf borderId="0" fillId="25" fontId="3" numFmtId="1" xfId="0" applyAlignment="1" applyFont="1" applyNumberFormat="1">
      <alignment horizontal="center"/>
    </xf>
    <xf borderId="0" fillId="25" fontId="46" numFmtId="166" xfId="0" applyAlignment="1" applyFont="1" applyNumberFormat="1">
      <alignment horizontal="center"/>
    </xf>
    <xf borderId="0" fillId="25" fontId="47" numFmtId="1" xfId="0" applyAlignment="1" applyFont="1" applyNumberFormat="1">
      <alignment horizontal="center"/>
    </xf>
    <xf borderId="0" fillId="8" fontId="45" numFmtId="1" xfId="0" applyAlignment="1" applyFont="1" applyNumberFormat="1">
      <alignment horizontal="center" readingOrder="0"/>
    </xf>
    <xf borderId="0" fillId="6" fontId="1" numFmtId="165" xfId="0" applyAlignment="1" applyFont="1" applyNumberFormat="1">
      <alignment horizontal="center"/>
    </xf>
    <xf borderId="0" fillId="6" fontId="1" numFmtId="9" xfId="0" applyAlignment="1" applyFont="1" applyNumberFormat="1">
      <alignment horizontal="center" readingOrder="0"/>
    </xf>
    <xf borderId="0" fillId="6" fontId="1" numFmtId="168" xfId="0" applyAlignment="1" applyFont="1" applyNumberFormat="1">
      <alignment horizontal="center"/>
    </xf>
    <xf borderId="0" fillId="6" fontId="1" numFmtId="9" xfId="0" applyAlignment="1" applyFont="1" applyNumberFormat="1">
      <alignment horizontal="center"/>
    </xf>
    <xf borderId="0" fillId="25" fontId="47" numFmtId="0" xfId="0" applyAlignment="1" applyFont="1">
      <alignment horizontal="center"/>
    </xf>
    <xf borderId="0" fillId="6" fontId="1" numFmtId="165" xfId="0" applyAlignment="1" applyFont="1" applyNumberFormat="1">
      <alignment horizontal="center" readingOrder="0"/>
    </xf>
    <xf borderId="0" fillId="23" fontId="1" numFmtId="9" xfId="0" applyAlignment="1" applyFont="1" applyNumberFormat="1">
      <alignment horizontal="center"/>
    </xf>
    <xf borderId="0" fillId="23" fontId="1" numFmtId="168" xfId="0" applyAlignment="1" applyFont="1" applyNumberFormat="1">
      <alignment horizontal="center"/>
    </xf>
    <xf borderId="11" fillId="7" fontId="45" numFmtId="1" xfId="0" applyAlignment="1" applyBorder="1" applyFont="1" applyNumberFormat="1">
      <alignment horizontal="center" readingOrder="0" vertical="center"/>
    </xf>
    <xf borderId="0" fillId="10" fontId="1" numFmtId="165" xfId="0" applyAlignment="1" applyFont="1" applyNumberFormat="1">
      <alignment horizontal="center"/>
    </xf>
    <xf borderId="0" fillId="10" fontId="1" numFmtId="9" xfId="0" applyAlignment="1" applyFont="1" applyNumberFormat="1">
      <alignment horizontal="center"/>
    </xf>
    <xf borderId="0" fillId="10" fontId="1" numFmtId="168" xfId="0" applyAlignment="1" applyFont="1" applyNumberFormat="1">
      <alignment horizontal="center"/>
    </xf>
    <xf borderId="0" fillId="3" fontId="1" numFmtId="9" xfId="0" applyAlignment="1" applyFont="1" applyNumberFormat="1">
      <alignment horizontal="center"/>
    </xf>
    <xf borderId="0" fillId="3" fontId="1" numFmtId="168" xfId="0" applyAlignment="1" applyFont="1" applyNumberFormat="1">
      <alignment horizontal="center"/>
    </xf>
    <xf borderId="0" fillId="10" fontId="1" numFmtId="165" xfId="0" applyAlignment="1" applyFont="1" applyNumberFormat="1">
      <alignment horizontal="center" readingOrder="0"/>
    </xf>
    <xf borderId="14" fillId="0" fontId="40" numFmtId="0" xfId="0" applyBorder="1" applyFont="1"/>
    <xf borderId="14" fillId="31" fontId="3" numFmtId="1" xfId="0" applyAlignment="1" applyBorder="1" applyFont="1" applyNumberFormat="1">
      <alignment horizontal="center" readingOrder="0" vertical="center"/>
    </xf>
    <xf borderId="0" fillId="6" fontId="1" numFmtId="165" xfId="0" applyAlignment="1" applyFont="1" applyNumberFormat="1">
      <alignment horizontal="center" readingOrder="0" vertical="center"/>
    </xf>
    <xf borderId="0" fillId="6" fontId="1" numFmtId="165" xfId="0" applyAlignment="1" applyFont="1" applyNumberFormat="1">
      <alignment horizontal="center" vertical="center"/>
    </xf>
    <xf borderId="0" fillId="10" fontId="1" numFmtId="165" xfId="0" applyAlignment="1" applyFont="1" applyNumberFormat="1">
      <alignment horizontal="center" vertical="center"/>
    </xf>
    <xf borderId="0" fillId="15" fontId="1" numFmtId="165" xfId="0" applyAlignment="1" applyFont="1" applyNumberFormat="1">
      <alignment horizontal="center" vertical="center"/>
    </xf>
    <xf borderId="15" fillId="15" fontId="1" numFmtId="165" xfId="0" applyAlignment="1" applyBorder="1" applyFont="1" applyNumberFormat="1">
      <alignment horizontal="center" vertical="center"/>
    </xf>
    <xf borderId="0" fillId="15" fontId="1" numFmtId="165" xfId="0" applyAlignment="1" applyFont="1" applyNumberFormat="1">
      <alignment horizontal="center"/>
    </xf>
    <xf borderId="0" fillId="15" fontId="1" numFmtId="9" xfId="0" applyAlignment="1" applyFont="1" applyNumberFormat="1">
      <alignment horizontal="center"/>
    </xf>
    <xf borderId="0" fillId="15" fontId="1" numFmtId="168" xfId="0" applyAlignment="1" applyFont="1" applyNumberFormat="1">
      <alignment horizontal="center"/>
    </xf>
    <xf borderId="0" fillId="32" fontId="1" numFmtId="9" xfId="0" applyAlignment="1" applyFont="1" applyNumberFormat="1">
      <alignment horizontal="center"/>
    </xf>
    <xf borderId="0" fillId="32" fontId="1" numFmtId="168" xfId="0" applyAlignment="1" applyFont="1" applyNumberFormat="1">
      <alignment horizontal="center"/>
    </xf>
    <xf borderId="0" fillId="15" fontId="1" numFmtId="165" xfId="0" applyAlignment="1" applyFont="1" applyNumberFormat="1">
      <alignment horizontal="center" readingOrder="0"/>
    </xf>
    <xf borderId="14" fillId="31" fontId="3" numFmtId="1" xfId="0" applyAlignment="1" applyBorder="1" applyFont="1" applyNumberFormat="1">
      <alignment horizontal="center" vertical="center"/>
    </xf>
    <xf borderId="0" fillId="6" fontId="1" numFmtId="1" xfId="0" applyAlignment="1" applyFont="1" applyNumberFormat="1">
      <alignment horizontal="center" vertical="center"/>
    </xf>
    <xf borderId="0" fillId="6" fontId="1" numFmtId="0" xfId="0" applyAlignment="1" applyFont="1">
      <alignment horizontal="center" readingOrder="0" vertical="center"/>
    </xf>
    <xf borderId="0" fillId="6" fontId="1" numFmtId="9" xfId="0" applyAlignment="1" applyFont="1" applyNumberFormat="1">
      <alignment horizontal="center" readingOrder="0" vertical="center"/>
    </xf>
    <xf borderId="0" fillId="10" fontId="1" numFmtId="9" xfId="0" applyAlignment="1" applyFont="1" applyNumberFormat="1">
      <alignment horizontal="center" readingOrder="0" vertical="center"/>
    </xf>
    <xf borderId="0" fillId="10" fontId="1" numFmtId="9" xfId="0" applyAlignment="1" applyFont="1" applyNumberFormat="1">
      <alignment horizontal="center" vertical="center"/>
    </xf>
    <xf borderId="0" fillId="15" fontId="1" numFmtId="9" xfId="0" applyAlignment="1" applyFont="1" applyNumberFormat="1">
      <alignment horizontal="center" vertical="center"/>
    </xf>
    <xf borderId="15" fillId="15" fontId="1" numFmtId="9" xfId="0" applyAlignment="1" applyBorder="1" applyFont="1" applyNumberFormat="1">
      <alignment horizontal="center" vertical="center"/>
    </xf>
    <xf borderId="0" fillId="21" fontId="45" numFmtId="1" xfId="0" applyAlignment="1" applyFont="1" applyNumberFormat="1">
      <alignment horizontal="center"/>
    </xf>
    <xf borderId="0" fillId="25" fontId="3" numFmtId="168" xfId="0" applyAlignment="1" applyFont="1" applyNumberFormat="1">
      <alignment horizontal="center"/>
    </xf>
    <xf borderId="0" fillId="9" fontId="45" numFmtId="1" xfId="0" applyAlignment="1" applyFont="1" applyNumberFormat="1">
      <alignment horizontal="center" readingOrder="0"/>
    </xf>
    <xf borderId="0" fillId="6" fontId="1" numFmtId="168" xfId="0" applyAlignment="1" applyFont="1" applyNumberFormat="1">
      <alignment horizontal="center" vertical="center"/>
    </xf>
    <xf borderId="0" fillId="10" fontId="1" numFmtId="168" xfId="0" applyAlignment="1" applyFont="1" applyNumberFormat="1">
      <alignment horizontal="center" vertical="center"/>
    </xf>
    <xf borderId="0" fillId="15" fontId="1" numFmtId="168" xfId="0" applyAlignment="1" applyFont="1" applyNumberFormat="1">
      <alignment horizontal="center" vertical="center"/>
    </xf>
    <xf borderId="15" fillId="15" fontId="1" numFmtId="168" xfId="0" applyAlignment="1" applyBorder="1" applyFont="1" applyNumberFormat="1">
      <alignment horizontal="center" vertical="center"/>
    </xf>
    <xf borderId="0" fillId="6" fontId="1" numFmtId="1" xfId="0" applyAlignment="1" applyFont="1" applyNumberFormat="1">
      <alignment horizontal="center"/>
    </xf>
    <xf borderId="0" fillId="6" fontId="1" numFmtId="9" xfId="0" applyAlignment="1" applyFont="1" applyNumberFormat="1">
      <alignment horizontal="center" vertical="center"/>
    </xf>
    <xf borderId="0" fillId="23" fontId="1" numFmtId="9" xfId="0" applyAlignment="1" applyFont="1" applyNumberFormat="1">
      <alignment horizontal="center" vertical="center"/>
    </xf>
    <xf borderId="0" fillId="3" fontId="1" numFmtId="9" xfId="0" applyAlignment="1" applyFont="1" applyNumberFormat="1">
      <alignment horizontal="center" vertical="center"/>
    </xf>
    <xf borderId="0" fillId="32" fontId="1" numFmtId="9" xfId="0" applyAlignment="1" applyFont="1" applyNumberFormat="1">
      <alignment horizontal="center" vertical="center"/>
    </xf>
    <xf borderId="15" fillId="32" fontId="1" numFmtId="9" xfId="0" applyAlignment="1" applyBorder="1" applyFont="1" applyNumberFormat="1">
      <alignment horizontal="center" vertical="center"/>
    </xf>
    <xf borderId="0" fillId="22" fontId="8" numFmtId="0" xfId="0" applyAlignment="1" applyFont="1">
      <alignment horizontal="center" readingOrder="0"/>
    </xf>
    <xf borderId="0" fillId="6" fontId="1" numFmtId="168" xfId="0" applyAlignment="1" applyFont="1" applyNumberFormat="1">
      <alignment horizontal="center" readingOrder="0"/>
    </xf>
    <xf borderId="16" fillId="31" fontId="3" numFmtId="1" xfId="0" applyAlignment="1" applyBorder="1" applyFont="1" applyNumberFormat="1">
      <alignment horizontal="center" vertical="center"/>
    </xf>
    <xf borderId="17" fillId="16" fontId="3" numFmtId="0" xfId="0" applyAlignment="1" applyBorder="1" applyFont="1">
      <alignment horizontal="center" vertical="center"/>
    </xf>
    <xf borderId="18" fillId="16" fontId="3" numFmtId="0" xfId="0" applyAlignment="1" applyBorder="1" applyFont="1">
      <alignment horizontal="center" vertical="center"/>
    </xf>
    <xf borderId="16" fillId="22" fontId="3" numFmtId="1" xfId="0" applyAlignment="1" applyBorder="1" applyFont="1" applyNumberFormat="1">
      <alignment horizontal="center" vertical="center"/>
    </xf>
    <xf borderId="17" fillId="22" fontId="3" numFmtId="1" xfId="0" applyAlignment="1" applyBorder="1" applyFont="1" applyNumberFormat="1">
      <alignment horizontal="center" vertical="center"/>
    </xf>
    <xf borderId="18" fillId="22" fontId="3" numFmtId="1" xfId="0" applyAlignment="1" applyBorder="1" applyFont="1" applyNumberFormat="1">
      <alignment horizontal="center" vertical="center"/>
    </xf>
    <xf borderId="0" fillId="10" fontId="1" numFmtId="168" xfId="0" applyAlignment="1" applyFont="1" applyNumberFormat="1">
      <alignment horizontal="center" readingOrder="0"/>
    </xf>
    <xf borderId="0" fillId="15" fontId="1" numFmtId="168" xfId="0" applyAlignment="1" applyFont="1" applyNumberFormat="1">
      <alignment horizontal="center" readingOrder="0"/>
    </xf>
    <xf borderId="0" fillId="14" fontId="45" numFmtId="1" xfId="0" applyAlignment="1" applyFont="1" applyNumberFormat="1">
      <alignment horizontal="center" readingOrder="0"/>
    </xf>
    <xf borderId="0" fillId="46" fontId="45" numFmtId="1" xfId="0" applyAlignment="1" applyFont="1" applyNumberFormat="1">
      <alignment horizontal="center" readingOrder="0"/>
    </xf>
    <xf borderId="0" fillId="6" fontId="1" numFmtId="169" xfId="0" applyAlignment="1" applyFont="1" applyNumberFormat="1">
      <alignment horizontal="center"/>
    </xf>
    <xf borderId="0" fillId="6" fontId="1" numFmtId="169" xfId="0" applyAlignment="1" applyFont="1" applyNumberFormat="1">
      <alignment horizontal="center" readingOrder="0"/>
    </xf>
    <xf borderId="0" fillId="22" fontId="23" numFmtId="168" xfId="0" applyAlignment="1" applyFont="1" applyNumberFormat="1">
      <alignment horizontal="center"/>
    </xf>
    <xf borderId="0" fillId="22" fontId="6" numFmtId="168" xfId="0" applyAlignment="1" applyFont="1" applyNumberFormat="1">
      <alignment horizontal="center"/>
    </xf>
    <xf borderId="0" fillId="10" fontId="1" numFmtId="169" xfId="0" applyAlignment="1" applyFont="1" applyNumberFormat="1">
      <alignment horizontal="center" readingOrder="0"/>
    </xf>
    <xf borderId="0" fillId="22" fontId="6" numFmtId="168" xfId="0" applyAlignment="1" applyFont="1" applyNumberFormat="1">
      <alignment horizontal="center" readingOrder="0"/>
    </xf>
    <xf borderId="0" fillId="22" fontId="48" numFmtId="168" xfId="0" applyAlignment="1" applyFont="1" applyNumberFormat="1">
      <alignment horizontal="center" readingOrder="0"/>
    </xf>
    <xf borderId="0" fillId="22" fontId="1" numFmtId="168" xfId="0" applyAlignment="1" applyFont="1" applyNumberFormat="1">
      <alignment horizontal="center" readingOrder="0"/>
    </xf>
    <xf borderId="0" fillId="15" fontId="1" numFmtId="169" xfId="0" applyAlignment="1" applyFont="1" applyNumberFormat="1">
      <alignment horizontal="center" readingOrder="0"/>
    </xf>
    <xf borderId="0" fillId="22" fontId="3" numFmtId="168" xfId="0" applyAlignment="1" applyFont="1" applyNumberFormat="1">
      <alignment horizontal="center"/>
    </xf>
    <xf borderId="0" fillId="13" fontId="45" numFmtId="1" xfId="0" applyAlignment="1" applyFont="1" applyNumberFormat="1">
      <alignment horizontal="center" readingOrder="0"/>
    </xf>
    <xf borderId="0" fillId="15" fontId="45" numFmtId="1" xfId="0" applyAlignment="1" applyFont="1" applyNumberFormat="1">
      <alignment horizontal="center" readingOrder="0"/>
    </xf>
    <xf borderId="0" fillId="6" fontId="1" numFmtId="173" xfId="0" applyAlignment="1" applyFont="1" applyNumberFormat="1">
      <alignment horizontal="center"/>
    </xf>
    <xf borderId="0" fillId="6" fontId="1" numFmtId="168" xfId="0" applyAlignment="1" applyFont="1" applyNumberFormat="1">
      <alignment horizontal="center" readingOrder="0"/>
    </xf>
    <xf borderId="0" fillId="6" fontId="1" numFmtId="173" xfId="0" applyAlignment="1" applyFont="1" applyNumberFormat="1">
      <alignment horizontal="center" readingOrder="0"/>
    </xf>
    <xf borderId="0" fillId="22" fontId="8" numFmtId="182" xfId="0" applyAlignment="1" applyFont="1" applyNumberFormat="1">
      <alignment horizontal="center" readingOrder="0" vertical="center"/>
    </xf>
    <xf borderId="0" fillId="10" fontId="1" numFmtId="168" xfId="0" applyAlignment="1" applyFont="1" applyNumberFormat="1">
      <alignment horizontal="center" readingOrder="0"/>
    </xf>
    <xf borderId="0" fillId="10" fontId="1" numFmtId="173" xfId="0" applyAlignment="1" applyFont="1" applyNumberFormat="1">
      <alignment horizontal="center" readingOrder="0"/>
    </xf>
    <xf borderId="0" fillId="15" fontId="1" numFmtId="168" xfId="0" applyAlignment="1" applyFont="1" applyNumberFormat="1">
      <alignment horizontal="center" readingOrder="0"/>
    </xf>
    <xf borderId="0" fillId="15" fontId="1" numFmtId="173" xfId="0" applyAlignment="1" applyFont="1" applyNumberFormat="1">
      <alignment horizontal="center" readingOrder="0"/>
    </xf>
    <xf borderId="0" fillId="10" fontId="45" numFmtId="1" xfId="0" applyAlignment="1" applyFont="1" applyNumberFormat="1">
      <alignment horizontal="center" readingOrder="0"/>
    </xf>
    <xf borderId="0" fillId="16" fontId="45" numFmtId="1" xfId="0" applyAlignment="1" applyFont="1" applyNumberFormat="1">
      <alignment horizontal="center" readingOrder="0"/>
    </xf>
    <xf borderId="0" fillId="6" fontId="1" numFmtId="164" xfId="0" applyAlignment="1" applyFont="1" applyNumberFormat="1">
      <alignment horizontal="center"/>
    </xf>
    <xf borderId="0" fillId="6" fontId="1" numFmtId="164" xfId="0" applyAlignment="1" applyFont="1" applyNumberFormat="1">
      <alignment horizontal="center" readingOrder="0"/>
    </xf>
    <xf borderId="0" fillId="10" fontId="1" numFmtId="164" xfId="0" applyAlignment="1" applyFont="1" applyNumberFormat="1">
      <alignment horizontal="center" readingOrder="0"/>
    </xf>
    <xf borderId="0" fillId="15" fontId="1" numFmtId="164" xfId="0" applyAlignment="1" applyFont="1" applyNumberFormat="1">
      <alignment horizontal="center" readingOrder="0"/>
    </xf>
    <xf borderId="0" fillId="22" fontId="1" numFmtId="0" xfId="0" applyFont="1"/>
    <xf borderId="0" fillId="49" fontId="49" numFmtId="0" xfId="0" applyAlignment="1" applyFill="1" applyFont="1">
      <alignment horizontal="center" readingOrder="0" vertical="center"/>
    </xf>
    <xf borderId="0" fillId="24" fontId="50" numFmtId="0" xfId="0" applyAlignment="1" applyFont="1">
      <alignment horizontal="center" vertical="center"/>
    </xf>
    <xf borderId="0" fillId="19" fontId="20" numFmtId="0" xfId="0" applyAlignment="1" applyFont="1">
      <alignment horizontal="center" readingOrder="0" vertical="center"/>
    </xf>
    <xf borderId="0" fillId="10" fontId="27" numFmtId="0" xfId="0" applyAlignment="1" applyFont="1">
      <alignment vertical="center"/>
    </xf>
    <xf borderId="0" fillId="24" fontId="2" numFmtId="0" xfId="0" applyAlignment="1" applyFont="1">
      <alignment horizontal="center" vertical="center"/>
    </xf>
    <xf borderId="0" fillId="19" fontId="22" numFmtId="178" xfId="0" applyAlignment="1" applyFont="1" applyNumberFormat="1">
      <alignment horizontal="center" vertical="center"/>
    </xf>
    <xf borderId="0" fillId="19" fontId="22" numFmtId="0" xfId="0" applyAlignment="1" applyFont="1">
      <alignment horizontal="center" vertical="center"/>
    </xf>
    <xf borderId="0" fillId="19" fontId="2" numFmtId="0" xfId="0" applyAlignment="1" applyFont="1">
      <alignment horizontal="center" readingOrder="0" vertical="center"/>
    </xf>
    <xf borderId="0" fillId="19" fontId="2" numFmtId="168" xfId="0" applyAlignment="1" applyFont="1" applyNumberFormat="1">
      <alignment horizontal="center" readingOrder="0" vertical="center"/>
    </xf>
    <xf borderId="0" fillId="49" fontId="27" numFmtId="168" xfId="0" applyAlignment="1" applyFont="1" applyNumberFormat="1">
      <alignment horizontal="center" readingOrder="0" vertical="center"/>
    </xf>
    <xf borderId="0" fillId="47" fontId="27" numFmtId="168" xfId="0" applyAlignment="1" applyFont="1" applyNumberFormat="1">
      <alignment horizontal="center" readingOrder="0" vertical="center"/>
    </xf>
    <xf borderId="0" fillId="24" fontId="6" numFmtId="167" xfId="0" applyAlignment="1" applyFont="1" applyNumberFormat="1">
      <alignment horizontal="center" readingOrder="0" vertical="center"/>
    </xf>
    <xf borderId="0" fillId="19" fontId="34" numFmtId="168" xfId="0" applyAlignment="1" applyFont="1" applyNumberFormat="1">
      <alignment horizontal="center" vertical="center"/>
    </xf>
    <xf borderId="0" fillId="19" fontId="22" numFmtId="168" xfId="0" applyAlignment="1" applyFont="1" applyNumberFormat="1">
      <alignment horizontal="center" vertical="center"/>
    </xf>
    <xf borderId="0" fillId="19" fontId="23" numFmtId="10" xfId="0" applyAlignment="1" applyFont="1" applyNumberFormat="1">
      <alignment horizontal="center" vertical="center"/>
    </xf>
    <xf borderId="0" fillId="19" fontId="23" numFmtId="168" xfId="0" applyAlignment="1" applyFont="1" applyNumberFormat="1">
      <alignment horizontal="center" vertical="center"/>
    </xf>
    <xf borderId="0" fillId="47" fontId="27" numFmtId="168" xfId="0" applyAlignment="1" applyFont="1" applyNumberFormat="1">
      <alignment horizontal="center" vertical="center"/>
    </xf>
    <xf borderId="0" fillId="19" fontId="27" numFmtId="0" xfId="0" applyAlignment="1" applyFont="1">
      <alignment vertical="center"/>
    </xf>
    <xf borderId="0" fillId="19" fontId="27" numFmtId="168" xfId="0" applyAlignment="1" applyFont="1" applyNumberFormat="1">
      <alignment vertical="center"/>
    </xf>
    <xf borderId="0" fillId="47" fontId="27" numFmtId="0" xfId="0" applyAlignment="1" applyFont="1">
      <alignment vertical="center"/>
    </xf>
    <xf borderId="0" fillId="24" fontId="8" numFmtId="0" xfId="0" applyAlignment="1" applyFont="1">
      <alignment vertical="center"/>
    </xf>
    <xf borderId="0" fillId="50" fontId="27" numFmtId="0" xfId="0" applyAlignment="1" applyFill="1" applyFont="1">
      <alignment vertical="center"/>
    </xf>
    <xf borderId="0" fillId="50" fontId="1" numFmtId="1" xfId="0" applyAlignment="1" applyFont="1" applyNumberFormat="1">
      <alignment vertical="center"/>
    </xf>
    <xf borderId="15" fillId="0" fontId="40" numFmtId="0" xfId="0" applyBorder="1" applyFont="1"/>
    <xf borderId="0" fillId="6" fontId="1" numFmtId="0" xfId="0" applyAlignment="1" applyFont="1">
      <alignment horizontal="center" vertical="center"/>
    </xf>
    <xf borderId="11" fillId="16" fontId="1" numFmtId="1" xfId="0" applyAlignment="1" applyBorder="1" applyFont="1" applyNumberFormat="1">
      <alignment vertical="center"/>
    </xf>
    <xf borderId="12" fillId="16" fontId="1" numFmtId="1" xfId="0" applyAlignment="1" applyBorder="1" applyFont="1" applyNumberFormat="1">
      <alignment vertical="center"/>
    </xf>
    <xf borderId="13" fillId="16" fontId="1" numFmtId="1" xfId="0" applyAlignment="1" applyBorder="1" applyFont="1" applyNumberFormat="1">
      <alignment vertical="center"/>
    </xf>
    <xf borderId="14" fillId="16" fontId="1" numFmtId="1" xfId="0" applyAlignment="1" applyBorder="1" applyFont="1" applyNumberFormat="1">
      <alignment vertical="center"/>
    </xf>
    <xf borderId="0" fillId="16" fontId="1" numFmtId="1" xfId="0" applyAlignment="1" applyFont="1" applyNumberFormat="1">
      <alignment vertical="center"/>
    </xf>
    <xf borderId="15" fillId="16" fontId="1" numFmtId="1" xfId="0" applyAlignment="1" applyBorder="1" applyFont="1" applyNumberFormat="1">
      <alignment vertical="center"/>
    </xf>
    <xf borderId="0" fillId="16" fontId="22" numFmtId="1" xfId="0" applyAlignment="1" applyFont="1" applyNumberFormat="1">
      <alignment horizontal="center" readingOrder="0" vertical="center"/>
    </xf>
    <xf borderId="17" fillId="16" fontId="3" numFmtId="0" xfId="0" applyAlignment="1" applyBorder="1" applyFont="1">
      <alignment horizontal="center" readingOrder="0" vertical="center"/>
    </xf>
    <xf borderId="14" fillId="16" fontId="1" numFmtId="1" xfId="0" applyAlignment="1" applyBorder="1" applyFont="1" applyNumberFormat="1">
      <alignment horizontal="center" vertical="center"/>
    </xf>
    <xf borderId="0" fillId="50" fontId="1" numFmtId="168" xfId="0" applyAlignment="1" applyFont="1" applyNumberFormat="1">
      <alignment vertical="center"/>
    </xf>
    <xf borderId="11" fillId="31" fontId="3" numFmtId="1" xfId="0" applyAlignment="1" applyBorder="1" applyFont="1" applyNumberFormat="1">
      <alignment horizontal="center" vertical="center"/>
    </xf>
    <xf borderId="12" fillId="51" fontId="1" numFmtId="188" xfId="0" applyAlignment="1" applyBorder="1" applyFill="1" applyFont="1" applyNumberFormat="1">
      <alignment horizontal="center" vertical="center"/>
    </xf>
    <xf borderId="12" fillId="51" fontId="1" numFmtId="168" xfId="0" applyAlignment="1" applyBorder="1" applyFont="1" applyNumberFormat="1">
      <alignment horizontal="center" vertical="center"/>
    </xf>
    <xf borderId="13" fillId="51" fontId="1" numFmtId="168" xfId="0" applyAlignment="1" applyBorder="1" applyFont="1" applyNumberFormat="1">
      <alignment horizontal="center" vertical="center"/>
    </xf>
    <xf borderId="0" fillId="16" fontId="1" numFmtId="1" xfId="0" applyAlignment="1" applyFont="1" applyNumberFormat="1">
      <alignment horizontal="center" vertical="center"/>
    </xf>
    <xf borderId="0" fillId="51" fontId="1" numFmtId="168" xfId="0" applyAlignment="1" applyFont="1" applyNumberFormat="1">
      <alignment horizontal="center" vertical="center"/>
    </xf>
    <xf borderId="15" fillId="51" fontId="1" numFmtId="168" xfId="0" applyAlignment="1" applyBorder="1" applyFont="1" applyNumberFormat="1">
      <alignment horizontal="center" vertical="center"/>
    </xf>
    <xf borderId="16" fillId="31" fontId="22" numFmtId="1" xfId="0" applyAlignment="1" applyBorder="1" applyFont="1" applyNumberFormat="1">
      <alignment horizontal="center" vertical="center"/>
    </xf>
    <xf borderId="17" fillId="12" fontId="22" numFmtId="168" xfId="0" applyAlignment="1" applyBorder="1" applyFont="1" applyNumberFormat="1">
      <alignment horizontal="center" vertical="center"/>
    </xf>
    <xf borderId="18" fillId="12" fontId="22" numFmtId="168" xfId="0" applyAlignment="1" applyBorder="1" applyFont="1" applyNumberFormat="1">
      <alignment horizontal="center" vertical="center"/>
    </xf>
    <xf borderId="0" fillId="16" fontId="3" numFmtId="1" xfId="0" applyAlignment="1" applyFont="1" applyNumberFormat="1">
      <alignment horizontal="center" vertical="center"/>
    </xf>
    <xf borderId="0" fillId="16" fontId="3" numFmtId="176" xfId="0" applyAlignment="1" applyFont="1" applyNumberFormat="1">
      <alignment horizontal="center" vertical="center"/>
    </xf>
    <xf borderId="0" fillId="16" fontId="3" numFmtId="189" xfId="0" applyAlignment="1" applyFont="1" applyNumberFormat="1">
      <alignment horizontal="center" vertical="center"/>
    </xf>
    <xf borderId="0" fillId="16" fontId="3" numFmtId="1" xfId="0" applyAlignment="1" applyFont="1" applyNumberFormat="1">
      <alignment vertical="center"/>
    </xf>
    <xf borderId="14" fillId="16" fontId="48" numFmtId="1" xfId="0" applyAlignment="1" applyBorder="1" applyFont="1" applyNumberFormat="1">
      <alignment horizontal="center" vertical="center"/>
    </xf>
    <xf borderId="0" fillId="50" fontId="1" numFmtId="180" xfId="0" applyAlignment="1" applyFont="1" applyNumberFormat="1">
      <alignment vertical="center"/>
    </xf>
    <xf borderId="0" fillId="16" fontId="3" numFmtId="9" xfId="0" applyAlignment="1" applyFont="1" applyNumberFormat="1">
      <alignment horizontal="center" vertical="center"/>
    </xf>
    <xf borderId="0" fillId="50" fontId="1" numFmtId="1" xfId="0" applyAlignment="1" applyFont="1" applyNumberFormat="1">
      <alignment readingOrder="0" vertical="center"/>
    </xf>
    <xf borderId="0" fillId="16" fontId="1" numFmtId="1" xfId="0" applyAlignment="1" applyFont="1" applyNumberFormat="1">
      <alignment readingOrder="0" vertical="center"/>
    </xf>
    <xf borderId="0" fillId="16" fontId="3" numFmtId="190" xfId="0" applyAlignment="1" applyFont="1" applyNumberFormat="1">
      <alignment horizontal="center" vertical="center"/>
    </xf>
    <xf borderId="15" fillId="16" fontId="1" numFmtId="9" xfId="0" applyAlignment="1" applyBorder="1" applyFont="1" applyNumberFormat="1">
      <alignment vertical="center"/>
    </xf>
    <xf borderId="0" fillId="50" fontId="1" numFmtId="0" xfId="0" applyAlignment="1" applyFont="1">
      <alignment vertical="center"/>
    </xf>
    <xf borderId="16" fillId="16" fontId="1" numFmtId="1" xfId="0" applyAlignment="1" applyBorder="1" applyFont="1" applyNumberFormat="1">
      <alignment vertical="center"/>
    </xf>
    <xf borderId="17" fillId="16" fontId="1" numFmtId="1" xfId="0" applyAlignment="1" applyBorder="1" applyFont="1" applyNumberFormat="1">
      <alignment vertical="center"/>
    </xf>
    <xf borderId="18" fillId="16" fontId="1" numFmtId="1" xfId="0" applyAlignment="1" applyBorder="1" applyFont="1" applyNumberFormat="1">
      <alignment vertical="center"/>
    </xf>
    <xf borderId="0" fillId="31" fontId="51" numFmtId="0" xfId="0" applyAlignment="1" applyFont="1">
      <alignment horizontal="center" vertical="center"/>
    </xf>
    <xf borderId="0" fillId="31" fontId="3" numFmtId="0" xfId="0" applyAlignment="1" applyFont="1">
      <alignment horizontal="center" vertical="center"/>
    </xf>
    <xf borderId="0" fillId="31" fontId="3" numFmtId="165" xfId="0" applyAlignment="1" applyFont="1" applyNumberFormat="1">
      <alignment horizontal="center" vertical="center"/>
    </xf>
    <xf borderId="0" fillId="31" fontId="3" numFmtId="9" xfId="0" applyAlignment="1" applyFont="1" applyNumberFormat="1">
      <alignment horizontal="center" vertical="center"/>
    </xf>
    <xf borderId="0" fillId="5" fontId="3" numFmtId="176" xfId="0" applyAlignment="1" applyFont="1" applyNumberFormat="1">
      <alignment horizontal="center" vertical="center"/>
    </xf>
    <xf borderId="0" fillId="5" fontId="3" numFmtId="9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0" fillId="6" fontId="3" numFmtId="176" xfId="0" applyAlignment="1" applyFont="1" applyNumberFormat="1">
      <alignment horizontal="center" vertical="center"/>
    </xf>
    <xf borderId="0" fillId="6" fontId="3" numFmtId="9" xfId="0" applyAlignment="1" applyFont="1" applyNumberFormat="1">
      <alignment horizontal="center" readingOrder="0" vertical="center"/>
    </xf>
    <xf borderId="0" fillId="31" fontId="3" numFmtId="176" xfId="0" applyAlignment="1" applyFont="1" applyNumberFormat="1">
      <alignment horizontal="center" vertical="center"/>
    </xf>
    <xf borderId="0" fillId="31" fontId="3" numFmtId="9" xfId="0" applyAlignment="1" applyFont="1" applyNumberFormat="1">
      <alignment horizontal="center" readingOrder="0" vertical="center"/>
    </xf>
    <xf borderId="0" fillId="31" fontId="17" numFmtId="0" xfId="0" applyAlignment="1" applyFont="1">
      <alignment horizontal="center" readingOrder="0" vertical="center"/>
    </xf>
    <xf borderId="0" fillId="8" fontId="3" numFmtId="176" xfId="0" applyAlignment="1" applyFont="1" applyNumberFormat="1">
      <alignment horizontal="center" vertical="center"/>
    </xf>
    <xf borderId="0" fillId="8" fontId="3" numFmtId="9" xfId="0" applyAlignment="1" applyFont="1" applyNumberForma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0" fillId="19" fontId="7" numFmtId="0" xfId="0" applyAlignment="1" applyFont="1">
      <alignment horizontal="center" readingOrder="0" vertical="center"/>
    </xf>
    <xf borderId="0" fillId="19" fontId="3" numFmtId="176" xfId="0" applyAlignment="1" applyFont="1" applyNumberFormat="1">
      <alignment horizontal="center" vertical="center"/>
    </xf>
    <xf borderId="0" fillId="19" fontId="3" numFmtId="9" xfId="0" applyAlignment="1" applyFont="1" applyNumberFormat="1">
      <alignment horizontal="center" vertical="center"/>
    </xf>
    <xf borderId="0" fillId="19" fontId="1" numFmtId="0" xfId="0" applyAlignment="1" applyFont="1">
      <alignment horizontal="center" readingOrder="0" vertical="center"/>
    </xf>
    <xf borderId="0" fillId="48" fontId="8" numFmtId="0" xfId="0" applyAlignment="1" applyFont="1">
      <alignment horizontal="center" readingOrder="0" vertical="center"/>
    </xf>
    <xf borderId="0" fillId="48" fontId="3" numFmtId="176" xfId="0" applyAlignment="1" applyFont="1" applyNumberFormat="1">
      <alignment horizontal="center" vertical="center"/>
    </xf>
    <xf borderId="0" fillId="48" fontId="3" numFmtId="9" xfId="0" applyAlignment="1" applyFont="1" applyNumberFormat="1">
      <alignment horizontal="center" readingOrder="0" vertical="center"/>
    </xf>
    <xf borderId="0" fillId="48" fontId="1" numFmtId="0" xfId="0" applyAlignment="1" applyFont="1">
      <alignment horizontal="center" readingOrder="0" vertical="center"/>
    </xf>
    <xf borderId="0" fillId="30" fontId="7" numFmtId="0" xfId="0" applyAlignment="1" applyFont="1">
      <alignment horizontal="center" readingOrder="0" vertical="center"/>
    </xf>
    <xf borderId="0" fillId="30" fontId="3" numFmtId="176" xfId="0" applyAlignment="1" applyFont="1" applyNumberFormat="1">
      <alignment horizontal="center" vertical="center"/>
    </xf>
    <xf borderId="0" fillId="30" fontId="3" numFmtId="9" xfId="0" applyAlignment="1" applyFont="1" applyNumberFormat="1">
      <alignment horizontal="center" readingOrder="0" vertical="center"/>
    </xf>
    <xf borderId="0" fillId="30" fontId="1" numFmtId="0" xfId="0" applyAlignment="1" applyFont="1">
      <alignment horizontal="center" readingOrder="0" vertical="center"/>
    </xf>
    <xf borderId="0" fillId="10" fontId="3" numFmtId="176" xfId="0" applyAlignment="1" applyFont="1" applyNumberFormat="1">
      <alignment horizontal="center" vertical="center"/>
    </xf>
    <xf borderId="0" fillId="10" fontId="3" numFmtId="9" xfId="0" applyAlignment="1" applyFont="1" applyNumberFormat="1">
      <alignment horizontal="center" readingOrder="0" vertical="center"/>
    </xf>
    <xf borderId="0" fillId="10" fontId="52" numFmtId="0" xfId="0" applyAlignment="1" applyFont="1">
      <alignment horizontal="center" readingOrder="0" vertical="center"/>
    </xf>
    <xf borderId="0" fillId="0" fontId="27" numFmtId="0" xfId="0" applyAlignment="1" applyFont="1">
      <alignment vertical="center"/>
    </xf>
    <xf borderId="0" fillId="0" fontId="27" numFmtId="167" xfId="0" applyAlignment="1" applyFont="1" applyNumberFormat="1">
      <alignment horizontal="center"/>
    </xf>
    <xf borderId="0" fillId="0" fontId="27" numFmtId="0" xfId="0" applyAlignment="1" applyFont="1">
      <alignment horizontal="center" readingOrder="0"/>
    </xf>
    <xf borderId="0" fillId="0" fontId="27" numFmtId="0" xfId="0" applyAlignment="1" applyFont="1">
      <alignment horizontal="center"/>
    </xf>
    <xf borderId="0" fillId="0" fontId="27" numFmtId="168" xfId="0" applyAlignment="1" applyFont="1" applyNumberFormat="1">
      <alignment horizontal="center"/>
    </xf>
    <xf borderId="0" fillId="0" fontId="27" numFmtId="10" xfId="0" applyAlignment="1" applyFont="1" applyNumberFormat="1">
      <alignment horizontal="center"/>
    </xf>
    <xf borderId="0" fillId="0" fontId="27" numFmtId="165" xfId="0" applyAlignment="1" applyFont="1" applyNumberFormat="1">
      <alignment horizontal="center"/>
    </xf>
    <xf borderId="0" fillId="0" fontId="27" numFmtId="168" xfId="0" applyAlignment="1" applyFont="1" applyNumberFormat="1">
      <alignment horizontal="center"/>
    </xf>
    <xf borderId="0" fillId="0" fontId="27" numFmtId="187" xfId="0" applyAlignment="1" applyFont="1" applyNumberFormat="1">
      <alignment horizontal="center"/>
    </xf>
    <xf borderId="0" fillId="0" fontId="27" numFmtId="175" xfId="0" applyAlignment="1" applyFont="1" applyNumberFormat="1">
      <alignment horizontal="center"/>
    </xf>
    <xf borderId="0" fillId="0" fontId="27" numFmtId="173" xfId="0" applyAlignment="1" applyFont="1" applyNumberFormat="1">
      <alignment horizontal="center"/>
    </xf>
    <xf borderId="0" fillId="0" fontId="27" numFmtId="164" xfId="0" applyAlignment="1" applyFont="1" applyNumberFormat="1">
      <alignment horizontal="center"/>
    </xf>
    <xf borderId="0" fillId="0" fontId="27" numFmtId="178" xfId="0" applyAlignment="1" applyFont="1" applyNumberFormat="1">
      <alignment horizontal="center"/>
    </xf>
    <xf borderId="0" fillId="0" fontId="27" numFmtId="185" xfId="0" applyAlignment="1" applyFont="1" applyNumberFormat="1">
      <alignment horizontal="center"/>
    </xf>
    <xf borderId="0" fillId="0" fontId="27" numFmtId="174" xfId="0" applyAlignment="1" applyFont="1" applyNumberFormat="1">
      <alignment horizontal="center"/>
    </xf>
    <xf borderId="0" fillId="0" fontId="27" numFmtId="166" xfId="0" applyAlignment="1" applyFont="1" applyNumberFormat="1">
      <alignment horizontal="center"/>
    </xf>
  </cellXfs>
  <cellStyles count="1">
    <cellStyle xfId="0" name="Normal" builtinId="0"/>
  </cellStyles>
  <dxfs count="14">
    <dxf>
      <font/>
      <fill>
        <patternFill patternType="solid">
          <fgColor rgb="FFFEE1CC"/>
          <bgColor rgb="FFFEE1C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EA9999"/>
      </font>
      <fill>
        <patternFill patternType="solid">
          <fgColor rgb="FFEA9999"/>
          <bgColor rgb="FFEA9999"/>
        </patternFill>
      </fill>
      <border/>
    </dxf>
    <dxf>
      <font>
        <color rgb="FFA4C2F4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6B8AF"/>
          <bgColor rgb="FFE6B8AF"/>
        </patternFill>
      </fill>
      <border/>
    </dxf>
  </dxfs>
  <tableStyles count="2">
    <tableStyle count="4" pivot="0" name="HISTORIQUE RAPIDE-style">
      <tableStyleElement dxfId="9" type="headerRow"/>
      <tableStyleElement dxfId="10" type="firstRowStripe"/>
      <tableStyleElement dxfId="11" type="secondRowStripe"/>
      <tableStyleElement dxfId="12" size="0" type="wholeTable"/>
    </tableStyle>
    <tableStyle count="4" pivot="0" name="PV (%)-style">
      <tableStyleElement dxfId="9" type="headerRow"/>
      <tableStyleElement dxfId="10" type="firstRowStripe"/>
      <tableStyleElement dxfId="11" type="secondRowStripe"/>
      <tableStyleElement dxfId="12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6B26B"/>
              </a:solidFill>
              <a:ln cmpd="sng" w="9525">
                <a:solidFill>
                  <a:srgbClr val="434343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RECAP!$B$107:$P$107</c:f>
            </c:strRef>
          </c:cat>
          <c:val>
            <c:numRef>
              <c:f>RECAP!$B$108:$P$108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  <c:spPr>
    <a:solidFill>
      <a:srgbClr val="FEE1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Exposition Principale (%)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Exposition!$B$1:$B$2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Exposition!$B$3:$B$1000</c:f>
              <c:numCache/>
            </c:numRef>
          </c:val>
          <c:smooth val="1"/>
        </c:ser>
        <c:ser>
          <c:idx val="1"/>
          <c:order val="1"/>
          <c:tx>
            <c:strRef>
              <c:f>Exposition!$C$1:$C$2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Exposition!$C$3:$C$1000</c:f>
              <c:numCache/>
            </c:numRef>
          </c:val>
          <c:smooth val="1"/>
        </c:ser>
        <c:ser>
          <c:idx val="2"/>
          <c:order val="2"/>
          <c:tx>
            <c:strRef>
              <c:f>Exposition!$D$1:$D$2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Exposition!$D$3:$D$1000</c:f>
              <c:numCache/>
            </c:numRef>
          </c:val>
          <c:smooth val="1"/>
        </c:ser>
        <c:ser>
          <c:idx val="3"/>
          <c:order val="3"/>
          <c:tx>
            <c:strRef>
              <c:f>Exposition!$E$1:$E$2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Exposition!$E$3:$E$1000</c:f>
              <c:numCache/>
            </c:numRef>
          </c:val>
          <c:smooth val="1"/>
        </c:ser>
        <c:ser>
          <c:idx val="4"/>
          <c:order val="4"/>
          <c:tx>
            <c:strRef>
              <c:f>Exposition!$F$1:$F$2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Exposition!$F$3:$F$1000</c:f>
              <c:numCache/>
            </c:numRef>
          </c:val>
          <c:smooth val="1"/>
        </c:ser>
        <c:ser>
          <c:idx val="5"/>
          <c:order val="5"/>
          <c:tx>
            <c:strRef>
              <c:f>Exposition!$G$1:$G$2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Exposition!$G$3:$G$1000</c:f>
              <c:numCache/>
            </c:numRef>
          </c:val>
          <c:smooth val="1"/>
        </c:ser>
        <c:axId val="388944886"/>
        <c:axId val="780045940"/>
      </c:lineChart>
      <c:catAx>
        <c:axId val="388944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045940"/>
      </c:catAx>
      <c:valAx>
        <c:axId val="780045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944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EE1CC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Exposition Other (%)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Exposition!$H$1:$H$2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Exposition!$H$3:$H$1000</c:f>
              <c:numCache/>
            </c:numRef>
          </c:val>
          <c:smooth val="1"/>
        </c:ser>
        <c:ser>
          <c:idx val="1"/>
          <c:order val="1"/>
          <c:tx>
            <c:strRef>
              <c:f>Exposition!$I$1:$I$2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Exposition!$I$3:$I$1000</c:f>
              <c:numCache/>
            </c:numRef>
          </c:val>
          <c:smooth val="1"/>
        </c:ser>
        <c:ser>
          <c:idx val="2"/>
          <c:order val="2"/>
          <c:tx>
            <c:strRef>
              <c:f>Exposition!$J$1:$J$2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Exposition!$J$3:$J$1000</c:f>
              <c:numCache/>
            </c:numRef>
          </c:val>
          <c:smooth val="1"/>
        </c:ser>
        <c:ser>
          <c:idx val="3"/>
          <c:order val="3"/>
          <c:tx>
            <c:strRef>
              <c:f>Exposition!$N$1:$N$2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Exposition!$N$3:$N$1000</c:f>
              <c:numCache/>
            </c:numRef>
          </c:val>
          <c:smooth val="1"/>
        </c:ser>
        <c:ser>
          <c:idx val="4"/>
          <c:order val="4"/>
          <c:tx>
            <c:strRef>
              <c:f>Exposition!$P$1:$P$2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Exposition!$P$3:$P$1000</c:f>
              <c:numCache/>
            </c:numRef>
          </c:val>
          <c:smooth val="1"/>
        </c:ser>
        <c:axId val="1381749450"/>
        <c:axId val="1400879983"/>
      </c:lineChart>
      <c:catAx>
        <c:axId val="1381749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879983"/>
      </c:catAx>
      <c:valAx>
        <c:axId val="1400879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749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EE1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'PV (%)'!$F$1:$F$3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'PV (%)'!$F$4:$F$1001</c:f>
              <c:numCache/>
            </c:numRef>
          </c:val>
          <c:smooth val="1"/>
        </c:ser>
        <c:ser>
          <c:idx val="1"/>
          <c:order val="1"/>
          <c:tx>
            <c:strRef>
              <c:f>'PV (%)'!$E$1:$E$3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'PV (%)'!$E$4:$E$1001</c:f>
              <c:numCache/>
            </c:numRef>
          </c:val>
          <c:smooth val="1"/>
        </c:ser>
        <c:ser>
          <c:idx val="2"/>
          <c:order val="2"/>
          <c:tx>
            <c:strRef>
              <c:f>'PV (%)'!$G$1:$G$3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'PV (%)'!$G$4:$G$1001</c:f>
              <c:numCache/>
            </c:numRef>
          </c:val>
          <c:smooth val="1"/>
        </c:ser>
        <c:axId val="1630215350"/>
        <c:axId val="1297238240"/>
      </c:lineChart>
      <c:catAx>
        <c:axId val="1630215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7238240"/>
      </c:catAx>
      <c:valAx>
        <c:axId val="1297238240"/>
        <c:scaling>
          <c:orientation val="minMax"/>
          <c:min val="2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02153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EE1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RAPPEL!$B$21:$B$28</c:f>
            </c:strRef>
          </c:cat>
          <c:val>
            <c:numRef>
              <c:f>RAPPEL!$C$21:$C$28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D9F1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8</xdr:row>
      <xdr:rowOff>314325</xdr:rowOff>
    </xdr:from>
    <xdr:ext cx="6819900" cy="42195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400050</xdr:colOff>
      <xdr:row>33</xdr:row>
      <xdr:rowOff>152400</xdr:rowOff>
    </xdr:from>
    <xdr:ext cx="5848350" cy="3638550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33</xdr:row>
      <xdr:rowOff>85725</xdr:rowOff>
    </xdr:from>
    <xdr:ext cx="6143625" cy="378142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76200</xdr:colOff>
      <xdr:row>9</xdr:row>
      <xdr:rowOff>219075</xdr:rowOff>
    </xdr:from>
    <xdr:ext cx="7620000" cy="47148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85725</xdr:colOff>
      <xdr:row>19</xdr:row>
      <xdr:rowOff>209550</xdr:rowOff>
    </xdr:from>
    <xdr:ext cx="6448425" cy="399097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401" displayName="Historique_Rapide" name="Historique_Rapide" id="1">
  <tableColumns count="5">
    <tableColumn name="DATE" id="1"/>
    <tableColumn name="INITIAL ENTRY" id="2"/>
    <tableColumn name="ACTUAL PORTFOLLIO" id="3"/>
    <tableColumn name="ROI %" id="4"/>
    <tableColumn name="PV" id="5"/>
  </tableColumns>
  <tableStyleInfo name="HISTORIQUE RAPIDE-style" showColumnStripes="0" showFirstColumn="1" showLastColumn="1" showRowStripes="1"/>
</table>
</file>

<file path=xl/tables/table2.xml><?xml version="1.0" encoding="utf-8"?>
<table xmlns="http://schemas.openxmlformats.org/spreadsheetml/2006/main" ref="C3:C402" displayName="Tableau1" name="Tableau1" id="2">
  <tableColumns count="1">
    <tableColumn name="Investissement" id="1"/>
  </tableColumns>
  <tableStyleInfo name="PV (%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B4A7D6"/>
      </a:hlink>
      <a:folHlink>
        <a:srgbClr val="B4A7D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cryptoprices.cc/CAKE/" TargetMode="External"/><Relationship Id="rId10" Type="http://schemas.openxmlformats.org/officeDocument/2006/relationships/hyperlink" Target="https://cryptoprices.cc/SHIB/" TargetMode="External"/><Relationship Id="rId13" Type="http://schemas.openxmlformats.org/officeDocument/2006/relationships/hyperlink" Target="https://cryptoprices.cc/AAVE/" TargetMode="External"/><Relationship Id="rId12" Type="http://schemas.openxmlformats.org/officeDocument/2006/relationships/hyperlink" Target="https://cryptoprices.cc/JUP/" TargetMode="External"/><Relationship Id="rId1" Type="http://schemas.openxmlformats.org/officeDocument/2006/relationships/hyperlink" Target="https://cryptoprices.cc/" TargetMode="External"/><Relationship Id="rId2" Type="http://schemas.openxmlformats.org/officeDocument/2006/relationships/hyperlink" Target="https://cryptoprices.cc/BTC/" TargetMode="External"/><Relationship Id="rId3" Type="http://schemas.openxmlformats.org/officeDocument/2006/relationships/hyperlink" Target="https://cryptoprices.cc/ETH/" TargetMode="External"/><Relationship Id="rId4" Type="http://schemas.openxmlformats.org/officeDocument/2006/relationships/hyperlink" Target="https://cryptoprices.cc/TON/" TargetMode="External"/><Relationship Id="rId9" Type="http://schemas.openxmlformats.org/officeDocument/2006/relationships/hyperlink" Target="https://cryptoprices.cc/DOGE/" TargetMode="External"/><Relationship Id="rId15" Type="http://schemas.openxmlformats.org/officeDocument/2006/relationships/hyperlink" Target="https://cryptoprices.cc/PENDLE/" TargetMode="External"/><Relationship Id="rId14" Type="http://schemas.openxmlformats.org/officeDocument/2006/relationships/hyperlink" Target="https://cryptoprices.cc/CKB/" TargetMode="External"/><Relationship Id="rId17" Type="http://schemas.openxmlformats.org/officeDocument/2006/relationships/hyperlink" Target="https://cryptoprices.cc/PEPE/" TargetMode="External"/><Relationship Id="rId16" Type="http://schemas.openxmlformats.org/officeDocument/2006/relationships/hyperlink" Target="https://cryptoprices.cc/BOME/" TargetMode="External"/><Relationship Id="rId5" Type="http://schemas.openxmlformats.org/officeDocument/2006/relationships/hyperlink" Target="https://cryptoprices.cc/ETH/" TargetMode="External"/><Relationship Id="rId19" Type="http://schemas.openxmlformats.org/officeDocument/2006/relationships/hyperlink" Target="https://cryptoprices.cc/RAY/" TargetMode="External"/><Relationship Id="rId6" Type="http://schemas.openxmlformats.org/officeDocument/2006/relationships/hyperlink" Target="https://cryptoprices.cc/TAO/" TargetMode="External"/><Relationship Id="rId18" Type="http://schemas.openxmlformats.org/officeDocument/2006/relationships/hyperlink" Target="https://cryptoprices.cc/WIF/" TargetMode="External"/><Relationship Id="rId7" Type="http://schemas.openxmlformats.org/officeDocument/2006/relationships/hyperlink" Target="https://cryptoprices.cc/RON" TargetMode="External"/><Relationship Id="rId8" Type="http://schemas.openxmlformats.org/officeDocument/2006/relationships/hyperlink" Target="https://cryptoprices.cc/LINK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63"/>
    <col customWidth="1" min="3" max="11" width="11.13"/>
    <col customWidth="1" min="42" max="45" width="12.63"/>
    <col customWidth="1" min="46" max="46" width="13.88"/>
    <col customWidth="1" min="47" max="47" width="33.13"/>
    <col customWidth="1" min="48" max="48" width="17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3" t="s">
        <v>1</v>
      </c>
      <c r="AV1" s="4" t="s">
        <v>2</v>
      </c>
      <c r="AW1" s="5" t="s">
        <v>3</v>
      </c>
    </row>
    <row r="2">
      <c r="A2" s="6"/>
      <c r="B2" s="7" t="s">
        <v>4</v>
      </c>
      <c r="C2" s="8" t="s">
        <v>5</v>
      </c>
      <c r="D2" s="9" t="s">
        <v>6</v>
      </c>
      <c r="E2" s="10" t="s">
        <v>7</v>
      </c>
      <c r="F2" s="11" t="s">
        <v>8</v>
      </c>
      <c r="G2" s="12" t="s">
        <v>9</v>
      </c>
      <c r="H2" s="13" t="s">
        <v>10</v>
      </c>
      <c r="I2" s="14" t="s">
        <v>11</v>
      </c>
      <c r="J2" s="15"/>
      <c r="K2" s="15"/>
      <c r="L2" s="15"/>
      <c r="M2" s="15"/>
      <c r="N2" s="15"/>
      <c r="O2" s="15"/>
      <c r="P2" s="16" t="s">
        <v>12</v>
      </c>
      <c r="Q2" s="17" t="s">
        <v>13</v>
      </c>
      <c r="R2" s="18" t="s">
        <v>14</v>
      </c>
      <c r="S2" s="19" t="s">
        <v>15</v>
      </c>
      <c r="T2" s="20" t="s">
        <v>16</v>
      </c>
      <c r="U2" s="21" t="s">
        <v>17</v>
      </c>
      <c r="V2" s="22" t="s">
        <v>18</v>
      </c>
      <c r="W2" s="23" t="s">
        <v>19</v>
      </c>
      <c r="X2" s="24" t="s">
        <v>20</v>
      </c>
      <c r="Y2" s="25" t="s">
        <v>21</v>
      </c>
      <c r="Z2" s="26" t="s">
        <v>22</v>
      </c>
      <c r="AA2" s="27" t="s">
        <v>23</v>
      </c>
      <c r="AB2" s="28" t="s">
        <v>24</v>
      </c>
      <c r="AC2" s="29"/>
      <c r="AD2" s="29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30" t="s">
        <v>25</v>
      </c>
      <c r="AU2" s="31">
        <v>67500.0</v>
      </c>
      <c r="AV2" s="32" t="s">
        <v>26</v>
      </c>
      <c r="AW2" s="33">
        <f>IFERROR(__xludf.DUMMYFUNCTION("IMPORTDATA(AV2)"),67315.0)</f>
        <v>67315</v>
      </c>
    </row>
    <row r="3" ht="20.25" customHeight="1">
      <c r="A3" s="34" t="s">
        <v>27</v>
      </c>
      <c r="B3" s="35">
        <v>46071.0</v>
      </c>
      <c r="C3" s="36">
        <f t="shared" ref="C3:G3" si="1">C4*C6</f>
        <v>24971.31697</v>
      </c>
      <c r="D3" s="36">
        <f t="shared" si="1"/>
        <v>3517.642481</v>
      </c>
      <c r="E3" s="37">
        <f t="shared" si="1"/>
        <v>0.00200198761</v>
      </c>
      <c r="F3" s="37">
        <f t="shared" si="1"/>
        <v>0</v>
      </c>
      <c r="G3" s="38">
        <f t="shared" si="1"/>
        <v>0</v>
      </c>
      <c r="H3" s="38">
        <f>SUM(P3:AA3)</f>
        <v>-0.002405833525</v>
      </c>
      <c r="I3" s="39">
        <f>I4*I6</f>
        <v>10332.39371</v>
      </c>
      <c r="J3" s="36"/>
      <c r="K3" s="36"/>
      <c r="L3" s="40"/>
      <c r="M3" s="36"/>
      <c r="N3" s="36"/>
      <c r="O3" s="36"/>
      <c r="P3" s="37">
        <f t="shared" ref="P3:AB3" si="2">P4*P6</f>
        <v>0</v>
      </c>
      <c r="Q3" s="38">
        <f t="shared" si="2"/>
        <v>0</v>
      </c>
      <c r="R3" s="37">
        <f t="shared" si="2"/>
        <v>-0.004171868391</v>
      </c>
      <c r="S3" s="37">
        <f t="shared" si="2"/>
        <v>-0.0000001264418334</v>
      </c>
      <c r="T3" s="41">
        <f t="shared" si="2"/>
        <v>0</v>
      </c>
      <c r="U3" s="42">
        <f t="shared" si="2"/>
        <v>0</v>
      </c>
      <c r="V3" s="38">
        <f t="shared" si="2"/>
        <v>0</v>
      </c>
      <c r="W3" s="37">
        <f t="shared" si="2"/>
        <v>0</v>
      </c>
      <c r="X3" s="37">
        <f t="shared" si="2"/>
        <v>0.001753549754</v>
      </c>
      <c r="Y3" s="37">
        <f t="shared" si="2"/>
        <v>0.00001243555355</v>
      </c>
      <c r="Z3" s="37">
        <f t="shared" si="2"/>
        <v>0.0000001759999895</v>
      </c>
      <c r="AA3" s="37">
        <f t="shared" si="2"/>
        <v>0</v>
      </c>
      <c r="AB3" s="43">
        <f t="shared" si="2"/>
        <v>0</v>
      </c>
      <c r="AC3" s="29"/>
      <c r="AD3" s="29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5" t="s">
        <v>6</v>
      </c>
      <c r="AU3" s="31">
        <v>1950.0</v>
      </c>
      <c r="AV3" s="46" t="s">
        <v>28</v>
      </c>
      <c r="AW3" s="33" t="str">
        <f>IFERROR(__xludf.DUMMYFUNCTION("IMPORTDATA(AV3)"),"1972.35")</f>
        <v>1972.35</v>
      </c>
    </row>
    <row r="4" ht="15.75" customHeight="1">
      <c r="A4" s="34" t="s">
        <v>29</v>
      </c>
      <c r="B4" s="47">
        <f>ARBITRAGES!E268</f>
        <v>46066</v>
      </c>
      <c r="C4" s="48">
        <f>VLOOKUP($B$4,'QUANTITE DETENUES'!1:999,2,FALSE)</f>
        <v>0.3699454366</v>
      </c>
      <c r="D4" s="49">
        <f>VLOOKUP($B$4,'QUANTITE DETENUES'!1:999,3,FALSE)</f>
        <v>1.803919221</v>
      </c>
      <c r="E4" s="50">
        <f>VLOOKUP($B$4,'QUANTITE DETENUES'!1:999,4,FALSE)</f>
        <v>0.001390269174</v>
      </c>
      <c r="F4" s="50">
        <f>VLOOKUP($B$4,'QUANTITE DETENUES'!1:999,5,FALSE)</f>
        <v>0</v>
      </c>
      <c r="G4" s="51">
        <f>VLOOKUP($B$4,'QUANTITE DETENUES'!1:999,6,FALSE)</f>
        <v>0</v>
      </c>
      <c r="H4" s="51" t="s">
        <v>30</v>
      </c>
      <c r="I4" s="52">
        <f>VLOOKUP(B4,PRIX!1:998,20)</f>
        <v>10332.39371</v>
      </c>
      <c r="J4" s="53"/>
      <c r="K4" s="54"/>
      <c r="L4" s="54"/>
      <c r="M4" s="53"/>
      <c r="N4" s="53"/>
      <c r="O4" s="53"/>
      <c r="P4" s="55">
        <f>VLOOKUP($B$4,'QUANTITE DETENUES'!1:999,7,FALSE)</f>
        <v>0</v>
      </c>
      <c r="Q4" s="51">
        <f>VLOOKUP($B$4,'QUANTITE DETENUES'!1:999,8,FALSE)</f>
        <v>0</v>
      </c>
      <c r="R4" s="55">
        <f>VLOOKUP($B$4,'QUANTITE DETENUES'!1:999,9,FALSE)</f>
        <v>-0.04176044436</v>
      </c>
      <c r="S4" s="55">
        <f>VLOOKUP($B$4,'QUANTITE DETENUES'!1:999,10,FALSE)</f>
        <v>-0.01945258975</v>
      </c>
      <c r="T4" s="56">
        <f>VLOOKUP($B$4,'QUANTITE DETENUES'!1:999,11,FALSE)</f>
        <v>0</v>
      </c>
      <c r="U4" s="57">
        <f>VLOOKUP($B$4,'QUANTITE DETENUES'!1:999,12,FALSE)</f>
        <v>0</v>
      </c>
      <c r="V4" s="51">
        <f>VLOOKUP($B$4,'QUANTITE DETENUES'!1:999,13,FALSE)</f>
        <v>0</v>
      </c>
      <c r="W4" s="55">
        <f>VLOOKUP($B$4,'QUANTITE DETENUES'!1:999,14,FALSE)</f>
        <v>0</v>
      </c>
      <c r="X4" s="55">
        <f>VLOOKUP($B$4,'QUANTITE DETENUES'!1:999,15,FALSE)</f>
        <v>0.001461291462</v>
      </c>
      <c r="Y4" s="55">
        <f>VLOOKUP($B$4,'QUANTITE DETENUES'!1:999,16,FALSE)</f>
        <v>0.02891989199</v>
      </c>
      <c r="Z4" s="55">
        <f>VLOOKUP($B$4,'QUANTITE DETENUES'!1:999,17,FALSE)</f>
        <v>0.03999999762</v>
      </c>
      <c r="AA4" s="55">
        <f>VLOOKUP($B$4,'QUANTITE DETENUES'!1:999,18,FALSE)</f>
        <v>0</v>
      </c>
      <c r="AB4" s="58">
        <f>VLOOKUP($B$4,'QUANTITE DETENUES'!1:999,19,FALSE)</f>
        <v>0</v>
      </c>
      <c r="AC4" s="29"/>
      <c r="AD4" s="29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59" t="s">
        <v>7</v>
      </c>
      <c r="AU4" s="31">
        <v>1.44</v>
      </c>
      <c r="AV4" s="60" t="s">
        <v>31</v>
      </c>
      <c r="AW4" s="33" t="str">
        <f>IFERROR(__xludf.DUMMYFUNCTION("IMPORTDATA(AV4)"),"1.44")</f>
        <v>1.44</v>
      </c>
    </row>
    <row r="5">
      <c r="A5" s="61"/>
      <c r="B5" s="62" t="s">
        <v>32</v>
      </c>
      <c r="C5" s="63">
        <f t="shared" ref="C5:I5" si="3">C3/$K$11</f>
        <v>0.643236652</v>
      </c>
      <c r="D5" s="63">
        <f t="shared" si="3"/>
        <v>0.09061102285</v>
      </c>
      <c r="E5" s="64">
        <f t="shared" si="3"/>
        <v>0.00000005156923879</v>
      </c>
      <c r="F5" s="64">
        <f t="shared" si="3"/>
        <v>0</v>
      </c>
      <c r="G5" s="65">
        <f t="shared" si="3"/>
        <v>0</v>
      </c>
      <c r="H5" s="65">
        <f t="shared" si="3"/>
        <v>-0.00000006197191377</v>
      </c>
      <c r="I5" s="63">
        <f t="shared" si="3"/>
        <v>0.2661523356</v>
      </c>
      <c r="J5" s="63"/>
      <c r="K5" s="63"/>
      <c r="L5" s="66"/>
      <c r="M5" s="63"/>
      <c r="N5" s="63"/>
      <c r="O5" s="63"/>
      <c r="P5" s="64">
        <f t="shared" ref="P5:AB5" si="4">P3/$K$11</f>
        <v>0</v>
      </c>
      <c r="Q5" s="65">
        <f t="shared" si="4"/>
        <v>0</v>
      </c>
      <c r="R5" s="64">
        <f t="shared" si="4"/>
        <v>-0.0000001074632411</v>
      </c>
      <c r="S5" s="64">
        <f t="shared" si="4"/>
        <v>0</v>
      </c>
      <c r="T5" s="67">
        <f t="shared" si="4"/>
        <v>0</v>
      </c>
      <c r="U5" s="68">
        <f t="shared" si="4"/>
        <v>0</v>
      </c>
      <c r="V5" s="65">
        <f t="shared" si="4"/>
        <v>0</v>
      </c>
      <c r="W5" s="64">
        <f t="shared" si="4"/>
        <v>0</v>
      </c>
      <c r="X5" s="64">
        <f t="shared" si="4"/>
        <v>0.00000004516972311</v>
      </c>
      <c r="Y5" s="64">
        <f t="shared" si="4"/>
        <v>0.0000000003203276721</v>
      </c>
      <c r="Z5" s="64">
        <f t="shared" si="4"/>
        <v>0</v>
      </c>
      <c r="AA5" s="64">
        <f t="shared" si="4"/>
        <v>0</v>
      </c>
      <c r="AB5" s="69">
        <f t="shared" si="4"/>
        <v>0</v>
      </c>
      <c r="AC5" s="29"/>
      <c r="AD5" s="29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70" t="s">
        <v>33</v>
      </c>
      <c r="AU5" s="31">
        <v>83.0</v>
      </c>
      <c r="AV5" s="46" t="s">
        <v>34</v>
      </c>
      <c r="AW5" s="33" t="str">
        <f>IFERROR(__xludf.DUMMYFUNCTION("IMPORTDATA(AV5)"),"82.69")</f>
        <v>82.69</v>
      </c>
    </row>
    <row r="6" ht="22.5" customHeight="1">
      <c r="A6" s="61"/>
      <c r="B6" s="71" t="s">
        <v>35</v>
      </c>
      <c r="C6" s="72">
        <f>AU2</f>
        <v>67500</v>
      </c>
      <c r="D6" s="72">
        <f>AU3</f>
        <v>1950</v>
      </c>
      <c r="E6" s="73">
        <f>AU4</f>
        <v>1.44</v>
      </c>
      <c r="F6" s="73">
        <f>AU5</f>
        <v>83</v>
      </c>
      <c r="G6" s="74">
        <f>AU6</f>
        <v>190</v>
      </c>
      <c r="H6" s="74" t="s">
        <v>30</v>
      </c>
      <c r="I6" s="75">
        <v>1.0</v>
      </c>
      <c r="J6" s="72"/>
      <c r="K6" s="72"/>
      <c r="L6" s="72"/>
      <c r="M6" s="72"/>
      <c r="N6" s="72"/>
      <c r="O6" s="72"/>
      <c r="P6" s="73">
        <f>AU7</f>
        <v>0.096</v>
      </c>
      <c r="Q6" s="74">
        <f>AU8</f>
        <v>8.7</v>
      </c>
      <c r="R6" s="73">
        <f>AU9</f>
        <v>0.0999</v>
      </c>
      <c r="S6" s="76">
        <f>AU10</f>
        <v>0.0000065</v>
      </c>
      <c r="T6" s="77">
        <f>AU11</f>
        <v>1.3</v>
      </c>
      <c r="U6" s="78">
        <f>AU12</f>
        <v>0.157</v>
      </c>
      <c r="V6" s="74">
        <f>AU13</f>
        <v>125</v>
      </c>
      <c r="W6" s="79">
        <f>AU14</f>
        <v>0.00165</v>
      </c>
      <c r="X6" s="79">
        <f>AU15</f>
        <v>1.2</v>
      </c>
      <c r="Y6" s="80">
        <f>AU16</f>
        <v>0.00043</v>
      </c>
      <c r="Z6" s="80">
        <f>AU17</f>
        <v>0.0000044</v>
      </c>
      <c r="AA6" s="80">
        <f>AU18</f>
        <v>0.23</v>
      </c>
      <c r="AB6" s="81">
        <f>AU19</f>
        <v>0.6</v>
      </c>
      <c r="AC6" s="29"/>
      <c r="AD6" s="29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82" t="s">
        <v>36</v>
      </c>
      <c r="AU6" s="31">
        <v>190.0</v>
      </c>
      <c r="AV6" s="46" t="s">
        <v>37</v>
      </c>
      <c r="AW6" s="33" t="str">
        <f>IFERROR(__xludf.DUMMYFUNCTION("IMPORTDATA(AV6)"),"189.87")</f>
        <v>189.87</v>
      </c>
    </row>
    <row r="7" ht="22.5" customHeight="1">
      <c r="A7" s="61"/>
      <c r="B7" s="83" t="s">
        <v>38</v>
      </c>
      <c r="C7" s="72">
        <v>59283.0</v>
      </c>
      <c r="D7" s="84">
        <v>2405.0</v>
      </c>
      <c r="E7" s="85">
        <v>6.28</v>
      </c>
      <c r="F7" s="85">
        <v>141.0</v>
      </c>
      <c r="G7" s="86">
        <v>317.0</v>
      </c>
      <c r="H7" s="86" t="s">
        <v>30</v>
      </c>
      <c r="I7" s="75" t="s">
        <v>30</v>
      </c>
      <c r="J7" s="87"/>
      <c r="K7" s="87"/>
      <c r="L7" s="87"/>
      <c r="M7" s="87"/>
      <c r="N7" s="87"/>
      <c r="O7" s="87"/>
      <c r="P7" s="85">
        <v>1.61</v>
      </c>
      <c r="Q7" s="86">
        <v>10.95</v>
      </c>
      <c r="R7" s="85">
        <v>0.10172</v>
      </c>
      <c r="S7" s="76">
        <v>1.4E-5</v>
      </c>
      <c r="T7" s="77">
        <v>1.6</v>
      </c>
      <c r="U7" s="78">
        <v>0.9355</v>
      </c>
      <c r="V7" s="86">
        <v>172.58</v>
      </c>
      <c r="W7" s="79">
        <v>0.0111</v>
      </c>
      <c r="X7" s="79">
        <v>4.29</v>
      </c>
      <c r="Y7" s="88">
        <v>0.009774</v>
      </c>
      <c r="Z7" s="88">
        <v>1.78E-5</v>
      </c>
      <c r="AA7" s="80">
        <v>3.35</v>
      </c>
      <c r="AB7" s="81">
        <v>6.35</v>
      </c>
      <c r="AC7" s="89"/>
      <c r="AD7" s="29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90" t="s">
        <v>12</v>
      </c>
      <c r="AU7" s="31">
        <v>0.096</v>
      </c>
      <c r="AV7" s="60" t="s">
        <v>39</v>
      </c>
      <c r="AW7" s="33" t="str">
        <f>IFERROR(__xludf.DUMMYFUNCTION("IMPORTDATA(AV7)"),"0.098075")</f>
        <v>0.098075</v>
      </c>
    </row>
    <row r="8" ht="26.25" customHeight="1">
      <c r="A8" s="1"/>
      <c r="B8" s="91" t="s">
        <v>40</v>
      </c>
      <c r="C8" s="92">
        <f t="shared" ref="C8:G8" si="5">(C6-C7)/C7</f>
        <v>0.1386063458</v>
      </c>
      <c r="D8" s="92">
        <f t="shared" si="5"/>
        <v>-0.1891891892</v>
      </c>
      <c r="E8" s="92">
        <f t="shared" si="5"/>
        <v>-0.7707006369</v>
      </c>
      <c r="F8" s="92">
        <f t="shared" si="5"/>
        <v>-0.4113475177</v>
      </c>
      <c r="G8" s="92">
        <f t="shared" si="5"/>
        <v>-0.4006309148</v>
      </c>
      <c r="H8" s="92">
        <f>(P8*P5+Q8*Q5+R8*R5+S8*S5+T8*T5+U8*U5+V8*V5+W5*W8+X5*X8+Y5*Y8+Z5*Z8+AA5*AA8+AB5*AB8)/H5</f>
        <v>0.4989353613</v>
      </c>
      <c r="I8" s="93"/>
      <c r="J8" s="93"/>
      <c r="K8" s="93"/>
      <c r="L8" s="93"/>
      <c r="M8" s="92"/>
      <c r="N8" s="92"/>
      <c r="O8" s="92"/>
      <c r="P8" s="92">
        <f t="shared" ref="P8:AB8" si="6">(P6-P7)/P7</f>
        <v>-0.9403726708</v>
      </c>
      <c r="Q8" s="92">
        <f t="shared" si="6"/>
        <v>-0.2054794521</v>
      </c>
      <c r="R8" s="92">
        <f t="shared" si="6"/>
        <v>-0.01789225324</v>
      </c>
      <c r="S8" s="92">
        <f t="shared" si="6"/>
        <v>-0.5357142857</v>
      </c>
      <c r="T8" s="92">
        <f t="shared" si="6"/>
        <v>-0.1875</v>
      </c>
      <c r="U8" s="94">
        <f t="shared" si="6"/>
        <v>-0.8321753073</v>
      </c>
      <c r="V8" s="95">
        <f t="shared" si="6"/>
        <v>-0.2756982269</v>
      </c>
      <c r="W8" s="96">
        <f t="shared" si="6"/>
        <v>-0.8513513514</v>
      </c>
      <c r="X8" s="95">
        <f t="shared" si="6"/>
        <v>-0.7202797203</v>
      </c>
      <c r="Y8" s="95">
        <f t="shared" si="6"/>
        <v>-0.9560057295</v>
      </c>
      <c r="Z8" s="95">
        <f t="shared" si="6"/>
        <v>-0.7528089888</v>
      </c>
      <c r="AA8" s="95">
        <f t="shared" si="6"/>
        <v>-0.9313432836</v>
      </c>
      <c r="AB8" s="97">
        <f t="shared" si="6"/>
        <v>-0.905511811</v>
      </c>
      <c r="AC8" s="98"/>
      <c r="AD8" s="99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00"/>
      <c r="AR8" s="1"/>
      <c r="AS8" s="101"/>
      <c r="AT8" s="102" t="s">
        <v>13</v>
      </c>
      <c r="AU8" s="31">
        <v>8.7</v>
      </c>
      <c r="AV8" s="60" t="s">
        <v>41</v>
      </c>
      <c r="AW8" s="33" t="str">
        <f>IFERROR(__xludf.DUMMYFUNCTION("IMPORTDATA(AV8)"),"8.71")</f>
        <v>8.71</v>
      </c>
    </row>
    <row r="9" ht="25.5" customHeight="1">
      <c r="A9" s="1"/>
      <c r="B9" s="1"/>
      <c r="C9" s="103"/>
      <c r="D9" s="1"/>
      <c r="E9" s="1"/>
      <c r="F9" s="1"/>
      <c r="G9" s="1"/>
      <c r="H9" s="1"/>
      <c r="I9" s="104" t="s">
        <v>42</v>
      </c>
      <c r="O9" s="1"/>
      <c r="P9" s="105"/>
      <c r="Q9" s="105"/>
      <c r="R9" s="105"/>
      <c r="S9" s="105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8" t="s">
        <v>14</v>
      </c>
      <c r="AU9" s="31">
        <v>0.0999</v>
      </c>
      <c r="AV9" s="106" t="s">
        <v>43</v>
      </c>
      <c r="AW9" s="33" t="str">
        <f>IFERROR(__xludf.DUMMYFUNCTION("IMPORTDATA(AV9)"),"0.099931")</f>
        <v>0.099931</v>
      </c>
    </row>
    <row r="10">
      <c r="A10" s="1"/>
      <c r="B10" s="1"/>
      <c r="C10" s="103"/>
      <c r="D10" s="1"/>
      <c r="E10" s="1"/>
      <c r="F10" s="1"/>
      <c r="G10" s="1"/>
      <c r="H10" s="1"/>
      <c r="I10" s="107" t="s">
        <v>44</v>
      </c>
      <c r="K10" s="108" t="s">
        <v>45</v>
      </c>
      <c r="M10" s="108" t="s">
        <v>46</v>
      </c>
      <c r="N10" s="108" t="s">
        <v>47</v>
      </c>
      <c r="O10" s="1"/>
      <c r="P10" s="109"/>
      <c r="Q10" s="109"/>
      <c r="R10" s="110"/>
      <c r="S10" s="1"/>
      <c r="T10" s="1"/>
      <c r="U10" s="1"/>
      <c r="V10" s="1"/>
      <c r="W10" s="1"/>
      <c r="X10" s="1"/>
      <c r="Y10" s="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2" t="s">
        <v>15</v>
      </c>
      <c r="AU10" s="31">
        <v>6.5E-6</v>
      </c>
      <c r="AV10" s="113" t="s">
        <v>48</v>
      </c>
      <c r="AW10" s="33" t="str">
        <f>IFERROR(__xludf.DUMMYFUNCTION("IMPORTDATA(AV10)"),"6.42e-06")</f>
        <v>6.42e-06</v>
      </c>
    </row>
    <row r="11">
      <c r="A11" s="1"/>
      <c r="B11" s="1"/>
      <c r="C11" s="103"/>
      <c r="D11" s="1"/>
      <c r="E11" s="1"/>
      <c r="F11" s="1"/>
      <c r="G11" s="1"/>
      <c r="H11" s="1"/>
      <c r="I11" s="114">
        <f>VLOOKUP($B$4,BILAN!1:1000,14)</f>
        <v>37467.52166</v>
      </c>
      <c r="K11" s="114">
        <f>SUM(C3:I3)</f>
        <v>38821.35275</v>
      </c>
      <c r="M11" s="115">
        <f>(K11-I11)/I11</f>
        <v>0.03613345733</v>
      </c>
      <c r="N11" s="114">
        <f>K11-I11</f>
        <v>1353.831095</v>
      </c>
      <c r="O11" s="1"/>
      <c r="P11" s="109"/>
      <c r="Q11" s="109"/>
      <c r="R11" s="110"/>
      <c r="S11" s="1"/>
      <c r="T11" s="1"/>
      <c r="U11" s="1"/>
      <c r="V11" s="1"/>
      <c r="W11" s="1"/>
      <c r="X11" s="116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20" t="s">
        <v>16</v>
      </c>
      <c r="AU11" s="31">
        <v>1.3</v>
      </c>
      <c r="AV11" s="106" t="s">
        <v>49</v>
      </c>
      <c r="AW11" s="33" t="str">
        <f>IFERROR(__xludf.DUMMYFUNCTION("IMPORTDATA(AV11)"),"1.29")</f>
        <v>1.29</v>
      </c>
    </row>
    <row r="12">
      <c r="A12" s="117"/>
      <c r="B12" s="1"/>
      <c r="C12" s="103"/>
      <c r="D12" s="1"/>
      <c r="E12" s="1"/>
      <c r="F12" s="1"/>
      <c r="G12" s="1"/>
      <c r="H12" s="1"/>
      <c r="O12" s="1"/>
      <c r="P12" s="109"/>
      <c r="Q12" s="109"/>
      <c r="R12" s="110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18" t="s">
        <v>17</v>
      </c>
      <c r="AU12" s="31">
        <v>0.157</v>
      </c>
      <c r="AV12" s="106" t="s">
        <v>50</v>
      </c>
      <c r="AW12" s="33" t="str">
        <f>IFERROR(__xludf.DUMMYFUNCTION("IMPORTDATA(AV12)"),"0.160764")</f>
        <v>0.160764</v>
      </c>
    </row>
    <row r="13" ht="12.0" customHeight="1">
      <c r="A13" s="1"/>
      <c r="B13" s="1"/>
      <c r="C13" s="10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09"/>
      <c r="Q13" s="109"/>
      <c r="R13" s="110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19" t="s">
        <v>18</v>
      </c>
      <c r="AU13" s="31">
        <v>125.0</v>
      </c>
      <c r="AV13" s="106" t="s">
        <v>51</v>
      </c>
      <c r="AW13" s="33" t="str">
        <f>IFERROR(__xludf.DUMMYFUNCTION("IMPORTDATA(AV13)"),"125.79")</f>
        <v>125.79</v>
      </c>
    </row>
    <row r="14" ht="12.0" customHeight="1">
      <c r="A14" s="1"/>
      <c r="B14" s="1"/>
      <c r="C14" s="10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20"/>
      <c r="Q14" s="120"/>
      <c r="R14" s="120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21" t="s">
        <v>19</v>
      </c>
      <c r="AU14" s="31">
        <v>0.00165</v>
      </c>
      <c r="AV14" s="122" t="s">
        <v>52</v>
      </c>
      <c r="AW14" s="33" t="str">
        <f>IFERROR(__xludf.DUMMYFUNCTION("IMPORTDATA(AV14)"),"0.00164314")</f>
        <v>0.00164314</v>
      </c>
    </row>
    <row r="15" ht="12.0" customHeight="1">
      <c r="A15" s="1"/>
      <c r="B15" s="1"/>
      <c r="C15" s="103"/>
      <c r="D15" s="1"/>
      <c r="E15" s="1"/>
      <c r="F15" s="1"/>
      <c r="G15" s="1"/>
      <c r="H15" s="1"/>
      <c r="I15" s="123"/>
      <c r="J15" s="123"/>
      <c r="K15" s="123"/>
      <c r="L15" s="123"/>
      <c r="M15" s="123"/>
      <c r="N15" s="123"/>
      <c r="O15" s="1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25" t="s">
        <v>20</v>
      </c>
      <c r="AU15" s="31">
        <v>1.2</v>
      </c>
      <c r="AV15" s="106" t="s">
        <v>53</v>
      </c>
      <c r="AW15" s="33" t="str">
        <f>IFERROR(__xludf.DUMMYFUNCTION("IMPORTDATA(AV15)"),"1.22")</f>
        <v>1.22</v>
      </c>
    </row>
    <row r="16" ht="12.0" customHeight="1">
      <c r="A16" s="1"/>
      <c r="B16" s="1"/>
      <c r="C16" s="103"/>
      <c r="D16" s="1"/>
      <c r="E16" s="1"/>
      <c r="F16" s="1"/>
      <c r="G16" s="1"/>
      <c r="H16" s="1"/>
      <c r="I16" s="126"/>
      <c r="J16" s="126"/>
      <c r="K16" s="126"/>
      <c r="L16" s="126"/>
      <c r="M16" s="126"/>
      <c r="N16" s="126"/>
      <c r="O16" s="1"/>
      <c r="P16" s="109"/>
      <c r="Q16" s="109"/>
      <c r="R16" s="109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27" t="s">
        <v>21</v>
      </c>
      <c r="AU16" s="31">
        <v>4.3E-4</v>
      </c>
      <c r="AV16" s="60" t="s">
        <v>54</v>
      </c>
      <c r="AW16" s="33" t="str">
        <f>IFERROR(__xludf.DUMMYFUNCTION("IMPORTDATA(AV16)"),"0.00042636")</f>
        <v>0.00042636</v>
      </c>
    </row>
    <row r="17" ht="12.0" customHeight="1">
      <c r="A17" s="1"/>
      <c r="B17" s="1"/>
      <c r="C17" s="103"/>
      <c r="D17" s="1"/>
      <c r="E17" s="1"/>
      <c r="F17" s="1"/>
      <c r="G17" s="1"/>
      <c r="H17" s="1"/>
      <c r="I17" s="128"/>
      <c r="J17" s="129"/>
      <c r="K17" s="130"/>
      <c r="L17" s="130"/>
      <c r="M17" s="131"/>
      <c r="N17" s="13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33" t="s">
        <v>22</v>
      </c>
      <c r="AU17" s="31">
        <v>4.4E-6</v>
      </c>
      <c r="AV17" s="60" t="s">
        <v>55</v>
      </c>
      <c r="AW17" s="33" t="str">
        <f>IFERROR(__xludf.DUMMYFUNCTION("IMPORTDATA(AV17)"),"4.32e-06")</f>
        <v>4.32e-06</v>
      </c>
    </row>
    <row r="18" ht="12.0" customHeight="1">
      <c r="A18" s="1"/>
      <c r="B18" s="1"/>
      <c r="C18" s="103"/>
      <c r="D18" s="1"/>
      <c r="E18" s="1"/>
      <c r="F18" s="1"/>
      <c r="G18" s="1"/>
      <c r="H18" s="1"/>
      <c r="I18" s="128"/>
      <c r="J18" s="129"/>
      <c r="K18" s="130"/>
      <c r="L18" s="130"/>
      <c r="M18" s="134"/>
      <c r="N18" s="13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35" t="s">
        <v>23</v>
      </c>
      <c r="AU18" s="31">
        <v>0.23</v>
      </c>
      <c r="AV18" s="106" t="s">
        <v>56</v>
      </c>
      <c r="AW18" s="33" t="str">
        <f>IFERROR(__xludf.DUMMYFUNCTION("IMPORTDATA(AV18)"),"0.227432")</f>
        <v>0.227432</v>
      </c>
    </row>
    <row r="19">
      <c r="A19" s="1"/>
      <c r="B19" s="1"/>
      <c r="C19" s="103"/>
      <c r="D19" s="1"/>
      <c r="E19" s="1"/>
      <c r="F19" s="1"/>
      <c r="G19" s="1"/>
      <c r="H19" s="1"/>
      <c r="I19" s="4"/>
      <c r="J19" s="105" t="s">
        <v>57</v>
      </c>
      <c r="N19" s="132" t="str">
        <f>IF(M19="","", IF(J19="Invest",#REF!-K19,#REF!+K19))</f>
        <v/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26" t="s">
        <v>24</v>
      </c>
      <c r="AU19" s="136">
        <v>0.6</v>
      </c>
      <c r="AV19" s="137" t="s">
        <v>58</v>
      </c>
      <c r="AW19" s="33" t="str">
        <f>IFERROR(__xludf.DUMMYFUNCTION("IMPORTDATA(AV19)"),"0.661748")</f>
        <v>0.661748</v>
      </c>
    </row>
    <row r="20">
      <c r="A20" s="1"/>
      <c r="B20" s="1"/>
      <c r="C20" s="103"/>
      <c r="D20" s="1"/>
      <c r="E20" s="1"/>
      <c r="F20" s="1"/>
      <c r="G20" s="1"/>
      <c r="H20" s="1"/>
      <c r="I20" s="138"/>
      <c r="J20" s="139" t="s">
        <v>25</v>
      </c>
      <c r="K20" s="140">
        <v>63000.0</v>
      </c>
      <c r="L20" s="141">
        <f>C6</f>
        <v>67500</v>
      </c>
      <c r="M20" s="142">
        <f t="shared" ref="M20:M29" si="7">(L20-K20)/K20</f>
        <v>0.07142857143</v>
      </c>
      <c r="N20" s="13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43"/>
      <c r="AV20" s="1"/>
      <c r="AW20" s="1"/>
    </row>
    <row r="21">
      <c r="A21" s="1"/>
      <c r="B21" s="1"/>
      <c r="C21" s="103"/>
      <c r="D21" s="1"/>
      <c r="E21" s="1"/>
      <c r="F21" s="1"/>
      <c r="G21" s="1"/>
      <c r="H21" s="1"/>
      <c r="I21" s="138"/>
      <c r="J21" s="139" t="s">
        <v>6</v>
      </c>
      <c r="K21" s="144">
        <v>2650.0</v>
      </c>
      <c r="L21" s="145">
        <f>D6</f>
        <v>1950</v>
      </c>
      <c r="M21" s="110">
        <f t="shared" si="7"/>
        <v>-0.2641509434</v>
      </c>
      <c r="N21" s="13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43"/>
      <c r="AV21" s="1"/>
      <c r="AW21" s="1"/>
    </row>
    <row r="22">
      <c r="A22" s="1"/>
      <c r="B22" s="1"/>
      <c r="C22" s="103"/>
      <c r="D22" s="1"/>
      <c r="E22" s="1"/>
      <c r="F22" s="1"/>
      <c r="G22" s="1"/>
      <c r="H22" s="1"/>
      <c r="I22" s="1"/>
      <c r="J22" s="139" t="s">
        <v>7</v>
      </c>
      <c r="K22" s="144">
        <v>6.666</v>
      </c>
      <c r="L22" s="146">
        <f>E6</f>
        <v>1.44</v>
      </c>
      <c r="M22" s="110">
        <f t="shared" si="7"/>
        <v>-0.7839783978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43"/>
      <c r="AV22" s="1"/>
      <c r="AW22" s="1"/>
    </row>
    <row r="23">
      <c r="A23" s="1"/>
      <c r="B23" s="1"/>
      <c r="C23" s="103"/>
      <c r="D23" s="1"/>
      <c r="E23" s="1"/>
      <c r="F23" s="1"/>
      <c r="G23" s="1"/>
      <c r="H23" s="1"/>
      <c r="I23" s="1"/>
      <c r="J23" s="139" t="s">
        <v>33</v>
      </c>
      <c r="K23" s="144">
        <v>155.0</v>
      </c>
      <c r="L23" s="146">
        <f>F6</f>
        <v>83</v>
      </c>
      <c r="M23" s="110">
        <f t="shared" si="7"/>
        <v>-0.464516129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43"/>
      <c r="AV23" s="1"/>
      <c r="AW23" s="1"/>
    </row>
    <row r="24" ht="18.75" customHeight="1">
      <c r="A24" s="1"/>
      <c r="B24" s="1"/>
      <c r="C24" s="103"/>
      <c r="D24" s="1"/>
      <c r="E24" s="1"/>
      <c r="F24" s="1"/>
      <c r="G24" s="1"/>
      <c r="H24" s="1"/>
      <c r="I24" s="1"/>
      <c r="J24" s="139" t="s">
        <v>36</v>
      </c>
      <c r="K24" s="144">
        <v>295.0</v>
      </c>
      <c r="L24" s="146">
        <f>G6</f>
        <v>190</v>
      </c>
      <c r="M24" s="110">
        <f t="shared" si="7"/>
        <v>-0.3559322034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43"/>
      <c r="AV24" s="1"/>
      <c r="AW24" s="1"/>
    </row>
    <row r="25">
      <c r="A25" s="1"/>
      <c r="B25" s="1"/>
      <c r="C25" s="103"/>
      <c r="D25" s="1"/>
      <c r="E25" s="1"/>
      <c r="F25" s="1"/>
      <c r="G25" s="1"/>
      <c r="H25" s="1"/>
      <c r="I25" s="1"/>
      <c r="J25" s="139" t="s">
        <v>12</v>
      </c>
      <c r="K25" s="144">
        <v>1.55</v>
      </c>
      <c r="L25" s="146">
        <f>P6</f>
        <v>0.096</v>
      </c>
      <c r="M25" s="110">
        <f t="shared" si="7"/>
        <v>-0.9380645161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43"/>
      <c r="AV25" s="1"/>
      <c r="AW25" s="1"/>
    </row>
    <row r="26">
      <c r="A26" s="1"/>
      <c r="B26" s="1"/>
      <c r="C26" s="103"/>
      <c r="D26" s="1"/>
      <c r="E26" s="1"/>
      <c r="F26" s="1"/>
      <c r="G26" s="1"/>
      <c r="H26" s="1"/>
      <c r="I26" s="1"/>
      <c r="J26" s="139" t="s">
        <v>13</v>
      </c>
      <c r="K26" s="144">
        <v>10.2</v>
      </c>
      <c r="L26" s="146">
        <f>Q6</f>
        <v>8.7</v>
      </c>
      <c r="M26" s="110">
        <f t="shared" si="7"/>
        <v>-0.1470588235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43"/>
      <c r="AV26" s="1"/>
      <c r="AW26" s="1"/>
    </row>
    <row r="27">
      <c r="A27" s="1"/>
      <c r="B27" s="1"/>
      <c r="C27" s="103"/>
      <c r="D27" s="1"/>
      <c r="E27" s="1"/>
      <c r="F27" s="1"/>
      <c r="G27" s="1"/>
      <c r="H27" s="1"/>
      <c r="I27" s="1"/>
      <c r="J27" s="139" t="s">
        <v>14</v>
      </c>
      <c r="K27" s="109">
        <v>0.1025</v>
      </c>
      <c r="L27" s="146">
        <f>R6</f>
        <v>0.0999</v>
      </c>
      <c r="M27" s="110">
        <f t="shared" si="7"/>
        <v>-0.02536585366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43"/>
      <c r="AV27" s="1"/>
      <c r="AW27" s="1"/>
    </row>
    <row r="28">
      <c r="A28" s="1"/>
      <c r="B28" s="1"/>
      <c r="C28" s="103"/>
      <c r="D28" s="1"/>
      <c r="E28" s="1"/>
      <c r="F28" s="1"/>
      <c r="G28" s="1"/>
      <c r="H28" s="1"/>
      <c r="I28" s="1"/>
      <c r="J28" s="139" t="s">
        <v>59</v>
      </c>
      <c r="K28" s="109">
        <v>5350.0</v>
      </c>
      <c r="L28" s="109">
        <v>7000.0</v>
      </c>
      <c r="M28" s="110">
        <f t="shared" si="7"/>
        <v>0.308411215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43"/>
      <c r="AV28" s="1"/>
      <c r="AW28" s="1"/>
    </row>
    <row r="29">
      <c r="A29" s="1"/>
      <c r="B29" s="1"/>
      <c r="C29" s="103"/>
      <c r="D29" s="1"/>
      <c r="E29" s="1"/>
      <c r="F29" s="1"/>
      <c r="G29" s="1"/>
      <c r="H29" s="1"/>
      <c r="I29" s="1"/>
      <c r="J29" s="139" t="s">
        <v>60</v>
      </c>
      <c r="K29" s="109">
        <v>19000.0</v>
      </c>
      <c r="L29" s="109">
        <v>25200.0</v>
      </c>
      <c r="M29" s="110">
        <f t="shared" si="7"/>
        <v>0.3263157895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43"/>
      <c r="AV29" s="1"/>
      <c r="AW29" s="1"/>
    </row>
    <row r="30">
      <c r="A30" s="1"/>
      <c r="B30" s="1"/>
      <c r="C30" s="103"/>
      <c r="D30" s="1"/>
      <c r="E30" s="1"/>
      <c r="F30" s="1"/>
      <c r="G30" s="1"/>
      <c r="H30" s="1"/>
      <c r="I30" s="1"/>
      <c r="J30" s="120" t="s">
        <v>61</v>
      </c>
      <c r="K30" s="147">
        <v>45515.0</v>
      </c>
      <c r="L30" s="120" t="s">
        <v>62</v>
      </c>
      <c r="M30" s="120" t="s">
        <v>63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43"/>
      <c r="AV30" s="1"/>
      <c r="AW30" s="1"/>
    </row>
    <row r="31">
      <c r="A31" s="1"/>
      <c r="B31" s="1"/>
      <c r="C31" s="10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24"/>
      <c r="Q31" s="124"/>
      <c r="R31" s="124"/>
      <c r="S31" s="124"/>
      <c r="T31" s="124"/>
      <c r="U31" s="124"/>
      <c r="V31" s="12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43"/>
      <c r="AV31" s="1"/>
      <c r="AW31" s="1"/>
    </row>
    <row r="32">
      <c r="A32" s="1"/>
      <c r="B32" s="1"/>
      <c r="C32" s="103"/>
      <c r="D32" s="1"/>
      <c r="E32" s="1"/>
      <c r="F32" s="1"/>
      <c r="G32" s="1"/>
      <c r="H32" s="1"/>
      <c r="I32" s="148"/>
      <c r="J32" s="148"/>
      <c r="K32" s="148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43"/>
      <c r="AV32" s="1"/>
      <c r="AW32" s="1"/>
    </row>
    <row r="33">
      <c r="A33" s="1"/>
      <c r="B33" s="1"/>
      <c r="C33" s="103"/>
      <c r="D33" s="1"/>
      <c r="E33" s="1"/>
      <c r="F33" s="1"/>
      <c r="G33" s="1"/>
      <c r="H33" s="1"/>
      <c r="I33" s="148"/>
      <c r="J33" s="148"/>
      <c r="K33" s="148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43"/>
      <c r="AV33" s="1"/>
      <c r="AW33" s="1"/>
    </row>
    <row r="34">
      <c r="A34" s="1"/>
      <c r="B34" s="1"/>
      <c r="C34" s="10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49"/>
      <c r="AQ34" s="1"/>
      <c r="AR34" s="1"/>
      <c r="AS34" s="1"/>
      <c r="AT34" s="1"/>
      <c r="AU34" s="143"/>
      <c r="AV34" s="1"/>
      <c r="A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43"/>
      <c r="AV35" s="1"/>
      <c r="A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43"/>
      <c r="AV36" s="1"/>
      <c r="A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43"/>
      <c r="AV37" s="1"/>
      <c r="A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43"/>
      <c r="AV38" s="1"/>
      <c r="A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43"/>
      <c r="AV39" s="1"/>
      <c r="A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43"/>
      <c r="AV40" s="1"/>
      <c r="A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43"/>
      <c r="AV41" s="1"/>
      <c r="A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43"/>
      <c r="AV42" s="1"/>
      <c r="A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43"/>
      <c r="AV43" s="1"/>
      <c r="A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43"/>
      <c r="AV44" s="1"/>
      <c r="A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24"/>
      <c r="T45" s="124"/>
      <c r="U45" s="124"/>
      <c r="V45" s="124"/>
      <c r="W45" s="124"/>
      <c r="X45" s="124"/>
      <c r="Y45" s="124"/>
      <c r="Z45" s="124"/>
      <c r="AA45" s="124"/>
      <c r="AB45" s="124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50"/>
      <c r="AV45" s="124"/>
      <c r="AW45" s="124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43"/>
      <c r="AV46" s="1"/>
      <c r="A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43"/>
      <c r="AV47" s="1"/>
      <c r="AW47" s="1"/>
    </row>
    <row r="48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24"/>
      <c r="Q48" s="124"/>
      <c r="R48" s="124"/>
      <c r="S48" s="124"/>
      <c r="T48" s="124"/>
      <c r="U48" s="124"/>
      <c r="V48" s="124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43"/>
      <c r="AV48" s="1"/>
      <c r="A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43"/>
      <c r="AV49" s="1"/>
      <c r="A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43"/>
      <c r="AV50" s="1"/>
      <c r="A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43"/>
      <c r="AV51" s="1"/>
      <c r="A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51"/>
      <c r="Q52" s="151"/>
      <c r="R52" s="151"/>
      <c r="S52" s="151"/>
      <c r="T52" s="151"/>
      <c r="U52" s="151"/>
      <c r="V52" s="15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43"/>
      <c r="AV52" s="1"/>
      <c r="A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43"/>
      <c r="AV53" s="1"/>
      <c r="A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43"/>
      <c r="AV54" s="1"/>
      <c r="A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43"/>
      <c r="AV55" s="1"/>
      <c r="A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43"/>
      <c r="AV56" s="1"/>
      <c r="A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43"/>
      <c r="AV57" s="1"/>
      <c r="A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43"/>
      <c r="AV58" s="1"/>
      <c r="A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43"/>
      <c r="AV59" s="1"/>
      <c r="A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43"/>
      <c r="AV60" s="1"/>
      <c r="A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43"/>
      <c r="AV61" s="1"/>
      <c r="A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43"/>
      <c r="AV62" s="1"/>
      <c r="A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43"/>
      <c r="AV63" s="1"/>
      <c r="A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43"/>
      <c r="AV64" s="1"/>
      <c r="A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43"/>
      <c r="AV65" s="1"/>
      <c r="A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43"/>
      <c r="AV66" s="1"/>
      <c r="A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43"/>
      <c r="AV67" s="1"/>
      <c r="A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43"/>
      <c r="AV68" s="1"/>
      <c r="A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43"/>
      <c r="AV69" s="1"/>
      <c r="A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43"/>
      <c r="AV70" s="1"/>
      <c r="A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43"/>
      <c r="AV71" s="1"/>
      <c r="A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43"/>
      <c r="AV72" s="1"/>
      <c r="A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43"/>
      <c r="AV73" s="1"/>
      <c r="A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43"/>
      <c r="AV74" s="1"/>
      <c r="A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43"/>
      <c r="AV75" s="1"/>
      <c r="A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43"/>
      <c r="AV76" s="1"/>
      <c r="A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00"/>
      <c r="AU77" s="143"/>
      <c r="AV77" s="1"/>
      <c r="A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16"/>
      <c r="AT78" s="100"/>
      <c r="AU78" s="143"/>
      <c r="AV78" s="1"/>
      <c r="A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43"/>
      <c r="AV79" s="1"/>
      <c r="A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43"/>
      <c r="AV80" s="1"/>
      <c r="A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43"/>
      <c r="AV81" s="1"/>
      <c r="A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43"/>
      <c r="AV82" s="1"/>
      <c r="A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43"/>
      <c r="AV83" s="1"/>
      <c r="A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43"/>
      <c r="AV84" s="1"/>
      <c r="A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43"/>
      <c r="AV85" s="1"/>
      <c r="A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43"/>
      <c r="AV86" s="1"/>
      <c r="A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43"/>
      <c r="AV87" s="1"/>
      <c r="A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43"/>
      <c r="AV88" s="1"/>
      <c r="A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43"/>
      <c r="AV89" s="1"/>
      <c r="A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43"/>
      <c r="AV90" s="1"/>
      <c r="A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43"/>
      <c r="AV91" s="1"/>
      <c r="A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43"/>
      <c r="AV92" s="1"/>
      <c r="A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43"/>
      <c r="AV93" s="1"/>
      <c r="A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43"/>
      <c r="AV94" s="1"/>
      <c r="A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43"/>
      <c r="AV95" s="1"/>
      <c r="A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43"/>
      <c r="AV96" s="1"/>
      <c r="A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43"/>
      <c r="AV97" s="1"/>
      <c r="A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43"/>
      <c r="AV98" s="1"/>
      <c r="A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43"/>
      <c r="AV99" s="1"/>
      <c r="A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43"/>
      <c r="AV100" s="1"/>
      <c r="A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43"/>
      <c r="AV101" s="1"/>
      <c r="A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43"/>
      <c r="AV102" s="1"/>
      <c r="A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43"/>
      <c r="AV103" s="1"/>
      <c r="A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43"/>
      <c r="AV104" s="1"/>
      <c r="A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43"/>
      <c r="AV105" s="1"/>
      <c r="A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43"/>
      <c r="AV106" s="1"/>
      <c r="AW106" s="1"/>
    </row>
    <row r="107">
      <c r="A107" s="7" t="s">
        <v>4</v>
      </c>
      <c r="B107" s="8" t="s">
        <v>25</v>
      </c>
      <c r="C107" s="9" t="s">
        <v>6</v>
      </c>
      <c r="D107" s="10" t="s">
        <v>7</v>
      </c>
      <c r="E107" s="11" t="s">
        <v>33</v>
      </c>
      <c r="F107" s="12" t="s">
        <v>36</v>
      </c>
      <c r="G107" s="16" t="s">
        <v>12</v>
      </c>
      <c r="H107" s="17" t="s">
        <v>13</v>
      </c>
      <c r="I107" s="18" t="s">
        <v>14</v>
      </c>
      <c r="J107" s="19" t="s">
        <v>15</v>
      </c>
      <c r="K107" s="20" t="s">
        <v>16</v>
      </c>
      <c r="L107" s="118" t="s">
        <v>17</v>
      </c>
      <c r="M107" s="119" t="s">
        <v>18</v>
      </c>
      <c r="N107" s="152" t="s">
        <v>19</v>
      </c>
      <c r="O107" s="125" t="s">
        <v>20</v>
      </c>
      <c r="P107" s="14" t="s">
        <v>11</v>
      </c>
      <c r="Q107" s="18"/>
      <c r="R107" s="19"/>
      <c r="S107" s="20"/>
      <c r="T107" s="118"/>
      <c r="U107" s="119"/>
      <c r="V107" s="152"/>
      <c r="W107" s="125"/>
      <c r="X107" s="14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43"/>
      <c r="AV107" s="1"/>
      <c r="AW107" s="1"/>
    </row>
    <row r="108">
      <c r="A108" s="153">
        <f t="shared" ref="A108:F108" si="8">B3</f>
        <v>46071</v>
      </c>
      <c r="B108" s="36">
        <f t="shared" si="8"/>
        <v>24971.31697</v>
      </c>
      <c r="C108" s="36">
        <f t="shared" si="8"/>
        <v>3517.642481</v>
      </c>
      <c r="D108" s="36">
        <f t="shared" si="8"/>
        <v>0.00200198761</v>
      </c>
      <c r="E108" s="36">
        <f t="shared" si="8"/>
        <v>0</v>
      </c>
      <c r="F108" s="36">
        <f t="shared" si="8"/>
        <v>0</v>
      </c>
      <c r="G108" s="36">
        <f t="shared" ref="G108:O108" si="9">P3</f>
        <v>0</v>
      </c>
      <c r="H108" s="154">
        <f t="shared" si="9"/>
        <v>0</v>
      </c>
      <c r="I108" s="154">
        <f t="shared" si="9"/>
        <v>-0.004171868391</v>
      </c>
      <c r="J108" s="154">
        <f t="shared" si="9"/>
        <v>-0.0000001264418334</v>
      </c>
      <c r="K108" s="155">
        <f t="shared" si="9"/>
        <v>0</v>
      </c>
      <c r="L108" s="154">
        <f t="shared" si="9"/>
        <v>0</v>
      </c>
      <c r="M108" s="154">
        <f t="shared" si="9"/>
        <v>0</v>
      </c>
      <c r="N108" s="154">
        <f t="shared" si="9"/>
        <v>0</v>
      </c>
      <c r="O108" s="154">
        <f t="shared" si="9"/>
        <v>0.001753549754</v>
      </c>
      <c r="P108" s="39">
        <f>I3</f>
        <v>10332.39371</v>
      </c>
      <c r="Q108" s="36"/>
      <c r="R108" s="36"/>
      <c r="S108" s="36"/>
      <c r="T108" s="36"/>
      <c r="U108" s="36"/>
      <c r="V108" s="36"/>
      <c r="W108" s="36"/>
      <c r="X108" s="36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43"/>
      <c r="AV108" s="1"/>
      <c r="A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43"/>
      <c r="AV109" s="1"/>
      <c r="A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43"/>
      <c r="AV110" s="1"/>
      <c r="A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43"/>
      <c r="AV111" s="1"/>
      <c r="A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43"/>
      <c r="AV112" s="1"/>
      <c r="A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43"/>
      <c r="AV113" s="1"/>
      <c r="A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43"/>
      <c r="AV114" s="1"/>
      <c r="A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43"/>
      <c r="AV115" s="1"/>
      <c r="A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43"/>
      <c r="AV116" s="1"/>
      <c r="A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43"/>
      <c r="AV117" s="1"/>
      <c r="A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43"/>
      <c r="AV118" s="1"/>
      <c r="A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43"/>
      <c r="AV119" s="1"/>
      <c r="A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43"/>
      <c r="AV120" s="1"/>
      <c r="A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43"/>
      <c r="AV121" s="1"/>
      <c r="A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43"/>
      <c r="AV122" s="1"/>
      <c r="A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43"/>
      <c r="AV123" s="1"/>
      <c r="A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43"/>
      <c r="AV124" s="1"/>
      <c r="A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43"/>
      <c r="AV125" s="1"/>
      <c r="A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43"/>
      <c r="AV126" s="1"/>
      <c r="A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43"/>
      <c r="AV127" s="1"/>
      <c r="A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43"/>
      <c r="AV128" s="1"/>
      <c r="A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43"/>
      <c r="AV129" s="1"/>
      <c r="A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43"/>
      <c r="AV130" s="1"/>
      <c r="A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43"/>
      <c r="AV131" s="1"/>
      <c r="A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43"/>
      <c r="AV132" s="1"/>
      <c r="A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43"/>
      <c r="AV133" s="1"/>
      <c r="A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43"/>
      <c r="AV134" s="1"/>
      <c r="A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43"/>
      <c r="AV135" s="1"/>
      <c r="A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43"/>
      <c r="AV136" s="1"/>
      <c r="A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43"/>
      <c r="AV137" s="1"/>
      <c r="A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43"/>
      <c r="AV138" s="1"/>
      <c r="A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43"/>
      <c r="AV139" s="1"/>
      <c r="A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43"/>
      <c r="AV140" s="1"/>
      <c r="A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43"/>
      <c r="AV141" s="1"/>
      <c r="A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43"/>
      <c r="AV142" s="1"/>
      <c r="A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43"/>
      <c r="AV143" s="1"/>
      <c r="A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43"/>
      <c r="AV144" s="1"/>
      <c r="A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43"/>
      <c r="AV145" s="1"/>
      <c r="A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43"/>
      <c r="AV146" s="1"/>
      <c r="A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43"/>
      <c r="AV147" s="1"/>
      <c r="A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43"/>
      <c r="AV148" s="1"/>
      <c r="A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43"/>
      <c r="AV149" s="1"/>
      <c r="A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43"/>
      <c r="AV150" s="1"/>
      <c r="A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43"/>
      <c r="AV151" s="1"/>
      <c r="A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43"/>
      <c r="AV152" s="1"/>
      <c r="A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43"/>
      <c r="AV153" s="1"/>
      <c r="A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43"/>
      <c r="AV154" s="1"/>
      <c r="A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43"/>
      <c r="AV155" s="1"/>
      <c r="A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43"/>
      <c r="AV156" s="1"/>
      <c r="A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43"/>
      <c r="AV157" s="1"/>
      <c r="A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43"/>
      <c r="AV158" s="1"/>
      <c r="A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43"/>
      <c r="AV159" s="1"/>
      <c r="A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43"/>
      <c r="AV160" s="1"/>
      <c r="A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43"/>
      <c r="AV161" s="1"/>
      <c r="A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43"/>
      <c r="AV162" s="1"/>
      <c r="A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43"/>
      <c r="AV163" s="1"/>
      <c r="A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43"/>
      <c r="AV164" s="1"/>
      <c r="A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43"/>
      <c r="AV165" s="1"/>
      <c r="A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43"/>
      <c r="AV166" s="1"/>
      <c r="A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43"/>
      <c r="AV167" s="1"/>
      <c r="A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43"/>
      <c r="AV168" s="1"/>
      <c r="A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43"/>
      <c r="AV169" s="1"/>
      <c r="A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43"/>
      <c r="AV170" s="1"/>
      <c r="A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43"/>
      <c r="AV171" s="1"/>
      <c r="A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43"/>
      <c r="AV172" s="1"/>
      <c r="A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43"/>
      <c r="AV173" s="1"/>
      <c r="A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43"/>
      <c r="AV174" s="1"/>
      <c r="A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43"/>
      <c r="AV175" s="1"/>
      <c r="A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43"/>
      <c r="AV176" s="1"/>
      <c r="A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43"/>
      <c r="AV177" s="1"/>
      <c r="A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43"/>
      <c r="AV178" s="1"/>
      <c r="A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43"/>
      <c r="AV179" s="1"/>
      <c r="A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43"/>
      <c r="AV180" s="1"/>
      <c r="A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43"/>
      <c r="AV181" s="1"/>
      <c r="A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43"/>
      <c r="AV182" s="1"/>
      <c r="A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43"/>
      <c r="AV183" s="1"/>
      <c r="A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43"/>
      <c r="AV184" s="1"/>
      <c r="A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43"/>
      <c r="AV185" s="1"/>
      <c r="A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43"/>
      <c r="AV186" s="1"/>
      <c r="A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43"/>
      <c r="AV187" s="1"/>
      <c r="A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43"/>
      <c r="AV188" s="1"/>
      <c r="A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43"/>
      <c r="AV189" s="1"/>
      <c r="A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43"/>
      <c r="AV190" s="1"/>
      <c r="A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43"/>
      <c r="AV191" s="1"/>
      <c r="A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43"/>
      <c r="AV192" s="1"/>
      <c r="A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43"/>
      <c r="AV193" s="1"/>
      <c r="A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43"/>
      <c r="AV194" s="1"/>
      <c r="A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43"/>
      <c r="AV195" s="1"/>
      <c r="A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43"/>
      <c r="AV196" s="1"/>
      <c r="A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43"/>
      <c r="AV197" s="1"/>
      <c r="A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43"/>
      <c r="AV198" s="1"/>
      <c r="A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43"/>
      <c r="AV199" s="1"/>
      <c r="A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43"/>
      <c r="AV200" s="1"/>
      <c r="A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43"/>
      <c r="AV201" s="1"/>
      <c r="A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43"/>
      <c r="AV202" s="1"/>
      <c r="A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43"/>
      <c r="AV203" s="1"/>
      <c r="A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43"/>
      <c r="AV204" s="1"/>
      <c r="A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43"/>
      <c r="AV205" s="1"/>
      <c r="A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43"/>
      <c r="AV206" s="1"/>
      <c r="A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43"/>
      <c r="AV207" s="1"/>
      <c r="A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43"/>
      <c r="AV208" s="1"/>
      <c r="A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43"/>
      <c r="AV209" s="1"/>
      <c r="A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43"/>
      <c r="AV210" s="1"/>
      <c r="A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43"/>
      <c r="AV211" s="1"/>
      <c r="A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43"/>
      <c r="AV212" s="1"/>
      <c r="A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43"/>
      <c r="AV213" s="1"/>
      <c r="A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43"/>
      <c r="AV214" s="1"/>
      <c r="A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43"/>
      <c r="AV215" s="1"/>
      <c r="A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43"/>
      <c r="AV216" s="1"/>
      <c r="A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43"/>
      <c r="AV217" s="1"/>
      <c r="A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43"/>
      <c r="AV218" s="1"/>
      <c r="A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43"/>
      <c r="AV219" s="1"/>
      <c r="A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43"/>
      <c r="AV220" s="1"/>
      <c r="A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43"/>
      <c r="AV221" s="1"/>
      <c r="A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43"/>
      <c r="AV222" s="1"/>
      <c r="A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43"/>
      <c r="AV223" s="1"/>
      <c r="A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43"/>
      <c r="AV224" s="1"/>
      <c r="A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43"/>
      <c r="AV225" s="1"/>
      <c r="A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43"/>
      <c r="AV226" s="1"/>
      <c r="A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43"/>
      <c r="AV227" s="1"/>
      <c r="A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43"/>
      <c r="AV228" s="1"/>
      <c r="A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43"/>
      <c r="AV229" s="1"/>
      <c r="A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43"/>
      <c r="AV230" s="1"/>
      <c r="A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43"/>
      <c r="AV231" s="1"/>
      <c r="A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43"/>
      <c r="AV232" s="1"/>
      <c r="A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43"/>
      <c r="AV233" s="1"/>
      <c r="A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43"/>
      <c r="AV234" s="1"/>
      <c r="A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43"/>
      <c r="AV235" s="1"/>
      <c r="A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43"/>
      <c r="AV236" s="1"/>
      <c r="A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43"/>
      <c r="AV237" s="1"/>
      <c r="A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43"/>
      <c r="AV238" s="1"/>
      <c r="A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43"/>
      <c r="AV239" s="1"/>
      <c r="A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43"/>
      <c r="AV240" s="1"/>
      <c r="A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43"/>
      <c r="AV241" s="1"/>
      <c r="A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43"/>
      <c r="AV242" s="1"/>
      <c r="A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43"/>
      <c r="AV243" s="1"/>
      <c r="A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43"/>
      <c r="AV244" s="1"/>
      <c r="A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43"/>
      <c r="AV245" s="1"/>
      <c r="A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43"/>
      <c r="AV246" s="1"/>
      <c r="A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43"/>
      <c r="AV247" s="1"/>
      <c r="A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43"/>
      <c r="AV248" s="1"/>
      <c r="A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43"/>
      <c r="AV249" s="1"/>
      <c r="A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43"/>
      <c r="AV250" s="1"/>
      <c r="A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43"/>
      <c r="AV251" s="1"/>
      <c r="A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43"/>
      <c r="AV252" s="1"/>
      <c r="A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43"/>
      <c r="AV253" s="1"/>
      <c r="A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43"/>
      <c r="AV254" s="1"/>
      <c r="A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43"/>
      <c r="AV255" s="1"/>
      <c r="A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43"/>
      <c r="AV256" s="1"/>
      <c r="A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43"/>
      <c r="AV257" s="1"/>
      <c r="A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43"/>
      <c r="AV258" s="1"/>
      <c r="A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43"/>
      <c r="AV259" s="1"/>
      <c r="A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43"/>
      <c r="AV260" s="1"/>
      <c r="A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43"/>
      <c r="AV261" s="1"/>
      <c r="A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43"/>
      <c r="AV262" s="1"/>
      <c r="A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43"/>
      <c r="AV263" s="1"/>
      <c r="A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43"/>
      <c r="AV264" s="1"/>
      <c r="A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43"/>
      <c r="AV265" s="1"/>
      <c r="A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43"/>
      <c r="AV266" s="1"/>
      <c r="A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43"/>
      <c r="AV267" s="1"/>
      <c r="A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43"/>
      <c r="AV268" s="1"/>
      <c r="A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43"/>
      <c r="AV269" s="1"/>
      <c r="A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43"/>
      <c r="AV270" s="1"/>
      <c r="A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43"/>
      <c r="AV271" s="1"/>
      <c r="A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43"/>
      <c r="AV272" s="1"/>
      <c r="A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43"/>
      <c r="AV273" s="1"/>
      <c r="A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43"/>
      <c r="AV274" s="1"/>
      <c r="A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43"/>
      <c r="AV275" s="1"/>
      <c r="A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43"/>
      <c r="AV276" s="1"/>
      <c r="A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43"/>
      <c r="AV277" s="1"/>
      <c r="A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43"/>
      <c r="AV278" s="1"/>
      <c r="A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43"/>
      <c r="AV279" s="1"/>
      <c r="A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43"/>
      <c r="AV280" s="1"/>
      <c r="A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43"/>
      <c r="AV281" s="1"/>
      <c r="A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43"/>
      <c r="AV282" s="1"/>
      <c r="A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43"/>
      <c r="AV283" s="1"/>
      <c r="A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43"/>
      <c r="AV284" s="1"/>
      <c r="A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43"/>
      <c r="AV285" s="1"/>
      <c r="A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43"/>
      <c r="AV286" s="1"/>
      <c r="A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43"/>
      <c r="AV287" s="1"/>
      <c r="A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43"/>
      <c r="AV288" s="1"/>
      <c r="A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43"/>
      <c r="AV289" s="1"/>
      <c r="A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43"/>
      <c r="AV290" s="1"/>
      <c r="A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43"/>
      <c r="AV291" s="1"/>
      <c r="A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43"/>
      <c r="AV292" s="1"/>
      <c r="A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43"/>
      <c r="AV293" s="1"/>
      <c r="A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43"/>
      <c r="AV294" s="1"/>
      <c r="A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43"/>
      <c r="AV295" s="1"/>
      <c r="A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43"/>
      <c r="AV296" s="1"/>
      <c r="A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43"/>
      <c r="AV297" s="1"/>
      <c r="A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43"/>
      <c r="AV298" s="1"/>
      <c r="A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43"/>
      <c r="AV299" s="1"/>
      <c r="A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43"/>
      <c r="AV300" s="1"/>
      <c r="A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43"/>
      <c r="AV301" s="1"/>
      <c r="A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43"/>
      <c r="AV302" s="1"/>
      <c r="A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43"/>
      <c r="AV303" s="1"/>
      <c r="A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43"/>
      <c r="AV304" s="1"/>
      <c r="A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43"/>
      <c r="AV305" s="1"/>
      <c r="A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43"/>
      <c r="AV306" s="1"/>
      <c r="A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43"/>
      <c r="AV307" s="1"/>
      <c r="A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43"/>
      <c r="AV308" s="1"/>
      <c r="A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43"/>
      <c r="AV309" s="1"/>
      <c r="A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43"/>
      <c r="AV310" s="1"/>
      <c r="A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43"/>
      <c r="AV311" s="1"/>
      <c r="A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43"/>
      <c r="AV312" s="1"/>
      <c r="A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43"/>
      <c r="AV313" s="1"/>
      <c r="A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43"/>
      <c r="AV314" s="1"/>
      <c r="A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43"/>
      <c r="AV315" s="1"/>
      <c r="A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43"/>
      <c r="AV316" s="1"/>
      <c r="A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43"/>
      <c r="AV317" s="1"/>
      <c r="A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43"/>
      <c r="AV318" s="1"/>
      <c r="A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43"/>
      <c r="AV319" s="1"/>
      <c r="A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43"/>
      <c r="AV320" s="1"/>
      <c r="A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43"/>
      <c r="AV321" s="1"/>
      <c r="A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43"/>
      <c r="AV322" s="1"/>
      <c r="A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43"/>
      <c r="AV323" s="1"/>
      <c r="A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43"/>
      <c r="AV324" s="1"/>
      <c r="A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43"/>
      <c r="AV325" s="1"/>
      <c r="A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43"/>
      <c r="AV326" s="1"/>
      <c r="A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43"/>
      <c r="AV327" s="1"/>
      <c r="A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43"/>
      <c r="AV328" s="1"/>
      <c r="A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43"/>
      <c r="AV329" s="1"/>
      <c r="A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43"/>
      <c r="AV330" s="1"/>
      <c r="A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43"/>
      <c r="AV331" s="1"/>
      <c r="A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43"/>
      <c r="AV332" s="1"/>
      <c r="A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43"/>
      <c r="AV333" s="1"/>
      <c r="A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43"/>
      <c r="AV334" s="1"/>
      <c r="A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43"/>
      <c r="AV335" s="1"/>
      <c r="A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43"/>
      <c r="AV336" s="1"/>
      <c r="A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43"/>
      <c r="AV337" s="1"/>
      <c r="A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43"/>
      <c r="AV338" s="1"/>
      <c r="A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43"/>
      <c r="AV339" s="1"/>
      <c r="A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43"/>
      <c r="AV340" s="1"/>
      <c r="A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43"/>
      <c r="AV341" s="1"/>
      <c r="A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43"/>
      <c r="AV342" s="1"/>
      <c r="A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43"/>
      <c r="AV343" s="1"/>
      <c r="A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43"/>
      <c r="AV344" s="1"/>
      <c r="A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43"/>
      <c r="AV345" s="1"/>
      <c r="A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43"/>
      <c r="AV346" s="1"/>
      <c r="A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43"/>
      <c r="AV347" s="1"/>
      <c r="A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43"/>
      <c r="AV348" s="1"/>
      <c r="A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43"/>
      <c r="AV349" s="1"/>
      <c r="A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43"/>
      <c r="AV350" s="1"/>
      <c r="A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43"/>
      <c r="AV351" s="1"/>
      <c r="A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43"/>
      <c r="AV352" s="1"/>
      <c r="A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43"/>
      <c r="AV353" s="1"/>
      <c r="A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43"/>
      <c r="AV354" s="1"/>
      <c r="A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43"/>
      <c r="AV355" s="1"/>
      <c r="A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43"/>
      <c r="AV356" s="1"/>
      <c r="A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43"/>
      <c r="AV357" s="1"/>
      <c r="A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43"/>
      <c r="AV358" s="1"/>
      <c r="A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43"/>
      <c r="AV359" s="1"/>
      <c r="A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43"/>
      <c r="AV360" s="1"/>
      <c r="A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43"/>
      <c r="AV361" s="1"/>
      <c r="A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43"/>
      <c r="AV362" s="1"/>
      <c r="A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43"/>
      <c r="AV363" s="1"/>
      <c r="A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43"/>
      <c r="AV364" s="1"/>
      <c r="A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43"/>
      <c r="AV365" s="1"/>
      <c r="A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43"/>
      <c r="AV366" s="1"/>
      <c r="A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43"/>
      <c r="AV367" s="1"/>
      <c r="A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43"/>
      <c r="AV368" s="1"/>
      <c r="A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43"/>
      <c r="AV369" s="1"/>
      <c r="A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43"/>
      <c r="AV370" s="1"/>
      <c r="A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43"/>
      <c r="AV371" s="1"/>
      <c r="A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43"/>
      <c r="AV372" s="1"/>
      <c r="A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43"/>
      <c r="AV373" s="1"/>
      <c r="A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43"/>
      <c r="AV374" s="1"/>
      <c r="A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43"/>
      <c r="AV375" s="1"/>
      <c r="A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43"/>
      <c r="AV376" s="1"/>
      <c r="A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43"/>
      <c r="AV377" s="1"/>
      <c r="A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43"/>
      <c r="AV378" s="1"/>
      <c r="A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43"/>
      <c r="AV379" s="1"/>
      <c r="A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43"/>
      <c r="AV380" s="1"/>
      <c r="A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43"/>
      <c r="AV381" s="1"/>
      <c r="A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43"/>
      <c r="AV382" s="1"/>
      <c r="A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43"/>
      <c r="AV383" s="1"/>
      <c r="A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43"/>
      <c r="AV384" s="1"/>
      <c r="A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43"/>
      <c r="AV385" s="1"/>
      <c r="A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43"/>
      <c r="AV386" s="1"/>
      <c r="A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43"/>
      <c r="AV387" s="1"/>
      <c r="A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43"/>
      <c r="AV388" s="1"/>
      <c r="A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43"/>
      <c r="AV389" s="1"/>
      <c r="A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43"/>
      <c r="AV390" s="1"/>
      <c r="A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43"/>
      <c r="AV391" s="1"/>
      <c r="A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43"/>
      <c r="AV392" s="1"/>
      <c r="A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43"/>
      <c r="AV393" s="1"/>
      <c r="A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43"/>
      <c r="AV394" s="1"/>
      <c r="A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43"/>
      <c r="AV395" s="1"/>
      <c r="A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43"/>
      <c r="AV396" s="1"/>
      <c r="A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43"/>
      <c r="AV397" s="1"/>
      <c r="A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43"/>
      <c r="AV398" s="1"/>
      <c r="A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43"/>
      <c r="AV399" s="1"/>
      <c r="A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43"/>
      <c r="AV400" s="1"/>
      <c r="A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43"/>
      <c r="AV401" s="1"/>
      <c r="A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43"/>
      <c r="AV402" s="1"/>
      <c r="A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43"/>
      <c r="AV403" s="1"/>
      <c r="A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43"/>
      <c r="AV404" s="1"/>
      <c r="A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43"/>
      <c r="AV405" s="1"/>
      <c r="A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43"/>
      <c r="AV406" s="1"/>
      <c r="A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43"/>
      <c r="AV407" s="1"/>
      <c r="A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43"/>
      <c r="AV408" s="1"/>
      <c r="A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43"/>
      <c r="AV409" s="1"/>
      <c r="A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43"/>
      <c r="AV410" s="1"/>
      <c r="A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43"/>
      <c r="AV411" s="1"/>
      <c r="A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43"/>
      <c r="AV412" s="1"/>
      <c r="A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43"/>
      <c r="AV413" s="1"/>
      <c r="A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43"/>
      <c r="AV414" s="1"/>
      <c r="A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43"/>
      <c r="AV415" s="1"/>
      <c r="A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43"/>
      <c r="AV416" s="1"/>
      <c r="A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43"/>
      <c r="AV417" s="1"/>
      <c r="A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43"/>
      <c r="AV418" s="1"/>
      <c r="A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43"/>
      <c r="AV419" s="1"/>
      <c r="AW419" s="1"/>
    </row>
    <row r="420">
      <c r="A420" s="1"/>
      <c r="B420" s="1"/>
      <c r="C420" s="10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43"/>
      <c r="AV420" s="1"/>
      <c r="AW420" s="1"/>
    </row>
    <row r="421">
      <c r="A421" s="1"/>
      <c r="B421" s="1"/>
      <c r="C421" s="10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43"/>
      <c r="AV421" s="1"/>
      <c r="AW421" s="1"/>
    </row>
    <row r="422">
      <c r="A422" s="1"/>
      <c r="B422" s="1"/>
      <c r="C422" s="10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43"/>
      <c r="AV422" s="1"/>
      <c r="AW422" s="1"/>
    </row>
    <row r="423">
      <c r="A423" s="1"/>
      <c r="B423" s="1"/>
      <c r="C423" s="10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43"/>
      <c r="AV423" s="1"/>
      <c r="AW423" s="1"/>
    </row>
    <row r="424">
      <c r="A424" s="1"/>
      <c r="B424" s="1"/>
      <c r="C424" s="10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43"/>
      <c r="AV424" s="1"/>
      <c r="AW424" s="1"/>
    </row>
    <row r="425">
      <c r="A425" s="1"/>
      <c r="B425" s="1"/>
      <c r="C425" s="10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43"/>
      <c r="AV425" s="1"/>
      <c r="AW425" s="1"/>
    </row>
    <row r="426">
      <c r="A426" s="1"/>
      <c r="B426" s="1"/>
      <c r="C426" s="10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43"/>
      <c r="AV426" s="1"/>
      <c r="AW426" s="1"/>
    </row>
    <row r="427">
      <c r="A427" s="1"/>
      <c r="B427" s="1"/>
      <c r="C427" s="10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43"/>
      <c r="AV427" s="1"/>
      <c r="AW427" s="1"/>
    </row>
    <row r="428">
      <c r="A428" s="1"/>
      <c r="B428" s="1"/>
      <c r="C428" s="10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43"/>
      <c r="AV428" s="1"/>
      <c r="AW428" s="1"/>
    </row>
    <row r="429">
      <c r="A429" s="1"/>
      <c r="B429" s="1"/>
      <c r="C429" s="10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43"/>
      <c r="AV429" s="1"/>
      <c r="AW429" s="1"/>
    </row>
    <row r="430">
      <c r="A430" s="1"/>
      <c r="B430" s="1"/>
      <c r="C430" s="10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43"/>
      <c r="AV430" s="1"/>
      <c r="AW430" s="1"/>
    </row>
    <row r="431">
      <c r="A431" s="1"/>
      <c r="B431" s="1"/>
      <c r="C431" s="10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43"/>
      <c r="AV431" s="1"/>
      <c r="AW431" s="1"/>
    </row>
    <row r="432">
      <c r="A432" s="1"/>
      <c r="B432" s="1"/>
      <c r="C432" s="10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43"/>
      <c r="AV432" s="1"/>
      <c r="AW432" s="1"/>
    </row>
    <row r="433">
      <c r="A433" s="1"/>
      <c r="B433" s="1"/>
      <c r="C433" s="10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43"/>
      <c r="AV433" s="1"/>
      <c r="AW433" s="1"/>
    </row>
    <row r="434">
      <c r="A434" s="1"/>
      <c r="B434" s="1"/>
      <c r="C434" s="10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43"/>
      <c r="AV434" s="1"/>
      <c r="AW434" s="1"/>
    </row>
    <row r="435">
      <c r="A435" s="1"/>
      <c r="B435" s="1"/>
      <c r="C435" s="10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43"/>
      <c r="AV435" s="1"/>
      <c r="AW435" s="1"/>
    </row>
    <row r="436">
      <c r="A436" s="1"/>
      <c r="B436" s="1"/>
      <c r="C436" s="10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43"/>
      <c r="AV436" s="1"/>
      <c r="AW436" s="1"/>
    </row>
    <row r="437">
      <c r="A437" s="1"/>
      <c r="B437" s="1"/>
      <c r="C437" s="10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43"/>
      <c r="AV437" s="1"/>
      <c r="AW437" s="1"/>
    </row>
    <row r="438">
      <c r="A438" s="1"/>
      <c r="B438" s="1"/>
      <c r="C438" s="10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43"/>
      <c r="AV438" s="1"/>
      <c r="AW438" s="1"/>
    </row>
    <row r="439">
      <c r="A439" s="1"/>
      <c r="B439" s="1"/>
      <c r="C439" s="10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43"/>
      <c r="AV439" s="1"/>
      <c r="AW439" s="1"/>
    </row>
    <row r="440">
      <c r="A440" s="1"/>
      <c r="B440" s="1"/>
      <c r="C440" s="10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43"/>
      <c r="AV440" s="1"/>
      <c r="AW440" s="1"/>
    </row>
    <row r="441">
      <c r="A441" s="1"/>
      <c r="B441" s="1"/>
      <c r="C441" s="10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43"/>
      <c r="AV441" s="1"/>
      <c r="AW441" s="1"/>
    </row>
    <row r="442">
      <c r="A442" s="1"/>
      <c r="B442" s="1"/>
      <c r="C442" s="10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43"/>
      <c r="AV442" s="1"/>
      <c r="AW442" s="1"/>
    </row>
    <row r="443">
      <c r="A443" s="1"/>
      <c r="B443" s="1"/>
      <c r="C443" s="10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43"/>
      <c r="AV443" s="1"/>
      <c r="AW443" s="1"/>
    </row>
    <row r="444">
      <c r="A444" s="1"/>
      <c r="B444" s="1"/>
      <c r="C444" s="10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43"/>
      <c r="AV444" s="1"/>
      <c r="AW444" s="1"/>
    </row>
    <row r="445">
      <c r="A445" s="1"/>
      <c r="B445" s="1"/>
      <c r="C445" s="10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43"/>
      <c r="AV445" s="1"/>
      <c r="AW445" s="1"/>
    </row>
    <row r="446">
      <c r="A446" s="1"/>
      <c r="B446" s="1"/>
      <c r="C446" s="10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43"/>
      <c r="AV446" s="1"/>
      <c r="AW446" s="1"/>
    </row>
    <row r="447">
      <c r="A447" s="1"/>
      <c r="B447" s="1"/>
      <c r="C447" s="10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43"/>
      <c r="AV447" s="1"/>
      <c r="AW447" s="1"/>
    </row>
    <row r="448">
      <c r="A448" s="1"/>
      <c r="B448" s="1"/>
      <c r="C448" s="10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43"/>
      <c r="AV448" s="1"/>
      <c r="AW448" s="1"/>
    </row>
    <row r="449">
      <c r="A449" s="1"/>
      <c r="B449" s="1"/>
      <c r="C449" s="10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43"/>
      <c r="AV449" s="1"/>
      <c r="AW449" s="1"/>
    </row>
    <row r="450">
      <c r="A450" s="1"/>
      <c r="B450" s="1"/>
      <c r="C450" s="10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43"/>
      <c r="AV450" s="1"/>
      <c r="AW450" s="1"/>
    </row>
    <row r="451">
      <c r="A451" s="1"/>
      <c r="B451" s="1"/>
      <c r="C451" s="10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43"/>
      <c r="AV451" s="1"/>
      <c r="AW451" s="1"/>
    </row>
    <row r="452">
      <c r="A452" s="1"/>
      <c r="B452" s="1"/>
      <c r="C452" s="10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43"/>
      <c r="AV452" s="1"/>
      <c r="AW452" s="1"/>
    </row>
    <row r="453">
      <c r="A453" s="1"/>
      <c r="B453" s="1"/>
      <c r="C453" s="10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43"/>
      <c r="AV453" s="1"/>
      <c r="AW453" s="1"/>
    </row>
    <row r="454">
      <c r="A454" s="1"/>
      <c r="B454" s="1"/>
      <c r="C454" s="10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43"/>
      <c r="AV454" s="1"/>
      <c r="AW454" s="1"/>
    </row>
    <row r="455">
      <c r="A455" s="1"/>
      <c r="B455" s="1"/>
      <c r="C455" s="10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43"/>
      <c r="AV455" s="1"/>
      <c r="AW455" s="1"/>
    </row>
    <row r="456">
      <c r="A456" s="1"/>
      <c r="B456" s="1"/>
      <c r="C456" s="10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43"/>
      <c r="AV456" s="1"/>
      <c r="AW456" s="1"/>
    </row>
    <row r="457">
      <c r="A457" s="1"/>
      <c r="B457" s="1"/>
      <c r="C457" s="10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43"/>
      <c r="AV457" s="1"/>
      <c r="AW457" s="1"/>
    </row>
    <row r="458">
      <c r="A458" s="1"/>
      <c r="B458" s="1"/>
      <c r="C458" s="10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43"/>
      <c r="AV458" s="1"/>
      <c r="AW458" s="1"/>
    </row>
    <row r="459">
      <c r="A459" s="1"/>
      <c r="B459" s="1"/>
      <c r="C459" s="10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43"/>
      <c r="AV459" s="1"/>
      <c r="AW459" s="1"/>
    </row>
    <row r="460">
      <c r="A460" s="1"/>
      <c r="B460" s="1"/>
      <c r="C460" s="10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43"/>
      <c r="AV460" s="1"/>
      <c r="AW460" s="1"/>
    </row>
    <row r="461">
      <c r="A461" s="1"/>
      <c r="B461" s="1"/>
      <c r="C461" s="10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43"/>
      <c r="AV461" s="1"/>
      <c r="AW461" s="1"/>
    </row>
    <row r="462">
      <c r="A462" s="1"/>
      <c r="B462" s="1"/>
      <c r="C462" s="10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43"/>
      <c r="AV462" s="1"/>
      <c r="AW462" s="1"/>
    </row>
    <row r="463">
      <c r="A463" s="1"/>
      <c r="B463" s="1"/>
      <c r="C463" s="10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43"/>
      <c r="AV463" s="1"/>
      <c r="AW463" s="1"/>
    </row>
    <row r="464">
      <c r="A464" s="1"/>
      <c r="B464" s="1"/>
      <c r="C464" s="10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43"/>
      <c r="AV464" s="1"/>
      <c r="AW464" s="1"/>
    </row>
    <row r="465">
      <c r="A465" s="1"/>
      <c r="B465" s="1"/>
      <c r="C465" s="10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43"/>
      <c r="AV465" s="1"/>
      <c r="AW465" s="1"/>
    </row>
    <row r="466">
      <c r="A466" s="1"/>
      <c r="B466" s="1"/>
      <c r="C466" s="10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43"/>
      <c r="AV466" s="1"/>
      <c r="AW466" s="1"/>
    </row>
    <row r="467">
      <c r="A467" s="1"/>
      <c r="B467" s="1"/>
      <c r="C467" s="10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43"/>
      <c r="AV467" s="1"/>
      <c r="AW467" s="1"/>
    </row>
    <row r="468">
      <c r="A468" s="1"/>
      <c r="B468" s="1"/>
      <c r="C468" s="10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43"/>
      <c r="AV468" s="1"/>
      <c r="AW468" s="1"/>
    </row>
    <row r="469">
      <c r="A469" s="1"/>
      <c r="B469" s="1"/>
      <c r="C469" s="10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43"/>
      <c r="AV469" s="1"/>
      <c r="AW469" s="1"/>
    </row>
    <row r="470">
      <c r="A470" s="1"/>
      <c r="B470" s="1"/>
      <c r="C470" s="10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43"/>
      <c r="AV470" s="1"/>
      <c r="AW470" s="1"/>
    </row>
    <row r="471">
      <c r="A471" s="1"/>
      <c r="B471" s="1"/>
      <c r="C471" s="10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43"/>
      <c r="AV471" s="1"/>
      <c r="AW471" s="1"/>
    </row>
    <row r="472">
      <c r="A472" s="1"/>
      <c r="B472" s="1"/>
      <c r="C472" s="10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43"/>
      <c r="AV472" s="1"/>
      <c r="AW472" s="1"/>
    </row>
    <row r="473">
      <c r="A473" s="1"/>
      <c r="B473" s="1"/>
      <c r="C473" s="10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43"/>
      <c r="AV473" s="1"/>
      <c r="AW473" s="1"/>
    </row>
    <row r="474">
      <c r="A474" s="1"/>
      <c r="B474" s="1"/>
      <c r="C474" s="10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43"/>
      <c r="AV474" s="1"/>
      <c r="AW474" s="1"/>
    </row>
    <row r="475">
      <c r="A475" s="1"/>
      <c r="B475" s="1"/>
      <c r="C475" s="10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43"/>
      <c r="AV475" s="1"/>
      <c r="AW475" s="1"/>
    </row>
    <row r="476">
      <c r="A476" s="1"/>
      <c r="B476" s="1"/>
      <c r="C476" s="10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43"/>
      <c r="AV476" s="1"/>
      <c r="AW476" s="1"/>
    </row>
    <row r="477">
      <c r="A477" s="1"/>
      <c r="B477" s="1"/>
      <c r="C477" s="10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43"/>
      <c r="AV477" s="1"/>
      <c r="AW477" s="1"/>
    </row>
    <row r="478">
      <c r="A478" s="1"/>
      <c r="B478" s="1"/>
      <c r="C478" s="10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43"/>
      <c r="AV478" s="1"/>
      <c r="AW478" s="1"/>
    </row>
    <row r="479">
      <c r="A479" s="1"/>
      <c r="B479" s="1"/>
      <c r="C479" s="10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43"/>
      <c r="AV479" s="1"/>
      <c r="AW479" s="1"/>
    </row>
    <row r="480">
      <c r="A480" s="1"/>
      <c r="B480" s="1"/>
      <c r="C480" s="10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43"/>
      <c r="AV480" s="1"/>
      <c r="AW480" s="1"/>
    </row>
    <row r="481">
      <c r="A481" s="1"/>
      <c r="B481" s="1"/>
      <c r="C481" s="10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43"/>
      <c r="AV481" s="1"/>
      <c r="AW481" s="1"/>
    </row>
    <row r="482">
      <c r="A482" s="1"/>
      <c r="B482" s="1"/>
      <c r="C482" s="10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43"/>
      <c r="AV482" s="1"/>
      <c r="AW482" s="1"/>
    </row>
    <row r="483">
      <c r="A483" s="1"/>
      <c r="B483" s="1"/>
      <c r="C483" s="10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43"/>
      <c r="AV483" s="1"/>
      <c r="AW483" s="1"/>
    </row>
    <row r="484">
      <c r="A484" s="1"/>
      <c r="B484" s="1"/>
      <c r="C484" s="10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43"/>
      <c r="AV484" s="1"/>
      <c r="AW484" s="1"/>
    </row>
    <row r="485">
      <c r="A485" s="1"/>
      <c r="B485" s="1"/>
      <c r="C485" s="10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43"/>
      <c r="AV485" s="1"/>
      <c r="AW485" s="1"/>
    </row>
    <row r="486">
      <c r="A486" s="1"/>
      <c r="B486" s="1"/>
      <c r="C486" s="10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43"/>
      <c r="AV486" s="1"/>
      <c r="AW486" s="1"/>
    </row>
    <row r="487">
      <c r="A487" s="1"/>
      <c r="B487" s="1"/>
      <c r="C487" s="10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43"/>
      <c r="AV487" s="1"/>
      <c r="AW487" s="1"/>
    </row>
    <row r="488">
      <c r="A488" s="1"/>
      <c r="B488" s="1"/>
      <c r="C488" s="10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43"/>
      <c r="AV488" s="1"/>
      <c r="AW488" s="1"/>
    </row>
    <row r="489">
      <c r="A489" s="1"/>
      <c r="B489" s="1"/>
      <c r="C489" s="10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43"/>
      <c r="AV489" s="1"/>
      <c r="AW489" s="1"/>
    </row>
    <row r="490">
      <c r="A490" s="1"/>
      <c r="B490" s="1"/>
      <c r="C490" s="10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43"/>
      <c r="AV490" s="1"/>
      <c r="AW490" s="1"/>
    </row>
    <row r="491">
      <c r="A491" s="1"/>
      <c r="B491" s="1"/>
      <c r="C491" s="10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43"/>
      <c r="AV491" s="1"/>
      <c r="AW491" s="1"/>
    </row>
    <row r="492">
      <c r="A492" s="1"/>
      <c r="B492" s="1"/>
      <c r="C492" s="10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43"/>
      <c r="AV492" s="1"/>
      <c r="AW492" s="1"/>
    </row>
    <row r="493">
      <c r="A493" s="1"/>
      <c r="B493" s="1"/>
      <c r="C493" s="10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43"/>
      <c r="AV493" s="1"/>
      <c r="AW493" s="1"/>
    </row>
    <row r="494">
      <c r="A494" s="1"/>
      <c r="B494" s="1"/>
      <c r="C494" s="10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43"/>
      <c r="AV494" s="1"/>
      <c r="AW494" s="1"/>
    </row>
    <row r="495">
      <c r="A495" s="1"/>
      <c r="B495" s="1"/>
      <c r="C495" s="10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43"/>
      <c r="AV495" s="1"/>
      <c r="AW495" s="1"/>
    </row>
    <row r="496">
      <c r="A496" s="1"/>
      <c r="B496" s="1"/>
      <c r="C496" s="10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43"/>
      <c r="AV496" s="1"/>
      <c r="AW496" s="1"/>
    </row>
    <row r="497">
      <c r="A497" s="1"/>
      <c r="B497" s="1"/>
      <c r="C497" s="10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43"/>
      <c r="AV497" s="1"/>
      <c r="AW497" s="1"/>
    </row>
    <row r="498">
      <c r="A498" s="1"/>
      <c r="B498" s="1"/>
      <c r="C498" s="10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43"/>
      <c r="AV498" s="1"/>
      <c r="AW498" s="1"/>
    </row>
    <row r="499">
      <c r="A499" s="1"/>
      <c r="B499" s="1"/>
      <c r="C499" s="10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43"/>
      <c r="AV499" s="1"/>
      <c r="AW499" s="1"/>
    </row>
    <row r="500">
      <c r="A500" s="1"/>
      <c r="B500" s="1"/>
      <c r="C500" s="10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43"/>
      <c r="AV500" s="1"/>
      <c r="AW500" s="1"/>
    </row>
    <row r="501">
      <c r="A501" s="1"/>
      <c r="B501" s="1"/>
      <c r="C501" s="10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43"/>
      <c r="AV501" s="1"/>
      <c r="AW501" s="1"/>
    </row>
    <row r="502">
      <c r="A502" s="1"/>
      <c r="B502" s="1"/>
      <c r="C502" s="10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43"/>
      <c r="AV502" s="1"/>
      <c r="AW502" s="1"/>
    </row>
    <row r="503">
      <c r="A503" s="1"/>
      <c r="B503" s="1"/>
      <c r="C503" s="10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43"/>
      <c r="AV503" s="1"/>
      <c r="AW503" s="1"/>
    </row>
    <row r="504">
      <c r="A504" s="1"/>
      <c r="B504" s="1"/>
      <c r="C504" s="10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43"/>
      <c r="AV504" s="1"/>
      <c r="AW504" s="1"/>
    </row>
    <row r="505">
      <c r="A505" s="1"/>
      <c r="B505" s="1"/>
      <c r="C505" s="10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43"/>
      <c r="AV505" s="1"/>
      <c r="AW505" s="1"/>
    </row>
    <row r="506">
      <c r="A506" s="1"/>
      <c r="B506" s="1"/>
      <c r="C506" s="10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43"/>
      <c r="AV506" s="1"/>
      <c r="AW506" s="1"/>
    </row>
    <row r="507">
      <c r="A507" s="1"/>
      <c r="B507" s="1"/>
      <c r="C507" s="10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43"/>
      <c r="AV507" s="1"/>
      <c r="AW507" s="1"/>
    </row>
    <row r="508">
      <c r="A508" s="1"/>
      <c r="B508" s="1"/>
      <c r="C508" s="10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43"/>
      <c r="AV508" s="1"/>
      <c r="AW508" s="1"/>
    </row>
    <row r="509">
      <c r="A509" s="1"/>
      <c r="B509" s="1"/>
      <c r="C509" s="10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43"/>
      <c r="AV509" s="1"/>
      <c r="AW509" s="1"/>
    </row>
    <row r="510">
      <c r="A510" s="1"/>
      <c r="B510" s="1"/>
      <c r="C510" s="10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43"/>
      <c r="AV510" s="1"/>
      <c r="AW510" s="1"/>
    </row>
    <row r="511">
      <c r="A511" s="1"/>
      <c r="B511" s="1"/>
      <c r="C511" s="10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43"/>
      <c r="AV511" s="1"/>
      <c r="AW511" s="1"/>
    </row>
    <row r="512">
      <c r="A512" s="1"/>
      <c r="B512" s="1"/>
      <c r="C512" s="10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43"/>
      <c r="AV512" s="1"/>
      <c r="AW512" s="1"/>
    </row>
    <row r="513">
      <c r="A513" s="1"/>
      <c r="B513" s="1"/>
      <c r="C513" s="10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43"/>
      <c r="AV513" s="1"/>
      <c r="AW513" s="1"/>
    </row>
    <row r="514">
      <c r="A514" s="1"/>
      <c r="B514" s="1"/>
      <c r="C514" s="10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43"/>
      <c r="AV514" s="1"/>
      <c r="AW514" s="1"/>
    </row>
    <row r="515">
      <c r="A515" s="1"/>
      <c r="B515" s="1"/>
      <c r="C515" s="10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43"/>
      <c r="AV515" s="1"/>
      <c r="AW515" s="1"/>
    </row>
    <row r="516">
      <c r="A516" s="1"/>
      <c r="B516" s="1"/>
      <c r="C516" s="10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43"/>
      <c r="AV516" s="1"/>
      <c r="AW516" s="1"/>
    </row>
    <row r="517">
      <c r="A517" s="1"/>
      <c r="B517" s="1"/>
      <c r="C517" s="10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43"/>
      <c r="AV517" s="1"/>
      <c r="AW517" s="1"/>
    </row>
    <row r="518">
      <c r="A518" s="1"/>
      <c r="B518" s="1"/>
      <c r="C518" s="10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43"/>
      <c r="AV518" s="1"/>
      <c r="AW518" s="1"/>
    </row>
    <row r="519">
      <c r="A519" s="1"/>
      <c r="B519" s="1"/>
      <c r="C519" s="10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43"/>
      <c r="AV519" s="1"/>
      <c r="AW519" s="1"/>
    </row>
    <row r="520">
      <c r="A520" s="1"/>
      <c r="B520" s="1"/>
      <c r="C520" s="10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43"/>
      <c r="AV520" s="1"/>
      <c r="AW520" s="1"/>
    </row>
    <row r="521">
      <c r="A521" s="1"/>
      <c r="B521" s="1"/>
      <c r="C521" s="10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43"/>
      <c r="AV521" s="1"/>
      <c r="AW521" s="1"/>
    </row>
    <row r="522">
      <c r="A522" s="1"/>
      <c r="B522" s="1"/>
      <c r="C522" s="10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43"/>
      <c r="AV522" s="1"/>
      <c r="AW522" s="1"/>
    </row>
    <row r="523">
      <c r="A523" s="1"/>
      <c r="B523" s="1"/>
      <c r="C523" s="10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43"/>
      <c r="AV523" s="1"/>
      <c r="AW523" s="1"/>
    </row>
    <row r="524">
      <c r="A524" s="1"/>
      <c r="B524" s="1"/>
      <c r="C524" s="10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43"/>
      <c r="AV524" s="1"/>
      <c r="AW524" s="1"/>
    </row>
    <row r="525">
      <c r="A525" s="1"/>
      <c r="B525" s="1"/>
      <c r="C525" s="10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43"/>
      <c r="AV525" s="1"/>
      <c r="AW525" s="1"/>
    </row>
    <row r="526">
      <c r="A526" s="1"/>
      <c r="B526" s="1"/>
      <c r="C526" s="10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43"/>
      <c r="AV526" s="1"/>
      <c r="AW526" s="1"/>
    </row>
    <row r="527">
      <c r="A527" s="1"/>
      <c r="B527" s="1"/>
      <c r="C527" s="10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43"/>
      <c r="AV527" s="1"/>
      <c r="AW527" s="1"/>
    </row>
    <row r="528">
      <c r="A528" s="1"/>
      <c r="B528" s="1"/>
      <c r="C528" s="10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43"/>
      <c r="AV528" s="1"/>
      <c r="AW528" s="1"/>
    </row>
    <row r="529">
      <c r="A529" s="1"/>
      <c r="B529" s="1"/>
      <c r="C529" s="10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43"/>
      <c r="AV529" s="1"/>
      <c r="AW529" s="1"/>
    </row>
    <row r="530">
      <c r="A530" s="1"/>
      <c r="B530" s="1"/>
      <c r="C530" s="10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43"/>
      <c r="AV530" s="1"/>
      <c r="AW530" s="1"/>
    </row>
    <row r="531">
      <c r="A531" s="1"/>
      <c r="B531" s="1"/>
      <c r="C531" s="10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43"/>
      <c r="AV531" s="1"/>
      <c r="AW531" s="1"/>
    </row>
    <row r="532">
      <c r="A532" s="1"/>
      <c r="B532" s="1"/>
      <c r="C532" s="10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43"/>
      <c r="AV532" s="1"/>
      <c r="AW532" s="1"/>
    </row>
    <row r="533">
      <c r="A533" s="1"/>
      <c r="B533" s="1"/>
      <c r="C533" s="10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43"/>
      <c r="AV533" s="1"/>
      <c r="AW533" s="1"/>
    </row>
    <row r="534">
      <c r="A534" s="1"/>
      <c r="B534" s="1"/>
      <c r="C534" s="10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43"/>
      <c r="AV534" s="1"/>
      <c r="AW534" s="1"/>
    </row>
    <row r="535">
      <c r="A535" s="1"/>
      <c r="B535" s="1"/>
      <c r="C535" s="10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43"/>
      <c r="AV535" s="1"/>
      <c r="AW535" s="1"/>
    </row>
    <row r="536">
      <c r="A536" s="1"/>
      <c r="B536" s="1"/>
      <c r="C536" s="10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43"/>
      <c r="AV536" s="1"/>
      <c r="AW536" s="1"/>
    </row>
    <row r="537">
      <c r="A537" s="1"/>
      <c r="B537" s="1"/>
      <c r="C537" s="10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43"/>
      <c r="AV537" s="1"/>
      <c r="AW537" s="1"/>
    </row>
    <row r="538">
      <c r="A538" s="1"/>
      <c r="B538" s="1"/>
      <c r="C538" s="10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43"/>
      <c r="AV538" s="1"/>
      <c r="AW538" s="1"/>
    </row>
    <row r="539">
      <c r="A539" s="1"/>
      <c r="B539" s="1"/>
      <c r="C539" s="10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43"/>
      <c r="AV539" s="1"/>
      <c r="AW539" s="1"/>
    </row>
    <row r="540">
      <c r="A540" s="1"/>
      <c r="B540" s="1"/>
      <c r="C540" s="10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43"/>
      <c r="AV540" s="1"/>
      <c r="AW540" s="1"/>
    </row>
    <row r="541">
      <c r="A541" s="1"/>
      <c r="B541" s="1"/>
      <c r="C541" s="10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43"/>
      <c r="AV541" s="1"/>
      <c r="AW541" s="1"/>
    </row>
    <row r="542">
      <c r="A542" s="1"/>
      <c r="B542" s="1"/>
      <c r="C542" s="10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43"/>
      <c r="AV542" s="1"/>
      <c r="AW542" s="1"/>
    </row>
    <row r="543">
      <c r="A543" s="1"/>
      <c r="B543" s="1"/>
      <c r="C543" s="10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43"/>
      <c r="AV543" s="1"/>
      <c r="AW543" s="1"/>
    </row>
    <row r="544">
      <c r="A544" s="1"/>
      <c r="B544" s="1"/>
      <c r="C544" s="10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43"/>
      <c r="AV544" s="1"/>
      <c r="AW544" s="1"/>
    </row>
    <row r="545">
      <c r="A545" s="1"/>
      <c r="B545" s="1"/>
      <c r="C545" s="10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43"/>
      <c r="AV545" s="1"/>
      <c r="AW545" s="1"/>
    </row>
    <row r="546">
      <c r="A546" s="1"/>
      <c r="B546" s="1"/>
      <c r="C546" s="10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43"/>
      <c r="AV546" s="1"/>
      <c r="AW546" s="1"/>
    </row>
    <row r="547">
      <c r="A547" s="1"/>
      <c r="B547" s="1"/>
      <c r="C547" s="10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43"/>
      <c r="AV547" s="1"/>
      <c r="AW547" s="1"/>
    </row>
    <row r="548">
      <c r="A548" s="1"/>
      <c r="B548" s="1"/>
      <c r="C548" s="10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43"/>
      <c r="AV548" s="1"/>
      <c r="AW548" s="1"/>
    </row>
    <row r="549">
      <c r="A549" s="1"/>
      <c r="B549" s="1"/>
      <c r="C549" s="10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43"/>
      <c r="AV549" s="1"/>
      <c r="AW549" s="1"/>
    </row>
    <row r="550">
      <c r="A550" s="1"/>
      <c r="B550" s="1"/>
      <c r="C550" s="10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43"/>
      <c r="AV550" s="1"/>
      <c r="AW550" s="1"/>
    </row>
    <row r="551">
      <c r="A551" s="1"/>
      <c r="B551" s="1"/>
      <c r="C551" s="10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43"/>
      <c r="AV551" s="1"/>
      <c r="AW551" s="1"/>
    </row>
    <row r="552">
      <c r="A552" s="1"/>
      <c r="B552" s="1"/>
      <c r="C552" s="10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43"/>
      <c r="AV552" s="1"/>
      <c r="AW552" s="1"/>
    </row>
    <row r="553">
      <c r="A553" s="1"/>
      <c r="B553" s="1"/>
      <c r="C553" s="10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43"/>
      <c r="AV553" s="1"/>
      <c r="AW553" s="1"/>
    </row>
    <row r="554">
      <c r="A554" s="1"/>
      <c r="B554" s="1"/>
      <c r="C554" s="10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43"/>
      <c r="AV554" s="1"/>
      <c r="AW554" s="1"/>
    </row>
    <row r="555">
      <c r="A555" s="1"/>
      <c r="B555" s="1"/>
      <c r="C555" s="10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43"/>
      <c r="AV555" s="1"/>
      <c r="AW555" s="1"/>
    </row>
    <row r="556">
      <c r="A556" s="1"/>
      <c r="B556" s="1"/>
      <c r="C556" s="10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43"/>
      <c r="AV556" s="1"/>
      <c r="AW556" s="1"/>
    </row>
    <row r="557">
      <c r="A557" s="1"/>
      <c r="B557" s="1"/>
      <c r="C557" s="10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43"/>
      <c r="AV557" s="1"/>
      <c r="AW557" s="1"/>
    </row>
    <row r="558">
      <c r="A558" s="1"/>
      <c r="B558" s="1"/>
      <c r="C558" s="10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43"/>
      <c r="AV558" s="1"/>
      <c r="AW558" s="1"/>
    </row>
    <row r="559">
      <c r="A559" s="1"/>
      <c r="B559" s="1"/>
      <c r="C559" s="10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43"/>
      <c r="AV559" s="1"/>
      <c r="AW559" s="1"/>
    </row>
    <row r="560">
      <c r="A560" s="1"/>
      <c r="B560" s="1"/>
      <c r="C560" s="10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43"/>
      <c r="AV560" s="1"/>
      <c r="AW560" s="1"/>
    </row>
    <row r="561">
      <c r="A561" s="1"/>
      <c r="B561" s="1"/>
      <c r="C561" s="10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43"/>
      <c r="AV561" s="1"/>
      <c r="AW561" s="1"/>
    </row>
    <row r="562">
      <c r="A562" s="1"/>
      <c r="B562" s="1"/>
      <c r="C562" s="10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43"/>
      <c r="AV562" s="1"/>
      <c r="AW562" s="1"/>
    </row>
    <row r="563">
      <c r="A563" s="1"/>
      <c r="B563" s="1"/>
      <c r="C563" s="10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43"/>
      <c r="AV563" s="1"/>
      <c r="AW563" s="1"/>
    </row>
    <row r="564">
      <c r="A564" s="1"/>
      <c r="B564" s="1"/>
      <c r="C564" s="10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43"/>
      <c r="AV564" s="1"/>
      <c r="AW564" s="1"/>
    </row>
    <row r="565">
      <c r="A565" s="1"/>
      <c r="B565" s="1"/>
      <c r="C565" s="10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43"/>
      <c r="AV565" s="1"/>
      <c r="AW565" s="1"/>
    </row>
    <row r="566">
      <c r="A566" s="1"/>
      <c r="B566" s="1"/>
      <c r="C566" s="10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43"/>
      <c r="AV566" s="1"/>
      <c r="AW566" s="1"/>
    </row>
    <row r="567">
      <c r="A567" s="1"/>
      <c r="B567" s="1"/>
      <c r="C567" s="10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43"/>
      <c r="AV567" s="1"/>
      <c r="AW567" s="1"/>
    </row>
    <row r="568">
      <c r="A568" s="1"/>
      <c r="B568" s="1"/>
      <c r="C568" s="10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43"/>
      <c r="AV568" s="1"/>
      <c r="AW568" s="1"/>
    </row>
    <row r="569">
      <c r="A569" s="1"/>
      <c r="B569" s="1"/>
      <c r="C569" s="10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43"/>
      <c r="AV569" s="1"/>
      <c r="AW569" s="1"/>
    </row>
    <row r="570">
      <c r="A570" s="1"/>
      <c r="B570" s="1"/>
      <c r="C570" s="10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43"/>
      <c r="AV570" s="1"/>
      <c r="AW570" s="1"/>
    </row>
    <row r="571">
      <c r="A571" s="1"/>
      <c r="B571" s="1"/>
      <c r="C571" s="10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43"/>
      <c r="AV571" s="1"/>
      <c r="AW571" s="1"/>
    </row>
    <row r="572">
      <c r="A572" s="1"/>
      <c r="B572" s="1"/>
      <c r="C572" s="10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43"/>
      <c r="AV572" s="1"/>
      <c r="AW572" s="1"/>
    </row>
    <row r="573">
      <c r="A573" s="1"/>
      <c r="B573" s="1"/>
      <c r="C573" s="10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43"/>
      <c r="AV573" s="1"/>
      <c r="AW573" s="1"/>
    </row>
    <row r="574">
      <c r="A574" s="1"/>
      <c r="B574" s="1"/>
      <c r="C574" s="10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43"/>
      <c r="AV574" s="1"/>
      <c r="AW574" s="1"/>
    </row>
    <row r="575">
      <c r="A575" s="1"/>
      <c r="B575" s="1"/>
      <c r="C575" s="10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43"/>
      <c r="AV575" s="1"/>
      <c r="AW575" s="1"/>
    </row>
    <row r="576">
      <c r="A576" s="1"/>
      <c r="B576" s="1"/>
      <c r="C576" s="10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43"/>
      <c r="AV576" s="1"/>
      <c r="AW576" s="1"/>
    </row>
    <row r="577">
      <c r="A577" s="1"/>
      <c r="B577" s="1"/>
      <c r="C577" s="10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43"/>
      <c r="AV577" s="1"/>
      <c r="AW577" s="1"/>
    </row>
    <row r="578">
      <c r="A578" s="1"/>
      <c r="B578" s="1"/>
      <c r="C578" s="10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43"/>
      <c r="AV578" s="1"/>
      <c r="AW578" s="1"/>
    </row>
    <row r="579">
      <c r="A579" s="1"/>
      <c r="B579" s="1"/>
      <c r="C579" s="10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43"/>
      <c r="AV579" s="1"/>
      <c r="AW579" s="1"/>
    </row>
    <row r="580">
      <c r="A580" s="1"/>
      <c r="B580" s="1"/>
      <c r="C580" s="10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43"/>
      <c r="AV580" s="1"/>
      <c r="AW580" s="1"/>
    </row>
    <row r="581">
      <c r="A581" s="1"/>
      <c r="B581" s="1"/>
      <c r="C581" s="10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43"/>
      <c r="AV581" s="1"/>
      <c r="AW581" s="1"/>
    </row>
    <row r="582">
      <c r="A582" s="1"/>
      <c r="B582" s="1"/>
      <c r="C582" s="10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43"/>
      <c r="AV582" s="1"/>
      <c r="AW582" s="1"/>
    </row>
    <row r="583">
      <c r="A583" s="1"/>
      <c r="B583" s="1"/>
      <c r="C583" s="10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43"/>
      <c r="AV583" s="1"/>
      <c r="AW583" s="1"/>
    </row>
    <row r="584">
      <c r="A584" s="1"/>
      <c r="B584" s="1"/>
      <c r="C584" s="10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43"/>
      <c r="AV584" s="1"/>
      <c r="AW584" s="1"/>
    </row>
    <row r="585">
      <c r="A585" s="1"/>
      <c r="B585" s="1"/>
      <c r="C585" s="10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43"/>
      <c r="AV585" s="1"/>
      <c r="AW585" s="1"/>
    </row>
    <row r="586">
      <c r="A586" s="1"/>
      <c r="B586" s="1"/>
      <c r="C586" s="10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43"/>
      <c r="AV586" s="1"/>
      <c r="AW586" s="1"/>
    </row>
    <row r="587">
      <c r="A587" s="1"/>
      <c r="B587" s="1"/>
      <c r="C587" s="10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43"/>
      <c r="AV587" s="1"/>
      <c r="AW587" s="1"/>
    </row>
    <row r="588">
      <c r="A588" s="1"/>
      <c r="B588" s="1"/>
      <c r="C588" s="10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43"/>
      <c r="AV588" s="1"/>
      <c r="AW588" s="1"/>
    </row>
    <row r="589">
      <c r="A589" s="1"/>
      <c r="B589" s="1"/>
      <c r="C589" s="10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43"/>
      <c r="AV589" s="1"/>
      <c r="AW589" s="1"/>
    </row>
    <row r="590">
      <c r="A590" s="1"/>
      <c r="B590" s="1"/>
      <c r="C590" s="10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43"/>
      <c r="AV590" s="1"/>
      <c r="AW590" s="1"/>
    </row>
    <row r="591">
      <c r="A591" s="1"/>
      <c r="B591" s="1"/>
      <c r="C591" s="10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43"/>
      <c r="AV591" s="1"/>
      <c r="AW591" s="1"/>
    </row>
    <row r="592">
      <c r="A592" s="1"/>
      <c r="B592" s="1"/>
      <c r="C592" s="10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43"/>
      <c r="AV592" s="1"/>
      <c r="AW592" s="1"/>
    </row>
    <row r="593">
      <c r="A593" s="1"/>
      <c r="B593" s="1"/>
      <c r="C593" s="10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43"/>
      <c r="AV593" s="1"/>
      <c r="AW593" s="1"/>
    </row>
    <row r="594">
      <c r="A594" s="1"/>
      <c r="B594" s="1"/>
      <c r="C594" s="10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43"/>
      <c r="AV594" s="1"/>
      <c r="AW594" s="1"/>
    </row>
    <row r="595">
      <c r="A595" s="1"/>
      <c r="B595" s="1"/>
      <c r="C595" s="10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43"/>
      <c r="AV595" s="1"/>
      <c r="AW595" s="1"/>
    </row>
    <row r="596">
      <c r="A596" s="1"/>
      <c r="B596" s="1"/>
      <c r="C596" s="10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43"/>
      <c r="AV596" s="1"/>
      <c r="AW596" s="1"/>
    </row>
    <row r="597">
      <c r="A597" s="1"/>
      <c r="B597" s="1"/>
      <c r="C597" s="10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43"/>
      <c r="AV597" s="1"/>
      <c r="AW597" s="1"/>
    </row>
    <row r="598">
      <c r="A598" s="1"/>
      <c r="B598" s="1"/>
      <c r="C598" s="10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43"/>
      <c r="AV598" s="1"/>
      <c r="AW598" s="1"/>
    </row>
    <row r="599">
      <c r="A599" s="1"/>
      <c r="B599" s="1"/>
      <c r="C599" s="10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43"/>
      <c r="AV599" s="1"/>
      <c r="AW599" s="1"/>
    </row>
    <row r="600">
      <c r="A600" s="1"/>
      <c r="B600" s="1"/>
      <c r="C600" s="10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43"/>
      <c r="AV600" s="1"/>
      <c r="AW600" s="1"/>
    </row>
    <row r="601">
      <c r="A601" s="1"/>
      <c r="B601" s="1"/>
      <c r="C601" s="10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43"/>
      <c r="AV601" s="1"/>
      <c r="AW601" s="1"/>
    </row>
    <row r="602">
      <c r="A602" s="1"/>
      <c r="B602" s="1"/>
      <c r="C602" s="10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43"/>
      <c r="AV602" s="1"/>
      <c r="AW602" s="1"/>
    </row>
    <row r="603">
      <c r="A603" s="1"/>
      <c r="B603" s="1"/>
      <c r="C603" s="10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43"/>
      <c r="AV603" s="1"/>
      <c r="AW603" s="1"/>
    </row>
    <row r="604">
      <c r="A604" s="1"/>
      <c r="B604" s="1"/>
      <c r="C604" s="10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43"/>
      <c r="AV604" s="1"/>
      <c r="AW604" s="1"/>
    </row>
    <row r="605">
      <c r="A605" s="1"/>
      <c r="B605" s="1"/>
      <c r="C605" s="10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43"/>
      <c r="AV605" s="1"/>
      <c r="AW605" s="1"/>
    </row>
    <row r="606">
      <c r="A606" s="1"/>
      <c r="B606" s="1"/>
      <c r="C606" s="10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43"/>
      <c r="AV606" s="1"/>
      <c r="AW606" s="1"/>
    </row>
    <row r="607">
      <c r="A607" s="1"/>
      <c r="B607" s="1"/>
      <c r="C607" s="10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43"/>
      <c r="AV607" s="1"/>
      <c r="AW607" s="1"/>
    </row>
    <row r="608">
      <c r="A608" s="1"/>
      <c r="B608" s="1"/>
      <c r="C608" s="10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43"/>
      <c r="AV608" s="1"/>
      <c r="AW608" s="1"/>
    </row>
    <row r="609">
      <c r="A609" s="1"/>
      <c r="B609" s="1"/>
      <c r="C609" s="10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43"/>
      <c r="AV609" s="1"/>
      <c r="AW609" s="1"/>
    </row>
    <row r="610">
      <c r="A610" s="1"/>
      <c r="B610" s="1"/>
      <c r="C610" s="10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43"/>
      <c r="AV610" s="1"/>
      <c r="AW610" s="1"/>
    </row>
    <row r="611">
      <c r="A611" s="1"/>
      <c r="B611" s="1"/>
      <c r="C611" s="10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43"/>
      <c r="AV611" s="1"/>
      <c r="AW611" s="1"/>
    </row>
    <row r="612">
      <c r="A612" s="1"/>
      <c r="B612" s="1"/>
      <c r="C612" s="10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43"/>
      <c r="AV612" s="1"/>
      <c r="AW612" s="1"/>
    </row>
    <row r="613">
      <c r="A613" s="1"/>
      <c r="B613" s="1"/>
      <c r="C613" s="10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43"/>
      <c r="AV613" s="1"/>
      <c r="AW613" s="1"/>
    </row>
    <row r="614">
      <c r="A614" s="1"/>
      <c r="B614" s="1"/>
      <c r="C614" s="10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43"/>
      <c r="AV614" s="1"/>
      <c r="AW614" s="1"/>
    </row>
    <row r="615">
      <c r="A615" s="1"/>
      <c r="B615" s="1"/>
      <c r="C615" s="10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43"/>
      <c r="AV615" s="1"/>
      <c r="AW615" s="1"/>
    </row>
    <row r="616">
      <c r="A616" s="1"/>
      <c r="B616" s="1"/>
      <c r="C616" s="10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43"/>
      <c r="AV616" s="1"/>
      <c r="AW616" s="1"/>
    </row>
    <row r="617">
      <c r="A617" s="1"/>
      <c r="B617" s="1"/>
      <c r="C617" s="10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43"/>
      <c r="AV617" s="1"/>
      <c r="AW617" s="1"/>
    </row>
    <row r="618">
      <c r="A618" s="1"/>
      <c r="B618" s="1"/>
      <c r="C618" s="10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43"/>
      <c r="AV618" s="1"/>
      <c r="AW618" s="1"/>
    </row>
    <row r="619">
      <c r="A619" s="1"/>
      <c r="B619" s="1"/>
      <c r="C619" s="10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43"/>
      <c r="AV619" s="1"/>
      <c r="AW619" s="1"/>
    </row>
    <row r="620">
      <c r="A620" s="1"/>
      <c r="B620" s="1"/>
      <c r="C620" s="10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43"/>
      <c r="AV620" s="1"/>
      <c r="AW620" s="1"/>
    </row>
    <row r="621">
      <c r="A621" s="1"/>
      <c r="B621" s="1"/>
      <c r="C621" s="10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43"/>
      <c r="AV621" s="1"/>
      <c r="AW621" s="1"/>
    </row>
    <row r="622">
      <c r="A622" s="1"/>
      <c r="B622" s="1"/>
      <c r="C622" s="10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43"/>
      <c r="AV622" s="1"/>
      <c r="AW622" s="1"/>
    </row>
    <row r="623">
      <c r="A623" s="1"/>
      <c r="B623" s="1"/>
      <c r="C623" s="10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43"/>
      <c r="AV623" s="1"/>
      <c r="AW623" s="1"/>
    </row>
    <row r="624">
      <c r="A624" s="1"/>
      <c r="B624" s="1"/>
      <c r="C624" s="10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43"/>
      <c r="AV624" s="1"/>
      <c r="AW624" s="1"/>
    </row>
    <row r="625">
      <c r="A625" s="1"/>
      <c r="B625" s="1"/>
      <c r="C625" s="10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43"/>
      <c r="AV625" s="1"/>
      <c r="AW625" s="1"/>
    </row>
    <row r="626">
      <c r="A626" s="1"/>
      <c r="B626" s="1"/>
      <c r="C626" s="10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43"/>
      <c r="AV626" s="1"/>
      <c r="AW626" s="1"/>
    </row>
    <row r="627">
      <c r="A627" s="1"/>
      <c r="B627" s="1"/>
      <c r="C627" s="10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43"/>
      <c r="AV627" s="1"/>
      <c r="AW627" s="1"/>
    </row>
    <row r="628">
      <c r="A628" s="1"/>
      <c r="B628" s="1"/>
      <c r="C628" s="10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43"/>
      <c r="AV628" s="1"/>
      <c r="AW628" s="1"/>
    </row>
    <row r="629">
      <c r="A629" s="1"/>
      <c r="B629" s="1"/>
      <c r="C629" s="10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43"/>
      <c r="AV629" s="1"/>
      <c r="AW629" s="1"/>
    </row>
    <row r="630">
      <c r="A630" s="1"/>
      <c r="B630" s="1"/>
      <c r="C630" s="10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43"/>
      <c r="AV630" s="1"/>
      <c r="AW630" s="1"/>
    </row>
    <row r="631">
      <c r="A631" s="1"/>
      <c r="B631" s="1"/>
      <c r="C631" s="10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43"/>
      <c r="AV631" s="1"/>
      <c r="AW631" s="1"/>
    </row>
    <row r="632">
      <c r="A632" s="1"/>
      <c r="B632" s="1"/>
      <c r="C632" s="10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43"/>
      <c r="AV632" s="1"/>
      <c r="AW632" s="1"/>
    </row>
    <row r="633">
      <c r="A633" s="1"/>
      <c r="B633" s="1"/>
      <c r="C633" s="10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43"/>
      <c r="AV633" s="1"/>
      <c r="AW633" s="1"/>
    </row>
    <row r="634">
      <c r="A634" s="1"/>
      <c r="B634" s="1"/>
      <c r="C634" s="10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43"/>
      <c r="AV634" s="1"/>
      <c r="AW634" s="1"/>
    </row>
    <row r="635">
      <c r="A635" s="1"/>
      <c r="B635" s="1"/>
      <c r="C635" s="10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43"/>
      <c r="AV635" s="1"/>
      <c r="AW635" s="1"/>
    </row>
    <row r="636">
      <c r="A636" s="1"/>
      <c r="B636" s="1"/>
      <c r="C636" s="10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43"/>
      <c r="AV636" s="1"/>
      <c r="AW636" s="1"/>
    </row>
    <row r="637">
      <c r="A637" s="1"/>
      <c r="B637" s="1"/>
      <c r="C637" s="10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43"/>
      <c r="AV637" s="1"/>
      <c r="AW637" s="1"/>
    </row>
    <row r="638">
      <c r="A638" s="1"/>
      <c r="B638" s="1"/>
      <c r="C638" s="10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43"/>
      <c r="AV638" s="1"/>
      <c r="AW638" s="1"/>
    </row>
    <row r="639">
      <c r="A639" s="1"/>
      <c r="B639" s="1"/>
      <c r="C639" s="10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43"/>
      <c r="AV639" s="1"/>
      <c r="AW639" s="1"/>
    </row>
    <row r="640">
      <c r="A640" s="1"/>
      <c r="B640" s="1"/>
      <c r="C640" s="10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43"/>
      <c r="AV640" s="1"/>
      <c r="AW640" s="1"/>
    </row>
    <row r="641">
      <c r="A641" s="1"/>
      <c r="B641" s="1"/>
      <c r="C641" s="10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43"/>
      <c r="AV641" s="1"/>
      <c r="AW641" s="1"/>
    </row>
    <row r="642">
      <c r="A642" s="1"/>
      <c r="B642" s="1"/>
      <c r="C642" s="10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43"/>
      <c r="AV642" s="1"/>
      <c r="AW642" s="1"/>
    </row>
    <row r="643">
      <c r="A643" s="1"/>
      <c r="B643" s="1"/>
      <c r="C643" s="10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43"/>
      <c r="AV643" s="1"/>
      <c r="AW643" s="1"/>
    </row>
    <row r="644">
      <c r="A644" s="1"/>
      <c r="B644" s="1"/>
      <c r="C644" s="10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43"/>
      <c r="AV644" s="1"/>
      <c r="AW644" s="1"/>
    </row>
    <row r="645">
      <c r="A645" s="1"/>
      <c r="B645" s="1"/>
      <c r="C645" s="10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43"/>
      <c r="AV645" s="1"/>
      <c r="AW645" s="1"/>
    </row>
    <row r="646">
      <c r="A646" s="1"/>
      <c r="B646" s="1"/>
      <c r="C646" s="10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43"/>
      <c r="AV646" s="1"/>
      <c r="AW646" s="1"/>
    </row>
    <row r="647">
      <c r="A647" s="1"/>
      <c r="B647" s="1"/>
      <c r="C647" s="10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43"/>
      <c r="AV647" s="1"/>
      <c r="AW647" s="1"/>
    </row>
    <row r="648">
      <c r="A648" s="1"/>
      <c r="B648" s="1"/>
      <c r="C648" s="10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43"/>
      <c r="AV648" s="1"/>
      <c r="AW648" s="1"/>
    </row>
    <row r="649">
      <c r="A649" s="1"/>
      <c r="B649" s="1"/>
      <c r="C649" s="10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43"/>
      <c r="AV649" s="1"/>
      <c r="AW649" s="1"/>
    </row>
    <row r="650">
      <c r="A650" s="1"/>
      <c r="B650" s="1"/>
      <c r="C650" s="10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43"/>
      <c r="AV650" s="1"/>
      <c r="AW650" s="1"/>
    </row>
    <row r="651">
      <c r="A651" s="1"/>
      <c r="B651" s="1"/>
      <c r="C651" s="10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43"/>
      <c r="AV651" s="1"/>
      <c r="AW651" s="1"/>
    </row>
    <row r="652">
      <c r="A652" s="1"/>
      <c r="B652" s="1"/>
      <c r="C652" s="10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43"/>
      <c r="AV652" s="1"/>
      <c r="AW652" s="1"/>
    </row>
    <row r="653">
      <c r="A653" s="1"/>
      <c r="B653" s="1"/>
      <c r="C653" s="10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43"/>
      <c r="AV653" s="1"/>
      <c r="AW653" s="1"/>
    </row>
    <row r="654">
      <c r="A654" s="1"/>
      <c r="B654" s="1"/>
      <c r="C654" s="10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43"/>
      <c r="AV654" s="1"/>
      <c r="AW654" s="1"/>
    </row>
    <row r="655">
      <c r="A655" s="1"/>
      <c r="B655" s="1"/>
      <c r="C655" s="10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43"/>
      <c r="AV655" s="1"/>
      <c r="AW655" s="1"/>
    </row>
    <row r="656">
      <c r="A656" s="1"/>
      <c r="B656" s="1"/>
      <c r="C656" s="10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43"/>
      <c r="AV656" s="1"/>
      <c r="AW656" s="1"/>
    </row>
    <row r="657">
      <c r="A657" s="1"/>
      <c r="B657" s="1"/>
      <c r="C657" s="10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43"/>
      <c r="AV657" s="1"/>
      <c r="AW657" s="1"/>
    </row>
    <row r="658">
      <c r="A658" s="1"/>
      <c r="B658" s="1"/>
      <c r="C658" s="10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43"/>
      <c r="AV658" s="1"/>
      <c r="AW658" s="1"/>
    </row>
    <row r="659">
      <c r="A659" s="1"/>
      <c r="B659" s="1"/>
      <c r="C659" s="10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43"/>
      <c r="AV659" s="1"/>
      <c r="AW659" s="1"/>
    </row>
    <row r="660">
      <c r="A660" s="1"/>
      <c r="B660" s="1"/>
      <c r="C660" s="10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43"/>
      <c r="AV660" s="1"/>
      <c r="AW660" s="1"/>
    </row>
    <row r="661">
      <c r="A661" s="1"/>
      <c r="B661" s="1"/>
      <c r="C661" s="10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43"/>
      <c r="AV661" s="1"/>
      <c r="AW661" s="1"/>
    </row>
    <row r="662">
      <c r="A662" s="1"/>
      <c r="B662" s="1"/>
      <c r="C662" s="10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43"/>
      <c r="AV662" s="1"/>
      <c r="AW662" s="1"/>
    </row>
    <row r="663">
      <c r="A663" s="1"/>
      <c r="B663" s="1"/>
      <c r="C663" s="10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43"/>
      <c r="AV663" s="1"/>
      <c r="AW663" s="1"/>
    </row>
    <row r="664">
      <c r="A664" s="1"/>
      <c r="B664" s="1"/>
      <c r="C664" s="10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43"/>
      <c r="AV664" s="1"/>
      <c r="AW664" s="1"/>
    </row>
    <row r="665">
      <c r="A665" s="1"/>
      <c r="B665" s="1"/>
      <c r="C665" s="10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43"/>
      <c r="AV665" s="1"/>
      <c r="AW665" s="1"/>
    </row>
    <row r="666">
      <c r="A666" s="1"/>
      <c r="B666" s="1"/>
      <c r="C666" s="10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43"/>
      <c r="AV666" s="1"/>
      <c r="AW666" s="1"/>
    </row>
    <row r="667">
      <c r="A667" s="1"/>
      <c r="B667" s="1"/>
      <c r="C667" s="10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43"/>
      <c r="AV667" s="1"/>
      <c r="AW667" s="1"/>
    </row>
    <row r="668">
      <c r="A668" s="1"/>
      <c r="B668" s="1"/>
      <c r="C668" s="10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43"/>
      <c r="AV668" s="1"/>
      <c r="AW668" s="1"/>
    </row>
    <row r="669">
      <c r="A669" s="1"/>
      <c r="B669" s="1"/>
      <c r="C669" s="10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43"/>
      <c r="AV669" s="1"/>
      <c r="AW669" s="1"/>
    </row>
    <row r="670">
      <c r="A670" s="1"/>
      <c r="B670" s="1"/>
      <c r="C670" s="10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43"/>
      <c r="AV670" s="1"/>
      <c r="AW670" s="1"/>
    </row>
    <row r="671">
      <c r="A671" s="1"/>
      <c r="B671" s="1"/>
      <c r="C671" s="10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43"/>
      <c r="AV671" s="1"/>
      <c r="AW671" s="1"/>
    </row>
    <row r="672">
      <c r="A672" s="1"/>
      <c r="B672" s="1"/>
      <c r="C672" s="10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43"/>
      <c r="AV672" s="1"/>
      <c r="AW672" s="1"/>
    </row>
    <row r="673">
      <c r="A673" s="1"/>
      <c r="B673" s="1"/>
      <c r="C673" s="10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43"/>
      <c r="AV673" s="1"/>
      <c r="AW673" s="1"/>
    </row>
    <row r="674">
      <c r="A674" s="1"/>
      <c r="B674" s="1"/>
      <c r="C674" s="10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43"/>
      <c r="AV674" s="1"/>
      <c r="AW674" s="1"/>
    </row>
    <row r="675">
      <c r="A675" s="1"/>
      <c r="B675" s="1"/>
      <c r="C675" s="10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43"/>
      <c r="AV675" s="1"/>
      <c r="AW675" s="1"/>
    </row>
    <row r="676">
      <c r="A676" s="1"/>
      <c r="B676" s="1"/>
      <c r="C676" s="10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43"/>
      <c r="AV676" s="1"/>
      <c r="AW676" s="1"/>
    </row>
    <row r="677">
      <c r="A677" s="1"/>
      <c r="B677" s="1"/>
      <c r="C677" s="10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43"/>
      <c r="AV677" s="1"/>
      <c r="AW677" s="1"/>
    </row>
    <row r="678">
      <c r="A678" s="1"/>
      <c r="B678" s="1"/>
      <c r="C678" s="10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43"/>
      <c r="AV678" s="1"/>
      <c r="AW678" s="1"/>
    </row>
    <row r="679">
      <c r="A679" s="1"/>
      <c r="B679" s="1"/>
      <c r="C679" s="10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43"/>
      <c r="AV679" s="1"/>
      <c r="AW679" s="1"/>
    </row>
    <row r="680">
      <c r="A680" s="1"/>
      <c r="B680" s="1"/>
      <c r="C680" s="10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43"/>
      <c r="AV680" s="1"/>
      <c r="AW680" s="1"/>
    </row>
    <row r="681">
      <c r="A681" s="1"/>
      <c r="B681" s="1"/>
      <c r="C681" s="10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43"/>
      <c r="AV681" s="1"/>
      <c r="AW681" s="1"/>
    </row>
    <row r="682">
      <c r="A682" s="1"/>
      <c r="B682" s="1"/>
      <c r="C682" s="10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43"/>
      <c r="AV682" s="1"/>
      <c r="AW682" s="1"/>
    </row>
    <row r="683">
      <c r="A683" s="1"/>
      <c r="B683" s="1"/>
      <c r="C683" s="10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43"/>
      <c r="AV683" s="1"/>
      <c r="AW683" s="1"/>
    </row>
    <row r="684">
      <c r="A684" s="1"/>
      <c r="B684" s="1"/>
      <c r="C684" s="10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43"/>
      <c r="AV684" s="1"/>
      <c r="AW684" s="1"/>
    </row>
    <row r="685">
      <c r="A685" s="1"/>
      <c r="B685" s="1"/>
      <c r="C685" s="10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43"/>
      <c r="AV685" s="1"/>
      <c r="AW685" s="1"/>
    </row>
    <row r="686">
      <c r="A686" s="1"/>
      <c r="B686" s="1"/>
      <c r="C686" s="10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43"/>
      <c r="AV686" s="1"/>
      <c r="AW686" s="1"/>
    </row>
    <row r="687">
      <c r="A687" s="1"/>
      <c r="B687" s="1"/>
      <c r="C687" s="10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43"/>
      <c r="AV687" s="1"/>
      <c r="AW687" s="1"/>
    </row>
    <row r="688">
      <c r="A688" s="1"/>
      <c r="B688" s="1"/>
      <c r="C688" s="10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43"/>
      <c r="AV688" s="1"/>
      <c r="AW688" s="1"/>
    </row>
    <row r="689">
      <c r="A689" s="1"/>
      <c r="B689" s="1"/>
      <c r="C689" s="10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43"/>
      <c r="AV689" s="1"/>
      <c r="AW689" s="1"/>
    </row>
    <row r="690">
      <c r="A690" s="1"/>
      <c r="B690" s="1"/>
      <c r="C690" s="10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43"/>
      <c r="AV690" s="1"/>
      <c r="AW690" s="1"/>
    </row>
    <row r="691">
      <c r="A691" s="1"/>
      <c r="B691" s="1"/>
      <c r="C691" s="10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43"/>
      <c r="AV691" s="1"/>
      <c r="AW691" s="1"/>
    </row>
    <row r="692">
      <c r="A692" s="1"/>
      <c r="B692" s="1"/>
      <c r="C692" s="10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43"/>
      <c r="AV692" s="1"/>
      <c r="AW692" s="1"/>
    </row>
    <row r="693">
      <c r="A693" s="1"/>
      <c r="B693" s="1"/>
      <c r="C693" s="10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43"/>
      <c r="AV693" s="1"/>
      <c r="AW693" s="1"/>
    </row>
    <row r="694">
      <c r="A694" s="1"/>
      <c r="B694" s="1"/>
      <c r="C694" s="10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43"/>
      <c r="AV694" s="1"/>
      <c r="AW694" s="1"/>
    </row>
    <row r="695">
      <c r="A695" s="1"/>
      <c r="B695" s="1"/>
      <c r="C695" s="10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43"/>
      <c r="AV695" s="1"/>
      <c r="AW695" s="1"/>
    </row>
    <row r="696">
      <c r="A696" s="1"/>
      <c r="B696" s="1"/>
      <c r="C696" s="10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43"/>
      <c r="AV696" s="1"/>
      <c r="AW696" s="1"/>
    </row>
    <row r="697">
      <c r="A697" s="1"/>
      <c r="B697" s="1"/>
      <c r="C697" s="10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43"/>
      <c r="AV697" s="1"/>
      <c r="AW697" s="1"/>
    </row>
    <row r="698">
      <c r="A698" s="1"/>
      <c r="B698" s="1"/>
      <c r="C698" s="10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43"/>
      <c r="AV698" s="1"/>
      <c r="AW698" s="1"/>
    </row>
    <row r="699">
      <c r="A699" s="1"/>
      <c r="B699" s="1"/>
      <c r="C699" s="10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43"/>
      <c r="AV699" s="1"/>
      <c r="AW699" s="1"/>
    </row>
    <row r="700">
      <c r="A700" s="1"/>
      <c r="B700" s="1"/>
      <c r="C700" s="10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43"/>
      <c r="AV700" s="1"/>
      <c r="AW700" s="1"/>
    </row>
    <row r="701">
      <c r="A701" s="1"/>
      <c r="B701" s="1"/>
      <c r="C701" s="10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43"/>
      <c r="AV701" s="1"/>
      <c r="AW701" s="1"/>
    </row>
    <row r="702">
      <c r="A702" s="1"/>
      <c r="B702" s="1"/>
      <c r="C702" s="10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43"/>
      <c r="AV702" s="1"/>
      <c r="AW702" s="1"/>
    </row>
    <row r="703">
      <c r="A703" s="1"/>
      <c r="B703" s="1"/>
      <c r="C703" s="10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43"/>
      <c r="AV703" s="1"/>
      <c r="AW703" s="1"/>
    </row>
    <row r="704">
      <c r="A704" s="1"/>
      <c r="B704" s="1"/>
      <c r="C704" s="10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43"/>
      <c r="AV704" s="1"/>
      <c r="AW704" s="1"/>
    </row>
    <row r="705">
      <c r="A705" s="1"/>
      <c r="B705" s="1"/>
      <c r="C705" s="10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43"/>
      <c r="AV705" s="1"/>
      <c r="AW705" s="1"/>
    </row>
    <row r="706">
      <c r="A706" s="1"/>
      <c r="B706" s="1"/>
      <c r="C706" s="10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43"/>
      <c r="AV706" s="1"/>
      <c r="AW706" s="1"/>
    </row>
    <row r="707">
      <c r="A707" s="1"/>
      <c r="B707" s="1"/>
      <c r="C707" s="10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43"/>
      <c r="AV707" s="1"/>
      <c r="AW707" s="1"/>
    </row>
    <row r="708">
      <c r="A708" s="1"/>
      <c r="B708" s="1"/>
      <c r="C708" s="10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43"/>
      <c r="AV708" s="1"/>
      <c r="AW708" s="1"/>
    </row>
    <row r="709">
      <c r="A709" s="1"/>
      <c r="B709" s="1"/>
      <c r="C709" s="10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43"/>
      <c r="AV709" s="1"/>
      <c r="AW709" s="1"/>
    </row>
    <row r="710">
      <c r="A710" s="1"/>
      <c r="B710" s="1"/>
      <c r="C710" s="10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43"/>
      <c r="AV710" s="1"/>
      <c r="AW710" s="1"/>
    </row>
    <row r="711">
      <c r="A711" s="1"/>
      <c r="B711" s="1"/>
      <c r="C711" s="10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43"/>
      <c r="AV711" s="1"/>
      <c r="AW711" s="1"/>
    </row>
    <row r="712">
      <c r="A712" s="1"/>
      <c r="B712" s="1"/>
      <c r="C712" s="10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43"/>
      <c r="AV712" s="1"/>
      <c r="AW712" s="1"/>
    </row>
    <row r="713">
      <c r="A713" s="1"/>
      <c r="B713" s="1"/>
      <c r="C713" s="10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43"/>
      <c r="AV713" s="1"/>
      <c r="AW713" s="1"/>
    </row>
    <row r="714">
      <c r="A714" s="1"/>
      <c r="B714" s="1"/>
      <c r="C714" s="10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43"/>
      <c r="AV714" s="1"/>
      <c r="AW714" s="1"/>
    </row>
    <row r="715">
      <c r="A715" s="1"/>
      <c r="B715" s="1"/>
      <c r="C715" s="10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43"/>
      <c r="AV715" s="1"/>
      <c r="AW715" s="1"/>
    </row>
    <row r="716">
      <c r="A716" s="1"/>
      <c r="B716" s="1"/>
      <c r="C716" s="10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43"/>
      <c r="AV716" s="1"/>
      <c r="AW716" s="1"/>
    </row>
    <row r="717">
      <c r="A717" s="1"/>
      <c r="B717" s="1"/>
      <c r="C717" s="10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43"/>
      <c r="AV717" s="1"/>
      <c r="AW717" s="1"/>
    </row>
    <row r="718">
      <c r="A718" s="1"/>
      <c r="B718" s="1"/>
      <c r="C718" s="10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43"/>
      <c r="AV718" s="1"/>
      <c r="AW718" s="1"/>
    </row>
    <row r="719">
      <c r="A719" s="1"/>
      <c r="B719" s="1"/>
      <c r="C719" s="10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43"/>
      <c r="AV719" s="1"/>
      <c r="AW719" s="1"/>
    </row>
    <row r="720">
      <c r="A720" s="1"/>
      <c r="B720" s="1"/>
      <c r="C720" s="10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43"/>
      <c r="AV720" s="1"/>
      <c r="AW720" s="1"/>
    </row>
    <row r="721">
      <c r="A721" s="1"/>
      <c r="B721" s="1"/>
      <c r="C721" s="10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43"/>
      <c r="AV721" s="1"/>
      <c r="AW721" s="1"/>
    </row>
    <row r="722">
      <c r="A722" s="1"/>
      <c r="B722" s="1"/>
      <c r="C722" s="10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43"/>
      <c r="AV722" s="1"/>
      <c r="AW722" s="1"/>
    </row>
    <row r="723">
      <c r="A723" s="1"/>
      <c r="B723" s="1"/>
      <c r="C723" s="10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43"/>
      <c r="AV723" s="1"/>
      <c r="AW723" s="1"/>
    </row>
    <row r="724">
      <c r="A724" s="1"/>
      <c r="B724" s="1"/>
      <c r="C724" s="10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43"/>
      <c r="AV724" s="1"/>
      <c r="AW724" s="1"/>
    </row>
    <row r="725">
      <c r="A725" s="1"/>
      <c r="B725" s="1"/>
      <c r="C725" s="10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43"/>
      <c r="AV725" s="1"/>
      <c r="AW725" s="1"/>
    </row>
    <row r="726">
      <c r="A726" s="1"/>
      <c r="B726" s="1"/>
      <c r="C726" s="10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43"/>
      <c r="AV726" s="1"/>
      <c r="AW726" s="1"/>
    </row>
    <row r="727">
      <c r="A727" s="1"/>
      <c r="B727" s="1"/>
      <c r="C727" s="10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43"/>
      <c r="AV727" s="1"/>
      <c r="AW727" s="1"/>
    </row>
    <row r="728">
      <c r="A728" s="1"/>
      <c r="B728" s="1"/>
      <c r="C728" s="10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43"/>
      <c r="AV728" s="1"/>
      <c r="AW728" s="1"/>
    </row>
    <row r="729">
      <c r="A729" s="1"/>
      <c r="B729" s="1"/>
      <c r="C729" s="10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43"/>
      <c r="AV729" s="1"/>
      <c r="AW729" s="1"/>
    </row>
    <row r="730">
      <c r="A730" s="1"/>
      <c r="B730" s="1"/>
      <c r="C730" s="10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43"/>
      <c r="AV730" s="1"/>
      <c r="AW730" s="1"/>
    </row>
    <row r="731">
      <c r="A731" s="1"/>
      <c r="B731" s="1"/>
      <c r="C731" s="10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43"/>
      <c r="AV731" s="1"/>
      <c r="AW731" s="1"/>
    </row>
    <row r="732">
      <c r="A732" s="1"/>
      <c r="B732" s="1"/>
      <c r="C732" s="10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43"/>
      <c r="AV732" s="1"/>
      <c r="AW732" s="1"/>
    </row>
    <row r="733">
      <c r="A733" s="1"/>
      <c r="B733" s="1"/>
      <c r="C733" s="10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43"/>
      <c r="AV733" s="1"/>
      <c r="AW733" s="1"/>
    </row>
    <row r="734">
      <c r="A734" s="1"/>
      <c r="B734" s="1"/>
      <c r="C734" s="10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43"/>
      <c r="AV734" s="1"/>
      <c r="AW734" s="1"/>
    </row>
    <row r="735">
      <c r="A735" s="1"/>
      <c r="B735" s="1"/>
      <c r="C735" s="10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43"/>
      <c r="AV735" s="1"/>
      <c r="AW735" s="1"/>
    </row>
    <row r="736">
      <c r="A736" s="1"/>
      <c r="B736" s="1"/>
      <c r="C736" s="10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43"/>
      <c r="AV736" s="1"/>
      <c r="AW736" s="1"/>
    </row>
    <row r="737">
      <c r="A737" s="1"/>
      <c r="B737" s="1"/>
      <c r="C737" s="10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43"/>
      <c r="AV737" s="1"/>
      <c r="AW737" s="1"/>
    </row>
    <row r="738">
      <c r="A738" s="1"/>
      <c r="B738" s="1"/>
      <c r="C738" s="10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43"/>
      <c r="AV738" s="1"/>
      <c r="AW738" s="1"/>
    </row>
    <row r="739">
      <c r="A739" s="1"/>
      <c r="B739" s="1"/>
      <c r="C739" s="10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43"/>
      <c r="AV739" s="1"/>
      <c r="AW739" s="1"/>
    </row>
    <row r="740">
      <c r="A740" s="1"/>
      <c r="B740" s="1"/>
      <c r="C740" s="10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43"/>
      <c r="AV740" s="1"/>
      <c r="AW740" s="1"/>
    </row>
    <row r="741">
      <c r="A741" s="1"/>
      <c r="B741" s="1"/>
      <c r="C741" s="10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43"/>
      <c r="AV741" s="1"/>
      <c r="AW741" s="1"/>
    </row>
    <row r="742">
      <c r="A742" s="1"/>
      <c r="B742" s="1"/>
      <c r="C742" s="10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43"/>
      <c r="AV742" s="1"/>
      <c r="AW742" s="1"/>
    </row>
    <row r="743">
      <c r="A743" s="1"/>
      <c r="B743" s="1"/>
      <c r="C743" s="10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43"/>
      <c r="AV743" s="1"/>
      <c r="AW743" s="1"/>
    </row>
    <row r="744">
      <c r="A744" s="1"/>
      <c r="B744" s="1"/>
      <c r="C744" s="10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43"/>
      <c r="AV744" s="1"/>
      <c r="AW744" s="1"/>
    </row>
    <row r="745">
      <c r="A745" s="1"/>
      <c r="B745" s="1"/>
      <c r="C745" s="10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43"/>
      <c r="AV745" s="1"/>
      <c r="AW745" s="1"/>
    </row>
    <row r="746">
      <c r="A746" s="1"/>
      <c r="B746" s="1"/>
      <c r="C746" s="10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43"/>
      <c r="AV746" s="1"/>
      <c r="AW746" s="1"/>
    </row>
    <row r="747">
      <c r="A747" s="1"/>
      <c r="B747" s="1"/>
      <c r="C747" s="10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43"/>
      <c r="AV747" s="1"/>
      <c r="AW747" s="1"/>
    </row>
    <row r="748">
      <c r="A748" s="1"/>
      <c r="B748" s="1"/>
      <c r="C748" s="10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43"/>
      <c r="AV748" s="1"/>
      <c r="AW748" s="1"/>
    </row>
    <row r="749">
      <c r="A749" s="1"/>
      <c r="B749" s="1"/>
      <c r="C749" s="10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43"/>
      <c r="AV749" s="1"/>
      <c r="AW749" s="1"/>
    </row>
    <row r="750">
      <c r="A750" s="1"/>
      <c r="B750" s="1"/>
      <c r="C750" s="10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43"/>
      <c r="AV750" s="1"/>
      <c r="AW750" s="1"/>
    </row>
    <row r="751">
      <c r="A751" s="1"/>
      <c r="B751" s="1"/>
      <c r="C751" s="10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43"/>
      <c r="AV751" s="1"/>
      <c r="AW751" s="1"/>
    </row>
    <row r="752">
      <c r="A752" s="1"/>
      <c r="B752" s="1"/>
      <c r="C752" s="10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43"/>
      <c r="AV752" s="1"/>
      <c r="AW752" s="1"/>
    </row>
    <row r="753">
      <c r="A753" s="1"/>
      <c r="B753" s="1"/>
      <c r="C753" s="10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43"/>
      <c r="AV753" s="1"/>
      <c r="AW753" s="1"/>
    </row>
    <row r="754">
      <c r="A754" s="1"/>
      <c r="B754" s="1"/>
      <c r="C754" s="10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43"/>
      <c r="AV754" s="1"/>
      <c r="AW754" s="1"/>
    </row>
    <row r="755">
      <c r="A755" s="1"/>
      <c r="B755" s="1"/>
      <c r="C755" s="10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43"/>
      <c r="AV755" s="1"/>
      <c r="AW755" s="1"/>
    </row>
    <row r="756">
      <c r="A756" s="1"/>
      <c r="B756" s="1"/>
      <c r="C756" s="10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43"/>
      <c r="AV756" s="1"/>
      <c r="AW756" s="1"/>
    </row>
    <row r="757">
      <c r="A757" s="1"/>
      <c r="B757" s="1"/>
      <c r="C757" s="10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43"/>
      <c r="AV757" s="1"/>
      <c r="AW757" s="1"/>
    </row>
    <row r="758">
      <c r="A758" s="1"/>
      <c r="B758" s="1"/>
      <c r="C758" s="10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43"/>
      <c r="AV758" s="1"/>
      <c r="AW758" s="1"/>
    </row>
    <row r="759">
      <c r="A759" s="1"/>
      <c r="B759" s="1"/>
      <c r="C759" s="10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43"/>
      <c r="AV759" s="1"/>
      <c r="AW759" s="1"/>
    </row>
    <row r="760">
      <c r="A760" s="1"/>
      <c r="B760" s="1"/>
      <c r="C760" s="10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43"/>
      <c r="AV760" s="1"/>
      <c r="AW760" s="1"/>
    </row>
    <row r="761">
      <c r="A761" s="1"/>
      <c r="B761" s="1"/>
      <c r="C761" s="10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43"/>
      <c r="AV761" s="1"/>
      <c r="AW761" s="1"/>
    </row>
    <row r="762">
      <c r="A762" s="1"/>
      <c r="B762" s="1"/>
      <c r="C762" s="10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43"/>
      <c r="AV762" s="1"/>
      <c r="AW762" s="1"/>
    </row>
    <row r="763">
      <c r="A763" s="1"/>
      <c r="B763" s="1"/>
      <c r="C763" s="10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43"/>
      <c r="AV763" s="1"/>
      <c r="AW763" s="1"/>
    </row>
    <row r="764">
      <c r="A764" s="1"/>
      <c r="B764" s="1"/>
      <c r="C764" s="10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43"/>
      <c r="AV764" s="1"/>
      <c r="AW764" s="1"/>
    </row>
    <row r="765">
      <c r="A765" s="1"/>
      <c r="B765" s="1"/>
      <c r="C765" s="10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43"/>
      <c r="AV765" s="1"/>
      <c r="AW765" s="1"/>
    </row>
    <row r="766">
      <c r="A766" s="1"/>
      <c r="B766" s="1"/>
      <c r="C766" s="10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43"/>
      <c r="AV766" s="1"/>
      <c r="AW766" s="1"/>
    </row>
    <row r="767">
      <c r="A767" s="1"/>
      <c r="B767" s="1"/>
      <c r="C767" s="10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43"/>
      <c r="AV767" s="1"/>
      <c r="AW767" s="1"/>
    </row>
    <row r="768">
      <c r="A768" s="1"/>
      <c r="B768" s="1"/>
      <c r="C768" s="10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43"/>
      <c r="AV768" s="1"/>
      <c r="AW768" s="1"/>
    </row>
    <row r="769">
      <c r="A769" s="1"/>
      <c r="B769" s="1"/>
      <c r="C769" s="10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43"/>
      <c r="AV769" s="1"/>
      <c r="AW769" s="1"/>
    </row>
    <row r="770">
      <c r="A770" s="1"/>
      <c r="B770" s="1"/>
      <c r="C770" s="10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43"/>
      <c r="AV770" s="1"/>
      <c r="AW770" s="1"/>
    </row>
    <row r="771">
      <c r="A771" s="1"/>
      <c r="B771" s="1"/>
      <c r="C771" s="10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43"/>
      <c r="AV771" s="1"/>
      <c r="AW771" s="1"/>
    </row>
    <row r="772">
      <c r="A772" s="1"/>
      <c r="B772" s="1"/>
      <c r="C772" s="10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43"/>
      <c r="AV772" s="1"/>
      <c r="AW772" s="1"/>
    </row>
    <row r="773">
      <c r="A773" s="1"/>
      <c r="B773" s="1"/>
      <c r="C773" s="10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43"/>
      <c r="AV773" s="1"/>
      <c r="AW773" s="1"/>
    </row>
    <row r="774">
      <c r="A774" s="1"/>
      <c r="B774" s="1"/>
      <c r="C774" s="10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43"/>
      <c r="AV774" s="1"/>
      <c r="AW774" s="1"/>
    </row>
    <row r="775">
      <c r="A775" s="1"/>
      <c r="B775" s="1"/>
      <c r="C775" s="10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43"/>
      <c r="AV775" s="1"/>
      <c r="AW775" s="1"/>
    </row>
    <row r="776">
      <c r="A776" s="1"/>
      <c r="B776" s="1"/>
      <c r="C776" s="10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43"/>
      <c r="AV776" s="1"/>
      <c r="AW776" s="1"/>
    </row>
    <row r="777">
      <c r="A777" s="1"/>
      <c r="B777" s="1"/>
      <c r="C777" s="10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43"/>
      <c r="AV777" s="1"/>
      <c r="AW777" s="1"/>
    </row>
    <row r="778">
      <c r="A778" s="1"/>
      <c r="B778" s="1"/>
      <c r="C778" s="10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43"/>
      <c r="AV778" s="1"/>
      <c r="AW778" s="1"/>
    </row>
    <row r="779">
      <c r="A779" s="1"/>
      <c r="B779" s="1"/>
      <c r="C779" s="10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43"/>
      <c r="AV779" s="1"/>
      <c r="AW779" s="1"/>
    </row>
    <row r="780">
      <c r="A780" s="1"/>
      <c r="B780" s="1"/>
      <c r="C780" s="10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43"/>
      <c r="AV780" s="1"/>
      <c r="AW780" s="1"/>
    </row>
    <row r="781">
      <c r="A781" s="1"/>
      <c r="B781" s="1"/>
      <c r="C781" s="10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43"/>
      <c r="AV781" s="1"/>
      <c r="AW781" s="1"/>
    </row>
    <row r="782">
      <c r="A782" s="1"/>
      <c r="B782" s="1"/>
      <c r="C782" s="10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43"/>
      <c r="AV782" s="1"/>
      <c r="AW782" s="1"/>
    </row>
    <row r="783">
      <c r="A783" s="1"/>
      <c r="B783" s="1"/>
      <c r="C783" s="10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43"/>
      <c r="AV783" s="1"/>
      <c r="AW783" s="1"/>
    </row>
    <row r="784">
      <c r="A784" s="1"/>
      <c r="B784" s="1"/>
      <c r="C784" s="10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43"/>
      <c r="AV784" s="1"/>
      <c r="AW784" s="1"/>
    </row>
    <row r="785">
      <c r="A785" s="1"/>
      <c r="B785" s="1"/>
      <c r="C785" s="10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43"/>
      <c r="AV785" s="1"/>
      <c r="AW785" s="1"/>
    </row>
    <row r="786">
      <c r="A786" s="1"/>
      <c r="B786" s="1"/>
      <c r="C786" s="10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43"/>
      <c r="AV786" s="1"/>
      <c r="AW786" s="1"/>
    </row>
    <row r="787">
      <c r="A787" s="1"/>
      <c r="B787" s="1"/>
      <c r="C787" s="10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43"/>
      <c r="AV787" s="1"/>
      <c r="AW787" s="1"/>
    </row>
    <row r="788">
      <c r="A788" s="1"/>
      <c r="B788" s="1"/>
      <c r="C788" s="10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43"/>
      <c r="AV788" s="1"/>
      <c r="AW788" s="1"/>
    </row>
    <row r="789">
      <c r="A789" s="1"/>
      <c r="B789" s="1"/>
      <c r="C789" s="10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43"/>
      <c r="AV789" s="1"/>
      <c r="AW789" s="1"/>
    </row>
    <row r="790">
      <c r="A790" s="1"/>
      <c r="B790" s="1"/>
      <c r="C790" s="10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43"/>
      <c r="AV790" s="1"/>
      <c r="AW790" s="1"/>
    </row>
    <row r="791">
      <c r="A791" s="1"/>
      <c r="B791" s="1"/>
      <c r="C791" s="10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43"/>
      <c r="AV791" s="1"/>
      <c r="AW791" s="1"/>
    </row>
    <row r="792">
      <c r="A792" s="1"/>
      <c r="B792" s="1"/>
      <c r="C792" s="10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43"/>
      <c r="AV792" s="1"/>
      <c r="AW792" s="1"/>
    </row>
    <row r="793">
      <c r="A793" s="1"/>
      <c r="B793" s="1"/>
      <c r="C793" s="10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43"/>
      <c r="AV793" s="1"/>
      <c r="AW793" s="1"/>
    </row>
    <row r="794">
      <c r="A794" s="1"/>
      <c r="B794" s="1"/>
      <c r="C794" s="10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43"/>
      <c r="AV794" s="1"/>
      <c r="AW794" s="1"/>
    </row>
    <row r="795">
      <c r="A795" s="1"/>
      <c r="B795" s="1"/>
      <c r="C795" s="10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43"/>
      <c r="AV795" s="1"/>
      <c r="AW795" s="1"/>
    </row>
    <row r="796">
      <c r="A796" s="1"/>
      <c r="B796" s="1"/>
      <c r="C796" s="10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43"/>
      <c r="AV796" s="1"/>
      <c r="AW796" s="1"/>
    </row>
    <row r="797">
      <c r="A797" s="1"/>
      <c r="B797" s="1"/>
      <c r="C797" s="10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43"/>
      <c r="AV797" s="1"/>
      <c r="AW797" s="1"/>
    </row>
    <row r="798">
      <c r="A798" s="1"/>
      <c r="B798" s="1"/>
      <c r="C798" s="10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43"/>
      <c r="AV798" s="1"/>
      <c r="AW798" s="1"/>
    </row>
    <row r="799">
      <c r="A799" s="1"/>
      <c r="B799" s="1"/>
      <c r="C799" s="10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43"/>
      <c r="AV799" s="1"/>
      <c r="AW799" s="1"/>
    </row>
    <row r="800">
      <c r="A800" s="1"/>
      <c r="B800" s="1"/>
      <c r="C800" s="10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43"/>
      <c r="AV800" s="1"/>
      <c r="AW800" s="1"/>
    </row>
    <row r="801">
      <c r="A801" s="1"/>
      <c r="B801" s="1"/>
      <c r="C801" s="10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43"/>
      <c r="AV801" s="1"/>
      <c r="AW801" s="1"/>
    </row>
    <row r="802">
      <c r="A802" s="1"/>
      <c r="B802" s="1"/>
      <c r="C802" s="10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43"/>
      <c r="AV802" s="1"/>
      <c r="AW802" s="1"/>
    </row>
    <row r="803">
      <c r="A803" s="1"/>
      <c r="B803" s="1"/>
      <c r="C803" s="10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43"/>
      <c r="AV803" s="1"/>
      <c r="AW803" s="1"/>
    </row>
    <row r="804">
      <c r="A804" s="1"/>
      <c r="B804" s="1"/>
      <c r="C804" s="10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43"/>
      <c r="AV804" s="1"/>
      <c r="AW804" s="1"/>
    </row>
    <row r="805">
      <c r="A805" s="1"/>
      <c r="B805" s="1"/>
      <c r="C805" s="10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43"/>
      <c r="AV805" s="1"/>
      <c r="AW805" s="1"/>
    </row>
    <row r="806">
      <c r="A806" s="1"/>
      <c r="B806" s="1"/>
      <c r="C806" s="10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43"/>
      <c r="AV806" s="1"/>
      <c r="AW806" s="1"/>
    </row>
    <row r="807">
      <c r="A807" s="1"/>
      <c r="B807" s="1"/>
      <c r="C807" s="10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43"/>
      <c r="AV807" s="1"/>
      <c r="AW807" s="1"/>
    </row>
    <row r="808">
      <c r="A808" s="1"/>
      <c r="B808" s="1"/>
      <c r="C808" s="10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43"/>
      <c r="AV808" s="1"/>
      <c r="AW808" s="1"/>
    </row>
    <row r="809">
      <c r="A809" s="1"/>
      <c r="B809" s="1"/>
      <c r="C809" s="10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43"/>
      <c r="AV809" s="1"/>
      <c r="AW809" s="1"/>
    </row>
    <row r="810">
      <c r="A810" s="1"/>
      <c r="B810" s="1"/>
      <c r="C810" s="10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43"/>
      <c r="AV810" s="1"/>
      <c r="AW810" s="1"/>
    </row>
    <row r="811">
      <c r="A811" s="1"/>
      <c r="B811" s="1"/>
      <c r="C811" s="10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43"/>
      <c r="AV811" s="1"/>
      <c r="AW811" s="1"/>
    </row>
    <row r="812">
      <c r="A812" s="1"/>
      <c r="B812" s="1"/>
      <c r="C812" s="10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43"/>
      <c r="AV812" s="1"/>
      <c r="AW812" s="1"/>
    </row>
    <row r="813">
      <c r="A813" s="1"/>
      <c r="B813" s="1"/>
      <c r="C813" s="10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43"/>
      <c r="AV813" s="1"/>
      <c r="AW813" s="1"/>
    </row>
    <row r="814">
      <c r="A814" s="1"/>
      <c r="B814" s="1"/>
      <c r="C814" s="10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43"/>
      <c r="AV814" s="1"/>
      <c r="AW814" s="1"/>
    </row>
    <row r="815">
      <c r="A815" s="1"/>
      <c r="B815" s="1"/>
      <c r="C815" s="10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43"/>
      <c r="AV815" s="1"/>
      <c r="AW815" s="1"/>
    </row>
    <row r="816">
      <c r="A816" s="1"/>
      <c r="B816" s="1"/>
      <c r="C816" s="10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43"/>
      <c r="AV816" s="1"/>
      <c r="AW816" s="1"/>
    </row>
    <row r="817">
      <c r="A817" s="1"/>
      <c r="B817" s="1"/>
      <c r="C817" s="10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43"/>
      <c r="AV817" s="1"/>
      <c r="AW817" s="1"/>
    </row>
    <row r="818">
      <c r="A818" s="1"/>
      <c r="B818" s="1"/>
      <c r="C818" s="10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43"/>
      <c r="AV818" s="1"/>
      <c r="AW818" s="1"/>
    </row>
    <row r="819">
      <c r="A819" s="1"/>
      <c r="B819" s="1"/>
      <c r="C819" s="10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43"/>
      <c r="AV819" s="1"/>
      <c r="AW819" s="1"/>
    </row>
    <row r="820">
      <c r="A820" s="1"/>
      <c r="B820" s="1"/>
      <c r="C820" s="10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43"/>
      <c r="AV820" s="1"/>
      <c r="AW820" s="1"/>
    </row>
    <row r="821">
      <c r="A821" s="1"/>
      <c r="B821" s="1"/>
      <c r="C821" s="10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43"/>
      <c r="AV821" s="1"/>
      <c r="AW821" s="1"/>
    </row>
    <row r="822">
      <c r="A822" s="1"/>
      <c r="B822" s="1"/>
      <c r="C822" s="10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43"/>
      <c r="AV822" s="1"/>
      <c r="AW822" s="1"/>
    </row>
    <row r="823">
      <c r="A823" s="1"/>
      <c r="B823" s="1"/>
      <c r="C823" s="10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43"/>
      <c r="AV823" s="1"/>
      <c r="AW823" s="1"/>
    </row>
    <row r="824">
      <c r="A824" s="1"/>
      <c r="B824" s="1"/>
      <c r="C824" s="10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43"/>
      <c r="AV824" s="1"/>
      <c r="AW824" s="1"/>
    </row>
    <row r="825">
      <c r="A825" s="1"/>
      <c r="B825" s="1"/>
      <c r="C825" s="10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43"/>
      <c r="AV825" s="1"/>
      <c r="AW825" s="1"/>
    </row>
    <row r="826">
      <c r="A826" s="1"/>
      <c r="B826" s="1"/>
      <c r="C826" s="10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43"/>
      <c r="AV826" s="1"/>
      <c r="AW826" s="1"/>
    </row>
    <row r="827">
      <c r="A827" s="1"/>
      <c r="B827" s="1"/>
      <c r="C827" s="10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43"/>
      <c r="AV827" s="1"/>
      <c r="AW827" s="1"/>
    </row>
    <row r="828">
      <c r="A828" s="1"/>
      <c r="B828" s="1"/>
      <c r="C828" s="10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43"/>
      <c r="AV828" s="1"/>
      <c r="AW828" s="1"/>
    </row>
    <row r="829">
      <c r="A829" s="1"/>
      <c r="B829" s="1"/>
      <c r="C829" s="10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43"/>
      <c r="AV829" s="1"/>
      <c r="AW829" s="1"/>
    </row>
    <row r="830">
      <c r="A830" s="1"/>
      <c r="B830" s="1"/>
      <c r="C830" s="10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43"/>
      <c r="AV830" s="1"/>
      <c r="AW830" s="1"/>
    </row>
    <row r="831">
      <c r="A831" s="1"/>
      <c r="B831" s="1"/>
      <c r="C831" s="10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43"/>
      <c r="AV831" s="1"/>
      <c r="AW831" s="1"/>
    </row>
    <row r="832">
      <c r="A832" s="1"/>
      <c r="B832" s="1"/>
      <c r="C832" s="10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43"/>
      <c r="AV832" s="1"/>
      <c r="AW832" s="1"/>
    </row>
    <row r="833">
      <c r="A833" s="1"/>
      <c r="B833" s="1"/>
      <c r="C833" s="10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43"/>
      <c r="AV833" s="1"/>
      <c r="AW833" s="1"/>
    </row>
    <row r="834">
      <c r="A834" s="1"/>
      <c r="B834" s="1"/>
      <c r="C834" s="10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43"/>
      <c r="AV834" s="1"/>
      <c r="AW834" s="1"/>
    </row>
    <row r="835">
      <c r="A835" s="1"/>
      <c r="B835" s="1"/>
      <c r="C835" s="10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43"/>
      <c r="AV835" s="1"/>
      <c r="AW835" s="1"/>
    </row>
    <row r="836">
      <c r="A836" s="1"/>
      <c r="B836" s="1"/>
      <c r="C836" s="10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43"/>
      <c r="AV836" s="1"/>
      <c r="AW836" s="1"/>
    </row>
    <row r="837">
      <c r="A837" s="1"/>
      <c r="B837" s="1"/>
      <c r="C837" s="10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43"/>
      <c r="AV837" s="1"/>
      <c r="AW837" s="1"/>
    </row>
    <row r="838">
      <c r="A838" s="1"/>
      <c r="B838" s="1"/>
      <c r="C838" s="10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43"/>
      <c r="AV838" s="1"/>
      <c r="AW838" s="1"/>
    </row>
    <row r="839">
      <c r="A839" s="1"/>
      <c r="B839" s="1"/>
      <c r="C839" s="10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43"/>
      <c r="AV839" s="1"/>
      <c r="AW839" s="1"/>
    </row>
    <row r="840">
      <c r="A840" s="1"/>
      <c r="B840" s="1"/>
      <c r="C840" s="10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43"/>
      <c r="AV840" s="1"/>
      <c r="AW840" s="1"/>
    </row>
    <row r="841">
      <c r="A841" s="1"/>
      <c r="B841" s="1"/>
      <c r="C841" s="10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43"/>
      <c r="AV841" s="1"/>
      <c r="AW841" s="1"/>
    </row>
    <row r="842">
      <c r="A842" s="1"/>
      <c r="B842" s="1"/>
      <c r="C842" s="10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43"/>
      <c r="AV842" s="1"/>
      <c r="AW842" s="1"/>
    </row>
    <row r="843">
      <c r="A843" s="1"/>
      <c r="B843" s="1"/>
      <c r="C843" s="10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43"/>
      <c r="AV843" s="1"/>
      <c r="AW843" s="1"/>
    </row>
    <row r="844">
      <c r="A844" s="1"/>
      <c r="B844" s="1"/>
      <c r="C844" s="10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43"/>
      <c r="AV844" s="1"/>
      <c r="AW844" s="1"/>
    </row>
    <row r="845">
      <c r="A845" s="1"/>
      <c r="B845" s="1"/>
      <c r="C845" s="10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43"/>
      <c r="AV845" s="1"/>
      <c r="AW845" s="1"/>
    </row>
    <row r="846">
      <c r="A846" s="1"/>
      <c r="B846" s="1"/>
      <c r="C846" s="10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43"/>
      <c r="AV846" s="1"/>
      <c r="AW846" s="1"/>
    </row>
    <row r="847">
      <c r="A847" s="1"/>
      <c r="B847" s="1"/>
      <c r="C847" s="10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43"/>
      <c r="AV847" s="1"/>
      <c r="AW847" s="1"/>
    </row>
    <row r="848">
      <c r="A848" s="1"/>
      <c r="B848" s="1"/>
      <c r="C848" s="10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43"/>
      <c r="AV848" s="1"/>
      <c r="AW848" s="1"/>
    </row>
    <row r="849">
      <c r="A849" s="1"/>
      <c r="B849" s="1"/>
      <c r="C849" s="10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43"/>
      <c r="AV849" s="1"/>
      <c r="AW849" s="1"/>
    </row>
    <row r="850">
      <c r="A850" s="1"/>
      <c r="B850" s="1"/>
      <c r="C850" s="10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43"/>
      <c r="AV850" s="1"/>
      <c r="AW850" s="1"/>
    </row>
    <row r="851">
      <c r="A851" s="1"/>
      <c r="B851" s="1"/>
      <c r="C851" s="10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43"/>
      <c r="AV851" s="1"/>
      <c r="AW851" s="1"/>
    </row>
    <row r="852">
      <c r="A852" s="1"/>
      <c r="B852" s="1"/>
      <c r="C852" s="10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43"/>
      <c r="AV852" s="1"/>
      <c r="AW852" s="1"/>
    </row>
    <row r="853">
      <c r="A853" s="1"/>
      <c r="B853" s="1"/>
      <c r="C853" s="10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43"/>
      <c r="AV853" s="1"/>
      <c r="AW853" s="1"/>
    </row>
    <row r="854">
      <c r="A854" s="1"/>
      <c r="B854" s="1"/>
      <c r="C854" s="10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43"/>
      <c r="AV854" s="1"/>
      <c r="AW854" s="1"/>
    </row>
    <row r="855">
      <c r="A855" s="1"/>
      <c r="B855" s="1"/>
      <c r="C855" s="10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43"/>
      <c r="AV855" s="1"/>
      <c r="AW855" s="1"/>
    </row>
    <row r="856">
      <c r="A856" s="1"/>
      <c r="B856" s="1"/>
      <c r="C856" s="10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43"/>
      <c r="AV856" s="1"/>
      <c r="AW856" s="1"/>
    </row>
    <row r="857">
      <c r="A857" s="1"/>
      <c r="B857" s="1"/>
      <c r="C857" s="10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43"/>
      <c r="AV857" s="1"/>
      <c r="AW857" s="1"/>
    </row>
    <row r="858">
      <c r="A858" s="1"/>
      <c r="B858" s="1"/>
      <c r="C858" s="10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43"/>
      <c r="AV858" s="1"/>
      <c r="AW858" s="1"/>
    </row>
    <row r="859">
      <c r="A859" s="1"/>
      <c r="B859" s="1"/>
      <c r="C859" s="10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43"/>
      <c r="AV859" s="1"/>
      <c r="AW859" s="1"/>
    </row>
    <row r="860">
      <c r="A860" s="1"/>
      <c r="B860" s="1"/>
      <c r="C860" s="10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43"/>
      <c r="AV860" s="1"/>
      <c r="AW860" s="1"/>
    </row>
    <row r="861">
      <c r="A861" s="1"/>
      <c r="B861" s="1"/>
      <c r="C861" s="10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43"/>
      <c r="AV861" s="1"/>
      <c r="AW861" s="1"/>
    </row>
    <row r="862">
      <c r="A862" s="1"/>
      <c r="B862" s="1"/>
      <c r="C862" s="10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43"/>
      <c r="AV862" s="1"/>
      <c r="AW862" s="1"/>
    </row>
    <row r="863">
      <c r="A863" s="1"/>
      <c r="B863" s="1"/>
      <c r="C863" s="10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43"/>
      <c r="AV863" s="1"/>
      <c r="AW863" s="1"/>
    </row>
    <row r="864">
      <c r="A864" s="1"/>
      <c r="B864" s="1"/>
      <c r="C864" s="10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43"/>
      <c r="AV864" s="1"/>
      <c r="AW864" s="1"/>
    </row>
    <row r="865">
      <c r="A865" s="1"/>
      <c r="B865" s="1"/>
      <c r="C865" s="10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43"/>
      <c r="AV865" s="1"/>
      <c r="AW865" s="1"/>
    </row>
    <row r="866">
      <c r="A866" s="1"/>
      <c r="B866" s="1"/>
      <c r="C866" s="10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43"/>
      <c r="AV866" s="1"/>
      <c r="AW866" s="1"/>
    </row>
    <row r="867">
      <c r="A867" s="1"/>
      <c r="B867" s="1"/>
      <c r="C867" s="10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43"/>
      <c r="AV867" s="1"/>
      <c r="AW867" s="1"/>
    </row>
    <row r="868">
      <c r="A868" s="1"/>
      <c r="B868" s="1"/>
      <c r="C868" s="10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43"/>
      <c r="AV868" s="1"/>
      <c r="AW868" s="1"/>
    </row>
    <row r="869">
      <c r="A869" s="1"/>
      <c r="B869" s="1"/>
      <c r="C869" s="10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43"/>
      <c r="AV869" s="1"/>
      <c r="AW869" s="1"/>
    </row>
    <row r="870">
      <c r="A870" s="1"/>
      <c r="B870" s="1"/>
      <c r="C870" s="10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43"/>
      <c r="AV870" s="1"/>
      <c r="AW870" s="1"/>
    </row>
    <row r="871">
      <c r="A871" s="1"/>
      <c r="B871" s="1"/>
      <c r="C871" s="10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43"/>
      <c r="AV871" s="1"/>
      <c r="AW871" s="1"/>
    </row>
    <row r="872">
      <c r="A872" s="1"/>
      <c r="B872" s="1"/>
      <c r="C872" s="10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43"/>
      <c r="AV872" s="1"/>
      <c r="AW872" s="1"/>
    </row>
    <row r="873">
      <c r="A873" s="1"/>
      <c r="B873" s="1"/>
      <c r="C873" s="10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43"/>
      <c r="AV873" s="1"/>
      <c r="AW873" s="1"/>
    </row>
    <row r="874">
      <c r="A874" s="1"/>
      <c r="B874" s="1"/>
      <c r="C874" s="10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43"/>
      <c r="AV874" s="1"/>
      <c r="AW874" s="1"/>
    </row>
    <row r="875">
      <c r="A875" s="1"/>
      <c r="B875" s="1"/>
      <c r="C875" s="10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43"/>
      <c r="AV875" s="1"/>
      <c r="AW875" s="1"/>
    </row>
    <row r="876">
      <c r="A876" s="1"/>
      <c r="B876" s="1"/>
      <c r="C876" s="10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43"/>
      <c r="AV876" s="1"/>
      <c r="AW876" s="1"/>
    </row>
    <row r="877">
      <c r="A877" s="1"/>
      <c r="B877" s="1"/>
      <c r="C877" s="10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43"/>
      <c r="AV877" s="1"/>
      <c r="AW877" s="1"/>
    </row>
    <row r="878">
      <c r="A878" s="1"/>
      <c r="B878" s="1"/>
      <c r="C878" s="10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43"/>
      <c r="AV878" s="1"/>
      <c r="AW878" s="1"/>
    </row>
    <row r="879">
      <c r="A879" s="1"/>
      <c r="B879" s="1"/>
      <c r="C879" s="10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43"/>
      <c r="AV879" s="1"/>
      <c r="AW879" s="1"/>
    </row>
    <row r="880">
      <c r="A880" s="1"/>
      <c r="B880" s="1"/>
      <c r="C880" s="10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43"/>
      <c r="AV880" s="1"/>
      <c r="AW880" s="1"/>
    </row>
    <row r="881">
      <c r="A881" s="1"/>
      <c r="B881" s="1"/>
      <c r="C881" s="10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43"/>
      <c r="AV881" s="1"/>
      <c r="AW881" s="1"/>
    </row>
    <row r="882">
      <c r="A882" s="1"/>
      <c r="B882" s="1"/>
      <c r="C882" s="10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43"/>
      <c r="AV882" s="1"/>
      <c r="AW882" s="1"/>
    </row>
    <row r="883">
      <c r="A883" s="1"/>
      <c r="B883" s="1"/>
      <c r="C883" s="10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43"/>
      <c r="AV883" s="1"/>
      <c r="AW883" s="1"/>
    </row>
    <row r="884">
      <c r="A884" s="1"/>
      <c r="B884" s="1"/>
      <c r="C884" s="10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43"/>
      <c r="AV884" s="1"/>
      <c r="AW884" s="1"/>
    </row>
    <row r="885">
      <c r="A885" s="1"/>
      <c r="B885" s="1"/>
      <c r="C885" s="10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43"/>
      <c r="AV885" s="1"/>
      <c r="AW885" s="1"/>
    </row>
    <row r="886">
      <c r="A886" s="1"/>
      <c r="B886" s="1"/>
      <c r="C886" s="10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43"/>
      <c r="AV886" s="1"/>
      <c r="AW886" s="1"/>
    </row>
    <row r="887">
      <c r="A887" s="1"/>
      <c r="B887" s="1"/>
      <c r="C887" s="10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43"/>
      <c r="AV887" s="1"/>
      <c r="AW887" s="1"/>
    </row>
    <row r="888">
      <c r="A888" s="1"/>
      <c r="B888" s="1"/>
      <c r="C888" s="10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43"/>
      <c r="AV888" s="1"/>
      <c r="AW888" s="1"/>
    </row>
    <row r="889">
      <c r="A889" s="1"/>
      <c r="B889" s="1"/>
      <c r="C889" s="10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43"/>
      <c r="AV889" s="1"/>
      <c r="AW889" s="1"/>
    </row>
    <row r="890">
      <c r="A890" s="1"/>
      <c r="B890" s="1"/>
      <c r="C890" s="10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43"/>
      <c r="AV890" s="1"/>
      <c r="AW890" s="1"/>
    </row>
    <row r="891">
      <c r="A891" s="1"/>
      <c r="B891" s="1"/>
      <c r="C891" s="10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43"/>
      <c r="AV891" s="1"/>
      <c r="AW891" s="1"/>
    </row>
    <row r="892">
      <c r="A892" s="1"/>
      <c r="B892" s="1"/>
      <c r="C892" s="10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43"/>
      <c r="AV892" s="1"/>
      <c r="AW892" s="1"/>
    </row>
    <row r="893">
      <c r="A893" s="1"/>
      <c r="B893" s="1"/>
      <c r="C893" s="10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43"/>
      <c r="AV893" s="1"/>
      <c r="AW893" s="1"/>
    </row>
    <row r="894">
      <c r="A894" s="1"/>
      <c r="B894" s="1"/>
      <c r="C894" s="10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43"/>
      <c r="AV894" s="1"/>
      <c r="AW894" s="1"/>
    </row>
    <row r="895">
      <c r="A895" s="1"/>
      <c r="B895" s="1"/>
      <c r="C895" s="10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43"/>
      <c r="AV895" s="1"/>
      <c r="AW895" s="1"/>
    </row>
    <row r="896">
      <c r="A896" s="1"/>
      <c r="B896" s="1"/>
      <c r="C896" s="10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43"/>
      <c r="AV896" s="1"/>
      <c r="AW896" s="1"/>
    </row>
    <row r="897">
      <c r="A897" s="1"/>
      <c r="B897" s="1"/>
      <c r="C897" s="10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43"/>
      <c r="AV897" s="1"/>
      <c r="AW897" s="1"/>
    </row>
    <row r="898">
      <c r="A898" s="1"/>
      <c r="B898" s="1"/>
      <c r="C898" s="10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43"/>
      <c r="AV898" s="1"/>
      <c r="AW898" s="1"/>
    </row>
    <row r="899">
      <c r="A899" s="1"/>
      <c r="B899" s="1"/>
      <c r="C899" s="10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43"/>
      <c r="AV899" s="1"/>
      <c r="AW899" s="1"/>
    </row>
    <row r="900">
      <c r="A900" s="1"/>
      <c r="B900" s="1"/>
      <c r="C900" s="10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43"/>
      <c r="AV900" s="1"/>
      <c r="AW900" s="1"/>
    </row>
    <row r="901">
      <c r="A901" s="1"/>
      <c r="B901" s="1"/>
      <c r="C901" s="10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43"/>
      <c r="AV901" s="1"/>
      <c r="AW901" s="1"/>
    </row>
    <row r="902">
      <c r="A902" s="1"/>
      <c r="B902" s="1"/>
      <c r="C902" s="10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43"/>
      <c r="AV902" s="1"/>
      <c r="AW902" s="1"/>
    </row>
    <row r="903">
      <c r="A903" s="1"/>
      <c r="B903" s="1"/>
      <c r="C903" s="10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43"/>
      <c r="AV903" s="1"/>
      <c r="AW903" s="1"/>
    </row>
    <row r="904">
      <c r="A904" s="1"/>
      <c r="B904" s="1"/>
      <c r="C904" s="10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43"/>
      <c r="AV904" s="1"/>
      <c r="AW904" s="1"/>
    </row>
    <row r="905">
      <c r="A905" s="1"/>
      <c r="B905" s="1"/>
      <c r="C905" s="10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43"/>
      <c r="AV905" s="1"/>
      <c r="AW905" s="1"/>
    </row>
    <row r="906">
      <c r="A906" s="1"/>
      <c r="B906" s="1"/>
      <c r="C906" s="10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43"/>
      <c r="AV906" s="1"/>
      <c r="AW906" s="1"/>
    </row>
    <row r="907">
      <c r="A907" s="1"/>
      <c r="B907" s="1"/>
      <c r="C907" s="10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43"/>
      <c r="AV907" s="1"/>
      <c r="AW907" s="1"/>
    </row>
    <row r="908">
      <c r="A908" s="1"/>
      <c r="B908" s="1"/>
      <c r="C908" s="10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43"/>
      <c r="AV908" s="1"/>
      <c r="AW908" s="1"/>
    </row>
    <row r="909">
      <c r="A909" s="1"/>
      <c r="B909" s="1"/>
      <c r="C909" s="10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43"/>
      <c r="AV909" s="1"/>
      <c r="AW909" s="1"/>
    </row>
    <row r="910">
      <c r="A910" s="1"/>
      <c r="B910" s="1"/>
      <c r="C910" s="10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43"/>
      <c r="AV910" s="1"/>
      <c r="AW910" s="1"/>
    </row>
    <row r="911">
      <c r="A911" s="1"/>
      <c r="B911" s="1"/>
      <c r="C911" s="10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43"/>
      <c r="AV911" s="1"/>
      <c r="AW911" s="1"/>
    </row>
    <row r="912">
      <c r="A912" s="1"/>
      <c r="B912" s="1"/>
      <c r="C912" s="10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43"/>
      <c r="AV912" s="1"/>
      <c r="AW912" s="1"/>
    </row>
    <row r="913">
      <c r="A913" s="1"/>
      <c r="B913" s="1"/>
      <c r="C913" s="10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43"/>
      <c r="AV913" s="1"/>
      <c r="AW913" s="1"/>
    </row>
    <row r="914">
      <c r="A914" s="1"/>
      <c r="B914" s="1"/>
      <c r="C914" s="10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43"/>
      <c r="AV914" s="1"/>
      <c r="AW914" s="1"/>
    </row>
    <row r="915">
      <c r="A915" s="1"/>
      <c r="B915" s="1"/>
      <c r="C915" s="10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43"/>
      <c r="AV915" s="1"/>
      <c r="AW915" s="1"/>
    </row>
    <row r="916">
      <c r="A916" s="1"/>
      <c r="B916" s="1"/>
      <c r="C916" s="10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43"/>
      <c r="AV916" s="1"/>
      <c r="AW916" s="1"/>
    </row>
    <row r="917">
      <c r="A917" s="1"/>
      <c r="B917" s="1"/>
      <c r="C917" s="10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43"/>
      <c r="AV917" s="1"/>
      <c r="AW917" s="1"/>
    </row>
    <row r="918">
      <c r="A918" s="1"/>
      <c r="B918" s="1"/>
      <c r="C918" s="10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43"/>
      <c r="AV918" s="1"/>
      <c r="AW918" s="1"/>
    </row>
    <row r="919">
      <c r="A919" s="1"/>
      <c r="B919" s="1"/>
      <c r="C919" s="10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43"/>
      <c r="AV919" s="1"/>
      <c r="AW919" s="1"/>
    </row>
    <row r="920">
      <c r="A920" s="1"/>
      <c r="B920" s="1"/>
      <c r="C920" s="10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43"/>
      <c r="AV920" s="1"/>
      <c r="AW920" s="1"/>
    </row>
    <row r="921">
      <c r="A921" s="1"/>
      <c r="B921" s="1"/>
      <c r="C921" s="10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43"/>
      <c r="AV921" s="1"/>
      <c r="AW921" s="1"/>
    </row>
    <row r="922">
      <c r="A922" s="1"/>
      <c r="B922" s="1"/>
      <c r="C922" s="10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43"/>
      <c r="AV922" s="1"/>
      <c r="AW922" s="1"/>
    </row>
    <row r="923">
      <c r="A923" s="1"/>
      <c r="B923" s="1"/>
      <c r="C923" s="10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43"/>
      <c r="AV923" s="1"/>
      <c r="AW923" s="1"/>
    </row>
    <row r="924">
      <c r="A924" s="1"/>
      <c r="B924" s="1"/>
      <c r="C924" s="10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43"/>
      <c r="AV924" s="1"/>
      <c r="AW924" s="1"/>
    </row>
    <row r="925">
      <c r="A925" s="1"/>
      <c r="B925" s="1"/>
      <c r="C925" s="10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43"/>
      <c r="AV925" s="1"/>
      <c r="AW925" s="1"/>
    </row>
    <row r="926">
      <c r="A926" s="1"/>
      <c r="B926" s="1"/>
      <c r="C926" s="10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43"/>
      <c r="AV926" s="1"/>
      <c r="AW926" s="1"/>
    </row>
    <row r="927">
      <c r="A927" s="1"/>
      <c r="B927" s="1"/>
      <c r="C927" s="10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43"/>
      <c r="AV927" s="1"/>
      <c r="AW927" s="1"/>
    </row>
    <row r="928">
      <c r="A928" s="1"/>
      <c r="B928" s="1"/>
      <c r="C928" s="10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43"/>
      <c r="AV928" s="1"/>
      <c r="AW928" s="1"/>
    </row>
    <row r="929">
      <c r="A929" s="1"/>
      <c r="B929" s="1"/>
      <c r="C929" s="10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43"/>
      <c r="AV929" s="1"/>
      <c r="AW929" s="1"/>
    </row>
    <row r="930">
      <c r="A930" s="1"/>
      <c r="B930" s="1"/>
      <c r="C930" s="10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43"/>
      <c r="AV930" s="1"/>
      <c r="AW930" s="1"/>
    </row>
    <row r="931">
      <c r="A931" s="1"/>
      <c r="B931" s="1"/>
      <c r="C931" s="10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43"/>
      <c r="AV931" s="1"/>
      <c r="AW931" s="1"/>
    </row>
    <row r="932">
      <c r="A932" s="1"/>
      <c r="B932" s="1"/>
      <c r="C932" s="10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43"/>
      <c r="AV932" s="1"/>
      <c r="AW932" s="1"/>
    </row>
    <row r="933">
      <c r="A933" s="1"/>
      <c r="B933" s="1"/>
      <c r="C933" s="10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43"/>
      <c r="AV933" s="1"/>
      <c r="AW933" s="1"/>
    </row>
    <row r="934">
      <c r="A934" s="1"/>
      <c r="B934" s="1"/>
      <c r="C934" s="10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43"/>
      <c r="AV934" s="1"/>
      <c r="AW934" s="1"/>
    </row>
    <row r="935">
      <c r="A935" s="1"/>
      <c r="B935" s="1"/>
      <c r="C935" s="10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43"/>
      <c r="AV935" s="1"/>
      <c r="AW935" s="1"/>
    </row>
    <row r="936">
      <c r="A936" s="1"/>
      <c r="B936" s="1"/>
      <c r="C936" s="10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43"/>
      <c r="AV936" s="1"/>
      <c r="AW936" s="1"/>
    </row>
    <row r="937">
      <c r="A937" s="1"/>
      <c r="B937" s="1"/>
      <c r="C937" s="10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43"/>
      <c r="AV937" s="1"/>
      <c r="AW937" s="1"/>
    </row>
    <row r="938">
      <c r="A938" s="1"/>
      <c r="B938" s="1"/>
      <c r="C938" s="10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43"/>
      <c r="AV938" s="1"/>
      <c r="AW938" s="1"/>
    </row>
    <row r="939">
      <c r="A939" s="1"/>
      <c r="B939" s="1"/>
      <c r="C939" s="10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43"/>
      <c r="AV939" s="1"/>
      <c r="AW939" s="1"/>
    </row>
    <row r="940">
      <c r="A940" s="1"/>
      <c r="B940" s="1"/>
      <c r="C940" s="10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43"/>
      <c r="AV940" s="1"/>
      <c r="AW940" s="1"/>
    </row>
    <row r="941">
      <c r="A941" s="1"/>
      <c r="B941" s="1"/>
      <c r="C941" s="10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43"/>
      <c r="AV941" s="1"/>
      <c r="AW941" s="1"/>
    </row>
    <row r="942">
      <c r="A942" s="1"/>
      <c r="B942" s="1"/>
      <c r="C942" s="10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43"/>
      <c r="AV942" s="1"/>
      <c r="AW942" s="1"/>
    </row>
    <row r="943">
      <c r="A943" s="1"/>
      <c r="B943" s="1"/>
      <c r="C943" s="10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43"/>
      <c r="AV943" s="1"/>
      <c r="AW943" s="1"/>
    </row>
    <row r="944">
      <c r="A944" s="1"/>
      <c r="B944" s="1"/>
      <c r="C944" s="10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43"/>
      <c r="AV944" s="1"/>
      <c r="AW944" s="1"/>
    </row>
    <row r="945">
      <c r="A945" s="1"/>
      <c r="B945" s="1"/>
      <c r="C945" s="10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43"/>
      <c r="AV945" s="1"/>
      <c r="AW945" s="1"/>
    </row>
    <row r="946">
      <c r="A946" s="1"/>
      <c r="B946" s="1"/>
      <c r="C946" s="10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43"/>
      <c r="AV946" s="1"/>
      <c r="AW946" s="1"/>
    </row>
    <row r="947">
      <c r="A947" s="1"/>
      <c r="B947" s="1"/>
      <c r="C947" s="10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43"/>
      <c r="AV947" s="1"/>
      <c r="AW947" s="1"/>
    </row>
    <row r="948">
      <c r="A948" s="1"/>
      <c r="B948" s="1"/>
      <c r="C948" s="10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43"/>
      <c r="AV948" s="1"/>
      <c r="AW948" s="1"/>
    </row>
    <row r="949">
      <c r="A949" s="1"/>
      <c r="B949" s="1"/>
      <c r="C949" s="10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43"/>
      <c r="AV949" s="1"/>
      <c r="AW949" s="1"/>
    </row>
    <row r="950">
      <c r="A950" s="1"/>
      <c r="B950" s="1"/>
      <c r="C950" s="10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43"/>
      <c r="AV950" s="1"/>
      <c r="AW950" s="1"/>
    </row>
    <row r="951">
      <c r="A951" s="1"/>
      <c r="B951" s="1"/>
      <c r="C951" s="10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43"/>
      <c r="AV951" s="1"/>
      <c r="AW951" s="1"/>
    </row>
    <row r="952">
      <c r="A952" s="1"/>
      <c r="B952" s="1"/>
      <c r="C952" s="10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43"/>
      <c r="AV952" s="1"/>
      <c r="AW952" s="1"/>
    </row>
    <row r="953">
      <c r="A953" s="1"/>
      <c r="B953" s="1"/>
      <c r="C953" s="10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43"/>
      <c r="AV953" s="1"/>
      <c r="AW953" s="1"/>
    </row>
    <row r="954">
      <c r="A954" s="1"/>
      <c r="B954" s="1"/>
      <c r="C954" s="10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43"/>
      <c r="AV954" s="1"/>
      <c r="AW954" s="1"/>
    </row>
    <row r="955">
      <c r="A955" s="1"/>
      <c r="B955" s="1"/>
      <c r="C955" s="10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43"/>
      <c r="AV955" s="1"/>
      <c r="AW955" s="1"/>
    </row>
    <row r="956">
      <c r="A956" s="1"/>
      <c r="B956" s="1"/>
      <c r="C956" s="10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43"/>
      <c r="AV956" s="1"/>
      <c r="AW956" s="1"/>
    </row>
    <row r="957">
      <c r="A957" s="1"/>
      <c r="B957" s="1"/>
      <c r="C957" s="10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43"/>
      <c r="AV957" s="1"/>
      <c r="AW957" s="1"/>
    </row>
    <row r="958">
      <c r="A958" s="1"/>
      <c r="B958" s="1"/>
      <c r="C958" s="10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43"/>
      <c r="AV958" s="1"/>
      <c r="AW958" s="1"/>
    </row>
    <row r="959">
      <c r="A959" s="1"/>
      <c r="B959" s="1"/>
      <c r="C959" s="10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43"/>
      <c r="AV959" s="1"/>
      <c r="AW959" s="1"/>
    </row>
    <row r="960">
      <c r="A960" s="1"/>
      <c r="B960" s="1"/>
      <c r="C960" s="10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43"/>
      <c r="AV960" s="1"/>
      <c r="AW960" s="1"/>
    </row>
    <row r="961">
      <c r="A961" s="1"/>
      <c r="B961" s="1"/>
      <c r="C961" s="10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43"/>
      <c r="AV961" s="1"/>
      <c r="AW961" s="1"/>
    </row>
    <row r="962">
      <c r="A962" s="1"/>
      <c r="B962" s="1"/>
      <c r="C962" s="10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43"/>
      <c r="AV962" s="1"/>
      <c r="AW962" s="1"/>
    </row>
    <row r="963">
      <c r="A963" s="1"/>
      <c r="B963" s="1"/>
      <c r="C963" s="10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43"/>
      <c r="AV963" s="1"/>
      <c r="AW963" s="1"/>
    </row>
    <row r="964">
      <c r="A964" s="1"/>
      <c r="B964" s="1"/>
      <c r="C964" s="10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43"/>
      <c r="AV964" s="1"/>
      <c r="AW964" s="1"/>
    </row>
    <row r="965">
      <c r="A965" s="1"/>
      <c r="B965" s="1"/>
      <c r="C965" s="10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43"/>
      <c r="AV965" s="1"/>
      <c r="AW965" s="1"/>
    </row>
    <row r="966">
      <c r="A966" s="1"/>
      <c r="B966" s="1"/>
      <c r="C966" s="10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43"/>
      <c r="AV966" s="1"/>
      <c r="AW966" s="1"/>
    </row>
    <row r="967">
      <c r="A967" s="1"/>
      <c r="B967" s="1"/>
      <c r="C967" s="10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43"/>
      <c r="AV967" s="1"/>
      <c r="AW967" s="1"/>
    </row>
    <row r="968">
      <c r="A968" s="1"/>
      <c r="B968" s="1"/>
      <c r="C968" s="10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43"/>
      <c r="AV968" s="1"/>
      <c r="AW968" s="1"/>
    </row>
    <row r="969">
      <c r="A969" s="1"/>
      <c r="B969" s="1"/>
      <c r="C969" s="10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43"/>
      <c r="AV969" s="1"/>
      <c r="AW969" s="1"/>
    </row>
    <row r="970">
      <c r="A970" s="1"/>
      <c r="B970" s="1"/>
      <c r="C970" s="10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43"/>
      <c r="AV970" s="1"/>
      <c r="AW970" s="1"/>
    </row>
    <row r="971">
      <c r="A971" s="1"/>
      <c r="B971" s="1"/>
      <c r="C971" s="10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43"/>
      <c r="AV971" s="1"/>
      <c r="AW971" s="1"/>
    </row>
    <row r="972">
      <c r="A972" s="1"/>
      <c r="B972" s="1"/>
      <c r="C972" s="10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43"/>
      <c r="AV972" s="1"/>
      <c r="AW972" s="1"/>
    </row>
    <row r="973">
      <c r="A973" s="1"/>
      <c r="B973" s="1"/>
      <c r="C973" s="10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43"/>
      <c r="AV973" s="1"/>
      <c r="AW973" s="1"/>
    </row>
    <row r="974">
      <c r="A974" s="1"/>
      <c r="B974" s="1"/>
      <c r="C974" s="10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43"/>
      <c r="AV974" s="1"/>
      <c r="AW974" s="1"/>
    </row>
    <row r="975">
      <c r="A975" s="1"/>
      <c r="B975" s="1"/>
      <c r="C975" s="10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43"/>
      <c r="AV975" s="1"/>
      <c r="AW975" s="1"/>
    </row>
    <row r="976">
      <c r="A976" s="1"/>
      <c r="B976" s="1"/>
      <c r="C976" s="10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43"/>
      <c r="AV976" s="1"/>
      <c r="AW976" s="1"/>
    </row>
    <row r="977">
      <c r="A977" s="1"/>
      <c r="B977" s="1"/>
      <c r="C977" s="10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43"/>
      <c r="AV977" s="1"/>
      <c r="AW977" s="1"/>
    </row>
    <row r="978">
      <c r="A978" s="1"/>
      <c r="B978" s="1"/>
      <c r="C978" s="10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43"/>
      <c r="AV978" s="1"/>
      <c r="AW978" s="1"/>
    </row>
    <row r="979">
      <c r="A979" s="1"/>
      <c r="B979" s="1"/>
      <c r="C979" s="10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43"/>
      <c r="AV979" s="1"/>
      <c r="AW979" s="1"/>
    </row>
    <row r="980">
      <c r="A980" s="1"/>
      <c r="B980" s="1"/>
      <c r="C980" s="10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43"/>
      <c r="AV980" s="1"/>
      <c r="AW980" s="1"/>
    </row>
    <row r="981">
      <c r="A981" s="1"/>
      <c r="B981" s="1"/>
      <c r="C981" s="10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43"/>
      <c r="AV981" s="1"/>
      <c r="AW981" s="1"/>
    </row>
    <row r="982">
      <c r="A982" s="1"/>
      <c r="B982" s="1"/>
      <c r="C982" s="10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43"/>
      <c r="AV982" s="1"/>
      <c r="AW982" s="1"/>
    </row>
    <row r="983">
      <c r="A983" s="1"/>
      <c r="B983" s="1"/>
      <c r="C983" s="10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43"/>
      <c r="AV983" s="1"/>
      <c r="AW983" s="1"/>
    </row>
    <row r="984">
      <c r="A984" s="1"/>
      <c r="B984" s="1"/>
      <c r="C984" s="10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43"/>
      <c r="AV984" s="1"/>
      <c r="AW984" s="1"/>
    </row>
    <row r="985">
      <c r="A985" s="1"/>
      <c r="B985" s="1"/>
      <c r="C985" s="10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43"/>
      <c r="AV985" s="1"/>
      <c r="AW985" s="1"/>
    </row>
    <row r="986">
      <c r="A986" s="1"/>
      <c r="B986" s="1"/>
      <c r="C986" s="10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43"/>
      <c r="AV986" s="1"/>
      <c r="AW986" s="1"/>
    </row>
    <row r="987">
      <c r="A987" s="1"/>
      <c r="B987" s="1"/>
      <c r="C987" s="10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43"/>
      <c r="AV987" s="1"/>
      <c r="AW987" s="1"/>
    </row>
    <row r="988">
      <c r="A988" s="1"/>
      <c r="B988" s="1"/>
      <c r="C988" s="10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43"/>
      <c r="AV988" s="1"/>
      <c r="AW988" s="1"/>
    </row>
    <row r="989">
      <c r="A989" s="1"/>
      <c r="B989" s="1"/>
      <c r="C989" s="10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43"/>
      <c r="AV989" s="1"/>
      <c r="AW989" s="1"/>
    </row>
    <row r="990">
      <c r="A990" s="1"/>
      <c r="B990" s="1"/>
      <c r="C990" s="10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43"/>
      <c r="AV990" s="1"/>
      <c r="AW990" s="1"/>
    </row>
    <row r="991">
      <c r="A991" s="1"/>
      <c r="B991" s="1"/>
      <c r="C991" s="10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43"/>
      <c r="AV991" s="1"/>
      <c r="AW991" s="1"/>
    </row>
    <row r="992">
      <c r="A992" s="1"/>
      <c r="B992" s="1"/>
      <c r="C992" s="10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43"/>
      <c r="AV992" s="1"/>
      <c r="AW992" s="1"/>
    </row>
    <row r="993">
      <c r="A993" s="1"/>
      <c r="B993" s="1"/>
      <c r="C993" s="10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43"/>
      <c r="AV993" s="1"/>
      <c r="AW993" s="1"/>
    </row>
    <row r="994">
      <c r="A994" s="1"/>
      <c r="B994" s="1"/>
      <c r="C994" s="10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43"/>
      <c r="AV994" s="1"/>
      <c r="AW994" s="1"/>
    </row>
    <row r="995">
      <c r="A995" s="1"/>
      <c r="B995" s="1"/>
      <c r="C995" s="10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43"/>
      <c r="AV995" s="1"/>
      <c r="AW995" s="1"/>
    </row>
    <row r="996">
      <c r="A996" s="1"/>
      <c r="B996" s="1"/>
      <c r="C996" s="10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43"/>
      <c r="AV996" s="1"/>
      <c r="AW996" s="1"/>
    </row>
    <row r="997">
      <c r="A997" s="1"/>
      <c r="B997" s="1"/>
      <c r="C997" s="10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43"/>
      <c r="AV997" s="1"/>
      <c r="AW997" s="1"/>
    </row>
    <row r="998">
      <c r="A998" s="1"/>
      <c r="B998" s="1"/>
      <c r="C998" s="10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43"/>
      <c r="AV998" s="1"/>
      <c r="AW998" s="1"/>
    </row>
    <row r="999">
      <c r="A999" s="1"/>
      <c r="B999" s="1"/>
      <c r="C999" s="10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43"/>
      <c r="AV999" s="1"/>
      <c r="AW999" s="1"/>
    </row>
    <row r="1000">
      <c r="A1000" s="1"/>
      <c r="B1000" s="1"/>
      <c r="C1000" s="10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43"/>
      <c r="AV1000" s="1"/>
      <c r="AW1000" s="1"/>
    </row>
    <row r="1001">
      <c r="A1001" s="1"/>
      <c r="B1001" s="1"/>
      <c r="C1001" s="103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43"/>
      <c r="AV1001" s="1"/>
      <c r="AW1001" s="1"/>
    </row>
    <row r="1002">
      <c r="A1002" s="1"/>
      <c r="B1002" s="1"/>
      <c r="C1002" s="103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43"/>
      <c r="AV1002" s="1"/>
      <c r="AW1002" s="1"/>
    </row>
    <row r="1003">
      <c r="A1003" s="1"/>
      <c r="B1003" s="1"/>
      <c r="C1003" s="103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43"/>
      <c r="AV1003" s="1"/>
      <c r="AW1003" s="1"/>
    </row>
    <row r="1004">
      <c r="A1004" s="1"/>
      <c r="B1004" s="1"/>
      <c r="C1004" s="103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43"/>
      <c r="AV1004" s="1"/>
      <c r="AW1004" s="1"/>
    </row>
    <row r="1005">
      <c r="A1005" s="1"/>
      <c r="B1005" s="1"/>
      <c r="C1005" s="103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43"/>
      <c r="AV1005" s="1"/>
      <c r="AW1005" s="1"/>
    </row>
    <row r="1006">
      <c r="A1006" s="1"/>
      <c r="B1006" s="1"/>
      <c r="C1006" s="103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43"/>
      <c r="AV1006" s="1"/>
      <c r="AW1006" s="1"/>
    </row>
    <row r="1007">
      <c r="A1007" s="1"/>
      <c r="B1007" s="1"/>
      <c r="C1007" s="103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43"/>
      <c r="AV1007" s="1"/>
      <c r="AW1007" s="1"/>
    </row>
    <row r="1008">
      <c r="A1008" s="1"/>
      <c r="B1008" s="1"/>
      <c r="C1008" s="103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43"/>
      <c r="AV1008" s="1"/>
      <c r="AW1008" s="1"/>
    </row>
    <row r="1009">
      <c r="A1009" s="1"/>
      <c r="B1009" s="1"/>
      <c r="C1009" s="103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43"/>
      <c r="AV1009" s="1"/>
      <c r="AW1009" s="1"/>
    </row>
    <row r="1010">
      <c r="A1010" s="1"/>
      <c r="B1010" s="1"/>
      <c r="C1010" s="103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43"/>
      <c r="AV1010" s="1"/>
      <c r="AW1010" s="1"/>
    </row>
    <row r="1011">
      <c r="A1011" s="1"/>
      <c r="B1011" s="1"/>
      <c r="C1011" s="103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43"/>
      <c r="AV1011" s="1"/>
      <c r="AW1011" s="1"/>
    </row>
    <row r="1012">
      <c r="A1012" s="1"/>
      <c r="B1012" s="1"/>
      <c r="C1012" s="103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43"/>
      <c r="AV1012" s="1"/>
      <c r="AW1012" s="1"/>
    </row>
    <row r="1013">
      <c r="A1013" s="1"/>
      <c r="B1013" s="1"/>
      <c r="C1013" s="103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43"/>
      <c r="AV1013" s="1"/>
      <c r="AW1013" s="1"/>
    </row>
    <row r="1014">
      <c r="A1014" s="1"/>
      <c r="B1014" s="1"/>
      <c r="C1014" s="103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43"/>
      <c r="AV1014" s="1"/>
      <c r="AW1014" s="1"/>
    </row>
    <row r="1015">
      <c r="A1015" s="1"/>
      <c r="B1015" s="1"/>
      <c r="C1015" s="103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43"/>
      <c r="AV1015" s="1"/>
      <c r="AW1015" s="1"/>
    </row>
    <row r="1016">
      <c r="A1016" s="1"/>
      <c r="B1016" s="1"/>
      <c r="C1016" s="103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43"/>
      <c r="AV1016" s="1"/>
      <c r="AW1016" s="1"/>
    </row>
    <row r="1017">
      <c r="A1017" s="1"/>
      <c r="B1017" s="1"/>
      <c r="C1017" s="103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43"/>
      <c r="AV1017" s="1"/>
      <c r="AW1017" s="1"/>
    </row>
    <row r="1018">
      <c r="A1018" s="1"/>
      <c r="B1018" s="1"/>
      <c r="C1018" s="103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43"/>
      <c r="AV1018" s="1"/>
      <c r="AW1018" s="1"/>
    </row>
    <row r="1019">
      <c r="A1019" s="1"/>
      <c r="B1019" s="1"/>
      <c r="C1019" s="103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43"/>
      <c r="AV1019" s="1"/>
      <c r="AW1019" s="1"/>
    </row>
  </sheetData>
  <mergeCells count="10">
    <mergeCell ref="N11:N12"/>
    <mergeCell ref="X11:AB11"/>
    <mergeCell ref="P1:AA1"/>
    <mergeCell ref="I9:N9"/>
    <mergeCell ref="I10:J10"/>
    <mergeCell ref="K10:L10"/>
    <mergeCell ref="I11:J12"/>
    <mergeCell ref="K11:L12"/>
    <mergeCell ref="M11:M12"/>
    <mergeCell ref="J19:M19"/>
  </mergeCells>
  <conditionalFormatting sqref="A1:AT1019 AU1:AW1 AU19:AV1019 AW20:AW1019">
    <cfRule type="containsBlanks" dxfId="0" priority="1">
      <formula>LEN(TRIM(A1))=0</formula>
    </cfRule>
  </conditionalFormatting>
  <conditionalFormatting sqref="C8:AB8">
    <cfRule type="colorScale" priority="2">
      <colorScale>
        <cfvo type="min"/>
        <cfvo type="percentile" val="50"/>
        <cfvo type="max"/>
        <color rgb="FFEA9999"/>
        <color rgb="FFB6D7A8"/>
        <color rgb="FF34A853"/>
      </colorScale>
    </cfRule>
  </conditionalFormatting>
  <dataValidations>
    <dataValidation type="list" allowBlank="1" showDropDown="1" showErrorMessage="1" sqref="J17:J18">
      <formula1>"Invest,Retrait"</formula1>
    </dataValidation>
    <dataValidation type="list" allowBlank="1" showDropDown="1" showErrorMessage="1" sqref="I17:I21">
      <formula1>RECAP!$C$2:$X$2</formula1>
    </dataValidation>
  </dataValidations>
  <hyperlinks>
    <hyperlink r:id="rId1" ref="AW1"/>
    <hyperlink r:id="rId2" ref="AV2"/>
    <hyperlink r:id="rId3" ref="AV3"/>
    <hyperlink r:id="rId4" ref="AV4"/>
    <hyperlink r:id="rId5" ref="AV5"/>
    <hyperlink r:id="rId6" ref="AV6"/>
    <hyperlink r:id="rId7" ref="AV7"/>
    <hyperlink r:id="rId8" ref="AV8"/>
    <hyperlink r:id="rId9" ref="AV9"/>
    <hyperlink r:id="rId10" ref="AV10"/>
    <hyperlink r:id="rId11" ref="AV11"/>
    <hyperlink r:id="rId12" ref="AV12"/>
    <hyperlink r:id="rId13" ref="AV13"/>
    <hyperlink r:id="rId14" ref="AV14"/>
    <hyperlink r:id="rId15" ref="AV15"/>
    <hyperlink r:id="rId16" ref="AV16"/>
    <hyperlink r:id="rId17" ref="AV17"/>
    <hyperlink r:id="rId18" ref="AV18"/>
    <hyperlink r:id="rId19" ref="AV19"/>
  </hyperlinks>
  <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7" max="7" width="13.5"/>
    <col customWidth="1" min="14" max="14" width="19.88"/>
  </cols>
  <sheetData>
    <row r="1">
      <c r="A1" s="156" t="s">
        <v>64</v>
      </c>
      <c r="P1" s="157" t="s">
        <v>65</v>
      </c>
    </row>
    <row r="2">
      <c r="A2" s="158"/>
      <c r="B2" s="158"/>
      <c r="C2" s="158"/>
      <c r="D2" s="158"/>
      <c r="E2" s="159" t="s">
        <v>66</v>
      </c>
      <c r="F2" s="160" t="s">
        <v>67</v>
      </c>
      <c r="G2" s="161" t="s">
        <v>68</v>
      </c>
      <c r="H2" s="162" t="s">
        <v>69</v>
      </c>
      <c r="I2" s="161" t="s">
        <v>70</v>
      </c>
      <c r="J2" s="161" t="s">
        <v>71</v>
      </c>
      <c r="K2" s="163" t="s">
        <v>72</v>
      </c>
      <c r="L2" s="164" t="s">
        <v>73</v>
      </c>
      <c r="M2" s="165" t="s">
        <v>74</v>
      </c>
      <c r="N2" s="162" t="s">
        <v>75</v>
      </c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</row>
    <row r="3">
      <c r="A3" s="158"/>
      <c r="B3" s="158"/>
      <c r="C3" s="158"/>
      <c r="D3" s="158"/>
      <c r="E3" s="167">
        <v>45515.0</v>
      </c>
      <c r="F3" s="168" t="s">
        <v>76</v>
      </c>
      <c r="G3" s="169" t="s">
        <v>77</v>
      </c>
      <c r="H3" s="170" t="s">
        <v>11</v>
      </c>
      <c r="I3" s="171" t="s">
        <v>78</v>
      </c>
      <c r="J3" s="172" t="s">
        <v>79</v>
      </c>
      <c r="K3" s="173">
        <v>21550.0</v>
      </c>
      <c r="L3" s="174" t="s">
        <v>80</v>
      </c>
      <c r="M3" s="175">
        <v>21550.0</v>
      </c>
      <c r="N3" s="176">
        <v>1.0</v>
      </c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</row>
    <row r="4">
      <c r="A4" s="158"/>
      <c r="B4" s="158"/>
      <c r="C4" s="158"/>
      <c r="D4" s="158"/>
      <c r="E4" s="167">
        <v>45515.0</v>
      </c>
      <c r="F4" s="168" t="s">
        <v>76</v>
      </c>
      <c r="G4" s="169">
        <v>0.0</v>
      </c>
      <c r="H4" s="170" t="s">
        <v>81</v>
      </c>
      <c r="I4" s="171" t="s">
        <v>82</v>
      </c>
      <c r="J4" s="177">
        <v>7500.0</v>
      </c>
      <c r="K4" s="178">
        <v>0.12931</v>
      </c>
      <c r="L4" s="174">
        <v>0.0</v>
      </c>
      <c r="M4" s="179">
        <f t="shared" ref="M4:M40" si="1">IF(E4="","",IF(G4=0,IF(F4="Invest",M3-J4-L4,M3+J4),M3))</f>
        <v>14050</v>
      </c>
      <c r="N4" s="176">
        <v>1.0</v>
      </c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</row>
    <row r="5">
      <c r="A5" s="158"/>
      <c r="B5" s="158"/>
      <c r="C5" s="158"/>
      <c r="D5" s="158"/>
      <c r="E5" s="167">
        <v>45516.0</v>
      </c>
      <c r="F5" s="168" t="s">
        <v>76</v>
      </c>
      <c r="G5" s="169">
        <v>0.0</v>
      </c>
      <c r="H5" s="170" t="s">
        <v>83</v>
      </c>
      <c r="I5" s="180" t="s">
        <v>84</v>
      </c>
      <c r="J5" s="177">
        <v>3000.0</v>
      </c>
      <c r="K5" s="178">
        <v>1.1538</v>
      </c>
      <c r="L5" s="174">
        <v>0.0</v>
      </c>
      <c r="M5" s="179">
        <f t="shared" si="1"/>
        <v>11050</v>
      </c>
      <c r="N5" s="176">
        <v>1.0</v>
      </c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</row>
    <row r="6">
      <c r="A6" s="158"/>
      <c r="B6" s="158"/>
      <c r="C6" s="158"/>
      <c r="D6" s="158"/>
      <c r="E6" s="167">
        <v>45517.0</v>
      </c>
      <c r="F6" s="168" t="s">
        <v>76</v>
      </c>
      <c r="G6" s="169">
        <v>0.0</v>
      </c>
      <c r="H6" s="170" t="s">
        <v>85</v>
      </c>
      <c r="I6" s="171" t="s">
        <v>86</v>
      </c>
      <c r="J6" s="177">
        <v>1150.0</v>
      </c>
      <c r="K6" s="181">
        <v>7.931</v>
      </c>
      <c r="L6" s="174">
        <v>0.0</v>
      </c>
      <c r="M6" s="179">
        <f t="shared" si="1"/>
        <v>9900</v>
      </c>
      <c r="N6" s="176">
        <v>1.0</v>
      </c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</row>
    <row r="7">
      <c r="A7" s="158"/>
      <c r="B7" s="158"/>
      <c r="C7" s="158"/>
      <c r="D7" s="158"/>
      <c r="E7" s="167">
        <v>45518.0</v>
      </c>
      <c r="F7" s="168" t="s">
        <v>76</v>
      </c>
      <c r="G7" s="169">
        <v>0.0</v>
      </c>
      <c r="H7" s="182" t="s">
        <v>87</v>
      </c>
      <c r="I7" s="183">
        <v>279.2</v>
      </c>
      <c r="J7" s="183">
        <v>840.0</v>
      </c>
      <c r="K7" s="184">
        <v>3.0</v>
      </c>
      <c r="L7" s="174">
        <v>0.0</v>
      </c>
      <c r="M7" s="179">
        <f t="shared" si="1"/>
        <v>9060</v>
      </c>
      <c r="N7" s="176">
        <v>1.0</v>
      </c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</row>
    <row r="8">
      <c r="A8" s="158"/>
      <c r="B8" s="158"/>
      <c r="C8" s="158"/>
      <c r="D8" s="158"/>
      <c r="E8" s="167">
        <v>45518.0</v>
      </c>
      <c r="F8" s="168" t="s">
        <v>76</v>
      </c>
      <c r="G8" s="169">
        <v>0.0</v>
      </c>
      <c r="H8" s="182" t="s">
        <v>88</v>
      </c>
      <c r="I8" s="183">
        <v>1.54</v>
      </c>
      <c r="J8" s="183">
        <v>310.0</v>
      </c>
      <c r="K8" s="185">
        <v>200.0</v>
      </c>
      <c r="L8" s="174">
        <v>0.0</v>
      </c>
      <c r="M8" s="179">
        <f t="shared" si="1"/>
        <v>8750</v>
      </c>
      <c r="N8" s="176">
        <v>1.0</v>
      </c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</row>
    <row r="9">
      <c r="A9" s="158"/>
      <c r="B9" s="158"/>
      <c r="C9" s="158"/>
      <c r="D9" s="158"/>
      <c r="E9" s="167">
        <v>45519.0</v>
      </c>
      <c r="F9" s="186" t="s">
        <v>76</v>
      </c>
      <c r="G9" s="187">
        <v>0.0</v>
      </c>
      <c r="H9" s="188" t="s">
        <v>89</v>
      </c>
      <c r="I9" s="189">
        <v>6.48</v>
      </c>
      <c r="J9" s="190">
        <v>2750.0</v>
      </c>
      <c r="K9" s="191">
        <f t="shared" ref="K9:K72" si="2">IF(J9=0,"",IF(H9="USDC",J9,(J9/I9)))</f>
        <v>424.382716</v>
      </c>
      <c r="L9" s="192">
        <v>0.0</v>
      </c>
      <c r="M9" s="179">
        <f t="shared" si="1"/>
        <v>6000</v>
      </c>
      <c r="N9" s="176">
        <v>1.0</v>
      </c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</row>
    <row r="10">
      <c r="A10" s="158"/>
      <c r="B10" s="158"/>
      <c r="C10" s="158"/>
      <c r="D10" s="158"/>
      <c r="E10" s="193">
        <v>45522.0</v>
      </c>
      <c r="F10" s="186" t="s">
        <v>76</v>
      </c>
      <c r="G10" s="187">
        <v>0.0</v>
      </c>
      <c r="H10" s="188" t="s">
        <v>81</v>
      </c>
      <c r="I10" s="189">
        <v>57500.0</v>
      </c>
      <c r="J10" s="190">
        <v>1500.0</v>
      </c>
      <c r="K10" s="194">
        <f t="shared" si="2"/>
        <v>0.02608695652</v>
      </c>
      <c r="L10" s="192">
        <v>0.0</v>
      </c>
      <c r="M10" s="179">
        <f t="shared" si="1"/>
        <v>4500</v>
      </c>
      <c r="N10" s="176">
        <v>1.0</v>
      </c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</row>
    <row r="11">
      <c r="A11" s="158"/>
      <c r="B11" s="158"/>
      <c r="C11" s="158"/>
      <c r="D11" s="158"/>
      <c r="E11" s="193">
        <v>45527.0</v>
      </c>
      <c r="F11" s="186" t="s">
        <v>90</v>
      </c>
      <c r="G11" s="187">
        <v>0.0</v>
      </c>
      <c r="H11" s="188" t="s">
        <v>87</v>
      </c>
      <c r="I11" s="189">
        <v>345.0</v>
      </c>
      <c r="J11" s="190">
        <v>345.0</v>
      </c>
      <c r="K11" s="195">
        <f t="shared" si="2"/>
        <v>1</v>
      </c>
      <c r="L11" s="192">
        <v>0.0</v>
      </c>
      <c r="M11" s="179">
        <f t="shared" si="1"/>
        <v>4845</v>
      </c>
      <c r="N11" s="176">
        <v>1.0</v>
      </c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</row>
    <row r="12">
      <c r="A12" s="158"/>
      <c r="B12" s="158"/>
      <c r="C12" s="158"/>
      <c r="D12" s="158"/>
      <c r="E12" s="193">
        <v>45527.0</v>
      </c>
      <c r="F12" s="186" t="s">
        <v>90</v>
      </c>
      <c r="G12" s="187">
        <v>0.0</v>
      </c>
      <c r="H12" s="188" t="s">
        <v>85</v>
      </c>
      <c r="I12" s="189">
        <v>155.0</v>
      </c>
      <c r="J12" s="190">
        <v>1500.0</v>
      </c>
      <c r="K12" s="196">
        <f t="shared" si="2"/>
        <v>9.677419355</v>
      </c>
      <c r="L12" s="192">
        <v>0.0</v>
      </c>
      <c r="M12" s="179">
        <f t="shared" si="1"/>
        <v>6345</v>
      </c>
      <c r="N12" s="176">
        <v>1.0</v>
      </c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</row>
    <row r="13">
      <c r="A13" s="158"/>
      <c r="B13" s="158"/>
      <c r="C13" s="158"/>
      <c r="D13" s="158"/>
      <c r="E13" s="193">
        <v>45528.0</v>
      </c>
      <c r="F13" s="186" t="s">
        <v>90</v>
      </c>
      <c r="G13" s="187">
        <v>0.0</v>
      </c>
      <c r="H13" s="188" t="s">
        <v>85</v>
      </c>
      <c r="I13" s="189">
        <v>157.5</v>
      </c>
      <c r="J13" s="190">
        <v>1833.0</v>
      </c>
      <c r="K13" s="196">
        <f t="shared" si="2"/>
        <v>11.63809524</v>
      </c>
      <c r="L13" s="192">
        <v>0.0</v>
      </c>
      <c r="M13" s="179">
        <f t="shared" si="1"/>
        <v>8178</v>
      </c>
      <c r="N13" s="176">
        <v>1.0</v>
      </c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</row>
    <row r="14">
      <c r="A14" s="158"/>
      <c r="B14" s="158"/>
      <c r="C14" s="158"/>
      <c r="D14" s="158"/>
      <c r="E14" s="197">
        <v>45529.0</v>
      </c>
      <c r="F14" s="186" t="s">
        <v>76</v>
      </c>
      <c r="G14" s="187">
        <v>0.0</v>
      </c>
      <c r="H14" s="188" t="s">
        <v>89</v>
      </c>
      <c r="I14" s="189">
        <v>6.0</v>
      </c>
      <c r="J14" s="190">
        <v>500.0</v>
      </c>
      <c r="K14" s="191">
        <f t="shared" si="2"/>
        <v>83.33333333</v>
      </c>
      <c r="L14" s="192">
        <v>0.0</v>
      </c>
      <c r="M14" s="179">
        <f t="shared" si="1"/>
        <v>7678</v>
      </c>
      <c r="N14" s="176">
        <v>0.0</v>
      </c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</row>
    <row r="15">
      <c r="A15" s="158"/>
      <c r="B15" s="158"/>
      <c r="C15" s="158"/>
      <c r="D15" s="158"/>
      <c r="E15" s="193">
        <v>45530.0</v>
      </c>
      <c r="F15" s="186" t="s">
        <v>76</v>
      </c>
      <c r="G15" s="187">
        <v>0.0</v>
      </c>
      <c r="H15" s="188" t="s">
        <v>81</v>
      </c>
      <c r="I15" s="189">
        <v>62100.0</v>
      </c>
      <c r="J15" s="190">
        <v>2200.0</v>
      </c>
      <c r="K15" s="198">
        <f t="shared" si="2"/>
        <v>0.03542673108</v>
      </c>
      <c r="L15" s="192">
        <v>0.0</v>
      </c>
      <c r="M15" s="179">
        <f t="shared" si="1"/>
        <v>5478</v>
      </c>
      <c r="N15" s="176">
        <v>1.0</v>
      </c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</row>
    <row r="16">
      <c r="A16" s="158"/>
      <c r="B16" s="158"/>
      <c r="C16" s="158"/>
      <c r="D16" s="158"/>
      <c r="E16" s="193">
        <v>45531.0</v>
      </c>
      <c r="F16" s="186" t="s">
        <v>76</v>
      </c>
      <c r="G16" s="187">
        <v>0.0</v>
      </c>
      <c r="H16" s="188" t="s">
        <v>88</v>
      </c>
      <c r="I16" s="189">
        <v>1.65</v>
      </c>
      <c r="J16" s="190">
        <v>825.0</v>
      </c>
      <c r="K16" s="195">
        <f t="shared" si="2"/>
        <v>500</v>
      </c>
      <c r="L16" s="192">
        <v>0.0</v>
      </c>
      <c r="M16" s="179">
        <f t="shared" si="1"/>
        <v>4653</v>
      </c>
      <c r="N16" s="176">
        <v>1.0</v>
      </c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</row>
    <row r="17">
      <c r="A17" s="158"/>
      <c r="B17" s="158"/>
      <c r="C17" s="158"/>
      <c r="D17" s="158"/>
      <c r="E17" s="193">
        <v>45531.0</v>
      </c>
      <c r="F17" s="186" t="s">
        <v>76</v>
      </c>
      <c r="G17" s="187">
        <v>0.0</v>
      </c>
      <c r="H17" s="188" t="s">
        <v>87</v>
      </c>
      <c r="I17" s="189">
        <v>330.0</v>
      </c>
      <c r="J17" s="190">
        <v>1155.0</v>
      </c>
      <c r="K17" s="199">
        <f t="shared" si="2"/>
        <v>3.5</v>
      </c>
      <c r="L17" s="192">
        <v>0.0</v>
      </c>
      <c r="M17" s="179">
        <f t="shared" si="1"/>
        <v>3498</v>
      </c>
      <c r="N17" s="176">
        <v>1.0</v>
      </c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</row>
    <row r="18">
      <c r="A18" s="158"/>
      <c r="B18" s="158"/>
      <c r="C18" s="158"/>
      <c r="D18" s="158"/>
      <c r="E18" s="193">
        <v>45531.0</v>
      </c>
      <c r="F18" s="186" t="s">
        <v>76</v>
      </c>
      <c r="G18" s="187">
        <v>0.0</v>
      </c>
      <c r="H18" s="188" t="s">
        <v>91</v>
      </c>
      <c r="I18" s="189">
        <v>0.102</v>
      </c>
      <c r="J18" s="190">
        <v>280.5</v>
      </c>
      <c r="K18" s="195">
        <f t="shared" si="2"/>
        <v>2750</v>
      </c>
      <c r="L18" s="192">
        <v>0.0</v>
      </c>
      <c r="M18" s="179">
        <f t="shared" si="1"/>
        <v>3217.5</v>
      </c>
      <c r="N18" s="176">
        <v>1.0</v>
      </c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</row>
    <row r="19">
      <c r="A19" s="158"/>
      <c r="B19" s="158"/>
      <c r="C19" s="158"/>
      <c r="D19" s="158"/>
      <c r="E19" s="193">
        <v>45531.0</v>
      </c>
      <c r="F19" s="186" t="s">
        <v>76</v>
      </c>
      <c r="G19" s="187">
        <v>0.0</v>
      </c>
      <c r="H19" s="188" t="s">
        <v>92</v>
      </c>
      <c r="I19" s="189">
        <v>11.0</v>
      </c>
      <c r="J19" s="190">
        <v>1100.0</v>
      </c>
      <c r="K19" s="195">
        <f t="shared" si="2"/>
        <v>100</v>
      </c>
      <c r="L19" s="192">
        <v>0.0</v>
      </c>
      <c r="M19" s="179">
        <f t="shared" si="1"/>
        <v>2117.5</v>
      </c>
      <c r="N19" s="176">
        <v>1.0</v>
      </c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</row>
    <row r="20">
      <c r="A20" s="158"/>
      <c r="B20" s="158"/>
      <c r="C20" s="158"/>
      <c r="D20" s="158"/>
      <c r="E20" s="193">
        <v>45532.0</v>
      </c>
      <c r="F20" s="186" t="s">
        <v>76</v>
      </c>
      <c r="G20" s="187">
        <v>0.0</v>
      </c>
      <c r="H20" s="188" t="s">
        <v>81</v>
      </c>
      <c r="I20" s="189">
        <v>58800.0</v>
      </c>
      <c r="J20" s="190">
        <v>1300.0</v>
      </c>
      <c r="K20" s="198">
        <f t="shared" si="2"/>
        <v>0.02210884354</v>
      </c>
      <c r="L20" s="192">
        <v>0.0</v>
      </c>
      <c r="M20" s="179">
        <f t="shared" si="1"/>
        <v>817.5</v>
      </c>
      <c r="N20" s="176">
        <v>1.0</v>
      </c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</row>
    <row r="21">
      <c r="A21" s="158"/>
      <c r="B21" s="158"/>
      <c r="C21" s="158"/>
      <c r="D21" s="158"/>
      <c r="E21" s="193">
        <v>45545.0</v>
      </c>
      <c r="F21" s="186" t="s">
        <v>90</v>
      </c>
      <c r="G21" s="187">
        <v>0.0</v>
      </c>
      <c r="H21" s="188" t="s">
        <v>81</v>
      </c>
      <c r="I21" s="189">
        <v>57050.0</v>
      </c>
      <c r="J21" s="190">
        <v>1000.0</v>
      </c>
      <c r="K21" s="194">
        <f t="shared" si="2"/>
        <v>0.01752848379</v>
      </c>
      <c r="L21" s="192">
        <v>0.0</v>
      </c>
      <c r="M21" s="179">
        <f t="shared" si="1"/>
        <v>1817.5</v>
      </c>
      <c r="N21" s="176">
        <v>1.0</v>
      </c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</row>
    <row r="22">
      <c r="A22" s="158"/>
      <c r="B22" s="158"/>
      <c r="C22" s="158"/>
      <c r="D22" s="158"/>
      <c r="E22" s="193">
        <v>45551.0</v>
      </c>
      <c r="F22" s="186" t="s">
        <v>76</v>
      </c>
      <c r="G22" s="187">
        <v>0.0</v>
      </c>
      <c r="H22" s="188" t="s">
        <v>87</v>
      </c>
      <c r="I22" s="189">
        <v>300.0</v>
      </c>
      <c r="J22" s="190">
        <v>330.0</v>
      </c>
      <c r="K22" s="199">
        <f t="shared" si="2"/>
        <v>1.1</v>
      </c>
      <c r="L22" s="192">
        <v>0.0</v>
      </c>
      <c r="M22" s="179">
        <f t="shared" si="1"/>
        <v>1487.5</v>
      </c>
      <c r="N22" s="176">
        <v>1.0</v>
      </c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</row>
    <row r="23">
      <c r="A23" s="158"/>
      <c r="B23" s="158"/>
      <c r="C23" s="158"/>
      <c r="D23" s="158"/>
      <c r="E23" s="193">
        <v>45552.0</v>
      </c>
      <c r="F23" s="186" t="s">
        <v>90</v>
      </c>
      <c r="G23" s="187">
        <v>0.0</v>
      </c>
      <c r="H23" s="188" t="s">
        <v>87</v>
      </c>
      <c r="I23" s="189">
        <v>373.665</v>
      </c>
      <c r="J23" s="190">
        <v>224.2</v>
      </c>
      <c r="K23" s="191">
        <f t="shared" si="2"/>
        <v>0.6000026762</v>
      </c>
      <c r="L23" s="192">
        <v>0.0</v>
      </c>
      <c r="M23" s="179">
        <f t="shared" si="1"/>
        <v>1711.7</v>
      </c>
      <c r="N23" s="176">
        <v>1.0</v>
      </c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</row>
    <row r="24">
      <c r="A24" s="158"/>
      <c r="B24" s="158"/>
      <c r="C24" s="158"/>
      <c r="D24" s="158"/>
      <c r="E24" s="193">
        <v>45555.0</v>
      </c>
      <c r="F24" s="186" t="s">
        <v>90</v>
      </c>
      <c r="G24" s="187">
        <v>0.0</v>
      </c>
      <c r="H24" s="188" t="s">
        <v>87</v>
      </c>
      <c r="I24" s="189">
        <v>390.0</v>
      </c>
      <c r="J24" s="190">
        <v>312.0</v>
      </c>
      <c r="K24" s="191">
        <f t="shared" si="2"/>
        <v>0.8</v>
      </c>
      <c r="L24" s="192">
        <v>0.0</v>
      </c>
      <c r="M24" s="179">
        <f t="shared" si="1"/>
        <v>2023.7</v>
      </c>
      <c r="N24" s="176">
        <v>1.0</v>
      </c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</row>
    <row r="25">
      <c r="A25" s="158"/>
      <c r="B25" s="158"/>
      <c r="C25" s="158"/>
      <c r="D25" s="158"/>
      <c r="E25" s="193">
        <v>45557.0</v>
      </c>
      <c r="F25" s="186" t="s">
        <v>90</v>
      </c>
      <c r="G25" s="187">
        <v>0.0</v>
      </c>
      <c r="H25" s="188" t="s">
        <v>87</v>
      </c>
      <c r="I25" s="189">
        <v>600.0</v>
      </c>
      <c r="J25" s="190">
        <v>600.0</v>
      </c>
      <c r="K25" s="199">
        <f t="shared" si="2"/>
        <v>1</v>
      </c>
      <c r="L25" s="192">
        <v>0.0</v>
      </c>
      <c r="M25" s="179">
        <f t="shared" si="1"/>
        <v>2623.7</v>
      </c>
      <c r="N25" s="176">
        <v>1.0</v>
      </c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</row>
    <row r="26">
      <c r="A26" s="158"/>
      <c r="B26" s="158"/>
      <c r="C26" s="158"/>
      <c r="D26" s="158"/>
      <c r="E26" s="193">
        <v>45558.0</v>
      </c>
      <c r="F26" s="186" t="s">
        <v>76</v>
      </c>
      <c r="G26" s="187">
        <v>0.0</v>
      </c>
      <c r="H26" s="188" t="s">
        <v>87</v>
      </c>
      <c r="I26" s="189">
        <v>562.6</v>
      </c>
      <c r="J26" s="190">
        <v>337.56</v>
      </c>
      <c r="K26" s="199">
        <f t="shared" si="2"/>
        <v>0.6</v>
      </c>
      <c r="L26" s="192">
        <v>0.0</v>
      </c>
      <c r="M26" s="179">
        <f t="shared" si="1"/>
        <v>2286.14</v>
      </c>
      <c r="N26" s="176">
        <v>1.0</v>
      </c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</row>
    <row r="27">
      <c r="A27" s="158"/>
      <c r="B27" s="158"/>
      <c r="C27" s="158"/>
      <c r="D27" s="158"/>
      <c r="E27" s="193">
        <v>45568.0</v>
      </c>
      <c r="F27" s="186" t="s">
        <v>76</v>
      </c>
      <c r="G27" s="187">
        <v>0.0</v>
      </c>
      <c r="H27" s="188" t="s">
        <v>87</v>
      </c>
      <c r="I27" s="189">
        <v>480.0</v>
      </c>
      <c r="J27" s="190">
        <v>192.0</v>
      </c>
      <c r="K27" s="199">
        <f t="shared" si="2"/>
        <v>0.4</v>
      </c>
      <c r="L27" s="192">
        <v>0.0</v>
      </c>
      <c r="M27" s="179">
        <f t="shared" si="1"/>
        <v>2094.14</v>
      </c>
      <c r="N27" s="176">
        <v>1.0</v>
      </c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</row>
    <row r="28">
      <c r="A28" s="158"/>
      <c r="B28" s="158"/>
      <c r="C28" s="158"/>
      <c r="D28" s="158"/>
      <c r="E28" s="193">
        <v>45586.0</v>
      </c>
      <c r="F28" s="186" t="s">
        <v>90</v>
      </c>
      <c r="G28" s="187">
        <v>0.0</v>
      </c>
      <c r="H28" s="188" t="s">
        <v>83</v>
      </c>
      <c r="I28" s="189">
        <v>2700.0</v>
      </c>
      <c r="J28" s="190">
        <v>711.380016</v>
      </c>
      <c r="K28" s="200">
        <f t="shared" si="2"/>
        <v>0.26347408</v>
      </c>
      <c r="L28" s="192">
        <v>0.0</v>
      </c>
      <c r="M28" s="179">
        <f t="shared" si="1"/>
        <v>2805.520016</v>
      </c>
      <c r="N28" s="176">
        <v>0.0</v>
      </c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</row>
    <row r="29">
      <c r="A29" s="158"/>
      <c r="B29" s="158"/>
      <c r="C29" s="158"/>
      <c r="D29" s="158"/>
      <c r="E29" s="201">
        <v>45591.0</v>
      </c>
      <c r="F29" s="186" t="s">
        <v>76</v>
      </c>
      <c r="G29" s="187">
        <v>0.0</v>
      </c>
      <c r="H29" s="202" t="s">
        <v>89</v>
      </c>
      <c r="I29" s="189">
        <v>4.95</v>
      </c>
      <c r="J29" s="190">
        <v>215.7705</v>
      </c>
      <c r="K29" s="191">
        <f t="shared" si="2"/>
        <v>43.59</v>
      </c>
      <c r="L29" s="192">
        <v>0.0</v>
      </c>
      <c r="M29" s="179">
        <f t="shared" si="1"/>
        <v>2589.749516</v>
      </c>
      <c r="N29" s="176">
        <v>1.0</v>
      </c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</row>
    <row r="30">
      <c r="A30" s="158"/>
      <c r="B30" s="158"/>
      <c r="C30" s="158"/>
      <c r="D30" s="158"/>
      <c r="E30" s="193">
        <v>45594.0</v>
      </c>
      <c r="F30" s="186" t="s">
        <v>90</v>
      </c>
      <c r="G30" s="187">
        <v>0.0</v>
      </c>
      <c r="H30" s="202" t="s">
        <v>85</v>
      </c>
      <c r="I30" s="189">
        <v>175.82</v>
      </c>
      <c r="J30" s="190">
        <v>176.4534308</v>
      </c>
      <c r="K30" s="195">
        <f t="shared" si="2"/>
        <v>1.003602723</v>
      </c>
      <c r="L30" s="192">
        <v>0.0</v>
      </c>
      <c r="M30" s="179">
        <f t="shared" si="1"/>
        <v>2766.202947</v>
      </c>
      <c r="N30" s="176">
        <v>1.0</v>
      </c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</row>
    <row r="31">
      <c r="A31" s="158"/>
      <c r="B31" s="158"/>
      <c r="C31" s="158"/>
      <c r="D31" s="158"/>
      <c r="E31" s="193">
        <v>45595.0</v>
      </c>
      <c r="F31" s="186" t="s">
        <v>76</v>
      </c>
      <c r="G31" s="187">
        <v>0.0</v>
      </c>
      <c r="H31" s="202" t="s">
        <v>87</v>
      </c>
      <c r="I31" s="189">
        <v>480.0</v>
      </c>
      <c r="J31" s="190">
        <v>360.0</v>
      </c>
      <c r="K31" s="191">
        <f t="shared" si="2"/>
        <v>0.75</v>
      </c>
      <c r="L31" s="192">
        <v>0.0</v>
      </c>
      <c r="M31" s="179">
        <f t="shared" si="1"/>
        <v>2406.202947</v>
      </c>
      <c r="N31" s="176">
        <v>1.0</v>
      </c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</row>
    <row r="32">
      <c r="A32" s="158"/>
      <c r="B32" s="158"/>
      <c r="C32" s="158"/>
      <c r="D32" s="158"/>
      <c r="E32" s="193">
        <v>45598.0</v>
      </c>
      <c r="F32" s="186" t="s">
        <v>76</v>
      </c>
      <c r="G32" s="187">
        <v>0.0</v>
      </c>
      <c r="H32" s="202" t="s">
        <v>93</v>
      </c>
      <c r="I32" s="203">
        <v>0.85</v>
      </c>
      <c r="J32" s="190">
        <v>701.25</v>
      </c>
      <c r="K32" s="195">
        <f t="shared" si="2"/>
        <v>825</v>
      </c>
      <c r="L32" s="192">
        <v>0.0</v>
      </c>
      <c r="M32" s="179">
        <f t="shared" si="1"/>
        <v>1704.952947</v>
      </c>
      <c r="N32" s="176">
        <v>1.0</v>
      </c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</row>
    <row r="33">
      <c r="A33" s="158"/>
      <c r="B33" s="158"/>
      <c r="C33" s="158"/>
      <c r="D33" s="158"/>
      <c r="E33" s="193">
        <v>45599.0</v>
      </c>
      <c r="F33" s="186" t="s">
        <v>90</v>
      </c>
      <c r="G33" s="187">
        <v>0.0</v>
      </c>
      <c r="H33" s="202" t="s">
        <v>93</v>
      </c>
      <c r="I33" s="204">
        <v>0.8515</v>
      </c>
      <c r="J33" s="190">
        <v>404.4625</v>
      </c>
      <c r="K33" s="195">
        <f t="shared" si="2"/>
        <v>475</v>
      </c>
      <c r="L33" s="192">
        <v>0.0</v>
      </c>
      <c r="M33" s="179">
        <f t="shared" si="1"/>
        <v>2109.415447</v>
      </c>
      <c r="N33" s="176">
        <v>1.0</v>
      </c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</row>
    <row r="34">
      <c r="A34" s="158"/>
      <c r="B34" s="158"/>
      <c r="C34" s="158"/>
      <c r="D34" s="158"/>
      <c r="E34" s="193">
        <v>45602.0</v>
      </c>
      <c r="F34" s="186" t="s">
        <v>90</v>
      </c>
      <c r="G34" s="187">
        <v>0.0</v>
      </c>
      <c r="H34" s="202" t="s">
        <v>85</v>
      </c>
      <c r="I34" s="189">
        <v>180.0</v>
      </c>
      <c r="J34" s="190">
        <v>720.0</v>
      </c>
      <c r="K34" s="195">
        <f t="shared" si="2"/>
        <v>4</v>
      </c>
      <c r="L34" s="192">
        <v>0.0</v>
      </c>
      <c r="M34" s="179">
        <f t="shared" si="1"/>
        <v>2829.415447</v>
      </c>
      <c r="N34" s="176">
        <v>1.0</v>
      </c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</row>
    <row r="35">
      <c r="A35" s="158"/>
      <c r="B35" s="158"/>
      <c r="C35" s="158"/>
      <c r="D35" s="158"/>
      <c r="E35" s="193">
        <v>45606.0</v>
      </c>
      <c r="F35" s="186" t="s">
        <v>90</v>
      </c>
      <c r="G35" s="187">
        <v>0.0</v>
      </c>
      <c r="H35" s="202" t="s">
        <v>94</v>
      </c>
      <c r="I35" s="205">
        <v>2.47E-5</v>
      </c>
      <c r="J35" s="190">
        <v>274.84573222</v>
      </c>
      <c r="K35" s="195">
        <f t="shared" si="2"/>
        <v>11127357.58</v>
      </c>
      <c r="L35" s="192">
        <v>0.0</v>
      </c>
      <c r="M35" s="179">
        <f t="shared" si="1"/>
        <v>3104.261179</v>
      </c>
      <c r="N35" s="176">
        <v>0.0</v>
      </c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</row>
    <row r="36">
      <c r="A36" s="158"/>
      <c r="B36" s="158"/>
      <c r="C36" s="158"/>
      <c r="D36" s="158"/>
      <c r="E36" s="193">
        <v>45576.0</v>
      </c>
      <c r="F36" s="186" t="s">
        <v>90</v>
      </c>
      <c r="G36" s="187">
        <v>0.0</v>
      </c>
      <c r="H36" s="202" t="s">
        <v>91</v>
      </c>
      <c r="I36" s="189">
        <v>0.35</v>
      </c>
      <c r="J36" s="190">
        <v>350.0</v>
      </c>
      <c r="K36" s="195">
        <f t="shared" si="2"/>
        <v>1000</v>
      </c>
      <c r="L36" s="192">
        <v>0.0</v>
      </c>
      <c r="M36" s="179">
        <f t="shared" si="1"/>
        <v>3454.261179</v>
      </c>
      <c r="N36" s="176">
        <v>1.0</v>
      </c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</row>
    <row r="37">
      <c r="A37" s="158"/>
      <c r="B37" s="158"/>
      <c r="C37" s="158"/>
      <c r="D37" s="158"/>
      <c r="E37" s="193">
        <v>45608.0</v>
      </c>
      <c r="F37" s="186" t="s">
        <v>90</v>
      </c>
      <c r="G37" s="187">
        <v>0.0</v>
      </c>
      <c r="H37" s="202" t="s">
        <v>81</v>
      </c>
      <c r="I37" s="189">
        <v>89500.0</v>
      </c>
      <c r="J37" s="190">
        <v>1261.20446</v>
      </c>
      <c r="K37" s="194">
        <f t="shared" si="2"/>
        <v>0.01409166994</v>
      </c>
      <c r="L37" s="192">
        <v>0.0</v>
      </c>
      <c r="M37" s="179">
        <f t="shared" si="1"/>
        <v>4715.465639</v>
      </c>
      <c r="N37" s="176">
        <v>1.0</v>
      </c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</row>
    <row r="38">
      <c r="A38" s="158"/>
      <c r="B38" s="158"/>
      <c r="C38" s="158"/>
      <c r="D38" s="158"/>
      <c r="E38" s="201">
        <v>45609.0</v>
      </c>
      <c r="F38" s="186" t="s">
        <v>76</v>
      </c>
      <c r="G38" s="187">
        <v>0.0</v>
      </c>
      <c r="H38" s="202" t="s">
        <v>95</v>
      </c>
      <c r="I38" s="204">
        <v>0.0125</v>
      </c>
      <c r="J38" s="190">
        <v>750.0</v>
      </c>
      <c r="K38" s="195">
        <f t="shared" si="2"/>
        <v>60000</v>
      </c>
      <c r="L38" s="192">
        <v>0.0</v>
      </c>
      <c r="M38" s="179">
        <f t="shared" si="1"/>
        <v>3965.465639</v>
      </c>
      <c r="N38" s="176">
        <v>1.0</v>
      </c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</row>
    <row r="39">
      <c r="A39" s="158"/>
      <c r="B39" s="158"/>
      <c r="C39" s="158"/>
      <c r="D39" s="158"/>
      <c r="E39" s="193">
        <v>45609.0</v>
      </c>
      <c r="F39" s="186" t="s">
        <v>76</v>
      </c>
      <c r="G39" s="187">
        <v>0.0</v>
      </c>
      <c r="H39" s="202" t="s">
        <v>96</v>
      </c>
      <c r="I39" s="189">
        <v>170.0</v>
      </c>
      <c r="J39" s="190">
        <v>569.5</v>
      </c>
      <c r="K39" s="191">
        <f t="shared" si="2"/>
        <v>3.35</v>
      </c>
      <c r="L39" s="192">
        <v>0.0</v>
      </c>
      <c r="M39" s="179">
        <f t="shared" si="1"/>
        <v>3395.965639</v>
      </c>
      <c r="N39" s="176">
        <v>1.0</v>
      </c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</row>
    <row r="40">
      <c r="A40" s="158"/>
      <c r="B40" s="158"/>
      <c r="C40" s="158"/>
      <c r="D40" s="158"/>
      <c r="E40" s="193">
        <v>45609.0</v>
      </c>
      <c r="F40" s="186" t="s">
        <v>76</v>
      </c>
      <c r="G40" s="187">
        <v>0.0</v>
      </c>
      <c r="H40" s="202" t="s">
        <v>93</v>
      </c>
      <c r="I40" s="189">
        <v>1.1</v>
      </c>
      <c r="J40" s="190">
        <v>500.5</v>
      </c>
      <c r="K40" s="195">
        <f t="shared" si="2"/>
        <v>455</v>
      </c>
      <c r="L40" s="192">
        <v>0.0</v>
      </c>
      <c r="M40" s="179">
        <f t="shared" si="1"/>
        <v>2895.465639</v>
      </c>
      <c r="N40" s="176">
        <v>0.0</v>
      </c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</row>
    <row r="41">
      <c r="A41" s="158"/>
      <c r="B41" s="158"/>
      <c r="C41" s="158"/>
      <c r="D41" s="158"/>
      <c r="E41" s="193">
        <v>45610.0</v>
      </c>
      <c r="F41" s="186" t="s">
        <v>76</v>
      </c>
      <c r="G41" s="187">
        <v>0.0</v>
      </c>
      <c r="H41" s="202" t="s">
        <v>81</v>
      </c>
      <c r="I41" s="189">
        <v>88000.0</v>
      </c>
      <c r="J41" s="190">
        <v>1320.0</v>
      </c>
      <c r="K41" s="196">
        <f t="shared" si="2"/>
        <v>0.015</v>
      </c>
      <c r="L41" s="192">
        <v>0.0</v>
      </c>
      <c r="M41" s="179">
        <f>IF(E41="","",IF(G41=0,IF(F41="Invest",M40-J41-L41+10,M40+J41),M40))</f>
        <v>1585.465639</v>
      </c>
      <c r="N41" s="176">
        <v>1.0</v>
      </c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</row>
    <row r="42">
      <c r="A42" s="158"/>
      <c r="B42" s="158"/>
      <c r="C42" s="158"/>
      <c r="D42" s="158"/>
      <c r="E42" s="193">
        <v>45615.0</v>
      </c>
      <c r="F42" s="186" t="s">
        <v>90</v>
      </c>
      <c r="G42" s="187">
        <v>0.0</v>
      </c>
      <c r="H42" s="202" t="s">
        <v>94</v>
      </c>
      <c r="I42" s="205">
        <v>2.6E-5</v>
      </c>
      <c r="J42" s="190">
        <v>377.0</v>
      </c>
      <c r="K42" s="195">
        <f t="shared" si="2"/>
        <v>14500000</v>
      </c>
      <c r="L42" s="192">
        <v>0.0</v>
      </c>
      <c r="M42" s="179">
        <f t="shared" ref="M42:M81" si="3">IF(E42="","",IF(G42=0,IF(F42="Invest",M41-J42-L42,M41+J42),M41))</f>
        <v>1962.465639</v>
      </c>
      <c r="N42" s="176">
        <v>0.0</v>
      </c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</row>
    <row r="43">
      <c r="A43" s="158"/>
      <c r="B43" s="158"/>
      <c r="C43" s="158"/>
      <c r="D43" s="158"/>
      <c r="E43" s="193">
        <v>45618.0</v>
      </c>
      <c r="F43" s="186" t="s">
        <v>76</v>
      </c>
      <c r="G43" s="187">
        <v>0.0</v>
      </c>
      <c r="H43" s="202" t="s">
        <v>97</v>
      </c>
      <c r="I43" s="189">
        <v>4.8885</v>
      </c>
      <c r="J43" s="190">
        <v>440.0</v>
      </c>
      <c r="K43" s="200">
        <f t="shared" si="2"/>
        <v>90.00715966</v>
      </c>
      <c r="L43" s="192">
        <v>0.0</v>
      </c>
      <c r="M43" s="179">
        <f t="shared" si="3"/>
        <v>1522.465639</v>
      </c>
      <c r="N43" s="176">
        <v>0.0</v>
      </c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</row>
    <row r="44">
      <c r="A44" s="158"/>
      <c r="B44" s="158"/>
      <c r="C44" s="158"/>
      <c r="D44" s="158"/>
      <c r="E44" s="193">
        <v>45619.0</v>
      </c>
      <c r="F44" s="186" t="s">
        <v>76</v>
      </c>
      <c r="G44" s="187">
        <v>0.0</v>
      </c>
      <c r="H44" s="202" t="s">
        <v>98</v>
      </c>
      <c r="I44" s="205">
        <v>0.009774</v>
      </c>
      <c r="J44" s="206">
        <v>175.932</v>
      </c>
      <c r="K44" s="195">
        <f t="shared" si="2"/>
        <v>18000</v>
      </c>
      <c r="L44" s="192">
        <v>0.0</v>
      </c>
      <c r="M44" s="179">
        <f t="shared" si="3"/>
        <v>1346.533639</v>
      </c>
      <c r="N44" s="176">
        <v>0.0</v>
      </c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</row>
    <row r="45">
      <c r="A45" s="158"/>
      <c r="B45" s="158"/>
      <c r="C45" s="158"/>
      <c r="D45" s="158"/>
      <c r="E45" s="193">
        <v>45622.0</v>
      </c>
      <c r="F45" s="186" t="s">
        <v>76</v>
      </c>
      <c r="G45" s="187">
        <v>0.0</v>
      </c>
      <c r="H45" s="202" t="s">
        <v>99</v>
      </c>
      <c r="I45" s="189">
        <v>3.35</v>
      </c>
      <c r="J45" s="207">
        <v>197.65</v>
      </c>
      <c r="K45" s="195">
        <f t="shared" si="2"/>
        <v>59</v>
      </c>
      <c r="L45" s="192">
        <v>0.0</v>
      </c>
      <c r="M45" s="179">
        <f t="shared" si="3"/>
        <v>1148.883639</v>
      </c>
      <c r="N45" s="176">
        <v>0.0</v>
      </c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</row>
    <row r="46">
      <c r="A46" s="158"/>
      <c r="B46" s="158"/>
      <c r="C46" s="158"/>
      <c r="D46" s="158"/>
      <c r="E46" s="193">
        <v>45630.0</v>
      </c>
      <c r="F46" s="186" t="s">
        <v>90</v>
      </c>
      <c r="G46" s="187">
        <v>0.0</v>
      </c>
      <c r="H46" s="202" t="s">
        <v>100</v>
      </c>
      <c r="I46" s="189">
        <v>4.33</v>
      </c>
      <c r="J46" s="190">
        <v>108.31</v>
      </c>
      <c r="K46" s="195">
        <f t="shared" si="2"/>
        <v>25.01385681</v>
      </c>
      <c r="L46" s="192">
        <v>0.08</v>
      </c>
      <c r="M46" s="179">
        <f t="shared" si="3"/>
        <v>1257.193639</v>
      </c>
      <c r="N46" s="176">
        <v>1.0</v>
      </c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</row>
    <row r="47">
      <c r="A47" s="158"/>
      <c r="B47" s="158"/>
      <c r="C47" s="158"/>
      <c r="D47" s="158"/>
      <c r="E47" s="193">
        <v>45636.0</v>
      </c>
      <c r="F47" s="186" t="s">
        <v>76</v>
      </c>
      <c r="G47" s="187">
        <v>0.0</v>
      </c>
      <c r="H47" s="202" t="s">
        <v>85</v>
      </c>
      <c r="I47" s="189">
        <v>210.0</v>
      </c>
      <c r="J47" s="190">
        <v>420.0</v>
      </c>
      <c r="K47" s="195">
        <f t="shared" si="2"/>
        <v>2</v>
      </c>
      <c r="L47" s="192">
        <v>0.0</v>
      </c>
      <c r="M47" s="179">
        <f t="shared" si="3"/>
        <v>837.193639</v>
      </c>
      <c r="N47" s="176">
        <v>1.0</v>
      </c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</row>
    <row r="48">
      <c r="A48" s="158"/>
      <c r="B48" s="158"/>
      <c r="C48" s="158"/>
      <c r="D48" s="158"/>
      <c r="E48" s="193">
        <v>45644.0</v>
      </c>
      <c r="F48" s="186" t="s">
        <v>76</v>
      </c>
      <c r="G48" s="187">
        <v>0.0</v>
      </c>
      <c r="H48" s="202" t="s">
        <v>101</v>
      </c>
      <c r="I48" s="208">
        <v>2.0E-5</v>
      </c>
      <c r="J48" s="190">
        <v>279.0</v>
      </c>
      <c r="K48" s="195">
        <f t="shared" si="2"/>
        <v>13950000</v>
      </c>
      <c r="L48" s="192">
        <v>0.0</v>
      </c>
      <c r="M48" s="179">
        <f t="shared" si="3"/>
        <v>558.193639</v>
      </c>
      <c r="N48" s="176">
        <v>1.0</v>
      </c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</row>
    <row r="49">
      <c r="A49" s="158"/>
      <c r="B49" s="158"/>
      <c r="C49" s="158"/>
      <c r="D49" s="158"/>
      <c r="E49" s="193">
        <v>45646.0</v>
      </c>
      <c r="F49" s="186" t="s">
        <v>76</v>
      </c>
      <c r="G49" s="187">
        <v>0.0</v>
      </c>
      <c r="H49" s="202" t="s">
        <v>101</v>
      </c>
      <c r="I49" s="205">
        <v>1.5E-5</v>
      </c>
      <c r="J49" s="190">
        <v>150.0</v>
      </c>
      <c r="K49" s="195">
        <f t="shared" si="2"/>
        <v>10000000</v>
      </c>
      <c r="L49" s="192">
        <v>0.0</v>
      </c>
      <c r="M49" s="179">
        <f t="shared" si="3"/>
        <v>408.193639</v>
      </c>
      <c r="N49" s="176">
        <v>1.0</v>
      </c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</row>
    <row r="50">
      <c r="A50" s="158"/>
      <c r="B50" s="158"/>
      <c r="C50" s="158"/>
      <c r="D50" s="158"/>
      <c r="E50" s="193">
        <v>45658.0</v>
      </c>
      <c r="F50" s="186" t="s">
        <v>76</v>
      </c>
      <c r="G50" s="187">
        <v>0.0</v>
      </c>
      <c r="H50" s="202" t="s">
        <v>97</v>
      </c>
      <c r="I50" s="189">
        <v>4.85</v>
      </c>
      <c r="J50" s="190">
        <v>201.275</v>
      </c>
      <c r="K50" s="195">
        <f t="shared" si="2"/>
        <v>41.5</v>
      </c>
      <c r="L50" s="192">
        <v>0.0</v>
      </c>
      <c r="M50" s="179">
        <f t="shared" si="3"/>
        <v>206.918639</v>
      </c>
      <c r="N50" s="176">
        <v>0.0</v>
      </c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</row>
    <row r="51">
      <c r="A51" s="158"/>
      <c r="B51" s="158"/>
      <c r="C51" s="158"/>
      <c r="D51" s="158"/>
      <c r="E51" s="193">
        <v>45666.0</v>
      </c>
      <c r="F51" s="186" t="s">
        <v>76</v>
      </c>
      <c r="G51" s="187">
        <v>0.0</v>
      </c>
      <c r="H51" s="202" t="s">
        <v>87</v>
      </c>
      <c r="I51" s="189">
        <v>430.0</v>
      </c>
      <c r="J51" s="190">
        <v>193.5</v>
      </c>
      <c r="K51" s="191">
        <f t="shared" si="2"/>
        <v>0.45</v>
      </c>
      <c r="L51" s="192">
        <v>0.0</v>
      </c>
      <c r="M51" s="179">
        <f t="shared" si="3"/>
        <v>13.41863902</v>
      </c>
      <c r="N51" s="176">
        <v>1.0</v>
      </c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</row>
    <row r="52">
      <c r="A52" s="158"/>
      <c r="B52" s="158"/>
      <c r="C52" s="158"/>
      <c r="D52" s="158"/>
      <c r="E52" s="193">
        <v>45676.0</v>
      </c>
      <c r="F52" s="186" t="s">
        <v>90</v>
      </c>
      <c r="G52" s="187">
        <v>0.0</v>
      </c>
      <c r="H52" s="202" t="s">
        <v>85</v>
      </c>
      <c r="I52" s="189">
        <v>280.0</v>
      </c>
      <c r="J52" s="190">
        <v>280.0</v>
      </c>
      <c r="K52" s="195">
        <f t="shared" si="2"/>
        <v>1</v>
      </c>
      <c r="L52" s="192">
        <v>0.0</v>
      </c>
      <c r="M52" s="179">
        <f t="shared" si="3"/>
        <v>293.418639</v>
      </c>
      <c r="N52" s="176">
        <v>1.0</v>
      </c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</row>
    <row r="53">
      <c r="A53" s="158"/>
      <c r="B53" s="158"/>
      <c r="C53" s="158"/>
      <c r="D53" s="158"/>
      <c r="E53" s="193">
        <v>45677.0</v>
      </c>
      <c r="F53" s="186" t="s">
        <v>76</v>
      </c>
      <c r="G53" s="187">
        <v>0.0</v>
      </c>
      <c r="H53" s="202" t="s">
        <v>102</v>
      </c>
      <c r="I53" s="189">
        <v>6.35</v>
      </c>
      <c r="J53" s="190">
        <v>279.4</v>
      </c>
      <c r="K53" s="195">
        <f t="shared" si="2"/>
        <v>44</v>
      </c>
      <c r="L53" s="192">
        <v>0.0</v>
      </c>
      <c r="M53" s="179">
        <f t="shared" si="3"/>
        <v>14.01863902</v>
      </c>
      <c r="N53" s="176">
        <v>1.0</v>
      </c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</row>
    <row r="54">
      <c r="A54" s="158"/>
      <c r="B54" s="158"/>
      <c r="C54" s="158"/>
      <c r="D54" s="158"/>
      <c r="E54" s="193">
        <v>45718.0</v>
      </c>
      <c r="F54" s="186" t="s">
        <v>90</v>
      </c>
      <c r="G54" s="187">
        <v>0.0</v>
      </c>
      <c r="H54" s="202" t="s">
        <v>81</v>
      </c>
      <c r="I54" s="189">
        <v>94500.0</v>
      </c>
      <c r="J54" s="190">
        <v>2362.0</v>
      </c>
      <c r="K54" s="194">
        <f t="shared" si="2"/>
        <v>0.02499470899</v>
      </c>
      <c r="L54" s="192">
        <v>0.0</v>
      </c>
      <c r="M54" s="179">
        <f t="shared" si="3"/>
        <v>2376.018639</v>
      </c>
      <c r="N54" s="176">
        <v>1.0</v>
      </c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</row>
    <row r="55">
      <c r="A55" s="158"/>
      <c r="B55" s="158"/>
      <c r="C55" s="158"/>
      <c r="D55" s="158"/>
      <c r="E55" s="193">
        <v>45719.0</v>
      </c>
      <c r="F55" s="186" t="s">
        <v>76</v>
      </c>
      <c r="G55" s="187">
        <v>0.0</v>
      </c>
      <c r="H55" s="202" t="s">
        <v>87</v>
      </c>
      <c r="I55" s="189">
        <v>310.0</v>
      </c>
      <c r="J55" s="190">
        <v>375.0</v>
      </c>
      <c r="K55" s="196">
        <f t="shared" si="2"/>
        <v>1.209677419</v>
      </c>
      <c r="L55" s="192">
        <v>0.0</v>
      </c>
      <c r="M55" s="179">
        <f t="shared" si="3"/>
        <v>2001.018639</v>
      </c>
      <c r="N55" s="176">
        <v>1.0</v>
      </c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</row>
    <row r="56">
      <c r="A56" s="158"/>
      <c r="B56" s="158"/>
      <c r="C56" s="158"/>
      <c r="D56" s="158"/>
      <c r="E56" s="193">
        <v>45719.0</v>
      </c>
      <c r="F56" s="186" t="s">
        <v>76</v>
      </c>
      <c r="G56" s="187">
        <v>0.0</v>
      </c>
      <c r="H56" s="202" t="s">
        <v>96</v>
      </c>
      <c r="I56" s="189">
        <v>190.0</v>
      </c>
      <c r="J56" s="190">
        <v>126.75</v>
      </c>
      <c r="K56" s="196">
        <f t="shared" si="2"/>
        <v>0.6671052632</v>
      </c>
      <c r="L56" s="192">
        <v>0.0</v>
      </c>
      <c r="M56" s="179">
        <f t="shared" si="3"/>
        <v>1874.268639</v>
      </c>
      <c r="N56" s="176">
        <v>1.0</v>
      </c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</row>
    <row r="57">
      <c r="A57" s="158"/>
      <c r="B57" s="158"/>
      <c r="C57" s="158"/>
      <c r="D57" s="158"/>
      <c r="E57" s="193">
        <v>45719.0</v>
      </c>
      <c r="F57" s="186" t="s">
        <v>76</v>
      </c>
      <c r="G57" s="187">
        <v>0.0</v>
      </c>
      <c r="H57" s="202" t="s">
        <v>81</v>
      </c>
      <c r="I57" s="189">
        <v>86500.0</v>
      </c>
      <c r="J57" s="190">
        <v>300.0</v>
      </c>
      <c r="K57" s="198">
        <f t="shared" si="2"/>
        <v>0.003468208092</v>
      </c>
      <c r="L57" s="192">
        <v>0.0</v>
      </c>
      <c r="M57" s="179">
        <f t="shared" si="3"/>
        <v>1574.268639</v>
      </c>
      <c r="N57" s="176">
        <v>1.0</v>
      </c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</row>
    <row r="58">
      <c r="A58" s="158"/>
      <c r="B58" s="158"/>
      <c r="C58" s="158"/>
      <c r="D58" s="158"/>
      <c r="E58" s="193">
        <v>45719.0</v>
      </c>
      <c r="F58" s="186" t="s">
        <v>76</v>
      </c>
      <c r="G58" s="187">
        <v>0.0</v>
      </c>
      <c r="H58" s="202" t="s">
        <v>81</v>
      </c>
      <c r="I58" s="189">
        <v>86000.0</v>
      </c>
      <c r="J58" s="190">
        <v>559.0</v>
      </c>
      <c r="K58" s="194">
        <f t="shared" si="2"/>
        <v>0.0065</v>
      </c>
      <c r="L58" s="192">
        <v>0.0</v>
      </c>
      <c r="M58" s="179">
        <f t="shared" si="3"/>
        <v>1015.268639</v>
      </c>
      <c r="N58" s="176">
        <v>1.0</v>
      </c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</row>
    <row r="59">
      <c r="A59" s="158"/>
      <c r="B59" s="158"/>
      <c r="C59" s="158"/>
      <c r="D59" s="158"/>
      <c r="E59" s="193">
        <v>45720.0</v>
      </c>
      <c r="F59" s="186" t="s">
        <v>76</v>
      </c>
      <c r="G59" s="187">
        <v>0.0</v>
      </c>
      <c r="H59" s="202" t="s">
        <v>95</v>
      </c>
      <c r="I59" s="204">
        <v>0.0055</v>
      </c>
      <c r="J59" s="190">
        <v>75.0</v>
      </c>
      <c r="K59" s="195">
        <f t="shared" si="2"/>
        <v>13636.36364</v>
      </c>
      <c r="L59" s="192">
        <v>0.0</v>
      </c>
      <c r="M59" s="179">
        <f t="shared" si="3"/>
        <v>940.268639</v>
      </c>
      <c r="N59" s="176">
        <v>1.0</v>
      </c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</row>
    <row r="60">
      <c r="A60" s="158"/>
      <c r="B60" s="158"/>
      <c r="C60" s="158"/>
      <c r="D60" s="158"/>
      <c r="E60" s="193">
        <v>45725.0</v>
      </c>
      <c r="F60" s="186" t="s">
        <v>76</v>
      </c>
      <c r="G60" s="187">
        <v>0.0</v>
      </c>
      <c r="H60" s="202" t="s">
        <v>97</v>
      </c>
      <c r="I60" s="189">
        <v>2.3</v>
      </c>
      <c r="J60" s="190">
        <v>87.4</v>
      </c>
      <c r="K60" s="195">
        <f t="shared" si="2"/>
        <v>38</v>
      </c>
      <c r="L60" s="192">
        <v>0.0</v>
      </c>
      <c r="M60" s="179">
        <f t="shared" si="3"/>
        <v>852.868639</v>
      </c>
      <c r="N60" s="176">
        <v>1.0</v>
      </c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</row>
    <row r="61">
      <c r="A61" s="158"/>
      <c r="B61" s="158"/>
      <c r="C61" s="158"/>
      <c r="D61" s="158"/>
      <c r="E61" s="193">
        <v>45734.0</v>
      </c>
      <c r="F61" s="186" t="s">
        <v>90</v>
      </c>
      <c r="G61" s="187">
        <v>0.0</v>
      </c>
      <c r="H61" s="202" t="s">
        <v>89</v>
      </c>
      <c r="I61" s="189">
        <v>3.525</v>
      </c>
      <c r="J61" s="190">
        <v>352.5</v>
      </c>
      <c r="K61" s="195">
        <f t="shared" si="2"/>
        <v>100</v>
      </c>
      <c r="L61" s="192">
        <v>0.0</v>
      </c>
      <c r="M61" s="179">
        <f t="shared" si="3"/>
        <v>1205.368639</v>
      </c>
      <c r="N61" s="176">
        <v>0.0</v>
      </c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</row>
    <row r="62">
      <c r="A62" s="158"/>
      <c r="B62" s="158"/>
      <c r="C62" s="158"/>
      <c r="D62" s="158"/>
      <c r="E62" s="193">
        <v>45749.0</v>
      </c>
      <c r="F62" s="186" t="s">
        <v>90</v>
      </c>
      <c r="G62" s="187">
        <v>0.0</v>
      </c>
      <c r="H62" s="202" t="s">
        <v>81</v>
      </c>
      <c r="I62" s="189">
        <v>88000.0</v>
      </c>
      <c r="J62" s="190">
        <v>1760.0</v>
      </c>
      <c r="K62" s="191">
        <f t="shared" si="2"/>
        <v>0.02</v>
      </c>
      <c r="L62" s="192">
        <v>0.0</v>
      </c>
      <c r="M62" s="179">
        <f t="shared" si="3"/>
        <v>2965.368639</v>
      </c>
      <c r="N62" s="209">
        <v>1.0</v>
      </c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</row>
    <row r="63">
      <c r="A63" s="158"/>
      <c r="B63" s="158"/>
      <c r="C63" s="158"/>
      <c r="D63" s="158"/>
      <c r="E63" s="193">
        <v>45751.0</v>
      </c>
      <c r="F63" s="186" t="s">
        <v>76</v>
      </c>
      <c r="G63" s="187">
        <v>0.0</v>
      </c>
      <c r="H63" s="202" t="s">
        <v>87</v>
      </c>
      <c r="I63" s="189">
        <v>200.0</v>
      </c>
      <c r="J63" s="190">
        <v>480.0</v>
      </c>
      <c r="K63" s="199">
        <f t="shared" si="2"/>
        <v>2.4</v>
      </c>
      <c r="L63" s="192">
        <v>0.0</v>
      </c>
      <c r="M63" s="179">
        <f t="shared" si="3"/>
        <v>2485.368639</v>
      </c>
      <c r="N63" s="176">
        <v>1.0</v>
      </c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</row>
    <row r="64">
      <c r="A64" s="158"/>
      <c r="B64" s="158"/>
      <c r="C64" s="158"/>
      <c r="D64" s="158"/>
      <c r="E64" s="193">
        <v>45753.0</v>
      </c>
      <c r="F64" s="186" t="s">
        <v>76</v>
      </c>
      <c r="G64" s="187">
        <v>0.0</v>
      </c>
      <c r="H64" s="202" t="s">
        <v>83</v>
      </c>
      <c r="I64" s="189">
        <v>1550.0</v>
      </c>
      <c r="J64" s="190">
        <v>399.9</v>
      </c>
      <c r="K64" s="196">
        <f t="shared" si="2"/>
        <v>0.258</v>
      </c>
      <c r="L64" s="192">
        <v>0.0</v>
      </c>
      <c r="M64" s="179">
        <f t="shared" si="3"/>
        <v>2085.468639</v>
      </c>
      <c r="N64" s="176">
        <v>1.0</v>
      </c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</row>
    <row r="65">
      <c r="A65" s="158"/>
      <c r="B65" s="158"/>
      <c r="C65" s="158"/>
      <c r="D65" s="158"/>
      <c r="E65" s="193">
        <v>45753.0</v>
      </c>
      <c r="F65" s="186" t="s">
        <v>76</v>
      </c>
      <c r="G65" s="187">
        <v>0.0</v>
      </c>
      <c r="H65" s="202" t="s">
        <v>81</v>
      </c>
      <c r="I65" s="189">
        <v>78000.0</v>
      </c>
      <c r="J65" s="190">
        <v>780.0</v>
      </c>
      <c r="K65" s="191">
        <f t="shared" si="2"/>
        <v>0.01</v>
      </c>
      <c r="L65" s="192">
        <v>0.0</v>
      </c>
      <c r="M65" s="179">
        <f t="shared" si="3"/>
        <v>1305.468639</v>
      </c>
      <c r="N65" s="176">
        <v>1.0</v>
      </c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</row>
    <row r="66">
      <c r="A66" s="158"/>
      <c r="B66" s="158"/>
      <c r="C66" s="158"/>
      <c r="D66" s="158"/>
      <c r="E66" s="193">
        <v>45754.0</v>
      </c>
      <c r="F66" s="186" t="s">
        <v>76</v>
      </c>
      <c r="G66" s="187">
        <v>0.0</v>
      </c>
      <c r="H66" s="202" t="s">
        <v>91</v>
      </c>
      <c r="I66" s="189">
        <v>0.14</v>
      </c>
      <c r="J66" s="190">
        <v>196.0</v>
      </c>
      <c r="K66" s="195">
        <f t="shared" si="2"/>
        <v>1400</v>
      </c>
      <c r="L66" s="192">
        <v>0.0</v>
      </c>
      <c r="M66" s="179">
        <f t="shared" si="3"/>
        <v>1109.468639</v>
      </c>
      <c r="N66" s="176">
        <v>1.0</v>
      </c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</row>
    <row r="67">
      <c r="A67" s="158"/>
      <c r="B67" s="158"/>
      <c r="C67" s="158"/>
      <c r="D67" s="158"/>
      <c r="E67" s="193">
        <v>45756.0</v>
      </c>
      <c r="F67" s="186" t="s">
        <v>76</v>
      </c>
      <c r="G67" s="187">
        <v>0.0</v>
      </c>
      <c r="H67" s="202" t="s">
        <v>85</v>
      </c>
      <c r="I67" s="189">
        <v>100.0</v>
      </c>
      <c r="J67" s="190">
        <v>550.0</v>
      </c>
      <c r="K67" s="199">
        <f t="shared" si="2"/>
        <v>5.5</v>
      </c>
      <c r="L67" s="192">
        <v>0.0</v>
      </c>
      <c r="M67" s="179">
        <f t="shared" si="3"/>
        <v>559.468639</v>
      </c>
      <c r="N67" s="176">
        <v>1.0</v>
      </c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</row>
    <row r="68">
      <c r="A68" s="158"/>
      <c r="B68" s="158"/>
      <c r="C68" s="158"/>
      <c r="D68" s="158"/>
      <c r="E68" s="193">
        <v>45757.0</v>
      </c>
      <c r="F68" s="186" t="s">
        <v>90</v>
      </c>
      <c r="G68" s="187">
        <v>0.0</v>
      </c>
      <c r="H68" s="202" t="s">
        <v>88</v>
      </c>
      <c r="I68" s="189">
        <v>0.68</v>
      </c>
      <c r="J68" s="190">
        <v>226.5</v>
      </c>
      <c r="K68" s="199">
        <f t="shared" si="2"/>
        <v>333.0882353</v>
      </c>
      <c r="L68" s="192">
        <v>0.0</v>
      </c>
      <c r="M68" s="179">
        <f t="shared" si="3"/>
        <v>785.968639</v>
      </c>
      <c r="N68" s="176">
        <v>0.0</v>
      </c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</row>
    <row r="69">
      <c r="A69" s="158"/>
      <c r="B69" s="158"/>
      <c r="C69" s="158"/>
      <c r="D69" s="158"/>
      <c r="E69" s="193">
        <v>45757.0</v>
      </c>
      <c r="F69" s="186" t="s">
        <v>76</v>
      </c>
      <c r="G69" s="187">
        <v>0.0</v>
      </c>
      <c r="H69" s="202" t="s">
        <v>81</v>
      </c>
      <c r="I69" s="189">
        <v>83000.0</v>
      </c>
      <c r="J69" s="190">
        <v>227.0</v>
      </c>
      <c r="K69" s="200">
        <f t="shared" si="2"/>
        <v>0.002734939759</v>
      </c>
      <c r="L69" s="192">
        <v>0.0</v>
      </c>
      <c r="M69" s="179">
        <f t="shared" si="3"/>
        <v>558.968639</v>
      </c>
      <c r="N69" s="176">
        <v>0.0</v>
      </c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</row>
    <row r="70">
      <c r="A70" s="158"/>
      <c r="B70" s="158"/>
      <c r="C70" s="158"/>
      <c r="D70" s="158"/>
      <c r="E70" s="193">
        <v>45758.0</v>
      </c>
      <c r="F70" s="186" t="s">
        <v>90</v>
      </c>
      <c r="G70" s="187">
        <v>0.0</v>
      </c>
      <c r="H70" s="202" t="s">
        <v>99</v>
      </c>
      <c r="I70" s="189">
        <v>0.375</v>
      </c>
      <c r="J70" s="190">
        <v>22.181</v>
      </c>
      <c r="K70" s="195">
        <f t="shared" si="2"/>
        <v>59.14933333</v>
      </c>
      <c r="L70" s="192">
        <v>0.0</v>
      </c>
      <c r="M70" s="179">
        <f t="shared" si="3"/>
        <v>581.149639</v>
      </c>
      <c r="N70" s="176">
        <v>0.0</v>
      </c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</row>
    <row r="71">
      <c r="A71" s="158"/>
      <c r="B71" s="158"/>
      <c r="C71" s="158"/>
      <c r="D71" s="158"/>
      <c r="E71" s="193">
        <v>45760.0</v>
      </c>
      <c r="F71" s="186" t="s">
        <v>90</v>
      </c>
      <c r="G71" s="187">
        <v>0.0</v>
      </c>
      <c r="H71" s="202" t="s">
        <v>98</v>
      </c>
      <c r="I71" s="204">
        <v>0.001111</v>
      </c>
      <c r="J71" s="190">
        <v>20.01</v>
      </c>
      <c r="K71" s="195">
        <f t="shared" si="2"/>
        <v>18010.80108</v>
      </c>
      <c r="L71" s="192">
        <v>0.0</v>
      </c>
      <c r="M71" s="179">
        <f t="shared" si="3"/>
        <v>601.159639</v>
      </c>
      <c r="N71" s="176">
        <v>0.0</v>
      </c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</row>
    <row r="72">
      <c r="A72" s="158"/>
      <c r="B72" s="158"/>
      <c r="C72" s="158"/>
      <c r="D72" s="158"/>
      <c r="E72" s="193">
        <v>45779.0</v>
      </c>
      <c r="F72" s="186" t="s">
        <v>90</v>
      </c>
      <c r="G72" s="187">
        <v>0.0</v>
      </c>
      <c r="H72" s="202" t="s">
        <v>81</v>
      </c>
      <c r="I72" s="189">
        <v>97000.0</v>
      </c>
      <c r="J72" s="190">
        <v>970.0</v>
      </c>
      <c r="K72" s="191">
        <f t="shared" si="2"/>
        <v>0.01</v>
      </c>
      <c r="L72" s="192">
        <v>0.0</v>
      </c>
      <c r="M72" s="179">
        <f t="shared" si="3"/>
        <v>1571.159639</v>
      </c>
      <c r="N72" s="176">
        <v>1.0</v>
      </c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</row>
    <row r="73">
      <c r="A73" s="158"/>
      <c r="B73" s="158"/>
      <c r="C73" s="158"/>
      <c r="D73" s="158"/>
      <c r="E73" s="193">
        <v>45779.0</v>
      </c>
      <c r="F73" s="186" t="s">
        <v>90</v>
      </c>
      <c r="G73" s="187">
        <v>0.0</v>
      </c>
      <c r="H73" s="202" t="s">
        <v>81</v>
      </c>
      <c r="I73" s="189">
        <v>98000.0</v>
      </c>
      <c r="J73" s="190">
        <v>980.0</v>
      </c>
      <c r="K73" s="210">
        <v>0.01</v>
      </c>
      <c r="L73" s="192">
        <v>0.0</v>
      </c>
      <c r="M73" s="179">
        <f t="shared" si="3"/>
        <v>2551.159639</v>
      </c>
      <c r="N73" s="176">
        <v>1.0</v>
      </c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</row>
    <row r="74">
      <c r="A74" s="158"/>
      <c r="B74" s="158"/>
      <c r="C74" s="158"/>
      <c r="D74" s="158"/>
      <c r="E74" s="193">
        <v>45785.0</v>
      </c>
      <c r="F74" s="186" t="s">
        <v>90</v>
      </c>
      <c r="G74" s="187">
        <v>0.0</v>
      </c>
      <c r="H74" s="202" t="s">
        <v>81</v>
      </c>
      <c r="I74" s="189">
        <v>102000.0</v>
      </c>
      <c r="J74" s="190">
        <v>1020.0</v>
      </c>
      <c r="K74" s="191">
        <f t="shared" ref="K74:K309" si="4">IF(J74=0,"",IF(H74="USDC",J74,(J74/I74)))</f>
        <v>0.01</v>
      </c>
      <c r="L74" s="192">
        <v>0.0</v>
      </c>
      <c r="M74" s="179">
        <f t="shared" si="3"/>
        <v>3571.159639</v>
      </c>
      <c r="N74" s="176">
        <v>1.0</v>
      </c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</row>
    <row r="75">
      <c r="A75" s="158"/>
      <c r="B75" s="158"/>
      <c r="C75" s="158"/>
      <c r="D75" s="158"/>
      <c r="E75" s="193">
        <v>45785.0</v>
      </c>
      <c r="F75" s="186" t="s">
        <v>90</v>
      </c>
      <c r="G75" s="187">
        <v>0.0</v>
      </c>
      <c r="H75" s="202" t="s">
        <v>81</v>
      </c>
      <c r="I75" s="189">
        <v>102500.0</v>
      </c>
      <c r="J75" s="190">
        <v>1266.14867</v>
      </c>
      <c r="K75" s="194">
        <f t="shared" si="4"/>
        <v>0.01235266995</v>
      </c>
      <c r="L75" s="192">
        <v>0.0</v>
      </c>
      <c r="M75" s="179">
        <f t="shared" si="3"/>
        <v>4837.308309</v>
      </c>
      <c r="N75" s="176">
        <v>0.0</v>
      </c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</row>
    <row r="76">
      <c r="A76" s="158"/>
      <c r="B76" s="158"/>
      <c r="C76" s="158"/>
      <c r="D76" s="158"/>
      <c r="E76" s="193">
        <v>45054.0</v>
      </c>
      <c r="F76" s="186" t="s">
        <v>90</v>
      </c>
      <c r="G76" s="187">
        <v>0.0</v>
      </c>
      <c r="H76" s="202" t="s">
        <v>88</v>
      </c>
      <c r="I76" s="189">
        <v>0.59</v>
      </c>
      <c r="J76" s="190">
        <v>222.551735</v>
      </c>
      <c r="K76" s="195">
        <f t="shared" si="4"/>
        <v>377.2063305</v>
      </c>
      <c r="L76" s="192">
        <v>0.0</v>
      </c>
      <c r="M76" s="179">
        <f t="shared" si="3"/>
        <v>5059.860044</v>
      </c>
      <c r="N76" s="176">
        <v>0.0</v>
      </c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</row>
    <row r="77">
      <c r="A77" s="158"/>
      <c r="B77" s="158"/>
      <c r="C77" s="158"/>
      <c r="D77" s="158"/>
      <c r="E77" s="193">
        <v>45786.0</v>
      </c>
      <c r="F77" s="186" t="s">
        <v>90</v>
      </c>
      <c r="G77" s="187">
        <v>0.0</v>
      </c>
      <c r="H77" s="202" t="s">
        <v>87</v>
      </c>
      <c r="I77" s="189">
        <v>425.0</v>
      </c>
      <c r="J77" s="190">
        <v>425.0</v>
      </c>
      <c r="K77" s="195">
        <f t="shared" si="4"/>
        <v>1</v>
      </c>
      <c r="L77" s="192">
        <v>0.0</v>
      </c>
      <c r="M77" s="179">
        <f t="shared" si="3"/>
        <v>5484.860044</v>
      </c>
      <c r="N77" s="176">
        <v>1.0</v>
      </c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</row>
    <row r="78">
      <c r="A78" s="158"/>
      <c r="B78" s="158"/>
      <c r="C78" s="158"/>
      <c r="D78" s="158"/>
      <c r="E78" s="193">
        <v>45789.0</v>
      </c>
      <c r="F78" s="186" t="s">
        <v>90</v>
      </c>
      <c r="G78" s="187">
        <v>0.0</v>
      </c>
      <c r="H78" s="202" t="s">
        <v>89</v>
      </c>
      <c r="I78" s="189">
        <v>3.25</v>
      </c>
      <c r="J78" s="190">
        <v>246.75</v>
      </c>
      <c r="K78" s="195">
        <f t="shared" si="4"/>
        <v>75.92307692</v>
      </c>
      <c r="L78" s="192">
        <v>0.0</v>
      </c>
      <c r="M78" s="179">
        <f t="shared" si="3"/>
        <v>5731.610044</v>
      </c>
      <c r="N78" s="176">
        <v>0.0</v>
      </c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</row>
    <row r="79">
      <c r="A79" s="158"/>
      <c r="B79" s="158"/>
      <c r="C79" s="158"/>
      <c r="D79" s="158"/>
      <c r="E79" s="193">
        <v>45790.0</v>
      </c>
      <c r="F79" s="186" t="s">
        <v>76</v>
      </c>
      <c r="G79" s="187">
        <v>0.0</v>
      </c>
      <c r="H79" s="202" t="s">
        <v>81</v>
      </c>
      <c r="I79" s="189">
        <v>101000.0</v>
      </c>
      <c r="J79" s="190">
        <v>1500.0</v>
      </c>
      <c r="K79" s="194">
        <f t="shared" si="4"/>
        <v>0.01485148515</v>
      </c>
      <c r="L79" s="192">
        <v>0.0</v>
      </c>
      <c r="M79" s="179">
        <f t="shared" si="3"/>
        <v>4231.610044</v>
      </c>
      <c r="N79" s="176">
        <v>1.0</v>
      </c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</row>
    <row r="80">
      <c r="A80" s="158"/>
      <c r="B80" s="158"/>
      <c r="C80" s="158"/>
      <c r="D80" s="158"/>
      <c r="E80" s="193">
        <v>45808.0</v>
      </c>
      <c r="F80" s="186" t="s">
        <v>76</v>
      </c>
      <c r="G80" s="187">
        <v>0.0</v>
      </c>
      <c r="H80" s="202" t="s">
        <v>87</v>
      </c>
      <c r="I80" s="189">
        <v>380.0</v>
      </c>
      <c r="J80" s="190">
        <v>456.0</v>
      </c>
      <c r="K80" s="199">
        <f t="shared" si="4"/>
        <v>1.2</v>
      </c>
      <c r="L80" s="192">
        <v>0.0</v>
      </c>
      <c r="M80" s="179">
        <f t="shared" si="3"/>
        <v>3775.610044</v>
      </c>
      <c r="N80" s="176">
        <v>1.0</v>
      </c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</row>
    <row r="81">
      <c r="A81" s="158"/>
      <c r="B81" s="158"/>
      <c r="C81" s="158"/>
      <c r="D81" s="158"/>
      <c r="E81" s="193">
        <v>45817.0</v>
      </c>
      <c r="F81" s="186" t="s">
        <v>90</v>
      </c>
      <c r="G81" s="187">
        <v>0.0</v>
      </c>
      <c r="H81" s="202" t="s">
        <v>81</v>
      </c>
      <c r="I81" s="189">
        <v>108500.0</v>
      </c>
      <c r="J81" s="190">
        <v>2154.633145</v>
      </c>
      <c r="K81" s="211">
        <f t="shared" si="4"/>
        <v>0.01985837</v>
      </c>
      <c r="L81" s="192">
        <v>0.0</v>
      </c>
      <c r="M81" s="179">
        <f t="shared" si="3"/>
        <v>5930.243189</v>
      </c>
      <c r="N81" s="176">
        <v>1.0</v>
      </c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</row>
    <row r="82">
      <c r="A82" s="158"/>
      <c r="B82" s="158"/>
      <c r="C82" s="158"/>
      <c r="D82" s="158"/>
      <c r="E82" s="193">
        <v>45817.0</v>
      </c>
      <c r="F82" s="186" t="s">
        <v>90</v>
      </c>
      <c r="G82" s="187">
        <v>0.0</v>
      </c>
      <c r="H82" s="202" t="s">
        <v>81</v>
      </c>
      <c r="I82" s="189">
        <v>110000.0</v>
      </c>
      <c r="J82" s="190">
        <v>2750.0</v>
      </c>
      <c r="K82" s="196">
        <f t="shared" si="4"/>
        <v>0.025</v>
      </c>
      <c r="L82" s="192">
        <v>0.0</v>
      </c>
      <c r="M82" s="179">
        <f>IF(E82="","",IF(G82=0,IF(F82="Invest",M81-J82-L82,M81+J82+10),M81))</f>
        <v>8690.243189</v>
      </c>
      <c r="N82" s="176">
        <v>1.0</v>
      </c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</row>
    <row r="83">
      <c r="A83" s="158"/>
      <c r="B83" s="158"/>
      <c r="C83" s="158"/>
      <c r="D83" s="158"/>
      <c r="E83" s="193">
        <v>45818.0</v>
      </c>
      <c r="F83" s="186" t="s">
        <v>76</v>
      </c>
      <c r="G83" s="187">
        <v>0.0</v>
      </c>
      <c r="H83" s="202" t="s">
        <v>81</v>
      </c>
      <c r="I83" s="189">
        <v>109000.0</v>
      </c>
      <c r="J83" s="190">
        <v>1300.0</v>
      </c>
      <c r="K83" s="200">
        <f t="shared" si="4"/>
        <v>0.0119266055</v>
      </c>
      <c r="L83" s="192">
        <v>0.0</v>
      </c>
      <c r="M83" s="179">
        <f>IF(E83="","",IF(G83=0,IF(F83="Invest",M82-J83-L83,M82+J83),M82))</f>
        <v>7390.243189</v>
      </c>
      <c r="N83" s="176">
        <v>1.0</v>
      </c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</row>
    <row r="84">
      <c r="A84" s="158"/>
      <c r="B84" s="158"/>
      <c r="C84" s="158"/>
      <c r="D84" s="158"/>
      <c r="E84" s="193">
        <v>45831.0</v>
      </c>
      <c r="F84" s="186" t="s">
        <v>76</v>
      </c>
      <c r="G84" s="187">
        <v>0.0</v>
      </c>
      <c r="H84" s="202" t="s">
        <v>96</v>
      </c>
      <c r="I84" s="189">
        <v>225.0</v>
      </c>
      <c r="J84" s="190">
        <v>300.0</v>
      </c>
      <c r="K84" s="191">
        <f t="shared" si="4"/>
        <v>1.333333333</v>
      </c>
      <c r="L84" s="192">
        <v>0.0</v>
      </c>
      <c r="M84" s="179">
        <f>IF(E84="","",IF(G84=0,IF(F84="Invest",M83-J84-L84-99,M83+J84),M83))</f>
        <v>6991.243189</v>
      </c>
      <c r="N84" s="176">
        <v>1.0</v>
      </c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</row>
    <row r="85">
      <c r="A85" s="158"/>
      <c r="B85" s="158"/>
      <c r="C85" s="158"/>
      <c r="D85" s="158"/>
      <c r="E85" s="193">
        <v>45831.0</v>
      </c>
      <c r="F85" s="186" t="s">
        <v>90</v>
      </c>
      <c r="G85" s="187">
        <v>0.0</v>
      </c>
      <c r="H85" s="202" t="s">
        <v>93</v>
      </c>
      <c r="I85" s="189">
        <v>0.35</v>
      </c>
      <c r="J85" s="190">
        <v>140.0</v>
      </c>
      <c r="K85" s="195">
        <f t="shared" si="4"/>
        <v>400</v>
      </c>
      <c r="L85" s="192">
        <v>0.0</v>
      </c>
      <c r="M85" s="179">
        <f t="shared" ref="M85:M142" si="5">IF(E85="","",IF(G85=0,IF(F85="Invest",M84-J85-L85,M84+J85),M84))</f>
        <v>7131.243189</v>
      </c>
      <c r="N85" s="176">
        <v>0.0</v>
      </c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</row>
    <row r="86">
      <c r="A86" s="158"/>
      <c r="B86" s="158"/>
      <c r="C86" s="158"/>
      <c r="D86" s="158"/>
      <c r="E86" s="193">
        <v>45831.0</v>
      </c>
      <c r="F86" s="186" t="s">
        <v>90</v>
      </c>
      <c r="G86" s="187">
        <v>0.0</v>
      </c>
      <c r="H86" s="202" t="s">
        <v>95</v>
      </c>
      <c r="I86" s="204">
        <v>0.0032</v>
      </c>
      <c r="J86" s="190">
        <v>128.0</v>
      </c>
      <c r="K86" s="195">
        <f t="shared" si="4"/>
        <v>40000</v>
      </c>
      <c r="L86" s="192">
        <v>0.0</v>
      </c>
      <c r="M86" s="179">
        <f t="shared" si="5"/>
        <v>7259.243189</v>
      </c>
      <c r="N86" s="176">
        <v>0.0</v>
      </c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</row>
    <row r="87">
      <c r="A87" s="158"/>
      <c r="B87" s="158"/>
      <c r="C87" s="158"/>
      <c r="D87" s="158"/>
      <c r="E87" s="193">
        <v>45831.0</v>
      </c>
      <c r="F87" s="186" t="s">
        <v>90</v>
      </c>
      <c r="G87" s="187">
        <v>0.0</v>
      </c>
      <c r="H87" s="202" t="s">
        <v>102</v>
      </c>
      <c r="I87" s="189">
        <v>1.9</v>
      </c>
      <c r="J87" s="190">
        <v>83.55</v>
      </c>
      <c r="K87" s="199">
        <f t="shared" si="4"/>
        <v>43.97368421</v>
      </c>
      <c r="L87" s="192">
        <v>0.0</v>
      </c>
      <c r="M87" s="179">
        <f t="shared" si="5"/>
        <v>7342.793189</v>
      </c>
      <c r="N87" s="176">
        <v>0.0</v>
      </c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</row>
    <row r="88">
      <c r="A88" s="158"/>
      <c r="B88" s="158"/>
      <c r="C88" s="158"/>
      <c r="D88" s="158"/>
      <c r="E88" s="193">
        <v>45831.0</v>
      </c>
      <c r="F88" s="186" t="s">
        <v>90</v>
      </c>
      <c r="G88" s="187">
        <v>0.0</v>
      </c>
      <c r="H88" s="202" t="s">
        <v>95</v>
      </c>
      <c r="I88" s="204">
        <v>0.0033</v>
      </c>
      <c r="J88" s="190">
        <v>111.49304</v>
      </c>
      <c r="K88" s="195">
        <f t="shared" si="4"/>
        <v>33785.7697</v>
      </c>
      <c r="L88" s="192">
        <v>0.0</v>
      </c>
      <c r="M88" s="179">
        <f t="shared" si="5"/>
        <v>7454.286229</v>
      </c>
      <c r="N88" s="176">
        <v>0.0</v>
      </c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</row>
    <row r="89">
      <c r="A89" s="158"/>
      <c r="B89" s="158"/>
      <c r="C89" s="158"/>
      <c r="D89" s="158"/>
      <c r="E89" s="193">
        <v>45832.0</v>
      </c>
      <c r="F89" s="186" t="s">
        <v>90</v>
      </c>
      <c r="G89" s="187">
        <v>0.0</v>
      </c>
      <c r="H89" s="202" t="s">
        <v>93</v>
      </c>
      <c r="I89" s="189">
        <v>0.375</v>
      </c>
      <c r="J89" s="190">
        <v>159.37524</v>
      </c>
      <c r="K89" s="195">
        <f t="shared" si="4"/>
        <v>425.00064</v>
      </c>
      <c r="L89" s="192">
        <v>0.0</v>
      </c>
      <c r="M89" s="179">
        <f t="shared" si="5"/>
        <v>7613.661469</v>
      </c>
      <c r="N89" s="176">
        <v>0.0</v>
      </c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</row>
    <row r="90">
      <c r="A90" s="158"/>
      <c r="B90" s="158"/>
      <c r="C90" s="158"/>
      <c r="D90" s="158"/>
      <c r="E90" s="193">
        <v>45847.0</v>
      </c>
      <c r="F90" s="186" t="s">
        <v>76</v>
      </c>
      <c r="G90" s="187">
        <v>0.0</v>
      </c>
      <c r="H90" s="202" t="s">
        <v>85</v>
      </c>
      <c r="I90" s="189">
        <v>149.0</v>
      </c>
      <c r="J90" s="190">
        <v>298.0</v>
      </c>
      <c r="K90" s="195">
        <f t="shared" si="4"/>
        <v>2</v>
      </c>
      <c r="L90" s="192">
        <v>0.0</v>
      </c>
      <c r="M90" s="179">
        <f t="shared" si="5"/>
        <v>7315.661469</v>
      </c>
      <c r="N90" s="176">
        <v>1.0</v>
      </c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</row>
    <row r="91">
      <c r="A91" s="158"/>
      <c r="B91" s="158"/>
      <c r="C91" s="158"/>
      <c r="D91" s="158"/>
      <c r="E91" s="193">
        <v>45848.0</v>
      </c>
      <c r="F91" s="186" t="s">
        <v>90</v>
      </c>
      <c r="G91" s="187">
        <v>0.0</v>
      </c>
      <c r="H91" s="202" t="s">
        <v>89</v>
      </c>
      <c r="I91" s="189">
        <v>2.85</v>
      </c>
      <c r="J91" s="190">
        <v>370.0</v>
      </c>
      <c r="K91" s="195">
        <f t="shared" si="4"/>
        <v>129.8245614</v>
      </c>
      <c r="L91" s="192">
        <v>0.0</v>
      </c>
      <c r="M91" s="179">
        <f t="shared" si="5"/>
        <v>7685.661469</v>
      </c>
      <c r="N91" s="176">
        <v>0.0</v>
      </c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</row>
    <row r="92">
      <c r="A92" s="158"/>
      <c r="B92" s="158"/>
      <c r="C92" s="158"/>
      <c r="D92" s="158"/>
      <c r="E92" s="193">
        <v>45849.0</v>
      </c>
      <c r="F92" s="186" t="s">
        <v>90</v>
      </c>
      <c r="G92" s="187">
        <v>0.0</v>
      </c>
      <c r="H92" s="202" t="s">
        <v>81</v>
      </c>
      <c r="I92" s="189">
        <v>118170.0</v>
      </c>
      <c r="J92" s="190">
        <v>473.9999</v>
      </c>
      <c r="K92" s="194">
        <f t="shared" si="4"/>
        <v>0.004011169502</v>
      </c>
      <c r="L92" s="192">
        <v>0.0</v>
      </c>
      <c r="M92" s="179">
        <f t="shared" si="5"/>
        <v>8159.661369</v>
      </c>
      <c r="N92" s="176">
        <v>1.0</v>
      </c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</row>
    <row r="93">
      <c r="A93" s="158"/>
      <c r="B93" s="158"/>
      <c r="C93" s="158"/>
      <c r="D93" s="158"/>
      <c r="E93" s="193">
        <v>45849.0</v>
      </c>
      <c r="F93" s="186" t="s">
        <v>90</v>
      </c>
      <c r="G93" s="187">
        <v>0.0</v>
      </c>
      <c r="H93" s="202" t="s">
        <v>81</v>
      </c>
      <c r="I93" s="189">
        <v>118500.0</v>
      </c>
      <c r="J93" s="190">
        <v>500.000085</v>
      </c>
      <c r="K93" s="194">
        <f t="shared" si="4"/>
        <v>0.00421941</v>
      </c>
      <c r="L93" s="192">
        <v>0.0</v>
      </c>
      <c r="M93" s="179">
        <f t="shared" si="5"/>
        <v>8659.661454</v>
      </c>
      <c r="N93" s="176">
        <v>1.0</v>
      </c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</row>
    <row r="94">
      <c r="A94" s="158"/>
      <c r="B94" s="158"/>
      <c r="C94" s="158"/>
      <c r="D94" s="158"/>
      <c r="E94" s="197">
        <v>45850.0</v>
      </c>
      <c r="F94" s="186" t="s">
        <v>90</v>
      </c>
      <c r="G94" s="187">
        <v>0.0</v>
      </c>
      <c r="H94" s="202" t="s">
        <v>81</v>
      </c>
      <c r="I94" s="212">
        <v>118850.0</v>
      </c>
      <c r="J94" s="190">
        <v>329.145567</v>
      </c>
      <c r="K94" s="194">
        <f t="shared" si="4"/>
        <v>0.00276942</v>
      </c>
      <c r="L94" s="192">
        <v>0.0</v>
      </c>
      <c r="M94" s="179">
        <f t="shared" si="5"/>
        <v>8988.807021</v>
      </c>
      <c r="N94" s="176">
        <v>1.0</v>
      </c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</row>
    <row r="95">
      <c r="A95" s="158"/>
      <c r="B95" s="158"/>
      <c r="C95" s="158"/>
      <c r="D95" s="158"/>
      <c r="E95" s="193">
        <v>45852.0</v>
      </c>
      <c r="F95" s="186" t="s">
        <v>76</v>
      </c>
      <c r="G95" s="187">
        <v>0.0</v>
      </c>
      <c r="H95" s="202" t="s">
        <v>81</v>
      </c>
      <c r="I95" s="212">
        <v>121000.0</v>
      </c>
      <c r="J95" s="190">
        <v>1000.0</v>
      </c>
      <c r="K95" s="196">
        <f t="shared" si="4"/>
        <v>0.00826446281</v>
      </c>
      <c r="L95" s="192">
        <v>0.0</v>
      </c>
      <c r="M95" s="179">
        <f t="shared" si="5"/>
        <v>7988.807021</v>
      </c>
      <c r="N95" s="176">
        <v>0.0</v>
      </c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</row>
    <row r="96">
      <c r="A96" s="158"/>
      <c r="B96" s="158"/>
      <c r="C96" s="158"/>
      <c r="D96" s="158"/>
      <c r="E96" s="193">
        <v>45852.0</v>
      </c>
      <c r="F96" s="186" t="s">
        <v>76</v>
      </c>
      <c r="G96" s="187">
        <v>0.0</v>
      </c>
      <c r="H96" s="202" t="s">
        <v>91</v>
      </c>
      <c r="I96" s="213">
        <v>0.195</v>
      </c>
      <c r="J96" s="190">
        <v>199.875</v>
      </c>
      <c r="K96" s="195">
        <f t="shared" si="4"/>
        <v>1025</v>
      </c>
      <c r="L96" s="192">
        <v>0.0</v>
      </c>
      <c r="M96" s="179">
        <f t="shared" si="5"/>
        <v>7788.932021</v>
      </c>
      <c r="N96" s="176">
        <v>1.0</v>
      </c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</row>
    <row r="97">
      <c r="A97" s="158"/>
      <c r="B97" s="158"/>
      <c r="C97" s="158"/>
      <c r="D97" s="158"/>
      <c r="E97" s="193">
        <v>45852.0</v>
      </c>
      <c r="F97" s="186" t="s">
        <v>76</v>
      </c>
      <c r="G97" s="187">
        <v>0.0</v>
      </c>
      <c r="H97" s="202" t="s">
        <v>85</v>
      </c>
      <c r="I97" s="212">
        <v>161.0</v>
      </c>
      <c r="J97" s="190">
        <v>286.0</v>
      </c>
      <c r="K97" s="191">
        <f t="shared" si="4"/>
        <v>1.776397516</v>
      </c>
      <c r="L97" s="192">
        <v>0.0</v>
      </c>
      <c r="M97" s="179">
        <f t="shared" si="5"/>
        <v>7502.932021</v>
      </c>
      <c r="N97" s="176">
        <v>1.0</v>
      </c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</row>
    <row r="98">
      <c r="A98" s="158"/>
      <c r="B98" s="158"/>
      <c r="C98" s="158"/>
      <c r="D98" s="158"/>
      <c r="E98" s="193">
        <v>45852.0</v>
      </c>
      <c r="F98" s="186" t="s">
        <v>76</v>
      </c>
      <c r="G98" s="187">
        <v>0.0</v>
      </c>
      <c r="H98" s="202" t="s">
        <v>81</v>
      </c>
      <c r="I98" s="212">
        <v>116700.0</v>
      </c>
      <c r="J98" s="190">
        <v>200.0</v>
      </c>
      <c r="K98" s="194">
        <f t="shared" si="4"/>
        <v>0.001713796058</v>
      </c>
      <c r="L98" s="192">
        <v>0.0</v>
      </c>
      <c r="M98" s="179">
        <f t="shared" si="5"/>
        <v>7302.932021</v>
      </c>
      <c r="N98" s="176">
        <v>1.0</v>
      </c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</row>
    <row r="99">
      <c r="A99" s="158"/>
      <c r="B99" s="158"/>
      <c r="C99" s="158"/>
      <c r="D99" s="158"/>
      <c r="E99" s="193">
        <v>45853.0</v>
      </c>
      <c r="F99" s="186" t="s">
        <v>76</v>
      </c>
      <c r="G99" s="187">
        <v>0.0</v>
      </c>
      <c r="H99" s="202" t="s">
        <v>81</v>
      </c>
      <c r="I99" s="212">
        <v>116500.0</v>
      </c>
      <c r="J99" s="190">
        <v>300.0</v>
      </c>
      <c r="K99" s="194">
        <f t="shared" si="4"/>
        <v>0.002575107296</v>
      </c>
      <c r="L99" s="192">
        <v>0.0</v>
      </c>
      <c r="M99" s="179">
        <f t="shared" si="5"/>
        <v>7002.932021</v>
      </c>
      <c r="N99" s="176">
        <v>1.0</v>
      </c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</row>
    <row r="100">
      <c r="A100" s="158"/>
      <c r="B100" s="158"/>
      <c r="C100" s="158"/>
      <c r="D100" s="158"/>
      <c r="E100" s="193">
        <v>45854.0</v>
      </c>
      <c r="F100" s="186" t="s">
        <v>76</v>
      </c>
      <c r="G100" s="187">
        <v>0.0</v>
      </c>
      <c r="H100" s="202" t="s">
        <v>81</v>
      </c>
      <c r="I100" s="212">
        <v>116000.0</v>
      </c>
      <c r="J100" s="190">
        <v>500.0</v>
      </c>
      <c r="K100" s="194">
        <f t="shared" si="4"/>
        <v>0.004310344828</v>
      </c>
      <c r="L100" s="192">
        <v>0.0</v>
      </c>
      <c r="M100" s="179">
        <f t="shared" si="5"/>
        <v>6502.932021</v>
      </c>
      <c r="N100" s="176">
        <v>1.0</v>
      </c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</row>
    <row r="101">
      <c r="A101" s="158"/>
      <c r="B101" s="158"/>
      <c r="C101" s="158"/>
      <c r="D101" s="158"/>
      <c r="E101" s="193">
        <v>45856.0</v>
      </c>
      <c r="F101" s="186" t="s">
        <v>90</v>
      </c>
      <c r="G101" s="187">
        <v>0.0</v>
      </c>
      <c r="H101" s="202" t="s">
        <v>83</v>
      </c>
      <c r="I101" s="212">
        <v>3575.0</v>
      </c>
      <c r="J101" s="190">
        <v>250.00000025</v>
      </c>
      <c r="K101" s="200">
        <f t="shared" si="4"/>
        <v>0.06993007</v>
      </c>
      <c r="L101" s="192">
        <v>0.0</v>
      </c>
      <c r="M101" s="179">
        <f t="shared" si="5"/>
        <v>6752.932021</v>
      </c>
      <c r="N101" s="176">
        <v>1.0</v>
      </c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</row>
    <row r="102">
      <c r="A102" s="158"/>
      <c r="B102" s="158"/>
      <c r="C102" s="158"/>
      <c r="D102" s="158"/>
      <c r="E102" s="193">
        <v>45856.0</v>
      </c>
      <c r="F102" s="186" t="s">
        <v>90</v>
      </c>
      <c r="G102" s="187">
        <v>0.0</v>
      </c>
      <c r="H102" s="202" t="s">
        <v>83</v>
      </c>
      <c r="I102" s="212">
        <v>3630.0</v>
      </c>
      <c r="J102" s="190">
        <v>250.00000025</v>
      </c>
      <c r="K102" s="200">
        <f t="shared" si="4"/>
        <v>0.06887052348</v>
      </c>
      <c r="L102" s="192">
        <v>0.0</v>
      </c>
      <c r="M102" s="179">
        <f t="shared" si="5"/>
        <v>7002.932022</v>
      </c>
      <c r="N102" s="176">
        <v>1.0</v>
      </c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</row>
    <row r="103">
      <c r="A103" s="158"/>
      <c r="B103" s="158"/>
      <c r="C103" s="158"/>
      <c r="D103" s="158"/>
      <c r="E103" s="193">
        <v>45857.0</v>
      </c>
      <c r="F103" s="186" t="s">
        <v>90</v>
      </c>
      <c r="G103" s="187">
        <v>0.0</v>
      </c>
      <c r="H103" s="202" t="s">
        <v>83</v>
      </c>
      <c r="I103" s="212">
        <v>3685.0</v>
      </c>
      <c r="J103" s="190">
        <v>278.014825</v>
      </c>
      <c r="K103" s="200">
        <f t="shared" si="4"/>
        <v>0.075445</v>
      </c>
      <c r="L103" s="192">
        <v>0.0</v>
      </c>
      <c r="M103" s="179">
        <f t="shared" si="5"/>
        <v>7280.946847</v>
      </c>
      <c r="N103" s="176">
        <v>1.0</v>
      </c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</row>
    <row r="104">
      <c r="A104" s="158"/>
      <c r="B104" s="158"/>
      <c r="C104" s="158"/>
      <c r="D104" s="158"/>
      <c r="E104" s="193">
        <v>45858.0</v>
      </c>
      <c r="F104" s="186" t="s">
        <v>90</v>
      </c>
      <c r="G104" s="187">
        <v>0.0</v>
      </c>
      <c r="H104" s="202" t="s">
        <v>83</v>
      </c>
      <c r="I104" s="212">
        <v>3700.0</v>
      </c>
      <c r="J104" s="190">
        <v>296.0</v>
      </c>
      <c r="K104" s="200">
        <f t="shared" si="4"/>
        <v>0.08</v>
      </c>
      <c r="L104" s="192">
        <v>0.0</v>
      </c>
      <c r="M104" s="179">
        <f t="shared" si="5"/>
        <v>7576.946847</v>
      </c>
      <c r="N104" s="176">
        <v>1.0</v>
      </c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</row>
    <row r="105">
      <c r="A105" s="158"/>
      <c r="B105" s="158"/>
      <c r="C105" s="158"/>
      <c r="D105" s="158"/>
      <c r="E105" s="193">
        <v>45858.0</v>
      </c>
      <c r="F105" s="186" t="s">
        <v>90</v>
      </c>
      <c r="G105" s="187">
        <v>0.0</v>
      </c>
      <c r="H105" s="202" t="s">
        <v>83</v>
      </c>
      <c r="I105" s="212">
        <v>3730.0</v>
      </c>
      <c r="J105" s="190">
        <v>249.91</v>
      </c>
      <c r="K105" s="200">
        <f t="shared" si="4"/>
        <v>0.067</v>
      </c>
      <c r="L105" s="192">
        <v>0.0</v>
      </c>
      <c r="M105" s="179">
        <f t="shared" si="5"/>
        <v>7826.856847</v>
      </c>
      <c r="N105" s="176">
        <v>1.0</v>
      </c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</row>
    <row r="106">
      <c r="A106" s="158"/>
      <c r="B106" s="158"/>
      <c r="C106" s="158"/>
      <c r="D106" s="158"/>
      <c r="E106" s="193">
        <v>45858.0</v>
      </c>
      <c r="F106" s="186" t="s">
        <v>90</v>
      </c>
      <c r="G106" s="187">
        <v>0.0</v>
      </c>
      <c r="H106" s="202" t="s">
        <v>83</v>
      </c>
      <c r="I106" s="212">
        <v>3750.0</v>
      </c>
      <c r="J106" s="190">
        <v>375.0</v>
      </c>
      <c r="K106" s="200">
        <f t="shared" si="4"/>
        <v>0.1</v>
      </c>
      <c r="L106" s="192">
        <v>0.0</v>
      </c>
      <c r="M106" s="179">
        <f t="shared" si="5"/>
        <v>8201.856847</v>
      </c>
      <c r="N106" s="176">
        <v>1.0</v>
      </c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</row>
    <row r="107">
      <c r="A107" s="158"/>
      <c r="B107" s="158"/>
      <c r="C107" s="158"/>
      <c r="D107" s="158"/>
      <c r="E107" s="193">
        <v>45858.0</v>
      </c>
      <c r="F107" s="186" t="s">
        <v>90</v>
      </c>
      <c r="G107" s="187">
        <v>0.0</v>
      </c>
      <c r="H107" s="202" t="s">
        <v>83</v>
      </c>
      <c r="I107" s="212">
        <v>3780.0</v>
      </c>
      <c r="J107" s="190">
        <v>167.0737</v>
      </c>
      <c r="K107" s="200">
        <f t="shared" si="4"/>
        <v>0.04419939153</v>
      </c>
      <c r="L107" s="192">
        <v>0.0</v>
      </c>
      <c r="M107" s="179">
        <f t="shared" si="5"/>
        <v>8368.930547</v>
      </c>
      <c r="N107" s="176">
        <v>1.0</v>
      </c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</row>
    <row r="108">
      <c r="A108" s="158"/>
      <c r="B108" s="158"/>
      <c r="C108" s="158"/>
      <c r="D108" s="158"/>
      <c r="E108" s="193">
        <v>45859.0</v>
      </c>
      <c r="F108" s="186" t="s">
        <v>90</v>
      </c>
      <c r="G108" s="187">
        <v>0.0</v>
      </c>
      <c r="H108" s="202" t="s">
        <v>83</v>
      </c>
      <c r="I108" s="212">
        <v>3800.0</v>
      </c>
      <c r="J108" s="190">
        <v>380.0</v>
      </c>
      <c r="K108" s="200">
        <f t="shared" si="4"/>
        <v>0.1</v>
      </c>
      <c r="L108" s="192">
        <v>0.0</v>
      </c>
      <c r="M108" s="179">
        <f t="shared" si="5"/>
        <v>8748.930547</v>
      </c>
      <c r="N108" s="176">
        <v>1.0</v>
      </c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</row>
    <row r="109">
      <c r="A109" s="158"/>
      <c r="B109" s="158"/>
      <c r="C109" s="158"/>
      <c r="D109" s="158"/>
      <c r="E109" s="193">
        <v>45860.0</v>
      </c>
      <c r="F109" s="186" t="s">
        <v>90</v>
      </c>
      <c r="G109" s="212">
        <v>0.0</v>
      </c>
      <c r="H109" s="202" t="s">
        <v>85</v>
      </c>
      <c r="I109" s="212">
        <v>200.0</v>
      </c>
      <c r="J109" s="212">
        <v>512.518388</v>
      </c>
      <c r="K109" s="200">
        <f t="shared" si="4"/>
        <v>2.56259194</v>
      </c>
      <c r="L109" s="192">
        <v>0.0</v>
      </c>
      <c r="M109" s="179">
        <f t="shared" si="5"/>
        <v>9261.448935</v>
      </c>
      <c r="N109" s="176">
        <v>1.0</v>
      </c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</row>
    <row r="110">
      <c r="A110" s="158"/>
      <c r="B110" s="158"/>
      <c r="C110" s="158"/>
      <c r="D110" s="158"/>
      <c r="E110" s="193">
        <v>45861.0</v>
      </c>
      <c r="F110" s="186" t="s">
        <v>76</v>
      </c>
      <c r="G110" s="212">
        <v>0.0</v>
      </c>
      <c r="H110" s="202" t="s">
        <v>96</v>
      </c>
      <c r="I110" s="212">
        <v>300.0</v>
      </c>
      <c r="J110" s="212">
        <v>450.0</v>
      </c>
      <c r="K110" s="199">
        <f t="shared" si="4"/>
        <v>1.5</v>
      </c>
      <c r="L110" s="192">
        <v>0.0</v>
      </c>
      <c r="M110" s="179">
        <f t="shared" si="5"/>
        <v>8811.448935</v>
      </c>
      <c r="N110" s="176">
        <v>0.0</v>
      </c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</row>
    <row r="111">
      <c r="A111" s="158"/>
      <c r="B111" s="158"/>
      <c r="C111" s="158"/>
      <c r="D111" s="158"/>
      <c r="E111" s="197">
        <v>45863.0</v>
      </c>
      <c r="F111" s="186" t="s">
        <v>76</v>
      </c>
      <c r="G111" s="212">
        <v>0.0</v>
      </c>
      <c r="H111" s="202" t="s">
        <v>81</v>
      </c>
      <c r="I111" s="212">
        <v>115000.0</v>
      </c>
      <c r="J111" s="212">
        <v>200.0</v>
      </c>
      <c r="K111" s="211">
        <f t="shared" si="4"/>
        <v>0.001739130435</v>
      </c>
      <c r="L111" s="192">
        <v>0.0</v>
      </c>
      <c r="M111" s="179">
        <f t="shared" si="5"/>
        <v>8611.448935</v>
      </c>
      <c r="N111" s="176">
        <v>1.0</v>
      </c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</row>
    <row r="112">
      <c r="A112" s="158"/>
      <c r="B112" s="158"/>
      <c r="C112" s="158"/>
      <c r="D112" s="158"/>
      <c r="E112" s="193">
        <v>45867.0</v>
      </c>
      <c r="F112" s="186" t="s">
        <v>76</v>
      </c>
      <c r="G112" s="212">
        <v>0.0</v>
      </c>
      <c r="H112" s="202" t="s">
        <v>87</v>
      </c>
      <c r="I112" s="212">
        <v>400.0</v>
      </c>
      <c r="J112" s="212">
        <v>200.0</v>
      </c>
      <c r="K112" s="196">
        <f t="shared" si="4"/>
        <v>0.5</v>
      </c>
      <c r="L112" s="192">
        <v>0.0</v>
      </c>
      <c r="M112" s="179">
        <f t="shared" si="5"/>
        <v>8411.448935</v>
      </c>
      <c r="N112" s="176">
        <v>1.0</v>
      </c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</row>
    <row r="113">
      <c r="A113" s="158"/>
      <c r="B113" s="158"/>
      <c r="C113" s="158"/>
      <c r="D113" s="158"/>
      <c r="E113" s="193">
        <v>45868.0</v>
      </c>
      <c r="F113" s="186" t="s">
        <v>76</v>
      </c>
      <c r="G113" s="212">
        <v>0.0</v>
      </c>
      <c r="H113" s="202" t="s">
        <v>87</v>
      </c>
      <c r="I113" s="212">
        <v>395.0</v>
      </c>
      <c r="J113" s="212">
        <v>308.1</v>
      </c>
      <c r="K113" s="196">
        <f t="shared" si="4"/>
        <v>0.78</v>
      </c>
      <c r="L113" s="192">
        <v>0.0</v>
      </c>
      <c r="M113" s="179">
        <f t="shared" si="5"/>
        <v>8103.348935</v>
      </c>
      <c r="N113" s="176">
        <v>1.0</v>
      </c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</row>
    <row r="114">
      <c r="A114" s="158"/>
      <c r="B114" s="158"/>
      <c r="C114" s="158"/>
      <c r="D114" s="158"/>
      <c r="E114" s="193">
        <v>45869.0</v>
      </c>
      <c r="F114" s="186" t="s">
        <v>76</v>
      </c>
      <c r="G114" s="212">
        <v>0.0</v>
      </c>
      <c r="H114" s="202" t="s">
        <v>96</v>
      </c>
      <c r="I114" s="212">
        <v>270.0</v>
      </c>
      <c r="J114" s="212">
        <v>48.6</v>
      </c>
      <c r="K114" s="196">
        <f t="shared" si="4"/>
        <v>0.18</v>
      </c>
      <c r="L114" s="192">
        <v>0.0</v>
      </c>
      <c r="M114" s="179">
        <f t="shared" si="5"/>
        <v>8054.748935</v>
      </c>
      <c r="N114" s="176">
        <v>1.0</v>
      </c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</row>
    <row r="115">
      <c r="A115" s="158"/>
      <c r="B115" s="158"/>
      <c r="C115" s="158"/>
      <c r="D115" s="158"/>
      <c r="E115" s="193">
        <v>45869.0</v>
      </c>
      <c r="F115" s="186" t="s">
        <v>76</v>
      </c>
      <c r="G115" s="212">
        <v>0.0</v>
      </c>
      <c r="H115" s="202" t="s">
        <v>87</v>
      </c>
      <c r="I115" s="212">
        <v>370.0</v>
      </c>
      <c r="J115" s="212">
        <v>99.9</v>
      </c>
      <c r="K115" s="196">
        <f t="shared" si="4"/>
        <v>0.27</v>
      </c>
      <c r="L115" s="192">
        <v>0.0</v>
      </c>
      <c r="M115" s="179">
        <f t="shared" si="5"/>
        <v>7954.848935</v>
      </c>
      <c r="N115" s="176">
        <v>1.0</v>
      </c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</row>
    <row r="116">
      <c r="A116" s="158"/>
      <c r="B116" s="158"/>
      <c r="C116" s="158"/>
      <c r="D116" s="158"/>
      <c r="E116" s="193">
        <v>45869.0</v>
      </c>
      <c r="F116" s="186" t="s">
        <v>76</v>
      </c>
      <c r="G116" s="212">
        <v>0.0</v>
      </c>
      <c r="H116" s="202" t="s">
        <v>96</v>
      </c>
      <c r="I116" s="212">
        <v>260.0</v>
      </c>
      <c r="J116" s="212">
        <v>148.2</v>
      </c>
      <c r="K116" s="196">
        <f t="shared" si="4"/>
        <v>0.57</v>
      </c>
      <c r="L116" s="192">
        <v>0.0</v>
      </c>
      <c r="M116" s="179">
        <f t="shared" si="5"/>
        <v>7806.648935</v>
      </c>
      <c r="N116" s="176">
        <v>1.0</v>
      </c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</row>
    <row r="117">
      <c r="A117" s="158"/>
      <c r="B117" s="158"/>
      <c r="C117" s="158"/>
      <c r="D117" s="158"/>
      <c r="E117" s="193">
        <v>45870.0</v>
      </c>
      <c r="F117" s="186" t="s">
        <v>76</v>
      </c>
      <c r="G117" s="212">
        <v>0.0</v>
      </c>
      <c r="H117" s="202" t="s">
        <v>81</v>
      </c>
      <c r="I117" s="212">
        <v>114500.0</v>
      </c>
      <c r="J117" s="212">
        <v>300.0</v>
      </c>
      <c r="K117" s="196">
        <f t="shared" si="4"/>
        <v>0.002620087336</v>
      </c>
      <c r="L117" s="192">
        <v>0.0</v>
      </c>
      <c r="M117" s="179">
        <f t="shared" si="5"/>
        <v>7506.648935</v>
      </c>
      <c r="N117" s="176">
        <v>1.0</v>
      </c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</row>
    <row r="118">
      <c r="A118" s="158"/>
      <c r="B118" s="158"/>
      <c r="C118" s="158"/>
      <c r="D118" s="158"/>
      <c r="E118" s="193">
        <v>45871.0</v>
      </c>
      <c r="F118" s="186" t="s">
        <v>76</v>
      </c>
      <c r="G118" s="212">
        <v>0.0</v>
      </c>
      <c r="H118" s="202" t="s">
        <v>85</v>
      </c>
      <c r="I118" s="212">
        <v>161.0</v>
      </c>
      <c r="J118" s="212">
        <v>299.46</v>
      </c>
      <c r="K118" s="196">
        <f t="shared" si="4"/>
        <v>1.86</v>
      </c>
      <c r="L118" s="192">
        <v>0.0</v>
      </c>
      <c r="M118" s="179">
        <f t="shared" si="5"/>
        <v>7207.188935</v>
      </c>
      <c r="N118" s="176">
        <v>1.0</v>
      </c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</row>
    <row r="119">
      <c r="A119" s="158"/>
      <c r="B119" s="158"/>
      <c r="C119" s="158"/>
      <c r="D119" s="158"/>
      <c r="E119" s="193">
        <v>45875.0</v>
      </c>
      <c r="F119" s="186" t="s">
        <v>76</v>
      </c>
      <c r="G119" s="212">
        <v>0.0</v>
      </c>
      <c r="H119" s="202" t="s">
        <v>96</v>
      </c>
      <c r="I119" s="212">
        <v>249.0</v>
      </c>
      <c r="J119" s="212">
        <v>134.46</v>
      </c>
      <c r="K119" s="196">
        <f t="shared" si="4"/>
        <v>0.54</v>
      </c>
      <c r="L119" s="192">
        <v>0.0</v>
      </c>
      <c r="M119" s="179">
        <f t="shared" si="5"/>
        <v>7072.728935</v>
      </c>
      <c r="N119" s="176">
        <v>1.0</v>
      </c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</row>
    <row r="120">
      <c r="A120" s="158"/>
      <c r="B120" s="158"/>
      <c r="C120" s="158"/>
      <c r="D120" s="158"/>
      <c r="E120" s="193">
        <v>45876.0</v>
      </c>
      <c r="F120" s="186" t="s">
        <v>90</v>
      </c>
      <c r="G120" s="212">
        <v>0.0</v>
      </c>
      <c r="H120" s="202" t="s">
        <v>81</v>
      </c>
      <c r="I120" s="212">
        <v>116500.0</v>
      </c>
      <c r="J120" s="212">
        <v>1165.0</v>
      </c>
      <c r="K120" s="196">
        <f t="shared" si="4"/>
        <v>0.01</v>
      </c>
      <c r="L120" s="192">
        <v>0.0</v>
      </c>
      <c r="M120" s="179">
        <f t="shared" si="5"/>
        <v>8237.728935</v>
      </c>
      <c r="N120" s="176">
        <v>1.0</v>
      </c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</row>
    <row r="121">
      <c r="A121" s="158"/>
      <c r="B121" s="158"/>
      <c r="C121" s="158"/>
      <c r="D121" s="158"/>
      <c r="E121" s="193">
        <v>45876.0</v>
      </c>
      <c r="F121" s="186" t="s">
        <v>90</v>
      </c>
      <c r="G121" s="212">
        <v>0.0</v>
      </c>
      <c r="H121" s="202" t="s">
        <v>83</v>
      </c>
      <c r="I121" s="212">
        <v>3850.0</v>
      </c>
      <c r="J121" s="212">
        <v>1155.0</v>
      </c>
      <c r="K121" s="196">
        <f t="shared" si="4"/>
        <v>0.3</v>
      </c>
      <c r="L121" s="192">
        <v>0.0</v>
      </c>
      <c r="M121" s="179">
        <f t="shared" si="5"/>
        <v>9392.728935</v>
      </c>
      <c r="N121" s="176">
        <v>1.0</v>
      </c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</row>
    <row r="122">
      <c r="A122" s="158"/>
      <c r="B122" s="158"/>
      <c r="C122" s="158"/>
      <c r="D122" s="158"/>
      <c r="E122" s="193">
        <v>45877.0</v>
      </c>
      <c r="F122" s="186" t="s">
        <v>90</v>
      </c>
      <c r="G122" s="212">
        <v>0.0</v>
      </c>
      <c r="H122" s="202" t="s">
        <v>83</v>
      </c>
      <c r="I122" s="212">
        <v>3950.0</v>
      </c>
      <c r="J122" s="212">
        <v>1185.0</v>
      </c>
      <c r="K122" s="196">
        <f t="shared" si="4"/>
        <v>0.3</v>
      </c>
      <c r="L122" s="192">
        <v>0.0</v>
      </c>
      <c r="M122" s="179">
        <f t="shared" si="5"/>
        <v>10577.72893</v>
      </c>
      <c r="N122" s="176">
        <v>1.0</v>
      </c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</row>
    <row r="123">
      <c r="A123" s="158"/>
      <c r="B123" s="158"/>
      <c r="C123" s="158"/>
      <c r="D123" s="158"/>
      <c r="E123" s="193">
        <v>45877.0</v>
      </c>
      <c r="F123" s="186" t="s">
        <v>90</v>
      </c>
      <c r="G123" s="212">
        <v>0.0</v>
      </c>
      <c r="H123" s="202" t="s">
        <v>83</v>
      </c>
      <c r="I123" s="212">
        <v>3985.0</v>
      </c>
      <c r="J123" s="212">
        <v>278.9521519</v>
      </c>
      <c r="K123" s="196">
        <f t="shared" si="4"/>
        <v>0.07000054</v>
      </c>
      <c r="L123" s="192">
        <v>0.0</v>
      </c>
      <c r="M123" s="179">
        <f t="shared" si="5"/>
        <v>10856.68109</v>
      </c>
      <c r="N123" s="176">
        <v>1.0</v>
      </c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</row>
    <row r="124">
      <c r="A124" s="158"/>
      <c r="B124" s="158"/>
      <c r="C124" s="158"/>
      <c r="D124" s="158"/>
      <c r="E124" s="193">
        <v>45878.0</v>
      </c>
      <c r="F124" s="186" t="s">
        <v>90</v>
      </c>
      <c r="G124" s="212">
        <v>0.0</v>
      </c>
      <c r="H124" s="202" t="s">
        <v>81</v>
      </c>
      <c r="I124" s="212">
        <v>117750.0</v>
      </c>
      <c r="J124" s="212">
        <v>1413.007065</v>
      </c>
      <c r="K124" s="196">
        <f t="shared" si="4"/>
        <v>0.01200006</v>
      </c>
      <c r="L124" s="192">
        <v>0.0</v>
      </c>
      <c r="M124" s="179">
        <f t="shared" si="5"/>
        <v>12269.68815</v>
      </c>
      <c r="N124" s="176">
        <v>1.0</v>
      </c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</row>
    <row r="125">
      <c r="A125" s="158"/>
      <c r="B125" s="158"/>
      <c r="C125" s="158"/>
      <c r="D125" s="158"/>
      <c r="E125" s="193">
        <v>45879.0</v>
      </c>
      <c r="F125" s="186" t="s">
        <v>90</v>
      </c>
      <c r="G125" s="212">
        <v>0.0</v>
      </c>
      <c r="H125" s="202" t="s">
        <v>81</v>
      </c>
      <c r="I125" s="212">
        <v>118850.0</v>
      </c>
      <c r="J125" s="212">
        <v>1188.5</v>
      </c>
      <c r="K125" s="196">
        <f t="shared" si="4"/>
        <v>0.01</v>
      </c>
      <c r="L125" s="192">
        <v>0.0</v>
      </c>
      <c r="M125" s="179">
        <f t="shared" si="5"/>
        <v>13458.18815</v>
      </c>
      <c r="N125" s="176">
        <v>1.0</v>
      </c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</row>
    <row r="126">
      <c r="A126" s="158"/>
      <c r="B126" s="158"/>
      <c r="C126" s="158"/>
      <c r="D126" s="158"/>
      <c r="E126" s="193">
        <v>45880.0</v>
      </c>
      <c r="F126" s="186" t="s">
        <v>90</v>
      </c>
      <c r="G126" s="212">
        <v>0.0</v>
      </c>
      <c r="H126" s="202" t="s">
        <v>81</v>
      </c>
      <c r="I126" s="212">
        <v>120000.0</v>
      </c>
      <c r="J126" s="212">
        <v>1800.0</v>
      </c>
      <c r="K126" s="194">
        <f t="shared" si="4"/>
        <v>0.015</v>
      </c>
      <c r="L126" s="192">
        <v>0.0</v>
      </c>
      <c r="M126" s="179">
        <f t="shared" si="5"/>
        <v>15258.18815</v>
      </c>
      <c r="N126" s="176">
        <v>1.0</v>
      </c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</row>
    <row r="127">
      <c r="A127" s="158"/>
      <c r="B127" s="158"/>
      <c r="C127" s="158"/>
      <c r="D127" s="158"/>
      <c r="E127" s="193">
        <v>45880.0</v>
      </c>
      <c r="F127" s="186" t="s">
        <v>76</v>
      </c>
      <c r="G127" s="212">
        <v>0.0</v>
      </c>
      <c r="H127" s="202" t="s">
        <v>81</v>
      </c>
      <c r="I127" s="212">
        <v>120000.0</v>
      </c>
      <c r="J127" s="212">
        <v>180.0</v>
      </c>
      <c r="K127" s="194">
        <f t="shared" si="4"/>
        <v>0.0015</v>
      </c>
      <c r="L127" s="192">
        <v>0.0</v>
      </c>
      <c r="M127" s="179">
        <f t="shared" si="5"/>
        <v>15078.18815</v>
      </c>
      <c r="N127" s="176">
        <v>1.0</v>
      </c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</row>
    <row r="128">
      <c r="A128" s="158"/>
      <c r="B128" s="158"/>
      <c r="C128" s="158"/>
      <c r="D128" s="158"/>
      <c r="E128" s="193">
        <v>45880.0</v>
      </c>
      <c r="F128" s="186" t="s">
        <v>76</v>
      </c>
      <c r="G128" s="212">
        <v>0.0</v>
      </c>
      <c r="H128" s="202" t="s">
        <v>81</v>
      </c>
      <c r="I128" s="212">
        <v>119500.0</v>
      </c>
      <c r="J128" s="212">
        <v>597.57</v>
      </c>
      <c r="K128" s="194">
        <f t="shared" si="4"/>
        <v>0.005000585774</v>
      </c>
      <c r="L128" s="192">
        <v>0.0</v>
      </c>
      <c r="M128" s="179">
        <f t="shared" si="5"/>
        <v>14480.61815</v>
      </c>
      <c r="N128" s="176">
        <v>1.0</v>
      </c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</row>
    <row r="129">
      <c r="A129" s="158"/>
      <c r="B129" s="158"/>
      <c r="C129" s="158"/>
      <c r="D129" s="158"/>
      <c r="E129" s="193">
        <v>45881.0</v>
      </c>
      <c r="F129" s="186" t="s">
        <v>76</v>
      </c>
      <c r="G129" s="212">
        <v>0.0</v>
      </c>
      <c r="H129" s="202" t="s">
        <v>81</v>
      </c>
      <c r="I129" s="212">
        <v>118750.0</v>
      </c>
      <c r="J129" s="212">
        <v>445.0</v>
      </c>
      <c r="K129" s="194">
        <f t="shared" si="4"/>
        <v>0.003747368421</v>
      </c>
      <c r="L129" s="192">
        <v>0.0</v>
      </c>
      <c r="M129" s="179">
        <f t="shared" si="5"/>
        <v>14035.61815</v>
      </c>
      <c r="N129" s="176">
        <v>1.0</v>
      </c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</row>
    <row r="130">
      <c r="A130" s="158"/>
      <c r="B130" s="158"/>
      <c r="C130" s="158"/>
      <c r="D130" s="158"/>
      <c r="E130" s="193">
        <v>45882.0</v>
      </c>
      <c r="F130" s="186" t="s">
        <v>90</v>
      </c>
      <c r="G130" s="212">
        <v>0.0</v>
      </c>
      <c r="H130" s="202" t="s">
        <v>83</v>
      </c>
      <c r="I130" s="212">
        <v>4710.0</v>
      </c>
      <c r="J130" s="212">
        <v>989.1</v>
      </c>
      <c r="K130" s="194">
        <f t="shared" si="4"/>
        <v>0.21</v>
      </c>
      <c r="L130" s="192">
        <v>0.0</v>
      </c>
      <c r="M130" s="179">
        <f t="shared" si="5"/>
        <v>15024.71815</v>
      </c>
      <c r="N130" s="176">
        <v>1.0</v>
      </c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</row>
    <row r="131">
      <c r="A131" s="158"/>
      <c r="B131" s="158"/>
      <c r="C131" s="158"/>
      <c r="D131" s="158"/>
      <c r="E131" s="193">
        <v>45882.0</v>
      </c>
      <c r="F131" s="186" t="s">
        <v>90</v>
      </c>
      <c r="G131" s="212">
        <v>0.0</v>
      </c>
      <c r="H131" s="202" t="s">
        <v>85</v>
      </c>
      <c r="I131" s="212">
        <v>202.0</v>
      </c>
      <c r="J131" s="212">
        <v>375.72</v>
      </c>
      <c r="K131" s="194">
        <f t="shared" si="4"/>
        <v>1.86</v>
      </c>
      <c r="L131" s="192">
        <v>0.0</v>
      </c>
      <c r="M131" s="179">
        <f t="shared" si="5"/>
        <v>15400.43815</v>
      </c>
      <c r="N131" s="176">
        <v>1.0</v>
      </c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</row>
    <row r="132">
      <c r="A132" s="158"/>
      <c r="B132" s="158"/>
      <c r="C132" s="158"/>
      <c r="D132" s="158"/>
      <c r="E132" s="193">
        <v>45882.0</v>
      </c>
      <c r="F132" s="186" t="s">
        <v>90</v>
      </c>
      <c r="G132" s="212">
        <v>0.0</v>
      </c>
      <c r="H132" s="202" t="s">
        <v>83</v>
      </c>
      <c r="I132" s="212">
        <v>4750.0</v>
      </c>
      <c r="J132" s="212">
        <v>475.03078</v>
      </c>
      <c r="K132" s="194">
        <f t="shared" si="4"/>
        <v>0.10000648</v>
      </c>
      <c r="L132" s="192">
        <v>0.0</v>
      </c>
      <c r="M132" s="179">
        <f t="shared" si="5"/>
        <v>15875.46893</v>
      </c>
      <c r="N132" s="176">
        <v>1.0</v>
      </c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</row>
    <row r="133">
      <c r="A133" s="158"/>
      <c r="B133" s="158"/>
      <c r="C133" s="158"/>
      <c r="D133" s="158"/>
      <c r="E133" s="193">
        <v>45883.0</v>
      </c>
      <c r="F133" s="186" t="s">
        <v>90</v>
      </c>
      <c r="G133" s="212">
        <v>0.0</v>
      </c>
      <c r="H133" s="202" t="s">
        <v>96</v>
      </c>
      <c r="I133" s="212">
        <v>330.0</v>
      </c>
      <c r="J133" s="212">
        <v>376.2</v>
      </c>
      <c r="K133" s="194">
        <f t="shared" si="4"/>
        <v>1.14</v>
      </c>
      <c r="L133" s="192">
        <v>0.0</v>
      </c>
      <c r="M133" s="179">
        <f t="shared" si="5"/>
        <v>16251.66893</v>
      </c>
      <c r="N133" s="176">
        <v>1.0</v>
      </c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</row>
    <row r="134">
      <c r="A134" s="158"/>
      <c r="B134" s="158"/>
      <c r="C134" s="158"/>
      <c r="D134" s="158"/>
      <c r="E134" s="193">
        <v>45886.0</v>
      </c>
      <c r="F134" s="186" t="s">
        <v>90</v>
      </c>
      <c r="G134" s="212">
        <v>0.0</v>
      </c>
      <c r="H134" s="202" t="s">
        <v>92</v>
      </c>
      <c r="I134" s="212">
        <v>24.4</v>
      </c>
      <c r="J134" s="212">
        <v>244.0</v>
      </c>
      <c r="K134" s="195">
        <f t="shared" si="4"/>
        <v>10</v>
      </c>
      <c r="L134" s="192">
        <v>0.0</v>
      </c>
      <c r="M134" s="179">
        <f t="shared" si="5"/>
        <v>16495.66893</v>
      </c>
      <c r="N134" s="176">
        <v>1.0</v>
      </c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</row>
    <row r="135">
      <c r="A135" s="158"/>
      <c r="B135" s="158"/>
      <c r="C135" s="158"/>
      <c r="D135" s="158"/>
      <c r="E135" s="193">
        <v>45887.0</v>
      </c>
      <c r="F135" s="186" t="s">
        <v>76</v>
      </c>
      <c r="G135" s="212">
        <v>0.0</v>
      </c>
      <c r="H135" s="202" t="s">
        <v>83</v>
      </c>
      <c r="I135" s="212">
        <v>4330.0</v>
      </c>
      <c r="J135" s="212">
        <v>303.1</v>
      </c>
      <c r="K135" s="195">
        <f t="shared" si="4"/>
        <v>0.07</v>
      </c>
      <c r="L135" s="192">
        <v>0.0</v>
      </c>
      <c r="M135" s="179">
        <f t="shared" si="5"/>
        <v>16192.56893</v>
      </c>
      <c r="N135" s="176">
        <v>1.0</v>
      </c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</row>
    <row r="136">
      <c r="A136" s="158"/>
      <c r="B136" s="158"/>
      <c r="C136" s="158"/>
      <c r="D136" s="158"/>
      <c r="E136" s="193">
        <v>45887.0</v>
      </c>
      <c r="F136" s="186" t="s">
        <v>76</v>
      </c>
      <c r="G136" s="212">
        <v>0.0</v>
      </c>
      <c r="H136" s="202" t="s">
        <v>83</v>
      </c>
      <c r="I136" s="212">
        <v>4300.0</v>
      </c>
      <c r="J136" s="212">
        <v>430.0</v>
      </c>
      <c r="K136" s="195">
        <f t="shared" si="4"/>
        <v>0.1</v>
      </c>
      <c r="L136" s="192">
        <v>0.0</v>
      </c>
      <c r="M136" s="179">
        <f t="shared" si="5"/>
        <v>15762.56893</v>
      </c>
      <c r="N136" s="176">
        <v>1.0</v>
      </c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</row>
    <row r="137">
      <c r="A137" s="158"/>
      <c r="B137" s="158"/>
      <c r="C137" s="158"/>
      <c r="D137" s="158"/>
      <c r="E137" s="193">
        <v>45887.0</v>
      </c>
      <c r="F137" s="186" t="s">
        <v>76</v>
      </c>
      <c r="G137" s="212">
        <v>0.0</v>
      </c>
      <c r="H137" s="202" t="s">
        <v>81</v>
      </c>
      <c r="I137" s="212">
        <v>115000.0</v>
      </c>
      <c r="J137" s="212">
        <v>402.5</v>
      </c>
      <c r="K137" s="195">
        <f t="shared" si="4"/>
        <v>0.0035</v>
      </c>
      <c r="L137" s="192">
        <v>0.0</v>
      </c>
      <c r="M137" s="179">
        <f t="shared" si="5"/>
        <v>15360.06893</v>
      </c>
      <c r="N137" s="176">
        <v>1.0</v>
      </c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</row>
    <row r="138">
      <c r="A138" s="158"/>
      <c r="B138" s="158"/>
      <c r="C138" s="158"/>
      <c r="D138" s="158"/>
      <c r="E138" s="193">
        <v>45888.0</v>
      </c>
      <c r="F138" s="186" t="s">
        <v>76</v>
      </c>
      <c r="G138" s="212">
        <v>0.0</v>
      </c>
      <c r="H138" s="202" t="s">
        <v>85</v>
      </c>
      <c r="I138" s="212">
        <v>181.0</v>
      </c>
      <c r="J138" s="212">
        <v>181.0</v>
      </c>
      <c r="K138" s="195">
        <f t="shared" si="4"/>
        <v>1</v>
      </c>
      <c r="L138" s="192">
        <v>0.0</v>
      </c>
      <c r="M138" s="179">
        <f t="shared" si="5"/>
        <v>15179.06893</v>
      </c>
      <c r="N138" s="176">
        <v>1.0</v>
      </c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</row>
    <row r="139">
      <c r="A139" s="158"/>
      <c r="B139" s="158"/>
      <c r="C139" s="158"/>
      <c r="D139" s="158"/>
      <c r="E139" s="193">
        <v>45888.0</v>
      </c>
      <c r="F139" s="186" t="s">
        <v>76</v>
      </c>
      <c r="G139" s="212">
        <v>0.0</v>
      </c>
      <c r="H139" s="202" t="s">
        <v>81</v>
      </c>
      <c r="I139" s="212">
        <v>113700.0</v>
      </c>
      <c r="J139" s="212">
        <v>397.95</v>
      </c>
      <c r="K139" s="195">
        <f t="shared" si="4"/>
        <v>0.0035</v>
      </c>
      <c r="L139" s="192">
        <v>0.0</v>
      </c>
      <c r="M139" s="179">
        <f t="shared" si="5"/>
        <v>14781.11893</v>
      </c>
      <c r="N139" s="176">
        <v>1.0</v>
      </c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</row>
    <row r="140">
      <c r="A140" s="158"/>
      <c r="B140" s="158"/>
      <c r="C140" s="158"/>
      <c r="D140" s="158"/>
      <c r="E140" s="193">
        <v>45889.0</v>
      </c>
      <c r="F140" s="186" t="s">
        <v>76</v>
      </c>
      <c r="G140" s="212">
        <v>0.0</v>
      </c>
      <c r="H140" s="202" t="s">
        <v>85</v>
      </c>
      <c r="I140" s="212">
        <v>176.0</v>
      </c>
      <c r="J140" s="212">
        <v>176.0</v>
      </c>
      <c r="K140" s="195">
        <f t="shared" si="4"/>
        <v>1</v>
      </c>
      <c r="L140" s="192">
        <v>0.0</v>
      </c>
      <c r="M140" s="179">
        <f t="shared" si="5"/>
        <v>14605.11893</v>
      </c>
      <c r="N140" s="176">
        <v>1.0</v>
      </c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</row>
    <row r="141">
      <c r="A141" s="158"/>
      <c r="B141" s="158"/>
      <c r="C141" s="158"/>
      <c r="D141" s="158"/>
      <c r="E141" s="193">
        <v>45891.0</v>
      </c>
      <c r="F141" s="186" t="s">
        <v>90</v>
      </c>
      <c r="G141" s="212">
        <v>0.0</v>
      </c>
      <c r="H141" s="202" t="s">
        <v>96</v>
      </c>
      <c r="I141" s="212">
        <v>355.0</v>
      </c>
      <c r="J141" s="212">
        <v>88.75</v>
      </c>
      <c r="K141" s="195">
        <f t="shared" si="4"/>
        <v>0.25</v>
      </c>
      <c r="L141" s="192">
        <v>0.0</v>
      </c>
      <c r="M141" s="179">
        <f t="shared" si="5"/>
        <v>14693.86893</v>
      </c>
      <c r="N141" s="176">
        <v>1.0</v>
      </c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</row>
    <row r="142">
      <c r="A142" s="158"/>
      <c r="B142" s="158"/>
      <c r="C142" s="158"/>
      <c r="D142" s="158"/>
      <c r="E142" s="197">
        <v>45891.0</v>
      </c>
      <c r="F142" s="186" t="s">
        <v>90</v>
      </c>
      <c r="G142" s="212">
        <v>0.0</v>
      </c>
      <c r="H142" s="202" t="s">
        <v>97</v>
      </c>
      <c r="I142" s="212">
        <v>6.0</v>
      </c>
      <c r="J142" s="212">
        <v>60.0</v>
      </c>
      <c r="K142" s="195">
        <f t="shared" si="4"/>
        <v>10</v>
      </c>
      <c r="L142" s="192">
        <v>0.0</v>
      </c>
      <c r="M142" s="179">
        <f t="shared" si="5"/>
        <v>14753.86893</v>
      </c>
      <c r="N142" s="176">
        <v>1.0</v>
      </c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</row>
    <row r="143">
      <c r="A143" s="158"/>
      <c r="B143" s="158"/>
      <c r="C143" s="158"/>
      <c r="D143" s="158"/>
      <c r="E143" s="193">
        <v>45892.0</v>
      </c>
      <c r="F143" s="186" t="s">
        <v>90</v>
      </c>
      <c r="G143" s="212">
        <v>0.0</v>
      </c>
      <c r="H143" s="202" t="s">
        <v>97</v>
      </c>
      <c r="I143" s="212">
        <v>6.2</v>
      </c>
      <c r="J143" s="212">
        <v>93.0</v>
      </c>
      <c r="K143" s="195">
        <f t="shared" si="4"/>
        <v>15</v>
      </c>
      <c r="L143" s="192">
        <v>0.0</v>
      </c>
      <c r="M143" s="179">
        <f>IF(E143="","",IF(G143=0,IF(F143="Invest",M142-J143-L143,M142+J143+42),M142))</f>
        <v>14888.86893</v>
      </c>
      <c r="N143" s="176">
        <v>1.0</v>
      </c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</row>
    <row r="144">
      <c r="A144" s="158"/>
      <c r="B144" s="158"/>
      <c r="C144" s="158"/>
      <c r="D144" s="158"/>
      <c r="E144" s="197">
        <v>45894.0</v>
      </c>
      <c r="F144" s="186" t="s">
        <v>76</v>
      </c>
      <c r="G144" s="212">
        <v>0.0</v>
      </c>
      <c r="H144" s="202" t="s">
        <v>91</v>
      </c>
      <c r="I144" s="212">
        <v>0.222</v>
      </c>
      <c r="J144" s="212">
        <v>222.0</v>
      </c>
      <c r="K144" s="195">
        <f t="shared" si="4"/>
        <v>1000</v>
      </c>
      <c r="L144" s="192">
        <v>0.0</v>
      </c>
      <c r="M144" s="179">
        <f t="shared" ref="M144:M154" si="6">IF(E144="","",IF(G144=0,IF(F144="Invest",M143-J144-L144,M143+J144),M143))</f>
        <v>14666.86893</v>
      </c>
      <c r="N144" s="176">
        <v>0.0</v>
      </c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</row>
    <row r="145">
      <c r="A145" s="158"/>
      <c r="B145" s="158"/>
      <c r="C145" s="158"/>
      <c r="D145" s="158"/>
      <c r="E145" s="197">
        <v>45894.0</v>
      </c>
      <c r="F145" s="186" t="s">
        <v>76</v>
      </c>
      <c r="G145" s="212">
        <v>0.0</v>
      </c>
      <c r="H145" s="202" t="s">
        <v>83</v>
      </c>
      <c r="I145" s="212">
        <v>4444.0</v>
      </c>
      <c r="J145" s="212">
        <v>311.08</v>
      </c>
      <c r="K145" s="191">
        <f t="shared" si="4"/>
        <v>0.07</v>
      </c>
      <c r="L145" s="192">
        <v>0.0</v>
      </c>
      <c r="M145" s="179">
        <f t="shared" si="6"/>
        <v>14355.78893</v>
      </c>
      <c r="N145" s="176">
        <v>1.0</v>
      </c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</row>
    <row r="146">
      <c r="A146" s="158"/>
      <c r="B146" s="158"/>
      <c r="C146" s="158"/>
      <c r="D146" s="158"/>
      <c r="E146" s="193">
        <v>45894.0</v>
      </c>
      <c r="F146" s="186" t="s">
        <v>76</v>
      </c>
      <c r="G146" s="212">
        <v>0.0</v>
      </c>
      <c r="H146" s="202" t="s">
        <v>81</v>
      </c>
      <c r="I146" s="212">
        <v>110400.0</v>
      </c>
      <c r="J146" s="212">
        <v>297.50452764</v>
      </c>
      <c r="K146" s="191">
        <f t="shared" si="4"/>
        <v>0.002694787388</v>
      </c>
      <c r="L146" s="192">
        <v>0.0</v>
      </c>
      <c r="M146" s="179">
        <f t="shared" si="6"/>
        <v>14058.2844</v>
      </c>
      <c r="N146" s="176">
        <v>1.0</v>
      </c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</row>
    <row r="147">
      <c r="A147" s="158"/>
      <c r="B147" s="158"/>
      <c r="C147" s="158"/>
      <c r="D147" s="158"/>
      <c r="E147" s="193">
        <v>45894.0</v>
      </c>
      <c r="F147" s="186" t="s">
        <v>76</v>
      </c>
      <c r="G147" s="212">
        <v>0.0</v>
      </c>
      <c r="H147" s="202" t="s">
        <v>87</v>
      </c>
      <c r="I147" s="212">
        <v>333.0</v>
      </c>
      <c r="J147" s="212">
        <v>499.5</v>
      </c>
      <c r="K147" s="191">
        <f t="shared" si="4"/>
        <v>1.5</v>
      </c>
      <c r="L147" s="192">
        <v>0.0</v>
      </c>
      <c r="M147" s="179">
        <f t="shared" si="6"/>
        <v>13558.7844</v>
      </c>
      <c r="N147" s="176">
        <v>1.0</v>
      </c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</row>
    <row r="148">
      <c r="A148" s="158"/>
      <c r="B148" s="158"/>
      <c r="C148" s="158"/>
      <c r="D148" s="158"/>
      <c r="E148" s="193">
        <v>45895.0</v>
      </c>
      <c r="F148" s="186" t="s">
        <v>76</v>
      </c>
      <c r="G148" s="212">
        <v>0.0</v>
      </c>
      <c r="H148" s="202" t="s">
        <v>81</v>
      </c>
      <c r="I148" s="212">
        <v>110000.0</v>
      </c>
      <c r="J148" s="212">
        <v>495.0</v>
      </c>
      <c r="K148" s="191">
        <f t="shared" si="4"/>
        <v>0.0045</v>
      </c>
      <c r="L148" s="192">
        <v>0.0</v>
      </c>
      <c r="M148" s="179">
        <f t="shared" si="6"/>
        <v>13063.7844</v>
      </c>
      <c r="N148" s="176">
        <v>1.0</v>
      </c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</row>
    <row r="149">
      <c r="A149" s="158"/>
      <c r="B149" s="158"/>
      <c r="C149" s="158"/>
      <c r="D149" s="158"/>
      <c r="E149" s="193">
        <v>45908.0</v>
      </c>
      <c r="F149" s="186" t="s">
        <v>76</v>
      </c>
      <c r="G149" s="212">
        <v>0.0</v>
      </c>
      <c r="H149" s="202" t="s">
        <v>83</v>
      </c>
      <c r="I149" s="212">
        <v>4350.0</v>
      </c>
      <c r="J149" s="212">
        <v>200.0</v>
      </c>
      <c r="K149" s="191">
        <f t="shared" si="4"/>
        <v>0.04597701149</v>
      </c>
      <c r="L149" s="192">
        <v>0.0</v>
      </c>
      <c r="M149" s="179">
        <f t="shared" si="6"/>
        <v>12863.7844</v>
      </c>
      <c r="N149" s="176">
        <v>1.0</v>
      </c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</row>
    <row r="150">
      <c r="A150" s="158"/>
      <c r="B150" s="158"/>
      <c r="C150" s="158"/>
      <c r="D150" s="158"/>
      <c r="E150" s="193">
        <v>45908.0</v>
      </c>
      <c r="F150" s="186" t="s">
        <v>76</v>
      </c>
      <c r="G150" s="212">
        <v>0.0</v>
      </c>
      <c r="H150" s="202" t="s">
        <v>83</v>
      </c>
      <c r="I150" s="212">
        <v>4325.0</v>
      </c>
      <c r="J150" s="212">
        <v>300.0</v>
      </c>
      <c r="K150" s="191">
        <f t="shared" si="4"/>
        <v>0.06936416185</v>
      </c>
      <c r="L150" s="192">
        <v>0.0</v>
      </c>
      <c r="M150" s="179">
        <f t="shared" si="6"/>
        <v>12563.7844</v>
      </c>
      <c r="N150" s="176">
        <v>1.0</v>
      </c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</row>
    <row r="151">
      <c r="A151" s="158"/>
      <c r="B151" s="158"/>
      <c r="C151" s="158"/>
      <c r="D151" s="158"/>
      <c r="E151" s="193">
        <v>45909.0</v>
      </c>
      <c r="F151" s="186" t="s">
        <v>90</v>
      </c>
      <c r="G151" s="212">
        <v>0.0</v>
      </c>
      <c r="H151" s="202" t="s">
        <v>85</v>
      </c>
      <c r="I151" s="212">
        <v>217.0</v>
      </c>
      <c r="J151" s="212">
        <v>235.61497176</v>
      </c>
      <c r="K151" s="195">
        <f t="shared" si="4"/>
        <v>1.08578328</v>
      </c>
      <c r="L151" s="192">
        <v>0.0</v>
      </c>
      <c r="M151" s="179">
        <f t="shared" si="6"/>
        <v>12799.39938</v>
      </c>
      <c r="N151" s="176">
        <v>1.0</v>
      </c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</row>
    <row r="152">
      <c r="A152" s="158"/>
      <c r="B152" s="158"/>
      <c r="C152" s="158"/>
      <c r="D152" s="158"/>
      <c r="E152" s="193">
        <v>45911.0</v>
      </c>
      <c r="F152" s="186" t="s">
        <v>90</v>
      </c>
      <c r="G152" s="212">
        <v>0.0</v>
      </c>
      <c r="H152" s="202" t="s">
        <v>91</v>
      </c>
      <c r="I152" s="212">
        <v>0.25</v>
      </c>
      <c r="J152" s="212">
        <v>125.0</v>
      </c>
      <c r="K152" s="195">
        <f t="shared" si="4"/>
        <v>500</v>
      </c>
      <c r="L152" s="192">
        <v>0.0</v>
      </c>
      <c r="M152" s="179">
        <f t="shared" si="6"/>
        <v>12924.39938</v>
      </c>
      <c r="N152" s="176">
        <v>1.0</v>
      </c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</row>
    <row r="153">
      <c r="A153" s="158"/>
      <c r="B153" s="158"/>
      <c r="C153" s="158"/>
      <c r="D153" s="158"/>
      <c r="E153" s="193">
        <v>45911.0</v>
      </c>
      <c r="F153" s="186" t="s">
        <v>90</v>
      </c>
      <c r="G153" s="212">
        <v>0.0</v>
      </c>
      <c r="H153" s="202" t="s">
        <v>97</v>
      </c>
      <c r="I153" s="212">
        <v>5.2</v>
      </c>
      <c r="J153" s="212">
        <v>104.0</v>
      </c>
      <c r="K153" s="195">
        <f t="shared" si="4"/>
        <v>20</v>
      </c>
      <c r="L153" s="192">
        <v>0.0</v>
      </c>
      <c r="M153" s="179">
        <f t="shared" si="6"/>
        <v>13028.39938</v>
      </c>
      <c r="N153" s="176">
        <v>1.0</v>
      </c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</row>
    <row r="154">
      <c r="A154" s="158"/>
      <c r="B154" s="158"/>
      <c r="C154" s="158"/>
      <c r="D154" s="158"/>
      <c r="E154" s="193">
        <v>45911.0</v>
      </c>
      <c r="F154" s="186" t="s">
        <v>90</v>
      </c>
      <c r="G154" s="212">
        <v>0.0</v>
      </c>
      <c r="H154" s="202" t="s">
        <v>85</v>
      </c>
      <c r="I154" s="212">
        <v>235.0</v>
      </c>
      <c r="J154" s="212">
        <v>235.0</v>
      </c>
      <c r="K154" s="191">
        <f t="shared" si="4"/>
        <v>1</v>
      </c>
      <c r="L154" s="192">
        <v>0.0</v>
      </c>
      <c r="M154" s="179">
        <f t="shared" si="6"/>
        <v>13263.39938</v>
      </c>
      <c r="N154" s="176">
        <v>1.0</v>
      </c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</row>
    <row r="155">
      <c r="A155" s="158"/>
      <c r="B155" s="158"/>
      <c r="C155" s="158"/>
      <c r="D155" s="158"/>
      <c r="E155" s="193">
        <v>45912.0</v>
      </c>
      <c r="F155" s="186" t="s">
        <v>90</v>
      </c>
      <c r="G155" s="212">
        <v>0.0</v>
      </c>
      <c r="H155" s="202" t="s">
        <v>85</v>
      </c>
      <c r="I155" s="212">
        <v>240.0</v>
      </c>
      <c r="J155" s="212">
        <v>240.0</v>
      </c>
      <c r="K155" s="191">
        <f t="shared" si="4"/>
        <v>1</v>
      </c>
      <c r="L155" s="192">
        <v>0.0</v>
      </c>
      <c r="M155" s="179">
        <f>IF(E155="","",IF(G155=0,IF(F155="Invest",M154-J155-L155,M154+J155-50),M154))</f>
        <v>13453.39938</v>
      </c>
      <c r="N155" s="176">
        <v>1.0</v>
      </c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</row>
    <row r="156">
      <c r="A156" s="158"/>
      <c r="B156" s="158"/>
      <c r="C156" s="158"/>
      <c r="D156" s="158"/>
      <c r="E156" s="193">
        <v>45914.0</v>
      </c>
      <c r="F156" s="186" t="s">
        <v>90</v>
      </c>
      <c r="G156" s="212">
        <v>0.0</v>
      </c>
      <c r="H156" s="202" t="s">
        <v>85</v>
      </c>
      <c r="I156" s="212">
        <v>245.0</v>
      </c>
      <c r="J156" s="212">
        <v>245.0</v>
      </c>
      <c r="K156" s="191">
        <f t="shared" si="4"/>
        <v>1</v>
      </c>
      <c r="L156" s="192">
        <v>0.0</v>
      </c>
      <c r="M156" s="179">
        <f t="shared" ref="M156:M167" si="7">IF(E156="","",IF(G156=0,IF(F156="Invest",M155-J156-L156,M155+J156),M155))</f>
        <v>13698.39938</v>
      </c>
      <c r="N156" s="176">
        <v>1.0</v>
      </c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</row>
    <row r="157">
      <c r="A157" s="158"/>
      <c r="B157" s="158"/>
      <c r="C157" s="158"/>
      <c r="D157" s="158"/>
      <c r="E157" s="193">
        <v>45918.0</v>
      </c>
      <c r="F157" s="186" t="s">
        <v>90</v>
      </c>
      <c r="G157" s="212">
        <v>0.0</v>
      </c>
      <c r="H157" s="202" t="s">
        <v>87</v>
      </c>
      <c r="I157" s="212">
        <v>370.0</v>
      </c>
      <c r="J157" s="212">
        <v>222.0</v>
      </c>
      <c r="K157" s="191">
        <f t="shared" si="4"/>
        <v>0.6</v>
      </c>
      <c r="L157" s="192">
        <v>0.0</v>
      </c>
      <c r="M157" s="179">
        <f t="shared" si="7"/>
        <v>13920.39938</v>
      </c>
      <c r="N157" s="176">
        <v>1.0</v>
      </c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</row>
    <row r="158">
      <c r="A158" s="158"/>
      <c r="B158" s="158"/>
      <c r="C158" s="158"/>
      <c r="D158" s="158"/>
      <c r="E158" s="193">
        <v>45918.0</v>
      </c>
      <c r="F158" s="186" t="s">
        <v>90</v>
      </c>
      <c r="G158" s="212">
        <v>0.0</v>
      </c>
      <c r="H158" s="202" t="s">
        <v>85</v>
      </c>
      <c r="I158" s="212">
        <v>250.0</v>
      </c>
      <c r="J158" s="212">
        <v>250.0</v>
      </c>
      <c r="K158" s="191">
        <f t="shared" si="4"/>
        <v>1</v>
      </c>
      <c r="L158" s="192">
        <v>0.0</v>
      </c>
      <c r="M158" s="179">
        <f t="shared" si="7"/>
        <v>14170.39938</v>
      </c>
      <c r="N158" s="176">
        <v>1.0</v>
      </c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</row>
    <row r="159">
      <c r="A159" s="158"/>
      <c r="B159" s="158"/>
      <c r="C159" s="158"/>
      <c r="D159" s="158"/>
      <c r="E159" s="193">
        <v>45919.0</v>
      </c>
      <c r="F159" s="186" t="s">
        <v>90</v>
      </c>
      <c r="G159" s="212">
        <v>0.0</v>
      </c>
      <c r="H159" s="202" t="s">
        <v>87</v>
      </c>
      <c r="I159" s="212">
        <v>357.0</v>
      </c>
      <c r="J159" s="212">
        <v>249.9</v>
      </c>
      <c r="K159" s="191">
        <f t="shared" si="4"/>
        <v>0.7</v>
      </c>
      <c r="L159" s="192">
        <v>0.0</v>
      </c>
      <c r="M159" s="179">
        <f t="shared" si="7"/>
        <v>14420.29938</v>
      </c>
      <c r="N159" s="176">
        <v>1.0</v>
      </c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</row>
    <row r="160">
      <c r="A160" s="158"/>
      <c r="B160" s="158"/>
      <c r="C160" s="158"/>
      <c r="D160" s="158"/>
      <c r="E160" s="193">
        <v>45922.0</v>
      </c>
      <c r="F160" s="186" t="s">
        <v>76</v>
      </c>
      <c r="G160" s="212">
        <v>0.0</v>
      </c>
      <c r="H160" s="202" t="s">
        <v>83</v>
      </c>
      <c r="I160" s="212">
        <v>4150.0</v>
      </c>
      <c r="J160" s="212">
        <v>290.5</v>
      </c>
      <c r="K160" s="196">
        <f t="shared" si="4"/>
        <v>0.07</v>
      </c>
      <c r="L160" s="192">
        <v>0.0</v>
      </c>
      <c r="M160" s="179">
        <f t="shared" si="7"/>
        <v>14129.79938</v>
      </c>
      <c r="N160" s="176">
        <v>1.0</v>
      </c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</row>
    <row r="161">
      <c r="A161" s="158"/>
      <c r="B161" s="158"/>
      <c r="C161" s="158"/>
      <c r="D161" s="158"/>
      <c r="E161" s="193">
        <v>45923.0</v>
      </c>
      <c r="F161" s="186" t="s">
        <v>76</v>
      </c>
      <c r="G161" s="212">
        <v>0.0</v>
      </c>
      <c r="H161" s="202" t="s">
        <v>85</v>
      </c>
      <c r="I161" s="212">
        <v>218.0</v>
      </c>
      <c r="J161" s="212">
        <v>109.0</v>
      </c>
      <c r="K161" s="199">
        <f t="shared" si="4"/>
        <v>0.5</v>
      </c>
      <c r="L161" s="192">
        <v>0.0</v>
      </c>
      <c r="M161" s="179">
        <f t="shared" si="7"/>
        <v>14020.79938</v>
      </c>
      <c r="N161" s="176">
        <v>1.0</v>
      </c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</row>
    <row r="162">
      <c r="A162" s="158"/>
      <c r="B162" s="158"/>
      <c r="C162" s="158"/>
      <c r="D162" s="158"/>
      <c r="E162" s="193">
        <v>45924.0</v>
      </c>
      <c r="F162" s="186" t="s">
        <v>76</v>
      </c>
      <c r="G162" s="212">
        <v>0.0</v>
      </c>
      <c r="H162" s="202" t="s">
        <v>87</v>
      </c>
      <c r="I162" s="212">
        <v>305.0</v>
      </c>
      <c r="J162" s="212">
        <v>152.5</v>
      </c>
      <c r="K162" s="196">
        <f t="shared" si="4"/>
        <v>0.5</v>
      </c>
      <c r="L162" s="192">
        <v>0.0</v>
      </c>
      <c r="M162" s="179">
        <f t="shared" si="7"/>
        <v>13868.29938</v>
      </c>
      <c r="N162" s="176">
        <v>1.0</v>
      </c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</row>
    <row r="163">
      <c r="A163" s="158"/>
      <c r="B163" s="158"/>
      <c r="C163" s="158"/>
      <c r="D163" s="158"/>
      <c r="E163" s="193">
        <v>45925.0</v>
      </c>
      <c r="F163" s="186" t="s">
        <v>76</v>
      </c>
      <c r="G163" s="212">
        <v>0.0</v>
      </c>
      <c r="H163" s="202" t="s">
        <v>91</v>
      </c>
      <c r="I163" s="212">
        <v>0.23</v>
      </c>
      <c r="J163" s="212">
        <v>57.5</v>
      </c>
      <c r="K163" s="195">
        <f t="shared" si="4"/>
        <v>250</v>
      </c>
      <c r="L163" s="192">
        <v>0.0</v>
      </c>
      <c r="M163" s="179">
        <f t="shared" si="7"/>
        <v>13810.79938</v>
      </c>
      <c r="N163" s="176">
        <v>1.0</v>
      </c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</row>
    <row r="164">
      <c r="A164" s="158"/>
      <c r="B164" s="158"/>
      <c r="C164" s="158"/>
      <c r="D164" s="158"/>
      <c r="E164" s="193">
        <v>45928.0</v>
      </c>
      <c r="F164" s="186" t="s">
        <v>76</v>
      </c>
      <c r="G164" s="212">
        <v>0.0</v>
      </c>
      <c r="H164" s="202" t="s">
        <v>87</v>
      </c>
      <c r="I164" s="212">
        <v>295.0</v>
      </c>
      <c r="J164" s="212">
        <v>295.0</v>
      </c>
      <c r="K164" s="191">
        <f t="shared" si="4"/>
        <v>1</v>
      </c>
      <c r="L164" s="192">
        <v>0.0</v>
      </c>
      <c r="M164" s="179">
        <f t="shared" si="7"/>
        <v>13515.79938</v>
      </c>
      <c r="N164" s="176">
        <v>1.0</v>
      </c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</row>
    <row r="165">
      <c r="A165" s="158"/>
      <c r="B165" s="158"/>
      <c r="C165" s="158"/>
      <c r="D165" s="158"/>
      <c r="E165" s="193">
        <v>45905.0</v>
      </c>
      <c r="F165" s="186" t="s">
        <v>90</v>
      </c>
      <c r="G165" s="212">
        <v>0.0</v>
      </c>
      <c r="H165" s="202" t="s">
        <v>83</v>
      </c>
      <c r="I165" s="212">
        <v>4550.0</v>
      </c>
      <c r="J165" s="212">
        <v>227.5</v>
      </c>
      <c r="K165" s="194">
        <f t="shared" si="4"/>
        <v>0.05</v>
      </c>
      <c r="L165" s="192">
        <v>0.0</v>
      </c>
      <c r="M165" s="179">
        <f t="shared" si="7"/>
        <v>13743.29938</v>
      </c>
      <c r="N165" s="176">
        <v>1.0</v>
      </c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</row>
    <row r="166">
      <c r="A166" s="158"/>
      <c r="B166" s="158"/>
      <c r="C166" s="158"/>
      <c r="D166" s="158"/>
      <c r="E166" s="193">
        <v>45939.0</v>
      </c>
      <c r="F166" s="186" t="s">
        <v>90</v>
      </c>
      <c r="G166" s="212">
        <v>0.0</v>
      </c>
      <c r="H166" s="202" t="s">
        <v>87</v>
      </c>
      <c r="I166" s="212">
        <v>388.389</v>
      </c>
      <c r="J166" s="212">
        <v>194.19441436</v>
      </c>
      <c r="K166" s="196">
        <f t="shared" si="4"/>
        <v>0.4999997795</v>
      </c>
      <c r="L166" s="192">
        <v>0.0</v>
      </c>
      <c r="M166" s="179">
        <f t="shared" si="7"/>
        <v>13937.49379</v>
      </c>
      <c r="N166" s="176">
        <v>1.0</v>
      </c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</row>
    <row r="167">
      <c r="A167" s="158"/>
      <c r="B167" s="158"/>
      <c r="C167" s="158"/>
      <c r="D167" s="158"/>
      <c r="E167" s="193">
        <v>45939.0</v>
      </c>
      <c r="F167" s="186" t="s">
        <v>90</v>
      </c>
      <c r="G167" s="212">
        <v>0.0</v>
      </c>
      <c r="H167" s="202" t="s">
        <v>87</v>
      </c>
      <c r="I167" s="212">
        <v>395.0</v>
      </c>
      <c r="J167" s="212">
        <v>197.5</v>
      </c>
      <c r="K167" s="196">
        <f t="shared" si="4"/>
        <v>0.5</v>
      </c>
      <c r="L167" s="192">
        <v>0.0</v>
      </c>
      <c r="M167" s="179">
        <f t="shared" si="7"/>
        <v>14134.99379</v>
      </c>
      <c r="N167" s="176">
        <v>1.0</v>
      </c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</row>
    <row r="168">
      <c r="A168" s="158"/>
      <c r="B168" s="158"/>
      <c r="C168" s="158"/>
      <c r="D168" s="158"/>
      <c r="E168" s="193">
        <v>45940.0</v>
      </c>
      <c r="F168" s="186" t="s">
        <v>90</v>
      </c>
      <c r="G168" s="212">
        <v>0.0</v>
      </c>
      <c r="H168" s="202" t="s">
        <v>83</v>
      </c>
      <c r="I168" s="212">
        <v>4600.0</v>
      </c>
      <c r="J168" s="212">
        <v>230.0</v>
      </c>
      <c r="K168" s="194">
        <f t="shared" si="4"/>
        <v>0.05</v>
      </c>
      <c r="L168" s="192">
        <v>0.0</v>
      </c>
      <c r="M168" s="179">
        <f>IF(E168="","",IF(G168=0,13591.898,M167))</f>
        <v>13591.898</v>
      </c>
      <c r="N168" s="176">
        <v>1.0</v>
      </c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</row>
    <row r="169">
      <c r="A169" s="158"/>
      <c r="B169" s="158"/>
      <c r="C169" s="158"/>
      <c r="D169" s="158"/>
      <c r="E169" s="193">
        <v>45941.0</v>
      </c>
      <c r="F169" s="186" t="s">
        <v>76</v>
      </c>
      <c r="G169" s="212">
        <v>0.0</v>
      </c>
      <c r="H169" s="202" t="s">
        <v>83</v>
      </c>
      <c r="I169" s="212">
        <v>3805.0</v>
      </c>
      <c r="J169" s="212">
        <v>76.1</v>
      </c>
      <c r="K169" s="194">
        <f t="shared" si="4"/>
        <v>0.02</v>
      </c>
      <c r="L169" s="192">
        <v>0.0</v>
      </c>
      <c r="M169" s="179">
        <f t="shared" ref="M169:M178" si="8">IF(E169="","",IF(G169=0,IF(F169="Invest",M168-J169-L169,M168+J169),M168))</f>
        <v>13515.798</v>
      </c>
      <c r="N169" s="176">
        <v>1.0</v>
      </c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</row>
    <row r="170">
      <c r="A170" s="158"/>
      <c r="B170" s="158"/>
      <c r="C170" s="158"/>
      <c r="D170" s="158"/>
      <c r="E170" s="193">
        <v>45941.0</v>
      </c>
      <c r="F170" s="186" t="s">
        <v>76</v>
      </c>
      <c r="G170" s="212">
        <v>0.0</v>
      </c>
      <c r="H170" s="202" t="s">
        <v>83</v>
      </c>
      <c r="I170" s="212">
        <v>3760.0</v>
      </c>
      <c r="J170" s="212">
        <v>94.0</v>
      </c>
      <c r="K170" s="194">
        <f t="shared" si="4"/>
        <v>0.025</v>
      </c>
      <c r="L170" s="192">
        <v>0.0</v>
      </c>
      <c r="M170" s="179">
        <f t="shared" si="8"/>
        <v>13421.798</v>
      </c>
      <c r="N170" s="176">
        <v>1.0</v>
      </c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</row>
    <row r="171">
      <c r="A171" s="158"/>
      <c r="B171" s="158"/>
      <c r="C171" s="158"/>
      <c r="D171" s="158"/>
      <c r="E171" s="193">
        <v>45942.0</v>
      </c>
      <c r="F171" s="186" t="s">
        <v>76</v>
      </c>
      <c r="G171" s="212">
        <v>0.0</v>
      </c>
      <c r="H171" s="202" t="s">
        <v>83</v>
      </c>
      <c r="I171" s="212">
        <v>3720.0</v>
      </c>
      <c r="J171" s="212">
        <v>100.44</v>
      </c>
      <c r="K171" s="194">
        <f t="shared" si="4"/>
        <v>0.027</v>
      </c>
      <c r="L171" s="192">
        <v>0.0</v>
      </c>
      <c r="M171" s="179">
        <f t="shared" si="8"/>
        <v>13321.358</v>
      </c>
      <c r="N171" s="176">
        <v>1.0</v>
      </c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</row>
    <row r="172">
      <c r="A172" s="158"/>
      <c r="B172" s="158"/>
      <c r="C172" s="158"/>
      <c r="D172" s="158"/>
      <c r="E172" s="193">
        <v>45945.0</v>
      </c>
      <c r="F172" s="186" t="s">
        <v>90</v>
      </c>
      <c r="G172" s="212">
        <v>0.0</v>
      </c>
      <c r="H172" s="202" t="s">
        <v>87</v>
      </c>
      <c r="I172" s="212">
        <v>445.0</v>
      </c>
      <c r="J172" s="212">
        <v>222.5</v>
      </c>
      <c r="K172" s="191">
        <f t="shared" si="4"/>
        <v>0.5</v>
      </c>
      <c r="L172" s="192">
        <v>0.0</v>
      </c>
      <c r="M172" s="179">
        <f t="shared" si="8"/>
        <v>13543.858</v>
      </c>
      <c r="N172" s="176">
        <v>1.0</v>
      </c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</row>
    <row r="173">
      <c r="A173" s="158"/>
      <c r="B173" s="158"/>
      <c r="C173" s="158"/>
      <c r="D173" s="158"/>
      <c r="E173" s="193">
        <v>45949.0</v>
      </c>
      <c r="F173" s="186" t="s">
        <v>90</v>
      </c>
      <c r="G173" s="212">
        <v>0.0</v>
      </c>
      <c r="H173" s="202" t="s">
        <v>87</v>
      </c>
      <c r="I173" s="212">
        <v>450.0</v>
      </c>
      <c r="J173" s="212">
        <v>225.0</v>
      </c>
      <c r="K173" s="191">
        <f t="shared" si="4"/>
        <v>0.5</v>
      </c>
      <c r="L173" s="192">
        <v>0.0</v>
      </c>
      <c r="M173" s="179">
        <f t="shared" si="8"/>
        <v>13768.858</v>
      </c>
      <c r="N173" s="176">
        <v>1.0</v>
      </c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</row>
    <row r="174">
      <c r="A174" s="158"/>
      <c r="B174" s="158"/>
      <c r="C174" s="158"/>
      <c r="D174" s="158"/>
      <c r="E174" s="193">
        <v>45950.0</v>
      </c>
      <c r="F174" s="186" t="s">
        <v>90</v>
      </c>
      <c r="G174" s="212">
        <v>0.0</v>
      </c>
      <c r="H174" s="202" t="s">
        <v>87</v>
      </c>
      <c r="I174" s="212">
        <v>457.0</v>
      </c>
      <c r="J174" s="212">
        <v>228.5</v>
      </c>
      <c r="K174" s="191">
        <f t="shared" si="4"/>
        <v>0.5</v>
      </c>
      <c r="L174" s="192">
        <v>0.0</v>
      </c>
      <c r="M174" s="179">
        <f t="shared" si="8"/>
        <v>13997.358</v>
      </c>
      <c r="N174" s="176">
        <v>1.0</v>
      </c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</row>
    <row r="175">
      <c r="A175" s="158"/>
      <c r="B175" s="158"/>
      <c r="C175" s="158"/>
      <c r="D175" s="158"/>
      <c r="E175" s="193">
        <v>45952.0</v>
      </c>
      <c r="F175" s="186" t="s">
        <v>90</v>
      </c>
      <c r="G175" s="212">
        <v>0.0</v>
      </c>
      <c r="H175" s="202" t="s">
        <v>89</v>
      </c>
      <c r="I175" s="212">
        <v>2.3</v>
      </c>
      <c r="J175" s="212">
        <v>567.24789781</v>
      </c>
      <c r="K175" s="195">
        <f t="shared" si="4"/>
        <v>246.6295208</v>
      </c>
      <c r="L175" s="192">
        <v>0.0</v>
      </c>
      <c r="M175" s="179">
        <f t="shared" si="8"/>
        <v>14564.6059</v>
      </c>
      <c r="N175" s="176">
        <v>0.0</v>
      </c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</row>
    <row r="176">
      <c r="A176" s="158"/>
      <c r="B176" s="158"/>
      <c r="C176" s="158"/>
      <c r="D176" s="158"/>
      <c r="E176" s="193">
        <v>45953.0</v>
      </c>
      <c r="F176" s="186" t="s">
        <v>90</v>
      </c>
      <c r="G176" s="212">
        <v>0.0</v>
      </c>
      <c r="H176" s="202" t="s">
        <v>101</v>
      </c>
      <c r="I176" s="212">
        <v>7.0E-6</v>
      </c>
      <c r="J176" s="212">
        <v>169.00686992</v>
      </c>
      <c r="K176" s="195">
        <f t="shared" si="4"/>
        <v>24143838.56</v>
      </c>
      <c r="L176" s="192">
        <v>0.0</v>
      </c>
      <c r="M176" s="179">
        <f t="shared" si="8"/>
        <v>14733.61277</v>
      </c>
      <c r="N176" s="176">
        <v>0.0</v>
      </c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</row>
    <row r="177">
      <c r="A177" s="158"/>
      <c r="B177" s="158"/>
      <c r="C177" s="158"/>
      <c r="D177" s="158"/>
      <c r="E177" s="193">
        <v>45957.0</v>
      </c>
      <c r="F177" s="186" t="s">
        <v>90</v>
      </c>
      <c r="G177" s="212">
        <v>0.0</v>
      </c>
      <c r="H177" s="202" t="s">
        <v>81</v>
      </c>
      <c r="I177" s="212">
        <v>114500.0</v>
      </c>
      <c r="J177" s="212">
        <v>1145.0</v>
      </c>
      <c r="K177" s="194">
        <f t="shared" si="4"/>
        <v>0.01</v>
      </c>
      <c r="L177" s="192">
        <v>0.0</v>
      </c>
      <c r="M177" s="179">
        <f t="shared" si="8"/>
        <v>15878.61277</v>
      </c>
      <c r="N177" s="176">
        <v>1.0</v>
      </c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</row>
    <row r="178">
      <c r="A178" s="158"/>
      <c r="B178" s="158"/>
      <c r="C178" s="158"/>
      <c r="D178" s="158"/>
      <c r="E178" s="193">
        <v>45957.0</v>
      </c>
      <c r="F178" s="186" t="s">
        <v>90</v>
      </c>
      <c r="G178" s="212">
        <v>0.0</v>
      </c>
      <c r="H178" s="202" t="s">
        <v>83</v>
      </c>
      <c r="I178" s="212">
        <v>4125.0</v>
      </c>
      <c r="J178" s="212">
        <v>825.0</v>
      </c>
      <c r="K178" s="194">
        <f t="shared" si="4"/>
        <v>0.2</v>
      </c>
      <c r="L178" s="192">
        <v>0.0</v>
      </c>
      <c r="M178" s="179">
        <f t="shared" si="8"/>
        <v>16703.61277</v>
      </c>
      <c r="N178" s="176">
        <v>1.0</v>
      </c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</row>
    <row r="179">
      <c r="A179" s="158"/>
      <c r="B179" s="158"/>
      <c r="C179" s="158"/>
      <c r="D179" s="158"/>
      <c r="E179" s="193">
        <v>45958.0</v>
      </c>
      <c r="F179" s="186" t="s">
        <v>90</v>
      </c>
      <c r="G179" s="212">
        <v>0.0</v>
      </c>
      <c r="H179" s="202" t="s">
        <v>87</v>
      </c>
      <c r="I179" s="212">
        <v>450.0</v>
      </c>
      <c r="J179" s="212">
        <v>450.0</v>
      </c>
      <c r="K179" s="191">
        <f t="shared" si="4"/>
        <v>1</v>
      </c>
      <c r="L179" s="192">
        <v>0.0</v>
      </c>
      <c r="M179" s="179">
        <f>IF(E179="","",IF(G179=0,IF(F179="Invest",M178-J179-L179,M178+J179+30),M178))</f>
        <v>17183.61277</v>
      </c>
      <c r="N179" s="176">
        <v>1.0</v>
      </c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</row>
    <row r="180">
      <c r="A180" s="158"/>
      <c r="B180" s="158"/>
      <c r="C180" s="158"/>
      <c r="D180" s="158"/>
      <c r="E180" s="193">
        <v>45960.0</v>
      </c>
      <c r="F180" s="186" t="s">
        <v>90</v>
      </c>
      <c r="G180" s="212">
        <v>0.0</v>
      </c>
      <c r="H180" s="202" t="s">
        <v>87</v>
      </c>
      <c r="I180" s="212">
        <v>465.0</v>
      </c>
      <c r="J180" s="212">
        <v>465.0</v>
      </c>
      <c r="K180" s="191">
        <f t="shared" si="4"/>
        <v>1</v>
      </c>
      <c r="L180" s="192">
        <v>0.0</v>
      </c>
      <c r="M180" s="179">
        <f t="shared" ref="M180:M192" si="9">IF(E180="","",IF(G180=0,IF(F180="Invest",M179-J180-L180,M179+J180),M179))</f>
        <v>17648.61277</v>
      </c>
      <c r="N180" s="176">
        <v>1.0</v>
      </c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</row>
    <row r="181">
      <c r="A181" s="158"/>
      <c r="B181" s="158"/>
      <c r="C181" s="158"/>
      <c r="D181" s="158"/>
      <c r="E181" s="193">
        <v>45961.0</v>
      </c>
      <c r="F181" s="186" t="s">
        <v>90</v>
      </c>
      <c r="G181" s="212">
        <v>0.0</v>
      </c>
      <c r="H181" s="202" t="s">
        <v>87</v>
      </c>
      <c r="I181" s="212">
        <v>470.0</v>
      </c>
      <c r="J181" s="212">
        <v>705.0</v>
      </c>
      <c r="K181" s="191">
        <f t="shared" si="4"/>
        <v>1.5</v>
      </c>
      <c r="L181" s="192">
        <v>0.0</v>
      </c>
      <c r="M181" s="179">
        <f t="shared" si="9"/>
        <v>18353.61277</v>
      </c>
      <c r="N181" s="176">
        <v>1.0</v>
      </c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</row>
    <row r="182">
      <c r="A182" s="158"/>
      <c r="B182" s="158"/>
      <c r="C182" s="158"/>
      <c r="D182" s="158"/>
      <c r="E182" s="193">
        <v>45961.0</v>
      </c>
      <c r="F182" s="186" t="s">
        <v>90</v>
      </c>
      <c r="G182" s="212">
        <v>0.0</v>
      </c>
      <c r="H182" s="202" t="s">
        <v>87</v>
      </c>
      <c r="I182" s="212">
        <v>500.0</v>
      </c>
      <c r="J182" s="212">
        <v>400.0</v>
      </c>
      <c r="K182" s="191">
        <f t="shared" si="4"/>
        <v>0.8</v>
      </c>
      <c r="L182" s="192">
        <v>0.0</v>
      </c>
      <c r="M182" s="179">
        <f t="shared" si="9"/>
        <v>18753.61277</v>
      </c>
      <c r="N182" s="176">
        <v>1.0</v>
      </c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</row>
    <row r="183">
      <c r="A183" s="158"/>
      <c r="B183" s="158"/>
      <c r="C183" s="158"/>
      <c r="D183" s="158"/>
      <c r="E183" s="193">
        <v>45962.0</v>
      </c>
      <c r="F183" s="186" t="s">
        <v>90</v>
      </c>
      <c r="G183" s="212">
        <v>0.0</v>
      </c>
      <c r="H183" s="202" t="s">
        <v>87</v>
      </c>
      <c r="I183" s="212">
        <v>530.0</v>
      </c>
      <c r="J183" s="212">
        <v>265.0</v>
      </c>
      <c r="K183" s="191">
        <f t="shared" si="4"/>
        <v>0.5</v>
      </c>
      <c r="L183" s="192">
        <v>0.0</v>
      </c>
      <c r="M183" s="179">
        <f t="shared" si="9"/>
        <v>19018.61277</v>
      </c>
      <c r="N183" s="176">
        <v>1.0</v>
      </c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</row>
    <row r="184">
      <c r="A184" s="158"/>
      <c r="B184" s="158"/>
      <c r="C184" s="158"/>
      <c r="D184" s="158"/>
      <c r="E184" s="193">
        <v>45963.0</v>
      </c>
      <c r="F184" s="186" t="s">
        <v>90</v>
      </c>
      <c r="G184" s="212">
        <v>0.0</v>
      </c>
      <c r="H184" s="202" t="s">
        <v>94</v>
      </c>
      <c r="I184" s="212">
        <v>1.023E-5</v>
      </c>
      <c r="J184" s="212">
        <v>209.75896567</v>
      </c>
      <c r="K184" s="195">
        <f t="shared" si="4"/>
        <v>20504297.72</v>
      </c>
      <c r="L184" s="192">
        <v>0.0</v>
      </c>
      <c r="M184" s="179">
        <f t="shared" si="9"/>
        <v>19228.37173</v>
      </c>
      <c r="N184" s="176">
        <v>0.0</v>
      </c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</row>
    <row r="185">
      <c r="A185" s="158"/>
      <c r="B185" s="158"/>
      <c r="C185" s="158"/>
      <c r="D185" s="158"/>
      <c r="E185" s="193">
        <v>45964.0</v>
      </c>
      <c r="F185" s="186" t="s">
        <v>76</v>
      </c>
      <c r="G185" s="212">
        <v>0.0</v>
      </c>
      <c r="H185" s="202" t="s">
        <v>81</v>
      </c>
      <c r="I185" s="212">
        <v>100000.0</v>
      </c>
      <c r="J185" s="212">
        <v>300.0</v>
      </c>
      <c r="K185" s="200">
        <f t="shared" si="4"/>
        <v>0.003</v>
      </c>
      <c r="L185" s="192">
        <v>0.0</v>
      </c>
      <c r="M185" s="179">
        <f t="shared" si="9"/>
        <v>18928.37173</v>
      </c>
      <c r="N185" s="176">
        <v>1.0</v>
      </c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</row>
    <row r="186">
      <c r="A186" s="158"/>
      <c r="B186" s="158"/>
      <c r="C186" s="158"/>
      <c r="D186" s="158"/>
      <c r="E186" s="193">
        <v>45964.0</v>
      </c>
      <c r="F186" s="186" t="s">
        <v>76</v>
      </c>
      <c r="G186" s="212">
        <v>0.0</v>
      </c>
      <c r="H186" s="202" t="s">
        <v>81</v>
      </c>
      <c r="I186" s="212">
        <v>99950.0</v>
      </c>
      <c r="J186" s="212">
        <v>1000.0</v>
      </c>
      <c r="K186" s="200">
        <f t="shared" si="4"/>
        <v>0.0100050025</v>
      </c>
      <c r="L186" s="192">
        <v>0.0</v>
      </c>
      <c r="M186" s="179">
        <f t="shared" si="9"/>
        <v>17928.37173</v>
      </c>
      <c r="N186" s="176">
        <v>1.0</v>
      </c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</row>
    <row r="187">
      <c r="A187" s="158"/>
      <c r="B187" s="158"/>
      <c r="C187" s="158"/>
      <c r="D187" s="158"/>
      <c r="E187" s="193">
        <v>45964.0</v>
      </c>
      <c r="F187" s="186" t="s">
        <v>76</v>
      </c>
      <c r="G187" s="212">
        <v>0.0</v>
      </c>
      <c r="H187" s="202" t="s">
        <v>83</v>
      </c>
      <c r="I187" s="212">
        <v>3100.0</v>
      </c>
      <c r="J187" s="212">
        <v>403.0</v>
      </c>
      <c r="K187" s="200">
        <f t="shared" si="4"/>
        <v>0.13</v>
      </c>
      <c r="L187" s="192">
        <v>0.0</v>
      </c>
      <c r="M187" s="179">
        <f t="shared" si="9"/>
        <v>17525.37173</v>
      </c>
      <c r="N187" s="176">
        <v>1.0</v>
      </c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</row>
    <row r="188">
      <c r="A188" s="158"/>
      <c r="B188" s="158"/>
      <c r="C188" s="158"/>
      <c r="D188" s="158"/>
      <c r="E188" s="193">
        <v>45965.0</v>
      </c>
      <c r="F188" s="186" t="s">
        <v>76</v>
      </c>
      <c r="G188" s="212">
        <v>0.0</v>
      </c>
      <c r="H188" s="202" t="s">
        <v>81</v>
      </c>
      <c r="I188" s="212">
        <v>99000.0</v>
      </c>
      <c r="J188" s="212">
        <v>300.0</v>
      </c>
      <c r="K188" s="200">
        <f t="shared" si="4"/>
        <v>0.00303030303</v>
      </c>
      <c r="L188" s="192">
        <v>0.0</v>
      </c>
      <c r="M188" s="179">
        <f t="shared" si="9"/>
        <v>17225.37173</v>
      </c>
      <c r="N188" s="176">
        <v>1.0</v>
      </c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</row>
    <row r="189">
      <c r="A189" s="158"/>
      <c r="B189" s="158"/>
      <c r="C189" s="158"/>
      <c r="D189" s="158"/>
      <c r="E189" s="193">
        <v>45968.0</v>
      </c>
      <c r="F189" s="186" t="s">
        <v>76</v>
      </c>
      <c r="G189" s="212">
        <v>0.0</v>
      </c>
      <c r="H189" s="202" t="s">
        <v>81</v>
      </c>
      <c r="I189" s="212">
        <v>101000.0</v>
      </c>
      <c r="J189" s="212">
        <v>1000.0</v>
      </c>
      <c r="K189" s="200">
        <f t="shared" si="4"/>
        <v>0.009900990099</v>
      </c>
      <c r="L189" s="192">
        <v>0.0</v>
      </c>
      <c r="M189" s="179">
        <f t="shared" si="9"/>
        <v>16225.37173</v>
      </c>
      <c r="N189" s="176">
        <v>1.0</v>
      </c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</row>
    <row r="190">
      <c r="A190" s="158"/>
      <c r="B190" s="158"/>
      <c r="C190" s="158"/>
      <c r="D190" s="158"/>
      <c r="E190" s="193">
        <v>45970.0</v>
      </c>
      <c r="F190" s="186" t="s">
        <v>76</v>
      </c>
      <c r="G190" s="212">
        <v>0.0</v>
      </c>
      <c r="H190" s="202" t="s">
        <v>81</v>
      </c>
      <c r="I190" s="212">
        <v>106000.0</v>
      </c>
      <c r="J190" s="212">
        <v>400.0</v>
      </c>
      <c r="K190" s="200">
        <f t="shared" si="4"/>
        <v>0.003773584906</v>
      </c>
      <c r="L190" s="192">
        <v>0.0</v>
      </c>
      <c r="M190" s="179">
        <f t="shared" si="9"/>
        <v>15825.37173</v>
      </c>
      <c r="N190" s="176">
        <v>1.0</v>
      </c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</row>
    <row r="191">
      <c r="A191" s="158"/>
      <c r="B191" s="158"/>
      <c r="C191" s="158"/>
      <c r="D191" s="158"/>
      <c r="E191" s="193">
        <v>45971.0</v>
      </c>
      <c r="F191" s="186" t="s">
        <v>90</v>
      </c>
      <c r="G191" s="212">
        <v>0.0</v>
      </c>
      <c r="H191" s="202" t="s">
        <v>97</v>
      </c>
      <c r="I191" s="212">
        <v>2.9</v>
      </c>
      <c r="J191" s="212">
        <v>362.05542527</v>
      </c>
      <c r="K191" s="195">
        <f t="shared" si="4"/>
        <v>124.8466984</v>
      </c>
      <c r="L191" s="192">
        <v>0.0</v>
      </c>
      <c r="M191" s="179">
        <f t="shared" si="9"/>
        <v>16187.42716</v>
      </c>
      <c r="N191" s="176">
        <v>0.0</v>
      </c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</row>
    <row r="192">
      <c r="A192" s="158"/>
      <c r="B192" s="158"/>
      <c r="C192" s="158"/>
      <c r="D192" s="158"/>
      <c r="E192" s="193">
        <v>45971.0</v>
      </c>
      <c r="F192" s="186" t="s">
        <v>76</v>
      </c>
      <c r="G192" s="212">
        <v>0.0</v>
      </c>
      <c r="H192" s="202" t="s">
        <v>81</v>
      </c>
      <c r="I192" s="212">
        <v>105000.0</v>
      </c>
      <c r="J192" s="212">
        <v>105.0</v>
      </c>
      <c r="K192" s="198">
        <f t="shared" si="4"/>
        <v>0.001</v>
      </c>
      <c r="L192" s="192">
        <v>0.0</v>
      </c>
      <c r="M192" s="179">
        <f t="shared" si="9"/>
        <v>16082.42716</v>
      </c>
      <c r="N192" s="176">
        <v>1.0</v>
      </c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</row>
    <row r="193">
      <c r="A193" s="158"/>
      <c r="B193" s="158"/>
      <c r="C193" s="158"/>
      <c r="D193" s="158"/>
      <c r="E193" s="193">
        <v>45972.0</v>
      </c>
      <c r="F193" s="186" t="s">
        <v>76</v>
      </c>
      <c r="G193" s="212">
        <v>0.0</v>
      </c>
      <c r="H193" s="202" t="s">
        <v>81</v>
      </c>
      <c r="I193" s="212">
        <v>104000.0</v>
      </c>
      <c r="J193" s="212">
        <v>208.0</v>
      </c>
      <c r="K193" s="198">
        <f t="shared" si="4"/>
        <v>0.002</v>
      </c>
      <c r="L193" s="192">
        <v>0.0</v>
      </c>
      <c r="M193" s="179">
        <f>IF(E193="","",IF(G193=0,IF(F193="Invest",M192-J193-L193+200,M192+J193),M192))</f>
        <v>16074.42716</v>
      </c>
      <c r="N193" s="176">
        <v>1.0</v>
      </c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</row>
    <row r="194">
      <c r="A194" s="158"/>
      <c r="B194" s="158"/>
      <c r="C194" s="158"/>
      <c r="D194" s="158"/>
      <c r="E194" s="193">
        <v>45974.0</v>
      </c>
      <c r="F194" s="186" t="s">
        <v>76</v>
      </c>
      <c r="G194" s="212">
        <v>0.0</v>
      </c>
      <c r="H194" s="202" t="s">
        <v>81</v>
      </c>
      <c r="I194" s="212">
        <v>98000.0</v>
      </c>
      <c r="J194" s="212">
        <v>1100.0</v>
      </c>
      <c r="K194" s="198">
        <f t="shared" si="4"/>
        <v>0.0112244898</v>
      </c>
      <c r="L194" s="192">
        <v>0.0</v>
      </c>
      <c r="M194" s="179">
        <f t="shared" ref="M194:M207" si="10">IF(E194="","",IF(G194=0,IF(F194="Invest",M193-J194-L194,M193+J194),M193))</f>
        <v>14974.42716</v>
      </c>
      <c r="N194" s="176">
        <v>1.0</v>
      </c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</row>
    <row r="195">
      <c r="A195" s="158"/>
      <c r="B195" s="158"/>
      <c r="C195" s="158"/>
      <c r="D195" s="158"/>
      <c r="E195" s="193">
        <v>45974.0</v>
      </c>
      <c r="F195" s="186" t="s">
        <v>76</v>
      </c>
      <c r="G195" s="212">
        <v>0.0</v>
      </c>
      <c r="H195" s="202" t="s">
        <v>81</v>
      </c>
      <c r="I195" s="212">
        <v>96100.0</v>
      </c>
      <c r="J195" s="212">
        <v>976.18819823</v>
      </c>
      <c r="K195" s="198">
        <f t="shared" si="4"/>
        <v>0.01015804577</v>
      </c>
      <c r="L195" s="192">
        <v>0.0</v>
      </c>
      <c r="M195" s="179">
        <f t="shared" si="10"/>
        <v>13998.23896</v>
      </c>
      <c r="N195" s="176">
        <v>1.0</v>
      </c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</row>
    <row r="196">
      <c r="A196" s="158"/>
      <c r="B196" s="158"/>
      <c r="C196" s="158"/>
      <c r="D196" s="158"/>
      <c r="E196" s="193">
        <v>45974.0</v>
      </c>
      <c r="F196" s="186" t="s">
        <v>76</v>
      </c>
      <c r="G196" s="212">
        <v>0.0</v>
      </c>
      <c r="H196" s="202" t="s">
        <v>83</v>
      </c>
      <c r="I196" s="212">
        <v>3180.0</v>
      </c>
      <c r="J196" s="212">
        <v>700.5479</v>
      </c>
      <c r="K196" s="198">
        <f t="shared" si="4"/>
        <v>0.2202980818</v>
      </c>
      <c r="L196" s="192">
        <v>0.0</v>
      </c>
      <c r="M196" s="179">
        <f t="shared" si="10"/>
        <v>13297.69106</v>
      </c>
      <c r="N196" s="176">
        <v>1.0</v>
      </c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</row>
    <row r="197">
      <c r="A197" s="158"/>
      <c r="B197" s="158"/>
      <c r="C197" s="158"/>
      <c r="D197" s="158"/>
      <c r="E197" s="193">
        <v>45974.0</v>
      </c>
      <c r="F197" s="186" t="s">
        <v>76</v>
      </c>
      <c r="G197" s="212">
        <v>0.0</v>
      </c>
      <c r="H197" s="202" t="s">
        <v>81</v>
      </c>
      <c r="I197" s="212">
        <v>96500.0</v>
      </c>
      <c r="J197" s="212">
        <v>1000.0</v>
      </c>
      <c r="K197" s="198">
        <f t="shared" si="4"/>
        <v>0.0103626943</v>
      </c>
      <c r="L197" s="192">
        <v>0.0</v>
      </c>
      <c r="M197" s="179">
        <f t="shared" si="10"/>
        <v>12297.69106</v>
      </c>
      <c r="N197" s="176">
        <v>1.0</v>
      </c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</row>
    <row r="198">
      <c r="A198" s="158"/>
      <c r="B198" s="158"/>
      <c r="C198" s="158"/>
      <c r="D198" s="158"/>
      <c r="E198" s="193">
        <v>45974.0</v>
      </c>
      <c r="F198" s="186" t="s">
        <v>76</v>
      </c>
      <c r="G198" s="212">
        <v>0.0</v>
      </c>
      <c r="H198" s="202" t="s">
        <v>81</v>
      </c>
      <c r="I198" s="212">
        <v>96000.0</v>
      </c>
      <c r="J198" s="212">
        <v>1000.0</v>
      </c>
      <c r="K198" s="198">
        <f t="shared" si="4"/>
        <v>0.01041666667</v>
      </c>
      <c r="L198" s="192">
        <v>0.0</v>
      </c>
      <c r="M198" s="179">
        <f t="shared" si="10"/>
        <v>11297.69106</v>
      </c>
      <c r="N198" s="176">
        <v>1.0</v>
      </c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</row>
    <row r="199">
      <c r="A199" s="158"/>
      <c r="B199" s="158"/>
      <c r="C199" s="158"/>
      <c r="D199" s="158"/>
      <c r="E199" s="193">
        <v>45974.0</v>
      </c>
      <c r="F199" s="186" t="s">
        <v>76</v>
      </c>
      <c r="G199" s="212">
        <v>0.0</v>
      </c>
      <c r="H199" s="202" t="s">
        <v>81</v>
      </c>
      <c r="I199" s="212">
        <v>95500.0</v>
      </c>
      <c r="J199" s="212">
        <v>500.0</v>
      </c>
      <c r="K199" s="198">
        <f t="shared" si="4"/>
        <v>0.005235602094</v>
      </c>
      <c r="L199" s="192">
        <v>0.0</v>
      </c>
      <c r="M199" s="179">
        <f t="shared" si="10"/>
        <v>10797.69106</v>
      </c>
      <c r="N199" s="176">
        <v>1.0</v>
      </c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</row>
    <row r="200">
      <c r="A200" s="158"/>
      <c r="B200" s="158"/>
      <c r="C200" s="158"/>
      <c r="D200" s="158"/>
      <c r="E200" s="193">
        <v>45974.0</v>
      </c>
      <c r="F200" s="186" t="s">
        <v>76</v>
      </c>
      <c r="G200" s="212">
        <v>0.0</v>
      </c>
      <c r="H200" s="202" t="s">
        <v>81</v>
      </c>
      <c r="I200" s="212">
        <v>95000.0</v>
      </c>
      <c r="J200" s="212">
        <v>1000.0</v>
      </c>
      <c r="K200" s="198">
        <f t="shared" si="4"/>
        <v>0.01052631579</v>
      </c>
      <c r="L200" s="192">
        <v>0.0</v>
      </c>
      <c r="M200" s="179">
        <f t="shared" si="10"/>
        <v>9797.69106</v>
      </c>
      <c r="N200" s="176">
        <v>1.0</v>
      </c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</row>
    <row r="201">
      <c r="A201" s="158"/>
      <c r="B201" s="158"/>
      <c r="C201" s="158"/>
      <c r="D201" s="158"/>
      <c r="E201" s="193">
        <v>45974.0</v>
      </c>
      <c r="F201" s="186" t="s">
        <v>76</v>
      </c>
      <c r="G201" s="212">
        <v>0.0</v>
      </c>
      <c r="H201" s="202" t="s">
        <v>81</v>
      </c>
      <c r="I201" s="212">
        <v>94800.0</v>
      </c>
      <c r="J201" s="212">
        <v>300.0</v>
      </c>
      <c r="K201" s="198">
        <f t="shared" si="4"/>
        <v>0.003164556962</v>
      </c>
      <c r="L201" s="192">
        <v>0.0</v>
      </c>
      <c r="M201" s="179">
        <f t="shared" si="10"/>
        <v>9497.69106</v>
      </c>
      <c r="N201" s="176">
        <v>1.0</v>
      </c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</row>
    <row r="202">
      <c r="A202" s="158"/>
      <c r="B202" s="158"/>
      <c r="C202" s="158"/>
      <c r="D202" s="158"/>
      <c r="E202" s="193">
        <v>45975.0</v>
      </c>
      <c r="F202" s="186" t="s">
        <v>76</v>
      </c>
      <c r="G202" s="212">
        <v>0.0</v>
      </c>
      <c r="H202" s="202" t="s">
        <v>81</v>
      </c>
      <c r="I202" s="212">
        <v>94600.0</v>
      </c>
      <c r="J202" s="212">
        <v>500.0</v>
      </c>
      <c r="K202" s="198">
        <f t="shared" si="4"/>
        <v>0.005285412262</v>
      </c>
      <c r="L202" s="192">
        <v>0.0</v>
      </c>
      <c r="M202" s="179">
        <f t="shared" si="10"/>
        <v>8997.69106</v>
      </c>
      <c r="N202" s="176">
        <v>1.0</v>
      </c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</row>
    <row r="203">
      <c r="A203" s="158"/>
      <c r="B203" s="158"/>
      <c r="C203" s="158"/>
      <c r="D203" s="158"/>
      <c r="E203" s="193">
        <v>45977.0</v>
      </c>
      <c r="F203" s="186" t="s">
        <v>76</v>
      </c>
      <c r="G203" s="212">
        <v>0.0</v>
      </c>
      <c r="H203" s="202" t="s">
        <v>81</v>
      </c>
      <c r="I203" s="212">
        <v>92500.0</v>
      </c>
      <c r="J203" s="212">
        <v>487.54</v>
      </c>
      <c r="K203" s="198">
        <f t="shared" si="4"/>
        <v>0.005270702703</v>
      </c>
      <c r="L203" s="192">
        <v>0.0</v>
      </c>
      <c r="M203" s="179">
        <f t="shared" si="10"/>
        <v>8510.15106</v>
      </c>
      <c r="N203" s="176">
        <v>1.0</v>
      </c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</row>
    <row r="204">
      <c r="A204" s="158"/>
      <c r="B204" s="158"/>
      <c r="C204" s="158"/>
      <c r="D204" s="158"/>
      <c r="E204" s="193">
        <v>45977.0</v>
      </c>
      <c r="F204" s="186" t="s">
        <v>76</v>
      </c>
      <c r="G204" s="212">
        <v>0.0</v>
      </c>
      <c r="H204" s="202" t="s">
        <v>83</v>
      </c>
      <c r="I204" s="212">
        <v>2950.0</v>
      </c>
      <c r="J204" s="212">
        <v>413.0</v>
      </c>
      <c r="K204" s="198">
        <f t="shared" si="4"/>
        <v>0.14</v>
      </c>
      <c r="L204" s="192">
        <v>0.0</v>
      </c>
      <c r="M204" s="179">
        <f t="shared" si="10"/>
        <v>8097.15106</v>
      </c>
      <c r="N204" s="176">
        <v>1.0</v>
      </c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</row>
    <row r="205">
      <c r="A205" s="158"/>
      <c r="B205" s="158"/>
      <c r="C205" s="158"/>
      <c r="D205" s="158"/>
      <c r="E205" s="193">
        <v>45978.0</v>
      </c>
      <c r="F205" s="186" t="s">
        <v>90</v>
      </c>
      <c r="G205" s="212">
        <v>0.0</v>
      </c>
      <c r="H205" s="202" t="s">
        <v>100</v>
      </c>
      <c r="I205" s="212">
        <v>2.305</v>
      </c>
      <c r="J205" s="212">
        <v>60.1153498</v>
      </c>
      <c r="K205" s="191">
        <f t="shared" si="4"/>
        <v>26.08041206</v>
      </c>
      <c r="L205" s="192">
        <v>0.0</v>
      </c>
      <c r="M205" s="179">
        <f t="shared" si="10"/>
        <v>8157.26641</v>
      </c>
      <c r="N205" s="176">
        <v>1.0</v>
      </c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</row>
    <row r="206">
      <c r="A206" s="158"/>
      <c r="B206" s="158"/>
      <c r="C206" s="158"/>
      <c r="D206" s="158"/>
      <c r="E206" s="193">
        <v>45978.0</v>
      </c>
      <c r="F206" s="186" t="s">
        <v>90</v>
      </c>
      <c r="G206" s="212">
        <v>0.0</v>
      </c>
      <c r="H206" s="202" t="s">
        <v>85</v>
      </c>
      <c r="I206" s="212">
        <v>138.0</v>
      </c>
      <c r="J206" s="212">
        <v>345.0</v>
      </c>
      <c r="K206" s="191">
        <f t="shared" si="4"/>
        <v>2.5</v>
      </c>
      <c r="L206" s="192">
        <v>0.0</v>
      </c>
      <c r="M206" s="179">
        <f t="shared" si="10"/>
        <v>8502.26641</v>
      </c>
      <c r="N206" s="176">
        <v>0.0</v>
      </c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</row>
    <row r="207">
      <c r="A207" s="158"/>
      <c r="B207" s="158"/>
      <c r="C207" s="158"/>
      <c r="D207" s="158"/>
      <c r="E207" s="193">
        <v>45978.0</v>
      </c>
      <c r="F207" s="186" t="s">
        <v>90</v>
      </c>
      <c r="G207" s="212">
        <v>0.0</v>
      </c>
      <c r="H207" s="202" t="s">
        <v>85</v>
      </c>
      <c r="I207" s="212">
        <v>140.0</v>
      </c>
      <c r="J207" s="212">
        <v>280.0</v>
      </c>
      <c r="K207" s="191">
        <f t="shared" si="4"/>
        <v>2</v>
      </c>
      <c r="L207" s="192">
        <v>0.0</v>
      </c>
      <c r="M207" s="179">
        <f t="shared" si="10"/>
        <v>8782.26641</v>
      </c>
      <c r="N207" s="176">
        <v>0.0</v>
      </c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</row>
    <row r="208">
      <c r="A208" s="158"/>
      <c r="B208" s="158"/>
      <c r="C208" s="158"/>
      <c r="D208" s="158"/>
      <c r="E208" s="193">
        <v>45979.0</v>
      </c>
      <c r="F208" s="186" t="s">
        <v>90</v>
      </c>
      <c r="G208" s="212">
        <v>0.0</v>
      </c>
      <c r="H208" s="202" t="s">
        <v>87</v>
      </c>
      <c r="I208" s="212">
        <v>330.0</v>
      </c>
      <c r="J208" s="212">
        <v>231.0</v>
      </c>
      <c r="K208" s="191">
        <f t="shared" si="4"/>
        <v>0.7</v>
      </c>
      <c r="L208" s="192">
        <v>0.0</v>
      </c>
      <c r="M208" s="179">
        <f>IF(E208="","",IF(G208=0,IF(F208="Invest",M207-J208-L208,M207+J208+85),M207))</f>
        <v>9098.26641</v>
      </c>
      <c r="N208" s="176">
        <v>1.0</v>
      </c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</row>
    <row r="209">
      <c r="A209" s="158"/>
      <c r="B209" s="158"/>
      <c r="C209" s="158"/>
      <c r="D209" s="158"/>
      <c r="E209" s="193">
        <v>45980.0</v>
      </c>
      <c r="F209" s="186" t="s">
        <v>76</v>
      </c>
      <c r="G209" s="212">
        <v>0.0</v>
      </c>
      <c r="H209" s="202" t="s">
        <v>81</v>
      </c>
      <c r="I209" s="212">
        <v>88000.0</v>
      </c>
      <c r="J209" s="212">
        <v>300.0</v>
      </c>
      <c r="K209" s="200">
        <f t="shared" si="4"/>
        <v>0.003409090909</v>
      </c>
      <c r="L209" s="192">
        <v>0.0</v>
      </c>
      <c r="M209" s="179">
        <f t="shared" ref="M209:M222" si="11">IF(E209="","",IF(G209=0,IF(F209="Invest",M208-J209-L209,M208+J209),M208))</f>
        <v>8798.26641</v>
      </c>
      <c r="N209" s="176">
        <v>1.0</v>
      </c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</row>
    <row r="210">
      <c r="A210" s="158"/>
      <c r="B210" s="158"/>
      <c r="C210" s="158"/>
      <c r="D210" s="158"/>
      <c r="E210" s="193">
        <v>45981.0</v>
      </c>
      <c r="F210" s="186" t="s">
        <v>76</v>
      </c>
      <c r="G210" s="212">
        <v>0.0</v>
      </c>
      <c r="H210" s="202" t="s">
        <v>81</v>
      </c>
      <c r="I210" s="212">
        <v>87000.0</v>
      </c>
      <c r="J210" s="212">
        <v>300.0</v>
      </c>
      <c r="K210" s="200">
        <f t="shared" si="4"/>
        <v>0.003448275862</v>
      </c>
      <c r="L210" s="192">
        <v>0.0</v>
      </c>
      <c r="M210" s="179">
        <f t="shared" si="11"/>
        <v>8498.26641</v>
      </c>
      <c r="N210" s="176">
        <v>1.0</v>
      </c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</row>
    <row r="211">
      <c r="A211" s="158"/>
      <c r="B211" s="158"/>
      <c r="C211" s="158"/>
      <c r="D211" s="158"/>
      <c r="E211" s="193">
        <v>45981.0</v>
      </c>
      <c r="F211" s="186" t="s">
        <v>76</v>
      </c>
      <c r="G211" s="212">
        <v>0.0</v>
      </c>
      <c r="H211" s="202" t="s">
        <v>81</v>
      </c>
      <c r="I211" s="212">
        <v>86000.0</v>
      </c>
      <c r="J211" s="212">
        <v>500.0</v>
      </c>
      <c r="K211" s="200">
        <f t="shared" si="4"/>
        <v>0.005813953488</v>
      </c>
      <c r="L211" s="192">
        <v>0.0</v>
      </c>
      <c r="M211" s="179">
        <f t="shared" si="11"/>
        <v>7998.26641</v>
      </c>
      <c r="N211" s="176">
        <v>1.0</v>
      </c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</row>
    <row r="212">
      <c r="A212" s="158"/>
      <c r="B212" s="158"/>
      <c r="C212" s="158"/>
      <c r="D212" s="158"/>
      <c r="E212" s="193">
        <v>45981.0</v>
      </c>
      <c r="F212" s="186" t="s">
        <v>76</v>
      </c>
      <c r="G212" s="212">
        <v>0.0</v>
      </c>
      <c r="H212" s="202" t="s">
        <v>85</v>
      </c>
      <c r="I212" s="212">
        <v>125.0</v>
      </c>
      <c r="J212" s="212">
        <v>125.0</v>
      </c>
      <c r="K212" s="191">
        <f t="shared" si="4"/>
        <v>1</v>
      </c>
      <c r="L212" s="192">
        <v>0.0</v>
      </c>
      <c r="M212" s="179">
        <f t="shared" si="11"/>
        <v>7873.26641</v>
      </c>
      <c r="N212" s="176">
        <v>1.0</v>
      </c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</row>
    <row r="213">
      <c r="A213" s="158"/>
      <c r="B213" s="158"/>
      <c r="C213" s="158"/>
      <c r="D213" s="158"/>
      <c r="E213" s="193">
        <v>45981.0</v>
      </c>
      <c r="F213" s="186" t="s">
        <v>76</v>
      </c>
      <c r="G213" s="212">
        <v>0.0</v>
      </c>
      <c r="H213" s="202" t="s">
        <v>81</v>
      </c>
      <c r="I213" s="212">
        <v>86250.0</v>
      </c>
      <c r="J213" s="212">
        <v>275.0</v>
      </c>
      <c r="K213" s="198">
        <f t="shared" si="4"/>
        <v>0.003188405797</v>
      </c>
      <c r="L213" s="192">
        <v>0.0</v>
      </c>
      <c r="M213" s="179">
        <f t="shared" si="11"/>
        <v>7598.26641</v>
      </c>
      <c r="N213" s="176">
        <v>1.0</v>
      </c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</row>
    <row r="214">
      <c r="A214" s="158"/>
      <c r="B214" s="158"/>
      <c r="C214" s="158"/>
      <c r="D214" s="158"/>
      <c r="E214" s="201">
        <v>45981.0</v>
      </c>
      <c r="F214" s="186" t="s">
        <v>76</v>
      </c>
      <c r="G214" s="212">
        <v>0.0</v>
      </c>
      <c r="H214" s="202" t="s">
        <v>81</v>
      </c>
      <c r="I214" s="212">
        <v>83500.0</v>
      </c>
      <c r="J214" s="212">
        <v>100.0</v>
      </c>
      <c r="K214" s="198">
        <f t="shared" si="4"/>
        <v>0.00119760479</v>
      </c>
      <c r="L214" s="192">
        <v>0.0</v>
      </c>
      <c r="M214" s="179">
        <f t="shared" si="11"/>
        <v>7498.26641</v>
      </c>
      <c r="N214" s="176">
        <v>1.0</v>
      </c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</row>
    <row r="215">
      <c r="A215" s="158"/>
      <c r="B215" s="158"/>
      <c r="C215" s="158"/>
      <c r="D215" s="158"/>
      <c r="E215" s="193">
        <v>45981.0</v>
      </c>
      <c r="F215" s="186" t="s">
        <v>76</v>
      </c>
      <c r="G215" s="212">
        <v>0.0</v>
      </c>
      <c r="H215" s="202" t="s">
        <v>81</v>
      </c>
      <c r="I215" s="212">
        <v>83000.0</v>
      </c>
      <c r="J215" s="212">
        <v>250.0</v>
      </c>
      <c r="K215" s="198">
        <f t="shared" si="4"/>
        <v>0.003012048193</v>
      </c>
      <c r="L215" s="192">
        <v>0.0</v>
      </c>
      <c r="M215" s="179">
        <f t="shared" si="11"/>
        <v>7248.26641</v>
      </c>
      <c r="N215" s="176">
        <v>1.0</v>
      </c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</row>
    <row r="216">
      <c r="A216" s="158"/>
      <c r="B216" s="158"/>
      <c r="C216" s="158"/>
      <c r="D216" s="158"/>
      <c r="E216" s="193">
        <v>45981.0</v>
      </c>
      <c r="F216" s="186" t="s">
        <v>76</v>
      </c>
      <c r="G216" s="212">
        <v>0.0</v>
      </c>
      <c r="H216" s="202" t="s">
        <v>81</v>
      </c>
      <c r="I216" s="212">
        <v>82800.0</v>
      </c>
      <c r="J216" s="212">
        <v>150.0</v>
      </c>
      <c r="K216" s="198">
        <f t="shared" si="4"/>
        <v>0.001811594203</v>
      </c>
      <c r="L216" s="192">
        <v>0.0</v>
      </c>
      <c r="M216" s="179">
        <f t="shared" si="11"/>
        <v>7098.26641</v>
      </c>
      <c r="N216" s="176">
        <v>1.0</v>
      </c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</row>
    <row r="217">
      <c r="A217" s="158"/>
      <c r="B217" s="158"/>
      <c r="C217" s="158"/>
      <c r="D217" s="158"/>
      <c r="E217" s="193">
        <v>45982.0</v>
      </c>
      <c r="F217" s="186" t="s">
        <v>76</v>
      </c>
      <c r="G217" s="212">
        <v>0.0</v>
      </c>
      <c r="H217" s="202" t="s">
        <v>83</v>
      </c>
      <c r="I217" s="212">
        <v>2800.0</v>
      </c>
      <c r="J217" s="212">
        <v>100.0</v>
      </c>
      <c r="K217" s="198">
        <f t="shared" si="4"/>
        <v>0.03571428571</v>
      </c>
      <c r="L217" s="192">
        <v>0.0</v>
      </c>
      <c r="M217" s="179">
        <f t="shared" si="11"/>
        <v>6998.26641</v>
      </c>
      <c r="N217" s="176">
        <v>1.0</v>
      </c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</row>
    <row r="218">
      <c r="A218" s="158"/>
      <c r="B218" s="158"/>
      <c r="C218" s="158"/>
      <c r="D218" s="158"/>
      <c r="E218" s="193">
        <v>45988.0</v>
      </c>
      <c r="F218" s="186" t="s">
        <v>90</v>
      </c>
      <c r="G218" s="212">
        <v>0.0</v>
      </c>
      <c r="H218" s="202" t="s">
        <v>87</v>
      </c>
      <c r="I218" s="212">
        <v>310.0</v>
      </c>
      <c r="J218" s="212">
        <v>158.1148459</v>
      </c>
      <c r="K218" s="191">
        <f t="shared" si="4"/>
        <v>0.51004789</v>
      </c>
      <c r="L218" s="192">
        <v>0.0</v>
      </c>
      <c r="M218" s="179">
        <f t="shared" si="11"/>
        <v>7156.381256</v>
      </c>
      <c r="N218" s="176">
        <v>1.0</v>
      </c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</row>
    <row r="219">
      <c r="A219" s="158"/>
      <c r="B219" s="158"/>
      <c r="C219" s="158"/>
      <c r="D219" s="158"/>
      <c r="E219" s="193">
        <v>45988.0</v>
      </c>
      <c r="F219" s="186" t="s">
        <v>90</v>
      </c>
      <c r="G219" s="212">
        <v>0.0</v>
      </c>
      <c r="H219" s="202" t="s">
        <v>81</v>
      </c>
      <c r="I219" s="212">
        <v>91700.0</v>
      </c>
      <c r="J219" s="212">
        <v>183.4</v>
      </c>
      <c r="K219" s="194">
        <f t="shared" si="4"/>
        <v>0.002</v>
      </c>
      <c r="L219" s="192">
        <v>0.0</v>
      </c>
      <c r="M219" s="179">
        <f t="shared" si="11"/>
        <v>7339.781256</v>
      </c>
      <c r="N219" s="176">
        <v>1.0</v>
      </c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</row>
    <row r="220">
      <c r="A220" s="158"/>
      <c r="B220" s="158"/>
      <c r="C220" s="158"/>
      <c r="D220" s="158"/>
      <c r="E220" s="193">
        <v>45988.0</v>
      </c>
      <c r="F220" s="186" t="s">
        <v>90</v>
      </c>
      <c r="G220" s="212">
        <v>0.0</v>
      </c>
      <c r="H220" s="202" t="s">
        <v>81</v>
      </c>
      <c r="I220" s="212">
        <v>92000.0</v>
      </c>
      <c r="J220" s="212">
        <v>276.0</v>
      </c>
      <c r="K220" s="194">
        <f t="shared" si="4"/>
        <v>0.003</v>
      </c>
      <c r="L220" s="192">
        <v>0.0</v>
      </c>
      <c r="M220" s="179">
        <f t="shared" si="11"/>
        <v>7615.781256</v>
      </c>
      <c r="N220" s="176">
        <v>1.0</v>
      </c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</row>
    <row r="221">
      <c r="A221" s="158"/>
      <c r="B221" s="158"/>
      <c r="C221" s="158"/>
      <c r="D221" s="158"/>
      <c r="E221" s="193">
        <v>45989.0</v>
      </c>
      <c r="F221" s="186" t="s">
        <v>90</v>
      </c>
      <c r="G221" s="212">
        <v>0.0</v>
      </c>
      <c r="H221" s="202" t="s">
        <v>85</v>
      </c>
      <c r="I221" s="212">
        <v>143.5</v>
      </c>
      <c r="J221" s="212">
        <v>358.75</v>
      </c>
      <c r="K221" s="195">
        <f t="shared" si="4"/>
        <v>2.5</v>
      </c>
      <c r="L221" s="192">
        <v>0.0</v>
      </c>
      <c r="M221" s="179">
        <f t="shared" si="11"/>
        <v>7974.531256</v>
      </c>
      <c r="N221" s="176">
        <v>1.0</v>
      </c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  <c r="AB221" s="166"/>
      <c r="AC221" s="166"/>
      <c r="AD221" s="166"/>
      <c r="AE221" s="166"/>
      <c r="AF221" s="166"/>
    </row>
    <row r="222">
      <c r="A222" s="158"/>
      <c r="B222" s="158"/>
      <c r="C222" s="158"/>
      <c r="D222" s="158"/>
      <c r="E222" s="193">
        <v>45991.0</v>
      </c>
      <c r="F222" s="186" t="s">
        <v>76</v>
      </c>
      <c r="G222" s="212">
        <v>0.0</v>
      </c>
      <c r="H222" s="202" t="s">
        <v>91</v>
      </c>
      <c r="I222" s="213">
        <v>0.149</v>
      </c>
      <c r="J222" s="212">
        <v>185.87</v>
      </c>
      <c r="K222" s="195">
        <f t="shared" si="4"/>
        <v>1247.449664</v>
      </c>
      <c r="L222" s="192">
        <v>0.0</v>
      </c>
      <c r="M222" s="179">
        <f t="shared" si="11"/>
        <v>7788.661256</v>
      </c>
      <c r="N222" s="176">
        <v>1.0</v>
      </c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  <c r="AB222" s="166"/>
      <c r="AC222" s="166"/>
      <c r="AD222" s="166"/>
      <c r="AE222" s="166"/>
      <c r="AF222" s="166"/>
    </row>
    <row r="223">
      <c r="A223" s="158"/>
      <c r="B223" s="158"/>
      <c r="C223" s="158"/>
      <c r="D223" s="158"/>
      <c r="E223" s="193">
        <v>45992.0</v>
      </c>
      <c r="F223" s="186" t="s">
        <v>90</v>
      </c>
      <c r="G223" s="212">
        <v>0.0</v>
      </c>
      <c r="H223" s="202" t="s">
        <v>96</v>
      </c>
      <c r="I223" s="212">
        <v>168.0</v>
      </c>
      <c r="J223" s="212">
        <v>462.0</v>
      </c>
      <c r="K223" s="195">
        <f t="shared" si="4"/>
        <v>2.75</v>
      </c>
      <c r="L223" s="192">
        <v>0.0</v>
      </c>
      <c r="M223" s="179">
        <f>IF(E223="","",IF(G223=0,IF(F223="Invest",M222-J223-L223,M222+J223+12),M222))</f>
        <v>8262.661256</v>
      </c>
      <c r="N223" s="176">
        <v>0.0</v>
      </c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  <c r="AB223" s="166"/>
      <c r="AC223" s="166"/>
      <c r="AD223" s="166"/>
      <c r="AE223" s="166"/>
      <c r="AF223" s="166"/>
    </row>
    <row r="224">
      <c r="A224" s="158"/>
      <c r="B224" s="158"/>
      <c r="C224" s="158"/>
      <c r="D224" s="158"/>
      <c r="E224" s="193">
        <v>45992.0</v>
      </c>
      <c r="F224" s="186" t="s">
        <v>90</v>
      </c>
      <c r="G224" s="212">
        <v>0.0</v>
      </c>
      <c r="H224" s="202" t="s">
        <v>92</v>
      </c>
      <c r="I224" s="212">
        <v>12.0</v>
      </c>
      <c r="J224" s="212">
        <v>600.0</v>
      </c>
      <c r="K224" s="195">
        <f t="shared" si="4"/>
        <v>50</v>
      </c>
      <c r="L224" s="192">
        <v>0.0</v>
      </c>
      <c r="M224" s="179">
        <f t="shared" ref="M224:M249" si="12">IF(E224="","",IF(G224=0,IF(F224="Invest",M223-J224-L224,M223+J224),M223))</f>
        <v>8862.661256</v>
      </c>
      <c r="N224" s="176">
        <v>1.0</v>
      </c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  <c r="AB224" s="166"/>
      <c r="AC224" s="166"/>
      <c r="AD224" s="166"/>
      <c r="AE224" s="166"/>
      <c r="AF224" s="166"/>
    </row>
    <row r="225">
      <c r="A225" s="158"/>
      <c r="B225" s="158"/>
      <c r="C225" s="158"/>
      <c r="D225" s="158"/>
      <c r="E225" s="193">
        <v>45992.0</v>
      </c>
      <c r="F225" s="186" t="s">
        <v>90</v>
      </c>
      <c r="G225" s="212">
        <v>0.0</v>
      </c>
      <c r="H225" s="202" t="s">
        <v>92</v>
      </c>
      <c r="I225" s="212">
        <v>12.25</v>
      </c>
      <c r="J225" s="212">
        <v>490.65154969</v>
      </c>
      <c r="K225" s="195">
        <f t="shared" si="4"/>
        <v>40.05318773</v>
      </c>
      <c r="L225" s="192">
        <v>0.0</v>
      </c>
      <c r="M225" s="179">
        <f t="shared" si="12"/>
        <v>9353.312806</v>
      </c>
      <c r="N225" s="176">
        <v>1.0</v>
      </c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  <c r="AB225" s="166"/>
      <c r="AC225" s="166"/>
      <c r="AD225" s="166"/>
      <c r="AE225" s="166"/>
      <c r="AF225" s="166"/>
    </row>
    <row r="226">
      <c r="A226" s="158"/>
      <c r="B226" s="158"/>
      <c r="C226" s="158"/>
      <c r="D226" s="158"/>
      <c r="E226" s="193">
        <v>45992.0</v>
      </c>
      <c r="F226" s="186" t="s">
        <v>90</v>
      </c>
      <c r="G226" s="212">
        <v>0.0</v>
      </c>
      <c r="H226" s="202" t="s">
        <v>85</v>
      </c>
      <c r="I226" s="212">
        <v>130.0</v>
      </c>
      <c r="J226" s="212">
        <v>206.9886169</v>
      </c>
      <c r="K226" s="191">
        <f t="shared" si="4"/>
        <v>1.59222013</v>
      </c>
      <c r="L226" s="192">
        <v>0.0</v>
      </c>
      <c r="M226" s="179">
        <f t="shared" si="12"/>
        <v>9560.301423</v>
      </c>
      <c r="N226" s="176">
        <v>0.0</v>
      </c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  <c r="AB226" s="166"/>
      <c r="AC226" s="166"/>
      <c r="AD226" s="166"/>
      <c r="AE226" s="166"/>
      <c r="AF226" s="166"/>
    </row>
    <row r="227">
      <c r="A227" s="158"/>
      <c r="B227" s="158"/>
      <c r="C227" s="158"/>
      <c r="D227" s="158"/>
      <c r="E227" s="193">
        <v>45993.0</v>
      </c>
      <c r="F227" s="186" t="s">
        <v>90</v>
      </c>
      <c r="G227" s="212">
        <v>0.0</v>
      </c>
      <c r="H227" s="202" t="s">
        <v>85</v>
      </c>
      <c r="I227" s="212">
        <v>135.0</v>
      </c>
      <c r="J227" s="212">
        <v>270.0</v>
      </c>
      <c r="K227" s="191">
        <f t="shared" si="4"/>
        <v>2</v>
      </c>
      <c r="L227" s="192">
        <v>0.0</v>
      </c>
      <c r="M227" s="179">
        <f t="shared" si="12"/>
        <v>9830.301423</v>
      </c>
      <c r="N227" s="176">
        <v>0.0</v>
      </c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  <c r="AB227" s="166"/>
      <c r="AC227" s="166"/>
      <c r="AD227" s="166"/>
      <c r="AE227" s="166"/>
      <c r="AF227" s="166"/>
    </row>
    <row r="228">
      <c r="A228" s="158"/>
      <c r="B228" s="158"/>
      <c r="C228" s="158"/>
      <c r="D228" s="158"/>
      <c r="E228" s="193">
        <v>45993.0</v>
      </c>
      <c r="F228" s="186" t="s">
        <v>90</v>
      </c>
      <c r="G228" s="212">
        <v>0.0</v>
      </c>
      <c r="H228" s="202" t="s">
        <v>96</v>
      </c>
      <c r="I228" s="212">
        <v>190.0</v>
      </c>
      <c r="J228" s="212">
        <v>285.0</v>
      </c>
      <c r="K228" s="191">
        <f t="shared" si="4"/>
        <v>1.5</v>
      </c>
      <c r="L228" s="192">
        <v>0.0</v>
      </c>
      <c r="M228" s="179">
        <f t="shared" si="12"/>
        <v>10115.30142</v>
      </c>
      <c r="N228" s="176">
        <v>1.0</v>
      </c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  <c r="AB228" s="166"/>
      <c r="AC228" s="166"/>
      <c r="AD228" s="166"/>
      <c r="AE228" s="166"/>
      <c r="AF228" s="166"/>
    </row>
    <row r="229">
      <c r="A229" s="158"/>
      <c r="B229" s="158"/>
      <c r="C229" s="158"/>
      <c r="D229" s="158"/>
      <c r="E229" s="193">
        <v>45993.0</v>
      </c>
      <c r="F229" s="186" t="s">
        <v>90</v>
      </c>
      <c r="G229" s="212">
        <v>0.0</v>
      </c>
      <c r="H229" s="202" t="s">
        <v>91</v>
      </c>
      <c r="I229" s="214">
        <v>0.15</v>
      </c>
      <c r="J229" s="212">
        <v>150.0</v>
      </c>
      <c r="K229" s="195">
        <f t="shared" si="4"/>
        <v>1000</v>
      </c>
      <c r="L229" s="192">
        <v>0.0</v>
      </c>
      <c r="M229" s="179">
        <f t="shared" si="12"/>
        <v>10265.30142</v>
      </c>
      <c r="N229" s="176">
        <v>1.0</v>
      </c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  <c r="AB229" s="166"/>
      <c r="AC229" s="166"/>
      <c r="AD229" s="166"/>
      <c r="AE229" s="166"/>
      <c r="AF229" s="166"/>
    </row>
    <row r="230">
      <c r="A230" s="158"/>
      <c r="B230" s="158"/>
      <c r="C230" s="158"/>
      <c r="D230" s="158"/>
      <c r="E230" s="193">
        <v>45994.0</v>
      </c>
      <c r="F230" s="186" t="s">
        <v>90</v>
      </c>
      <c r="G230" s="212">
        <v>0.0</v>
      </c>
      <c r="H230" s="202" t="s">
        <v>81</v>
      </c>
      <c r="I230" s="212">
        <v>93250.0</v>
      </c>
      <c r="J230" s="212">
        <v>499.9999725</v>
      </c>
      <c r="K230" s="194">
        <f t="shared" si="4"/>
        <v>0.00536193</v>
      </c>
      <c r="L230" s="192">
        <v>0.0</v>
      </c>
      <c r="M230" s="179">
        <f t="shared" si="12"/>
        <v>10765.3014</v>
      </c>
      <c r="N230" s="176">
        <v>1.0</v>
      </c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  <c r="AB230" s="166"/>
      <c r="AC230" s="166"/>
      <c r="AD230" s="166"/>
      <c r="AE230" s="166"/>
      <c r="AF230" s="166"/>
    </row>
    <row r="231">
      <c r="A231" s="158"/>
      <c r="B231" s="158"/>
      <c r="C231" s="158"/>
      <c r="D231" s="158"/>
      <c r="E231" s="193">
        <v>45994.0</v>
      </c>
      <c r="F231" s="186" t="s">
        <v>90</v>
      </c>
      <c r="G231" s="212">
        <v>0.0</v>
      </c>
      <c r="H231" s="202" t="s">
        <v>87</v>
      </c>
      <c r="I231" s="212">
        <v>290.0</v>
      </c>
      <c r="J231" s="212">
        <v>290.0</v>
      </c>
      <c r="K231" s="191">
        <f t="shared" si="4"/>
        <v>1</v>
      </c>
      <c r="L231" s="192">
        <v>0.0</v>
      </c>
      <c r="M231" s="179">
        <f t="shared" si="12"/>
        <v>11055.3014</v>
      </c>
      <c r="N231" s="176">
        <v>0.0</v>
      </c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</row>
    <row r="232">
      <c r="A232" s="158"/>
      <c r="B232" s="158"/>
      <c r="C232" s="158"/>
      <c r="D232" s="158"/>
      <c r="E232" s="193">
        <v>45995.0</v>
      </c>
      <c r="F232" s="186" t="s">
        <v>90</v>
      </c>
      <c r="G232" s="212">
        <v>0.0</v>
      </c>
      <c r="H232" s="202" t="s">
        <v>83</v>
      </c>
      <c r="I232" s="212">
        <v>3150.0</v>
      </c>
      <c r="J232" s="212">
        <v>297.302859</v>
      </c>
      <c r="K232" s="194">
        <f t="shared" si="4"/>
        <v>0.09438186</v>
      </c>
      <c r="L232" s="192">
        <v>0.0</v>
      </c>
      <c r="M232" s="179">
        <f t="shared" si="12"/>
        <v>11352.60425</v>
      </c>
      <c r="N232" s="176">
        <v>1.0</v>
      </c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6"/>
      <c r="AE232" s="166"/>
      <c r="AF232" s="166"/>
    </row>
    <row r="233">
      <c r="A233" s="158"/>
      <c r="B233" s="158"/>
      <c r="C233" s="158"/>
      <c r="D233" s="158"/>
      <c r="E233" s="193">
        <v>46001.0</v>
      </c>
      <c r="F233" s="186" t="s">
        <v>90</v>
      </c>
      <c r="G233" s="212">
        <v>0.0</v>
      </c>
      <c r="H233" s="202" t="s">
        <v>83</v>
      </c>
      <c r="I233" s="212">
        <v>3350.0</v>
      </c>
      <c r="J233" s="212">
        <v>336.868094</v>
      </c>
      <c r="K233" s="194">
        <f t="shared" si="4"/>
        <v>0.10055764</v>
      </c>
      <c r="L233" s="192">
        <v>0.0</v>
      </c>
      <c r="M233" s="179">
        <f t="shared" si="12"/>
        <v>11689.47235</v>
      </c>
      <c r="N233" s="176">
        <v>1.0</v>
      </c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  <c r="AB233" s="166"/>
      <c r="AC233" s="166"/>
      <c r="AD233" s="166"/>
      <c r="AE233" s="166"/>
      <c r="AF233" s="166"/>
    </row>
    <row r="234">
      <c r="A234" s="158"/>
      <c r="B234" s="158"/>
      <c r="C234" s="158"/>
      <c r="D234" s="158"/>
      <c r="E234" s="193">
        <v>46026.0</v>
      </c>
      <c r="F234" s="186" t="s">
        <v>90</v>
      </c>
      <c r="G234" s="212">
        <v>0.0</v>
      </c>
      <c r="H234" s="202" t="s">
        <v>81</v>
      </c>
      <c r="I234" s="212">
        <v>91500.0</v>
      </c>
      <c r="J234" s="212">
        <v>300.0</v>
      </c>
      <c r="K234" s="195">
        <f t="shared" si="4"/>
        <v>0.003278688525</v>
      </c>
      <c r="L234" s="192">
        <v>0.0</v>
      </c>
      <c r="M234" s="179">
        <f t="shared" si="12"/>
        <v>11989.47235</v>
      </c>
      <c r="N234" s="176">
        <v>1.0</v>
      </c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66"/>
      <c r="AD234" s="166"/>
      <c r="AE234" s="166"/>
      <c r="AF234" s="166"/>
    </row>
    <row r="235">
      <c r="A235" s="158"/>
      <c r="B235" s="158"/>
      <c r="C235" s="158"/>
      <c r="D235" s="158"/>
      <c r="E235" s="193">
        <v>46039.0</v>
      </c>
      <c r="F235" s="186" t="s">
        <v>90</v>
      </c>
      <c r="G235" s="212">
        <v>0.0</v>
      </c>
      <c r="H235" s="202" t="s">
        <v>83</v>
      </c>
      <c r="I235" s="212">
        <v>3310.0</v>
      </c>
      <c r="J235" s="212">
        <v>331.0591828</v>
      </c>
      <c r="K235" s="195">
        <f t="shared" si="4"/>
        <v>0.10001788</v>
      </c>
      <c r="L235" s="192">
        <v>0.0</v>
      </c>
      <c r="M235" s="179">
        <f t="shared" si="12"/>
        <v>12320.53153</v>
      </c>
      <c r="N235" s="176">
        <v>1.0</v>
      </c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</row>
    <row r="236">
      <c r="A236" s="158"/>
      <c r="B236" s="158"/>
      <c r="C236" s="158"/>
      <c r="D236" s="158"/>
      <c r="E236" s="193">
        <v>46045.0</v>
      </c>
      <c r="F236" s="186" t="s">
        <v>90</v>
      </c>
      <c r="G236" s="212">
        <v>0.0</v>
      </c>
      <c r="H236" s="202" t="s">
        <v>91</v>
      </c>
      <c r="I236" s="212">
        <v>0.125</v>
      </c>
      <c r="J236" s="212">
        <v>312.5</v>
      </c>
      <c r="K236" s="195">
        <f t="shared" si="4"/>
        <v>2500</v>
      </c>
      <c r="L236" s="192">
        <v>0.0</v>
      </c>
      <c r="M236" s="179">
        <f t="shared" si="12"/>
        <v>12633.03153</v>
      </c>
      <c r="N236" s="176">
        <v>0.0</v>
      </c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  <c r="AB236" s="166"/>
      <c r="AC236" s="166"/>
      <c r="AD236" s="166"/>
      <c r="AE236" s="166"/>
      <c r="AF236" s="166"/>
    </row>
    <row r="237">
      <c r="A237" s="158"/>
      <c r="B237" s="158"/>
      <c r="C237" s="158"/>
      <c r="D237" s="158"/>
      <c r="E237" s="193">
        <v>46046.0</v>
      </c>
      <c r="F237" s="186" t="s">
        <v>90</v>
      </c>
      <c r="G237" s="212">
        <v>0.0</v>
      </c>
      <c r="H237" s="202" t="s">
        <v>81</v>
      </c>
      <c r="I237" s="212">
        <v>89750.0</v>
      </c>
      <c r="J237" s="212">
        <v>999.999885</v>
      </c>
      <c r="K237" s="195">
        <f t="shared" si="4"/>
        <v>0.01114206</v>
      </c>
      <c r="L237" s="192">
        <v>0.0</v>
      </c>
      <c r="M237" s="179">
        <f t="shared" si="12"/>
        <v>13633.03142</v>
      </c>
      <c r="N237" s="176">
        <v>1.0</v>
      </c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  <c r="AB237" s="166"/>
      <c r="AC237" s="166"/>
      <c r="AD237" s="166"/>
      <c r="AE237" s="166"/>
      <c r="AF237" s="166"/>
    </row>
    <row r="238">
      <c r="A238" s="158"/>
      <c r="B238" s="158"/>
      <c r="C238" s="158"/>
      <c r="D238" s="158"/>
      <c r="E238" s="193">
        <v>46047.0</v>
      </c>
      <c r="F238" s="186" t="s">
        <v>76</v>
      </c>
      <c r="G238" s="212">
        <v>0.0</v>
      </c>
      <c r="H238" s="202" t="s">
        <v>92</v>
      </c>
      <c r="I238" s="212">
        <v>11.85</v>
      </c>
      <c r="J238" s="212">
        <v>296.25</v>
      </c>
      <c r="K238" s="195">
        <f t="shared" si="4"/>
        <v>25</v>
      </c>
      <c r="L238" s="192">
        <v>0.0</v>
      </c>
      <c r="M238" s="179">
        <f t="shared" si="12"/>
        <v>13336.78142</v>
      </c>
      <c r="N238" s="176">
        <v>1.0</v>
      </c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  <c r="AB238" s="166"/>
      <c r="AC238" s="166"/>
      <c r="AD238" s="166"/>
      <c r="AE238" s="166"/>
      <c r="AF238" s="166"/>
    </row>
    <row r="239">
      <c r="A239" s="158"/>
      <c r="B239" s="158"/>
      <c r="C239" s="158"/>
      <c r="D239" s="158"/>
      <c r="E239" s="193">
        <v>46048.0</v>
      </c>
      <c r="F239" s="186" t="s">
        <v>76</v>
      </c>
      <c r="G239" s="212">
        <v>0.0</v>
      </c>
      <c r="H239" s="202" t="s">
        <v>81</v>
      </c>
      <c r="I239" s="212">
        <v>87500.0</v>
      </c>
      <c r="J239" s="212">
        <v>200.0</v>
      </c>
      <c r="K239" s="195">
        <f t="shared" si="4"/>
        <v>0.002285714286</v>
      </c>
      <c r="L239" s="192">
        <v>0.0</v>
      </c>
      <c r="M239" s="179">
        <f t="shared" si="12"/>
        <v>13136.78142</v>
      </c>
      <c r="N239" s="176">
        <v>1.0</v>
      </c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</row>
    <row r="240">
      <c r="A240" s="158"/>
      <c r="B240" s="158"/>
      <c r="C240" s="158"/>
      <c r="D240" s="158"/>
      <c r="E240" s="193">
        <v>46053.0</v>
      </c>
      <c r="F240" s="186" t="s">
        <v>76</v>
      </c>
      <c r="G240" s="212">
        <v>0.0</v>
      </c>
      <c r="H240" s="202" t="s">
        <v>81</v>
      </c>
      <c r="I240" s="212">
        <v>83000.0</v>
      </c>
      <c r="J240" s="212">
        <v>1099.75</v>
      </c>
      <c r="K240" s="195">
        <f t="shared" si="4"/>
        <v>0.01325</v>
      </c>
      <c r="L240" s="192">
        <v>0.0</v>
      </c>
      <c r="M240" s="179">
        <f t="shared" si="12"/>
        <v>12037.03142</v>
      </c>
      <c r="N240" s="176">
        <v>1.0</v>
      </c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  <c r="AB240" s="166"/>
      <c r="AC240" s="166"/>
      <c r="AD240" s="166"/>
      <c r="AE240" s="166"/>
      <c r="AF240" s="166"/>
    </row>
    <row r="241">
      <c r="A241" s="158"/>
      <c r="B241" s="158"/>
      <c r="C241" s="158"/>
      <c r="D241" s="158"/>
      <c r="E241" s="193">
        <v>46053.0</v>
      </c>
      <c r="F241" s="186" t="s">
        <v>76</v>
      </c>
      <c r="G241" s="212">
        <v>0.0</v>
      </c>
      <c r="H241" s="202" t="s">
        <v>81</v>
      </c>
      <c r="I241" s="212">
        <v>82500.0</v>
      </c>
      <c r="J241" s="212">
        <v>495.0</v>
      </c>
      <c r="K241" s="195">
        <f t="shared" si="4"/>
        <v>0.006</v>
      </c>
      <c r="L241" s="192">
        <v>0.0</v>
      </c>
      <c r="M241" s="179">
        <f t="shared" si="12"/>
        <v>11542.03142</v>
      </c>
      <c r="N241" s="176">
        <v>0.0</v>
      </c>
      <c r="O241" s="162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  <c r="AB241" s="166"/>
      <c r="AC241" s="166"/>
      <c r="AD241" s="166"/>
      <c r="AE241" s="166"/>
      <c r="AF241" s="166"/>
    </row>
    <row r="242">
      <c r="A242" s="158"/>
      <c r="B242" s="158"/>
      <c r="C242" s="158"/>
      <c r="D242" s="158"/>
      <c r="E242" s="193">
        <v>46053.0</v>
      </c>
      <c r="F242" s="186" t="s">
        <v>90</v>
      </c>
      <c r="G242" s="212">
        <v>0.0</v>
      </c>
      <c r="H242" s="202" t="s">
        <v>91</v>
      </c>
      <c r="I242" s="212">
        <v>0.112</v>
      </c>
      <c r="J242" s="212">
        <v>300.0</v>
      </c>
      <c r="K242" s="195">
        <f t="shared" si="4"/>
        <v>2678.571429</v>
      </c>
      <c r="L242" s="192">
        <v>0.0</v>
      </c>
      <c r="M242" s="179">
        <f t="shared" si="12"/>
        <v>11842.03142</v>
      </c>
      <c r="N242" s="176">
        <v>0.0</v>
      </c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  <c r="AB242" s="166"/>
      <c r="AC242" s="166"/>
      <c r="AD242" s="166"/>
      <c r="AE242" s="166"/>
      <c r="AF242" s="166"/>
    </row>
    <row r="243">
      <c r="A243" s="158"/>
      <c r="B243" s="158"/>
      <c r="C243" s="158"/>
      <c r="D243" s="158"/>
      <c r="E243" s="193">
        <v>46053.0</v>
      </c>
      <c r="F243" s="186" t="s">
        <v>76</v>
      </c>
      <c r="G243" s="212">
        <v>0.0</v>
      </c>
      <c r="H243" s="202" t="s">
        <v>81</v>
      </c>
      <c r="I243" s="212">
        <v>77500.0</v>
      </c>
      <c r="J243" s="212">
        <v>1469.40938041</v>
      </c>
      <c r="K243" s="195">
        <f t="shared" si="4"/>
        <v>0.01896012104</v>
      </c>
      <c r="L243" s="192">
        <v>0.0</v>
      </c>
      <c r="M243" s="179">
        <f t="shared" si="12"/>
        <v>10372.62204</v>
      </c>
      <c r="N243" s="176">
        <v>1.0</v>
      </c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  <c r="AB243" s="166"/>
      <c r="AC243" s="166"/>
      <c r="AD243" s="166"/>
      <c r="AE243" s="166"/>
      <c r="AF243" s="166"/>
    </row>
    <row r="244">
      <c r="A244" s="158"/>
      <c r="B244" s="158"/>
      <c r="C244" s="158"/>
      <c r="D244" s="158"/>
      <c r="E244" s="193">
        <v>46053.0</v>
      </c>
      <c r="F244" s="186" t="s">
        <v>76</v>
      </c>
      <c r="G244" s="212">
        <v>0.0</v>
      </c>
      <c r="H244" s="202" t="s">
        <v>87</v>
      </c>
      <c r="I244" s="212">
        <v>200.0</v>
      </c>
      <c r="J244" s="212">
        <v>200.0</v>
      </c>
      <c r="K244" s="195">
        <f t="shared" si="4"/>
        <v>1</v>
      </c>
      <c r="L244" s="192">
        <v>0.0</v>
      </c>
      <c r="M244" s="179">
        <f t="shared" si="12"/>
        <v>10172.62204</v>
      </c>
      <c r="N244" s="176">
        <v>1.0</v>
      </c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  <c r="AB244" s="166"/>
      <c r="AC244" s="166"/>
      <c r="AD244" s="166"/>
      <c r="AE244" s="166"/>
      <c r="AF244" s="166"/>
    </row>
    <row r="245">
      <c r="A245" s="158"/>
      <c r="B245" s="158"/>
      <c r="C245" s="158"/>
      <c r="D245" s="158"/>
      <c r="E245" s="193">
        <v>46053.0</v>
      </c>
      <c r="F245" s="186" t="s">
        <v>76</v>
      </c>
      <c r="G245" s="212">
        <v>0.0</v>
      </c>
      <c r="H245" s="202" t="s">
        <v>85</v>
      </c>
      <c r="I245" s="212">
        <v>110.0</v>
      </c>
      <c r="J245" s="212">
        <v>242.0</v>
      </c>
      <c r="K245" s="195">
        <f t="shared" si="4"/>
        <v>2.2</v>
      </c>
      <c r="L245" s="192">
        <v>0.0</v>
      </c>
      <c r="M245" s="179">
        <f t="shared" si="12"/>
        <v>9930.622036</v>
      </c>
      <c r="N245" s="176">
        <v>1.0</v>
      </c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  <c r="AB245" s="166"/>
      <c r="AC245" s="166"/>
      <c r="AD245" s="166"/>
      <c r="AE245" s="166"/>
      <c r="AF245" s="166"/>
    </row>
    <row r="246">
      <c r="A246" s="158"/>
      <c r="B246" s="158"/>
      <c r="C246" s="158"/>
      <c r="D246" s="158"/>
      <c r="E246" s="193">
        <v>46053.0</v>
      </c>
      <c r="F246" s="186" t="s">
        <v>76</v>
      </c>
      <c r="G246" s="212">
        <v>0.0</v>
      </c>
      <c r="H246" s="202" t="s">
        <v>81</v>
      </c>
      <c r="I246" s="212">
        <v>77500.0</v>
      </c>
      <c r="J246" s="212">
        <v>1.0E-4</v>
      </c>
      <c r="K246" s="195">
        <f t="shared" si="4"/>
        <v>0.000000001290322581</v>
      </c>
      <c r="L246" s="192">
        <v>0.0</v>
      </c>
      <c r="M246" s="179">
        <f t="shared" si="12"/>
        <v>9930.621936</v>
      </c>
      <c r="N246" s="176">
        <v>1.0</v>
      </c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</row>
    <row r="247">
      <c r="A247" s="158"/>
      <c r="B247" s="158"/>
      <c r="C247" s="158"/>
      <c r="D247" s="158"/>
      <c r="E247" s="193">
        <v>46054.0</v>
      </c>
      <c r="F247" s="186" t="s">
        <v>76</v>
      </c>
      <c r="G247" s="212">
        <v>0.0</v>
      </c>
      <c r="H247" s="202" t="s">
        <v>81</v>
      </c>
      <c r="I247" s="212">
        <v>77000.0</v>
      </c>
      <c r="J247" s="212">
        <v>385.0</v>
      </c>
      <c r="K247" s="195">
        <f t="shared" si="4"/>
        <v>0.005</v>
      </c>
      <c r="L247" s="192">
        <v>0.0</v>
      </c>
      <c r="M247" s="179">
        <f t="shared" si="12"/>
        <v>9545.621936</v>
      </c>
      <c r="N247" s="176">
        <v>1.0</v>
      </c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  <c r="AB247" s="166"/>
      <c r="AC247" s="166"/>
      <c r="AD247" s="166"/>
      <c r="AE247" s="166"/>
      <c r="AF247" s="166"/>
    </row>
    <row r="248">
      <c r="A248" s="158"/>
      <c r="B248" s="158"/>
      <c r="C248" s="158"/>
      <c r="D248" s="158"/>
      <c r="E248" s="193">
        <v>46054.0</v>
      </c>
      <c r="F248" s="186" t="s">
        <v>76</v>
      </c>
      <c r="G248" s="212">
        <v>0.0</v>
      </c>
      <c r="H248" s="202" t="s">
        <v>83</v>
      </c>
      <c r="I248" s="212">
        <v>2350.0</v>
      </c>
      <c r="J248" s="212">
        <v>115.0</v>
      </c>
      <c r="K248" s="195">
        <f t="shared" si="4"/>
        <v>0.04893617021</v>
      </c>
      <c r="L248" s="192">
        <v>0.0</v>
      </c>
      <c r="M248" s="179">
        <f t="shared" si="12"/>
        <v>9430.621936</v>
      </c>
      <c r="N248" s="176">
        <v>1.0</v>
      </c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  <c r="AB248" s="166"/>
      <c r="AC248" s="166"/>
      <c r="AD248" s="166"/>
      <c r="AE248" s="166"/>
      <c r="AF248" s="166"/>
    </row>
    <row r="249">
      <c r="A249" s="158"/>
      <c r="B249" s="158"/>
      <c r="C249" s="158"/>
      <c r="D249" s="158"/>
      <c r="E249" s="193">
        <v>46054.0</v>
      </c>
      <c r="F249" s="186" t="s">
        <v>76</v>
      </c>
      <c r="G249" s="212">
        <v>0.0</v>
      </c>
      <c r="H249" s="202" t="s">
        <v>83</v>
      </c>
      <c r="I249" s="212">
        <v>2300.0</v>
      </c>
      <c r="J249" s="212">
        <v>345.0</v>
      </c>
      <c r="K249" s="195">
        <f t="shared" si="4"/>
        <v>0.15</v>
      </c>
      <c r="L249" s="192">
        <v>0.0</v>
      </c>
      <c r="M249" s="179">
        <f t="shared" si="12"/>
        <v>9085.621936</v>
      </c>
      <c r="N249" s="176">
        <v>1.0</v>
      </c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  <c r="AB249" s="166"/>
      <c r="AC249" s="166"/>
      <c r="AD249" s="166"/>
      <c r="AE249" s="166"/>
      <c r="AF249" s="166"/>
    </row>
    <row r="250">
      <c r="A250" s="158"/>
      <c r="B250" s="158"/>
      <c r="C250" s="158"/>
      <c r="D250" s="158"/>
      <c r="E250" s="193">
        <v>46055.0</v>
      </c>
      <c r="F250" s="186" t="s">
        <v>76</v>
      </c>
      <c r="G250" s="212">
        <v>0.0</v>
      </c>
      <c r="H250" s="202" t="s">
        <v>81</v>
      </c>
      <c r="I250" s="212">
        <v>76000.0</v>
      </c>
      <c r="J250" s="212">
        <v>304.0</v>
      </c>
      <c r="K250" s="195">
        <f t="shared" si="4"/>
        <v>0.004</v>
      </c>
      <c r="L250" s="192">
        <v>0.0</v>
      </c>
      <c r="M250" s="179">
        <f>IF(E250="","",IF(G250=0,IF(F250="Invest",M249-J250-L250+70,M249+J250),M249))</f>
        <v>8851.621936</v>
      </c>
      <c r="N250" s="176">
        <v>1.0</v>
      </c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  <c r="AB250" s="166"/>
      <c r="AC250" s="166"/>
      <c r="AD250" s="166"/>
      <c r="AE250" s="166"/>
      <c r="AF250" s="166"/>
    </row>
    <row r="251">
      <c r="A251" s="158"/>
      <c r="B251" s="158"/>
      <c r="C251" s="158"/>
      <c r="D251" s="158"/>
      <c r="E251" s="193">
        <v>46055.0</v>
      </c>
      <c r="F251" s="186" t="s">
        <v>90</v>
      </c>
      <c r="G251" s="212">
        <v>0.0</v>
      </c>
      <c r="H251" s="202" t="s">
        <v>83</v>
      </c>
      <c r="I251" s="212">
        <v>2305.0</v>
      </c>
      <c r="J251" s="212">
        <v>299.9999912</v>
      </c>
      <c r="K251" s="195">
        <f t="shared" si="4"/>
        <v>0.13015184</v>
      </c>
      <c r="L251" s="192">
        <v>0.0</v>
      </c>
      <c r="M251" s="179">
        <f t="shared" ref="M251:M255" si="13">IF(E251="","",IF(G251=0,IF(F251="Invest",M250-J251-L251,M250+J251),M250))</f>
        <v>9151.621927</v>
      </c>
      <c r="N251" s="162">
        <v>1.0</v>
      </c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  <c r="AB251" s="166"/>
      <c r="AC251" s="166"/>
      <c r="AD251" s="166"/>
      <c r="AE251" s="166"/>
      <c r="AF251" s="166"/>
    </row>
    <row r="252">
      <c r="A252" s="158"/>
      <c r="B252" s="158"/>
      <c r="C252" s="158"/>
      <c r="D252" s="158"/>
      <c r="E252" s="193">
        <v>46055.0</v>
      </c>
      <c r="F252" s="186" t="s">
        <v>76</v>
      </c>
      <c r="G252" s="212">
        <v>0.0</v>
      </c>
      <c r="H252" s="202" t="s">
        <v>81</v>
      </c>
      <c r="I252" s="212">
        <v>77000.0</v>
      </c>
      <c r="J252" s="212">
        <v>231.0</v>
      </c>
      <c r="K252" s="195">
        <f t="shared" si="4"/>
        <v>0.003</v>
      </c>
      <c r="L252" s="192">
        <v>0.0</v>
      </c>
      <c r="M252" s="179">
        <f t="shared" si="13"/>
        <v>8920.621927</v>
      </c>
      <c r="N252" s="162">
        <v>1.0</v>
      </c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  <c r="AB252" s="166"/>
      <c r="AC252" s="166"/>
      <c r="AD252" s="166"/>
      <c r="AE252" s="166"/>
      <c r="AF252" s="166"/>
    </row>
    <row r="253">
      <c r="A253" s="158"/>
      <c r="B253" s="158"/>
      <c r="C253" s="158"/>
      <c r="D253" s="158"/>
      <c r="E253" s="193">
        <v>46055.0</v>
      </c>
      <c r="F253" s="186" t="s">
        <v>76</v>
      </c>
      <c r="G253" s="212">
        <v>0.0</v>
      </c>
      <c r="H253" s="202" t="s">
        <v>81</v>
      </c>
      <c r="I253" s="212">
        <v>73200.0</v>
      </c>
      <c r="J253" s="212">
        <v>250.0</v>
      </c>
      <c r="K253" s="195">
        <f t="shared" si="4"/>
        <v>0.003415300546</v>
      </c>
      <c r="L253" s="192">
        <v>0.0</v>
      </c>
      <c r="M253" s="179">
        <f t="shared" si="13"/>
        <v>8670.621927</v>
      </c>
      <c r="N253" s="162">
        <v>1.0</v>
      </c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  <c r="AB253" s="166"/>
      <c r="AC253" s="166"/>
      <c r="AD253" s="166"/>
      <c r="AE253" s="166"/>
      <c r="AF253" s="166"/>
    </row>
    <row r="254">
      <c r="A254" s="158"/>
      <c r="B254" s="158"/>
      <c r="C254" s="158"/>
      <c r="D254" s="158"/>
      <c r="E254" s="193">
        <v>46055.0</v>
      </c>
      <c r="F254" s="186" t="s">
        <v>76</v>
      </c>
      <c r="G254" s="212">
        <v>0.0</v>
      </c>
      <c r="H254" s="202" t="s">
        <v>81</v>
      </c>
      <c r="I254" s="212">
        <v>73100.0</v>
      </c>
      <c r="J254" s="212">
        <v>204.68</v>
      </c>
      <c r="K254" s="195">
        <f t="shared" si="4"/>
        <v>0.0028</v>
      </c>
      <c r="L254" s="192">
        <v>0.0</v>
      </c>
      <c r="M254" s="179">
        <f t="shared" si="13"/>
        <v>8465.941927</v>
      </c>
      <c r="N254" s="162">
        <v>1.0</v>
      </c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  <c r="AB254" s="166"/>
      <c r="AC254" s="166"/>
      <c r="AD254" s="166"/>
      <c r="AE254" s="166"/>
      <c r="AF254" s="166"/>
    </row>
    <row r="255">
      <c r="A255" s="158"/>
      <c r="B255" s="158"/>
      <c r="C255" s="158"/>
      <c r="D255" s="158"/>
      <c r="E255" s="193">
        <v>46056.0</v>
      </c>
      <c r="F255" s="186" t="s">
        <v>76</v>
      </c>
      <c r="G255" s="212">
        <v>0.0</v>
      </c>
      <c r="H255" s="202" t="s">
        <v>81</v>
      </c>
      <c r="I255" s="212">
        <v>73000.0</v>
      </c>
      <c r="J255" s="212">
        <v>649.7</v>
      </c>
      <c r="K255" s="195">
        <f t="shared" si="4"/>
        <v>0.0089</v>
      </c>
      <c r="L255" s="192">
        <v>0.0</v>
      </c>
      <c r="M255" s="179">
        <f t="shared" si="13"/>
        <v>7816.241927</v>
      </c>
      <c r="N255" s="162">
        <v>1.0</v>
      </c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  <c r="AB255" s="166"/>
      <c r="AC255" s="166"/>
      <c r="AD255" s="166"/>
      <c r="AE255" s="166"/>
      <c r="AF255" s="166"/>
    </row>
    <row r="256">
      <c r="A256" s="158"/>
      <c r="B256" s="158"/>
      <c r="C256" s="158"/>
      <c r="D256" s="158"/>
      <c r="E256" s="193">
        <v>46057.0</v>
      </c>
      <c r="F256" s="186" t="s">
        <v>76</v>
      </c>
      <c r="G256" s="212">
        <v>0.0</v>
      </c>
      <c r="H256" s="202" t="s">
        <v>81</v>
      </c>
      <c r="I256" s="212">
        <v>70000.0</v>
      </c>
      <c r="J256" s="212">
        <v>318.0</v>
      </c>
      <c r="K256" s="195">
        <f t="shared" si="4"/>
        <v>0.004542857143</v>
      </c>
      <c r="L256" s="192">
        <v>0.0</v>
      </c>
      <c r="M256" s="179">
        <f>IF(E256="","",IF(G256=0,IF(F256="Invest",M255-J256-L256+2,M255+J256),M255))</f>
        <v>7500.241927</v>
      </c>
      <c r="N256" s="162">
        <v>1.0</v>
      </c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  <c r="AB256" s="166"/>
      <c r="AC256" s="166"/>
      <c r="AD256" s="166"/>
      <c r="AE256" s="166"/>
      <c r="AF256" s="166"/>
    </row>
    <row r="257">
      <c r="A257" s="158"/>
      <c r="B257" s="158"/>
      <c r="C257" s="158"/>
      <c r="D257" s="158"/>
      <c r="E257" s="193">
        <v>46058.0</v>
      </c>
      <c r="F257" s="186" t="s">
        <v>90</v>
      </c>
      <c r="G257" s="212">
        <v>0.0</v>
      </c>
      <c r="H257" s="202" t="s">
        <v>92</v>
      </c>
      <c r="I257" s="212">
        <v>9.0</v>
      </c>
      <c r="J257" s="212">
        <v>225.0</v>
      </c>
      <c r="K257" s="195">
        <f t="shared" si="4"/>
        <v>25</v>
      </c>
      <c r="L257" s="192">
        <v>0.0</v>
      </c>
      <c r="M257" s="179">
        <f t="shared" ref="M257:M267" si="14">IF(E257="","",IF(G257=0,IF(F257="Invest",M256-J257-L257,M256+J257),M256))</f>
        <v>7725.241927</v>
      </c>
      <c r="N257" s="162">
        <v>0.0</v>
      </c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  <c r="AB257" s="166"/>
      <c r="AC257" s="166"/>
      <c r="AD257" s="166"/>
      <c r="AE257" s="166"/>
      <c r="AF257" s="166"/>
    </row>
    <row r="258">
      <c r="A258" s="158"/>
      <c r="B258" s="158"/>
      <c r="C258" s="158"/>
      <c r="D258" s="158"/>
      <c r="E258" s="193">
        <v>46058.0</v>
      </c>
      <c r="F258" s="186" t="s">
        <v>76</v>
      </c>
      <c r="G258" s="212">
        <v>0.0</v>
      </c>
      <c r="H258" s="202" t="s">
        <v>81</v>
      </c>
      <c r="I258" s="212">
        <v>65500.0</v>
      </c>
      <c r="J258" s="212">
        <v>225.0</v>
      </c>
      <c r="K258" s="195">
        <f t="shared" si="4"/>
        <v>0.003435114504</v>
      </c>
      <c r="L258" s="192">
        <v>0.0</v>
      </c>
      <c r="M258" s="179">
        <f t="shared" si="14"/>
        <v>7500.241927</v>
      </c>
      <c r="N258" s="162">
        <v>1.0</v>
      </c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  <c r="AB258" s="166"/>
      <c r="AC258" s="166"/>
      <c r="AD258" s="166"/>
      <c r="AE258" s="166"/>
      <c r="AF258" s="166"/>
    </row>
    <row r="259">
      <c r="A259" s="158"/>
      <c r="B259" s="158"/>
      <c r="C259" s="158"/>
      <c r="D259" s="158"/>
      <c r="E259" s="193">
        <v>46059.0</v>
      </c>
      <c r="F259" s="186" t="s">
        <v>76</v>
      </c>
      <c r="G259" s="212">
        <v>0.0</v>
      </c>
      <c r="H259" s="202" t="s">
        <v>81</v>
      </c>
      <c r="I259" s="212">
        <v>63500.0</v>
      </c>
      <c r="J259" s="212">
        <v>500.0</v>
      </c>
      <c r="K259" s="195">
        <f t="shared" si="4"/>
        <v>0.007874015748</v>
      </c>
      <c r="L259" s="192">
        <v>0.0</v>
      </c>
      <c r="M259" s="179">
        <f t="shared" si="14"/>
        <v>7000.241927</v>
      </c>
      <c r="N259" s="162">
        <v>1.0</v>
      </c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  <c r="AB259" s="166"/>
      <c r="AC259" s="166"/>
      <c r="AD259" s="166"/>
      <c r="AE259" s="166"/>
      <c r="AF259" s="166"/>
    </row>
    <row r="260">
      <c r="A260" s="158"/>
      <c r="B260" s="158"/>
      <c r="C260" s="158"/>
      <c r="D260" s="158"/>
      <c r="E260" s="193">
        <v>46060.0</v>
      </c>
      <c r="F260" s="186" t="s">
        <v>90</v>
      </c>
      <c r="G260" s="212">
        <v>0.0</v>
      </c>
      <c r="H260" s="202" t="s">
        <v>96</v>
      </c>
      <c r="I260" s="212">
        <v>110.0</v>
      </c>
      <c r="J260" s="212">
        <v>385.6025459</v>
      </c>
      <c r="K260" s="195">
        <f t="shared" si="4"/>
        <v>3.50547769</v>
      </c>
      <c r="L260" s="192">
        <v>0.0</v>
      </c>
      <c r="M260" s="179">
        <f t="shared" si="14"/>
        <v>7385.844473</v>
      </c>
      <c r="N260" s="162">
        <v>0.0</v>
      </c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  <c r="AB260" s="166"/>
      <c r="AC260" s="166"/>
      <c r="AD260" s="166"/>
      <c r="AE260" s="166"/>
      <c r="AF260" s="166"/>
    </row>
    <row r="261">
      <c r="A261" s="158"/>
      <c r="B261" s="158"/>
      <c r="C261" s="158"/>
      <c r="D261" s="158"/>
      <c r="E261" s="193">
        <v>46060.0</v>
      </c>
      <c r="F261" s="186" t="s">
        <v>90</v>
      </c>
      <c r="G261" s="212">
        <v>0.0</v>
      </c>
      <c r="H261" s="202" t="s">
        <v>87</v>
      </c>
      <c r="I261" s="212">
        <v>175.0</v>
      </c>
      <c r="J261" s="212">
        <v>875.29910825</v>
      </c>
      <c r="K261" s="195">
        <f t="shared" si="4"/>
        <v>5.00170919</v>
      </c>
      <c r="L261" s="192">
        <v>0.0</v>
      </c>
      <c r="M261" s="179">
        <f t="shared" si="14"/>
        <v>8261.143581</v>
      </c>
      <c r="N261" s="162">
        <v>0.0</v>
      </c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  <c r="AB261" s="166"/>
      <c r="AC261" s="166"/>
      <c r="AD261" s="166"/>
      <c r="AE261" s="166"/>
      <c r="AF261" s="166"/>
    </row>
    <row r="262">
      <c r="A262" s="158"/>
      <c r="B262" s="158"/>
      <c r="C262" s="158"/>
      <c r="D262" s="158"/>
      <c r="E262" s="193">
        <v>46061.0</v>
      </c>
      <c r="F262" s="186" t="s">
        <v>90</v>
      </c>
      <c r="G262" s="212">
        <v>0.0</v>
      </c>
      <c r="H262" s="202" t="s">
        <v>85</v>
      </c>
      <c r="I262" s="212">
        <v>85.0</v>
      </c>
      <c r="J262" s="212">
        <v>869.9415117</v>
      </c>
      <c r="K262" s="195">
        <f t="shared" si="4"/>
        <v>10.23460602</v>
      </c>
      <c r="L262" s="192">
        <v>0.0</v>
      </c>
      <c r="M262" s="179">
        <f t="shared" si="14"/>
        <v>9131.085093</v>
      </c>
      <c r="N262" s="162">
        <v>0.0</v>
      </c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</row>
    <row r="263">
      <c r="A263" s="158"/>
      <c r="B263" s="158"/>
      <c r="C263" s="158"/>
      <c r="D263" s="158"/>
      <c r="E263" s="193">
        <v>46061.0</v>
      </c>
      <c r="F263" s="186" t="s">
        <v>90</v>
      </c>
      <c r="G263" s="212">
        <v>0.0</v>
      </c>
      <c r="H263" s="202" t="s">
        <v>83</v>
      </c>
      <c r="I263" s="212">
        <v>2100.0</v>
      </c>
      <c r="J263" s="212">
        <v>144.473175</v>
      </c>
      <c r="K263" s="195">
        <f t="shared" si="4"/>
        <v>0.06879675</v>
      </c>
      <c r="L263" s="192">
        <v>0.0</v>
      </c>
      <c r="M263" s="179">
        <f t="shared" si="14"/>
        <v>9275.558268</v>
      </c>
      <c r="N263" s="162">
        <v>0.0</v>
      </c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  <c r="AB263" s="166"/>
      <c r="AC263" s="166"/>
      <c r="AD263" s="166"/>
      <c r="AE263" s="166"/>
      <c r="AF263" s="166"/>
    </row>
    <row r="264">
      <c r="A264" s="158"/>
      <c r="B264" s="158"/>
      <c r="C264" s="158"/>
      <c r="D264" s="158"/>
      <c r="E264" s="193">
        <v>46062.0</v>
      </c>
      <c r="F264" s="186" t="s">
        <v>90</v>
      </c>
      <c r="G264" s="212">
        <v>0.0</v>
      </c>
      <c r="H264" s="202" t="s">
        <v>81</v>
      </c>
      <c r="I264" s="212">
        <v>71000.0</v>
      </c>
      <c r="J264" s="212">
        <v>99.99995</v>
      </c>
      <c r="K264" s="195">
        <f t="shared" si="4"/>
        <v>0.00140845</v>
      </c>
      <c r="L264" s="192">
        <v>0.0</v>
      </c>
      <c r="M264" s="179">
        <f t="shared" si="14"/>
        <v>9375.558218</v>
      </c>
      <c r="N264" s="162">
        <v>1.0</v>
      </c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  <c r="AB264" s="166"/>
      <c r="AC264" s="166"/>
      <c r="AD264" s="166"/>
      <c r="AE264" s="166"/>
      <c r="AF264" s="166"/>
    </row>
    <row r="265">
      <c r="A265" s="158"/>
      <c r="B265" s="158"/>
      <c r="C265" s="158"/>
      <c r="D265" s="158"/>
      <c r="E265" s="193">
        <v>46063.0</v>
      </c>
      <c r="F265" s="186" t="s">
        <v>76</v>
      </c>
      <c r="G265" s="212">
        <v>0.0</v>
      </c>
      <c r="H265" s="202" t="s">
        <v>91</v>
      </c>
      <c r="I265" s="212">
        <v>0.09</v>
      </c>
      <c r="J265" s="212">
        <v>200.0</v>
      </c>
      <c r="K265" s="195">
        <f t="shared" si="4"/>
        <v>2222.222222</v>
      </c>
      <c r="L265" s="192">
        <v>0.0</v>
      </c>
      <c r="M265" s="179">
        <f t="shared" si="14"/>
        <v>9175.558218</v>
      </c>
      <c r="N265" s="162">
        <v>1.0</v>
      </c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  <c r="AB265" s="166"/>
      <c r="AC265" s="166"/>
      <c r="AD265" s="166"/>
      <c r="AE265" s="166"/>
      <c r="AF265" s="166"/>
    </row>
    <row r="266">
      <c r="A266" s="158"/>
      <c r="B266" s="158"/>
      <c r="C266" s="158"/>
      <c r="D266" s="158"/>
      <c r="E266" s="193">
        <v>46064.0</v>
      </c>
      <c r="F266" s="186" t="s">
        <v>90</v>
      </c>
      <c r="G266" s="212">
        <v>0.0</v>
      </c>
      <c r="H266" s="202" t="s">
        <v>91</v>
      </c>
      <c r="I266" s="212">
        <v>0.09015</v>
      </c>
      <c r="J266" s="212">
        <v>200.333333</v>
      </c>
      <c r="K266" s="195">
        <f t="shared" si="4"/>
        <v>2222.222219</v>
      </c>
      <c r="L266" s="192">
        <v>0.0</v>
      </c>
      <c r="M266" s="179">
        <f t="shared" si="14"/>
        <v>9375.891551</v>
      </c>
      <c r="N266" s="162">
        <v>1.0</v>
      </c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  <c r="AB266" s="166"/>
      <c r="AC266" s="166"/>
      <c r="AD266" s="166"/>
      <c r="AE266" s="166"/>
      <c r="AF266" s="166"/>
    </row>
    <row r="267">
      <c r="A267" s="158"/>
      <c r="B267" s="158"/>
      <c r="C267" s="158"/>
      <c r="D267" s="158"/>
      <c r="E267" s="193">
        <v>46065.0</v>
      </c>
      <c r="F267" s="186" t="s">
        <v>90</v>
      </c>
      <c r="G267" s="212">
        <v>0.0</v>
      </c>
      <c r="H267" s="202" t="s">
        <v>81</v>
      </c>
      <c r="I267" s="212">
        <v>67500.0</v>
      </c>
      <c r="J267" s="212">
        <v>337.5</v>
      </c>
      <c r="K267" s="196">
        <f t="shared" si="4"/>
        <v>0.005</v>
      </c>
      <c r="L267" s="192">
        <v>0.0</v>
      </c>
      <c r="M267" s="179">
        <f t="shared" si="14"/>
        <v>9713.391551</v>
      </c>
      <c r="N267" s="162">
        <v>1.0</v>
      </c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  <c r="AB267" s="166"/>
      <c r="AC267" s="166"/>
      <c r="AD267" s="166"/>
      <c r="AE267" s="166"/>
      <c r="AF267" s="166"/>
    </row>
    <row r="268">
      <c r="A268" s="158"/>
      <c r="B268" s="158"/>
      <c r="C268" s="158"/>
      <c r="D268" s="158"/>
      <c r="E268" s="193">
        <v>46066.0</v>
      </c>
      <c r="F268" s="186" t="s">
        <v>90</v>
      </c>
      <c r="G268" s="212">
        <v>0.0</v>
      </c>
      <c r="H268" s="202" t="s">
        <v>83</v>
      </c>
      <c r="I268" s="212">
        <v>1995.0</v>
      </c>
      <c r="J268" s="212">
        <v>599.0021546</v>
      </c>
      <c r="K268" s="196">
        <f t="shared" si="4"/>
        <v>0.3002517066</v>
      </c>
      <c r="L268" s="192">
        <v>0.0</v>
      </c>
      <c r="M268" s="179">
        <f>IF(E268="","",IF(G268=0,IF(F268="Invest",M267-J268-L268,M267+J268+20),M267))</f>
        <v>10332.39371</v>
      </c>
      <c r="N268" s="162">
        <v>0.0</v>
      </c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  <c r="AB268" s="166"/>
      <c r="AC268" s="166"/>
      <c r="AD268" s="166"/>
      <c r="AE268" s="166"/>
      <c r="AF268" s="166"/>
    </row>
    <row r="269">
      <c r="A269" s="158"/>
      <c r="B269" s="158"/>
      <c r="C269" s="158"/>
      <c r="D269" s="158"/>
      <c r="E269" s="167"/>
      <c r="F269" s="215"/>
      <c r="G269" s="216"/>
      <c r="H269" s="217"/>
      <c r="I269" s="216"/>
      <c r="J269" s="216"/>
      <c r="K269" s="195" t="str">
        <f t="shared" si="4"/>
        <v/>
      </c>
      <c r="L269" s="218"/>
      <c r="M269" s="179" t="str">
        <f t="shared" ref="M269:M354" si="15">IF(E269="","",IF(G269=0,IF(F269="Invest",M268-J269-L269,M268+J269),M268))</f>
        <v/>
      </c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  <c r="AB269" s="166"/>
      <c r="AC269" s="166"/>
      <c r="AD269" s="166"/>
      <c r="AE269" s="166"/>
      <c r="AF269" s="166"/>
    </row>
    <row r="270">
      <c r="A270" s="158"/>
      <c r="B270" s="158"/>
      <c r="C270" s="158"/>
      <c r="D270" s="158"/>
      <c r="E270" s="167"/>
      <c r="F270" s="215"/>
      <c r="G270" s="216"/>
      <c r="H270" s="217"/>
      <c r="I270" s="216"/>
      <c r="J270" s="216"/>
      <c r="K270" s="195" t="str">
        <f t="shared" si="4"/>
        <v/>
      </c>
      <c r="L270" s="218"/>
      <c r="M270" s="179" t="str">
        <f t="shared" si="15"/>
        <v/>
      </c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  <c r="AB270" s="166"/>
      <c r="AC270" s="166"/>
      <c r="AD270" s="166"/>
      <c r="AE270" s="166"/>
      <c r="AF270" s="166"/>
    </row>
    <row r="271">
      <c r="A271" s="158"/>
      <c r="B271" s="158"/>
      <c r="C271" s="158"/>
      <c r="D271" s="158"/>
      <c r="E271" s="167"/>
      <c r="F271" s="215"/>
      <c r="G271" s="216"/>
      <c r="H271" s="217"/>
      <c r="I271" s="216"/>
      <c r="J271" s="216"/>
      <c r="K271" s="195" t="str">
        <f t="shared" si="4"/>
        <v/>
      </c>
      <c r="L271" s="218"/>
      <c r="M271" s="179" t="str">
        <f t="shared" si="15"/>
        <v/>
      </c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  <c r="AB271" s="166"/>
      <c r="AC271" s="166"/>
      <c r="AD271" s="166"/>
      <c r="AE271" s="166"/>
      <c r="AF271" s="166"/>
    </row>
    <row r="272">
      <c r="A272" s="158"/>
      <c r="B272" s="158"/>
      <c r="C272" s="158"/>
      <c r="D272" s="158"/>
      <c r="E272" s="167"/>
      <c r="F272" s="215"/>
      <c r="G272" s="216"/>
      <c r="H272" s="217"/>
      <c r="I272" s="216"/>
      <c r="J272" s="216"/>
      <c r="K272" s="195" t="str">
        <f t="shared" si="4"/>
        <v/>
      </c>
      <c r="L272" s="218"/>
      <c r="M272" s="179" t="str">
        <f t="shared" si="15"/>
        <v/>
      </c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  <c r="AB272" s="166"/>
      <c r="AC272" s="166"/>
      <c r="AD272" s="166"/>
      <c r="AE272" s="166"/>
      <c r="AF272" s="166"/>
    </row>
    <row r="273">
      <c r="A273" s="158"/>
      <c r="B273" s="158"/>
      <c r="C273" s="158"/>
      <c r="D273" s="158"/>
      <c r="E273" s="167"/>
      <c r="F273" s="215"/>
      <c r="G273" s="216"/>
      <c r="H273" s="217"/>
      <c r="I273" s="216"/>
      <c r="J273" s="216"/>
      <c r="K273" s="195" t="str">
        <f t="shared" si="4"/>
        <v/>
      </c>
      <c r="L273" s="218"/>
      <c r="M273" s="179" t="str">
        <f t="shared" si="15"/>
        <v/>
      </c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  <c r="AB273" s="166"/>
      <c r="AC273" s="166"/>
      <c r="AD273" s="166"/>
      <c r="AE273" s="166"/>
      <c r="AF273" s="166"/>
    </row>
    <row r="274">
      <c r="A274" s="158"/>
      <c r="B274" s="158"/>
      <c r="C274" s="158"/>
      <c r="D274" s="158"/>
      <c r="E274" s="167"/>
      <c r="F274" s="215"/>
      <c r="G274" s="216"/>
      <c r="H274" s="217"/>
      <c r="I274" s="216"/>
      <c r="J274" s="216"/>
      <c r="K274" s="195" t="str">
        <f t="shared" si="4"/>
        <v/>
      </c>
      <c r="L274" s="218"/>
      <c r="M274" s="179" t="str">
        <f t="shared" si="15"/>
        <v/>
      </c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  <c r="AB274" s="166"/>
      <c r="AC274" s="166"/>
      <c r="AD274" s="166"/>
      <c r="AE274" s="166"/>
      <c r="AF274" s="166"/>
    </row>
    <row r="275">
      <c r="A275" s="158"/>
      <c r="B275" s="158"/>
      <c r="C275" s="158"/>
      <c r="D275" s="158"/>
      <c r="E275" s="167"/>
      <c r="F275" s="215"/>
      <c r="G275" s="216"/>
      <c r="H275" s="217"/>
      <c r="I275" s="216"/>
      <c r="J275" s="216"/>
      <c r="K275" s="195" t="str">
        <f t="shared" si="4"/>
        <v/>
      </c>
      <c r="L275" s="218"/>
      <c r="M275" s="179" t="str">
        <f t="shared" si="15"/>
        <v/>
      </c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  <c r="AB275" s="166"/>
      <c r="AC275" s="166"/>
      <c r="AD275" s="166"/>
      <c r="AE275" s="166"/>
      <c r="AF275" s="166"/>
    </row>
    <row r="276">
      <c r="A276" s="158"/>
      <c r="B276" s="158"/>
      <c r="C276" s="158"/>
      <c r="D276" s="158"/>
      <c r="E276" s="167"/>
      <c r="F276" s="215"/>
      <c r="G276" s="216"/>
      <c r="H276" s="217"/>
      <c r="I276" s="216"/>
      <c r="J276" s="216"/>
      <c r="K276" s="195" t="str">
        <f t="shared" si="4"/>
        <v/>
      </c>
      <c r="L276" s="218"/>
      <c r="M276" s="179" t="str">
        <f t="shared" si="15"/>
        <v/>
      </c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  <c r="AB276" s="166"/>
      <c r="AC276" s="166"/>
      <c r="AD276" s="166"/>
      <c r="AE276" s="166"/>
      <c r="AF276" s="166"/>
    </row>
    <row r="277">
      <c r="A277" s="158"/>
      <c r="B277" s="158"/>
      <c r="C277" s="158"/>
      <c r="D277" s="158"/>
      <c r="E277" s="167"/>
      <c r="F277" s="215"/>
      <c r="G277" s="216"/>
      <c r="H277" s="217"/>
      <c r="I277" s="216"/>
      <c r="J277" s="216"/>
      <c r="K277" s="195" t="str">
        <f t="shared" si="4"/>
        <v/>
      </c>
      <c r="L277" s="218"/>
      <c r="M277" s="179" t="str">
        <f t="shared" si="15"/>
        <v/>
      </c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</row>
    <row r="278">
      <c r="A278" s="158"/>
      <c r="B278" s="158"/>
      <c r="C278" s="158"/>
      <c r="D278" s="158"/>
      <c r="E278" s="167"/>
      <c r="F278" s="215"/>
      <c r="G278" s="216"/>
      <c r="H278" s="217"/>
      <c r="I278" s="216"/>
      <c r="J278" s="216"/>
      <c r="K278" s="195" t="str">
        <f t="shared" si="4"/>
        <v/>
      </c>
      <c r="L278" s="218"/>
      <c r="M278" s="179" t="str">
        <f t="shared" si="15"/>
        <v/>
      </c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  <c r="AB278" s="166"/>
      <c r="AC278" s="166"/>
      <c r="AD278" s="166"/>
      <c r="AE278" s="166"/>
      <c r="AF278" s="166"/>
    </row>
    <row r="279">
      <c r="A279" s="158"/>
      <c r="B279" s="158"/>
      <c r="C279" s="158"/>
      <c r="D279" s="158"/>
      <c r="E279" s="167"/>
      <c r="F279" s="215"/>
      <c r="G279" s="216"/>
      <c r="H279" s="217"/>
      <c r="I279" s="216"/>
      <c r="J279" s="216"/>
      <c r="K279" s="195" t="str">
        <f t="shared" si="4"/>
        <v/>
      </c>
      <c r="L279" s="218"/>
      <c r="M279" s="179" t="str">
        <f t="shared" si="15"/>
        <v/>
      </c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  <c r="AB279" s="166"/>
      <c r="AC279" s="166"/>
      <c r="AD279" s="166"/>
      <c r="AE279" s="166"/>
      <c r="AF279" s="166"/>
    </row>
    <row r="280">
      <c r="A280" s="158"/>
      <c r="B280" s="158"/>
      <c r="C280" s="158"/>
      <c r="D280" s="158"/>
      <c r="E280" s="167"/>
      <c r="F280" s="215"/>
      <c r="G280" s="216"/>
      <c r="H280" s="217"/>
      <c r="I280" s="216"/>
      <c r="J280" s="216"/>
      <c r="K280" s="195" t="str">
        <f t="shared" si="4"/>
        <v/>
      </c>
      <c r="L280" s="218"/>
      <c r="M280" s="179" t="str">
        <f t="shared" si="15"/>
        <v/>
      </c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  <c r="AB280" s="166"/>
      <c r="AC280" s="166"/>
      <c r="AD280" s="166"/>
      <c r="AE280" s="166"/>
      <c r="AF280" s="166"/>
    </row>
    <row r="281">
      <c r="A281" s="158"/>
      <c r="B281" s="158"/>
      <c r="C281" s="158"/>
      <c r="D281" s="158"/>
      <c r="E281" s="167"/>
      <c r="F281" s="215"/>
      <c r="G281" s="216"/>
      <c r="H281" s="217"/>
      <c r="I281" s="216"/>
      <c r="J281" s="216"/>
      <c r="K281" s="195" t="str">
        <f t="shared" si="4"/>
        <v/>
      </c>
      <c r="L281" s="218"/>
      <c r="M281" s="179" t="str">
        <f t="shared" si="15"/>
        <v/>
      </c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  <c r="AB281" s="166"/>
      <c r="AC281" s="166"/>
      <c r="AD281" s="166"/>
      <c r="AE281" s="166"/>
      <c r="AF281" s="166"/>
    </row>
    <row r="282">
      <c r="A282" s="158"/>
      <c r="B282" s="158"/>
      <c r="C282" s="158"/>
      <c r="D282" s="158"/>
      <c r="E282" s="167"/>
      <c r="F282" s="215"/>
      <c r="G282" s="216"/>
      <c r="H282" s="217"/>
      <c r="I282" s="216"/>
      <c r="J282" s="216"/>
      <c r="K282" s="195" t="str">
        <f t="shared" si="4"/>
        <v/>
      </c>
      <c r="L282" s="218"/>
      <c r="M282" s="179" t="str">
        <f t="shared" si="15"/>
        <v/>
      </c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  <c r="AB282" s="166"/>
      <c r="AC282" s="166"/>
      <c r="AD282" s="166"/>
      <c r="AE282" s="166"/>
      <c r="AF282" s="166"/>
    </row>
    <row r="283">
      <c r="A283" s="158"/>
      <c r="B283" s="158"/>
      <c r="C283" s="158"/>
      <c r="D283" s="158"/>
      <c r="E283" s="167"/>
      <c r="F283" s="215"/>
      <c r="G283" s="216"/>
      <c r="H283" s="217"/>
      <c r="I283" s="216"/>
      <c r="J283" s="216"/>
      <c r="K283" s="195" t="str">
        <f t="shared" si="4"/>
        <v/>
      </c>
      <c r="L283" s="218"/>
      <c r="M283" s="179" t="str">
        <f t="shared" si="15"/>
        <v/>
      </c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  <c r="AB283" s="166"/>
      <c r="AC283" s="166"/>
      <c r="AD283" s="166"/>
      <c r="AE283" s="166"/>
      <c r="AF283" s="166"/>
    </row>
    <row r="284">
      <c r="A284" s="158"/>
      <c r="B284" s="158"/>
      <c r="C284" s="158"/>
      <c r="D284" s="158"/>
      <c r="E284" s="167"/>
      <c r="F284" s="215"/>
      <c r="G284" s="216"/>
      <c r="H284" s="217"/>
      <c r="I284" s="216"/>
      <c r="J284" s="216"/>
      <c r="K284" s="195" t="str">
        <f t="shared" si="4"/>
        <v/>
      </c>
      <c r="L284" s="218"/>
      <c r="M284" s="179" t="str">
        <f t="shared" si="15"/>
        <v/>
      </c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  <c r="AB284" s="166"/>
      <c r="AC284" s="166"/>
      <c r="AD284" s="166"/>
      <c r="AE284" s="166"/>
      <c r="AF284" s="166"/>
    </row>
    <row r="285">
      <c r="A285" s="158"/>
      <c r="B285" s="158"/>
      <c r="C285" s="158"/>
      <c r="D285" s="158"/>
      <c r="E285" s="167"/>
      <c r="F285" s="215"/>
      <c r="G285" s="216"/>
      <c r="H285" s="217"/>
      <c r="I285" s="216"/>
      <c r="J285" s="216"/>
      <c r="K285" s="195" t="str">
        <f t="shared" si="4"/>
        <v/>
      </c>
      <c r="L285" s="218"/>
      <c r="M285" s="179" t="str">
        <f t="shared" si="15"/>
        <v/>
      </c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  <c r="AB285" s="166"/>
      <c r="AC285" s="166"/>
      <c r="AD285" s="166"/>
      <c r="AE285" s="166"/>
      <c r="AF285" s="166"/>
    </row>
    <row r="286">
      <c r="A286" s="158"/>
      <c r="B286" s="158"/>
      <c r="C286" s="158"/>
      <c r="D286" s="158"/>
      <c r="E286" s="167"/>
      <c r="F286" s="215"/>
      <c r="G286" s="216"/>
      <c r="H286" s="217"/>
      <c r="I286" s="216"/>
      <c r="J286" s="216"/>
      <c r="K286" s="195" t="str">
        <f t="shared" si="4"/>
        <v/>
      </c>
      <c r="L286" s="218"/>
      <c r="M286" s="179" t="str">
        <f t="shared" si="15"/>
        <v/>
      </c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  <c r="AB286" s="166"/>
      <c r="AC286" s="166"/>
      <c r="AD286" s="166"/>
      <c r="AE286" s="166"/>
      <c r="AF286" s="166"/>
    </row>
    <row r="287">
      <c r="A287" s="158"/>
      <c r="B287" s="158"/>
      <c r="C287" s="158"/>
      <c r="D287" s="158"/>
      <c r="E287" s="167"/>
      <c r="F287" s="215"/>
      <c r="G287" s="216"/>
      <c r="H287" s="217"/>
      <c r="I287" s="216"/>
      <c r="J287" s="216"/>
      <c r="K287" s="195" t="str">
        <f t="shared" si="4"/>
        <v/>
      </c>
      <c r="L287" s="218"/>
      <c r="M287" s="179" t="str">
        <f t="shared" si="15"/>
        <v/>
      </c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  <c r="AB287" s="166"/>
      <c r="AC287" s="166"/>
      <c r="AD287" s="166"/>
      <c r="AE287" s="166"/>
      <c r="AF287" s="166"/>
    </row>
    <row r="288">
      <c r="A288" s="158"/>
      <c r="B288" s="158"/>
      <c r="C288" s="158"/>
      <c r="D288" s="158"/>
      <c r="E288" s="167"/>
      <c r="F288" s="215"/>
      <c r="G288" s="216"/>
      <c r="H288" s="217"/>
      <c r="I288" s="216"/>
      <c r="J288" s="216"/>
      <c r="K288" s="195" t="str">
        <f t="shared" si="4"/>
        <v/>
      </c>
      <c r="L288" s="218"/>
      <c r="M288" s="179" t="str">
        <f t="shared" si="15"/>
        <v/>
      </c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  <c r="AB288" s="166"/>
      <c r="AC288" s="166"/>
      <c r="AD288" s="166"/>
      <c r="AE288" s="166"/>
      <c r="AF288" s="166"/>
    </row>
    <row r="289">
      <c r="A289" s="158"/>
      <c r="B289" s="158"/>
      <c r="C289" s="158"/>
      <c r="D289" s="158"/>
      <c r="E289" s="167"/>
      <c r="F289" s="215"/>
      <c r="G289" s="216"/>
      <c r="H289" s="217"/>
      <c r="I289" s="216"/>
      <c r="J289" s="216"/>
      <c r="K289" s="195" t="str">
        <f t="shared" si="4"/>
        <v/>
      </c>
      <c r="L289" s="218"/>
      <c r="M289" s="179" t="str">
        <f t="shared" si="15"/>
        <v/>
      </c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  <c r="AB289" s="166"/>
      <c r="AC289" s="166"/>
      <c r="AD289" s="166"/>
      <c r="AE289" s="166"/>
      <c r="AF289" s="166"/>
    </row>
    <row r="290">
      <c r="A290" s="158"/>
      <c r="B290" s="158"/>
      <c r="C290" s="158"/>
      <c r="D290" s="158"/>
      <c r="E290" s="167"/>
      <c r="F290" s="215"/>
      <c r="G290" s="216"/>
      <c r="H290" s="217"/>
      <c r="I290" s="216"/>
      <c r="J290" s="216"/>
      <c r="K290" s="195" t="str">
        <f t="shared" si="4"/>
        <v/>
      </c>
      <c r="L290" s="218"/>
      <c r="M290" s="179" t="str">
        <f t="shared" si="15"/>
        <v/>
      </c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</row>
    <row r="291">
      <c r="A291" s="158"/>
      <c r="B291" s="158"/>
      <c r="C291" s="158"/>
      <c r="D291" s="158"/>
      <c r="E291" s="167"/>
      <c r="F291" s="217"/>
      <c r="G291" s="216"/>
      <c r="H291" s="217"/>
      <c r="I291" s="216"/>
      <c r="J291" s="216"/>
      <c r="K291" s="195" t="str">
        <f t="shared" si="4"/>
        <v/>
      </c>
      <c r="L291" s="218"/>
      <c r="M291" s="179" t="str">
        <f t="shared" si="15"/>
        <v/>
      </c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  <c r="AB291" s="166"/>
      <c r="AC291" s="166"/>
      <c r="AD291" s="166"/>
      <c r="AE291" s="166"/>
      <c r="AF291" s="166"/>
    </row>
    <row r="292">
      <c r="A292" s="158"/>
      <c r="B292" s="158"/>
      <c r="C292" s="158"/>
      <c r="D292" s="158"/>
      <c r="E292" s="167"/>
      <c r="F292" s="217"/>
      <c r="G292" s="216"/>
      <c r="H292" s="217"/>
      <c r="I292" s="216"/>
      <c r="J292" s="216"/>
      <c r="K292" s="195" t="str">
        <f t="shared" si="4"/>
        <v/>
      </c>
      <c r="L292" s="218"/>
      <c r="M292" s="179" t="str">
        <f t="shared" si="15"/>
        <v/>
      </c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</row>
    <row r="293">
      <c r="A293" s="158"/>
      <c r="B293" s="158"/>
      <c r="C293" s="158"/>
      <c r="D293" s="158"/>
      <c r="E293" s="167"/>
      <c r="F293" s="217"/>
      <c r="G293" s="216"/>
      <c r="H293" s="217"/>
      <c r="I293" s="216"/>
      <c r="J293" s="216"/>
      <c r="K293" s="195" t="str">
        <f t="shared" si="4"/>
        <v/>
      </c>
      <c r="L293" s="218"/>
      <c r="M293" s="179" t="str">
        <f t="shared" si="15"/>
        <v/>
      </c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  <c r="AB293" s="166"/>
      <c r="AC293" s="166"/>
      <c r="AD293" s="166"/>
      <c r="AE293" s="166"/>
      <c r="AF293" s="166"/>
    </row>
    <row r="294">
      <c r="A294" s="158"/>
      <c r="B294" s="158"/>
      <c r="C294" s="158"/>
      <c r="D294" s="158"/>
      <c r="E294" s="167"/>
      <c r="F294" s="217"/>
      <c r="G294" s="216"/>
      <c r="H294" s="217"/>
      <c r="I294" s="216"/>
      <c r="J294" s="216"/>
      <c r="K294" s="195" t="str">
        <f t="shared" si="4"/>
        <v/>
      </c>
      <c r="L294" s="218"/>
      <c r="M294" s="179" t="str">
        <f t="shared" si="15"/>
        <v/>
      </c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  <c r="AB294" s="166"/>
      <c r="AC294" s="166"/>
      <c r="AD294" s="166"/>
      <c r="AE294" s="166"/>
      <c r="AF294" s="166"/>
    </row>
    <row r="295">
      <c r="A295" s="158"/>
      <c r="B295" s="158"/>
      <c r="C295" s="158"/>
      <c r="D295" s="158"/>
      <c r="E295" s="167"/>
      <c r="F295" s="217"/>
      <c r="G295" s="216"/>
      <c r="H295" s="217"/>
      <c r="I295" s="216"/>
      <c r="J295" s="216"/>
      <c r="K295" s="195" t="str">
        <f t="shared" si="4"/>
        <v/>
      </c>
      <c r="L295" s="218"/>
      <c r="M295" s="179" t="str">
        <f t="shared" si="15"/>
        <v/>
      </c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  <c r="AB295" s="166"/>
      <c r="AC295" s="166"/>
      <c r="AD295" s="166"/>
      <c r="AE295" s="166"/>
      <c r="AF295" s="166"/>
    </row>
    <row r="296">
      <c r="A296" s="158"/>
      <c r="B296" s="158"/>
      <c r="C296" s="158"/>
      <c r="D296" s="158"/>
      <c r="E296" s="167"/>
      <c r="F296" s="217"/>
      <c r="G296" s="216"/>
      <c r="H296" s="217"/>
      <c r="I296" s="216"/>
      <c r="J296" s="216"/>
      <c r="K296" s="195" t="str">
        <f t="shared" si="4"/>
        <v/>
      </c>
      <c r="L296" s="218"/>
      <c r="M296" s="179" t="str">
        <f t="shared" si="15"/>
        <v/>
      </c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</row>
    <row r="297">
      <c r="A297" s="158"/>
      <c r="B297" s="158"/>
      <c r="C297" s="158"/>
      <c r="D297" s="158"/>
      <c r="E297" s="167"/>
      <c r="F297" s="217"/>
      <c r="G297" s="216"/>
      <c r="H297" s="217"/>
      <c r="I297" s="216"/>
      <c r="J297" s="216"/>
      <c r="K297" s="195" t="str">
        <f t="shared" si="4"/>
        <v/>
      </c>
      <c r="L297" s="218"/>
      <c r="M297" s="179" t="str">
        <f t="shared" si="15"/>
        <v/>
      </c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  <c r="AB297" s="166"/>
      <c r="AC297" s="166"/>
      <c r="AD297" s="166"/>
      <c r="AE297" s="166"/>
      <c r="AF297" s="166"/>
    </row>
    <row r="298">
      <c r="A298" s="158"/>
      <c r="B298" s="158"/>
      <c r="C298" s="158"/>
      <c r="D298" s="158"/>
      <c r="E298" s="167"/>
      <c r="F298" s="217"/>
      <c r="G298" s="216"/>
      <c r="H298" s="217"/>
      <c r="I298" s="216"/>
      <c r="J298" s="216"/>
      <c r="K298" s="195" t="str">
        <f t="shared" si="4"/>
        <v/>
      </c>
      <c r="L298" s="218"/>
      <c r="M298" s="179" t="str">
        <f t="shared" si="15"/>
        <v/>
      </c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  <c r="AB298" s="166"/>
      <c r="AC298" s="166"/>
      <c r="AD298" s="166"/>
      <c r="AE298" s="166"/>
      <c r="AF298" s="166"/>
    </row>
    <row r="299">
      <c r="A299" s="158"/>
      <c r="B299" s="158"/>
      <c r="C299" s="158"/>
      <c r="D299" s="158"/>
      <c r="E299" s="167"/>
      <c r="F299" s="217"/>
      <c r="G299" s="216"/>
      <c r="H299" s="217"/>
      <c r="I299" s="216"/>
      <c r="J299" s="216"/>
      <c r="K299" s="195" t="str">
        <f t="shared" si="4"/>
        <v/>
      </c>
      <c r="L299" s="218"/>
      <c r="M299" s="179" t="str">
        <f t="shared" si="15"/>
        <v/>
      </c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  <c r="AB299" s="166"/>
      <c r="AC299" s="166"/>
      <c r="AD299" s="166"/>
      <c r="AE299" s="166"/>
      <c r="AF299" s="166"/>
    </row>
    <row r="300">
      <c r="A300" s="158"/>
      <c r="B300" s="158"/>
      <c r="C300" s="158"/>
      <c r="D300" s="158"/>
      <c r="E300" s="167"/>
      <c r="F300" s="217"/>
      <c r="G300" s="216"/>
      <c r="H300" s="217"/>
      <c r="I300" s="216"/>
      <c r="J300" s="216"/>
      <c r="K300" s="195" t="str">
        <f t="shared" si="4"/>
        <v/>
      </c>
      <c r="L300" s="218"/>
      <c r="M300" s="179" t="str">
        <f t="shared" si="15"/>
        <v/>
      </c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  <c r="AB300" s="166"/>
      <c r="AC300" s="166"/>
      <c r="AD300" s="166"/>
      <c r="AE300" s="166"/>
      <c r="AF300" s="166"/>
    </row>
    <row r="301">
      <c r="A301" s="158"/>
      <c r="B301" s="158"/>
      <c r="C301" s="158"/>
      <c r="D301" s="158"/>
      <c r="E301" s="167"/>
      <c r="F301" s="217"/>
      <c r="G301" s="216"/>
      <c r="H301" s="217"/>
      <c r="I301" s="216"/>
      <c r="J301" s="216"/>
      <c r="K301" s="195" t="str">
        <f t="shared" si="4"/>
        <v/>
      </c>
      <c r="L301" s="218"/>
      <c r="M301" s="179" t="str">
        <f t="shared" si="15"/>
        <v/>
      </c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  <c r="AB301" s="166"/>
      <c r="AC301" s="166"/>
      <c r="AD301" s="166"/>
      <c r="AE301" s="166"/>
      <c r="AF301" s="166"/>
    </row>
    <row r="302">
      <c r="A302" s="158"/>
      <c r="B302" s="158"/>
      <c r="C302" s="158"/>
      <c r="D302" s="158"/>
      <c r="E302" s="167"/>
      <c r="F302" s="217"/>
      <c r="G302" s="216"/>
      <c r="H302" s="217"/>
      <c r="I302" s="216"/>
      <c r="J302" s="216"/>
      <c r="K302" s="195" t="str">
        <f t="shared" si="4"/>
        <v/>
      </c>
      <c r="L302" s="218"/>
      <c r="M302" s="179" t="str">
        <f t="shared" si="15"/>
        <v/>
      </c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  <c r="AB302" s="166"/>
      <c r="AC302" s="166"/>
      <c r="AD302" s="166"/>
      <c r="AE302" s="166"/>
      <c r="AF302" s="166"/>
    </row>
    <row r="303">
      <c r="A303" s="158"/>
      <c r="B303" s="158"/>
      <c r="C303" s="158"/>
      <c r="D303" s="158"/>
      <c r="E303" s="167"/>
      <c r="F303" s="217"/>
      <c r="G303" s="216"/>
      <c r="H303" s="217"/>
      <c r="I303" s="216"/>
      <c r="J303" s="216"/>
      <c r="K303" s="195" t="str">
        <f t="shared" si="4"/>
        <v/>
      </c>
      <c r="L303" s="218"/>
      <c r="M303" s="179" t="str">
        <f t="shared" si="15"/>
        <v/>
      </c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  <c r="AB303" s="166"/>
      <c r="AC303" s="166"/>
      <c r="AD303" s="166"/>
      <c r="AE303" s="166"/>
      <c r="AF303" s="166"/>
    </row>
    <row r="304">
      <c r="A304" s="158"/>
      <c r="B304" s="158"/>
      <c r="C304" s="158"/>
      <c r="D304" s="158"/>
      <c r="E304" s="167"/>
      <c r="F304" s="217"/>
      <c r="G304" s="216"/>
      <c r="H304" s="217"/>
      <c r="I304" s="216"/>
      <c r="J304" s="216"/>
      <c r="K304" s="195" t="str">
        <f t="shared" si="4"/>
        <v/>
      </c>
      <c r="L304" s="218"/>
      <c r="M304" s="179" t="str">
        <f t="shared" si="15"/>
        <v/>
      </c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  <c r="AB304" s="166"/>
      <c r="AC304" s="166"/>
      <c r="AD304" s="166"/>
      <c r="AE304" s="166"/>
      <c r="AF304" s="166"/>
    </row>
    <row r="305">
      <c r="A305" s="158"/>
      <c r="B305" s="158"/>
      <c r="C305" s="158"/>
      <c r="D305" s="158"/>
      <c r="E305" s="167"/>
      <c r="F305" s="217"/>
      <c r="G305" s="216"/>
      <c r="H305" s="217"/>
      <c r="I305" s="216"/>
      <c r="J305" s="216"/>
      <c r="K305" s="195" t="str">
        <f t="shared" si="4"/>
        <v/>
      </c>
      <c r="L305" s="218"/>
      <c r="M305" s="179" t="str">
        <f t="shared" si="15"/>
        <v/>
      </c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  <c r="AB305" s="166"/>
      <c r="AC305" s="166"/>
      <c r="AD305" s="166"/>
      <c r="AE305" s="166"/>
      <c r="AF305" s="166"/>
    </row>
    <row r="306">
      <c r="A306" s="158"/>
      <c r="B306" s="158"/>
      <c r="C306" s="158"/>
      <c r="D306" s="158"/>
      <c r="E306" s="167"/>
      <c r="F306" s="217"/>
      <c r="G306" s="216"/>
      <c r="H306" s="217"/>
      <c r="I306" s="216"/>
      <c r="J306" s="216"/>
      <c r="K306" s="195" t="str">
        <f t="shared" si="4"/>
        <v/>
      </c>
      <c r="L306" s="218"/>
      <c r="M306" s="179" t="str">
        <f t="shared" si="15"/>
        <v/>
      </c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  <c r="AB306" s="166"/>
      <c r="AC306" s="166"/>
      <c r="AD306" s="166"/>
      <c r="AE306" s="166"/>
      <c r="AF306" s="166"/>
    </row>
    <row r="307">
      <c r="A307" s="158"/>
      <c r="B307" s="158"/>
      <c r="C307" s="158"/>
      <c r="D307" s="158"/>
      <c r="E307" s="167"/>
      <c r="F307" s="217"/>
      <c r="G307" s="216"/>
      <c r="H307" s="217"/>
      <c r="I307" s="216"/>
      <c r="J307" s="216"/>
      <c r="K307" s="195" t="str">
        <f t="shared" si="4"/>
        <v/>
      </c>
      <c r="L307" s="218"/>
      <c r="M307" s="179" t="str">
        <f t="shared" si="15"/>
        <v/>
      </c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  <c r="AB307" s="166"/>
      <c r="AC307" s="166"/>
      <c r="AD307" s="166"/>
      <c r="AE307" s="166"/>
      <c r="AF307" s="166"/>
    </row>
    <row r="308">
      <c r="A308" s="158"/>
      <c r="B308" s="158"/>
      <c r="C308" s="158"/>
      <c r="D308" s="158"/>
      <c r="E308" s="167"/>
      <c r="F308" s="217"/>
      <c r="G308" s="216"/>
      <c r="H308" s="217"/>
      <c r="I308" s="216"/>
      <c r="J308" s="216"/>
      <c r="K308" s="195" t="str">
        <f t="shared" si="4"/>
        <v/>
      </c>
      <c r="L308" s="218"/>
      <c r="M308" s="179" t="str">
        <f t="shared" si="15"/>
        <v/>
      </c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  <c r="AB308" s="166"/>
      <c r="AC308" s="166"/>
      <c r="AD308" s="166"/>
      <c r="AE308" s="166"/>
      <c r="AF308" s="166"/>
    </row>
    <row r="309">
      <c r="A309" s="158"/>
      <c r="B309" s="158"/>
      <c r="C309" s="158"/>
      <c r="D309" s="158"/>
      <c r="E309" s="167"/>
      <c r="F309" s="217"/>
      <c r="G309" s="216"/>
      <c r="H309" s="217"/>
      <c r="I309" s="216"/>
      <c r="J309" s="216"/>
      <c r="K309" s="195" t="str">
        <f t="shared" si="4"/>
        <v/>
      </c>
      <c r="L309" s="218"/>
      <c r="M309" s="179" t="str">
        <f t="shared" si="15"/>
        <v/>
      </c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  <c r="AB309" s="166"/>
      <c r="AC309" s="166"/>
      <c r="AD309" s="166"/>
      <c r="AE309" s="166"/>
      <c r="AF309" s="166"/>
    </row>
    <row r="310">
      <c r="A310" s="158"/>
      <c r="B310" s="158"/>
      <c r="C310" s="158"/>
      <c r="D310" s="158"/>
      <c r="E310" s="167"/>
      <c r="F310" s="217"/>
      <c r="G310" s="216"/>
      <c r="H310" s="217"/>
      <c r="I310" s="216"/>
      <c r="J310" s="216"/>
      <c r="K310" s="219" t="str">
        <f t="shared" ref="K310:K375" si="16">IF(J310=0,"",(J310/I310))</f>
        <v/>
      </c>
      <c r="L310" s="218"/>
      <c r="M310" s="179" t="str">
        <f t="shared" si="15"/>
        <v/>
      </c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  <c r="AB310" s="166"/>
      <c r="AC310" s="166"/>
      <c r="AD310" s="166"/>
      <c r="AE310" s="166"/>
      <c r="AF310" s="166"/>
    </row>
    <row r="311">
      <c r="A311" s="158"/>
      <c r="B311" s="158"/>
      <c r="C311" s="158"/>
      <c r="D311" s="158"/>
      <c r="E311" s="167"/>
      <c r="F311" s="217"/>
      <c r="G311" s="216"/>
      <c r="H311" s="217"/>
      <c r="I311" s="216"/>
      <c r="J311" s="216"/>
      <c r="K311" s="219" t="str">
        <f t="shared" si="16"/>
        <v/>
      </c>
      <c r="L311" s="218"/>
      <c r="M311" s="179" t="str">
        <f t="shared" si="15"/>
        <v/>
      </c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  <c r="AB311" s="166"/>
      <c r="AC311" s="166"/>
      <c r="AD311" s="166"/>
      <c r="AE311" s="166"/>
      <c r="AF311" s="166"/>
    </row>
    <row r="312">
      <c r="A312" s="158"/>
      <c r="B312" s="158"/>
      <c r="C312" s="158"/>
      <c r="D312" s="158"/>
      <c r="E312" s="167"/>
      <c r="F312" s="217"/>
      <c r="G312" s="216"/>
      <c r="H312" s="217"/>
      <c r="I312" s="216"/>
      <c r="J312" s="216"/>
      <c r="K312" s="219" t="str">
        <f t="shared" si="16"/>
        <v/>
      </c>
      <c r="L312" s="218"/>
      <c r="M312" s="179" t="str">
        <f t="shared" si="15"/>
        <v/>
      </c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  <c r="AB312" s="166"/>
      <c r="AC312" s="166"/>
      <c r="AD312" s="166"/>
      <c r="AE312" s="166"/>
      <c r="AF312" s="166"/>
    </row>
    <row r="313">
      <c r="A313" s="158"/>
      <c r="B313" s="158"/>
      <c r="C313" s="158"/>
      <c r="D313" s="158"/>
      <c r="E313" s="167"/>
      <c r="F313" s="217"/>
      <c r="G313" s="216"/>
      <c r="H313" s="217"/>
      <c r="I313" s="216"/>
      <c r="J313" s="216"/>
      <c r="K313" s="219" t="str">
        <f t="shared" si="16"/>
        <v/>
      </c>
      <c r="L313" s="218"/>
      <c r="M313" s="179" t="str">
        <f t="shared" si="15"/>
        <v/>
      </c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  <c r="AB313" s="166"/>
      <c r="AC313" s="166"/>
      <c r="AD313" s="166"/>
      <c r="AE313" s="166"/>
      <c r="AF313" s="166"/>
    </row>
    <row r="314">
      <c r="A314" s="158"/>
      <c r="B314" s="158"/>
      <c r="C314" s="158"/>
      <c r="D314" s="158"/>
      <c r="E314" s="167"/>
      <c r="F314" s="217"/>
      <c r="G314" s="216"/>
      <c r="H314" s="217"/>
      <c r="I314" s="216"/>
      <c r="J314" s="216"/>
      <c r="K314" s="219" t="str">
        <f t="shared" si="16"/>
        <v/>
      </c>
      <c r="L314" s="218"/>
      <c r="M314" s="179" t="str">
        <f t="shared" si="15"/>
        <v/>
      </c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  <c r="AB314" s="166"/>
      <c r="AC314" s="166"/>
      <c r="AD314" s="166"/>
      <c r="AE314" s="166"/>
      <c r="AF314" s="166"/>
    </row>
    <row r="315">
      <c r="A315" s="158"/>
      <c r="B315" s="158"/>
      <c r="C315" s="158"/>
      <c r="D315" s="158"/>
      <c r="E315" s="167"/>
      <c r="F315" s="217"/>
      <c r="G315" s="216"/>
      <c r="H315" s="217"/>
      <c r="I315" s="216"/>
      <c r="J315" s="216"/>
      <c r="K315" s="219" t="str">
        <f t="shared" si="16"/>
        <v/>
      </c>
      <c r="L315" s="218"/>
      <c r="M315" s="179" t="str">
        <f t="shared" si="15"/>
        <v/>
      </c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  <c r="AB315" s="166"/>
      <c r="AC315" s="166"/>
      <c r="AD315" s="166"/>
      <c r="AE315" s="166"/>
      <c r="AF315" s="166"/>
    </row>
    <row r="316">
      <c r="A316" s="158"/>
      <c r="B316" s="158"/>
      <c r="C316" s="158"/>
      <c r="D316" s="158"/>
      <c r="E316" s="167"/>
      <c r="F316" s="217"/>
      <c r="G316" s="216"/>
      <c r="H316" s="217"/>
      <c r="I316" s="216"/>
      <c r="J316" s="216"/>
      <c r="K316" s="219" t="str">
        <f t="shared" si="16"/>
        <v/>
      </c>
      <c r="L316" s="218"/>
      <c r="M316" s="179" t="str">
        <f t="shared" si="15"/>
        <v/>
      </c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  <c r="AB316" s="166"/>
      <c r="AC316" s="166"/>
      <c r="AD316" s="166"/>
      <c r="AE316" s="166"/>
      <c r="AF316" s="166"/>
    </row>
    <row r="317">
      <c r="A317" s="158"/>
      <c r="B317" s="158"/>
      <c r="C317" s="158"/>
      <c r="D317" s="158"/>
      <c r="E317" s="167"/>
      <c r="F317" s="217"/>
      <c r="G317" s="216"/>
      <c r="H317" s="217"/>
      <c r="I317" s="216"/>
      <c r="J317" s="216"/>
      <c r="K317" s="219" t="str">
        <f t="shared" si="16"/>
        <v/>
      </c>
      <c r="L317" s="218"/>
      <c r="M317" s="179" t="str">
        <f t="shared" si="15"/>
        <v/>
      </c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  <c r="AB317" s="166"/>
      <c r="AC317" s="166"/>
      <c r="AD317" s="166"/>
      <c r="AE317" s="166"/>
      <c r="AF317" s="166"/>
    </row>
    <row r="318">
      <c r="A318" s="217"/>
      <c r="B318" s="217"/>
      <c r="C318" s="217"/>
      <c r="D318" s="217"/>
      <c r="E318" s="167"/>
      <c r="F318" s="217"/>
      <c r="G318" s="216"/>
      <c r="H318" s="217"/>
      <c r="I318" s="216"/>
      <c r="J318" s="216"/>
      <c r="K318" s="219" t="str">
        <f t="shared" si="16"/>
        <v/>
      </c>
      <c r="L318" s="218"/>
      <c r="M318" s="179" t="str">
        <f t="shared" si="15"/>
        <v/>
      </c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  <c r="AB318" s="166"/>
      <c r="AC318" s="166"/>
      <c r="AD318" s="166"/>
      <c r="AE318" s="166"/>
      <c r="AF318" s="166"/>
    </row>
    <row r="319">
      <c r="A319" s="217"/>
      <c r="B319" s="217"/>
      <c r="C319" s="217"/>
      <c r="D319" s="217"/>
      <c r="E319" s="167"/>
      <c r="F319" s="217"/>
      <c r="G319" s="216"/>
      <c r="H319" s="217"/>
      <c r="I319" s="216"/>
      <c r="J319" s="216"/>
      <c r="K319" s="219" t="str">
        <f t="shared" si="16"/>
        <v/>
      </c>
      <c r="L319" s="218"/>
      <c r="M319" s="179" t="str">
        <f t="shared" si="15"/>
        <v/>
      </c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  <c r="AB319" s="166"/>
      <c r="AC319" s="166"/>
      <c r="AD319" s="166"/>
      <c r="AE319" s="166"/>
      <c r="AF319" s="166"/>
    </row>
    <row r="320">
      <c r="A320" s="217"/>
      <c r="B320" s="217"/>
      <c r="C320" s="217"/>
      <c r="D320" s="217"/>
      <c r="E320" s="167"/>
      <c r="F320" s="217"/>
      <c r="G320" s="216"/>
      <c r="H320" s="217"/>
      <c r="I320" s="216"/>
      <c r="J320" s="216"/>
      <c r="K320" s="219" t="str">
        <f t="shared" si="16"/>
        <v/>
      </c>
      <c r="L320" s="218"/>
      <c r="M320" s="179" t="str">
        <f t="shared" si="15"/>
        <v/>
      </c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  <c r="AB320" s="166"/>
      <c r="AC320" s="166"/>
      <c r="AD320" s="166"/>
      <c r="AE320" s="166"/>
      <c r="AF320" s="166"/>
    </row>
    <row r="321">
      <c r="A321" s="217"/>
      <c r="B321" s="217"/>
      <c r="C321" s="217"/>
      <c r="D321" s="217"/>
      <c r="E321" s="167"/>
      <c r="F321" s="217"/>
      <c r="G321" s="216"/>
      <c r="H321" s="217"/>
      <c r="I321" s="216"/>
      <c r="J321" s="216"/>
      <c r="K321" s="219" t="str">
        <f t="shared" si="16"/>
        <v/>
      </c>
      <c r="L321" s="218"/>
      <c r="M321" s="179" t="str">
        <f t="shared" si="15"/>
        <v/>
      </c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  <c r="AB321" s="166"/>
      <c r="AC321" s="166"/>
      <c r="AD321" s="166"/>
      <c r="AE321" s="166"/>
      <c r="AF321" s="166"/>
    </row>
    <row r="322">
      <c r="A322" s="217"/>
      <c r="B322" s="217"/>
      <c r="C322" s="217"/>
      <c r="D322" s="217"/>
      <c r="E322" s="167"/>
      <c r="F322" s="217"/>
      <c r="G322" s="216"/>
      <c r="H322" s="217"/>
      <c r="I322" s="216"/>
      <c r="J322" s="216"/>
      <c r="K322" s="219" t="str">
        <f t="shared" si="16"/>
        <v/>
      </c>
      <c r="L322" s="218"/>
      <c r="M322" s="179" t="str">
        <f t="shared" si="15"/>
        <v/>
      </c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  <c r="AB322" s="166"/>
      <c r="AC322" s="166"/>
      <c r="AD322" s="166"/>
      <c r="AE322" s="166"/>
      <c r="AF322" s="166"/>
    </row>
    <row r="323">
      <c r="A323" s="217"/>
      <c r="B323" s="217"/>
      <c r="C323" s="217"/>
      <c r="D323" s="217"/>
      <c r="E323" s="167"/>
      <c r="F323" s="217"/>
      <c r="G323" s="216"/>
      <c r="H323" s="217"/>
      <c r="I323" s="216"/>
      <c r="J323" s="216"/>
      <c r="K323" s="219" t="str">
        <f t="shared" si="16"/>
        <v/>
      </c>
      <c r="L323" s="218"/>
      <c r="M323" s="179" t="str">
        <f t="shared" si="15"/>
        <v/>
      </c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  <c r="AB323" s="166"/>
      <c r="AC323" s="166"/>
      <c r="AD323" s="166"/>
      <c r="AE323" s="166"/>
      <c r="AF323" s="166"/>
    </row>
    <row r="324">
      <c r="A324" s="217"/>
      <c r="B324" s="217"/>
      <c r="C324" s="217"/>
      <c r="D324" s="217"/>
      <c r="E324" s="167"/>
      <c r="F324" s="217"/>
      <c r="G324" s="216"/>
      <c r="H324" s="217"/>
      <c r="I324" s="216"/>
      <c r="J324" s="216"/>
      <c r="K324" s="219" t="str">
        <f t="shared" si="16"/>
        <v/>
      </c>
      <c r="L324" s="218"/>
      <c r="M324" s="179" t="str">
        <f t="shared" si="15"/>
        <v/>
      </c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  <c r="AB324" s="166"/>
      <c r="AC324" s="166"/>
      <c r="AD324" s="166"/>
      <c r="AE324" s="166"/>
      <c r="AF324" s="166"/>
    </row>
    <row r="325">
      <c r="A325" s="217"/>
      <c r="B325" s="217"/>
      <c r="C325" s="217"/>
      <c r="D325" s="217"/>
      <c r="E325" s="167"/>
      <c r="F325" s="217"/>
      <c r="G325" s="216"/>
      <c r="H325" s="217"/>
      <c r="I325" s="216"/>
      <c r="J325" s="216"/>
      <c r="K325" s="219" t="str">
        <f t="shared" si="16"/>
        <v/>
      </c>
      <c r="L325" s="218"/>
      <c r="M325" s="179" t="str">
        <f t="shared" si="15"/>
        <v/>
      </c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  <c r="AB325" s="166"/>
      <c r="AC325" s="166"/>
      <c r="AD325" s="166"/>
      <c r="AE325" s="166"/>
      <c r="AF325" s="166"/>
    </row>
    <row r="326">
      <c r="A326" s="217"/>
      <c r="B326" s="217"/>
      <c r="C326" s="217"/>
      <c r="D326" s="217"/>
      <c r="E326" s="167"/>
      <c r="F326" s="217"/>
      <c r="G326" s="216"/>
      <c r="H326" s="217"/>
      <c r="I326" s="216"/>
      <c r="J326" s="216"/>
      <c r="K326" s="219" t="str">
        <f t="shared" si="16"/>
        <v/>
      </c>
      <c r="L326" s="218"/>
      <c r="M326" s="179" t="str">
        <f t="shared" si="15"/>
        <v/>
      </c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  <c r="AB326" s="166"/>
      <c r="AC326" s="166"/>
      <c r="AD326" s="166"/>
      <c r="AE326" s="166"/>
      <c r="AF326" s="166"/>
    </row>
    <row r="327">
      <c r="A327" s="217"/>
      <c r="B327" s="217"/>
      <c r="C327" s="217"/>
      <c r="D327" s="217"/>
      <c r="E327" s="167"/>
      <c r="F327" s="217"/>
      <c r="G327" s="216"/>
      <c r="H327" s="217"/>
      <c r="I327" s="216"/>
      <c r="J327" s="216"/>
      <c r="K327" s="219" t="str">
        <f t="shared" si="16"/>
        <v/>
      </c>
      <c r="L327" s="218"/>
      <c r="M327" s="179" t="str">
        <f t="shared" si="15"/>
        <v/>
      </c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  <c r="AB327" s="166"/>
      <c r="AC327" s="166"/>
      <c r="AD327" s="166"/>
      <c r="AE327" s="166"/>
      <c r="AF327" s="166"/>
    </row>
    <row r="328">
      <c r="A328" s="217"/>
      <c r="B328" s="217"/>
      <c r="C328" s="217"/>
      <c r="D328" s="217"/>
      <c r="E328" s="167"/>
      <c r="F328" s="217"/>
      <c r="G328" s="216"/>
      <c r="H328" s="217"/>
      <c r="I328" s="216"/>
      <c r="J328" s="216"/>
      <c r="K328" s="219" t="str">
        <f t="shared" si="16"/>
        <v/>
      </c>
      <c r="L328" s="218"/>
      <c r="M328" s="179" t="str">
        <f t="shared" si="15"/>
        <v/>
      </c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  <c r="AB328" s="166"/>
      <c r="AC328" s="166"/>
      <c r="AD328" s="166"/>
      <c r="AE328" s="166"/>
      <c r="AF328" s="166"/>
    </row>
    <row r="329">
      <c r="A329" s="217"/>
      <c r="B329" s="217"/>
      <c r="C329" s="217"/>
      <c r="D329" s="217"/>
      <c r="E329" s="167"/>
      <c r="F329" s="217"/>
      <c r="G329" s="216"/>
      <c r="H329" s="217"/>
      <c r="I329" s="216"/>
      <c r="J329" s="216"/>
      <c r="K329" s="219" t="str">
        <f t="shared" si="16"/>
        <v/>
      </c>
      <c r="L329" s="218"/>
      <c r="M329" s="179" t="str">
        <f t="shared" si="15"/>
        <v/>
      </c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  <c r="AB329" s="166"/>
      <c r="AC329" s="166"/>
      <c r="AD329" s="166"/>
      <c r="AE329" s="166"/>
      <c r="AF329" s="166"/>
    </row>
    <row r="330">
      <c r="A330" s="217"/>
      <c r="B330" s="217"/>
      <c r="C330" s="217"/>
      <c r="D330" s="217"/>
      <c r="E330" s="167"/>
      <c r="F330" s="217"/>
      <c r="G330" s="216"/>
      <c r="H330" s="217"/>
      <c r="I330" s="216"/>
      <c r="J330" s="216"/>
      <c r="K330" s="219" t="str">
        <f t="shared" si="16"/>
        <v/>
      </c>
      <c r="L330" s="218"/>
      <c r="M330" s="179" t="str">
        <f t="shared" si="15"/>
        <v/>
      </c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  <c r="AB330" s="166"/>
      <c r="AC330" s="166"/>
      <c r="AD330" s="166"/>
      <c r="AE330" s="166"/>
      <c r="AF330" s="166"/>
    </row>
    <row r="331">
      <c r="A331" s="217"/>
      <c r="B331" s="217"/>
      <c r="C331" s="217"/>
      <c r="D331" s="217"/>
      <c r="E331" s="167"/>
      <c r="F331" s="217"/>
      <c r="G331" s="216"/>
      <c r="H331" s="217"/>
      <c r="I331" s="216"/>
      <c r="J331" s="216"/>
      <c r="K331" s="219" t="str">
        <f t="shared" si="16"/>
        <v/>
      </c>
      <c r="L331" s="218"/>
      <c r="M331" s="179" t="str">
        <f t="shared" si="15"/>
        <v/>
      </c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  <c r="AB331" s="166"/>
      <c r="AC331" s="166"/>
      <c r="AD331" s="166"/>
      <c r="AE331" s="166"/>
      <c r="AF331" s="166"/>
    </row>
    <row r="332">
      <c r="A332" s="217"/>
      <c r="B332" s="217"/>
      <c r="C332" s="217"/>
      <c r="D332" s="217"/>
      <c r="E332" s="167"/>
      <c r="F332" s="217"/>
      <c r="G332" s="216"/>
      <c r="H332" s="217"/>
      <c r="I332" s="216"/>
      <c r="J332" s="216"/>
      <c r="K332" s="219" t="str">
        <f t="shared" si="16"/>
        <v/>
      </c>
      <c r="L332" s="218"/>
      <c r="M332" s="179" t="str">
        <f t="shared" si="15"/>
        <v/>
      </c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  <c r="AB332" s="166"/>
      <c r="AC332" s="166"/>
      <c r="AD332" s="166"/>
      <c r="AE332" s="166"/>
      <c r="AF332" s="166"/>
    </row>
    <row r="333">
      <c r="A333" s="217"/>
      <c r="B333" s="217"/>
      <c r="C333" s="217"/>
      <c r="D333" s="217"/>
      <c r="E333" s="167"/>
      <c r="F333" s="217"/>
      <c r="G333" s="216"/>
      <c r="H333" s="217"/>
      <c r="I333" s="216"/>
      <c r="J333" s="216"/>
      <c r="K333" s="219" t="str">
        <f t="shared" si="16"/>
        <v/>
      </c>
      <c r="L333" s="218"/>
      <c r="M333" s="179" t="str">
        <f t="shared" si="15"/>
        <v/>
      </c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  <c r="AB333" s="166"/>
      <c r="AC333" s="166"/>
      <c r="AD333" s="166"/>
      <c r="AE333" s="166"/>
      <c r="AF333" s="166"/>
    </row>
    <row r="334">
      <c r="A334" s="217"/>
      <c r="B334" s="217"/>
      <c r="C334" s="217"/>
      <c r="D334" s="217"/>
      <c r="E334" s="167"/>
      <c r="F334" s="217"/>
      <c r="G334" s="216"/>
      <c r="H334" s="217"/>
      <c r="I334" s="216"/>
      <c r="J334" s="216"/>
      <c r="K334" s="219" t="str">
        <f t="shared" si="16"/>
        <v/>
      </c>
      <c r="L334" s="218"/>
      <c r="M334" s="179" t="str">
        <f t="shared" si="15"/>
        <v/>
      </c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  <c r="AB334" s="166"/>
      <c r="AC334" s="166"/>
      <c r="AD334" s="166"/>
      <c r="AE334" s="166"/>
      <c r="AF334" s="166"/>
    </row>
    <row r="335">
      <c r="A335" s="217"/>
      <c r="B335" s="217"/>
      <c r="C335" s="217"/>
      <c r="D335" s="217"/>
      <c r="E335" s="167"/>
      <c r="F335" s="217"/>
      <c r="G335" s="216"/>
      <c r="H335" s="217"/>
      <c r="I335" s="216"/>
      <c r="J335" s="216"/>
      <c r="K335" s="219" t="str">
        <f t="shared" si="16"/>
        <v/>
      </c>
      <c r="L335" s="218"/>
      <c r="M335" s="179" t="str">
        <f t="shared" si="15"/>
        <v/>
      </c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  <c r="AB335" s="166"/>
      <c r="AC335" s="166"/>
      <c r="AD335" s="166"/>
      <c r="AE335" s="166"/>
      <c r="AF335" s="166"/>
    </row>
    <row r="336">
      <c r="A336" s="217"/>
      <c r="B336" s="217"/>
      <c r="C336" s="217"/>
      <c r="D336" s="217"/>
      <c r="E336" s="167"/>
      <c r="F336" s="217"/>
      <c r="G336" s="216"/>
      <c r="H336" s="217"/>
      <c r="I336" s="216"/>
      <c r="J336" s="216"/>
      <c r="K336" s="219" t="str">
        <f t="shared" si="16"/>
        <v/>
      </c>
      <c r="L336" s="218"/>
      <c r="M336" s="179" t="str">
        <f t="shared" si="15"/>
        <v/>
      </c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  <c r="AB336" s="166"/>
      <c r="AC336" s="166"/>
      <c r="AD336" s="166"/>
      <c r="AE336" s="166"/>
      <c r="AF336" s="166"/>
    </row>
    <row r="337">
      <c r="A337" s="217"/>
      <c r="B337" s="217"/>
      <c r="C337" s="217"/>
      <c r="D337" s="217"/>
      <c r="E337" s="167"/>
      <c r="F337" s="217"/>
      <c r="G337" s="216"/>
      <c r="H337" s="217"/>
      <c r="I337" s="216"/>
      <c r="J337" s="216"/>
      <c r="K337" s="219" t="str">
        <f t="shared" si="16"/>
        <v/>
      </c>
      <c r="L337" s="218"/>
      <c r="M337" s="179" t="str">
        <f t="shared" si="15"/>
        <v/>
      </c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  <c r="AB337" s="166"/>
      <c r="AC337" s="166"/>
      <c r="AD337" s="166"/>
      <c r="AE337" s="166"/>
      <c r="AF337" s="166"/>
    </row>
    <row r="338">
      <c r="A338" s="217"/>
      <c r="B338" s="217"/>
      <c r="C338" s="217"/>
      <c r="D338" s="217"/>
      <c r="E338" s="167"/>
      <c r="F338" s="217"/>
      <c r="G338" s="216"/>
      <c r="H338" s="217"/>
      <c r="I338" s="216"/>
      <c r="J338" s="216"/>
      <c r="K338" s="219" t="str">
        <f t="shared" si="16"/>
        <v/>
      </c>
      <c r="L338" s="218"/>
      <c r="M338" s="179" t="str">
        <f t="shared" si="15"/>
        <v/>
      </c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  <c r="AB338" s="166"/>
      <c r="AC338" s="166"/>
      <c r="AD338" s="166"/>
      <c r="AE338" s="166"/>
      <c r="AF338" s="166"/>
    </row>
    <row r="339">
      <c r="A339" s="217"/>
      <c r="B339" s="217"/>
      <c r="C339" s="217"/>
      <c r="D339" s="217"/>
      <c r="E339" s="167"/>
      <c r="F339" s="217"/>
      <c r="G339" s="216"/>
      <c r="H339" s="217"/>
      <c r="I339" s="216"/>
      <c r="J339" s="216"/>
      <c r="K339" s="219" t="str">
        <f t="shared" si="16"/>
        <v/>
      </c>
      <c r="L339" s="218"/>
      <c r="M339" s="179" t="str">
        <f t="shared" si="15"/>
        <v/>
      </c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  <c r="AB339" s="166"/>
      <c r="AC339" s="166"/>
      <c r="AD339" s="166"/>
      <c r="AE339" s="166"/>
      <c r="AF339" s="166"/>
    </row>
    <row r="340">
      <c r="A340" s="217"/>
      <c r="B340" s="217"/>
      <c r="C340" s="217"/>
      <c r="D340" s="217"/>
      <c r="E340" s="167"/>
      <c r="F340" s="217"/>
      <c r="G340" s="216"/>
      <c r="H340" s="217"/>
      <c r="I340" s="216"/>
      <c r="J340" s="216"/>
      <c r="K340" s="219" t="str">
        <f t="shared" si="16"/>
        <v/>
      </c>
      <c r="L340" s="218"/>
      <c r="M340" s="179" t="str">
        <f t="shared" si="15"/>
        <v/>
      </c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</row>
    <row r="341">
      <c r="A341" s="217"/>
      <c r="B341" s="217"/>
      <c r="C341" s="217"/>
      <c r="D341" s="217"/>
      <c r="E341" s="167"/>
      <c r="F341" s="217"/>
      <c r="G341" s="216"/>
      <c r="H341" s="217"/>
      <c r="I341" s="216"/>
      <c r="J341" s="216"/>
      <c r="K341" s="219" t="str">
        <f t="shared" si="16"/>
        <v/>
      </c>
      <c r="L341" s="218"/>
      <c r="M341" s="179" t="str">
        <f t="shared" si="15"/>
        <v/>
      </c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  <c r="AB341" s="166"/>
      <c r="AC341" s="166"/>
      <c r="AD341" s="166"/>
      <c r="AE341" s="166"/>
      <c r="AF341" s="166"/>
    </row>
    <row r="342">
      <c r="A342" s="217"/>
      <c r="B342" s="217"/>
      <c r="C342" s="217"/>
      <c r="D342" s="217"/>
      <c r="E342" s="167"/>
      <c r="F342" s="217"/>
      <c r="G342" s="216"/>
      <c r="H342" s="217"/>
      <c r="I342" s="216"/>
      <c r="J342" s="216"/>
      <c r="K342" s="219" t="str">
        <f t="shared" si="16"/>
        <v/>
      </c>
      <c r="L342" s="218"/>
      <c r="M342" s="179" t="str">
        <f t="shared" si="15"/>
        <v/>
      </c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  <c r="AB342" s="166"/>
      <c r="AC342" s="166"/>
      <c r="AD342" s="166"/>
      <c r="AE342" s="166"/>
      <c r="AF342" s="166"/>
    </row>
    <row r="343">
      <c r="A343" s="217"/>
      <c r="B343" s="217"/>
      <c r="C343" s="217"/>
      <c r="D343" s="217"/>
      <c r="E343" s="167"/>
      <c r="F343" s="217"/>
      <c r="G343" s="216"/>
      <c r="H343" s="217"/>
      <c r="I343" s="216"/>
      <c r="J343" s="216"/>
      <c r="K343" s="219" t="str">
        <f t="shared" si="16"/>
        <v/>
      </c>
      <c r="L343" s="218"/>
      <c r="M343" s="179" t="str">
        <f t="shared" si="15"/>
        <v/>
      </c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  <c r="AB343" s="166"/>
      <c r="AC343" s="166"/>
      <c r="AD343" s="166"/>
      <c r="AE343" s="166"/>
      <c r="AF343" s="166"/>
    </row>
    <row r="344">
      <c r="A344" s="217"/>
      <c r="B344" s="217"/>
      <c r="C344" s="217"/>
      <c r="D344" s="217"/>
      <c r="E344" s="167"/>
      <c r="F344" s="217"/>
      <c r="G344" s="216"/>
      <c r="H344" s="217"/>
      <c r="I344" s="216"/>
      <c r="J344" s="216"/>
      <c r="K344" s="219" t="str">
        <f t="shared" si="16"/>
        <v/>
      </c>
      <c r="L344" s="218"/>
      <c r="M344" s="179" t="str">
        <f t="shared" si="15"/>
        <v/>
      </c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  <c r="AB344" s="166"/>
      <c r="AC344" s="166"/>
      <c r="AD344" s="166"/>
      <c r="AE344" s="166"/>
      <c r="AF344" s="166"/>
    </row>
    <row r="345">
      <c r="A345" s="217"/>
      <c r="B345" s="217"/>
      <c r="C345" s="217"/>
      <c r="D345" s="217"/>
      <c r="E345" s="167"/>
      <c r="F345" s="217"/>
      <c r="G345" s="216"/>
      <c r="H345" s="217"/>
      <c r="I345" s="216"/>
      <c r="J345" s="216"/>
      <c r="K345" s="219" t="str">
        <f t="shared" si="16"/>
        <v/>
      </c>
      <c r="L345" s="218"/>
      <c r="M345" s="179" t="str">
        <f t="shared" si="15"/>
        <v/>
      </c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</row>
    <row r="346">
      <c r="A346" s="217"/>
      <c r="B346" s="217"/>
      <c r="C346" s="217"/>
      <c r="D346" s="217"/>
      <c r="E346" s="167"/>
      <c r="F346" s="217"/>
      <c r="G346" s="216"/>
      <c r="H346" s="217"/>
      <c r="I346" s="216"/>
      <c r="J346" s="216"/>
      <c r="K346" s="219" t="str">
        <f t="shared" si="16"/>
        <v/>
      </c>
      <c r="L346" s="218"/>
      <c r="M346" s="179" t="str">
        <f t="shared" si="15"/>
        <v/>
      </c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</row>
    <row r="347">
      <c r="A347" s="217"/>
      <c r="B347" s="217"/>
      <c r="C347" s="217"/>
      <c r="D347" s="217"/>
      <c r="E347" s="167"/>
      <c r="F347" s="217"/>
      <c r="G347" s="216"/>
      <c r="H347" s="217"/>
      <c r="I347" s="216"/>
      <c r="J347" s="216"/>
      <c r="K347" s="219" t="str">
        <f t="shared" si="16"/>
        <v/>
      </c>
      <c r="L347" s="218"/>
      <c r="M347" s="179" t="str">
        <f t="shared" si="15"/>
        <v/>
      </c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  <c r="AB347" s="166"/>
      <c r="AC347" s="166"/>
      <c r="AD347" s="166"/>
      <c r="AE347" s="166"/>
      <c r="AF347" s="166"/>
    </row>
    <row r="348">
      <c r="A348" s="217"/>
      <c r="B348" s="217"/>
      <c r="C348" s="217"/>
      <c r="D348" s="217"/>
      <c r="E348" s="167"/>
      <c r="F348" s="217"/>
      <c r="G348" s="216"/>
      <c r="H348" s="217"/>
      <c r="I348" s="216"/>
      <c r="J348" s="216"/>
      <c r="K348" s="219" t="str">
        <f t="shared" si="16"/>
        <v/>
      </c>
      <c r="L348" s="218"/>
      <c r="M348" s="179" t="str">
        <f t="shared" si="15"/>
        <v/>
      </c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  <c r="AB348" s="166"/>
      <c r="AC348" s="166"/>
      <c r="AD348" s="166"/>
      <c r="AE348" s="166"/>
      <c r="AF348" s="166"/>
    </row>
    <row r="349">
      <c r="A349" s="217"/>
      <c r="B349" s="217"/>
      <c r="C349" s="217"/>
      <c r="D349" s="217"/>
      <c r="E349" s="167"/>
      <c r="F349" s="217"/>
      <c r="G349" s="216"/>
      <c r="H349" s="217"/>
      <c r="I349" s="216"/>
      <c r="J349" s="216"/>
      <c r="K349" s="219" t="str">
        <f t="shared" si="16"/>
        <v/>
      </c>
      <c r="L349" s="218"/>
      <c r="M349" s="179" t="str">
        <f t="shared" si="15"/>
        <v/>
      </c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  <c r="AB349" s="166"/>
      <c r="AC349" s="166"/>
      <c r="AD349" s="166"/>
      <c r="AE349" s="166"/>
      <c r="AF349" s="166"/>
    </row>
    <row r="350">
      <c r="A350" s="217"/>
      <c r="B350" s="217"/>
      <c r="C350" s="217"/>
      <c r="D350" s="217"/>
      <c r="E350" s="167"/>
      <c r="F350" s="217"/>
      <c r="G350" s="216"/>
      <c r="H350" s="217"/>
      <c r="I350" s="216"/>
      <c r="J350" s="216"/>
      <c r="K350" s="219" t="str">
        <f t="shared" si="16"/>
        <v/>
      </c>
      <c r="L350" s="218"/>
      <c r="M350" s="179" t="str">
        <f t="shared" si="15"/>
        <v/>
      </c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  <c r="AB350" s="166"/>
      <c r="AC350" s="166"/>
      <c r="AD350" s="166"/>
      <c r="AE350" s="166"/>
      <c r="AF350" s="166"/>
    </row>
    <row r="351">
      <c r="A351" s="217"/>
      <c r="B351" s="217"/>
      <c r="C351" s="217"/>
      <c r="D351" s="217"/>
      <c r="E351" s="167"/>
      <c r="F351" s="217"/>
      <c r="G351" s="216"/>
      <c r="H351" s="217"/>
      <c r="I351" s="216"/>
      <c r="J351" s="216"/>
      <c r="K351" s="219" t="str">
        <f t="shared" si="16"/>
        <v/>
      </c>
      <c r="L351" s="218"/>
      <c r="M351" s="179" t="str">
        <f t="shared" si="15"/>
        <v/>
      </c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  <c r="AB351" s="166"/>
      <c r="AC351" s="166"/>
      <c r="AD351" s="166"/>
      <c r="AE351" s="166"/>
      <c r="AF351" s="166"/>
    </row>
    <row r="352">
      <c r="A352" s="217"/>
      <c r="B352" s="217"/>
      <c r="C352" s="217"/>
      <c r="D352" s="217"/>
      <c r="E352" s="167"/>
      <c r="F352" s="217"/>
      <c r="G352" s="216"/>
      <c r="H352" s="217"/>
      <c r="I352" s="216"/>
      <c r="J352" s="216"/>
      <c r="K352" s="219" t="str">
        <f t="shared" si="16"/>
        <v/>
      </c>
      <c r="L352" s="218"/>
      <c r="M352" s="179" t="str">
        <f t="shared" si="15"/>
        <v/>
      </c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  <c r="AB352" s="166"/>
      <c r="AC352" s="166"/>
      <c r="AD352" s="166"/>
      <c r="AE352" s="166"/>
      <c r="AF352" s="166"/>
    </row>
    <row r="353">
      <c r="A353" s="217"/>
      <c r="B353" s="217"/>
      <c r="C353" s="217"/>
      <c r="D353" s="217"/>
      <c r="E353" s="167"/>
      <c r="F353" s="217"/>
      <c r="G353" s="216"/>
      <c r="H353" s="217"/>
      <c r="I353" s="216"/>
      <c r="J353" s="216"/>
      <c r="K353" s="219" t="str">
        <f t="shared" si="16"/>
        <v/>
      </c>
      <c r="L353" s="218"/>
      <c r="M353" s="179" t="str">
        <f t="shared" si="15"/>
        <v/>
      </c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  <c r="AB353" s="166"/>
      <c r="AC353" s="166"/>
      <c r="AD353" s="166"/>
      <c r="AE353" s="166"/>
      <c r="AF353" s="166"/>
    </row>
    <row r="354">
      <c r="A354" s="217"/>
      <c r="B354" s="217"/>
      <c r="C354" s="217"/>
      <c r="D354" s="217"/>
      <c r="E354" s="167"/>
      <c r="F354" s="217"/>
      <c r="G354" s="216"/>
      <c r="H354" s="217"/>
      <c r="I354" s="216"/>
      <c r="J354" s="216"/>
      <c r="K354" s="219" t="str">
        <f t="shared" si="16"/>
        <v/>
      </c>
      <c r="L354" s="218"/>
      <c r="M354" s="179" t="str">
        <f t="shared" si="15"/>
        <v/>
      </c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</row>
    <row r="355">
      <c r="A355" s="217"/>
      <c r="B355" s="217"/>
      <c r="C355" s="217"/>
      <c r="D355" s="217"/>
      <c r="E355" s="167"/>
      <c r="F355" s="217"/>
      <c r="G355" s="216"/>
      <c r="H355" s="217"/>
      <c r="I355" s="216"/>
      <c r="J355" s="216"/>
      <c r="K355" s="219" t="str">
        <f t="shared" si="16"/>
        <v/>
      </c>
      <c r="L355" s="218"/>
      <c r="M355" s="220" t="str">
        <f t="shared" ref="M355:M393" si="17">IF(J355=0,"",M354+J355-L355)</f>
        <v/>
      </c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  <c r="AB355" s="166"/>
      <c r="AC355" s="166"/>
      <c r="AD355" s="166"/>
      <c r="AE355" s="166"/>
      <c r="AF355" s="166"/>
    </row>
    <row r="356">
      <c r="A356" s="217"/>
      <c r="B356" s="217"/>
      <c r="C356" s="217"/>
      <c r="D356" s="217"/>
      <c r="E356" s="167"/>
      <c r="F356" s="217"/>
      <c r="G356" s="216"/>
      <c r="H356" s="217"/>
      <c r="I356" s="216"/>
      <c r="J356" s="216"/>
      <c r="K356" s="219" t="str">
        <f t="shared" si="16"/>
        <v/>
      </c>
      <c r="L356" s="218"/>
      <c r="M356" s="220" t="str">
        <f t="shared" si="17"/>
        <v/>
      </c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  <c r="AB356" s="166"/>
      <c r="AC356" s="166"/>
      <c r="AD356" s="166"/>
      <c r="AE356" s="166"/>
      <c r="AF356" s="166"/>
    </row>
    <row r="357">
      <c r="A357" s="217"/>
      <c r="B357" s="217"/>
      <c r="C357" s="217"/>
      <c r="D357" s="217"/>
      <c r="E357" s="167"/>
      <c r="F357" s="217"/>
      <c r="G357" s="216"/>
      <c r="H357" s="217"/>
      <c r="I357" s="216"/>
      <c r="J357" s="216"/>
      <c r="K357" s="219" t="str">
        <f t="shared" si="16"/>
        <v/>
      </c>
      <c r="L357" s="218"/>
      <c r="M357" s="220" t="str">
        <f t="shared" si="17"/>
        <v/>
      </c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  <c r="AB357" s="166"/>
      <c r="AC357" s="166"/>
      <c r="AD357" s="166"/>
      <c r="AE357" s="166"/>
      <c r="AF357" s="166"/>
    </row>
    <row r="358">
      <c r="A358" s="217"/>
      <c r="B358" s="217"/>
      <c r="C358" s="217"/>
      <c r="D358" s="217"/>
      <c r="E358" s="167"/>
      <c r="F358" s="217"/>
      <c r="G358" s="216"/>
      <c r="H358" s="217"/>
      <c r="I358" s="216"/>
      <c r="J358" s="216"/>
      <c r="K358" s="219" t="str">
        <f t="shared" si="16"/>
        <v/>
      </c>
      <c r="L358" s="218"/>
      <c r="M358" s="220" t="str">
        <f t="shared" si="17"/>
        <v/>
      </c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  <c r="AB358" s="166"/>
      <c r="AC358" s="166"/>
      <c r="AD358" s="166"/>
      <c r="AE358" s="166"/>
      <c r="AF358" s="166"/>
    </row>
    <row r="359">
      <c r="A359" s="217"/>
      <c r="B359" s="217"/>
      <c r="C359" s="217"/>
      <c r="D359" s="217"/>
      <c r="E359" s="167"/>
      <c r="F359" s="217"/>
      <c r="G359" s="216"/>
      <c r="H359" s="217"/>
      <c r="I359" s="216"/>
      <c r="J359" s="216"/>
      <c r="K359" s="219" t="str">
        <f t="shared" si="16"/>
        <v/>
      </c>
      <c r="L359" s="218"/>
      <c r="M359" s="220" t="str">
        <f t="shared" si="17"/>
        <v/>
      </c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  <c r="AB359" s="166"/>
      <c r="AC359" s="166"/>
      <c r="AD359" s="166"/>
      <c r="AE359" s="166"/>
      <c r="AF359" s="166"/>
    </row>
    <row r="360">
      <c r="A360" s="217"/>
      <c r="B360" s="217"/>
      <c r="C360" s="217"/>
      <c r="D360" s="217"/>
      <c r="E360" s="167"/>
      <c r="F360" s="217"/>
      <c r="G360" s="216"/>
      <c r="H360" s="217"/>
      <c r="I360" s="216"/>
      <c r="J360" s="216"/>
      <c r="K360" s="219" t="str">
        <f t="shared" si="16"/>
        <v/>
      </c>
      <c r="L360" s="218"/>
      <c r="M360" s="220" t="str">
        <f t="shared" si="17"/>
        <v/>
      </c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  <c r="AB360" s="166"/>
      <c r="AC360" s="166"/>
      <c r="AD360" s="166"/>
      <c r="AE360" s="166"/>
      <c r="AF360" s="166"/>
    </row>
    <row r="361">
      <c r="A361" s="217"/>
      <c r="B361" s="217"/>
      <c r="C361" s="217"/>
      <c r="D361" s="217"/>
      <c r="E361" s="167"/>
      <c r="F361" s="217"/>
      <c r="G361" s="216"/>
      <c r="H361" s="217"/>
      <c r="I361" s="216"/>
      <c r="J361" s="216"/>
      <c r="K361" s="219" t="str">
        <f t="shared" si="16"/>
        <v/>
      </c>
      <c r="L361" s="218"/>
      <c r="M361" s="220" t="str">
        <f t="shared" si="17"/>
        <v/>
      </c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  <c r="AB361" s="166"/>
      <c r="AC361" s="166"/>
      <c r="AD361" s="166"/>
      <c r="AE361" s="166"/>
      <c r="AF361" s="166"/>
    </row>
    <row r="362">
      <c r="A362" s="217"/>
      <c r="B362" s="217"/>
      <c r="C362" s="217"/>
      <c r="D362" s="217"/>
      <c r="E362" s="167"/>
      <c r="F362" s="217"/>
      <c r="G362" s="216"/>
      <c r="H362" s="217"/>
      <c r="I362" s="216"/>
      <c r="J362" s="216"/>
      <c r="K362" s="219" t="str">
        <f t="shared" si="16"/>
        <v/>
      </c>
      <c r="L362" s="218"/>
      <c r="M362" s="220" t="str">
        <f t="shared" si="17"/>
        <v/>
      </c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  <c r="AB362" s="166"/>
      <c r="AC362" s="166"/>
      <c r="AD362" s="166"/>
      <c r="AE362" s="166"/>
      <c r="AF362" s="166"/>
    </row>
    <row r="363">
      <c r="A363" s="217"/>
      <c r="B363" s="217"/>
      <c r="C363" s="217"/>
      <c r="D363" s="217"/>
      <c r="E363" s="167"/>
      <c r="F363" s="217"/>
      <c r="G363" s="216"/>
      <c r="H363" s="217"/>
      <c r="I363" s="216"/>
      <c r="J363" s="216"/>
      <c r="K363" s="219" t="str">
        <f t="shared" si="16"/>
        <v/>
      </c>
      <c r="L363" s="218"/>
      <c r="M363" s="220" t="str">
        <f t="shared" si="17"/>
        <v/>
      </c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  <c r="AB363" s="166"/>
      <c r="AC363" s="166"/>
      <c r="AD363" s="166"/>
      <c r="AE363" s="166"/>
      <c r="AF363" s="166"/>
    </row>
    <row r="364">
      <c r="A364" s="217"/>
      <c r="B364" s="217"/>
      <c r="C364" s="217"/>
      <c r="D364" s="217"/>
      <c r="E364" s="167"/>
      <c r="F364" s="217"/>
      <c r="G364" s="216"/>
      <c r="H364" s="217"/>
      <c r="I364" s="216"/>
      <c r="J364" s="216"/>
      <c r="K364" s="219" t="str">
        <f t="shared" si="16"/>
        <v/>
      </c>
      <c r="L364" s="218"/>
      <c r="M364" s="220" t="str">
        <f t="shared" si="17"/>
        <v/>
      </c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  <c r="AB364" s="166"/>
      <c r="AC364" s="166"/>
      <c r="AD364" s="166"/>
      <c r="AE364" s="166"/>
      <c r="AF364" s="166"/>
    </row>
    <row r="365">
      <c r="A365" s="217"/>
      <c r="B365" s="217"/>
      <c r="C365" s="217"/>
      <c r="D365" s="217"/>
      <c r="E365" s="167"/>
      <c r="F365" s="217"/>
      <c r="G365" s="216"/>
      <c r="H365" s="217"/>
      <c r="I365" s="216"/>
      <c r="J365" s="216"/>
      <c r="K365" s="219" t="str">
        <f t="shared" si="16"/>
        <v/>
      </c>
      <c r="L365" s="218"/>
      <c r="M365" s="220" t="str">
        <f t="shared" si="17"/>
        <v/>
      </c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  <c r="AB365" s="166"/>
      <c r="AC365" s="166"/>
      <c r="AD365" s="166"/>
      <c r="AE365" s="166"/>
      <c r="AF365" s="166"/>
    </row>
    <row r="366">
      <c r="A366" s="217"/>
      <c r="B366" s="217"/>
      <c r="C366" s="217"/>
      <c r="D366" s="217"/>
      <c r="E366" s="167"/>
      <c r="F366" s="217"/>
      <c r="G366" s="216"/>
      <c r="H366" s="217"/>
      <c r="I366" s="216"/>
      <c r="J366" s="216"/>
      <c r="K366" s="219" t="str">
        <f t="shared" si="16"/>
        <v/>
      </c>
      <c r="L366" s="218"/>
      <c r="M366" s="220" t="str">
        <f t="shared" si="17"/>
        <v/>
      </c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  <c r="AB366" s="166"/>
      <c r="AC366" s="166"/>
      <c r="AD366" s="166"/>
      <c r="AE366" s="166"/>
      <c r="AF366" s="166"/>
    </row>
    <row r="367">
      <c r="A367" s="217"/>
      <c r="B367" s="217"/>
      <c r="C367" s="217"/>
      <c r="D367" s="217"/>
      <c r="E367" s="167"/>
      <c r="F367" s="217"/>
      <c r="G367" s="216"/>
      <c r="H367" s="217"/>
      <c r="I367" s="216"/>
      <c r="J367" s="216"/>
      <c r="K367" s="219" t="str">
        <f t="shared" si="16"/>
        <v/>
      </c>
      <c r="L367" s="218"/>
      <c r="M367" s="220" t="str">
        <f t="shared" si="17"/>
        <v/>
      </c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  <c r="AB367" s="166"/>
      <c r="AC367" s="166"/>
      <c r="AD367" s="166"/>
      <c r="AE367" s="166"/>
      <c r="AF367" s="166"/>
    </row>
    <row r="368">
      <c r="A368" s="217"/>
      <c r="B368" s="217"/>
      <c r="C368" s="217"/>
      <c r="D368" s="217"/>
      <c r="E368" s="167"/>
      <c r="F368" s="217"/>
      <c r="G368" s="216"/>
      <c r="H368" s="217"/>
      <c r="I368" s="216"/>
      <c r="J368" s="216"/>
      <c r="K368" s="219" t="str">
        <f t="shared" si="16"/>
        <v/>
      </c>
      <c r="L368" s="218"/>
      <c r="M368" s="220" t="str">
        <f t="shared" si="17"/>
        <v/>
      </c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  <c r="AB368" s="166"/>
      <c r="AC368" s="166"/>
      <c r="AD368" s="166"/>
      <c r="AE368" s="166"/>
      <c r="AF368" s="166"/>
    </row>
    <row r="369">
      <c r="A369" s="217"/>
      <c r="B369" s="217"/>
      <c r="C369" s="217"/>
      <c r="D369" s="217"/>
      <c r="E369" s="167"/>
      <c r="F369" s="217"/>
      <c r="G369" s="216"/>
      <c r="H369" s="217"/>
      <c r="I369" s="216"/>
      <c r="J369" s="216"/>
      <c r="K369" s="219" t="str">
        <f t="shared" si="16"/>
        <v/>
      </c>
      <c r="L369" s="218"/>
      <c r="M369" s="220" t="str">
        <f t="shared" si="17"/>
        <v/>
      </c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  <c r="AB369" s="166"/>
      <c r="AC369" s="166"/>
      <c r="AD369" s="166"/>
      <c r="AE369" s="166"/>
      <c r="AF369" s="166"/>
    </row>
    <row r="370">
      <c r="A370" s="217"/>
      <c r="B370" s="217"/>
      <c r="C370" s="217"/>
      <c r="D370" s="217"/>
      <c r="E370" s="167"/>
      <c r="F370" s="217"/>
      <c r="G370" s="216"/>
      <c r="H370" s="217"/>
      <c r="I370" s="216"/>
      <c r="J370" s="216"/>
      <c r="K370" s="219" t="str">
        <f t="shared" si="16"/>
        <v/>
      </c>
      <c r="L370" s="218"/>
      <c r="M370" s="220" t="str">
        <f t="shared" si="17"/>
        <v/>
      </c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  <c r="AB370" s="166"/>
      <c r="AC370" s="166"/>
      <c r="AD370" s="166"/>
      <c r="AE370" s="166"/>
      <c r="AF370" s="166"/>
    </row>
    <row r="371">
      <c r="A371" s="217"/>
      <c r="B371" s="217"/>
      <c r="C371" s="217"/>
      <c r="D371" s="217"/>
      <c r="E371" s="167"/>
      <c r="F371" s="217"/>
      <c r="G371" s="216"/>
      <c r="H371" s="217"/>
      <c r="I371" s="216"/>
      <c r="J371" s="216"/>
      <c r="K371" s="219" t="str">
        <f t="shared" si="16"/>
        <v/>
      </c>
      <c r="L371" s="218"/>
      <c r="M371" s="220" t="str">
        <f t="shared" si="17"/>
        <v/>
      </c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  <c r="AB371" s="166"/>
      <c r="AC371" s="166"/>
      <c r="AD371" s="166"/>
      <c r="AE371" s="166"/>
      <c r="AF371" s="166"/>
    </row>
    <row r="372">
      <c r="A372" s="217"/>
      <c r="B372" s="217"/>
      <c r="C372" s="217"/>
      <c r="D372" s="217"/>
      <c r="E372" s="167"/>
      <c r="F372" s="217"/>
      <c r="G372" s="216"/>
      <c r="H372" s="217"/>
      <c r="I372" s="216"/>
      <c r="J372" s="216"/>
      <c r="K372" s="219" t="str">
        <f t="shared" si="16"/>
        <v/>
      </c>
      <c r="L372" s="218"/>
      <c r="M372" s="220" t="str">
        <f t="shared" si="17"/>
        <v/>
      </c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  <c r="AB372" s="166"/>
      <c r="AC372" s="166"/>
      <c r="AD372" s="166"/>
      <c r="AE372" s="166"/>
      <c r="AF372" s="166"/>
    </row>
    <row r="373">
      <c r="A373" s="217"/>
      <c r="B373" s="217"/>
      <c r="C373" s="217"/>
      <c r="D373" s="217"/>
      <c r="E373" s="167"/>
      <c r="F373" s="217"/>
      <c r="G373" s="216"/>
      <c r="H373" s="217"/>
      <c r="I373" s="216"/>
      <c r="J373" s="216"/>
      <c r="K373" s="219" t="str">
        <f t="shared" si="16"/>
        <v/>
      </c>
      <c r="L373" s="218"/>
      <c r="M373" s="220" t="str">
        <f t="shared" si="17"/>
        <v/>
      </c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  <c r="AB373" s="166"/>
      <c r="AC373" s="166"/>
      <c r="AD373" s="166"/>
      <c r="AE373" s="166"/>
      <c r="AF373" s="166"/>
    </row>
    <row r="374">
      <c r="A374" s="217"/>
      <c r="B374" s="217"/>
      <c r="C374" s="217"/>
      <c r="D374" s="217"/>
      <c r="E374" s="167"/>
      <c r="F374" s="217"/>
      <c r="G374" s="216"/>
      <c r="H374" s="217"/>
      <c r="I374" s="216"/>
      <c r="J374" s="216"/>
      <c r="K374" s="219" t="str">
        <f t="shared" si="16"/>
        <v/>
      </c>
      <c r="L374" s="218"/>
      <c r="M374" s="220" t="str">
        <f t="shared" si="17"/>
        <v/>
      </c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  <c r="AB374" s="166"/>
      <c r="AC374" s="166"/>
      <c r="AD374" s="166"/>
      <c r="AE374" s="166"/>
      <c r="AF374" s="166"/>
    </row>
    <row r="375">
      <c r="A375" s="217"/>
      <c r="B375" s="217"/>
      <c r="C375" s="217"/>
      <c r="D375" s="217"/>
      <c r="E375" s="167"/>
      <c r="F375" s="217"/>
      <c r="G375" s="216"/>
      <c r="H375" s="217"/>
      <c r="I375" s="216"/>
      <c r="J375" s="216"/>
      <c r="K375" s="219" t="str">
        <f t="shared" si="16"/>
        <v/>
      </c>
      <c r="L375" s="218"/>
      <c r="M375" s="220" t="str">
        <f t="shared" si="17"/>
        <v/>
      </c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  <c r="AB375" s="166"/>
      <c r="AC375" s="166"/>
      <c r="AD375" s="166"/>
      <c r="AE375" s="166"/>
      <c r="AF375" s="166"/>
    </row>
    <row r="376">
      <c r="A376" s="217"/>
      <c r="B376" s="217"/>
      <c r="C376" s="217"/>
      <c r="D376" s="217"/>
      <c r="E376" s="167"/>
      <c r="F376" s="217"/>
      <c r="G376" s="216"/>
      <c r="H376" s="217"/>
      <c r="I376" s="216"/>
      <c r="J376" s="216"/>
      <c r="K376" s="219"/>
      <c r="L376" s="218"/>
      <c r="M376" s="220" t="str">
        <f t="shared" si="17"/>
        <v/>
      </c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  <c r="AB376" s="166"/>
      <c r="AC376" s="166"/>
      <c r="AD376" s="166"/>
      <c r="AE376" s="166"/>
      <c r="AF376" s="166"/>
    </row>
    <row r="377">
      <c r="A377" s="217"/>
      <c r="B377" s="217"/>
      <c r="C377" s="217"/>
      <c r="D377" s="217"/>
      <c r="E377" s="167"/>
      <c r="F377" s="217"/>
      <c r="G377" s="216"/>
      <c r="H377" s="217"/>
      <c r="I377" s="216"/>
      <c r="J377" s="216"/>
      <c r="K377" s="219"/>
      <c r="L377" s="218"/>
      <c r="M377" s="220" t="str">
        <f t="shared" si="17"/>
        <v/>
      </c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  <c r="AB377" s="166"/>
      <c r="AC377" s="166"/>
      <c r="AD377" s="166"/>
      <c r="AE377" s="166"/>
      <c r="AF377" s="166"/>
    </row>
    <row r="378">
      <c r="A378" s="217"/>
      <c r="B378" s="217"/>
      <c r="C378" s="217"/>
      <c r="D378" s="217"/>
      <c r="E378" s="167"/>
      <c r="F378" s="217"/>
      <c r="G378" s="216"/>
      <c r="H378" s="217"/>
      <c r="I378" s="216"/>
      <c r="J378" s="216"/>
      <c r="K378" s="219"/>
      <c r="L378" s="218"/>
      <c r="M378" s="220" t="str">
        <f t="shared" si="17"/>
        <v/>
      </c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  <c r="AB378" s="166"/>
      <c r="AC378" s="166"/>
      <c r="AD378" s="166"/>
      <c r="AE378" s="166"/>
      <c r="AF378" s="166"/>
    </row>
    <row r="379">
      <c r="A379" s="217"/>
      <c r="B379" s="217"/>
      <c r="C379" s="217"/>
      <c r="D379" s="217"/>
      <c r="E379" s="167"/>
      <c r="F379" s="217"/>
      <c r="G379" s="216"/>
      <c r="H379" s="217"/>
      <c r="I379" s="216"/>
      <c r="J379" s="216"/>
      <c r="K379" s="219"/>
      <c r="L379" s="218"/>
      <c r="M379" s="220" t="str">
        <f t="shared" si="17"/>
        <v/>
      </c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  <c r="AB379" s="166"/>
      <c r="AC379" s="166"/>
      <c r="AD379" s="166"/>
      <c r="AE379" s="166"/>
      <c r="AF379" s="166"/>
    </row>
    <row r="380">
      <c r="A380" s="217"/>
      <c r="B380" s="217"/>
      <c r="C380" s="217"/>
      <c r="D380" s="217"/>
      <c r="E380" s="167"/>
      <c r="F380" s="217"/>
      <c r="G380" s="216"/>
      <c r="H380" s="217"/>
      <c r="I380" s="216"/>
      <c r="J380" s="216"/>
      <c r="K380" s="219"/>
      <c r="L380" s="218"/>
      <c r="M380" s="220" t="str">
        <f t="shared" si="17"/>
        <v/>
      </c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  <c r="AB380" s="166"/>
      <c r="AC380" s="166"/>
      <c r="AD380" s="166"/>
      <c r="AE380" s="166"/>
      <c r="AF380" s="166"/>
    </row>
    <row r="381">
      <c r="A381" s="217"/>
      <c r="B381" s="217"/>
      <c r="C381" s="217"/>
      <c r="D381" s="217"/>
      <c r="E381" s="167"/>
      <c r="F381" s="217"/>
      <c r="G381" s="216"/>
      <c r="H381" s="217"/>
      <c r="I381" s="216"/>
      <c r="J381" s="216"/>
      <c r="K381" s="219"/>
      <c r="L381" s="218"/>
      <c r="M381" s="220" t="str">
        <f t="shared" si="17"/>
        <v/>
      </c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  <c r="AB381" s="166"/>
      <c r="AC381" s="166"/>
      <c r="AD381" s="166"/>
      <c r="AE381" s="166"/>
      <c r="AF381" s="166"/>
    </row>
    <row r="382">
      <c r="A382" s="217"/>
      <c r="B382" s="217"/>
      <c r="C382" s="217"/>
      <c r="D382" s="217"/>
      <c r="E382" s="167"/>
      <c r="F382" s="217"/>
      <c r="G382" s="216"/>
      <c r="H382" s="217"/>
      <c r="I382" s="216"/>
      <c r="J382" s="216"/>
      <c r="K382" s="219"/>
      <c r="L382" s="218"/>
      <c r="M382" s="220" t="str">
        <f t="shared" si="17"/>
        <v/>
      </c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  <c r="AB382" s="166"/>
      <c r="AC382" s="166"/>
      <c r="AD382" s="166"/>
      <c r="AE382" s="166"/>
      <c r="AF382" s="166"/>
    </row>
    <row r="383">
      <c r="A383" s="217"/>
      <c r="B383" s="217"/>
      <c r="C383" s="217"/>
      <c r="D383" s="217"/>
      <c r="E383" s="167"/>
      <c r="F383" s="217"/>
      <c r="G383" s="216"/>
      <c r="H383" s="217"/>
      <c r="I383" s="216"/>
      <c r="J383" s="216"/>
      <c r="K383" s="219"/>
      <c r="L383" s="218"/>
      <c r="M383" s="220" t="str">
        <f t="shared" si="17"/>
        <v/>
      </c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  <c r="AB383" s="166"/>
      <c r="AC383" s="166"/>
      <c r="AD383" s="166"/>
      <c r="AE383" s="166"/>
      <c r="AF383" s="166"/>
    </row>
    <row r="384">
      <c r="A384" s="217"/>
      <c r="B384" s="217"/>
      <c r="C384" s="217"/>
      <c r="D384" s="217"/>
      <c r="E384" s="167"/>
      <c r="F384" s="217"/>
      <c r="G384" s="216"/>
      <c r="H384" s="217"/>
      <c r="I384" s="216"/>
      <c r="J384" s="216"/>
      <c r="K384" s="219"/>
      <c r="L384" s="218"/>
      <c r="M384" s="220" t="str">
        <f t="shared" si="17"/>
        <v/>
      </c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  <c r="AB384" s="166"/>
      <c r="AC384" s="166"/>
      <c r="AD384" s="166"/>
      <c r="AE384" s="166"/>
      <c r="AF384" s="166"/>
    </row>
    <row r="385">
      <c r="A385" s="217"/>
      <c r="B385" s="217"/>
      <c r="C385" s="217"/>
      <c r="D385" s="217"/>
      <c r="E385" s="167"/>
      <c r="F385" s="217"/>
      <c r="G385" s="216"/>
      <c r="H385" s="217"/>
      <c r="I385" s="216"/>
      <c r="J385" s="216"/>
      <c r="K385" s="219"/>
      <c r="L385" s="218"/>
      <c r="M385" s="220" t="str">
        <f t="shared" si="17"/>
        <v/>
      </c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  <c r="AB385" s="166"/>
      <c r="AC385" s="166"/>
      <c r="AD385" s="166"/>
      <c r="AE385" s="166"/>
      <c r="AF385" s="166"/>
    </row>
    <row r="386">
      <c r="A386" s="217"/>
      <c r="B386" s="217"/>
      <c r="C386" s="217"/>
      <c r="D386" s="217"/>
      <c r="E386" s="167"/>
      <c r="F386" s="217"/>
      <c r="G386" s="216"/>
      <c r="H386" s="217"/>
      <c r="I386" s="216"/>
      <c r="J386" s="216"/>
      <c r="K386" s="219"/>
      <c r="L386" s="218"/>
      <c r="M386" s="220" t="str">
        <f t="shared" si="17"/>
        <v/>
      </c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  <c r="AB386" s="166"/>
      <c r="AC386" s="166"/>
      <c r="AD386" s="166"/>
      <c r="AE386" s="166"/>
      <c r="AF386" s="166"/>
    </row>
    <row r="387">
      <c r="A387" s="217"/>
      <c r="B387" s="217"/>
      <c r="C387" s="217"/>
      <c r="D387" s="217"/>
      <c r="E387" s="167"/>
      <c r="F387" s="217"/>
      <c r="G387" s="216"/>
      <c r="H387" s="217"/>
      <c r="I387" s="216"/>
      <c r="J387" s="216"/>
      <c r="K387" s="219"/>
      <c r="L387" s="218"/>
      <c r="M387" s="220" t="str">
        <f t="shared" si="17"/>
        <v/>
      </c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  <c r="AB387" s="166"/>
      <c r="AC387" s="166"/>
      <c r="AD387" s="166"/>
      <c r="AE387" s="166"/>
      <c r="AF387" s="166"/>
    </row>
    <row r="388">
      <c r="A388" s="217"/>
      <c r="B388" s="217"/>
      <c r="C388" s="217"/>
      <c r="D388" s="217"/>
      <c r="E388" s="167"/>
      <c r="F388" s="217"/>
      <c r="G388" s="216"/>
      <c r="H388" s="217"/>
      <c r="I388" s="216"/>
      <c r="J388" s="216"/>
      <c r="K388" s="219"/>
      <c r="L388" s="218"/>
      <c r="M388" s="220" t="str">
        <f t="shared" si="17"/>
        <v/>
      </c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</row>
    <row r="389">
      <c r="A389" s="217"/>
      <c r="B389" s="217"/>
      <c r="C389" s="217"/>
      <c r="D389" s="217"/>
      <c r="E389" s="167"/>
      <c r="F389" s="217"/>
      <c r="G389" s="216"/>
      <c r="H389" s="217"/>
      <c r="I389" s="216"/>
      <c r="J389" s="216"/>
      <c r="K389" s="219"/>
      <c r="L389" s="218"/>
      <c r="M389" s="220" t="str">
        <f t="shared" si="17"/>
        <v/>
      </c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  <c r="AB389" s="166"/>
      <c r="AC389" s="166"/>
      <c r="AD389" s="166"/>
      <c r="AE389" s="166"/>
      <c r="AF389" s="166"/>
    </row>
    <row r="390">
      <c r="A390" s="217"/>
      <c r="B390" s="217"/>
      <c r="C390" s="217"/>
      <c r="D390" s="217"/>
      <c r="E390" s="167"/>
      <c r="F390" s="217"/>
      <c r="G390" s="216"/>
      <c r="H390" s="217"/>
      <c r="I390" s="216"/>
      <c r="J390" s="216"/>
      <c r="K390" s="219"/>
      <c r="L390" s="218"/>
      <c r="M390" s="220" t="str">
        <f t="shared" si="17"/>
        <v/>
      </c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  <c r="AB390" s="166"/>
      <c r="AC390" s="166"/>
      <c r="AD390" s="166"/>
      <c r="AE390" s="166"/>
      <c r="AF390" s="166"/>
    </row>
    <row r="391">
      <c r="A391" s="217"/>
      <c r="B391" s="217"/>
      <c r="C391" s="217"/>
      <c r="D391" s="217"/>
      <c r="E391" s="167"/>
      <c r="F391" s="217"/>
      <c r="G391" s="216"/>
      <c r="H391" s="217"/>
      <c r="I391" s="216"/>
      <c r="J391" s="216"/>
      <c r="K391" s="219"/>
      <c r="L391" s="218"/>
      <c r="M391" s="220" t="str">
        <f t="shared" si="17"/>
        <v/>
      </c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  <c r="AB391" s="166"/>
      <c r="AC391" s="166"/>
      <c r="AD391" s="166"/>
      <c r="AE391" s="166"/>
      <c r="AF391" s="166"/>
    </row>
    <row r="392">
      <c r="A392" s="217"/>
      <c r="B392" s="217"/>
      <c r="C392" s="217"/>
      <c r="D392" s="217"/>
      <c r="E392" s="167"/>
      <c r="F392" s="217"/>
      <c r="G392" s="216"/>
      <c r="H392" s="217"/>
      <c r="I392" s="216"/>
      <c r="J392" s="216"/>
      <c r="K392" s="219"/>
      <c r="L392" s="218"/>
      <c r="M392" s="220" t="str">
        <f t="shared" si="17"/>
        <v/>
      </c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  <c r="AB392" s="166"/>
      <c r="AC392" s="166"/>
      <c r="AD392" s="166"/>
      <c r="AE392" s="166"/>
      <c r="AF392" s="166"/>
    </row>
    <row r="393">
      <c r="A393" s="217"/>
      <c r="B393" s="217"/>
      <c r="C393" s="217"/>
      <c r="D393" s="217"/>
      <c r="E393" s="167"/>
      <c r="F393" s="217"/>
      <c r="G393" s="216"/>
      <c r="H393" s="217"/>
      <c r="I393" s="216"/>
      <c r="J393" s="216"/>
      <c r="K393" s="219"/>
      <c r="L393" s="218"/>
      <c r="M393" s="220" t="str">
        <f t="shared" si="17"/>
        <v/>
      </c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  <c r="AB393" s="166"/>
      <c r="AC393" s="166"/>
      <c r="AD393" s="166"/>
      <c r="AE393" s="166"/>
      <c r="AF393" s="166"/>
    </row>
    <row r="394">
      <c r="A394" s="217"/>
      <c r="B394" s="217"/>
      <c r="C394" s="217"/>
      <c r="D394" s="217"/>
      <c r="E394" s="167"/>
      <c r="F394" s="217"/>
      <c r="G394" s="216"/>
      <c r="H394" s="217"/>
      <c r="I394" s="216"/>
      <c r="J394" s="216"/>
      <c r="K394" s="219"/>
      <c r="L394" s="218"/>
      <c r="M394" s="220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  <c r="AB394" s="166"/>
      <c r="AC394" s="166"/>
      <c r="AD394" s="166"/>
      <c r="AE394" s="166"/>
      <c r="AF394" s="166"/>
    </row>
    <row r="395">
      <c r="A395" s="217"/>
      <c r="B395" s="217"/>
      <c r="C395" s="217"/>
      <c r="D395" s="217"/>
      <c r="E395" s="167"/>
      <c r="F395" s="217"/>
      <c r="G395" s="216"/>
      <c r="H395" s="217"/>
      <c r="I395" s="216"/>
      <c r="J395" s="216"/>
      <c r="K395" s="219"/>
      <c r="L395" s="218"/>
      <c r="M395" s="220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  <c r="AB395" s="166"/>
      <c r="AC395" s="166"/>
      <c r="AD395" s="166"/>
      <c r="AE395" s="166"/>
      <c r="AF395" s="166"/>
    </row>
    <row r="396">
      <c r="A396" s="217"/>
      <c r="B396" s="217"/>
      <c r="C396" s="217"/>
      <c r="D396" s="217"/>
      <c r="E396" s="167"/>
      <c r="F396" s="217"/>
      <c r="G396" s="216"/>
      <c r="H396" s="217"/>
      <c r="I396" s="216"/>
      <c r="J396" s="216"/>
      <c r="K396" s="219"/>
      <c r="L396" s="218"/>
      <c r="M396" s="220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  <c r="AB396" s="166"/>
      <c r="AC396" s="166"/>
      <c r="AD396" s="166"/>
      <c r="AE396" s="166"/>
      <c r="AF396" s="166"/>
    </row>
    <row r="397">
      <c r="A397" s="217"/>
      <c r="B397" s="217"/>
      <c r="C397" s="217"/>
      <c r="D397" s="217"/>
      <c r="E397" s="167"/>
      <c r="F397" s="217"/>
      <c r="G397" s="216"/>
      <c r="H397" s="217"/>
      <c r="I397" s="216"/>
      <c r="J397" s="216"/>
      <c r="K397" s="219"/>
      <c r="L397" s="218"/>
      <c r="M397" s="220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  <c r="AB397" s="166"/>
      <c r="AC397" s="166"/>
      <c r="AD397" s="166"/>
      <c r="AE397" s="166"/>
      <c r="AF397" s="166"/>
    </row>
    <row r="398">
      <c r="A398" s="217"/>
      <c r="B398" s="217"/>
      <c r="C398" s="217"/>
      <c r="D398" s="217"/>
      <c r="E398" s="167"/>
      <c r="F398" s="217"/>
      <c r="G398" s="216"/>
      <c r="H398" s="217"/>
      <c r="I398" s="216"/>
      <c r="J398" s="216"/>
      <c r="K398" s="219"/>
      <c r="L398" s="218"/>
      <c r="M398" s="220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  <c r="AB398" s="166"/>
      <c r="AC398" s="166"/>
      <c r="AD398" s="166"/>
      <c r="AE398" s="166"/>
      <c r="AF398" s="166"/>
    </row>
    <row r="399">
      <c r="A399" s="217"/>
      <c r="B399" s="217"/>
      <c r="C399" s="217"/>
      <c r="D399" s="217"/>
      <c r="E399" s="167"/>
      <c r="F399" s="217"/>
      <c r="G399" s="216"/>
      <c r="H399" s="217"/>
      <c r="I399" s="216"/>
      <c r="J399" s="216"/>
      <c r="K399" s="219"/>
      <c r="L399" s="218"/>
      <c r="M399" s="220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  <c r="AB399" s="166"/>
      <c r="AC399" s="166"/>
      <c r="AD399" s="166"/>
      <c r="AE399" s="166"/>
      <c r="AF399" s="166"/>
    </row>
    <row r="400">
      <c r="A400" s="217"/>
      <c r="B400" s="217"/>
      <c r="C400" s="217"/>
      <c r="D400" s="217"/>
      <c r="E400" s="167"/>
      <c r="F400" s="217"/>
      <c r="G400" s="216"/>
      <c r="H400" s="217"/>
      <c r="I400" s="216"/>
      <c r="J400" s="216"/>
      <c r="K400" s="219"/>
      <c r="L400" s="218"/>
      <c r="M400" s="220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  <c r="AB400" s="166"/>
      <c r="AC400" s="166"/>
      <c r="AD400" s="166"/>
      <c r="AE400" s="166"/>
      <c r="AF400" s="166"/>
    </row>
    <row r="401">
      <c r="A401" s="217"/>
      <c r="B401" s="217"/>
      <c r="C401" s="217"/>
      <c r="D401" s="217"/>
      <c r="E401" s="167"/>
      <c r="F401" s="217"/>
      <c r="G401" s="216"/>
      <c r="H401" s="217"/>
      <c r="I401" s="216"/>
      <c r="J401" s="216"/>
      <c r="K401" s="219"/>
      <c r="L401" s="218"/>
      <c r="M401" s="220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  <c r="AB401" s="166"/>
      <c r="AC401" s="166"/>
      <c r="AD401" s="166"/>
      <c r="AE401" s="166"/>
      <c r="AF401" s="166"/>
    </row>
    <row r="402">
      <c r="A402" s="217"/>
      <c r="B402" s="217"/>
      <c r="C402" s="217"/>
      <c r="D402" s="217"/>
      <c r="E402" s="167"/>
      <c r="F402" s="217"/>
      <c r="G402" s="216"/>
      <c r="H402" s="217"/>
      <c r="I402" s="216"/>
      <c r="J402" s="216"/>
      <c r="K402" s="219"/>
      <c r="L402" s="218"/>
      <c r="M402" s="220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  <c r="AB402" s="166"/>
      <c r="AC402" s="166"/>
      <c r="AD402" s="166"/>
      <c r="AE402" s="166"/>
      <c r="AF402" s="166"/>
    </row>
    <row r="403">
      <c r="A403" s="217"/>
      <c r="B403" s="217"/>
      <c r="C403" s="217"/>
      <c r="D403" s="217"/>
      <c r="E403" s="167"/>
      <c r="F403" s="217"/>
      <c r="G403" s="216"/>
      <c r="H403" s="217"/>
      <c r="I403" s="216"/>
      <c r="J403" s="216"/>
      <c r="K403" s="219"/>
      <c r="L403" s="218"/>
      <c r="M403" s="220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</row>
    <row r="404">
      <c r="A404" s="217"/>
      <c r="B404" s="217"/>
      <c r="C404" s="217"/>
      <c r="D404" s="217"/>
      <c r="E404" s="167"/>
      <c r="F404" s="217"/>
      <c r="G404" s="216"/>
      <c r="H404" s="217"/>
      <c r="I404" s="216"/>
      <c r="J404" s="216"/>
      <c r="K404" s="219"/>
      <c r="L404" s="218"/>
      <c r="M404" s="220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17"/>
      <c r="AD404" s="217"/>
      <c r="AE404" s="217"/>
      <c r="AF404" s="217"/>
    </row>
    <row r="405">
      <c r="A405" s="217"/>
      <c r="B405" s="217"/>
      <c r="C405" s="217"/>
      <c r="D405" s="217"/>
      <c r="E405" s="167"/>
      <c r="F405" s="217"/>
      <c r="G405" s="216"/>
      <c r="H405" s="217"/>
      <c r="I405" s="216"/>
      <c r="J405" s="216"/>
      <c r="K405" s="219"/>
      <c r="L405" s="218"/>
      <c r="M405" s="220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17"/>
      <c r="AD405" s="217"/>
      <c r="AE405" s="217"/>
      <c r="AF405" s="217"/>
    </row>
    <row r="406">
      <c r="A406" s="217"/>
      <c r="B406" s="217"/>
      <c r="C406" s="217"/>
      <c r="D406" s="217"/>
      <c r="E406" s="167"/>
      <c r="F406" s="217"/>
      <c r="G406" s="216"/>
      <c r="H406" s="217"/>
      <c r="I406" s="216"/>
      <c r="J406" s="216"/>
      <c r="K406" s="219"/>
      <c r="L406" s="218"/>
      <c r="M406" s="220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17"/>
      <c r="AD406" s="217"/>
      <c r="AE406" s="217"/>
      <c r="AF406" s="217"/>
    </row>
    <row r="407">
      <c r="A407" s="217"/>
      <c r="B407" s="217"/>
      <c r="C407" s="217"/>
      <c r="D407" s="217"/>
      <c r="E407" s="167"/>
      <c r="F407" s="217"/>
      <c r="G407" s="216"/>
      <c r="H407" s="217"/>
      <c r="I407" s="216"/>
      <c r="J407" s="216"/>
      <c r="K407" s="219"/>
      <c r="L407" s="218"/>
      <c r="M407" s="220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17"/>
      <c r="AD407" s="217"/>
      <c r="AE407" s="217"/>
      <c r="AF407" s="217"/>
    </row>
    <row r="408">
      <c r="A408" s="217"/>
      <c r="B408" s="217"/>
      <c r="C408" s="217"/>
      <c r="D408" s="217"/>
      <c r="E408" s="167"/>
      <c r="F408" s="217"/>
      <c r="G408" s="216"/>
      <c r="H408" s="217"/>
      <c r="I408" s="216"/>
      <c r="J408" s="216"/>
      <c r="K408" s="219"/>
      <c r="L408" s="218"/>
      <c r="M408" s="220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17"/>
      <c r="AD408" s="217"/>
      <c r="AE408" s="217"/>
      <c r="AF408" s="217"/>
    </row>
    <row r="409">
      <c r="A409" s="217"/>
      <c r="B409" s="217"/>
      <c r="C409" s="217"/>
      <c r="D409" s="217"/>
      <c r="E409" s="167"/>
      <c r="F409" s="217"/>
      <c r="G409" s="216"/>
      <c r="H409" s="217"/>
      <c r="I409" s="216"/>
      <c r="J409" s="216"/>
      <c r="K409" s="219"/>
      <c r="L409" s="218"/>
      <c r="M409" s="220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17"/>
      <c r="AD409" s="217"/>
      <c r="AE409" s="217"/>
      <c r="AF409" s="217"/>
    </row>
    <row r="410">
      <c r="A410" s="217"/>
      <c r="B410" s="217"/>
      <c r="C410" s="217"/>
      <c r="D410" s="217"/>
      <c r="E410" s="167"/>
      <c r="F410" s="217"/>
      <c r="G410" s="216"/>
      <c r="H410" s="217"/>
      <c r="I410" s="216"/>
      <c r="J410" s="216"/>
      <c r="K410" s="219"/>
      <c r="L410" s="218"/>
      <c r="M410" s="220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17"/>
      <c r="AD410" s="217"/>
      <c r="AE410" s="217"/>
      <c r="AF410" s="217"/>
    </row>
    <row r="411">
      <c r="A411" s="217"/>
      <c r="B411" s="217"/>
      <c r="C411" s="217"/>
      <c r="D411" s="217"/>
      <c r="E411" s="167"/>
      <c r="F411" s="217"/>
      <c r="G411" s="216"/>
      <c r="H411" s="217"/>
      <c r="I411" s="216"/>
      <c r="J411" s="216"/>
      <c r="K411" s="219"/>
      <c r="L411" s="218"/>
      <c r="M411" s="220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17"/>
      <c r="AD411" s="217"/>
      <c r="AE411" s="217"/>
      <c r="AF411" s="217"/>
    </row>
    <row r="412">
      <c r="A412" s="217"/>
      <c r="B412" s="217"/>
      <c r="C412" s="217"/>
      <c r="D412" s="217"/>
      <c r="E412" s="167"/>
      <c r="F412" s="217"/>
      <c r="G412" s="216"/>
      <c r="H412" s="217"/>
      <c r="I412" s="216"/>
      <c r="J412" s="216"/>
      <c r="K412" s="219"/>
      <c r="L412" s="218"/>
      <c r="M412" s="220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17"/>
      <c r="AD412" s="217"/>
      <c r="AE412" s="217"/>
      <c r="AF412" s="217"/>
    </row>
    <row r="413">
      <c r="A413" s="217"/>
      <c r="B413" s="217"/>
      <c r="C413" s="217"/>
      <c r="D413" s="217"/>
      <c r="E413" s="167"/>
      <c r="F413" s="217"/>
      <c r="G413" s="216"/>
      <c r="H413" s="217"/>
      <c r="I413" s="216"/>
      <c r="J413" s="216"/>
      <c r="K413" s="219"/>
      <c r="L413" s="218"/>
      <c r="M413" s="220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17"/>
      <c r="AD413" s="217"/>
      <c r="AE413" s="217"/>
      <c r="AF413" s="217"/>
    </row>
    <row r="414">
      <c r="A414" s="217"/>
      <c r="B414" s="217"/>
      <c r="C414" s="217"/>
      <c r="D414" s="217"/>
      <c r="E414" s="167"/>
      <c r="F414" s="217"/>
      <c r="G414" s="216"/>
      <c r="H414" s="217"/>
      <c r="I414" s="216"/>
      <c r="J414" s="216"/>
      <c r="K414" s="219"/>
      <c r="L414" s="218"/>
      <c r="M414" s="220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17"/>
      <c r="AD414" s="217"/>
      <c r="AE414" s="217"/>
      <c r="AF414" s="217"/>
    </row>
    <row r="415">
      <c r="A415" s="217"/>
      <c r="B415" s="217"/>
      <c r="C415" s="217"/>
      <c r="D415" s="217"/>
      <c r="E415" s="167"/>
      <c r="F415" s="217"/>
      <c r="G415" s="216"/>
      <c r="H415" s="217"/>
      <c r="I415" s="216"/>
      <c r="J415" s="216"/>
      <c r="K415" s="219"/>
      <c r="L415" s="218"/>
      <c r="M415" s="220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17"/>
      <c r="AD415" s="217"/>
      <c r="AE415" s="217"/>
      <c r="AF415" s="217"/>
    </row>
    <row r="416">
      <c r="A416" s="217"/>
      <c r="B416" s="217"/>
      <c r="C416" s="217"/>
      <c r="D416" s="217"/>
      <c r="E416" s="167"/>
      <c r="F416" s="217"/>
      <c r="G416" s="216"/>
      <c r="H416" s="217"/>
      <c r="I416" s="216"/>
      <c r="J416" s="216"/>
      <c r="K416" s="219"/>
      <c r="L416" s="218"/>
      <c r="M416" s="220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17"/>
      <c r="AD416" s="217"/>
      <c r="AE416" s="217"/>
      <c r="AF416" s="217"/>
    </row>
    <row r="417">
      <c r="A417" s="217"/>
      <c r="B417" s="217"/>
      <c r="C417" s="217"/>
      <c r="D417" s="217"/>
      <c r="E417" s="167"/>
      <c r="F417" s="217"/>
      <c r="G417" s="216"/>
      <c r="H417" s="217"/>
      <c r="I417" s="216"/>
      <c r="J417" s="216"/>
      <c r="K417" s="219"/>
      <c r="L417" s="218"/>
      <c r="M417" s="220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17"/>
      <c r="AD417" s="217"/>
      <c r="AE417" s="217"/>
      <c r="AF417" s="217"/>
    </row>
    <row r="418">
      <c r="A418" s="217"/>
      <c r="B418" s="217"/>
      <c r="C418" s="217"/>
      <c r="D418" s="217"/>
      <c r="E418" s="167"/>
      <c r="F418" s="217"/>
      <c r="G418" s="216"/>
      <c r="H418" s="217"/>
      <c r="I418" s="216"/>
      <c r="J418" s="216"/>
      <c r="K418" s="219"/>
      <c r="L418" s="218"/>
      <c r="M418" s="220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17"/>
      <c r="AD418" s="217"/>
      <c r="AE418" s="217"/>
      <c r="AF418" s="217"/>
    </row>
    <row r="419">
      <c r="A419" s="217"/>
      <c r="B419" s="217"/>
      <c r="C419" s="217"/>
      <c r="D419" s="217"/>
      <c r="E419" s="167"/>
      <c r="F419" s="217"/>
      <c r="G419" s="216"/>
      <c r="H419" s="217"/>
      <c r="I419" s="216"/>
      <c r="J419" s="216"/>
      <c r="K419" s="219"/>
      <c r="L419" s="218"/>
      <c r="M419" s="220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17"/>
      <c r="AD419" s="217"/>
      <c r="AE419" s="217"/>
      <c r="AF419" s="217"/>
    </row>
    <row r="420">
      <c r="A420" s="217"/>
      <c r="B420" s="217"/>
      <c r="C420" s="217"/>
      <c r="D420" s="217"/>
      <c r="E420" s="167"/>
      <c r="F420" s="217"/>
      <c r="G420" s="216"/>
      <c r="H420" s="217"/>
      <c r="I420" s="216"/>
      <c r="J420" s="216"/>
      <c r="K420" s="219"/>
      <c r="L420" s="218"/>
      <c r="M420" s="220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17"/>
      <c r="AD420" s="217"/>
      <c r="AE420" s="217"/>
      <c r="AF420" s="217"/>
    </row>
    <row r="421">
      <c r="A421" s="217"/>
      <c r="B421" s="217"/>
      <c r="C421" s="217"/>
      <c r="D421" s="217"/>
      <c r="E421" s="167"/>
      <c r="F421" s="217"/>
      <c r="G421" s="216"/>
      <c r="H421" s="217"/>
      <c r="I421" s="216"/>
      <c r="J421" s="216"/>
      <c r="K421" s="219"/>
      <c r="L421" s="218"/>
      <c r="M421" s="220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17"/>
      <c r="AD421" s="217"/>
      <c r="AE421" s="217"/>
      <c r="AF421" s="217"/>
    </row>
    <row r="422">
      <c r="A422" s="217"/>
      <c r="B422" s="217"/>
      <c r="C422" s="217"/>
      <c r="D422" s="217"/>
      <c r="E422" s="167"/>
      <c r="F422" s="217"/>
      <c r="G422" s="216"/>
      <c r="H422" s="217"/>
      <c r="I422" s="216"/>
      <c r="J422" s="216"/>
      <c r="K422" s="219"/>
      <c r="L422" s="218"/>
      <c r="M422" s="220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17"/>
      <c r="AD422" s="217"/>
      <c r="AE422" s="217"/>
      <c r="AF422" s="217"/>
    </row>
    <row r="423">
      <c r="A423" s="217"/>
      <c r="B423" s="217"/>
      <c r="C423" s="217"/>
      <c r="D423" s="217"/>
      <c r="E423" s="167"/>
      <c r="F423" s="217"/>
      <c r="G423" s="216"/>
      <c r="H423" s="217"/>
      <c r="I423" s="216"/>
      <c r="J423" s="216"/>
      <c r="K423" s="219"/>
      <c r="L423" s="218"/>
      <c r="M423" s="220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17"/>
      <c r="AD423" s="217"/>
      <c r="AE423" s="217"/>
      <c r="AF423" s="217"/>
    </row>
    <row r="424">
      <c r="A424" s="217"/>
      <c r="B424" s="217"/>
      <c r="C424" s="217"/>
      <c r="D424" s="217"/>
      <c r="E424" s="167"/>
      <c r="F424" s="217"/>
      <c r="G424" s="216"/>
      <c r="H424" s="217"/>
      <c r="I424" s="216"/>
      <c r="J424" s="216"/>
      <c r="K424" s="219"/>
      <c r="L424" s="218"/>
      <c r="M424" s="220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17"/>
      <c r="AD424" s="217"/>
      <c r="AE424" s="217"/>
      <c r="AF424" s="217"/>
    </row>
    <row r="425">
      <c r="A425" s="217"/>
      <c r="B425" s="217"/>
      <c r="C425" s="217"/>
      <c r="D425" s="217"/>
      <c r="E425" s="167"/>
      <c r="F425" s="217"/>
      <c r="G425" s="216"/>
      <c r="H425" s="217"/>
      <c r="I425" s="216"/>
      <c r="J425" s="216"/>
      <c r="K425" s="219"/>
      <c r="L425" s="218"/>
      <c r="M425" s="220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17"/>
      <c r="AD425" s="217"/>
      <c r="AE425" s="217"/>
      <c r="AF425" s="217"/>
    </row>
    <row r="426">
      <c r="A426" s="217"/>
      <c r="B426" s="217"/>
      <c r="C426" s="217"/>
      <c r="D426" s="217"/>
      <c r="E426" s="167"/>
      <c r="F426" s="217"/>
      <c r="G426" s="216"/>
      <c r="H426" s="217"/>
      <c r="I426" s="216"/>
      <c r="J426" s="216"/>
      <c r="K426" s="219"/>
      <c r="L426" s="218"/>
      <c r="M426" s="220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17"/>
      <c r="AD426" s="217"/>
      <c r="AE426" s="217"/>
      <c r="AF426" s="217"/>
    </row>
    <row r="427">
      <c r="A427" s="217"/>
      <c r="B427" s="217"/>
      <c r="C427" s="217"/>
      <c r="D427" s="217"/>
      <c r="E427" s="167"/>
      <c r="F427" s="217"/>
      <c r="G427" s="216"/>
      <c r="H427" s="217"/>
      <c r="I427" s="216"/>
      <c r="J427" s="216"/>
      <c r="K427" s="219"/>
      <c r="L427" s="218"/>
      <c r="M427" s="220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17"/>
      <c r="AD427" s="217"/>
      <c r="AE427" s="217"/>
      <c r="AF427" s="217"/>
    </row>
    <row r="428">
      <c r="A428" s="217"/>
      <c r="B428" s="217"/>
      <c r="C428" s="217"/>
      <c r="D428" s="217"/>
      <c r="E428" s="167"/>
      <c r="F428" s="217"/>
      <c r="G428" s="216"/>
      <c r="H428" s="217"/>
      <c r="I428" s="216"/>
      <c r="J428" s="216"/>
      <c r="K428" s="219"/>
      <c r="L428" s="218"/>
      <c r="M428" s="220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17"/>
      <c r="AD428" s="217"/>
      <c r="AE428" s="217"/>
      <c r="AF428" s="217"/>
    </row>
    <row r="429">
      <c r="A429" s="217"/>
      <c r="B429" s="217"/>
      <c r="C429" s="217"/>
      <c r="D429" s="217"/>
      <c r="E429" s="167"/>
      <c r="F429" s="217"/>
      <c r="G429" s="216"/>
      <c r="H429" s="217"/>
      <c r="I429" s="216"/>
      <c r="J429" s="216"/>
      <c r="K429" s="219"/>
      <c r="L429" s="218"/>
      <c r="M429" s="220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7"/>
      <c r="AD429" s="217"/>
      <c r="AE429" s="217"/>
      <c r="AF429" s="217"/>
    </row>
    <row r="430">
      <c r="A430" s="217"/>
      <c r="B430" s="217"/>
      <c r="C430" s="217"/>
      <c r="D430" s="217"/>
      <c r="E430" s="167"/>
      <c r="F430" s="217"/>
      <c r="G430" s="216"/>
      <c r="H430" s="217"/>
      <c r="I430" s="216"/>
      <c r="J430" s="216"/>
      <c r="K430" s="219"/>
      <c r="L430" s="218"/>
      <c r="M430" s="220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17"/>
      <c r="AD430" s="217"/>
      <c r="AE430" s="217"/>
      <c r="AF430" s="217"/>
    </row>
    <row r="431">
      <c r="A431" s="217"/>
      <c r="B431" s="217"/>
      <c r="C431" s="217"/>
      <c r="D431" s="217"/>
      <c r="E431" s="167"/>
      <c r="F431" s="217"/>
      <c r="G431" s="216"/>
      <c r="H431" s="217"/>
      <c r="I431" s="216"/>
      <c r="J431" s="216"/>
      <c r="K431" s="219"/>
      <c r="L431" s="218"/>
      <c r="M431" s="220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17"/>
      <c r="AD431" s="217"/>
      <c r="AE431" s="217"/>
      <c r="AF431" s="217"/>
    </row>
    <row r="432">
      <c r="A432" s="217"/>
      <c r="B432" s="217"/>
      <c r="C432" s="217"/>
      <c r="D432" s="217"/>
      <c r="E432" s="167"/>
      <c r="F432" s="217"/>
      <c r="G432" s="216"/>
      <c r="H432" s="217"/>
      <c r="I432" s="216"/>
      <c r="J432" s="216"/>
      <c r="K432" s="219"/>
      <c r="L432" s="218"/>
      <c r="M432" s="220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17"/>
      <c r="AD432" s="217"/>
      <c r="AE432" s="217"/>
      <c r="AF432" s="217"/>
    </row>
    <row r="433">
      <c r="A433" s="217"/>
      <c r="B433" s="217"/>
      <c r="C433" s="217"/>
      <c r="D433" s="217"/>
      <c r="E433" s="167"/>
      <c r="F433" s="217"/>
      <c r="G433" s="216"/>
      <c r="H433" s="217"/>
      <c r="I433" s="216"/>
      <c r="J433" s="216"/>
      <c r="K433" s="219"/>
      <c r="L433" s="218"/>
      <c r="M433" s="220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17"/>
      <c r="AD433" s="217"/>
      <c r="AE433" s="217"/>
      <c r="AF433" s="217"/>
    </row>
    <row r="434">
      <c r="A434" s="217"/>
      <c r="B434" s="217"/>
      <c r="C434" s="217"/>
      <c r="D434" s="217"/>
      <c r="E434" s="167"/>
      <c r="F434" s="217"/>
      <c r="G434" s="216"/>
      <c r="H434" s="217"/>
      <c r="I434" s="216"/>
      <c r="J434" s="216"/>
      <c r="K434" s="219"/>
      <c r="L434" s="218"/>
      <c r="M434" s="220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17"/>
      <c r="AD434" s="217"/>
      <c r="AE434" s="217"/>
      <c r="AF434" s="217"/>
    </row>
    <row r="435">
      <c r="A435" s="217"/>
      <c r="B435" s="217"/>
      <c r="C435" s="217"/>
      <c r="D435" s="217"/>
      <c r="E435" s="167"/>
      <c r="F435" s="217"/>
      <c r="G435" s="216"/>
      <c r="H435" s="217"/>
      <c r="I435" s="216"/>
      <c r="J435" s="216"/>
      <c r="K435" s="219"/>
      <c r="L435" s="218"/>
      <c r="M435" s="220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17"/>
      <c r="AD435" s="217"/>
      <c r="AE435" s="217"/>
      <c r="AF435" s="217"/>
    </row>
    <row r="436">
      <c r="A436" s="217"/>
      <c r="B436" s="217"/>
      <c r="C436" s="217"/>
      <c r="D436" s="217"/>
      <c r="E436" s="167"/>
      <c r="F436" s="217"/>
      <c r="G436" s="216"/>
      <c r="H436" s="217"/>
      <c r="I436" s="216"/>
      <c r="J436" s="216"/>
      <c r="K436" s="219"/>
      <c r="L436" s="218"/>
      <c r="M436" s="220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17"/>
      <c r="AD436" s="217"/>
      <c r="AE436" s="217"/>
      <c r="AF436" s="217"/>
    </row>
    <row r="437">
      <c r="A437" s="217"/>
      <c r="B437" s="217"/>
      <c r="C437" s="217"/>
      <c r="D437" s="217"/>
      <c r="E437" s="167"/>
      <c r="F437" s="217"/>
      <c r="G437" s="216"/>
      <c r="H437" s="217"/>
      <c r="I437" s="216"/>
      <c r="J437" s="216"/>
      <c r="K437" s="219"/>
      <c r="L437" s="218"/>
      <c r="M437" s="220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17"/>
      <c r="AD437" s="217"/>
      <c r="AE437" s="217"/>
      <c r="AF437" s="217"/>
    </row>
    <row r="438">
      <c r="A438" s="217"/>
      <c r="B438" s="217"/>
      <c r="C438" s="217"/>
      <c r="D438" s="217"/>
      <c r="E438" s="167"/>
      <c r="F438" s="217"/>
      <c r="G438" s="216"/>
      <c r="H438" s="217"/>
      <c r="I438" s="216"/>
      <c r="J438" s="216"/>
      <c r="K438" s="219"/>
      <c r="L438" s="218"/>
      <c r="M438" s="220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17"/>
      <c r="AD438" s="217"/>
      <c r="AE438" s="217"/>
      <c r="AF438" s="217"/>
    </row>
    <row r="439">
      <c r="A439" s="217"/>
      <c r="B439" s="217"/>
      <c r="C439" s="217"/>
      <c r="D439" s="217"/>
      <c r="E439" s="167"/>
      <c r="F439" s="217"/>
      <c r="G439" s="216"/>
      <c r="H439" s="217"/>
      <c r="I439" s="216"/>
      <c r="J439" s="216"/>
      <c r="K439" s="219"/>
      <c r="L439" s="218"/>
      <c r="M439" s="220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17"/>
      <c r="AD439" s="217"/>
      <c r="AE439" s="217"/>
      <c r="AF439" s="217"/>
    </row>
    <row r="440">
      <c r="A440" s="217"/>
      <c r="B440" s="217"/>
      <c r="C440" s="217"/>
      <c r="D440" s="217"/>
      <c r="E440" s="167"/>
      <c r="F440" s="217"/>
      <c r="G440" s="216"/>
      <c r="H440" s="217"/>
      <c r="I440" s="216"/>
      <c r="J440" s="216"/>
      <c r="K440" s="219"/>
      <c r="L440" s="218"/>
      <c r="M440" s="220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17"/>
      <c r="AD440" s="217"/>
      <c r="AE440" s="217"/>
      <c r="AF440" s="217"/>
    </row>
    <row r="441">
      <c r="A441" s="217"/>
      <c r="B441" s="217"/>
      <c r="C441" s="217"/>
      <c r="D441" s="217"/>
      <c r="E441" s="167"/>
      <c r="F441" s="217"/>
      <c r="G441" s="216"/>
      <c r="H441" s="217"/>
      <c r="I441" s="216"/>
      <c r="J441" s="216"/>
      <c r="K441" s="219"/>
      <c r="L441" s="218"/>
      <c r="M441" s="220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17"/>
      <c r="AD441" s="217"/>
      <c r="AE441" s="217"/>
      <c r="AF441" s="217"/>
    </row>
    <row r="442">
      <c r="A442" s="217"/>
      <c r="B442" s="217"/>
      <c r="C442" s="217"/>
      <c r="D442" s="217"/>
      <c r="E442" s="167"/>
      <c r="F442" s="217"/>
      <c r="G442" s="216"/>
      <c r="H442" s="217"/>
      <c r="I442" s="216"/>
      <c r="J442" s="216"/>
      <c r="K442" s="219"/>
      <c r="L442" s="218"/>
      <c r="M442" s="220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17"/>
      <c r="AD442" s="217"/>
      <c r="AE442" s="217"/>
      <c r="AF442" s="217"/>
    </row>
    <row r="443">
      <c r="A443" s="217"/>
      <c r="B443" s="217"/>
      <c r="C443" s="217"/>
      <c r="D443" s="217"/>
      <c r="E443" s="167"/>
      <c r="F443" s="217"/>
      <c r="G443" s="216"/>
      <c r="H443" s="217"/>
      <c r="I443" s="216"/>
      <c r="J443" s="216"/>
      <c r="K443" s="219"/>
      <c r="L443" s="218"/>
      <c r="M443" s="220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17"/>
      <c r="AD443" s="217"/>
      <c r="AE443" s="217"/>
      <c r="AF443" s="217"/>
    </row>
    <row r="444">
      <c r="A444" s="217"/>
      <c r="B444" s="217"/>
      <c r="C444" s="217"/>
      <c r="D444" s="217"/>
      <c r="E444" s="167"/>
      <c r="F444" s="217"/>
      <c r="G444" s="216"/>
      <c r="H444" s="217"/>
      <c r="I444" s="216"/>
      <c r="J444" s="216"/>
      <c r="K444" s="219"/>
      <c r="L444" s="218"/>
      <c r="M444" s="220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17"/>
      <c r="AD444" s="217"/>
      <c r="AE444" s="217"/>
      <c r="AF444" s="217"/>
    </row>
    <row r="445">
      <c r="A445" s="217"/>
      <c r="B445" s="217"/>
      <c r="C445" s="217"/>
      <c r="D445" s="217"/>
      <c r="E445" s="167"/>
      <c r="F445" s="217"/>
      <c r="G445" s="216"/>
      <c r="H445" s="217"/>
      <c r="I445" s="216"/>
      <c r="J445" s="216"/>
      <c r="K445" s="219"/>
      <c r="L445" s="218"/>
      <c r="M445" s="220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17"/>
      <c r="AD445" s="217"/>
      <c r="AE445" s="217"/>
      <c r="AF445" s="217"/>
    </row>
    <row r="446">
      <c r="A446" s="217"/>
      <c r="B446" s="217"/>
      <c r="C446" s="217"/>
      <c r="D446" s="217"/>
      <c r="E446" s="167"/>
      <c r="F446" s="217"/>
      <c r="G446" s="216"/>
      <c r="H446" s="217"/>
      <c r="I446" s="216"/>
      <c r="J446" s="216"/>
      <c r="K446" s="219"/>
      <c r="L446" s="218"/>
      <c r="M446" s="220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17"/>
      <c r="AD446" s="217"/>
      <c r="AE446" s="217"/>
      <c r="AF446" s="217"/>
    </row>
    <row r="447">
      <c r="A447" s="217"/>
      <c r="B447" s="217"/>
      <c r="C447" s="217"/>
      <c r="D447" s="217"/>
      <c r="E447" s="167"/>
      <c r="F447" s="217"/>
      <c r="G447" s="216"/>
      <c r="H447" s="217"/>
      <c r="I447" s="216"/>
      <c r="J447" s="216"/>
      <c r="K447" s="219"/>
      <c r="L447" s="218"/>
      <c r="M447" s="220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17"/>
      <c r="AD447" s="217"/>
      <c r="AE447" s="217"/>
      <c r="AF447" s="217"/>
    </row>
    <row r="448">
      <c r="A448" s="217"/>
      <c r="B448" s="217"/>
      <c r="C448" s="217"/>
      <c r="D448" s="217"/>
      <c r="E448" s="167"/>
      <c r="F448" s="217"/>
      <c r="G448" s="216"/>
      <c r="H448" s="217"/>
      <c r="I448" s="216"/>
      <c r="J448" s="216"/>
      <c r="K448" s="219"/>
      <c r="L448" s="218"/>
      <c r="M448" s="220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17"/>
      <c r="AD448" s="217"/>
      <c r="AE448" s="217"/>
      <c r="AF448" s="217"/>
    </row>
    <row r="449">
      <c r="A449" s="217"/>
      <c r="B449" s="217"/>
      <c r="C449" s="217"/>
      <c r="D449" s="217"/>
      <c r="E449" s="167"/>
      <c r="F449" s="217"/>
      <c r="G449" s="216"/>
      <c r="H449" s="217"/>
      <c r="I449" s="216"/>
      <c r="J449" s="216"/>
      <c r="K449" s="219"/>
      <c r="L449" s="218"/>
      <c r="M449" s="220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17"/>
      <c r="AD449" s="217"/>
      <c r="AE449" s="217"/>
      <c r="AF449" s="217"/>
    </row>
    <row r="450">
      <c r="A450" s="217"/>
      <c r="B450" s="217"/>
      <c r="C450" s="217"/>
      <c r="D450" s="217"/>
      <c r="E450" s="167"/>
      <c r="F450" s="217"/>
      <c r="G450" s="216"/>
      <c r="H450" s="217"/>
      <c r="I450" s="216"/>
      <c r="J450" s="216"/>
      <c r="K450" s="219"/>
      <c r="L450" s="218"/>
      <c r="M450" s="220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17"/>
      <c r="AD450" s="217"/>
      <c r="AE450" s="217"/>
      <c r="AF450" s="217"/>
    </row>
    <row r="451">
      <c r="A451" s="217"/>
      <c r="B451" s="217"/>
      <c r="C451" s="217"/>
      <c r="D451" s="217"/>
      <c r="E451" s="167"/>
      <c r="F451" s="217"/>
      <c r="G451" s="216"/>
      <c r="H451" s="217"/>
      <c r="I451" s="216"/>
      <c r="J451" s="216"/>
      <c r="K451" s="219"/>
      <c r="L451" s="218"/>
      <c r="M451" s="220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17"/>
      <c r="AD451" s="217"/>
      <c r="AE451" s="217"/>
      <c r="AF451" s="217"/>
    </row>
    <row r="452">
      <c r="A452" s="217"/>
      <c r="B452" s="217"/>
      <c r="C452" s="217"/>
      <c r="D452" s="217"/>
      <c r="E452" s="167"/>
      <c r="F452" s="217"/>
      <c r="G452" s="216"/>
      <c r="H452" s="217"/>
      <c r="I452" s="216"/>
      <c r="J452" s="216"/>
      <c r="K452" s="219"/>
      <c r="L452" s="218"/>
      <c r="M452" s="220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17"/>
      <c r="AD452" s="217"/>
      <c r="AE452" s="217"/>
      <c r="AF452" s="217"/>
    </row>
    <row r="453">
      <c r="A453" s="217"/>
      <c r="B453" s="217"/>
      <c r="C453" s="217"/>
      <c r="D453" s="217"/>
      <c r="E453" s="167"/>
      <c r="F453" s="217"/>
      <c r="G453" s="216"/>
      <c r="H453" s="217"/>
      <c r="I453" s="216"/>
      <c r="J453" s="216"/>
      <c r="K453" s="219"/>
      <c r="L453" s="218"/>
      <c r="M453" s="220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17"/>
      <c r="AD453" s="217"/>
      <c r="AE453" s="217"/>
      <c r="AF453" s="217"/>
    </row>
    <row r="454">
      <c r="A454" s="217"/>
      <c r="B454" s="217"/>
      <c r="C454" s="217"/>
      <c r="D454" s="217"/>
      <c r="E454" s="167"/>
      <c r="F454" s="217"/>
      <c r="G454" s="216"/>
      <c r="H454" s="217"/>
      <c r="I454" s="216"/>
      <c r="J454" s="216"/>
      <c r="K454" s="219"/>
      <c r="L454" s="218"/>
      <c r="M454" s="220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17"/>
      <c r="AD454" s="217"/>
      <c r="AE454" s="217"/>
      <c r="AF454" s="217"/>
    </row>
    <row r="455">
      <c r="A455" s="217"/>
      <c r="B455" s="217"/>
      <c r="C455" s="217"/>
      <c r="D455" s="217"/>
      <c r="E455" s="167"/>
      <c r="F455" s="217"/>
      <c r="G455" s="216"/>
      <c r="H455" s="217"/>
      <c r="I455" s="216"/>
      <c r="J455" s="216"/>
      <c r="K455" s="219"/>
      <c r="L455" s="218"/>
      <c r="M455" s="220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17"/>
      <c r="AD455" s="217"/>
      <c r="AE455" s="217"/>
      <c r="AF455" s="217"/>
    </row>
    <row r="456">
      <c r="A456" s="217"/>
      <c r="B456" s="217"/>
      <c r="C456" s="217"/>
      <c r="D456" s="217"/>
      <c r="E456" s="167"/>
      <c r="F456" s="217"/>
      <c r="G456" s="216"/>
      <c r="H456" s="217"/>
      <c r="I456" s="216"/>
      <c r="J456" s="216"/>
      <c r="K456" s="219"/>
      <c r="L456" s="218"/>
      <c r="M456" s="220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17"/>
      <c r="AD456" s="217"/>
      <c r="AE456" s="217"/>
      <c r="AF456" s="217"/>
    </row>
    <row r="457">
      <c r="A457" s="217"/>
      <c r="B457" s="217"/>
      <c r="C457" s="217"/>
      <c r="D457" s="217"/>
      <c r="E457" s="167"/>
      <c r="F457" s="217"/>
      <c r="G457" s="216"/>
      <c r="H457" s="217"/>
      <c r="I457" s="216"/>
      <c r="J457" s="216"/>
      <c r="K457" s="219"/>
      <c r="L457" s="218"/>
      <c r="M457" s="220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17"/>
      <c r="AD457" s="217"/>
      <c r="AE457" s="217"/>
      <c r="AF457" s="217"/>
    </row>
    <row r="458">
      <c r="A458" s="217"/>
      <c r="B458" s="217"/>
      <c r="C458" s="217"/>
      <c r="D458" s="217"/>
      <c r="E458" s="167"/>
      <c r="F458" s="217"/>
      <c r="G458" s="216"/>
      <c r="H458" s="217"/>
      <c r="I458" s="216"/>
      <c r="J458" s="216"/>
      <c r="K458" s="219"/>
      <c r="L458" s="218"/>
      <c r="M458" s="220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17"/>
      <c r="AD458" s="217"/>
      <c r="AE458" s="217"/>
      <c r="AF458" s="217"/>
    </row>
    <row r="459">
      <c r="A459" s="217"/>
      <c r="B459" s="217"/>
      <c r="C459" s="217"/>
      <c r="D459" s="217"/>
      <c r="E459" s="167"/>
      <c r="F459" s="217"/>
      <c r="G459" s="216"/>
      <c r="H459" s="217"/>
      <c r="I459" s="216"/>
      <c r="J459" s="216"/>
      <c r="K459" s="219"/>
      <c r="L459" s="218"/>
      <c r="M459" s="220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17"/>
      <c r="AD459" s="217"/>
      <c r="AE459" s="217"/>
      <c r="AF459" s="217"/>
    </row>
    <row r="460">
      <c r="A460" s="217"/>
      <c r="B460" s="217"/>
      <c r="C460" s="217"/>
      <c r="D460" s="217"/>
      <c r="E460" s="167"/>
      <c r="F460" s="217"/>
      <c r="G460" s="216"/>
      <c r="H460" s="217"/>
      <c r="I460" s="216"/>
      <c r="J460" s="216"/>
      <c r="K460" s="219"/>
      <c r="L460" s="218"/>
      <c r="M460" s="220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  <c r="AE460" s="217"/>
      <c r="AF460" s="217"/>
    </row>
    <row r="461">
      <c r="A461" s="217"/>
      <c r="B461" s="217"/>
      <c r="C461" s="217"/>
      <c r="D461" s="217"/>
      <c r="E461" s="167"/>
      <c r="F461" s="217"/>
      <c r="G461" s="216"/>
      <c r="H461" s="217"/>
      <c r="I461" s="216"/>
      <c r="J461" s="216"/>
      <c r="K461" s="219"/>
      <c r="L461" s="218"/>
      <c r="M461" s="220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17"/>
      <c r="AD461" s="217"/>
      <c r="AE461" s="217"/>
      <c r="AF461" s="217"/>
    </row>
    <row r="462">
      <c r="A462" s="217"/>
      <c r="B462" s="217"/>
      <c r="C462" s="217"/>
      <c r="D462" s="217"/>
      <c r="E462" s="167"/>
      <c r="F462" s="217"/>
      <c r="G462" s="216"/>
      <c r="H462" s="217"/>
      <c r="I462" s="216"/>
      <c r="J462" s="216"/>
      <c r="K462" s="219"/>
      <c r="L462" s="218"/>
      <c r="M462" s="220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17"/>
      <c r="AD462" s="217"/>
      <c r="AE462" s="217"/>
      <c r="AF462" s="217"/>
    </row>
    <row r="463">
      <c r="A463" s="217"/>
      <c r="B463" s="217"/>
      <c r="C463" s="217"/>
      <c r="D463" s="217"/>
      <c r="E463" s="167"/>
      <c r="F463" s="217"/>
      <c r="G463" s="216"/>
      <c r="H463" s="217"/>
      <c r="I463" s="216"/>
      <c r="J463" s="216"/>
      <c r="K463" s="219"/>
      <c r="L463" s="218"/>
      <c r="M463" s="220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17"/>
      <c r="AD463" s="217"/>
      <c r="AE463" s="217"/>
      <c r="AF463" s="217"/>
    </row>
    <row r="464">
      <c r="A464" s="217"/>
      <c r="B464" s="217"/>
      <c r="C464" s="217"/>
      <c r="D464" s="217"/>
      <c r="E464" s="167"/>
      <c r="F464" s="217"/>
      <c r="G464" s="216"/>
      <c r="H464" s="217"/>
      <c r="I464" s="216"/>
      <c r="J464" s="216"/>
      <c r="K464" s="219"/>
      <c r="L464" s="218"/>
      <c r="M464" s="220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17"/>
      <c r="AD464" s="217"/>
      <c r="AE464" s="217"/>
      <c r="AF464" s="217"/>
    </row>
    <row r="465">
      <c r="A465" s="217"/>
      <c r="B465" s="217"/>
      <c r="C465" s="217"/>
      <c r="D465" s="217"/>
      <c r="E465" s="167"/>
      <c r="F465" s="217"/>
      <c r="G465" s="216"/>
      <c r="H465" s="217"/>
      <c r="I465" s="216"/>
      <c r="J465" s="216"/>
      <c r="K465" s="219"/>
      <c r="L465" s="218"/>
      <c r="M465" s="220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17"/>
      <c r="AD465" s="217"/>
      <c r="AE465" s="217"/>
      <c r="AF465" s="217"/>
    </row>
    <row r="466">
      <c r="A466" s="217"/>
      <c r="B466" s="217"/>
      <c r="C466" s="217"/>
      <c r="D466" s="217"/>
      <c r="E466" s="167"/>
      <c r="F466" s="217"/>
      <c r="G466" s="216"/>
      <c r="H466" s="217"/>
      <c r="I466" s="216"/>
      <c r="J466" s="216"/>
      <c r="K466" s="219"/>
      <c r="L466" s="218"/>
      <c r="M466" s="220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17"/>
      <c r="AD466" s="217"/>
      <c r="AE466" s="217"/>
      <c r="AF466" s="217"/>
    </row>
    <row r="467">
      <c r="A467" s="217"/>
      <c r="B467" s="217"/>
      <c r="C467" s="217"/>
      <c r="D467" s="217"/>
      <c r="E467" s="167"/>
      <c r="F467" s="217"/>
      <c r="G467" s="216"/>
      <c r="H467" s="217"/>
      <c r="I467" s="216"/>
      <c r="J467" s="216"/>
      <c r="K467" s="219"/>
      <c r="L467" s="218"/>
      <c r="M467" s="220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17"/>
      <c r="AD467" s="217"/>
      <c r="AE467" s="217"/>
      <c r="AF467" s="217"/>
    </row>
    <row r="468">
      <c r="A468" s="217"/>
      <c r="B468" s="217"/>
      <c r="C468" s="217"/>
      <c r="D468" s="217"/>
      <c r="E468" s="167"/>
      <c r="F468" s="217"/>
      <c r="G468" s="216"/>
      <c r="H468" s="217"/>
      <c r="I468" s="216"/>
      <c r="J468" s="216"/>
      <c r="K468" s="219"/>
      <c r="L468" s="218"/>
      <c r="M468" s="220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17"/>
      <c r="AD468" s="217"/>
      <c r="AE468" s="217"/>
      <c r="AF468" s="217"/>
    </row>
    <row r="469">
      <c r="A469" s="217"/>
      <c r="B469" s="217"/>
      <c r="C469" s="217"/>
      <c r="D469" s="217"/>
      <c r="E469" s="167"/>
      <c r="F469" s="217"/>
      <c r="G469" s="216"/>
      <c r="H469" s="217"/>
      <c r="I469" s="216"/>
      <c r="J469" s="216"/>
      <c r="K469" s="219"/>
      <c r="L469" s="218"/>
      <c r="M469" s="220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17"/>
      <c r="AD469" s="217"/>
      <c r="AE469" s="217"/>
      <c r="AF469" s="217"/>
    </row>
    <row r="470">
      <c r="A470" s="217"/>
      <c r="B470" s="217"/>
      <c r="C470" s="217"/>
      <c r="D470" s="217"/>
      <c r="E470" s="167"/>
      <c r="F470" s="217"/>
      <c r="G470" s="216"/>
      <c r="H470" s="217"/>
      <c r="I470" s="216"/>
      <c r="J470" s="216"/>
      <c r="K470" s="219"/>
      <c r="L470" s="218"/>
      <c r="M470" s="220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17"/>
      <c r="AD470" s="217"/>
      <c r="AE470" s="217"/>
      <c r="AF470" s="217"/>
    </row>
    <row r="471">
      <c r="A471" s="217"/>
      <c r="B471" s="217"/>
      <c r="C471" s="217"/>
      <c r="D471" s="217"/>
      <c r="E471" s="167"/>
      <c r="F471" s="217"/>
      <c r="G471" s="216"/>
      <c r="H471" s="217"/>
      <c r="I471" s="216"/>
      <c r="J471" s="216"/>
      <c r="K471" s="219"/>
      <c r="L471" s="218"/>
      <c r="M471" s="220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17"/>
      <c r="AD471" s="217"/>
      <c r="AE471" s="217"/>
      <c r="AF471" s="217"/>
    </row>
    <row r="472">
      <c r="A472" s="217"/>
      <c r="B472" s="217"/>
      <c r="C472" s="217"/>
      <c r="D472" s="217"/>
      <c r="E472" s="167"/>
      <c r="F472" s="217"/>
      <c r="G472" s="216"/>
      <c r="H472" s="217"/>
      <c r="I472" s="216"/>
      <c r="J472" s="216"/>
      <c r="K472" s="219"/>
      <c r="L472" s="218"/>
      <c r="M472" s="220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17"/>
      <c r="AD472" s="217"/>
      <c r="AE472" s="217"/>
      <c r="AF472" s="217"/>
    </row>
    <row r="473">
      <c r="A473" s="217"/>
      <c r="B473" s="217"/>
      <c r="C473" s="217"/>
      <c r="D473" s="217"/>
      <c r="E473" s="167"/>
      <c r="F473" s="217"/>
      <c r="G473" s="216"/>
      <c r="H473" s="217"/>
      <c r="I473" s="216"/>
      <c r="J473" s="216"/>
      <c r="K473" s="219"/>
      <c r="L473" s="218"/>
      <c r="M473" s="220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7"/>
      <c r="AE473" s="217"/>
      <c r="AF473" s="217"/>
    </row>
    <row r="474">
      <c r="A474" s="217"/>
      <c r="B474" s="217"/>
      <c r="C474" s="217"/>
      <c r="D474" s="217"/>
      <c r="E474" s="167"/>
      <c r="F474" s="217"/>
      <c r="G474" s="216"/>
      <c r="H474" s="217"/>
      <c r="I474" s="216"/>
      <c r="J474" s="216"/>
      <c r="K474" s="219"/>
      <c r="L474" s="218"/>
      <c r="M474" s="220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17"/>
      <c r="AD474" s="217"/>
      <c r="AE474" s="217"/>
      <c r="AF474" s="217"/>
    </row>
    <row r="475">
      <c r="A475" s="217"/>
      <c r="B475" s="217"/>
      <c r="C475" s="217"/>
      <c r="D475" s="217"/>
      <c r="E475" s="167"/>
      <c r="F475" s="217"/>
      <c r="G475" s="216"/>
      <c r="H475" s="217"/>
      <c r="I475" s="216"/>
      <c r="J475" s="216"/>
      <c r="K475" s="219"/>
      <c r="L475" s="218"/>
      <c r="M475" s="220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17"/>
      <c r="AD475" s="217"/>
      <c r="AE475" s="217"/>
      <c r="AF475" s="217"/>
    </row>
    <row r="476">
      <c r="A476" s="217"/>
      <c r="B476" s="217"/>
      <c r="C476" s="217"/>
      <c r="D476" s="217"/>
      <c r="E476" s="167"/>
      <c r="F476" s="217"/>
      <c r="G476" s="216"/>
      <c r="H476" s="217"/>
      <c r="I476" s="216"/>
      <c r="J476" s="216"/>
      <c r="K476" s="219"/>
      <c r="L476" s="218"/>
      <c r="M476" s="220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17"/>
      <c r="AD476" s="217"/>
      <c r="AE476" s="217"/>
      <c r="AF476" s="217"/>
    </row>
    <row r="477">
      <c r="A477" s="217"/>
      <c r="B477" s="217"/>
      <c r="C477" s="217"/>
      <c r="D477" s="217"/>
      <c r="E477" s="167"/>
      <c r="F477" s="217"/>
      <c r="G477" s="216"/>
      <c r="H477" s="217"/>
      <c r="I477" s="216"/>
      <c r="J477" s="216"/>
      <c r="K477" s="219"/>
      <c r="L477" s="218"/>
      <c r="M477" s="220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17"/>
      <c r="AD477" s="217"/>
      <c r="AE477" s="217"/>
      <c r="AF477" s="217"/>
    </row>
    <row r="478">
      <c r="A478" s="217"/>
      <c r="B478" s="217"/>
      <c r="C478" s="217"/>
      <c r="D478" s="217"/>
      <c r="E478" s="167"/>
      <c r="F478" s="217"/>
      <c r="G478" s="216"/>
      <c r="H478" s="217"/>
      <c r="I478" s="216"/>
      <c r="J478" s="216"/>
      <c r="K478" s="219"/>
      <c r="L478" s="218"/>
      <c r="M478" s="220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17"/>
      <c r="AD478" s="217"/>
      <c r="AE478" s="217"/>
      <c r="AF478" s="217"/>
    </row>
    <row r="479">
      <c r="A479" s="217"/>
      <c r="B479" s="217"/>
      <c r="C479" s="217"/>
      <c r="D479" s="217"/>
      <c r="E479" s="167"/>
      <c r="F479" s="217"/>
      <c r="G479" s="216"/>
      <c r="H479" s="217"/>
      <c r="I479" s="216"/>
      <c r="J479" s="216"/>
      <c r="K479" s="219"/>
      <c r="L479" s="218"/>
      <c r="M479" s="220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17"/>
      <c r="AD479" s="217"/>
      <c r="AE479" s="217"/>
      <c r="AF479" s="217"/>
    </row>
    <row r="480">
      <c r="A480" s="217"/>
      <c r="B480" s="217"/>
      <c r="C480" s="217"/>
      <c r="D480" s="217"/>
      <c r="E480" s="167"/>
      <c r="F480" s="217"/>
      <c r="G480" s="216"/>
      <c r="H480" s="217"/>
      <c r="I480" s="216"/>
      <c r="J480" s="216"/>
      <c r="K480" s="219"/>
      <c r="L480" s="218"/>
      <c r="M480" s="220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  <c r="AE480" s="217"/>
      <c r="AF480" s="217"/>
    </row>
    <row r="481">
      <c r="A481" s="217"/>
      <c r="B481" s="217"/>
      <c r="C481" s="217"/>
      <c r="D481" s="217"/>
      <c r="E481" s="167"/>
      <c r="F481" s="217"/>
      <c r="G481" s="216"/>
      <c r="H481" s="217"/>
      <c r="I481" s="216"/>
      <c r="J481" s="216"/>
      <c r="K481" s="219"/>
      <c r="L481" s="218"/>
      <c r="M481" s="220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17"/>
      <c r="AD481" s="217"/>
      <c r="AE481" s="217"/>
      <c r="AF481" s="217"/>
    </row>
    <row r="482">
      <c r="A482" s="217"/>
      <c r="B482" s="217"/>
      <c r="C482" s="217"/>
      <c r="D482" s="217"/>
      <c r="E482" s="167"/>
      <c r="F482" s="217"/>
      <c r="G482" s="216"/>
      <c r="H482" s="217"/>
      <c r="I482" s="216"/>
      <c r="J482" s="216"/>
      <c r="K482" s="219"/>
      <c r="L482" s="218"/>
      <c r="M482" s="220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17"/>
      <c r="AD482" s="217"/>
      <c r="AE482" s="217"/>
      <c r="AF482" s="217"/>
    </row>
    <row r="483">
      <c r="A483" s="217"/>
      <c r="B483" s="217"/>
      <c r="C483" s="217"/>
      <c r="D483" s="217"/>
      <c r="E483" s="167"/>
      <c r="F483" s="217"/>
      <c r="G483" s="216"/>
      <c r="H483" s="217"/>
      <c r="I483" s="216"/>
      <c r="J483" s="216"/>
      <c r="K483" s="219"/>
      <c r="L483" s="218"/>
      <c r="M483" s="220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  <c r="AE483" s="217"/>
      <c r="AF483" s="217"/>
    </row>
    <row r="484">
      <c r="A484" s="217"/>
      <c r="B484" s="217"/>
      <c r="C484" s="217"/>
      <c r="D484" s="217"/>
      <c r="E484" s="167"/>
      <c r="F484" s="217"/>
      <c r="G484" s="216"/>
      <c r="H484" s="217"/>
      <c r="I484" s="216"/>
      <c r="J484" s="216"/>
      <c r="K484" s="219"/>
      <c r="L484" s="218"/>
      <c r="M484" s="220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  <c r="AE484" s="217"/>
      <c r="AF484" s="217"/>
    </row>
    <row r="485">
      <c r="A485" s="217"/>
      <c r="B485" s="217"/>
      <c r="C485" s="217"/>
      <c r="D485" s="217"/>
      <c r="E485" s="167"/>
      <c r="F485" s="217"/>
      <c r="G485" s="216"/>
      <c r="H485" s="217"/>
      <c r="I485" s="216"/>
      <c r="J485" s="216"/>
      <c r="K485" s="219"/>
      <c r="L485" s="218"/>
      <c r="M485" s="220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17"/>
      <c r="AD485" s="217"/>
      <c r="AE485" s="217"/>
      <c r="AF485" s="217"/>
    </row>
    <row r="486">
      <c r="A486" s="217"/>
      <c r="B486" s="217"/>
      <c r="C486" s="217"/>
      <c r="D486" s="217"/>
      <c r="E486" s="167"/>
      <c r="F486" s="217"/>
      <c r="G486" s="216"/>
      <c r="H486" s="217"/>
      <c r="I486" s="216"/>
      <c r="J486" s="216"/>
      <c r="K486" s="219"/>
      <c r="L486" s="218"/>
      <c r="M486" s="220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17"/>
      <c r="AD486" s="217"/>
      <c r="AE486" s="217"/>
      <c r="AF486" s="217"/>
    </row>
    <row r="487">
      <c r="A487" s="217"/>
      <c r="B487" s="217"/>
      <c r="C487" s="217"/>
      <c r="D487" s="217"/>
      <c r="E487" s="167"/>
      <c r="F487" s="217"/>
      <c r="G487" s="216"/>
      <c r="H487" s="217"/>
      <c r="I487" s="216"/>
      <c r="J487" s="216"/>
      <c r="K487" s="219"/>
      <c r="L487" s="218"/>
      <c r="M487" s="220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  <c r="AE487" s="217"/>
      <c r="AF487" s="217"/>
    </row>
    <row r="488">
      <c r="A488" s="217"/>
      <c r="B488" s="217"/>
      <c r="C488" s="217"/>
      <c r="D488" s="217"/>
      <c r="E488" s="167"/>
      <c r="F488" s="217"/>
      <c r="G488" s="216"/>
      <c r="H488" s="217"/>
      <c r="I488" s="216"/>
      <c r="J488" s="216"/>
      <c r="K488" s="219"/>
      <c r="L488" s="218"/>
      <c r="M488" s="220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  <c r="AE488" s="217"/>
      <c r="AF488" s="217"/>
    </row>
    <row r="489">
      <c r="A489" s="217"/>
      <c r="B489" s="217"/>
      <c r="C489" s="217"/>
      <c r="D489" s="217"/>
      <c r="E489" s="167"/>
      <c r="F489" s="217"/>
      <c r="G489" s="216"/>
      <c r="H489" s="217"/>
      <c r="I489" s="216"/>
      <c r="J489" s="216"/>
      <c r="K489" s="219"/>
      <c r="L489" s="218"/>
      <c r="M489" s="220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/>
      <c r="AE489" s="217"/>
      <c r="AF489" s="217"/>
    </row>
    <row r="490">
      <c r="A490" s="217"/>
      <c r="B490" s="217"/>
      <c r="C490" s="217"/>
      <c r="D490" s="217"/>
      <c r="E490" s="167"/>
      <c r="F490" s="217"/>
      <c r="G490" s="216"/>
      <c r="H490" s="217"/>
      <c r="I490" s="216"/>
      <c r="J490" s="216"/>
      <c r="K490" s="219"/>
      <c r="L490" s="218"/>
      <c r="M490" s="220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17"/>
      <c r="AD490" s="217"/>
      <c r="AE490" s="217"/>
      <c r="AF490" s="217"/>
    </row>
    <row r="491">
      <c r="A491" s="217"/>
      <c r="B491" s="217"/>
      <c r="C491" s="217"/>
      <c r="D491" s="217"/>
      <c r="E491" s="167"/>
      <c r="F491" s="217"/>
      <c r="G491" s="216"/>
      <c r="H491" s="217"/>
      <c r="I491" s="216"/>
      <c r="J491" s="216"/>
      <c r="K491" s="219"/>
      <c r="L491" s="218"/>
      <c r="M491" s="220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7"/>
      <c r="AE491" s="217"/>
      <c r="AF491" s="217"/>
    </row>
    <row r="492">
      <c r="A492" s="217"/>
      <c r="B492" s="217"/>
      <c r="C492" s="217"/>
      <c r="D492" s="217"/>
      <c r="E492" s="167"/>
      <c r="F492" s="217"/>
      <c r="G492" s="216"/>
      <c r="H492" s="217"/>
      <c r="I492" s="216"/>
      <c r="J492" s="216"/>
      <c r="K492" s="219"/>
      <c r="L492" s="218"/>
      <c r="M492" s="220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17"/>
      <c r="AD492" s="217"/>
      <c r="AE492" s="217"/>
      <c r="AF492" s="217"/>
    </row>
    <row r="493">
      <c r="A493" s="217"/>
      <c r="B493" s="217"/>
      <c r="C493" s="217"/>
      <c r="D493" s="217"/>
      <c r="E493" s="167"/>
      <c r="F493" s="217"/>
      <c r="G493" s="216"/>
      <c r="H493" s="217"/>
      <c r="I493" s="216"/>
      <c r="J493" s="216"/>
      <c r="K493" s="219"/>
      <c r="L493" s="218"/>
      <c r="M493" s="220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17"/>
      <c r="AD493" s="217"/>
      <c r="AE493" s="217"/>
      <c r="AF493" s="217"/>
    </row>
    <row r="494">
      <c r="A494" s="217"/>
      <c r="B494" s="217"/>
      <c r="C494" s="217"/>
      <c r="D494" s="217"/>
      <c r="E494" s="167"/>
      <c r="F494" s="217"/>
      <c r="G494" s="216"/>
      <c r="H494" s="217"/>
      <c r="I494" s="216"/>
      <c r="J494" s="216"/>
      <c r="K494" s="219"/>
      <c r="L494" s="218"/>
      <c r="M494" s="220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17"/>
      <c r="AD494" s="217"/>
      <c r="AE494" s="217"/>
      <c r="AF494" s="217"/>
    </row>
    <row r="495">
      <c r="A495" s="217"/>
      <c r="B495" s="217"/>
      <c r="C495" s="217"/>
      <c r="D495" s="217"/>
      <c r="E495" s="167"/>
      <c r="F495" s="217"/>
      <c r="G495" s="216"/>
      <c r="H495" s="217"/>
      <c r="I495" s="216"/>
      <c r="J495" s="216"/>
      <c r="K495" s="219"/>
      <c r="L495" s="218"/>
      <c r="M495" s="220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17"/>
      <c r="AD495" s="217"/>
      <c r="AE495" s="217"/>
      <c r="AF495" s="217"/>
    </row>
    <row r="496">
      <c r="A496" s="217"/>
      <c r="B496" s="217"/>
      <c r="C496" s="217"/>
      <c r="D496" s="217"/>
      <c r="E496" s="167"/>
      <c r="F496" s="217"/>
      <c r="G496" s="216"/>
      <c r="H496" s="217"/>
      <c r="I496" s="216"/>
      <c r="J496" s="216"/>
      <c r="K496" s="219"/>
      <c r="L496" s="218"/>
      <c r="M496" s="220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17"/>
      <c r="AD496" s="217"/>
      <c r="AE496" s="217"/>
      <c r="AF496" s="217"/>
    </row>
    <row r="497">
      <c r="A497" s="217"/>
      <c r="B497" s="217"/>
      <c r="C497" s="217"/>
      <c r="D497" s="217"/>
      <c r="E497" s="167"/>
      <c r="F497" s="217"/>
      <c r="G497" s="216"/>
      <c r="H497" s="217"/>
      <c r="I497" s="216"/>
      <c r="J497" s="216"/>
      <c r="K497" s="219"/>
      <c r="L497" s="218"/>
      <c r="M497" s="220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17"/>
      <c r="AD497" s="217"/>
      <c r="AE497" s="217"/>
      <c r="AF497" s="217"/>
    </row>
    <row r="498">
      <c r="A498" s="217"/>
      <c r="B498" s="217"/>
      <c r="C498" s="217"/>
      <c r="D498" s="217"/>
      <c r="E498" s="167"/>
      <c r="F498" s="217"/>
      <c r="G498" s="216"/>
      <c r="H498" s="217"/>
      <c r="I498" s="216"/>
      <c r="J498" s="216"/>
      <c r="K498" s="219"/>
      <c r="L498" s="218"/>
      <c r="M498" s="220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17"/>
      <c r="AD498" s="217"/>
      <c r="AE498" s="217"/>
      <c r="AF498" s="217"/>
    </row>
    <row r="499">
      <c r="A499" s="217"/>
      <c r="B499" s="217"/>
      <c r="C499" s="217"/>
      <c r="D499" s="217"/>
      <c r="E499" s="167"/>
      <c r="F499" s="217"/>
      <c r="G499" s="216"/>
      <c r="H499" s="217"/>
      <c r="I499" s="216"/>
      <c r="J499" s="216"/>
      <c r="K499" s="219"/>
      <c r="L499" s="218"/>
      <c r="M499" s="220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17"/>
      <c r="AD499" s="217"/>
      <c r="AE499" s="217"/>
      <c r="AF499" s="217"/>
    </row>
    <row r="500">
      <c r="A500" s="217"/>
      <c r="B500" s="217"/>
      <c r="C500" s="217"/>
      <c r="D500" s="217"/>
      <c r="E500" s="167"/>
      <c r="F500" s="217"/>
      <c r="G500" s="216"/>
      <c r="H500" s="217"/>
      <c r="I500" s="216"/>
      <c r="J500" s="216"/>
      <c r="K500" s="219"/>
      <c r="L500" s="218"/>
      <c r="M500" s="220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17"/>
      <c r="AD500" s="217"/>
      <c r="AE500" s="217"/>
      <c r="AF500" s="217"/>
    </row>
    <row r="501">
      <c r="A501" s="217"/>
      <c r="B501" s="217"/>
      <c r="C501" s="217"/>
      <c r="D501" s="217"/>
      <c r="E501" s="167"/>
      <c r="F501" s="217"/>
      <c r="G501" s="216"/>
      <c r="H501" s="217"/>
      <c r="I501" s="216"/>
      <c r="J501" s="216"/>
      <c r="K501" s="219"/>
      <c r="L501" s="218"/>
      <c r="M501" s="220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17"/>
      <c r="AD501" s="217"/>
      <c r="AE501" s="217"/>
      <c r="AF501" s="217"/>
    </row>
    <row r="502">
      <c r="A502" s="217"/>
      <c r="B502" s="217"/>
      <c r="C502" s="217"/>
      <c r="D502" s="217"/>
      <c r="E502" s="167"/>
      <c r="F502" s="217"/>
      <c r="G502" s="216"/>
      <c r="H502" s="217"/>
      <c r="I502" s="216"/>
      <c r="J502" s="216"/>
      <c r="K502" s="219"/>
      <c r="L502" s="218"/>
      <c r="M502" s="220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17"/>
      <c r="AD502" s="217"/>
      <c r="AE502" s="217"/>
      <c r="AF502" s="217"/>
    </row>
    <row r="503">
      <c r="A503" s="217"/>
      <c r="B503" s="217"/>
      <c r="C503" s="217"/>
      <c r="D503" s="217"/>
      <c r="E503" s="167"/>
      <c r="F503" s="217"/>
      <c r="G503" s="216"/>
      <c r="H503" s="217"/>
      <c r="I503" s="216"/>
      <c r="J503" s="216"/>
      <c r="K503" s="219"/>
      <c r="L503" s="218"/>
      <c r="M503" s="220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17"/>
      <c r="AD503" s="217"/>
      <c r="AE503" s="217"/>
      <c r="AF503" s="217"/>
    </row>
    <row r="504">
      <c r="A504" s="217"/>
      <c r="B504" s="217"/>
      <c r="C504" s="217"/>
      <c r="D504" s="217"/>
      <c r="E504" s="167"/>
      <c r="F504" s="217"/>
      <c r="G504" s="216"/>
      <c r="H504" s="217"/>
      <c r="I504" s="216"/>
      <c r="J504" s="216"/>
      <c r="K504" s="219"/>
      <c r="L504" s="218"/>
      <c r="M504" s="220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17"/>
      <c r="AD504" s="217"/>
      <c r="AE504" s="217"/>
      <c r="AF504" s="217"/>
    </row>
    <row r="505">
      <c r="A505" s="217"/>
      <c r="B505" s="217"/>
      <c r="C505" s="217"/>
      <c r="D505" s="217"/>
      <c r="E505" s="167"/>
      <c r="F505" s="217"/>
      <c r="G505" s="216"/>
      <c r="H505" s="217"/>
      <c r="I505" s="216"/>
      <c r="J505" s="216"/>
      <c r="K505" s="219"/>
      <c r="L505" s="218"/>
      <c r="M505" s="220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7"/>
      <c r="AE505" s="217"/>
      <c r="AF505" s="217"/>
    </row>
    <row r="506">
      <c r="A506" s="217"/>
      <c r="B506" s="217"/>
      <c r="C506" s="217"/>
      <c r="D506" s="217"/>
      <c r="E506" s="167"/>
      <c r="F506" s="217"/>
      <c r="G506" s="216"/>
      <c r="H506" s="217"/>
      <c r="I506" s="216"/>
      <c r="J506" s="216"/>
      <c r="K506" s="219"/>
      <c r="L506" s="218"/>
      <c r="M506" s="220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17"/>
      <c r="AD506" s="217"/>
      <c r="AE506" s="217"/>
      <c r="AF506" s="217"/>
    </row>
    <row r="507">
      <c r="A507" s="217"/>
      <c r="B507" s="217"/>
      <c r="C507" s="217"/>
      <c r="D507" s="217"/>
      <c r="E507" s="167"/>
      <c r="F507" s="217"/>
      <c r="G507" s="216"/>
      <c r="H507" s="217"/>
      <c r="I507" s="216"/>
      <c r="J507" s="216"/>
      <c r="K507" s="219"/>
      <c r="L507" s="218"/>
      <c r="M507" s="220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17"/>
      <c r="AD507" s="217"/>
      <c r="AE507" s="217"/>
      <c r="AF507" s="217"/>
    </row>
    <row r="508">
      <c r="A508" s="217"/>
      <c r="B508" s="217"/>
      <c r="C508" s="217"/>
      <c r="D508" s="217"/>
      <c r="E508" s="167"/>
      <c r="F508" s="217"/>
      <c r="G508" s="216"/>
      <c r="H508" s="217"/>
      <c r="I508" s="216"/>
      <c r="J508" s="216"/>
      <c r="K508" s="219"/>
      <c r="L508" s="218"/>
      <c r="M508" s="220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17"/>
      <c r="AD508" s="217"/>
      <c r="AE508" s="217"/>
      <c r="AF508" s="217"/>
    </row>
    <row r="509">
      <c r="A509" s="217"/>
      <c r="B509" s="217"/>
      <c r="C509" s="217"/>
      <c r="D509" s="217"/>
      <c r="E509" s="167"/>
      <c r="F509" s="217"/>
      <c r="G509" s="216"/>
      <c r="H509" s="217"/>
      <c r="I509" s="216"/>
      <c r="J509" s="216"/>
      <c r="K509" s="219"/>
      <c r="L509" s="218"/>
      <c r="M509" s="220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17"/>
      <c r="AD509" s="217"/>
      <c r="AE509" s="217"/>
      <c r="AF509" s="217"/>
    </row>
    <row r="510">
      <c r="A510" s="217"/>
      <c r="B510" s="217"/>
      <c r="C510" s="217"/>
      <c r="D510" s="217"/>
      <c r="E510" s="167"/>
      <c r="F510" s="217"/>
      <c r="G510" s="216"/>
      <c r="H510" s="217"/>
      <c r="I510" s="216"/>
      <c r="J510" s="216"/>
      <c r="K510" s="219"/>
      <c r="L510" s="218"/>
      <c r="M510" s="220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17"/>
      <c r="AD510" s="217"/>
      <c r="AE510" s="217"/>
      <c r="AF510" s="217"/>
    </row>
    <row r="511">
      <c r="A511" s="217"/>
      <c r="B511" s="217"/>
      <c r="C511" s="217"/>
      <c r="D511" s="217"/>
      <c r="E511" s="167"/>
      <c r="F511" s="217"/>
      <c r="G511" s="216"/>
      <c r="H511" s="217"/>
      <c r="I511" s="216"/>
      <c r="J511" s="216"/>
      <c r="K511" s="219"/>
      <c r="L511" s="218"/>
      <c r="M511" s="220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17"/>
      <c r="AD511" s="217"/>
      <c r="AE511" s="217"/>
      <c r="AF511" s="217"/>
    </row>
    <row r="512">
      <c r="A512" s="217"/>
      <c r="B512" s="217"/>
      <c r="C512" s="217"/>
      <c r="D512" s="217"/>
      <c r="E512" s="167"/>
      <c r="F512" s="217"/>
      <c r="G512" s="216"/>
      <c r="H512" s="217"/>
      <c r="I512" s="216"/>
      <c r="J512" s="216"/>
      <c r="K512" s="219"/>
      <c r="L512" s="218"/>
      <c r="M512" s="220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17"/>
      <c r="AD512" s="217"/>
      <c r="AE512" s="217"/>
      <c r="AF512" s="217"/>
    </row>
    <row r="513">
      <c r="A513" s="217"/>
      <c r="B513" s="217"/>
      <c r="C513" s="217"/>
      <c r="D513" s="217"/>
      <c r="E513" s="167"/>
      <c r="F513" s="217"/>
      <c r="G513" s="216"/>
      <c r="H513" s="217"/>
      <c r="I513" s="216"/>
      <c r="J513" s="216"/>
      <c r="K513" s="219"/>
      <c r="L513" s="218"/>
      <c r="M513" s="220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17"/>
      <c r="AD513" s="217"/>
      <c r="AE513" s="217"/>
      <c r="AF513" s="217"/>
    </row>
    <row r="514">
      <c r="A514" s="217"/>
      <c r="B514" s="217"/>
      <c r="C514" s="217"/>
      <c r="D514" s="217"/>
      <c r="E514" s="167"/>
      <c r="F514" s="217"/>
      <c r="G514" s="216"/>
      <c r="H514" s="217"/>
      <c r="I514" s="216"/>
      <c r="J514" s="216"/>
      <c r="K514" s="219"/>
      <c r="L514" s="218"/>
      <c r="M514" s="220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17"/>
      <c r="AD514" s="217"/>
      <c r="AE514" s="217"/>
      <c r="AF514" s="217"/>
    </row>
    <row r="515">
      <c r="A515" s="217"/>
      <c r="B515" s="217"/>
      <c r="C515" s="217"/>
      <c r="D515" s="217"/>
      <c r="E515" s="167"/>
      <c r="F515" s="217"/>
      <c r="G515" s="216"/>
      <c r="H515" s="217"/>
      <c r="I515" s="216"/>
      <c r="J515" s="216"/>
      <c r="K515" s="219"/>
      <c r="L515" s="218"/>
      <c r="M515" s="220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17"/>
      <c r="AD515" s="217"/>
      <c r="AE515" s="217"/>
      <c r="AF515" s="217"/>
    </row>
    <row r="516">
      <c r="A516" s="217"/>
      <c r="B516" s="217"/>
      <c r="C516" s="217"/>
      <c r="D516" s="217"/>
      <c r="E516" s="167"/>
      <c r="F516" s="217"/>
      <c r="G516" s="216"/>
      <c r="H516" s="217"/>
      <c r="I516" s="216"/>
      <c r="J516" s="216"/>
      <c r="K516" s="219"/>
      <c r="L516" s="218"/>
      <c r="M516" s="220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17"/>
      <c r="AD516" s="217"/>
      <c r="AE516" s="217"/>
      <c r="AF516" s="217"/>
    </row>
    <row r="517">
      <c r="A517" s="217"/>
      <c r="B517" s="217"/>
      <c r="C517" s="217"/>
      <c r="D517" s="217"/>
      <c r="E517" s="167"/>
      <c r="F517" s="217"/>
      <c r="G517" s="216"/>
      <c r="H517" s="217"/>
      <c r="I517" s="216"/>
      <c r="J517" s="216"/>
      <c r="K517" s="219"/>
      <c r="L517" s="218"/>
      <c r="M517" s="220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17"/>
      <c r="AD517" s="217"/>
      <c r="AE517" s="217"/>
      <c r="AF517" s="217"/>
    </row>
    <row r="518">
      <c r="A518" s="217"/>
      <c r="B518" s="217"/>
      <c r="C518" s="217"/>
      <c r="D518" s="217"/>
      <c r="E518" s="167"/>
      <c r="F518" s="217"/>
      <c r="G518" s="216"/>
      <c r="H518" s="217"/>
      <c r="I518" s="216"/>
      <c r="J518" s="216"/>
      <c r="K518" s="219"/>
      <c r="L518" s="218"/>
      <c r="M518" s="220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17"/>
      <c r="AD518" s="217"/>
      <c r="AE518" s="217"/>
      <c r="AF518" s="217"/>
    </row>
    <row r="519">
      <c r="A519" s="217"/>
      <c r="B519" s="217"/>
      <c r="C519" s="217"/>
      <c r="D519" s="217"/>
      <c r="E519" s="167"/>
      <c r="F519" s="217"/>
      <c r="G519" s="216"/>
      <c r="H519" s="217"/>
      <c r="I519" s="216"/>
      <c r="J519" s="216"/>
      <c r="K519" s="219"/>
      <c r="L519" s="218"/>
      <c r="M519" s="220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17"/>
      <c r="AD519" s="217"/>
      <c r="AE519" s="217"/>
      <c r="AF519" s="217"/>
    </row>
    <row r="520">
      <c r="A520" s="217"/>
      <c r="B520" s="217"/>
      <c r="C520" s="217"/>
      <c r="D520" s="217"/>
      <c r="E520" s="167"/>
      <c r="F520" s="217"/>
      <c r="G520" s="216"/>
      <c r="H520" s="217"/>
      <c r="I520" s="216"/>
      <c r="J520" s="216"/>
      <c r="K520" s="219"/>
      <c r="L520" s="218"/>
      <c r="M520" s="220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17"/>
      <c r="AD520" s="217"/>
      <c r="AE520" s="217"/>
      <c r="AF520" s="217"/>
    </row>
    <row r="521">
      <c r="A521" s="217"/>
      <c r="B521" s="217"/>
      <c r="C521" s="217"/>
      <c r="D521" s="217"/>
      <c r="E521" s="167"/>
      <c r="F521" s="217"/>
      <c r="G521" s="216"/>
      <c r="H521" s="217"/>
      <c r="I521" s="216"/>
      <c r="J521" s="216"/>
      <c r="K521" s="219"/>
      <c r="L521" s="218"/>
      <c r="M521" s="220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17"/>
      <c r="AD521" s="217"/>
      <c r="AE521" s="217"/>
      <c r="AF521" s="217"/>
    </row>
    <row r="522">
      <c r="A522" s="217"/>
      <c r="B522" s="217"/>
      <c r="C522" s="217"/>
      <c r="D522" s="217"/>
      <c r="E522" s="167"/>
      <c r="F522" s="217"/>
      <c r="G522" s="216"/>
      <c r="H522" s="217"/>
      <c r="I522" s="216"/>
      <c r="J522" s="216"/>
      <c r="K522" s="219"/>
      <c r="L522" s="218"/>
      <c r="M522" s="220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17"/>
      <c r="AD522" s="217"/>
      <c r="AE522" s="217"/>
      <c r="AF522" s="217"/>
    </row>
    <row r="523">
      <c r="A523" s="217"/>
      <c r="B523" s="217"/>
      <c r="C523" s="217"/>
      <c r="D523" s="217"/>
      <c r="E523" s="167"/>
      <c r="F523" s="217"/>
      <c r="G523" s="216"/>
      <c r="H523" s="217"/>
      <c r="I523" s="216"/>
      <c r="J523" s="216"/>
      <c r="K523" s="219"/>
      <c r="L523" s="218"/>
      <c r="M523" s="220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17"/>
      <c r="AD523" s="217"/>
      <c r="AE523" s="217"/>
      <c r="AF523" s="217"/>
    </row>
    <row r="524">
      <c r="A524" s="217"/>
      <c r="B524" s="217"/>
      <c r="C524" s="217"/>
      <c r="D524" s="217"/>
      <c r="E524" s="167"/>
      <c r="F524" s="217"/>
      <c r="G524" s="216"/>
      <c r="H524" s="217"/>
      <c r="I524" s="216"/>
      <c r="J524" s="216"/>
      <c r="K524" s="219"/>
      <c r="L524" s="218"/>
      <c r="M524" s="220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17"/>
      <c r="AD524" s="217"/>
      <c r="AE524" s="217"/>
      <c r="AF524" s="217"/>
    </row>
    <row r="525">
      <c r="A525" s="217"/>
      <c r="B525" s="217"/>
      <c r="C525" s="217"/>
      <c r="D525" s="217"/>
      <c r="E525" s="167"/>
      <c r="F525" s="217"/>
      <c r="G525" s="216"/>
      <c r="H525" s="217"/>
      <c r="I525" s="216"/>
      <c r="J525" s="216"/>
      <c r="K525" s="219"/>
      <c r="L525" s="218"/>
      <c r="M525" s="220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17"/>
      <c r="AD525" s="217"/>
      <c r="AE525" s="217"/>
      <c r="AF525" s="217"/>
    </row>
    <row r="526">
      <c r="A526" s="217"/>
      <c r="B526" s="217"/>
      <c r="C526" s="217"/>
      <c r="D526" s="217"/>
      <c r="E526" s="167"/>
      <c r="F526" s="217"/>
      <c r="G526" s="216"/>
      <c r="H526" s="217"/>
      <c r="I526" s="216"/>
      <c r="J526" s="216"/>
      <c r="K526" s="219"/>
      <c r="L526" s="218"/>
      <c r="M526" s="220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  <c r="AE526" s="217"/>
      <c r="AF526" s="217"/>
    </row>
    <row r="527">
      <c r="A527" s="217"/>
      <c r="B527" s="217"/>
      <c r="C527" s="217"/>
      <c r="D527" s="217"/>
      <c r="E527" s="167"/>
      <c r="F527" s="217"/>
      <c r="G527" s="216"/>
      <c r="H527" s="217"/>
      <c r="I527" s="216"/>
      <c r="J527" s="216"/>
      <c r="K527" s="219"/>
      <c r="L527" s="218"/>
      <c r="M527" s="220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  <c r="AE527" s="217"/>
      <c r="AF527" s="217"/>
    </row>
    <row r="528">
      <c r="A528" s="217"/>
      <c r="B528" s="217"/>
      <c r="C528" s="217"/>
      <c r="D528" s="217"/>
      <c r="E528" s="167"/>
      <c r="F528" s="217"/>
      <c r="G528" s="216"/>
      <c r="H528" s="217"/>
      <c r="I528" s="216"/>
      <c r="J528" s="216"/>
      <c r="K528" s="219"/>
      <c r="L528" s="218"/>
      <c r="M528" s="220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  <c r="AE528" s="217"/>
      <c r="AF528" s="217"/>
    </row>
    <row r="529">
      <c r="A529" s="217"/>
      <c r="B529" s="217"/>
      <c r="C529" s="217"/>
      <c r="D529" s="217"/>
      <c r="E529" s="167"/>
      <c r="F529" s="217"/>
      <c r="G529" s="216"/>
      <c r="H529" s="217"/>
      <c r="I529" s="216"/>
      <c r="J529" s="216"/>
      <c r="K529" s="219"/>
      <c r="L529" s="218"/>
      <c r="M529" s="220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17"/>
      <c r="AD529" s="217"/>
      <c r="AE529" s="217"/>
      <c r="AF529" s="217"/>
    </row>
    <row r="530">
      <c r="A530" s="217"/>
      <c r="B530" s="217"/>
      <c r="C530" s="217"/>
      <c r="D530" s="217"/>
      <c r="E530" s="167"/>
      <c r="F530" s="217"/>
      <c r="G530" s="216"/>
      <c r="H530" s="217"/>
      <c r="I530" s="216"/>
      <c r="J530" s="216"/>
      <c r="K530" s="219"/>
      <c r="L530" s="218"/>
      <c r="M530" s="220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  <c r="AE530" s="217"/>
      <c r="AF530" s="217"/>
    </row>
    <row r="531">
      <c r="A531" s="217"/>
      <c r="B531" s="217"/>
      <c r="C531" s="217"/>
      <c r="D531" s="217"/>
      <c r="E531" s="167"/>
      <c r="F531" s="217"/>
      <c r="G531" s="216"/>
      <c r="H531" s="217"/>
      <c r="I531" s="216"/>
      <c r="J531" s="216"/>
      <c r="K531" s="219"/>
      <c r="L531" s="218"/>
      <c r="M531" s="220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17"/>
      <c r="AD531" s="217"/>
      <c r="AE531" s="217"/>
      <c r="AF531" s="217"/>
    </row>
    <row r="532">
      <c r="A532" s="217"/>
      <c r="B532" s="217"/>
      <c r="C532" s="217"/>
      <c r="D532" s="217"/>
      <c r="E532" s="167"/>
      <c r="F532" s="217"/>
      <c r="G532" s="216"/>
      <c r="H532" s="217"/>
      <c r="I532" s="216"/>
      <c r="J532" s="216"/>
      <c r="K532" s="219"/>
      <c r="L532" s="218"/>
      <c r="M532" s="220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17"/>
      <c r="AD532" s="217"/>
      <c r="AE532" s="217"/>
      <c r="AF532" s="217"/>
    </row>
    <row r="533">
      <c r="A533" s="217"/>
      <c r="B533" s="217"/>
      <c r="C533" s="217"/>
      <c r="D533" s="217"/>
      <c r="E533" s="167"/>
      <c r="F533" s="217"/>
      <c r="G533" s="216"/>
      <c r="H533" s="217"/>
      <c r="I533" s="216"/>
      <c r="J533" s="216"/>
      <c r="K533" s="219"/>
      <c r="L533" s="218"/>
      <c r="M533" s="220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17"/>
      <c r="AD533" s="217"/>
      <c r="AE533" s="217"/>
      <c r="AF533" s="217"/>
    </row>
    <row r="534">
      <c r="A534" s="217"/>
      <c r="B534" s="217"/>
      <c r="C534" s="217"/>
      <c r="D534" s="217"/>
      <c r="E534" s="167"/>
      <c r="F534" s="217"/>
      <c r="G534" s="216"/>
      <c r="H534" s="217"/>
      <c r="I534" s="216"/>
      <c r="J534" s="216"/>
      <c r="K534" s="219"/>
      <c r="L534" s="218"/>
      <c r="M534" s="220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17"/>
      <c r="AD534" s="217"/>
      <c r="AE534" s="217"/>
      <c r="AF534" s="217"/>
    </row>
    <row r="535">
      <c r="A535" s="217"/>
      <c r="B535" s="217"/>
      <c r="C535" s="217"/>
      <c r="D535" s="217"/>
      <c r="E535" s="167"/>
      <c r="F535" s="217"/>
      <c r="G535" s="216"/>
      <c r="H535" s="217"/>
      <c r="I535" s="216"/>
      <c r="J535" s="216"/>
      <c r="K535" s="219"/>
      <c r="L535" s="218"/>
      <c r="M535" s="220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17"/>
      <c r="AD535" s="217"/>
      <c r="AE535" s="217"/>
      <c r="AF535" s="217"/>
    </row>
    <row r="536">
      <c r="A536" s="217"/>
      <c r="B536" s="217"/>
      <c r="C536" s="217"/>
      <c r="D536" s="217"/>
      <c r="E536" s="167"/>
      <c r="F536" s="217"/>
      <c r="G536" s="216"/>
      <c r="H536" s="217"/>
      <c r="I536" s="216"/>
      <c r="J536" s="216"/>
      <c r="K536" s="219"/>
      <c r="L536" s="218"/>
      <c r="M536" s="220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17"/>
      <c r="AD536" s="217"/>
      <c r="AE536" s="217"/>
      <c r="AF536" s="217"/>
    </row>
    <row r="537">
      <c r="A537" s="217"/>
      <c r="B537" s="217"/>
      <c r="C537" s="217"/>
      <c r="D537" s="217"/>
      <c r="E537" s="167"/>
      <c r="F537" s="217"/>
      <c r="G537" s="216"/>
      <c r="H537" s="217"/>
      <c r="I537" s="216"/>
      <c r="J537" s="216"/>
      <c r="K537" s="219"/>
      <c r="L537" s="218"/>
      <c r="M537" s="220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17"/>
      <c r="AD537" s="217"/>
      <c r="AE537" s="217"/>
      <c r="AF537" s="217"/>
    </row>
    <row r="538">
      <c r="A538" s="217"/>
      <c r="B538" s="217"/>
      <c r="C538" s="217"/>
      <c r="D538" s="217"/>
      <c r="E538" s="167"/>
      <c r="F538" s="217"/>
      <c r="G538" s="216"/>
      <c r="H538" s="217"/>
      <c r="I538" s="216"/>
      <c r="J538" s="216"/>
      <c r="K538" s="219"/>
      <c r="L538" s="218"/>
      <c r="M538" s="220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17"/>
      <c r="AD538" s="217"/>
      <c r="AE538" s="217"/>
      <c r="AF538" s="217"/>
    </row>
    <row r="539">
      <c r="A539" s="217"/>
      <c r="B539" s="217"/>
      <c r="C539" s="217"/>
      <c r="D539" s="217"/>
      <c r="E539" s="167"/>
      <c r="F539" s="217"/>
      <c r="G539" s="216"/>
      <c r="H539" s="217"/>
      <c r="I539" s="216"/>
      <c r="J539" s="216"/>
      <c r="K539" s="219"/>
      <c r="L539" s="218"/>
      <c r="M539" s="220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17"/>
      <c r="AD539" s="217"/>
      <c r="AE539" s="217"/>
      <c r="AF539" s="217"/>
    </row>
    <row r="540">
      <c r="A540" s="217"/>
      <c r="B540" s="217"/>
      <c r="C540" s="217"/>
      <c r="D540" s="217"/>
      <c r="E540" s="167"/>
      <c r="F540" s="217"/>
      <c r="G540" s="216"/>
      <c r="H540" s="217"/>
      <c r="I540" s="216"/>
      <c r="J540" s="216"/>
      <c r="K540" s="219"/>
      <c r="L540" s="218"/>
      <c r="M540" s="220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17"/>
      <c r="AD540" s="217"/>
      <c r="AE540" s="217"/>
      <c r="AF540" s="217"/>
    </row>
    <row r="541">
      <c r="A541" s="217"/>
      <c r="B541" s="217"/>
      <c r="C541" s="217"/>
      <c r="D541" s="217"/>
      <c r="E541" s="167"/>
      <c r="F541" s="217"/>
      <c r="G541" s="216"/>
      <c r="H541" s="217"/>
      <c r="I541" s="216"/>
      <c r="J541" s="216"/>
      <c r="K541" s="219"/>
      <c r="L541" s="218"/>
      <c r="M541" s="220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17"/>
      <c r="AD541" s="217"/>
      <c r="AE541" s="217"/>
      <c r="AF541" s="217"/>
    </row>
    <row r="542">
      <c r="A542" s="217"/>
      <c r="B542" s="217"/>
      <c r="C542" s="217"/>
      <c r="D542" s="217"/>
      <c r="E542" s="167"/>
      <c r="F542" s="217"/>
      <c r="G542" s="216"/>
      <c r="H542" s="217"/>
      <c r="I542" s="216"/>
      <c r="J542" s="216"/>
      <c r="K542" s="219"/>
      <c r="L542" s="218"/>
      <c r="M542" s="220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17"/>
      <c r="AD542" s="217"/>
      <c r="AE542" s="217"/>
      <c r="AF542" s="217"/>
    </row>
    <row r="543">
      <c r="A543" s="217"/>
      <c r="B543" s="217"/>
      <c r="C543" s="217"/>
      <c r="D543" s="217"/>
      <c r="E543" s="167"/>
      <c r="F543" s="217"/>
      <c r="G543" s="216"/>
      <c r="H543" s="217"/>
      <c r="I543" s="216"/>
      <c r="J543" s="216"/>
      <c r="K543" s="219"/>
      <c r="L543" s="218"/>
      <c r="M543" s="220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17"/>
      <c r="AD543" s="217"/>
      <c r="AE543" s="217"/>
      <c r="AF543" s="217"/>
    </row>
    <row r="544">
      <c r="A544" s="217"/>
      <c r="B544" s="217"/>
      <c r="C544" s="217"/>
      <c r="D544" s="217"/>
      <c r="E544" s="167"/>
      <c r="F544" s="217"/>
      <c r="G544" s="216"/>
      <c r="H544" s="217"/>
      <c r="I544" s="216"/>
      <c r="J544" s="216"/>
      <c r="K544" s="219"/>
      <c r="L544" s="218"/>
      <c r="M544" s="220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17"/>
      <c r="AD544" s="217"/>
      <c r="AE544" s="217"/>
      <c r="AF544" s="217"/>
    </row>
    <row r="545">
      <c r="A545" s="217"/>
      <c r="B545" s="217"/>
      <c r="C545" s="217"/>
      <c r="D545" s="217"/>
      <c r="E545" s="167"/>
      <c r="F545" s="217"/>
      <c r="G545" s="216"/>
      <c r="H545" s="217"/>
      <c r="I545" s="216"/>
      <c r="J545" s="216"/>
      <c r="K545" s="219"/>
      <c r="L545" s="218"/>
      <c r="M545" s="220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17"/>
      <c r="AD545" s="217"/>
      <c r="AE545" s="217"/>
      <c r="AF545" s="217"/>
    </row>
    <row r="546">
      <c r="A546" s="217"/>
      <c r="B546" s="217"/>
      <c r="C546" s="217"/>
      <c r="D546" s="217"/>
      <c r="E546" s="167"/>
      <c r="F546" s="217"/>
      <c r="G546" s="216"/>
      <c r="H546" s="217"/>
      <c r="I546" s="216"/>
      <c r="J546" s="216"/>
      <c r="K546" s="219"/>
      <c r="L546" s="218"/>
      <c r="M546" s="220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  <c r="AE546" s="217"/>
      <c r="AF546" s="217"/>
    </row>
    <row r="547">
      <c r="A547" s="217"/>
      <c r="B547" s="217"/>
      <c r="C547" s="217"/>
      <c r="D547" s="217"/>
      <c r="E547" s="167"/>
      <c r="F547" s="217"/>
      <c r="G547" s="216"/>
      <c r="H547" s="217"/>
      <c r="I547" s="216"/>
      <c r="J547" s="216"/>
      <c r="K547" s="219"/>
      <c r="L547" s="218"/>
      <c r="M547" s="220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17"/>
      <c r="AD547" s="217"/>
      <c r="AE547" s="217"/>
      <c r="AF547" s="217"/>
    </row>
    <row r="548">
      <c r="A548" s="217"/>
      <c r="B548" s="217"/>
      <c r="C548" s="217"/>
      <c r="D548" s="217"/>
      <c r="E548" s="167"/>
      <c r="F548" s="217"/>
      <c r="G548" s="216"/>
      <c r="H548" s="217"/>
      <c r="I548" s="216"/>
      <c r="J548" s="216"/>
      <c r="K548" s="219"/>
      <c r="L548" s="218"/>
      <c r="M548" s="220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17"/>
      <c r="AD548" s="217"/>
      <c r="AE548" s="217"/>
      <c r="AF548" s="217"/>
    </row>
    <row r="549">
      <c r="A549" s="217"/>
      <c r="B549" s="217"/>
      <c r="C549" s="217"/>
      <c r="D549" s="217"/>
      <c r="E549" s="167"/>
      <c r="F549" s="217"/>
      <c r="G549" s="216"/>
      <c r="H549" s="217"/>
      <c r="I549" s="216"/>
      <c r="J549" s="216"/>
      <c r="K549" s="219"/>
      <c r="L549" s="218"/>
      <c r="M549" s="220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17"/>
      <c r="AD549" s="217"/>
      <c r="AE549" s="217"/>
      <c r="AF549" s="217"/>
    </row>
    <row r="550">
      <c r="A550" s="217"/>
      <c r="B550" s="217"/>
      <c r="C550" s="217"/>
      <c r="D550" s="217"/>
      <c r="E550" s="167"/>
      <c r="F550" s="217"/>
      <c r="G550" s="216"/>
      <c r="H550" s="217"/>
      <c r="I550" s="216"/>
      <c r="J550" s="216"/>
      <c r="K550" s="219"/>
      <c r="L550" s="218"/>
      <c r="M550" s="220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17"/>
      <c r="AD550" s="217"/>
      <c r="AE550" s="217"/>
      <c r="AF550" s="217"/>
    </row>
    <row r="551">
      <c r="A551" s="217"/>
      <c r="B551" s="217"/>
      <c r="C551" s="217"/>
      <c r="D551" s="217"/>
      <c r="E551" s="167"/>
      <c r="F551" s="217"/>
      <c r="G551" s="216"/>
      <c r="H551" s="217"/>
      <c r="I551" s="216"/>
      <c r="J551" s="216"/>
      <c r="K551" s="219"/>
      <c r="L551" s="218"/>
      <c r="M551" s="220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17"/>
      <c r="AD551" s="217"/>
      <c r="AE551" s="217"/>
      <c r="AF551" s="217"/>
    </row>
    <row r="552">
      <c r="A552" s="217"/>
      <c r="B552" s="217"/>
      <c r="C552" s="217"/>
      <c r="D552" s="217"/>
      <c r="E552" s="167"/>
      <c r="F552" s="217"/>
      <c r="G552" s="216"/>
      <c r="H552" s="217"/>
      <c r="I552" s="216"/>
      <c r="J552" s="216"/>
      <c r="K552" s="219"/>
      <c r="L552" s="218"/>
      <c r="M552" s="220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17"/>
      <c r="AD552" s="217"/>
      <c r="AE552" s="217"/>
      <c r="AF552" s="217"/>
    </row>
    <row r="553">
      <c r="A553" s="217"/>
      <c r="B553" s="217"/>
      <c r="C553" s="217"/>
      <c r="D553" s="217"/>
      <c r="E553" s="167"/>
      <c r="F553" s="217"/>
      <c r="G553" s="216"/>
      <c r="H553" s="217"/>
      <c r="I553" s="216"/>
      <c r="J553" s="216"/>
      <c r="K553" s="219"/>
      <c r="L553" s="218"/>
      <c r="M553" s="220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  <c r="AE553" s="217"/>
      <c r="AF553" s="217"/>
    </row>
    <row r="554">
      <c r="A554" s="217"/>
      <c r="B554" s="217"/>
      <c r="C554" s="217"/>
      <c r="D554" s="217"/>
      <c r="E554" s="167"/>
      <c r="F554" s="217"/>
      <c r="G554" s="216"/>
      <c r="H554" s="217"/>
      <c r="I554" s="216"/>
      <c r="J554" s="216"/>
      <c r="K554" s="219"/>
      <c r="L554" s="218"/>
      <c r="M554" s="220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17"/>
      <c r="AD554" s="217"/>
      <c r="AE554" s="217"/>
      <c r="AF554" s="217"/>
    </row>
    <row r="555">
      <c r="A555" s="217"/>
      <c r="B555" s="217"/>
      <c r="C555" s="217"/>
      <c r="D555" s="217"/>
      <c r="E555" s="167"/>
      <c r="F555" s="217"/>
      <c r="G555" s="216"/>
      <c r="H555" s="217"/>
      <c r="I555" s="216"/>
      <c r="J555" s="216"/>
      <c r="K555" s="219"/>
      <c r="L555" s="218"/>
      <c r="M555" s="220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17"/>
      <c r="AD555" s="217"/>
      <c r="AE555" s="217"/>
      <c r="AF555" s="217"/>
    </row>
    <row r="556">
      <c r="A556" s="217"/>
      <c r="B556" s="217"/>
      <c r="C556" s="217"/>
      <c r="D556" s="217"/>
      <c r="E556" s="167"/>
      <c r="F556" s="217"/>
      <c r="G556" s="216"/>
      <c r="H556" s="217"/>
      <c r="I556" s="216"/>
      <c r="J556" s="216"/>
      <c r="K556" s="219"/>
      <c r="L556" s="218"/>
      <c r="M556" s="220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17"/>
      <c r="AD556" s="217"/>
      <c r="AE556" s="217"/>
      <c r="AF556" s="217"/>
    </row>
    <row r="557">
      <c r="A557" s="217"/>
      <c r="B557" s="217"/>
      <c r="C557" s="217"/>
      <c r="D557" s="217"/>
      <c r="E557" s="167"/>
      <c r="F557" s="217"/>
      <c r="G557" s="216"/>
      <c r="H557" s="217"/>
      <c r="I557" s="216"/>
      <c r="J557" s="216"/>
      <c r="K557" s="219"/>
      <c r="L557" s="218"/>
      <c r="M557" s="220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17"/>
      <c r="AD557" s="217"/>
      <c r="AE557" s="217"/>
      <c r="AF557" s="217"/>
    </row>
    <row r="558">
      <c r="A558" s="217"/>
      <c r="B558" s="217"/>
      <c r="C558" s="217"/>
      <c r="D558" s="217"/>
      <c r="E558" s="167"/>
      <c r="F558" s="217"/>
      <c r="G558" s="216"/>
      <c r="H558" s="217"/>
      <c r="I558" s="216"/>
      <c r="J558" s="216"/>
      <c r="K558" s="219"/>
      <c r="L558" s="218"/>
      <c r="M558" s="220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17"/>
      <c r="AD558" s="217"/>
      <c r="AE558" s="217"/>
      <c r="AF558" s="217"/>
    </row>
    <row r="559">
      <c r="A559" s="217"/>
      <c r="B559" s="217"/>
      <c r="C559" s="217"/>
      <c r="D559" s="217"/>
      <c r="E559" s="167"/>
      <c r="F559" s="217"/>
      <c r="G559" s="216"/>
      <c r="H559" s="217"/>
      <c r="I559" s="216"/>
      <c r="J559" s="216"/>
      <c r="K559" s="219"/>
      <c r="L559" s="218"/>
      <c r="M559" s="220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17"/>
      <c r="AD559" s="217"/>
      <c r="AE559" s="217"/>
      <c r="AF559" s="217"/>
    </row>
    <row r="560">
      <c r="A560" s="217"/>
      <c r="B560" s="217"/>
      <c r="C560" s="217"/>
      <c r="D560" s="217"/>
      <c r="E560" s="167"/>
      <c r="F560" s="217"/>
      <c r="G560" s="216"/>
      <c r="H560" s="217"/>
      <c r="I560" s="216"/>
      <c r="J560" s="216"/>
      <c r="K560" s="219"/>
      <c r="L560" s="218"/>
      <c r="M560" s="220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  <c r="AE560" s="217"/>
      <c r="AF560" s="217"/>
    </row>
    <row r="561">
      <c r="A561" s="217"/>
      <c r="B561" s="217"/>
      <c r="C561" s="217"/>
      <c r="D561" s="217"/>
      <c r="E561" s="167"/>
      <c r="F561" s="217"/>
      <c r="G561" s="216"/>
      <c r="H561" s="217"/>
      <c r="I561" s="216"/>
      <c r="J561" s="216"/>
      <c r="K561" s="219"/>
      <c r="L561" s="218"/>
      <c r="M561" s="220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  <c r="AE561" s="217"/>
      <c r="AF561" s="217"/>
    </row>
    <row r="562">
      <c r="A562" s="217"/>
      <c r="B562" s="217"/>
      <c r="C562" s="217"/>
      <c r="D562" s="217"/>
      <c r="E562" s="167"/>
      <c r="F562" s="217"/>
      <c r="G562" s="216"/>
      <c r="H562" s="217"/>
      <c r="I562" s="216"/>
      <c r="J562" s="216"/>
      <c r="K562" s="219"/>
      <c r="L562" s="218"/>
      <c r="M562" s="220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17"/>
      <c r="AD562" s="217"/>
      <c r="AE562" s="217"/>
      <c r="AF562" s="217"/>
    </row>
    <row r="563">
      <c r="A563" s="217"/>
      <c r="B563" s="217"/>
      <c r="C563" s="217"/>
      <c r="D563" s="217"/>
      <c r="E563" s="167"/>
      <c r="F563" s="217"/>
      <c r="G563" s="216"/>
      <c r="H563" s="217"/>
      <c r="I563" s="216"/>
      <c r="J563" s="216"/>
      <c r="K563" s="219"/>
      <c r="L563" s="218"/>
      <c r="M563" s="220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17"/>
      <c r="AD563" s="217"/>
      <c r="AE563" s="217"/>
      <c r="AF563" s="217"/>
    </row>
    <row r="564">
      <c r="A564" s="217"/>
      <c r="B564" s="217"/>
      <c r="C564" s="217"/>
      <c r="D564" s="217"/>
      <c r="E564" s="167"/>
      <c r="F564" s="217"/>
      <c r="G564" s="216"/>
      <c r="H564" s="217"/>
      <c r="I564" s="216"/>
      <c r="J564" s="216"/>
      <c r="K564" s="219"/>
      <c r="L564" s="218"/>
      <c r="M564" s="220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17"/>
      <c r="AD564" s="217"/>
      <c r="AE564" s="217"/>
      <c r="AF564" s="217"/>
    </row>
    <row r="565">
      <c r="A565" s="217"/>
      <c r="B565" s="217"/>
      <c r="C565" s="217"/>
      <c r="D565" s="217"/>
      <c r="E565" s="167"/>
      <c r="F565" s="217"/>
      <c r="G565" s="216"/>
      <c r="H565" s="217"/>
      <c r="I565" s="216"/>
      <c r="J565" s="216"/>
      <c r="K565" s="219"/>
      <c r="L565" s="218"/>
      <c r="M565" s="220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17"/>
      <c r="AD565" s="217"/>
      <c r="AE565" s="217"/>
      <c r="AF565" s="217"/>
    </row>
    <row r="566">
      <c r="A566" s="217"/>
      <c r="B566" s="217"/>
      <c r="C566" s="217"/>
      <c r="D566" s="217"/>
      <c r="E566" s="167"/>
      <c r="F566" s="217"/>
      <c r="G566" s="216"/>
      <c r="H566" s="217"/>
      <c r="I566" s="216"/>
      <c r="J566" s="216"/>
      <c r="K566" s="219"/>
      <c r="L566" s="218"/>
      <c r="M566" s="220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17"/>
      <c r="AD566" s="217"/>
      <c r="AE566" s="217"/>
      <c r="AF566" s="217"/>
    </row>
    <row r="567">
      <c r="A567" s="217"/>
      <c r="B567" s="217"/>
      <c r="C567" s="217"/>
      <c r="D567" s="217"/>
      <c r="E567" s="167"/>
      <c r="F567" s="217"/>
      <c r="G567" s="216"/>
      <c r="H567" s="217"/>
      <c r="I567" s="216"/>
      <c r="J567" s="216"/>
      <c r="K567" s="219"/>
      <c r="L567" s="218"/>
      <c r="M567" s="220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17"/>
      <c r="AD567" s="217"/>
      <c r="AE567" s="217"/>
      <c r="AF567" s="217"/>
    </row>
    <row r="568">
      <c r="A568" s="217"/>
      <c r="B568" s="217"/>
      <c r="C568" s="217"/>
      <c r="D568" s="217"/>
      <c r="E568" s="167"/>
      <c r="F568" s="217"/>
      <c r="G568" s="216"/>
      <c r="H568" s="217"/>
      <c r="I568" s="216"/>
      <c r="J568" s="216"/>
      <c r="K568" s="219"/>
      <c r="L568" s="218"/>
      <c r="M568" s="220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17"/>
      <c r="AD568" s="217"/>
      <c r="AE568" s="217"/>
      <c r="AF568" s="217"/>
    </row>
    <row r="569">
      <c r="A569" s="217"/>
      <c r="B569" s="217"/>
      <c r="C569" s="217"/>
      <c r="D569" s="217"/>
      <c r="E569" s="167"/>
      <c r="F569" s="217"/>
      <c r="G569" s="216"/>
      <c r="H569" s="217"/>
      <c r="I569" s="216"/>
      <c r="J569" s="216"/>
      <c r="K569" s="219"/>
      <c r="L569" s="218"/>
      <c r="M569" s="220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17"/>
      <c r="AD569" s="217"/>
      <c r="AE569" s="217"/>
      <c r="AF569" s="217"/>
    </row>
    <row r="570">
      <c r="A570" s="217"/>
      <c r="B570" s="217"/>
      <c r="C570" s="217"/>
      <c r="D570" s="217"/>
      <c r="E570" s="167"/>
      <c r="F570" s="217"/>
      <c r="G570" s="216"/>
      <c r="H570" s="217"/>
      <c r="I570" s="216"/>
      <c r="J570" s="216"/>
      <c r="K570" s="219"/>
      <c r="L570" s="218"/>
      <c r="M570" s="220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17"/>
      <c r="AD570" s="217"/>
      <c r="AE570" s="217"/>
      <c r="AF570" s="217"/>
    </row>
    <row r="571">
      <c r="A571" s="217"/>
      <c r="B571" s="217"/>
      <c r="C571" s="217"/>
      <c r="D571" s="217"/>
      <c r="E571" s="167"/>
      <c r="F571" s="217"/>
      <c r="G571" s="216"/>
      <c r="H571" s="217"/>
      <c r="I571" s="216"/>
      <c r="J571" s="216"/>
      <c r="K571" s="219"/>
      <c r="L571" s="218"/>
      <c r="M571" s="220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17"/>
      <c r="AD571" s="217"/>
      <c r="AE571" s="217"/>
      <c r="AF571" s="217"/>
    </row>
    <row r="572">
      <c r="A572" s="217"/>
      <c r="B572" s="217"/>
      <c r="C572" s="217"/>
      <c r="D572" s="217"/>
      <c r="E572" s="167"/>
      <c r="F572" s="217"/>
      <c r="G572" s="216"/>
      <c r="H572" s="217"/>
      <c r="I572" s="216"/>
      <c r="J572" s="216"/>
      <c r="K572" s="219"/>
      <c r="L572" s="218"/>
      <c r="M572" s="220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17"/>
      <c r="AD572" s="217"/>
      <c r="AE572" s="217"/>
      <c r="AF572" s="217"/>
    </row>
    <row r="573">
      <c r="A573" s="217"/>
      <c r="B573" s="217"/>
      <c r="C573" s="217"/>
      <c r="D573" s="217"/>
      <c r="E573" s="167"/>
      <c r="F573" s="217"/>
      <c r="G573" s="216"/>
      <c r="H573" s="217"/>
      <c r="I573" s="216"/>
      <c r="J573" s="216"/>
      <c r="K573" s="219"/>
      <c r="L573" s="218"/>
      <c r="M573" s="220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17"/>
      <c r="AD573" s="217"/>
      <c r="AE573" s="217"/>
      <c r="AF573" s="217"/>
    </row>
    <row r="574">
      <c r="A574" s="217"/>
      <c r="B574" s="217"/>
      <c r="C574" s="217"/>
      <c r="D574" s="217"/>
      <c r="E574" s="167"/>
      <c r="F574" s="217"/>
      <c r="G574" s="216"/>
      <c r="H574" s="217"/>
      <c r="I574" s="216"/>
      <c r="J574" s="216"/>
      <c r="K574" s="219"/>
      <c r="L574" s="218"/>
      <c r="M574" s="220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17"/>
      <c r="AD574" s="217"/>
      <c r="AE574" s="217"/>
      <c r="AF574" s="217"/>
    </row>
    <row r="575">
      <c r="A575" s="217"/>
      <c r="B575" s="217"/>
      <c r="C575" s="217"/>
      <c r="D575" s="217"/>
      <c r="E575" s="167"/>
      <c r="F575" s="217"/>
      <c r="G575" s="216"/>
      <c r="H575" s="217"/>
      <c r="I575" s="216"/>
      <c r="J575" s="216"/>
      <c r="K575" s="219"/>
      <c r="L575" s="218"/>
      <c r="M575" s="220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17"/>
      <c r="AD575" s="217"/>
      <c r="AE575" s="217"/>
      <c r="AF575" s="217"/>
    </row>
    <row r="576">
      <c r="A576" s="217"/>
      <c r="B576" s="217"/>
      <c r="C576" s="217"/>
      <c r="D576" s="217"/>
      <c r="E576" s="167"/>
      <c r="F576" s="217"/>
      <c r="G576" s="216"/>
      <c r="H576" s="217"/>
      <c r="I576" s="216"/>
      <c r="J576" s="216"/>
      <c r="K576" s="219"/>
      <c r="L576" s="218"/>
      <c r="M576" s="220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17"/>
      <c r="AD576" s="217"/>
      <c r="AE576" s="217"/>
      <c r="AF576" s="217"/>
    </row>
    <row r="577">
      <c r="A577" s="217"/>
      <c r="B577" s="217"/>
      <c r="C577" s="217"/>
      <c r="D577" s="217"/>
      <c r="E577" s="167"/>
      <c r="F577" s="217"/>
      <c r="G577" s="216"/>
      <c r="H577" s="217"/>
      <c r="I577" s="216"/>
      <c r="J577" s="216"/>
      <c r="K577" s="219"/>
      <c r="L577" s="218"/>
      <c r="M577" s="220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17"/>
      <c r="AD577" s="217"/>
      <c r="AE577" s="217"/>
      <c r="AF577" s="217"/>
    </row>
    <row r="578">
      <c r="A578" s="217"/>
      <c r="B578" s="217"/>
      <c r="C578" s="217"/>
      <c r="D578" s="217"/>
      <c r="E578" s="167"/>
      <c r="F578" s="217"/>
      <c r="G578" s="216"/>
      <c r="H578" s="217"/>
      <c r="I578" s="216"/>
      <c r="J578" s="216"/>
      <c r="K578" s="219"/>
      <c r="L578" s="218"/>
      <c r="M578" s="220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17"/>
      <c r="AD578" s="217"/>
      <c r="AE578" s="217"/>
      <c r="AF578" s="217"/>
    </row>
    <row r="579">
      <c r="A579" s="217"/>
      <c r="B579" s="217"/>
      <c r="C579" s="217"/>
      <c r="D579" s="217"/>
      <c r="E579" s="167"/>
      <c r="F579" s="217"/>
      <c r="G579" s="216"/>
      <c r="H579" s="217"/>
      <c r="I579" s="216"/>
      <c r="J579" s="216"/>
      <c r="K579" s="219"/>
      <c r="L579" s="218"/>
      <c r="M579" s="220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17"/>
      <c r="AD579" s="217"/>
      <c r="AE579" s="217"/>
      <c r="AF579" s="217"/>
    </row>
    <row r="580">
      <c r="A580" s="217"/>
      <c r="B580" s="217"/>
      <c r="C580" s="217"/>
      <c r="D580" s="217"/>
      <c r="E580" s="167"/>
      <c r="F580" s="217"/>
      <c r="G580" s="216"/>
      <c r="H580" s="217"/>
      <c r="I580" s="216"/>
      <c r="J580" s="216"/>
      <c r="K580" s="219"/>
      <c r="L580" s="218"/>
      <c r="M580" s="220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17"/>
      <c r="AD580" s="217"/>
      <c r="AE580" s="217"/>
      <c r="AF580" s="217"/>
    </row>
    <row r="581">
      <c r="A581" s="217"/>
      <c r="B581" s="217"/>
      <c r="C581" s="217"/>
      <c r="D581" s="217"/>
      <c r="E581" s="167"/>
      <c r="F581" s="217"/>
      <c r="G581" s="216"/>
      <c r="H581" s="217"/>
      <c r="I581" s="216"/>
      <c r="J581" s="216"/>
      <c r="K581" s="219"/>
      <c r="L581" s="218"/>
      <c r="M581" s="220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17"/>
      <c r="AD581" s="217"/>
      <c r="AE581" s="217"/>
      <c r="AF581" s="217"/>
    </row>
    <row r="582">
      <c r="A582" s="217"/>
      <c r="B582" s="217"/>
      <c r="C582" s="217"/>
      <c r="D582" s="217"/>
      <c r="E582" s="167"/>
      <c r="F582" s="217"/>
      <c r="G582" s="216"/>
      <c r="H582" s="217"/>
      <c r="I582" s="216"/>
      <c r="J582" s="216"/>
      <c r="K582" s="219"/>
      <c r="L582" s="218"/>
      <c r="M582" s="220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17"/>
      <c r="AD582" s="217"/>
      <c r="AE582" s="217"/>
      <c r="AF582" s="217"/>
    </row>
    <row r="583">
      <c r="A583" s="217"/>
      <c r="B583" s="217"/>
      <c r="C583" s="217"/>
      <c r="D583" s="217"/>
      <c r="E583" s="167"/>
      <c r="F583" s="217"/>
      <c r="G583" s="216"/>
      <c r="H583" s="217"/>
      <c r="I583" s="216"/>
      <c r="J583" s="216"/>
      <c r="K583" s="219"/>
      <c r="L583" s="218"/>
      <c r="M583" s="220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17"/>
      <c r="AD583" s="217"/>
      <c r="AE583" s="217"/>
      <c r="AF583" s="217"/>
    </row>
    <row r="584">
      <c r="A584" s="217"/>
      <c r="B584" s="217"/>
      <c r="C584" s="217"/>
      <c r="D584" s="217"/>
      <c r="E584" s="167"/>
      <c r="F584" s="217"/>
      <c r="G584" s="216"/>
      <c r="H584" s="217"/>
      <c r="I584" s="216"/>
      <c r="J584" s="216"/>
      <c r="K584" s="219"/>
      <c r="L584" s="218"/>
      <c r="M584" s="220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17"/>
      <c r="AD584" s="217"/>
      <c r="AE584" s="217"/>
      <c r="AF584" s="217"/>
    </row>
    <row r="585">
      <c r="A585" s="217"/>
      <c r="B585" s="217"/>
      <c r="C585" s="217"/>
      <c r="D585" s="217"/>
      <c r="E585" s="167"/>
      <c r="F585" s="217"/>
      <c r="G585" s="216"/>
      <c r="H585" s="217"/>
      <c r="I585" s="216"/>
      <c r="J585" s="216"/>
      <c r="K585" s="219"/>
      <c r="L585" s="218"/>
      <c r="M585" s="220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17"/>
      <c r="AD585" s="217"/>
      <c r="AE585" s="217"/>
      <c r="AF585" s="217"/>
    </row>
    <row r="586">
      <c r="A586" s="217"/>
      <c r="B586" s="217"/>
      <c r="C586" s="217"/>
      <c r="D586" s="217"/>
      <c r="E586" s="167"/>
      <c r="F586" s="217"/>
      <c r="G586" s="216"/>
      <c r="H586" s="217"/>
      <c r="I586" s="216"/>
      <c r="J586" s="216"/>
      <c r="K586" s="219"/>
      <c r="L586" s="218"/>
      <c r="M586" s="220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17"/>
      <c r="AD586" s="217"/>
      <c r="AE586" s="217"/>
      <c r="AF586" s="217"/>
    </row>
    <row r="587">
      <c r="A587" s="217"/>
      <c r="B587" s="217"/>
      <c r="C587" s="217"/>
      <c r="D587" s="217"/>
      <c r="E587" s="167"/>
      <c r="F587" s="217"/>
      <c r="G587" s="216"/>
      <c r="H587" s="217"/>
      <c r="I587" s="216"/>
      <c r="J587" s="216"/>
      <c r="K587" s="219"/>
      <c r="L587" s="218"/>
      <c r="M587" s="220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17"/>
      <c r="AD587" s="217"/>
      <c r="AE587" s="217"/>
      <c r="AF587" s="217"/>
    </row>
    <row r="588">
      <c r="A588" s="217"/>
      <c r="B588" s="217"/>
      <c r="C588" s="217"/>
      <c r="D588" s="217"/>
      <c r="E588" s="167"/>
      <c r="F588" s="217"/>
      <c r="G588" s="216"/>
      <c r="H588" s="217"/>
      <c r="I588" s="216"/>
      <c r="J588" s="216"/>
      <c r="K588" s="219"/>
      <c r="L588" s="218"/>
      <c r="M588" s="220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17"/>
      <c r="AD588" s="217"/>
      <c r="AE588" s="217"/>
      <c r="AF588" s="217"/>
    </row>
    <row r="589">
      <c r="A589" s="217"/>
      <c r="B589" s="217"/>
      <c r="C589" s="217"/>
      <c r="D589" s="217"/>
      <c r="E589" s="167"/>
      <c r="F589" s="217"/>
      <c r="G589" s="216"/>
      <c r="H589" s="217"/>
      <c r="I589" s="216"/>
      <c r="J589" s="216"/>
      <c r="K589" s="219"/>
      <c r="L589" s="218"/>
      <c r="M589" s="220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7"/>
      <c r="AD589" s="217"/>
      <c r="AE589" s="217"/>
      <c r="AF589" s="217"/>
    </row>
    <row r="590">
      <c r="A590" s="217"/>
      <c r="B590" s="217"/>
      <c r="C590" s="217"/>
      <c r="D590" s="217"/>
      <c r="E590" s="167"/>
      <c r="F590" s="217"/>
      <c r="G590" s="216"/>
      <c r="H590" s="217"/>
      <c r="I590" s="216"/>
      <c r="J590" s="216"/>
      <c r="K590" s="219"/>
      <c r="L590" s="218"/>
      <c r="M590" s="220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17"/>
      <c r="AD590" s="217"/>
      <c r="AE590" s="217"/>
      <c r="AF590" s="217"/>
    </row>
    <row r="591">
      <c r="A591" s="217"/>
      <c r="B591" s="217"/>
      <c r="C591" s="217"/>
      <c r="D591" s="217"/>
      <c r="E591" s="167"/>
      <c r="F591" s="217"/>
      <c r="G591" s="216"/>
      <c r="H591" s="217"/>
      <c r="I591" s="216"/>
      <c r="J591" s="216"/>
      <c r="K591" s="219"/>
      <c r="L591" s="218"/>
      <c r="M591" s="220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17"/>
      <c r="AD591" s="217"/>
      <c r="AE591" s="217"/>
      <c r="AF591" s="217"/>
    </row>
    <row r="592">
      <c r="A592" s="217"/>
      <c r="B592" s="217"/>
      <c r="C592" s="217"/>
      <c r="D592" s="217"/>
      <c r="E592" s="167"/>
      <c r="F592" s="217"/>
      <c r="G592" s="216"/>
      <c r="H592" s="217"/>
      <c r="I592" s="216"/>
      <c r="J592" s="216"/>
      <c r="K592" s="219"/>
      <c r="L592" s="218"/>
      <c r="M592" s="220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17"/>
      <c r="AD592" s="217"/>
      <c r="AE592" s="217"/>
      <c r="AF592" s="217"/>
    </row>
    <row r="593">
      <c r="A593" s="217"/>
      <c r="B593" s="217"/>
      <c r="C593" s="217"/>
      <c r="D593" s="217"/>
      <c r="E593" s="167"/>
      <c r="F593" s="217"/>
      <c r="G593" s="216"/>
      <c r="H593" s="217"/>
      <c r="I593" s="216"/>
      <c r="J593" s="216"/>
      <c r="K593" s="219"/>
      <c r="L593" s="218"/>
      <c r="M593" s="220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17"/>
      <c r="AD593" s="217"/>
      <c r="AE593" s="217"/>
      <c r="AF593" s="217"/>
    </row>
    <row r="594">
      <c r="A594" s="217"/>
      <c r="B594" s="217"/>
      <c r="C594" s="217"/>
      <c r="D594" s="217"/>
      <c r="E594" s="167"/>
      <c r="F594" s="217"/>
      <c r="G594" s="216"/>
      <c r="H594" s="217"/>
      <c r="I594" s="216"/>
      <c r="J594" s="216"/>
      <c r="K594" s="219"/>
      <c r="L594" s="218"/>
      <c r="M594" s="220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17"/>
      <c r="AD594" s="217"/>
      <c r="AE594" s="217"/>
      <c r="AF594" s="217"/>
    </row>
    <row r="595">
      <c r="A595" s="217"/>
      <c r="B595" s="217"/>
      <c r="C595" s="217"/>
      <c r="D595" s="217"/>
      <c r="E595" s="167"/>
      <c r="F595" s="217"/>
      <c r="G595" s="216"/>
      <c r="H595" s="217"/>
      <c r="I595" s="216"/>
      <c r="J595" s="216"/>
      <c r="K595" s="219"/>
      <c r="L595" s="218"/>
      <c r="M595" s="220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17"/>
      <c r="AD595" s="217"/>
      <c r="AE595" s="217"/>
      <c r="AF595" s="217"/>
    </row>
    <row r="596">
      <c r="A596" s="217"/>
      <c r="B596" s="217"/>
      <c r="C596" s="217"/>
      <c r="D596" s="217"/>
      <c r="E596" s="167"/>
      <c r="F596" s="217"/>
      <c r="G596" s="216"/>
      <c r="H596" s="217"/>
      <c r="I596" s="216"/>
      <c r="J596" s="216"/>
      <c r="K596" s="219"/>
      <c r="L596" s="218"/>
      <c r="M596" s="220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17"/>
      <c r="AD596" s="217"/>
      <c r="AE596" s="217"/>
      <c r="AF596" s="217"/>
    </row>
    <row r="597">
      <c r="A597" s="217"/>
      <c r="B597" s="217"/>
      <c r="C597" s="217"/>
      <c r="D597" s="217"/>
      <c r="E597" s="167"/>
      <c r="F597" s="217"/>
      <c r="G597" s="216"/>
      <c r="H597" s="217"/>
      <c r="I597" s="216"/>
      <c r="J597" s="216"/>
      <c r="K597" s="219"/>
      <c r="L597" s="218"/>
      <c r="M597" s="220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17"/>
      <c r="AD597" s="217"/>
      <c r="AE597" s="217"/>
      <c r="AF597" s="217"/>
    </row>
    <row r="598">
      <c r="A598" s="217"/>
      <c r="B598" s="217"/>
      <c r="C598" s="217"/>
      <c r="D598" s="217"/>
      <c r="E598" s="167"/>
      <c r="F598" s="217"/>
      <c r="G598" s="216"/>
      <c r="H598" s="217"/>
      <c r="I598" s="216"/>
      <c r="J598" s="216"/>
      <c r="K598" s="219"/>
      <c r="L598" s="218"/>
      <c r="M598" s="220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17"/>
      <c r="AD598" s="217"/>
      <c r="AE598" s="217"/>
      <c r="AF598" s="217"/>
    </row>
    <row r="599">
      <c r="A599" s="217"/>
      <c r="B599" s="217"/>
      <c r="C599" s="217"/>
      <c r="D599" s="217"/>
      <c r="E599" s="167"/>
      <c r="F599" s="217"/>
      <c r="G599" s="216"/>
      <c r="H599" s="217"/>
      <c r="I599" s="216"/>
      <c r="J599" s="216"/>
      <c r="K599" s="219"/>
      <c r="L599" s="218"/>
      <c r="M599" s="220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17"/>
      <c r="AD599" s="217"/>
      <c r="AE599" s="217"/>
      <c r="AF599" s="217"/>
    </row>
    <row r="600">
      <c r="A600" s="217"/>
      <c r="B600" s="217"/>
      <c r="C600" s="217"/>
      <c r="D600" s="217"/>
      <c r="E600" s="167"/>
      <c r="F600" s="217"/>
      <c r="G600" s="216"/>
      <c r="H600" s="217"/>
      <c r="I600" s="216"/>
      <c r="J600" s="216"/>
      <c r="K600" s="219"/>
      <c r="L600" s="218"/>
      <c r="M600" s="220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17"/>
      <c r="AD600" s="217"/>
      <c r="AE600" s="217"/>
      <c r="AF600" s="217"/>
    </row>
    <row r="601">
      <c r="A601" s="217"/>
      <c r="B601" s="217"/>
      <c r="C601" s="217"/>
      <c r="D601" s="217"/>
      <c r="E601" s="167"/>
      <c r="F601" s="217"/>
      <c r="G601" s="216"/>
      <c r="H601" s="217"/>
      <c r="I601" s="216"/>
      <c r="J601" s="216"/>
      <c r="K601" s="219"/>
      <c r="L601" s="218"/>
      <c r="M601" s="220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17"/>
      <c r="AD601" s="217"/>
      <c r="AE601" s="217"/>
      <c r="AF601" s="217"/>
    </row>
    <row r="602">
      <c r="A602" s="217"/>
      <c r="B602" s="217"/>
      <c r="C602" s="217"/>
      <c r="D602" s="217"/>
      <c r="E602" s="167"/>
      <c r="F602" s="217"/>
      <c r="G602" s="216"/>
      <c r="H602" s="217"/>
      <c r="I602" s="216"/>
      <c r="J602" s="216"/>
      <c r="K602" s="219"/>
      <c r="L602" s="218"/>
      <c r="M602" s="220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17"/>
      <c r="AD602" s="217"/>
      <c r="AE602" s="217"/>
      <c r="AF602" s="217"/>
    </row>
    <row r="603">
      <c r="A603" s="217"/>
      <c r="B603" s="217"/>
      <c r="C603" s="217"/>
      <c r="D603" s="217"/>
      <c r="E603" s="167"/>
      <c r="F603" s="217"/>
      <c r="G603" s="216"/>
      <c r="H603" s="217"/>
      <c r="I603" s="216"/>
      <c r="J603" s="216"/>
      <c r="K603" s="219"/>
      <c r="L603" s="218"/>
      <c r="M603" s="220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17"/>
      <c r="AD603" s="217"/>
      <c r="AE603" s="217"/>
      <c r="AF603" s="217"/>
    </row>
    <row r="604">
      <c r="A604" s="217"/>
      <c r="B604" s="217"/>
      <c r="C604" s="217"/>
      <c r="D604" s="217"/>
      <c r="E604" s="167"/>
      <c r="F604" s="217"/>
      <c r="G604" s="216"/>
      <c r="H604" s="217"/>
      <c r="I604" s="216"/>
      <c r="J604" s="216"/>
      <c r="K604" s="219"/>
      <c r="L604" s="218"/>
      <c r="M604" s="220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17"/>
      <c r="AD604" s="217"/>
      <c r="AE604" s="217"/>
      <c r="AF604" s="217"/>
    </row>
    <row r="605">
      <c r="A605" s="217"/>
      <c r="B605" s="217"/>
      <c r="C605" s="217"/>
      <c r="D605" s="217"/>
      <c r="E605" s="167"/>
      <c r="F605" s="217"/>
      <c r="G605" s="216"/>
      <c r="H605" s="217"/>
      <c r="I605" s="216"/>
      <c r="J605" s="216"/>
      <c r="K605" s="219"/>
      <c r="L605" s="218"/>
      <c r="M605" s="220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17"/>
      <c r="AD605" s="217"/>
      <c r="AE605" s="217"/>
      <c r="AF605" s="217"/>
    </row>
    <row r="606">
      <c r="A606" s="217"/>
      <c r="B606" s="217"/>
      <c r="C606" s="217"/>
      <c r="D606" s="217"/>
      <c r="E606" s="167"/>
      <c r="F606" s="217"/>
      <c r="G606" s="216"/>
      <c r="H606" s="217"/>
      <c r="I606" s="216"/>
      <c r="J606" s="216"/>
      <c r="K606" s="219"/>
      <c r="L606" s="218"/>
      <c r="M606" s="220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17"/>
      <c r="AD606" s="217"/>
      <c r="AE606" s="217"/>
      <c r="AF606" s="217"/>
    </row>
    <row r="607">
      <c r="A607" s="217"/>
      <c r="B607" s="217"/>
      <c r="C607" s="217"/>
      <c r="D607" s="217"/>
      <c r="E607" s="167"/>
      <c r="F607" s="217"/>
      <c r="G607" s="216"/>
      <c r="H607" s="217"/>
      <c r="I607" s="216"/>
      <c r="J607" s="216"/>
      <c r="K607" s="219"/>
      <c r="L607" s="218"/>
      <c r="M607" s="220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17"/>
      <c r="AD607" s="217"/>
      <c r="AE607" s="217"/>
      <c r="AF607" s="217"/>
    </row>
    <row r="608">
      <c r="A608" s="217"/>
      <c r="B608" s="217"/>
      <c r="C608" s="217"/>
      <c r="D608" s="217"/>
      <c r="E608" s="167"/>
      <c r="F608" s="217"/>
      <c r="G608" s="216"/>
      <c r="H608" s="217"/>
      <c r="I608" s="216"/>
      <c r="J608" s="216"/>
      <c r="K608" s="219"/>
      <c r="L608" s="218"/>
      <c r="M608" s="220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17"/>
      <c r="AD608" s="217"/>
      <c r="AE608" s="217"/>
      <c r="AF608" s="217"/>
    </row>
    <row r="609">
      <c r="A609" s="217"/>
      <c r="B609" s="217"/>
      <c r="C609" s="217"/>
      <c r="D609" s="217"/>
      <c r="E609" s="167"/>
      <c r="F609" s="217"/>
      <c r="G609" s="216"/>
      <c r="H609" s="217"/>
      <c r="I609" s="216"/>
      <c r="J609" s="216"/>
      <c r="K609" s="219"/>
      <c r="L609" s="218"/>
      <c r="M609" s="220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17"/>
      <c r="AD609" s="217"/>
      <c r="AE609" s="217"/>
      <c r="AF609" s="217"/>
    </row>
    <row r="610">
      <c r="A610" s="217"/>
      <c r="B610" s="217"/>
      <c r="C610" s="217"/>
      <c r="D610" s="217"/>
      <c r="E610" s="167"/>
      <c r="F610" s="217"/>
      <c r="G610" s="216"/>
      <c r="H610" s="217"/>
      <c r="I610" s="216"/>
      <c r="J610" s="216"/>
      <c r="K610" s="219"/>
      <c r="L610" s="218"/>
      <c r="M610" s="220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17"/>
      <c r="AD610" s="217"/>
      <c r="AE610" s="217"/>
      <c r="AF610" s="217"/>
    </row>
    <row r="611">
      <c r="A611" s="217"/>
      <c r="B611" s="217"/>
      <c r="C611" s="217"/>
      <c r="D611" s="217"/>
      <c r="E611" s="167"/>
      <c r="F611" s="217"/>
      <c r="G611" s="216"/>
      <c r="H611" s="217"/>
      <c r="I611" s="216"/>
      <c r="J611" s="216"/>
      <c r="K611" s="219"/>
      <c r="L611" s="218"/>
      <c r="M611" s="220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17"/>
      <c r="AD611" s="217"/>
      <c r="AE611" s="217"/>
      <c r="AF611" s="217"/>
    </row>
    <row r="612">
      <c r="A612" s="217"/>
      <c r="B612" s="217"/>
      <c r="C612" s="217"/>
      <c r="D612" s="217"/>
      <c r="E612" s="167"/>
      <c r="F612" s="217"/>
      <c r="G612" s="216"/>
      <c r="H612" s="217"/>
      <c r="I612" s="216"/>
      <c r="J612" s="216"/>
      <c r="K612" s="219"/>
      <c r="L612" s="218"/>
      <c r="M612" s="220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17"/>
      <c r="AD612" s="217"/>
      <c r="AE612" s="217"/>
      <c r="AF612" s="217"/>
    </row>
    <row r="613">
      <c r="A613" s="217"/>
      <c r="B613" s="217"/>
      <c r="C613" s="217"/>
      <c r="D613" s="217"/>
      <c r="E613" s="167"/>
      <c r="F613" s="217"/>
      <c r="G613" s="216"/>
      <c r="H613" s="217"/>
      <c r="I613" s="216"/>
      <c r="J613" s="216"/>
      <c r="K613" s="219"/>
      <c r="L613" s="218"/>
      <c r="M613" s="220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17"/>
      <c r="AD613" s="217"/>
      <c r="AE613" s="217"/>
      <c r="AF613" s="217"/>
    </row>
    <row r="614">
      <c r="A614" s="217"/>
      <c r="B614" s="217"/>
      <c r="C614" s="217"/>
      <c r="D614" s="217"/>
      <c r="E614" s="167"/>
      <c r="F614" s="217"/>
      <c r="G614" s="216"/>
      <c r="H614" s="217"/>
      <c r="I614" s="216"/>
      <c r="J614" s="216"/>
      <c r="K614" s="219"/>
      <c r="L614" s="218"/>
      <c r="M614" s="220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17"/>
      <c r="AD614" s="217"/>
      <c r="AE614" s="217"/>
      <c r="AF614" s="217"/>
    </row>
    <row r="615">
      <c r="A615" s="217"/>
      <c r="B615" s="217"/>
      <c r="C615" s="217"/>
      <c r="D615" s="217"/>
      <c r="E615" s="167"/>
      <c r="F615" s="217"/>
      <c r="G615" s="216"/>
      <c r="H615" s="217"/>
      <c r="I615" s="216"/>
      <c r="J615" s="216"/>
      <c r="K615" s="219"/>
      <c r="L615" s="218"/>
      <c r="M615" s="220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17"/>
      <c r="AD615" s="217"/>
      <c r="AE615" s="217"/>
      <c r="AF615" s="217"/>
    </row>
    <row r="616">
      <c r="A616" s="217"/>
      <c r="B616" s="217"/>
      <c r="C616" s="217"/>
      <c r="D616" s="217"/>
      <c r="E616" s="167"/>
      <c r="F616" s="217"/>
      <c r="G616" s="216"/>
      <c r="H616" s="217"/>
      <c r="I616" s="216"/>
      <c r="J616" s="216"/>
      <c r="K616" s="219"/>
      <c r="L616" s="218"/>
      <c r="M616" s="220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17"/>
      <c r="AD616" s="217"/>
      <c r="AE616" s="217"/>
      <c r="AF616" s="217"/>
    </row>
    <row r="617">
      <c r="A617" s="217"/>
      <c r="B617" s="217"/>
      <c r="C617" s="217"/>
      <c r="D617" s="217"/>
      <c r="E617" s="167"/>
      <c r="F617" s="217"/>
      <c r="G617" s="216"/>
      <c r="H617" s="217"/>
      <c r="I617" s="216"/>
      <c r="J617" s="216"/>
      <c r="K617" s="219"/>
      <c r="L617" s="218"/>
      <c r="M617" s="220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17"/>
      <c r="AD617" s="217"/>
      <c r="AE617" s="217"/>
      <c r="AF617" s="217"/>
    </row>
    <row r="618">
      <c r="A618" s="217"/>
      <c r="B618" s="217"/>
      <c r="C618" s="217"/>
      <c r="D618" s="217"/>
      <c r="E618" s="167"/>
      <c r="F618" s="217"/>
      <c r="G618" s="216"/>
      <c r="H618" s="217"/>
      <c r="I618" s="216"/>
      <c r="J618" s="216"/>
      <c r="K618" s="219"/>
      <c r="L618" s="218"/>
      <c r="M618" s="220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17"/>
      <c r="AD618" s="217"/>
      <c r="AE618" s="217"/>
      <c r="AF618" s="217"/>
    </row>
    <row r="619">
      <c r="A619" s="217"/>
      <c r="B619" s="217"/>
      <c r="C619" s="217"/>
      <c r="D619" s="217"/>
      <c r="E619" s="167"/>
      <c r="F619" s="217"/>
      <c r="G619" s="216"/>
      <c r="H619" s="217"/>
      <c r="I619" s="216"/>
      <c r="J619" s="216"/>
      <c r="K619" s="219"/>
      <c r="L619" s="218"/>
      <c r="M619" s="220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17"/>
      <c r="AD619" s="217"/>
      <c r="AE619" s="217"/>
      <c r="AF619" s="217"/>
    </row>
    <row r="620">
      <c r="A620" s="217"/>
      <c r="B620" s="217"/>
      <c r="C620" s="217"/>
      <c r="D620" s="217"/>
      <c r="E620" s="167"/>
      <c r="F620" s="217"/>
      <c r="G620" s="216"/>
      <c r="H620" s="217"/>
      <c r="I620" s="216"/>
      <c r="J620" s="216"/>
      <c r="K620" s="219"/>
      <c r="L620" s="218"/>
      <c r="M620" s="220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17"/>
      <c r="AD620" s="217"/>
      <c r="AE620" s="217"/>
      <c r="AF620" s="217"/>
    </row>
    <row r="621">
      <c r="A621" s="217"/>
      <c r="B621" s="217"/>
      <c r="C621" s="217"/>
      <c r="D621" s="217"/>
      <c r="E621" s="167"/>
      <c r="F621" s="217"/>
      <c r="G621" s="216"/>
      <c r="H621" s="217"/>
      <c r="I621" s="216"/>
      <c r="J621" s="216"/>
      <c r="K621" s="219"/>
      <c r="L621" s="218"/>
      <c r="M621" s="220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17"/>
      <c r="AD621" s="217"/>
      <c r="AE621" s="217"/>
      <c r="AF621" s="217"/>
    </row>
    <row r="622">
      <c r="A622" s="217"/>
      <c r="B622" s="217"/>
      <c r="C622" s="217"/>
      <c r="D622" s="217"/>
      <c r="E622" s="167"/>
      <c r="F622" s="217"/>
      <c r="G622" s="216"/>
      <c r="H622" s="217"/>
      <c r="I622" s="216"/>
      <c r="J622" s="216"/>
      <c r="K622" s="219"/>
      <c r="L622" s="218"/>
      <c r="M622" s="220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17"/>
      <c r="AD622" s="217"/>
      <c r="AE622" s="217"/>
      <c r="AF622" s="217"/>
    </row>
    <row r="623">
      <c r="A623" s="217"/>
      <c r="B623" s="217"/>
      <c r="C623" s="217"/>
      <c r="D623" s="217"/>
      <c r="E623" s="167"/>
      <c r="F623" s="217"/>
      <c r="G623" s="216"/>
      <c r="H623" s="217"/>
      <c r="I623" s="216"/>
      <c r="J623" s="216"/>
      <c r="K623" s="219"/>
      <c r="L623" s="218"/>
      <c r="M623" s="220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17"/>
      <c r="AD623" s="217"/>
      <c r="AE623" s="217"/>
      <c r="AF623" s="217"/>
    </row>
    <row r="624">
      <c r="A624" s="217"/>
      <c r="B624" s="217"/>
      <c r="C624" s="217"/>
      <c r="D624" s="217"/>
      <c r="E624" s="167"/>
      <c r="F624" s="217"/>
      <c r="G624" s="216"/>
      <c r="H624" s="217"/>
      <c r="I624" s="216"/>
      <c r="J624" s="216"/>
      <c r="K624" s="219"/>
      <c r="L624" s="218"/>
      <c r="M624" s="220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17"/>
      <c r="AD624" s="217"/>
      <c r="AE624" s="217"/>
      <c r="AF624" s="217"/>
    </row>
    <row r="625">
      <c r="A625" s="217"/>
      <c r="B625" s="217"/>
      <c r="C625" s="217"/>
      <c r="D625" s="217"/>
      <c r="E625" s="167"/>
      <c r="F625" s="217"/>
      <c r="G625" s="216"/>
      <c r="H625" s="217"/>
      <c r="I625" s="216"/>
      <c r="J625" s="216"/>
      <c r="K625" s="219"/>
      <c r="L625" s="218"/>
      <c r="M625" s="220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17"/>
      <c r="AD625" s="217"/>
      <c r="AE625" s="217"/>
      <c r="AF625" s="217"/>
    </row>
    <row r="626">
      <c r="A626" s="217"/>
      <c r="B626" s="217"/>
      <c r="C626" s="217"/>
      <c r="D626" s="217"/>
      <c r="E626" s="167"/>
      <c r="F626" s="217"/>
      <c r="G626" s="216"/>
      <c r="H626" s="217"/>
      <c r="I626" s="216"/>
      <c r="J626" s="216"/>
      <c r="K626" s="219"/>
      <c r="L626" s="218"/>
      <c r="M626" s="220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17"/>
      <c r="AD626" s="217"/>
      <c r="AE626" s="217"/>
      <c r="AF626" s="217"/>
    </row>
    <row r="627">
      <c r="A627" s="217"/>
      <c r="B627" s="217"/>
      <c r="C627" s="217"/>
      <c r="D627" s="217"/>
      <c r="E627" s="167"/>
      <c r="F627" s="217"/>
      <c r="G627" s="216"/>
      <c r="H627" s="217"/>
      <c r="I627" s="216"/>
      <c r="J627" s="216"/>
      <c r="K627" s="219"/>
      <c r="L627" s="218"/>
      <c r="M627" s="220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17"/>
      <c r="AD627" s="217"/>
      <c r="AE627" s="217"/>
      <c r="AF627" s="217"/>
    </row>
    <row r="628">
      <c r="A628" s="217"/>
      <c r="B628" s="217"/>
      <c r="C628" s="217"/>
      <c r="D628" s="217"/>
      <c r="E628" s="167"/>
      <c r="F628" s="217"/>
      <c r="G628" s="216"/>
      <c r="H628" s="217"/>
      <c r="I628" s="216"/>
      <c r="J628" s="216"/>
      <c r="K628" s="219"/>
      <c r="L628" s="218"/>
      <c r="M628" s="220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17"/>
      <c r="AD628" s="217"/>
      <c r="AE628" s="217"/>
      <c r="AF628" s="217"/>
    </row>
    <row r="629">
      <c r="A629" s="217"/>
      <c r="B629" s="217"/>
      <c r="C629" s="217"/>
      <c r="D629" s="217"/>
      <c r="E629" s="167"/>
      <c r="F629" s="217"/>
      <c r="G629" s="216"/>
      <c r="H629" s="217"/>
      <c r="I629" s="216"/>
      <c r="J629" s="216"/>
      <c r="K629" s="219"/>
      <c r="L629" s="218"/>
      <c r="M629" s="220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17"/>
      <c r="AD629" s="217"/>
      <c r="AE629" s="217"/>
      <c r="AF629" s="217"/>
    </row>
    <row r="630">
      <c r="A630" s="217"/>
      <c r="B630" s="217"/>
      <c r="C630" s="217"/>
      <c r="D630" s="217"/>
      <c r="E630" s="167"/>
      <c r="F630" s="217"/>
      <c r="G630" s="216"/>
      <c r="H630" s="217"/>
      <c r="I630" s="216"/>
      <c r="J630" s="216"/>
      <c r="K630" s="219"/>
      <c r="L630" s="218"/>
      <c r="M630" s="220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17"/>
      <c r="AD630" s="217"/>
      <c r="AE630" s="217"/>
      <c r="AF630" s="217"/>
    </row>
    <row r="631">
      <c r="A631" s="217"/>
      <c r="B631" s="217"/>
      <c r="C631" s="217"/>
      <c r="D631" s="217"/>
      <c r="E631" s="167"/>
      <c r="F631" s="217"/>
      <c r="G631" s="216"/>
      <c r="H631" s="217"/>
      <c r="I631" s="216"/>
      <c r="J631" s="216"/>
      <c r="K631" s="219"/>
      <c r="L631" s="218"/>
      <c r="M631" s="220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17"/>
      <c r="AD631" s="217"/>
      <c r="AE631" s="217"/>
      <c r="AF631" s="217"/>
    </row>
    <row r="632">
      <c r="A632" s="217"/>
      <c r="B632" s="217"/>
      <c r="C632" s="217"/>
      <c r="D632" s="217"/>
      <c r="E632" s="167"/>
      <c r="F632" s="217"/>
      <c r="G632" s="216"/>
      <c r="H632" s="217"/>
      <c r="I632" s="216"/>
      <c r="J632" s="216"/>
      <c r="K632" s="219"/>
      <c r="L632" s="218"/>
      <c r="M632" s="220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17"/>
      <c r="AD632" s="217"/>
      <c r="AE632" s="217"/>
      <c r="AF632" s="217"/>
    </row>
    <row r="633">
      <c r="A633" s="217"/>
      <c r="B633" s="217"/>
      <c r="C633" s="217"/>
      <c r="D633" s="217"/>
      <c r="E633" s="167"/>
      <c r="F633" s="217"/>
      <c r="G633" s="216"/>
      <c r="H633" s="217"/>
      <c r="I633" s="216"/>
      <c r="J633" s="216"/>
      <c r="K633" s="219"/>
      <c r="L633" s="218"/>
      <c r="M633" s="220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17"/>
      <c r="AD633" s="217"/>
      <c r="AE633" s="217"/>
      <c r="AF633" s="217"/>
    </row>
    <row r="634">
      <c r="A634" s="217"/>
      <c r="B634" s="217"/>
      <c r="C634" s="217"/>
      <c r="D634" s="217"/>
      <c r="E634" s="167"/>
      <c r="F634" s="217"/>
      <c r="G634" s="216"/>
      <c r="H634" s="217"/>
      <c r="I634" s="216"/>
      <c r="J634" s="216"/>
      <c r="K634" s="219"/>
      <c r="L634" s="218"/>
      <c r="M634" s="220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17"/>
      <c r="AD634" s="217"/>
      <c r="AE634" s="217"/>
      <c r="AF634" s="217"/>
    </row>
    <row r="635">
      <c r="A635" s="217"/>
      <c r="B635" s="217"/>
      <c r="C635" s="217"/>
      <c r="D635" s="217"/>
      <c r="E635" s="167"/>
      <c r="F635" s="217"/>
      <c r="G635" s="216"/>
      <c r="H635" s="217"/>
      <c r="I635" s="216"/>
      <c r="J635" s="216"/>
      <c r="K635" s="219"/>
      <c r="L635" s="218"/>
      <c r="M635" s="220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17"/>
      <c r="AD635" s="217"/>
      <c r="AE635" s="217"/>
      <c r="AF635" s="217"/>
    </row>
    <row r="636">
      <c r="A636" s="217"/>
      <c r="B636" s="217"/>
      <c r="C636" s="217"/>
      <c r="D636" s="217"/>
      <c r="E636" s="167"/>
      <c r="F636" s="217"/>
      <c r="G636" s="216"/>
      <c r="H636" s="217"/>
      <c r="I636" s="216"/>
      <c r="J636" s="216"/>
      <c r="K636" s="219"/>
      <c r="L636" s="218"/>
      <c r="M636" s="220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17"/>
      <c r="AD636" s="217"/>
      <c r="AE636" s="217"/>
      <c r="AF636" s="217"/>
    </row>
    <row r="637">
      <c r="A637" s="217"/>
      <c r="B637" s="217"/>
      <c r="C637" s="217"/>
      <c r="D637" s="217"/>
      <c r="E637" s="167"/>
      <c r="F637" s="217"/>
      <c r="G637" s="216"/>
      <c r="H637" s="217"/>
      <c r="I637" s="216"/>
      <c r="J637" s="216"/>
      <c r="K637" s="219"/>
      <c r="L637" s="218"/>
      <c r="M637" s="220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17"/>
      <c r="AD637" s="217"/>
      <c r="AE637" s="217"/>
      <c r="AF637" s="217"/>
    </row>
    <row r="638">
      <c r="A638" s="217"/>
      <c r="B638" s="217"/>
      <c r="C638" s="217"/>
      <c r="D638" s="217"/>
      <c r="E638" s="167"/>
      <c r="F638" s="217"/>
      <c r="G638" s="216"/>
      <c r="H638" s="217"/>
      <c r="I638" s="216"/>
      <c r="J638" s="216"/>
      <c r="K638" s="219"/>
      <c r="L638" s="218"/>
      <c r="M638" s="220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17"/>
      <c r="AD638" s="217"/>
      <c r="AE638" s="217"/>
      <c r="AF638" s="217"/>
    </row>
    <row r="639">
      <c r="A639" s="217"/>
      <c r="B639" s="217"/>
      <c r="C639" s="217"/>
      <c r="D639" s="217"/>
      <c r="E639" s="167"/>
      <c r="F639" s="217"/>
      <c r="G639" s="216"/>
      <c r="H639" s="217"/>
      <c r="I639" s="216"/>
      <c r="J639" s="216"/>
      <c r="K639" s="219"/>
      <c r="L639" s="218"/>
      <c r="M639" s="220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17"/>
      <c r="AD639" s="217"/>
      <c r="AE639" s="217"/>
      <c r="AF639" s="217"/>
    </row>
    <row r="640">
      <c r="A640" s="217"/>
      <c r="B640" s="217"/>
      <c r="C640" s="217"/>
      <c r="D640" s="217"/>
      <c r="E640" s="167"/>
      <c r="F640" s="217"/>
      <c r="G640" s="216"/>
      <c r="H640" s="217"/>
      <c r="I640" s="216"/>
      <c r="J640" s="216"/>
      <c r="K640" s="219"/>
      <c r="L640" s="218"/>
      <c r="M640" s="220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17"/>
      <c r="AD640" s="217"/>
      <c r="AE640" s="217"/>
      <c r="AF640" s="217"/>
    </row>
    <row r="641">
      <c r="A641" s="217"/>
      <c r="B641" s="217"/>
      <c r="C641" s="217"/>
      <c r="D641" s="217"/>
      <c r="E641" s="167"/>
      <c r="F641" s="217"/>
      <c r="G641" s="216"/>
      <c r="H641" s="217"/>
      <c r="I641" s="216"/>
      <c r="J641" s="216"/>
      <c r="K641" s="219"/>
      <c r="L641" s="218"/>
      <c r="M641" s="220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17"/>
      <c r="AD641" s="217"/>
      <c r="AE641" s="217"/>
      <c r="AF641" s="217"/>
    </row>
    <row r="642">
      <c r="A642" s="217"/>
      <c r="B642" s="217"/>
      <c r="C642" s="217"/>
      <c r="D642" s="217"/>
      <c r="E642" s="167"/>
      <c r="F642" s="217"/>
      <c r="G642" s="216"/>
      <c r="H642" s="217"/>
      <c r="I642" s="216"/>
      <c r="J642" s="216"/>
      <c r="K642" s="219"/>
      <c r="L642" s="218"/>
      <c r="M642" s="220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17"/>
      <c r="AD642" s="217"/>
      <c r="AE642" s="217"/>
      <c r="AF642" s="217"/>
    </row>
    <row r="643">
      <c r="A643" s="217"/>
      <c r="B643" s="217"/>
      <c r="C643" s="217"/>
      <c r="D643" s="217"/>
      <c r="E643" s="167"/>
      <c r="F643" s="217"/>
      <c r="G643" s="216"/>
      <c r="H643" s="217"/>
      <c r="I643" s="216"/>
      <c r="J643" s="216"/>
      <c r="K643" s="219"/>
      <c r="L643" s="218"/>
      <c r="M643" s="220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17"/>
      <c r="AD643" s="217"/>
      <c r="AE643" s="217"/>
      <c r="AF643" s="217"/>
    </row>
    <row r="644">
      <c r="A644" s="217"/>
      <c r="B644" s="217"/>
      <c r="C644" s="217"/>
      <c r="D644" s="217"/>
      <c r="E644" s="167"/>
      <c r="F644" s="217"/>
      <c r="G644" s="216"/>
      <c r="H644" s="217"/>
      <c r="I644" s="216"/>
      <c r="J644" s="216"/>
      <c r="K644" s="219"/>
      <c r="L644" s="218"/>
      <c r="M644" s="220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17"/>
      <c r="AD644" s="217"/>
      <c r="AE644" s="217"/>
      <c r="AF644" s="217"/>
    </row>
    <row r="645">
      <c r="A645" s="217"/>
      <c r="B645" s="217"/>
      <c r="C645" s="217"/>
      <c r="D645" s="217"/>
      <c r="E645" s="167"/>
      <c r="F645" s="217"/>
      <c r="G645" s="216"/>
      <c r="H645" s="217"/>
      <c r="I645" s="216"/>
      <c r="J645" s="216"/>
      <c r="K645" s="219"/>
      <c r="L645" s="218"/>
      <c r="M645" s="220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17"/>
      <c r="AD645" s="217"/>
      <c r="AE645" s="217"/>
      <c r="AF645" s="217"/>
    </row>
    <row r="646">
      <c r="A646" s="217"/>
      <c r="B646" s="217"/>
      <c r="C646" s="217"/>
      <c r="D646" s="217"/>
      <c r="E646" s="167"/>
      <c r="F646" s="217"/>
      <c r="G646" s="216"/>
      <c r="H646" s="217"/>
      <c r="I646" s="216"/>
      <c r="J646" s="216"/>
      <c r="K646" s="219"/>
      <c r="L646" s="218"/>
      <c r="M646" s="220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17"/>
      <c r="AD646" s="217"/>
      <c r="AE646" s="217"/>
      <c r="AF646" s="217"/>
    </row>
    <row r="647">
      <c r="A647" s="217"/>
      <c r="B647" s="217"/>
      <c r="C647" s="217"/>
      <c r="D647" s="217"/>
      <c r="E647" s="167"/>
      <c r="F647" s="217"/>
      <c r="G647" s="216"/>
      <c r="H647" s="217"/>
      <c r="I647" s="216"/>
      <c r="J647" s="216"/>
      <c r="K647" s="219"/>
      <c r="L647" s="218"/>
      <c r="M647" s="220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17"/>
      <c r="AD647" s="217"/>
      <c r="AE647" s="217"/>
      <c r="AF647" s="217"/>
    </row>
    <row r="648">
      <c r="A648" s="217"/>
      <c r="B648" s="217"/>
      <c r="C648" s="217"/>
      <c r="D648" s="217"/>
      <c r="E648" s="167"/>
      <c r="F648" s="217"/>
      <c r="G648" s="216"/>
      <c r="H648" s="217"/>
      <c r="I648" s="216"/>
      <c r="J648" s="216"/>
      <c r="K648" s="219"/>
      <c r="L648" s="218"/>
      <c r="M648" s="220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17"/>
      <c r="AD648" s="217"/>
      <c r="AE648" s="217"/>
      <c r="AF648" s="217"/>
    </row>
    <row r="649">
      <c r="A649" s="217"/>
      <c r="B649" s="217"/>
      <c r="C649" s="217"/>
      <c r="D649" s="217"/>
      <c r="E649" s="167"/>
      <c r="F649" s="217"/>
      <c r="G649" s="216"/>
      <c r="H649" s="217"/>
      <c r="I649" s="216"/>
      <c r="J649" s="216"/>
      <c r="K649" s="219"/>
      <c r="L649" s="218"/>
      <c r="M649" s="220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17"/>
      <c r="AD649" s="217"/>
      <c r="AE649" s="217"/>
      <c r="AF649" s="217"/>
    </row>
    <row r="650">
      <c r="A650" s="217"/>
      <c r="B650" s="217"/>
      <c r="C650" s="217"/>
      <c r="D650" s="217"/>
      <c r="E650" s="167"/>
      <c r="F650" s="217"/>
      <c r="G650" s="216"/>
      <c r="H650" s="217"/>
      <c r="I650" s="216"/>
      <c r="J650" s="216"/>
      <c r="K650" s="219"/>
      <c r="L650" s="218"/>
      <c r="M650" s="220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17"/>
      <c r="AD650" s="217"/>
      <c r="AE650" s="217"/>
      <c r="AF650" s="217"/>
    </row>
    <row r="651">
      <c r="A651" s="217"/>
      <c r="B651" s="217"/>
      <c r="C651" s="217"/>
      <c r="D651" s="217"/>
      <c r="E651" s="167"/>
      <c r="F651" s="217"/>
      <c r="G651" s="216"/>
      <c r="H651" s="217"/>
      <c r="I651" s="216"/>
      <c r="J651" s="216"/>
      <c r="K651" s="219"/>
      <c r="L651" s="218"/>
      <c r="M651" s="220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17"/>
      <c r="AD651" s="217"/>
      <c r="AE651" s="217"/>
      <c r="AF651" s="217"/>
    </row>
    <row r="652">
      <c r="A652" s="217"/>
      <c r="B652" s="217"/>
      <c r="C652" s="217"/>
      <c r="D652" s="217"/>
      <c r="E652" s="167"/>
      <c r="F652" s="217"/>
      <c r="G652" s="216"/>
      <c r="H652" s="217"/>
      <c r="I652" s="216"/>
      <c r="J652" s="216"/>
      <c r="K652" s="219"/>
      <c r="L652" s="218"/>
      <c r="M652" s="220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17"/>
      <c r="AD652" s="217"/>
      <c r="AE652" s="217"/>
      <c r="AF652" s="217"/>
    </row>
    <row r="653">
      <c r="A653" s="217"/>
      <c r="B653" s="217"/>
      <c r="C653" s="217"/>
      <c r="D653" s="217"/>
      <c r="E653" s="167"/>
      <c r="F653" s="217"/>
      <c r="G653" s="216"/>
      <c r="H653" s="217"/>
      <c r="I653" s="216"/>
      <c r="J653" s="216"/>
      <c r="K653" s="219"/>
      <c r="L653" s="218"/>
      <c r="M653" s="220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17"/>
      <c r="AD653" s="217"/>
      <c r="AE653" s="217"/>
      <c r="AF653" s="217"/>
    </row>
    <row r="654">
      <c r="A654" s="217"/>
      <c r="B654" s="217"/>
      <c r="C654" s="217"/>
      <c r="D654" s="217"/>
      <c r="E654" s="167"/>
      <c r="F654" s="217"/>
      <c r="G654" s="216"/>
      <c r="H654" s="217"/>
      <c r="I654" s="216"/>
      <c r="J654" s="216"/>
      <c r="K654" s="219"/>
      <c r="L654" s="218"/>
      <c r="M654" s="220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17"/>
      <c r="AD654" s="217"/>
      <c r="AE654" s="217"/>
      <c r="AF654" s="217"/>
    </row>
    <row r="655">
      <c r="A655" s="217"/>
      <c r="B655" s="217"/>
      <c r="C655" s="217"/>
      <c r="D655" s="217"/>
      <c r="E655" s="167"/>
      <c r="F655" s="217"/>
      <c r="G655" s="216"/>
      <c r="H655" s="217"/>
      <c r="I655" s="216"/>
      <c r="J655" s="216"/>
      <c r="K655" s="219"/>
      <c r="L655" s="218"/>
      <c r="M655" s="220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17"/>
      <c r="AD655" s="217"/>
      <c r="AE655" s="217"/>
      <c r="AF655" s="217"/>
    </row>
    <row r="656">
      <c r="A656" s="217"/>
      <c r="B656" s="217"/>
      <c r="C656" s="217"/>
      <c r="D656" s="217"/>
      <c r="E656" s="167"/>
      <c r="F656" s="217"/>
      <c r="G656" s="216"/>
      <c r="H656" s="217"/>
      <c r="I656" s="216"/>
      <c r="J656" s="216"/>
      <c r="K656" s="219"/>
      <c r="L656" s="218"/>
      <c r="M656" s="220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17"/>
      <c r="AD656" s="217"/>
      <c r="AE656" s="217"/>
      <c r="AF656" s="217"/>
    </row>
    <row r="657">
      <c r="A657" s="217"/>
      <c r="B657" s="217"/>
      <c r="C657" s="217"/>
      <c r="D657" s="217"/>
      <c r="E657" s="167"/>
      <c r="F657" s="217"/>
      <c r="G657" s="216"/>
      <c r="H657" s="217"/>
      <c r="I657" s="216"/>
      <c r="J657" s="216"/>
      <c r="K657" s="219"/>
      <c r="L657" s="218"/>
      <c r="M657" s="220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17"/>
      <c r="AD657" s="217"/>
      <c r="AE657" s="217"/>
      <c r="AF657" s="217"/>
    </row>
    <row r="658">
      <c r="A658" s="217"/>
      <c r="B658" s="217"/>
      <c r="C658" s="217"/>
      <c r="D658" s="217"/>
      <c r="E658" s="167"/>
      <c r="F658" s="217"/>
      <c r="G658" s="216"/>
      <c r="H658" s="217"/>
      <c r="I658" s="216"/>
      <c r="J658" s="216"/>
      <c r="K658" s="219"/>
      <c r="L658" s="218"/>
      <c r="M658" s="220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17"/>
      <c r="AD658" s="217"/>
      <c r="AE658" s="217"/>
      <c r="AF658" s="217"/>
    </row>
    <row r="659">
      <c r="A659" s="217"/>
      <c r="B659" s="217"/>
      <c r="C659" s="217"/>
      <c r="D659" s="217"/>
      <c r="E659" s="167"/>
      <c r="F659" s="217"/>
      <c r="G659" s="216"/>
      <c r="H659" s="217"/>
      <c r="I659" s="216"/>
      <c r="J659" s="216"/>
      <c r="K659" s="219"/>
      <c r="L659" s="218"/>
      <c r="M659" s="220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17"/>
      <c r="AD659" s="217"/>
      <c r="AE659" s="217"/>
      <c r="AF659" s="217"/>
    </row>
    <row r="660">
      <c r="A660" s="217"/>
      <c r="B660" s="217"/>
      <c r="C660" s="217"/>
      <c r="D660" s="217"/>
      <c r="E660" s="167"/>
      <c r="F660" s="217"/>
      <c r="G660" s="216"/>
      <c r="H660" s="217"/>
      <c r="I660" s="216"/>
      <c r="J660" s="216"/>
      <c r="K660" s="219"/>
      <c r="L660" s="218"/>
      <c r="M660" s="220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17"/>
      <c r="AD660" s="217"/>
      <c r="AE660" s="217"/>
      <c r="AF660" s="217"/>
    </row>
    <row r="661">
      <c r="A661" s="217"/>
      <c r="B661" s="217"/>
      <c r="C661" s="217"/>
      <c r="D661" s="217"/>
      <c r="E661" s="167"/>
      <c r="F661" s="217"/>
      <c r="G661" s="216"/>
      <c r="H661" s="217"/>
      <c r="I661" s="216"/>
      <c r="J661" s="216"/>
      <c r="K661" s="219"/>
      <c r="L661" s="218"/>
      <c r="M661" s="220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17"/>
      <c r="AD661" s="217"/>
      <c r="AE661" s="217"/>
      <c r="AF661" s="217"/>
    </row>
    <row r="662">
      <c r="A662" s="217"/>
      <c r="B662" s="217"/>
      <c r="C662" s="217"/>
      <c r="D662" s="217"/>
      <c r="E662" s="167"/>
      <c r="F662" s="217"/>
      <c r="G662" s="216"/>
      <c r="H662" s="217"/>
      <c r="I662" s="216"/>
      <c r="J662" s="216"/>
      <c r="K662" s="219"/>
      <c r="L662" s="218"/>
      <c r="M662" s="220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17"/>
      <c r="AD662" s="217"/>
      <c r="AE662" s="217"/>
      <c r="AF662" s="217"/>
    </row>
    <row r="663">
      <c r="A663" s="217"/>
      <c r="B663" s="217"/>
      <c r="C663" s="217"/>
      <c r="D663" s="217"/>
      <c r="E663" s="167"/>
      <c r="F663" s="217"/>
      <c r="G663" s="216"/>
      <c r="H663" s="217"/>
      <c r="I663" s="216"/>
      <c r="J663" s="216"/>
      <c r="K663" s="219"/>
      <c r="L663" s="218"/>
      <c r="M663" s="220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17"/>
      <c r="AD663" s="217"/>
      <c r="AE663" s="217"/>
      <c r="AF663" s="217"/>
    </row>
    <row r="664">
      <c r="A664" s="217"/>
      <c r="B664" s="217"/>
      <c r="C664" s="217"/>
      <c r="D664" s="217"/>
      <c r="E664" s="167"/>
      <c r="F664" s="217"/>
      <c r="G664" s="216"/>
      <c r="H664" s="217"/>
      <c r="I664" s="216"/>
      <c r="J664" s="216"/>
      <c r="K664" s="219"/>
      <c r="L664" s="218"/>
      <c r="M664" s="220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17"/>
      <c r="AD664" s="217"/>
      <c r="AE664" s="217"/>
      <c r="AF664" s="217"/>
    </row>
    <row r="665">
      <c r="A665" s="217"/>
      <c r="B665" s="217"/>
      <c r="C665" s="217"/>
      <c r="D665" s="217"/>
      <c r="E665" s="167"/>
      <c r="F665" s="217"/>
      <c r="G665" s="216"/>
      <c r="H665" s="217"/>
      <c r="I665" s="216"/>
      <c r="J665" s="216"/>
      <c r="K665" s="219"/>
      <c r="L665" s="218"/>
      <c r="M665" s="220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17"/>
      <c r="AD665" s="217"/>
      <c r="AE665" s="217"/>
      <c r="AF665" s="217"/>
    </row>
    <row r="666">
      <c r="A666" s="217"/>
      <c r="B666" s="217"/>
      <c r="C666" s="217"/>
      <c r="D666" s="217"/>
      <c r="E666" s="167"/>
      <c r="F666" s="217"/>
      <c r="G666" s="216"/>
      <c r="H666" s="217"/>
      <c r="I666" s="216"/>
      <c r="J666" s="216"/>
      <c r="K666" s="219"/>
      <c r="L666" s="218"/>
      <c r="M666" s="220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17"/>
      <c r="AD666" s="217"/>
      <c r="AE666" s="217"/>
      <c r="AF666" s="217"/>
    </row>
    <row r="667">
      <c r="A667" s="217"/>
      <c r="B667" s="217"/>
      <c r="C667" s="217"/>
      <c r="D667" s="217"/>
      <c r="E667" s="167"/>
      <c r="F667" s="217"/>
      <c r="G667" s="216"/>
      <c r="H667" s="217"/>
      <c r="I667" s="216"/>
      <c r="J667" s="216"/>
      <c r="K667" s="219"/>
      <c r="L667" s="218"/>
      <c r="M667" s="220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17"/>
      <c r="AD667" s="217"/>
      <c r="AE667" s="217"/>
      <c r="AF667" s="217"/>
    </row>
    <row r="668">
      <c r="A668" s="217"/>
      <c r="B668" s="217"/>
      <c r="C668" s="217"/>
      <c r="D668" s="217"/>
      <c r="E668" s="167"/>
      <c r="F668" s="217"/>
      <c r="G668" s="216"/>
      <c r="H668" s="217"/>
      <c r="I668" s="216"/>
      <c r="J668" s="216"/>
      <c r="K668" s="219"/>
      <c r="L668" s="218"/>
      <c r="M668" s="220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17"/>
      <c r="AD668" s="217"/>
      <c r="AE668" s="217"/>
      <c r="AF668" s="217"/>
    </row>
    <row r="669">
      <c r="A669" s="217"/>
      <c r="B669" s="217"/>
      <c r="C669" s="217"/>
      <c r="D669" s="217"/>
      <c r="E669" s="167"/>
      <c r="F669" s="217"/>
      <c r="G669" s="216"/>
      <c r="H669" s="217"/>
      <c r="I669" s="216"/>
      <c r="J669" s="216"/>
      <c r="K669" s="219"/>
      <c r="L669" s="218"/>
      <c r="M669" s="220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17"/>
      <c r="AD669" s="217"/>
      <c r="AE669" s="217"/>
      <c r="AF669" s="217"/>
    </row>
    <row r="670">
      <c r="A670" s="217"/>
      <c r="B670" s="217"/>
      <c r="C670" s="217"/>
      <c r="D670" s="217"/>
      <c r="E670" s="167"/>
      <c r="F670" s="217"/>
      <c r="G670" s="216"/>
      <c r="H670" s="217"/>
      <c r="I670" s="216"/>
      <c r="J670" s="216"/>
      <c r="K670" s="219"/>
      <c r="L670" s="218"/>
      <c r="M670" s="220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17"/>
      <c r="AD670" s="217"/>
      <c r="AE670" s="217"/>
      <c r="AF670" s="217"/>
    </row>
    <row r="671">
      <c r="A671" s="217"/>
      <c r="B671" s="217"/>
      <c r="C671" s="217"/>
      <c r="D671" s="217"/>
      <c r="E671" s="167"/>
      <c r="F671" s="217"/>
      <c r="G671" s="216"/>
      <c r="H671" s="217"/>
      <c r="I671" s="216"/>
      <c r="J671" s="216"/>
      <c r="K671" s="219"/>
      <c r="L671" s="218"/>
      <c r="M671" s="220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17"/>
      <c r="AD671" s="217"/>
      <c r="AE671" s="217"/>
      <c r="AF671" s="217"/>
    </row>
    <row r="672">
      <c r="A672" s="217"/>
      <c r="B672" s="217"/>
      <c r="C672" s="217"/>
      <c r="D672" s="217"/>
      <c r="E672" s="167"/>
      <c r="F672" s="217"/>
      <c r="G672" s="216"/>
      <c r="H672" s="217"/>
      <c r="I672" s="216"/>
      <c r="J672" s="216"/>
      <c r="K672" s="219"/>
      <c r="L672" s="218"/>
      <c r="M672" s="220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17"/>
      <c r="AD672" s="217"/>
      <c r="AE672" s="217"/>
      <c r="AF672" s="217"/>
    </row>
    <row r="673">
      <c r="A673" s="217"/>
      <c r="B673" s="217"/>
      <c r="C673" s="217"/>
      <c r="D673" s="217"/>
      <c r="E673" s="167"/>
      <c r="F673" s="217"/>
      <c r="G673" s="216"/>
      <c r="H673" s="217"/>
      <c r="I673" s="216"/>
      <c r="J673" s="216"/>
      <c r="K673" s="219"/>
      <c r="L673" s="218"/>
      <c r="M673" s="220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17"/>
      <c r="AD673" s="217"/>
      <c r="AE673" s="217"/>
      <c r="AF673" s="217"/>
    </row>
    <row r="674">
      <c r="A674" s="217"/>
      <c r="B674" s="217"/>
      <c r="C674" s="217"/>
      <c r="D674" s="217"/>
      <c r="E674" s="167"/>
      <c r="F674" s="217"/>
      <c r="G674" s="216"/>
      <c r="H674" s="217"/>
      <c r="I674" s="216"/>
      <c r="J674" s="216"/>
      <c r="K674" s="219"/>
      <c r="L674" s="218"/>
      <c r="M674" s="220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17"/>
      <c r="AD674" s="217"/>
      <c r="AE674" s="217"/>
      <c r="AF674" s="217"/>
    </row>
    <row r="675">
      <c r="A675" s="217"/>
      <c r="B675" s="217"/>
      <c r="C675" s="217"/>
      <c r="D675" s="217"/>
      <c r="E675" s="167"/>
      <c r="F675" s="217"/>
      <c r="G675" s="216"/>
      <c r="H675" s="217"/>
      <c r="I675" s="216"/>
      <c r="J675" s="216"/>
      <c r="K675" s="219"/>
      <c r="L675" s="218"/>
      <c r="M675" s="220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17"/>
      <c r="AD675" s="217"/>
      <c r="AE675" s="217"/>
      <c r="AF675" s="217"/>
    </row>
    <row r="676">
      <c r="A676" s="217"/>
      <c r="B676" s="217"/>
      <c r="C676" s="217"/>
      <c r="D676" s="217"/>
      <c r="E676" s="167"/>
      <c r="F676" s="217"/>
      <c r="G676" s="216"/>
      <c r="H676" s="217"/>
      <c r="I676" s="216"/>
      <c r="J676" s="216"/>
      <c r="K676" s="219"/>
      <c r="L676" s="218"/>
      <c r="M676" s="220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7"/>
      <c r="AE676" s="217"/>
      <c r="AF676" s="217"/>
    </row>
    <row r="677">
      <c r="A677" s="217"/>
      <c r="B677" s="217"/>
      <c r="C677" s="217"/>
      <c r="D677" s="217"/>
      <c r="E677" s="167"/>
      <c r="F677" s="217"/>
      <c r="G677" s="216"/>
      <c r="H677" s="217"/>
      <c r="I677" s="216"/>
      <c r="J677" s="216"/>
      <c r="K677" s="219"/>
      <c r="L677" s="218"/>
      <c r="M677" s="220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  <c r="AE677" s="217"/>
      <c r="AF677" s="217"/>
    </row>
    <row r="678">
      <c r="A678" s="217"/>
      <c r="B678" s="217"/>
      <c r="C678" s="217"/>
      <c r="D678" s="217"/>
      <c r="E678" s="167"/>
      <c r="F678" s="217"/>
      <c r="G678" s="216"/>
      <c r="H678" s="217"/>
      <c r="I678" s="216"/>
      <c r="J678" s="216"/>
      <c r="K678" s="219"/>
      <c r="L678" s="218"/>
      <c r="M678" s="220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17"/>
      <c r="AD678" s="217"/>
      <c r="AE678" s="217"/>
      <c r="AF678" s="217"/>
    </row>
    <row r="679">
      <c r="A679" s="217"/>
      <c r="B679" s="217"/>
      <c r="C679" s="217"/>
      <c r="D679" s="217"/>
      <c r="E679" s="167"/>
      <c r="F679" s="217"/>
      <c r="G679" s="216"/>
      <c r="H679" s="217"/>
      <c r="I679" s="216"/>
      <c r="J679" s="216"/>
      <c r="K679" s="219"/>
      <c r="L679" s="218"/>
      <c r="M679" s="220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17"/>
      <c r="AD679" s="217"/>
      <c r="AE679" s="217"/>
      <c r="AF679" s="217"/>
    </row>
    <row r="680">
      <c r="A680" s="217"/>
      <c r="B680" s="217"/>
      <c r="C680" s="217"/>
      <c r="D680" s="217"/>
      <c r="E680" s="167"/>
      <c r="F680" s="217"/>
      <c r="G680" s="216"/>
      <c r="H680" s="217"/>
      <c r="I680" s="216"/>
      <c r="J680" s="216"/>
      <c r="K680" s="219"/>
      <c r="L680" s="218"/>
      <c r="M680" s="220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17"/>
      <c r="AD680" s="217"/>
      <c r="AE680" s="217"/>
      <c r="AF680" s="217"/>
    </row>
    <row r="681">
      <c r="A681" s="217"/>
      <c r="B681" s="217"/>
      <c r="C681" s="217"/>
      <c r="D681" s="217"/>
      <c r="E681" s="167"/>
      <c r="F681" s="217"/>
      <c r="G681" s="216"/>
      <c r="H681" s="217"/>
      <c r="I681" s="216"/>
      <c r="J681" s="216"/>
      <c r="K681" s="219"/>
      <c r="L681" s="218"/>
      <c r="M681" s="220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17"/>
      <c r="AD681" s="217"/>
      <c r="AE681" s="217"/>
      <c r="AF681" s="217"/>
    </row>
    <row r="682">
      <c r="A682" s="217"/>
      <c r="B682" s="217"/>
      <c r="C682" s="217"/>
      <c r="D682" s="217"/>
      <c r="E682" s="167"/>
      <c r="F682" s="217"/>
      <c r="G682" s="216"/>
      <c r="H682" s="217"/>
      <c r="I682" s="216"/>
      <c r="J682" s="216"/>
      <c r="K682" s="219"/>
      <c r="L682" s="218"/>
      <c r="M682" s="220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17"/>
      <c r="AD682" s="217"/>
      <c r="AE682" s="217"/>
      <c r="AF682" s="217"/>
    </row>
    <row r="683">
      <c r="A683" s="217"/>
      <c r="B683" s="217"/>
      <c r="C683" s="217"/>
      <c r="D683" s="217"/>
      <c r="E683" s="167"/>
      <c r="F683" s="217"/>
      <c r="G683" s="216"/>
      <c r="H683" s="217"/>
      <c r="I683" s="216"/>
      <c r="J683" s="216"/>
      <c r="K683" s="219"/>
      <c r="L683" s="218"/>
      <c r="M683" s="220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17"/>
      <c r="AD683" s="217"/>
      <c r="AE683" s="217"/>
      <c r="AF683" s="217"/>
    </row>
    <row r="684">
      <c r="A684" s="217"/>
      <c r="B684" s="217"/>
      <c r="C684" s="217"/>
      <c r="D684" s="217"/>
      <c r="E684" s="167"/>
      <c r="F684" s="217"/>
      <c r="G684" s="216"/>
      <c r="H684" s="217"/>
      <c r="I684" s="216"/>
      <c r="J684" s="216"/>
      <c r="K684" s="219"/>
      <c r="L684" s="218"/>
      <c r="M684" s="220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17"/>
      <c r="AD684" s="217"/>
      <c r="AE684" s="217"/>
      <c r="AF684" s="217"/>
    </row>
    <row r="685">
      <c r="A685" s="217"/>
      <c r="B685" s="217"/>
      <c r="C685" s="217"/>
      <c r="D685" s="217"/>
      <c r="E685" s="167"/>
      <c r="F685" s="217"/>
      <c r="G685" s="216"/>
      <c r="H685" s="217"/>
      <c r="I685" s="216"/>
      <c r="J685" s="216"/>
      <c r="K685" s="219"/>
      <c r="L685" s="218"/>
      <c r="M685" s="220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17"/>
      <c r="AD685" s="217"/>
      <c r="AE685" s="217"/>
      <c r="AF685" s="217"/>
    </row>
    <row r="686">
      <c r="A686" s="217"/>
      <c r="B686" s="217"/>
      <c r="C686" s="217"/>
      <c r="D686" s="217"/>
      <c r="E686" s="167"/>
      <c r="F686" s="217"/>
      <c r="G686" s="216"/>
      <c r="H686" s="217"/>
      <c r="I686" s="216"/>
      <c r="J686" s="216"/>
      <c r="K686" s="219"/>
      <c r="L686" s="218"/>
      <c r="M686" s="220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17"/>
      <c r="AD686" s="217"/>
      <c r="AE686" s="217"/>
      <c r="AF686" s="217"/>
    </row>
    <row r="687">
      <c r="A687" s="217"/>
      <c r="B687" s="217"/>
      <c r="C687" s="217"/>
      <c r="D687" s="217"/>
      <c r="E687" s="167"/>
      <c r="F687" s="217"/>
      <c r="G687" s="216"/>
      <c r="H687" s="217"/>
      <c r="I687" s="216"/>
      <c r="J687" s="216"/>
      <c r="K687" s="219"/>
      <c r="L687" s="218"/>
      <c r="M687" s="220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17"/>
      <c r="AD687" s="217"/>
      <c r="AE687" s="217"/>
      <c r="AF687" s="217"/>
    </row>
    <row r="688">
      <c r="A688" s="217"/>
      <c r="B688" s="217"/>
      <c r="C688" s="217"/>
      <c r="D688" s="217"/>
      <c r="E688" s="167"/>
      <c r="F688" s="217"/>
      <c r="G688" s="216"/>
      <c r="H688" s="217"/>
      <c r="I688" s="216"/>
      <c r="J688" s="216"/>
      <c r="K688" s="219"/>
      <c r="L688" s="218"/>
      <c r="M688" s="220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17"/>
      <c r="AD688" s="217"/>
      <c r="AE688" s="217"/>
      <c r="AF688" s="217"/>
    </row>
    <row r="689">
      <c r="A689" s="217"/>
      <c r="B689" s="217"/>
      <c r="C689" s="217"/>
      <c r="D689" s="217"/>
      <c r="E689" s="167"/>
      <c r="F689" s="217"/>
      <c r="G689" s="216"/>
      <c r="H689" s="217"/>
      <c r="I689" s="216"/>
      <c r="J689" s="216"/>
      <c r="K689" s="219"/>
      <c r="L689" s="218"/>
      <c r="M689" s="220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17"/>
      <c r="AD689" s="217"/>
      <c r="AE689" s="217"/>
      <c r="AF689" s="217"/>
    </row>
    <row r="690">
      <c r="A690" s="217"/>
      <c r="B690" s="217"/>
      <c r="C690" s="217"/>
      <c r="D690" s="217"/>
      <c r="E690" s="167"/>
      <c r="F690" s="217"/>
      <c r="G690" s="216"/>
      <c r="H690" s="217"/>
      <c r="I690" s="216"/>
      <c r="J690" s="216"/>
      <c r="K690" s="219"/>
      <c r="L690" s="218"/>
      <c r="M690" s="220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17"/>
      <c r="AD690" s="217"/>
      <c r="AE690" s="217"/>
      <c r="AF690" s="217"/>
    </row>
    <row r="691">
      <c r="A691" s="217"/>
      <c r="B691" s="217"/>
      <c r="C691" s="217"/>
      <c r="D691" s="217"/>
      <c r="E691" s="167"/>
      <c r="F691" s="217"/>
      <c r="G691" s="216"/>
      <c r="H691" s="217"/>
      <c r="I691" s="216"/>
      <c r="J691" s="216"/>
      <c r="K691" s="219"/>
      <c r="L691" s="218"/>
      <c r="M691" s="220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17"/>
      <c r="AD691" s="217"/>
      <c r="AE691" s="217"/>
      <c r="AF691" s="217"/>
    </row>
    <row r="692">
      <c r="A692" s="217"/>
      <c r="B692" s="217"/>
      <c r="C692" s="217"/>
      <c r="D692" s="217"/>
      <c r="E692" s="167"/>
      <c r="F692" s="217"/>
      <c r="G692" s="216"/>
      <c r="H692" s="217"/>
      <c r="I692" s="216"/>
      <c r="J692" s="216"/>
      <c r="K692" s="219"/>
      <c r="L692" s="218"/>
      <c r="M692" s="220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17"/>
      <c r="AD692" s="217"/>
      <c r="AE692" s="217"/>
      <c r="AF692" s="217"/>
    </row>
    <row r="693">
      <c r="A693" s="217"/>
      <c r="B693" s="217"/>
      <c r="C693" s="217"/>
      <c r="D693" s="217"/>
      <c r="E693" s="167"/>
      <c r="F693" s="217"/>
      <c r="G693" s="216"/>
      <c r="H693" s="217"/>
      <c r="I693" s="216"/>
      <c r="J693" s="216"/>
      <c r="K693" s="219"/>
      <c r="L693" s="218"/>
      <c r="M693" s="220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7"/>
      <c r="AE693" s="217"/>
      <c r="AF693" s="217"/>
    </row>
    <row r="694">
      <c r="A694" s="217"/>
      <c r="B694" s="217"/>
      <c r="C694" s="217"/>
      <c r="D694" s="217"/>
      <c r="E694" s="167"/>
      <c r="F694" s="217"/>
      <c r="G694" s="216"/>
      <c r="H694" s="217"/>
      <c r="I694" s="216"/>
      <c r="J694" s="216"/>
      <c r="K694" s="219"/>
      <c r="L694" s="218"/>
      <c r="M694" s="220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17"/>
      <c r="AD694" s="217"/>
      <c r="AE694" s="217"/>
      <c r="AF694" s="217"/>
    </row>
    <row r="695">
      <c r="A695" s="217"/>
      <c r="B695" s="217"/>
      <c r="C695" s="217"/>
      <c r="D695" s="217"/>
      <c r="E695" s="167"/>
      <c r="F695" s="217"/>
      <c r="G695" s="216"/>
      <c r="H695" s="217"/>
      <c r="I695" s="216"/>
      <c r="J695" s="216"/>
      <c r="K695" s="219"/>
      <c r="L695" s="218"/>
      <c r="M695" s="220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17"/>
      <c r="AD695" s="217"/>
      <c r="AE695" s="217"/>
      <c r="AF695" s="217"/>
    </row>
    <row r="696">
      <c r="A696" s="217"/>
      <c r="B696" s="217"/>
      <c r="C696" s="217"/>
      <c r="D696" s="217"/>
      <c r="E696" s="167"/>
      <c r="F696" s="217"/>
      <c r="G696" s="216"/>
      <c r="H696" s="217"/>
      <c r="I696" s="216"/>
      <c r="J696" s="216"/>
      <c r="K696" s="219"/>
      <c r="L696" s="218"/>
      <c r="M696" s="220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17"/>
      <c r="AD696" s="217"/>
      <c r="AE696" s="217"/>
      <c r="AF696" s="217"/>
    </row>
    <row r="697">
      <c r="A697" s="217"/>
      <c r="B697" s="217"/>
      <c r="C697" s="217"/>
      <c r="D697" s="217"/>
      <c r="E697" s="167"/>
      <c r="F697" s="217"/>
      <c r="G697" s="216"/>
      <c r="H697" s="217"/>
      <c r="I697" s="216"/>
      <c r="J697" s="216"/>
      <c r="K697" s="219"/>
      <c r="L697" s="218"/>
      <c r="M697" s="220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17"/>
      <c r="AD697" s="217"/>
      <c r="AE697" s="217"/>
      <c r="AF697" s="217"/>
    </row>
    <row r="698">
      <c r="A698" s="217"/>
      <c r="B698" s="217"/>
      <c r="C698" s="217"/>
      <c r="D698" s="217"/>
      <c r="E698" s="167"/>
      <c r="F698" s="217"/>
      <c r="G698" s="216"/>
      <c r="H698" s="217"/>
      <c r="I698" s="216"/>
      <c r="J698" s="216"/>
      <c r="K698" s="219"/>
      <c r="L698" s="218"/>
      <c r="M698" s="220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17"/>
      <c r="AD698" s="217"/>
      <c r="AE698" s="217"/>
      <c r="AF698" s="217"/>
    </row>
    <row r="699">
      <c r="A699" s="217"/>
      <c r="B699" s="217"/>
      <c r="C699" s="217"/>
      <c r="D699" s="217"/>
      <c r="E699" s="167"/>
      <c r="F699" s="217"/>
      <c r="G699" s="216"/>
      <c r="H699" s="217"/>
      <c r="I699" s="216"/>
      <c r="J699" s="216"/>
      <c r="K699" s="219"/>
      <c r="L699" s="218"/>
      <c r="M699" s="220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17"/>
      <c r="AD699" s="217"/>
      <c r="AE699" s="217"/>
      <c r="AF699" s="217"/>
    </row>
    <row r="700">
      <c r="A700" s="217"/>
      <c r="B700" s="217"/>
      <c r="C700" s="217"/>
      <c r="D700" s="217"/>
      <c r="E700" s="167"/>
      <c r="F700" s="217"/>
      <c r="G700" s="216"/>
      <c r="H700" s="217"/>
      <c r="I700" s="216"/>
      <c r="J700" s="216"/>
      <c r="K700" s="219"/>
      <c r="L700" s="218"/>
      <c r="M700" s="220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17"/>
      <c r="AD700" s="217"/>
      <c r="AE700" s="217"/>
      <c r="AF700" s="217"/>
    </row>
    <row r="701">
      <c r="A701" s="217"/>
      <c r="B701" s="217"/>
      <c r="C701" s="217"/>
      <c r="D701" s="217"/>
      <c r="E701" s="167"/>
      <c r="F701" s="217"/>
      <c r="G701" s="216"/>
      <c r="H701" s="217"/>
      <c r="I701" s="216"/>
      <c r="J701" s="216"/>
      <c r="K701" s="219"/>
      <c r="L701" s="218"/>
      <c r="M701" s="220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17"/>
      <c r="AD701" s="217"/>
      <c r="AE701" s="217"/>
      <c r="AF701" s="217"/>
    </row>
    <row r="702">
      <c r="A702" s="217"/>
      <c r="B702" s="217"/>
      <c r="C702" s="217"/>
      <c r="D702" s="217"/>
      <c r="E702" s="167"/>
      <c r="F702" s="217"/>
      <c r="G702" s="216"/>
      <c r="H702" s="217"/>
      <c r="I702" s="216"/>
      <c r="J702" s="216"/>
      <c r="K702" s="219"/>
      <c r="L702" s="218"/>
      <c r="M702" s="220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17"/>
      <c r="AD702" s="217"/>
      <c r="AE702" s="217"/>
      <c r="AF702" s="217"/>
    </row>
    <row r="703">
      <c r="A703" s="217"/>
      <c r="B703" s="217"/>
      <c r="C703" s="217"/>
      <c r="D703" s="217"/>
      <c r="E703" s="167"/>
      <c r="F703" s="217"/>
      <c r="G703" s="216"/>
      <c r="H703" s="217"/>
      <c r="I703" s="216"/>
      <c r="J703" s="216"/>
      <c r="K703" s="219"/>
      <c r="L703" s="218"/>
      <c r="M703" s="220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17"/>
      <c r="AD703" s="217"/>
      <c r="AE703" s="217"/>
      <c r="AF703" s="217"/>
    </row>
    <row r="704">
      <c r="A704" s="217"/>
      <c r="B704" s="217"/>
      <c r="C704" s="217"/>
      <c r="D704" s="217"/>
      <c r="E704" s="167"/>
      <c r="F704" s="217"/>
      <c r="G704" s="216"/>
      <c r="H704" s="217"/>
      <c r="I704" s="216"/>
      <c r="J704" s="216"/>
      <c r="K704" s="219"/>
      <c r="L704" s="218"/>
      <c r="M704" s="220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17"/>
      <c r="AD704" s="217"/>
      <c r="AE704" s="217"/>
      <c r="AF704" s="217"/>
    </row>
    <row r="705">
      <c r="A705" s="217"/>
      <c r="B705" s="217"/>
      <c r="C705" s="217"/>
      <c r="D705" s="217"/>
      <c r="E705" s="167"/>
      <c r="F705" s="217"/>
      <c r="G705" s="216"/>
      <c r="H705" s="217"/>
      <c r="I705" s="216"/>
      <c r="J705" s="216"/>
      <c r="K705" s="219"/>
      <c r="L705" s="218"/>
      <c r="M705" s="220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17"/>
      <c r="AD705" s="217"/>
      <c r="AE705" s="217"/>
      <c r="AF705" s="217"/>
    </row>
    <row r="706">
      <c r="A706" s="217"/>
      <c r="B706" s="217"/>
      <c r="C706" s="217"/>
      <c r="D706" s="217"/>
      <c r="E706" s="167"/>
      <c r="F706" s="217"/>
      <c r="G706" s="216"/>
      <c r="H706" s="217"/>
      <c r="I706" s="216"/>
      <c r="J706" s="216"/>
      <c r="K706" s="219"/>
      <c r="L706" s="218"/>
      <c r="M706" s="220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17"/>
      <c r="AD706" s="217"/>
      <c r="AE706" s="217"/>
      <c r="AF706" s="217"/>
    </row>
    <row r="707">
      <c r="A707" s="217"/>
      <c r="B707" s="217"/>
      <c r="C707" s="217"/>
      <c r="D707" s="217"/>
      <c r="E707" s="167"/>
      <c r="F707" s="217"/>
      <c r="G707" s="216"/>
      <c r="H707" s="217"/>
      <c r="I707" s="216"/>
      <c r="J707" s="216"/>
      <c r="K707" s="219"/>
      <c r="L707" s="218"/>
      <c r="M707" s="220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17"/>
      <c r="AD707" s="217"/>
      <c r="AE707" s="217"/>
      <c r="AF707" s="217"/>
    </row>
    <row r="708">
      <c r="A708" s="217"/>
      <c r="B708" s="217"/>
      <c r="C708" s="217"/>
      <c r="D708" s="217"/>
      <c r="E708" s="167"/>
      <c r="F708" s="217"/>
      <c r="G708" s="216"/>
      <c r="H708" s="217"/>
      <c r="I708" s="216"/>
      <c r="J708" s="216"/>
      <c r="K708" s="219"/>
      <c r="L708" s="218"/>
      <c r="M708" s="220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17"/>
      <c r="AD708" s="217"/>
      <c r="AE708" s="217"/>
      <c r="AF708" s="217"/>
    </row>
    <row r="709">
      <c r="A709" s="217"/>
      <c r="B709" s="217"/>
      <c r="C709" s="217"/>
      <c r="D709" s="217"/>
      <c r="E709" s="167"/>
      <c r="F709" s="217"/>
      <c r="G709" s="216"/>
      <c r="H709" s="217"/>
      <c r="I709" s="216"/>
      <c r="J709" s="216"/>
      <c r="K709" s="219"/>
      <c r="L709" s="218"/>
      <c r="M709" s="220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17"/>
      <c r="AD709" s="217"/>
      <c r="AE709" s="217"/>
      <c r="AF709" s="217"/>
    </row>
    <row r="710">
      <c r="A710" s="217"/>
      <c r="B710" s="217"/>
      <c r="C710" s="217"/>
      <c r="D710" s="217"/>
      <c r="E710" s="167"/>
      <c r="F710" s="217"/>
      <c r="G710" s="216"/>
      <c r="H710" s="217"/>
      <c r="I710" s="216"/>
      <c r="J710" s="216"/>
      <c r="K710" s="219"/>
      <c r="L710" s="218"/>
      <c r="M710" s="220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17"/>
      <c r="AD710" s="217"/>
      <c r="AE710" s="217"/>
      <c r="AF710" s="217"/>
    </row>
    <row r="711">
      <c r="A711" s="217"/>
      <c r="B711" s="217"/>
      <c r="C711" s="217"/>
      <c r="D711" s="217"/>
      <c r="E711" s="167"/>
      <c r="F711" s="217"/>
      <c r="G711" s="216"/>
      <c r="H711" s="217"/>
      <c r="I711" s="216"/>
      <c r="J711" s="216"/>
      <c r="K711" s="219"/>
      <c r="L711" s="218"/>
      <c r="M711" s="220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17"/>
      <c r="AD711" s="217"/>
      <c r="AE711" s="217"/>
      <c r="AF711" s="217"/>
    </row>
    <row r="712">
      <c r="A712" s="217"/>
      <c r="B712" s="217"/>
      <c r="C712" s="217"/>
      <c r="D712" s="217"/>
      <c r="E712" s="167"/>
      <c r="F712" s="217"/>
      <c r="G712" s="216"/>
      <c r="H712" s="217"/>
      <c r="I712" s="216"/>
      <c r="J712" s="216"/>
      <c r="K712" s="219"/>
      <c r="L712" s="218"/>
      <c r="M712" s="220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17"/>
      <c r="AD712" s="217"/>
      <c r="AE712" s="217"/>
      <c r="AF712" s="217"/>
    </row>
    <row r="713">
      <c r="A713" s="217"/>
      <c r="B713" s="217"/>
      <c r="C713" s="217"/>
      <c r="D713" s="217"/>
      <c r="E713" s="167"/>
      <c r="F713" s="217"/>
      <c r="G713" s="216"/>
      <c r="H713" s="217"/>
      <c r="I713" s="216"/>
      <c r="J713" s="216"/>
      <c r="K713" s="219"/>
      <c r="L713" s="218"/>
      <c r="M713" s="220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17"/>
      <c r="AD713" s="217"/>
      <c r="AE713" s="217"/>
      <c r="AF713" s="217"/>
    </row>
    <row r="714">
      <c r="A714" s="217"/>
      <c r="B714" s="217"/>
      <c r="C714" s="217"/>
      <c r="D714" s="217"/>
      <c r="E714" s="167"/>
      <c r="F714" s="217"/>
      <c r="G714" s="216"/>
      <c r="H714" s="217"/>
      <c r="I714" s="216"/>
      <c r="J714" s="216"/>
      <c r="K714" s="219"/>
      <c r="L714" s="218"/>
      <c r="M714" s="220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17"/>
      <c r="AD714" s="217"/>
      <c r="AE714" s="217"/>
      <c r="AF714" s="217"/>
    </row>
    <row r="715">
      <c r="A715" s="217"/>
      <c r="B715" s="217"/>
      <c r="C715" s="217"/>
      <c r="D715" s="217"/>
      <c r="E715" s="167"/>
      <c r="F715" s="217"/>
      <c r="G715" s="216"/>
      <c r="H715" s="217"/>
      <c r="I715" s="216"/>
      <c r="J715" s="216"/>
      <c r="K715" s="219"/>
      <c r="L715" s="218"/>
      <c r="M715" s="220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17"/>
      <c r="AD715" s="217"/>
      <c r="AE715" s="217"/>
      <c r="AF715" s="217"/>
    </row>
    <row r="716">
      <c r="A716" s="217"/>
      <c r="B716" s="217"/>
      <c r="C716" s="217"/>
      <c r="D716" s="217"/>
      <c r="E716" s="167"/>
      <c r="F716" s="217"/>
      <c r="G716" s="216"/>
      <c r="H716" s="217"/>
      <c r="I716" s="216"/>
      <c r="J716" s="216"/>
      <c r="K716" s="219"/>
      <c r="L716" s="218"/>
      <c r="M716" s="220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17"/>
      <c r="AD716" s="217"/>
      <c r="AE716" s="217"/>
      <c r="AF716" s="217"/>
    </row>
    <row r="717">
      <c r="A717" s="217"/>
      <c r="B717" s="217"/>
      <c r="C717" s="217"/>
      <c r="D717" s="217"/>
      <c r="E717" s="167"/>
      <c r="F717" s="217"/>
      <c r="G717" s="216"/>
      <c r="H717" s="217"/>
      <c r="I717" s="216"/>
      <c r="J717" s="216"/>
      <c r="K717" s="219"/>
      <c r="L717" s="218"/>
      <c r="M717" s="220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17"/>
      <c r="AD717" s="217"/>
      <c r="AE717" s="217"/>
      <c r="AF717" s="217"/>
    </row>
    <row r="718">
      <c r="A718" s="217"/>
      <c r="B718" s="217"/>
      <c r="C718" s="217"/>
      <c r="D718" s="217"/>
      <c r="E718" s="167"/>
      <c r="F718" s="217"/>
      <c r="G718" s="216"/>
      <c r="H718" s="217"/>
      <c r="I718" s="216"/>
      <c r="J718" s="216"/>
      <c r="K718" s="219"/>
      <c r="L718" s="218"/>
      <c r="M718" s="220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17"/>
      <c r="AD718" s="217"/>
      <c r="AE718" s="217"/>
      <c r="AF718" s="217"/>
    </row>
    <row r="719">
      <c r="A719" s="217"/>
      <c r="B719" s="217"/>
      <c r="C719" s="217"/>
      <c r="D719" s="217"/>
      <c r="E719" s="167"/>
      <c r="F719" s="217"/>
      <c r="G719" s="216"/>
      <c r="H719" s="217"/>
      <c r="I719" s="216"/>
      <c r="J719" s="216"/>
      <c r="K719" s="219"/>
      <c r="L719" s="218"/>
      <c r="M719" s="220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17"/>
      <c r="AD719" s="217"/>
      <c r="AE719" s="217"/>
      <c r="AF719" s="217"/>
    </row>
    <row r="720">
      <c r="A720" s="217"/>
      <c r="B720" s="217"/>
      <c r="C720" s="217"/>
      <c r="D720" s="217"/>
      <c r="E720" s="167"/>
      <c r="F720" s="217"/>
      <c r="G720" s="216"/>
      <c r="H720" s="217"/>
      <c r="I720" s="216"/>
      <c r="J720" s="216"/>
      <c r="K720" s="219"/>
      <c r="L720" s="218"/>
      <c r="M720" s="220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17"/>
      <c r="AD720" s="217"/>
      <c r="AE720" s="217"/>
      <c r="AF720" s="217"/>
    </row>
    <row r="721">
      <c r="A721" s="217"/>
      <c r="B721" s="217"/>
      <c r="C721" s="217"/>
      <c r="D721" s="217"/>
      <c r="E721" s="167"/>
      <c r="F721" s="217"/>
      <c r="G721" s="216"/>
      <c r="H721" s="217"/>
      <c r="I721" s="216"/>
      <c r="J721" s="216"/>
      <c r="K721" s="219"/>
      <c r="L721" s="218"/>
      <c r="M721" s="220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17"/>
      <c r="AD721" s="217"/>
      <c r="AE721" s="217"/>
      <c r="AF721" s="217"/>
    </row>
    <row r="722">
      <c r="A722" s="217"/>
      <c r="B722" s="217"/>
      <c r="C722" s="217"/>
      <c r="D722" s="217"/>
      <c r="E722" s="167"/>
      <c r="F722" s="217"/>
      <c r="G722" s="216"/>
      <c r="H722" s="217"/>
      <c r="I722" s="216"/>
      <c r="J722" s="216"/>
      <c r="K722" s="219"/>
      <c r="L722" s="218"/>
      <c r="M722" s="220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17"/>
      <c r="AD722" s="217"/>
      <c r="AE722" s="217"/>
      <c r="AF722" s="217"/>
    </row>
    <row r="723">
      <c r="A723" s="217"/>
      <c r="B723" s="217"/>
      <c r="C723" s="217"/>
      <c r="D723" s="217"/>
      <c r="E723" s="167"/>
      <c r="F723" s="217"/>
      <c r="G723" s="216"/>
      <c r="H723" s="217"/>
      <c r="I723" s="216"/>
      <c r="J723" s="216"/>
      <c r="K723" s="219"/>
      <c r="L723" s="218"/>
      <c r="M723" s="220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17"/>
      <c r="AD723" s="217"/>
      <c r="AE723" s="217"/>
      <c r="AF723" s="217"/>
    </row>
    <row r="724">
      <c r="A724" s="217"/>
      <c r="B724" s="217"/>
      <c r="C724" s="217"/>
      <c r="D724" s="217"/>
      <c r="E724" s="167"/>
      <c r="F724" s="217"/>
      <c r="G724" s="216"/>
      <c r="H724" s="217"/>
      <c r="I724" s="216"/>
      <c r="J724" s="216"/>
      <c r="K724" s="219"/>
      <c r="L724" s="218"/>
      <c r="M724" s="220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17"/>
      <c r="AD724" s="217"/>
      <c r="AE724" s="217"/>
      <c r="AF724" s="217"/>
    </row>
    <row r="725">
      <c r="A725" s="217"/>
      <c r="B725" s="217"/>
      <c r="C725" s="217"/>
      <c r="D725" s="217"/>
      <c r="E725" s="167"/>
      <c r="F725" s="217"/>
      <c r="G725" s="216"/>
      <c r="H725" s="217"/>
      <c r="I725" s="216"/>
      <c r="J725" s="216"/>
      <c r="K725" s="219"/>
      <c r="L725" s="218"/>
      <c r="M725" s="220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17"/>
      <c r="AD725" s="217"/>
      <c r="AE725" s="217"/>
      <c r="AF725" s="217"/>
    </row>
    <row r="726">
      <c r="A726" s="217"/>
      <c r="B726" s="217"/>
      <c r="C726" s="217"/>
      <c r="D726" s="217"/>
      <c r="E726" s="167"/>
      <c r="F726" s="217"/>
      <c r="G726" s="216"/>
      <c r="H726" s="217"/>
      <c r="I726" s="216"/>
      <c r="J726" s="216"/>
      <c r="K726" s="219"/>
      <c r="L726" s="218"/>
      <c r="M726" s="220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17"/>
      <c r="AD726" s="217"/>
      <c r="AE726" s="217"/>
      <c r="AF726" s="217"/>
    </row>
    <row r="727">
      <c r="A727" s="217"/>
      <c r="B727" s="217"/>
      <c r="C727" s="217"/>
      <c r="D727" s="217"/>
      <c r="E727" s="167"/>
      <c r="F727" s="217"/>
      <c r="G727" s="216"/>
      <c r="H727" s="217"/>
      <c r="I727" s="216"/>
      <c r="J727" s="216"/>
      <c r="K727" s="219"/>
      <c r="L727" s="218"/>
      <c r="M727" s="220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17"/>
      <c r="AD727" s="217"/>
      <c r="AE727" s="217"/>
      <c r="AF727" s="217"/>
    </row>
    <row r="728">
      <c r="A728" s="217"/>
      <c r="B728" s="217"/>
      <c r="C728" s="217"/>
      <c r="D728" s="217"/>
      <c r="E728" s="167"/>
      <c r="F728" s="217"/>
      <c r="G728" s="216"/>
      <c r="H728" s="217"/>
      <c r="I728" s="216"/>
      <c r="J728" s="216"/>
      <c r="K728" s="219"/>
      <c r="L728" s="218"/>
      <c r="M728" s="220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17"/>
      <c r="AD728" s="217"/>
      <c r="AE728" s="217"/>
      <c r="AF728" s="217"/>
    </row>
    <row r="729">
      <c r="A729" s="217"/>
      <c r="B729" s="217"/>
      <c r="C729" s="217"/>
      <c r="D729" s="217"/>
      <c r="E729" s="167"/>
      <c r="F729" s="217"/>
      <c r="G729" s="216"/>
      <c r="H729" s="217"/>
      <c r="I729" s="216"/>
      <c r="J729" s="216"/>
      <c r="K729" s="219"/>
      <c r="L729" s="218"/>
      <c r="M729" s="220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17"/>
      <c r="AD729" s="217"/>
      <c r="AE729" s="217"/>
      <c r="AF729" s="217"/>
    </row>
    <row r="730">
      <c r="A730" s="217"/>
      <c r="B730" s="217"/>
      <c r="C730" s="217"/>
      <c r="D730" s="217"/>
      <c r="E730" s="167"/>
      <c r="F730" s="217"/>
      <c r="G730" s="216"/>
      <c r="H730" s="217"/>
      <c r="I730" s="216"/>
      <c r="J730" s="216"/>
      <c r="K730" s="219"/>
      <c r="L730" s="218"/>
      <c r="M730" s="220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17"/>
      <c r="AD730" s="217"/>
      <c r="AE730" s="217"/>
      <c r="AF730" s="217"/>
    </row>
    <row r="731">
      <c r="A731" s="217"/>
      <c r="B731" s="217"/>
      <c r="C731" s="217"/>
      <c r="D731" s="217"/>
      <c r="E731" s="167"/>
      <c r="F731" s="217"/>
      <c r="G731" s="216"/>
      <c r="H731" s="217"/>
      <c r="I731" s="216"/>
      <c r="J731" s="216"/>
      <c r="K731" s="219"/>
      <c r="L731" s="218"/>
      <c r="M731" s="220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17"/>
      <c r="AD731" s="217"/>
      <c r="AE731" s="217"/>
      <c r="AF731" s="217"/>
    </row>
    <row r="732">
      <c r="A732" s="217"/>
      <c r="B732" s="217"/>
      <c r="C732" s="217"/>
      <c r="D732" s="217"/>
      <c r="E732" s="167"/>
      <c r="F732" s="217"/>
      <c r="G732" s="216"/>
      <c r="H732" s="217"/>
      <c r="I732" s="216"/>
      <c r="J732" s="216"/>
      <c r="K732" s="219"/>
      <c r="L732" s="218"/>
      <c r="M732" s="220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17"/>
      <c r="AD732" s="217"/>
      <c r="AE732" s="217"/>
      <c r="AF732" s="217"/>
    </row>
    <row r="733">
      <c r="A733" s="217"/>
      <c r="B733" s="217"/>
      <c r="C733" s="217"/>
      <c r="D733" s="217"/>
      <c r="E733" s="167"/>
      <c r="F733" s="217"/>
      <c r="G733" s="216"/>
      <c r="H733" s="217"/>
      <c r="I733" s="216"/>
      <c r="J733" s="216"/>
      <c r="K733" s="219"/>
      <c r="L733" s="218"/>
      <c r="M733" s="220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17"/>
      <c r="AD733" s="217"/>
      <c r="AE733" s="217"/>
      <c r="AF733" s="217"/>
    </row>
    <row r="734">
      <c r="A734" s="217"/>
      <c r="B734" s="217"/>
      <c r="C734" s="217"/>
      <c r="D734" s="217"/>
      <c r="E734" s="167"/>
      <c r="F734" s="217"/>
      <c r="G734" s="216"/>
      <c r="H734" s="217"/>
      <c r="I734" s="216"/>
      <c r="J734" s="216"/>
      <c r="K734" s="219"/>
      <c r="L734" s="218"/>
      <c r="M734" s="220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17"/>
      <c r="AD734" s="217"/>
      <c r="AE734" s="217"/>
      <c r="AF734" s="217"/>
    </row>
    <row r="735">
      <c r="A735" s="217"/>
      <c r="B735" s="217"/>
      <c r="C735" s="217"/>
      <c r="D735" s="217"/>
      <c r="E735" s="167"/>
      <c r="F735" s="217"/>
      <c r="G735" s="216"/>
      <c r="H735" s="217"/>
      <c r="I735" s="216"/>
      <c r="J735" s="216"/>
      <c r="K735" s="219"/>
      <c r="L735" s="218"/>
      <c r="M735" s="220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17"/>
      <c r="AD735" s="217"/>
      <c r="AE735" s="217"/>
      <c r="AF735" s="217"/>
    </row>
    <row r="736">
      <c r="A736" s="217"/>
      <c r="B736" s="217"/>
      <c r="C736" s="217"/>
      <c r="D736" s="217"/>
      <c r="E736" s="167"/>
      <c r="F736" s="217"/>
      <c r="G736" s="216"/>
      <c r="H736" s="217"/>
      <c r="I736" s="216"/>
      <c r="J736" s="216"/>
      <c r="K736" s="219"/>
      <c r="L736" s="218"/>
      <c r="M736" s="220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17"/>
      <c r="AD736" s="217"/>
      <c r="AE736" s="217"/>
      <c r="AF736" s="217"/>
    </row>
    <row r="737">
      <c r="A737" s="217"/>
      <c r="B737" s="217"/>
      <c r="C737" s="217"/>
      <c r="D737" s="217"/>
      <c r="E737" s="167"/>
      <c r="F737" s="217"/>
      <c r="G737" s="216"/>
      <c r="H737" s="217"/>
      <c r="I737" s="216"/>
      <c r="J737" s="216"/>
      <c r="K737" s="219"/>
      <c r="L737" s="218"/>
      <c r="M737" s="220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17"/>
      <c r="AD737" s="217"/>
      <c r="AE737" s="217"/>
      <c r="AF737" s="217"/>
    </row>
    <row r="738">
      <c r="A738" s="217"/>
      <c r="B738" s="217"/>
      <c r="C738" s="217"/>
      <c r="D738" s="217"/>
      <c r="E738" s="167"/>
      <c r="F738" s="217"/>
      <c r="G738" s="216"/>
      <c r="H738" s="217"/>
      <c r="I738" s="216"/>
      <c r="J738" s="216"/>
      <c r="K738" s="219"/>
      <c r="L738" s="218"/>
      <c r="M738" s="220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17"/>
      <c r="AD738" s="217"/>
      <c r="AE738" s="217"/>
      <c r="AF738" s="217"/>
    </row>
    <row r="739">
      <c r="A739" s="217"/>
      <c r="B739" s="217"/>
      <c r="C739" s="217"/>
      <c r="D739" s="217"/>
      <c r="E739" s="167"/>
      <c r="F739" s="217"/>
      <c r="G739" s="216"/>
      <c r="H739" s="217"/>
      <c r="I739" s="216"/>
      <c r="J739" s="216"/>
      <c r="K739" s="219"/>
      <c r="L739" s="218"/>
      <c r="M739" s="220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17"/>
      <c r="AD739" s="217"/>
      <c r="AE739" s="217"/>
      <c r="AF739" s="217"/>
    </row>
    <row r="740">
      <c r="A740" s="217"/>
      <c r="B740" s="217"/>
      <c r="C740" s="217"/>
      <c r="D740" s="217"/>
      <c r="E740" s="167"/>
      <c r="F740" s="217"/>
      <c r="G740" s="216"/>
      <c r="H740" s="217"/>
      <c r="I740" s="216"/>
      <c r="J740" s="216"/>
      <c r="K740" s="219"/>
      <c r="L740" s="218"/>
      <c r="M740" s="220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17"/>
      <c r="AD740" s="217"/>
      <c r="AE740" s="217"/>
      <c r="AF740" s="217"/>
    </row>
    <row r="741">
      <c r="A741" s="217"/>
      <c r="B741" s="217"/>
      <c r="C741" s="217"/>
      <c r="D741" s="217"/>
      <c r="E741" s="167"/>
      <c r="F741" s="217"/>
      <c r="G741" s="216"/>
      <c r="H741" s="217"/>
      <c r="I741" s="216"/>
      <c r="J741" s="216"/>
      <c r="K741" s="219"/>
      <c r="L741" s="218"/>
      <c r="M741" s="220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17"/>
      <c r="AD741" s="217"/>
      <c r="AE741" s="217"/>
      <c r="AF741" s="217"/>
    </row>
    <row r="742">
      <c r="A742" s="217"/>
      <c r="B742" s="217"/>
      <c r="C742" s="217"/>
      <c r="D742" s="217"/>
      <c r="E742" s="167"/>
      <c r="F742" s="217"/>
      <c r="G742" s="216"/>
      <c r="H742" s="217"/>
      <c r="I742" s="216"/>
      <c r="J742" s="216"/>
      <c r="K742" s="219"/>
      <c r="L742" s="218"/>
      <c r="M742" s="220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17"/>
      <c r="AD742" s="217"/>
      <c r="AE742" s="217"/>
      <c r="AF742" s="217"/>
    </row>
    <row r="743">
      <c r="A743" s="217"/>
      <c r="B743" s="217"/>
      <c r="C743" s="217"/>
      <c r="D743" s="217"/>
      <c r="E743" s="167"/>
      <c r="F743" s="217"/>
      <c r="G743" s="216"/>
      <c r="H743" s="217"/>
      <c r="I743" s="216"/>
      <c r="J743" s="216"/>
      <c r="K743" s="219"/>
      <c r="L743" s="218"/>
      <c r="M743" s="220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17"/>
      <c r="AD743" s="217"/>
      <c r="AE743" s="217"/>
      <c r="AF743" s="217"/>
    </row>
    <row r="744">
      <c r="A744" s="217"/>
      <c r="B744" s="217"/>
      <c r="C744" s="217"/>
      <c r="D744" s="217"/>
      <c r="E744" s="167"/>
      <c r="F744" s="217"/>
      <c r="G744" s="216"/>
      <c r="H744" s="217"/>
      <c r="I744" s="216"/>
      <c r="J744" s="216"/>
      <c r="K744" s="219"/>
      <c r="L744" s="218"/>
      <c r="M744" s="220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7"/>
      <c r="AE744" s="217"/>
      <c r="AF744" s="217"/>
    </row>
    <row r="745">
      <c r="A745" s="217"/>
      <c r="B745" s="217"/>
      <c r="C745" s="217"/>
      <c r="D745" s="217"/>
      <c r="E745" s="167"/>
      <c r="F745" s="217"/>
      <c r="G745" s="216"/>
      <c r="H745" s="217"/>
      <c r="I745" s="216"/>
      <c r="J745" s="216"/>
      <c r="K745" s="219"/>
      <c r="L745" s="218"/>
      <c r="M745" s="220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17"/>
      <c r="AD745" s="217"/>
      <c r="AE745" s="217"/>
      <c r="AF745" s="217"/>
    </row>
    <row r="746">
      <c r="A746" s="217"/>
      <c r="B746" s="217"/>
      <c r="C746" s="217"/>
      <c r="D746" s="217"/>
      <c r="E746" s="167"/>
      <c r="F746" s="217"/>
      <c r="G746" s="216"/>
      <c r="H746" s="217"/>
      <c r="I746" s="216"/>
      <c r="J746" s="216"/>
      <c r="K746" s="219"/>
      <c r="L746" s="218"/>
      <c r="M746" s="220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17"/>
      <c r="AD746" s="217"/>
      <c r="AE746" s="217"/>
      <c r="AF746" s="217"/>
    </row>
    <row r="747">
      <c r="A747" s="217"/>
      <c r="B747" s="217"/>
      <c r="C747" s="217"/>
      <c r="D747" s="217"/>
      <c r="E747" s="167"/>
      <c r="F747" s="217"/>
      <c r="G747" s="216"/>
      <c r="H747" s="217"/>
      <c r="I747" s="216"/>
      <c r="J747" s="216"/>
      <c r="K747" s="219"/>
      <c r="L747" s="218"/>
      <c r="M747" s="220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17"/>
      <c r="AD747" s="217"/>
      <c r="AE747" s="217"/>
      <c r="AF747" s="217"/>
    </row>
    <row r="748">
      <c r="A748" s="217"/>
      <c r="B748" s="217"/>
      <c r="C748" s="217"/>
      <c r="D748" s="217"/>
      <c r="E748" s="167"/>
      <c r="F748" s="217"/>
      <c r="G748" s="216"/>
      <c r="H748" s="217"/>
      <c r="I748" s="216"/>
      <c r="J748" s="216"/>
      <c r="K748" s="219"/>
      <c r="L748" s="218"/>
      <c r="M748" s="220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17"/>
      <c r="AD748" s="217"/>
      <c r="AE748" s="217"/>
      <c r="AF748" s="217"/>
    </row>
    <row r="749">
      <c r="A749" s="217"/>
      <c r="B749" s="217"/>
      <c r="C749" s="217"/>
      <c r="D749" s="217"/>
      <c r="E749" s="167"/>
      <c r="F749" s="217"/>
      <c r="G749" s="216"/>
      <c r="H749" s="217"/>
      <c r="I749" s="216"/>
      <c r="J749" s="216"/>
      <c r="K749" s="219"/>
      <c r="L749" s="218"/>
      <c r="M749" s="220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17"/>
      <c r="AD749" s="217"/>
      <c r="AE749" s="217"/>
      <c r="AF749" s="217"/>
    </row>
    <row r="750">
      <c r="A750" s="217"/>
      <c r="B750" s="217"/>
      <c r="C750" s="217"/>
      <c r="D750" s="217"/>
      <c r="E750" s="167"/>
      <c r="F750" s="217"/>
      <c r="G750" s="216"/>
      <c r="H750" s="217"/>
      <c r="I750" s="216"/>
      <c r="J750" s="216"/>
      <c r="K750" s="219"/>
      <c r="L750" s="218"/>
      <c r="M750" s="220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17"/>
      <c r="AD750" s="217"/>
      <c r="AE750" s="217"/>
      <c r="AF750" s="217"/>
    </row>
    <row r="751">
      <c r="A751" s="217"/>
      <c r="B751" s="217"/>
      <c r="C751" s="217"/>
      <c r="D751" s="217"/>
      <c r="E751" s="167"/>
      <c r="F751" s="217"/>
      <c r="G751" s="216"/>
      <c r="H751" s="217"/>
      <c r="I751" s="216"/>
      <c r="J751" s="216"/>
      <c r="K751" s="219"/>
      <c r="L751" s="218"/>
      <c r="M751" s="220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17"/>
      <c r="AD751" s="217"/>
      <c r="AE751" s="217"/>
      <c r="AF751" s="217"/>
    </row>
    <row r="752">
      <c r="A752" s="217"/>
      <c r="B752" s="217"/>
      <c r="C752" s="217"/>
      <c r="D752" s="217"/>
      <c r="E752" s="167"/>
      <c r="F752" s="217"/>
      <c r="G752" s="216"/>
      <c r="H752" s="217"/>
      <c r="I752" s="216"/>
      <c r="J752" s="216"/>
      <c r="K752" s="219"/>
      <c r="L752" s="218"/>
      <c r="M752" s="220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17"/>
      <c r="AD752" s="217"/>
      <c r="AE752" s="217"/>
      <c r="AF752" s="217"/>
    </row>
    <row r="753">
      <c r="A753" s="217"/>
      <c r="B753" s="217"/>
      <c r="C753" s="217"/>
      <c r="D753" s="217"/>
      <c r="E753" s="167"/>
      <c r="F753" s="217"/>
      <c r="G753" s="216"/>
      <c r="H753" s="217"/>
      <c r="I753" s="216"/>
      <c r="J753" s="216"/>
      <c r="K753" s="219"/>
      <c r="L753" s="218"/>
      <c r="M753" s="220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17"/>
      <c r="AD753" s="217"/>
      <c r="AE753" s="217"/>
      <c r="AF753" s="217"/>
    </row>
    <row r="754">
      <c r="A754" s="217"/>
      <c r="B754" s="217"/>
      <c r="C754" s="217"/>
      <c r="D754" s="217"/>
      <c r="E754" s="167"/>
      <c r="F754" s="217"/>
      <c r="G754" s="216"/>
      <c r="H754" s="217"/>
      <c r="I754" s="216"/>
      <c r="J754" s="216"/>
      <c r="K754" s="219"/>
      <c r="L754" s="218"/>
      <c r="M754" s="220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17"/>
      <c r="AD754" s="217"/>
      <c r="AE754" s="217"/>
      <c r="AF754" s="217"/>
    </row>
    <row r="755">
      <c r="A755" s="217"/>
      <c r="B755" s="217"/>
      <c r="C755" s="217"/>
      <c r="D755" s="217"/>
      <c r="E755" s="167"/>
      <c r="F755" s="217"/>
      <c r="G755" s="216"/>
      <c r="H755" s="217"/>
      <c r="I755" s="216"/>
      <c r="J755" s="216"/>
      <c r="K755" s="219"/>
      <c r="L755" s="218"/>
      <c r="M755" s="220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17"/>
      <c r="AD755" s="217"/>
      <c r="AE755" s="217"/>
      <c r="AF755" s="217"/>
    </row>
    <row r="756">
      <c r="A756" s="217"/>
      <c r="B756" s="217"/>
      <c r="C756" s="217"/>
      <c r="D756" s="217"/>
      <c r="E756" s="167"/>
      <c r="F756" s="217"/>
      <c r="G756" s="216"/>
      <c r="H756" s="217"/>
      <c r="I756" s="216"/>
      <c r="J756" s="216"/>
      <c r="K756" s="219"/>
      <c r="L756" s="218"/>
      <c r="M756" s="220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17"/>
      <c r="AD756" s="217"/>
      <c r="AE756" s="217"/>
      <c r="AF756" s="217"/>
    </row>
    <row r="757">
      <c r="A757" s="217"/>
      <c r="B757" s="217"/>
      <c r="C757" s="217"/>
      <c r="D757" s="217"/>
      <c r="E757" s="167"/>
      <c r="F757" s="217"/>
      <c r="G757" s="216"/>
      <c r="H757" s="217"/>
      <c r="I757" s="216"/>
      <c r="J757" s="216"/>
      <c r="K757" s="219"/>
      <c r="L757" s="218"/>
      <c r="M757" s="220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17"/>
      <c r="AD757" s="217"/>
      <c r="AE757" s="217"/>
      <c r="AF757" s="217"/>
    </row>
    <row r="758">
      <c r="A758" s="217"/>
      <c r="B758" s="217"/>
      <c r="C758" s="217"/>
      <c r="D758" s="217"/>
      <c r="E758" s="167"/>
      <c r="F758" s="217"/>
      <c r="G758" s="216"/>
      <c r="H758" s="217"/>
      <c r="I758" s="216"/>
      <c r="J758" s="216"/>
      <c r="K758" s="219"/>
      <c r="L758" s="218"/>
      <c r="M758" s="220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17"/>
      <c r="AD758" s="217"/>
      <c r="AE758" s="217"/>
      <c r="AF758" s="217"/>
    </row>
    <row r="759">
      <c r="A759" s="217"/>
      <c r="B759" s="217"/>
      <c r="C759" s="217"/>
      <c r="D759" s="217"/>
      <c r="E759" s="167"/>
      <c r="F759" s="217"/>
      <c r="G759" s="216"/>
      <c r="H759" s="217"/>
      <c r="I759" s="216"/>
      <c r="J759" s="216"/>
      <c r="K759" s="219"/>
      <c r="L759" s="218"/>
      <c r="M759" s="220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17"/>
      <c r="AD759" s="217"/>
      <c r="AE759" s="217"/>
      <c r="AF759" s="217"/>
    </row>
    <row r="760">
      <c r="A760" s="217"/>
      <c r="B760" s="217"/>
      <c r="C760" s="217"/>
      <c r="D760" s="217"/>
      <c r="E760" s="167"/>
      <c r="F760" s="217"/>
      <c r="G760" s="216"/>
      <c r="H760" s="217"/>
      <c r="I760" s="216"/>
      <c r="J760" s="216"/>
      <c r="K760" s="219"/>
      <c r="L760" s="218"/>
      <c r="M760" s="220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17"/>
      <c r="AD760" s="217"/>
      <c r="AE760" s="217"/>
      <c r="AF760" s="217"/>
    </row>
    <row r="761">
      <c r="A761" s="217"/>
      <c r="B761" s="217"/>
      <c r="C761" s="217"/>
      <c r="D761" s="217"/>
      <c r="E761" s="167"/>
      <c r="F761" s="217"/>
      <c r="G761" s="216"/>
      <c r="H761" s="217"/>
      <c r="I761" s="216"/>
      <c r="J761" s="216"/>
      <c r="K761" s="219"/>
      <c r="L761" s="218"/>
      <c r="M761" s="220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17"/>
      <c r="AD761" s="217"/>
      <c r="AE761" s="217"/>
      <c r="AF761" s="217"/>
    </row>
    <row r="762">
      <c r="A762" s="217"/>
      <c r="B762" s="217"/>
      <c r="C762" s="217"/>
      <c r="D762" s="217"/>
      <c r="E762" s="167"/>
      <c r="F762" s="217"/>
      <c r="G762" s="216"/>
      <c r="H762" s="217"/>
      <c r="I762" s="216"/>
      <c r="J762" s="216"/>
      <c r="K762" s="219"/>
      <c r="L762" s="218"/>
      <c r="M762" s="220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17"/>
      <c r="AD762" s="217"/>
      <c r="AE762" s="217"/>
      <c r="AF762" s="217"/>
    </row>
    <row r="763">
      <c r="A763" s="217"/>
      <c r="B763" s="217"/>
      <c r="C763" s="217"/>
      <c r="D763" s="217"/>
      <c r="E763" s="167"/>
      <c r="F763" s="217"/>
      <c r="G763" s="216"/>
      <c r="H763" s="217"/>
      <c r="I763" s="216"/>
      <c r="J763" s="216"/>
      <c r="K763" s="219"/>
      <c r="L763" s="218"/>
      <c r="M763" s="220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17"/>
      <c r="AD763" s="217"/>
      <c r="AE763" s="217"/>
      <c r="AF763" s="217"/>
    </row>
    <row r="764">
      <c r="A764" s="217"/>
      <c r="B764" s="217"/>
      <c r="C764" s="217"/>
      <c r="D764" s="217"/>
      <c r="E764" s="167"/>
      <c r="F764" s="217"/>
      <c r="G764" s="216"/>
      <c r="H764" s="217"/>
      <c r="I764" s="216"/>
      <c r="J764" s="216"/>
      <c r="K764" s="219"/>
      <c r="L764" s="218"/>
      <c r="M764" s="220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17"/>
      <c r="AD764" s="217"/>
      <c r="AE764" s="217"/>
      <c r="AF764" s="217"/>
    </row>
    <row r="765">
      <c r="A765" s="217"/>
      <c r="B765" s="217"/>
      <c r="C765" s="217"/>
      <c r="D765" s="217"/>
      <c r="E765" s="167"/>
      <c r="F765" s="217"/>
      <c r="G765" s="216"/>
      <c r="H765" s="217"/>
      <c r="I765" s="216"/>
      <c r="J765" s="216"/>
      <c r="K765" s="219"/>
      <c r="L765" s="218"/>
      <c r="M765" s="220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17"/>
      <c r="AD765" s="217"/>
      <c r="AE765" s="217"/>
      <c r="AF765" s="217"/>
    </row>
    <row r="766">
      <c r="A766" s="217"/>
      <c r="B766" s="217"/>
      <c r="C766" s="217"/>
      <c r="D766" s="217"/>
      <c r="E766" s="167"/>
      <c r="F766" s="217"/>
      <c r="G766" s="216"/>
      <c r="H766" s="217"/>
      <c r="I766" s="216"/>
      <c r="J766" s="216"/>
      <c r="K766" s="219"/>
      <c r="L766" s="218"/>
      <c r="M766" s="220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17"/>
      <c r="AD766" s="217"/>
      <c r="AE766" s="217"/>
      <c r="AF766" s="217"/>
    </row>
    <row r="767">
      <c r="A767" s="217"/>
      <c r="B767" s="217"/>
      <c r="C767" s="217"/>
      <c r="D767" s="217"/>
      <c r="E767" s="167"/>
      <c r="F767" s="217"/>
      <c r="G767" s="216"/>
      <c r="H767" s="217"/>
      <c r="I767" s="216"/>
      <c r="J767" s="216"/>
      <c r="K767" s="219"/>
      <c r="L767" s="218"/>
      <c r="M767" s="220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17"/>
      <c r="AD767" s="217"/>
      <c r="AE767" s="217"/>
      <c r="AF767" s="217"/>
    </row>
    <row r="768">
      <c r="A768" s="217"/>
      <c r="B768" s="217"/>
      <c r="C768" s="217"/>
      <c r="D768" s="217"/>
      <c r="E768" s="167"/>
      <c r="F768" s="217"/>
      <c r="G768" s="216"/>
      <c r="H768" s="217"/>
      <c r="I768" s="216"/>
      <c r="J768" s="216"/>
      <c r="K768" s="219"/>
      <c r="L768" s="218"/>
      <c r="M768" s="220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17"/>
      <c r="AD768" s="217"/>
      <c r="AE768" s="217"/>
      <c r="AF768" s="217"/>
    </row>
    <row r="769">
      <c r="A769" s="217"/>
      <c r="B769" s="217"/>
      <c r="C769" s="217"/>
      <c r="D769" s="217"/>
      <c r="E769" s="167"/>
      <c r="F769" s="217"/>
      <c r="G769" s="216"/>
      <c r="H769" s="217"/>
      <c r="I769" s="216"/>
      <c r="J769" s="216"/>
      <c r="K769" s="219"/>
      <c r="L769" s="218"/>
      <c r="M769" s="220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17"/>
      <c r="AD769" s="217"/>
      <c r="AE769" s="217"/>
      <c r="AF769" s="217"/>
    </row>
    <row r="770">
      <c r="A770" s="217"/>
      <c r="B770" s="217"/>
      <c r="C770" s="217"/>
      <c r="D770" s="217"/>
      <c r="E770" s="167"/>
      <c r="F770" s="217"/>
      <c r="G770" s="216"/>
      <c r="H770" s="217"/>
      <c r="I770" s="216"/>
      <c r="J770" s="216"/>
      <c r="K770" s="219"/>
      <c r="L770" s="218"/>
      <c r="M770" s="220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17"/>
      <c r="AD770" s="217"/>
      <c r="AE770" s="217"/>
      <c r="AF770" s="217"/>
    </row>
    <row r="771">
      <c r="A771" s="217"/>
      <c r="B771" s="217"/>
      <c r="C771" s="217"/>
      <c r="D771" s="217"/>
      <c r="E771" s="167"/>
      <c r="F771" s="217"/>
      <c r="G771" s="216"/>
      <c r="H771" s="217"/>
      <c r="I771" s="216"/>
      <c r="J771" s="216"/>
      <c r="K771" s="219"/>
      <c r="L771" s="218"/>
      <c r="M771" s="220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17"/>
      <c r="AD771" s="217"/>
      <c r="AE771" s="217"/>
      <c r="AF771" s="217"/>
    </row>
    <row r="772">
      <c r="A772" s="217"/>
      <c r="B772" s="217"/>
      <c r="C772" s="217"/>
      <c r="D772" s="217"/>
      <c r="E772" s="167"/>
      <c r="F772" s="217"/>
      <c r="G772" s="216"/>
      <c r="H772" s="217"/>
      <c r="I772" s="216"/>
      <c r="J772" s="216"/>
      <c r="K772" s="219"/>
      <c r="L772" s="218"/>
      <c r="M772" s="220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17"/>
      <c r="AD772" s="217"/>
      <c r="AE772" s="217"/>
      <c r="AF772" s="217"/>
    </row>
    <row r="773">
      <c r="A773" s="217"/>
      <c r="B773" s="217"/>
      <c r="C773" s="217"/>
      <c r="D773" s="217"/>
      <c r="E773" s="167"/>
      <c r="F773" s="217"/>
      <c r="G773" s="216"/>
      <c r="H773" s="217"/>
      <c r="I773" s="216"/>
      <c r="J773" s="216"/>
      <c r="K773" s="219"/>
      <c r="L773" s="218"/>
      <c r="M773" s="220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17"/>
      <c r="AD773" s="217"/>
      <c r="AE773" s="217"/>
      <c r="AF773" s="217"/>
    </row>
    <row r="774">
      <c r="A774" s="217"/>
      <c r="B774" s="217"/>
      <c r="C774" s="217"/>
      <c r="D774" s="217"/>
      <c r="E774" s="167"/>
      <c r="F774" s="217"/>
      <c r="G774" s="216"/>
      <c r="H774" s="217"/>
      <c r="I774" s="216"/>
      <c r="J774" s="216"/>
      <c r="K774" s="219"/>
      <c r="L774" s="218"/>
      <c r="M774" s="220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17"/>
      <c r="AD774" s="217"/>
      <c r="AE774" s="217"/>
      <c r="AF774" s="217"/>
    </row>
    <row r="775">
      <c r="A775" s="217"/>
      <c r="B775" s="217"/>
      <c r="C775" s="217"/>
      <c r="D775" s="217"/>
      <c r="E775" s="167"/>
      <c r="F775" s="217"/>
      <c r="G775" s="216"/>
      <c r="H775" s="217"/>
      <c r="I775" s="216"/>
      <c r="J775" s="216"/>
      <c r="K775" s="219"/>
      <c r="L775" s="218"/>
      <c r="M775" s="220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17"/>
      <c r="AD775" s="217"/>
      <c r="AE775" s="217"/>
      <c r="AF775" s="217"/>
    </row>
    <row r="776">
      <c r="A776" s="217"/>
      <c r="B776" s="217"/>
      <c r="C776" s="217"/>
      <c r="D776" s="217"/>
      <c r="E776" s="167"/>
      <c r="F776" s="217"/>
      <c r="G776" s="216"/>
      <c r="H776" s="217"/>
      <c r="I776" s="216"/>
      <c r="J776" s="216"/>
      <c r="K776" s="219"/>
      <c r="L776" s="218"/>
      <c r="M776" s="220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17"/>
      <c r="AD776" s="217"/>
      <c r="AE776" s="217"/>
      <c r="AF776" s="217"/>
    </row>
    <row r="777">
      <c r="A777" s="217"/>
      <c r="B777" s="217"/>
      <c r="C777" s="217"/>
      <c r="D777" s="217"/>
      <c r="E777" s="167"/>
      <c r="F777" s="217"/>
      <c r="G777" s="216"/>
      <c r="H777" s="217"/>
      <c r="I777" s="216"/>
      <c r="J777" s="216"/>
      <c r="K777" s="219"/>
      <c r="L777" s="218"/>
      <c r="M777" s="220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17"/>
      <c r="AD777" s="217"/>
      <c r="AE777" s="217"/>
      <c r="AF777" s="217"/>
    </row>
    <row r="778">
      <c r="A778" s="217"/>
      <c r="B778" s="217"/>
      <c r="C778" s="217"/>
      <c r="D778" s="217"/>
      <c r="E778" s="167"/>
      <c r="F778" s="217"/>
      <c r="G778" s="216"/>
      <c r="H778" s="217"/>
      <c r="I778" s="216"/>
      <c r="J778" s="216"/>
      <c r="K778" s="219"/>
      <c r="L778" s="218"/>
      <c r="M778" s="220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17"/>
      <c r="AD778" s="217"/>
      <c r="AE778" s="217"/>
      <c r="AF778" s="217"/>
    </row>
    <row r="779">
      <c r="A779" s="217"/>
      <c r="B779" s="217"/>
      <c r="C779" s="217"/>
      <c r="D779" s="217"/>
      <c r="E779" s="167"/>
      <c r="F779" s="217"/>
      <c r="G779" s="216"/>
      <c r="H779" s="217"/>
      <c r="I779" s="216"/>
      <c r="J779" s="216"/>
      <c r="K779" s="219"/>
      <c r="L779" s="218"/>
      <c r="M779" s="220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17"/>
      <c r="AD779" s="217"/>
      <c r="AE779" s="217"/>
      <c r="AF779" s="217"/>
    </row>
    <row r="780">
      <c r="A780" s="217"/>
      <c r="B780" s="217"/>
      <c r="C780" s="217"/>
      <c r="D780" s="217"/>
      <c r="E780" s="167"/>
      <c r="F780" s="217"/>
      <c r="G780" s="216"/>
      <c r="H780" s="217"/>
      <c r="I780" s="216"/>
      <c r="J780" s="216"/>
      <c r="K780" s="219"/>
      <c r="L780" s="218"/>
      <c r="M780" s="220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17"/>
      <c r="AD780" s="217"/>
      <c r="AE780" s="217"/>
      <c r="AF780" s="217"/>
    </row>
    <row r="781">
      <c r="A781" s="217"/>
      <c r="B781" s="217"/>
      <c r="C781" s="217"/>
      <c r="D781" s="217"/>
      <c r="E781" s="167"/>
      <c r="F781" s="217"/>
      <c r="G781" s="216"/>
      <c r="H781" s="217"/>
      <c r="I781" s="216"/>
      <c r="J781" s="216"/>
      <c r="K781" s="219"/>
      <c r="L781" s="218"/>
      <c r="M781" s="220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17"/>
      <c r="AD781" s="217"/>
      <c r="AE781" s="217"/>
      <c r="AF781" s="217"/>
    </row>
    <row r="782">
      <c r="A782" s="217"/>
      <c r="B782" s="217"/>
      <c r="C782" s="217"/>
      <c r="D782" s="217"/>
      <c r="E782" s="167"/>
      <c r="F782" s="217"/>
      <c r="G782" s="216"/>
      <c r="H782" s="217"/>
      <c r="I782" s="216"/>
      <c r="J782" s="216"/>
      <c r="K782" s="219"/>
      <c r="L782" s="218"/>
      <c r="M782" s="220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17"/>
      <c r="AD782" s="217"/>
      <c r="AE782" s="217"/>
      <c r="AF782" s="217"/>
    </row>
    <row r="783">
      <c r="A783" s="217"/>
      <c r="B783" s="217"/>
      <c r="C783" s="217"/>
      <c r="D783" s="217"/>
      <c r="E783" s="167"/>
      <c r="F783" s="217"/>
      <c r="G783" s="216"/>
      <c r="H783" s="217"/>
      <c r="I783" s="216"/>
      <c r="J783" s="216"/>
      <c r="K783" s="219"/>
      <c r="L783" s="218"/>
      <c r="M783" s="220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17"/>
      <c r="AD783" s="217"/>
      <c r="AE783" s="217"/>
      <c r="AF783" s="217"/>
    </row>
    <row r="784">
      <c r="A784" s="217"/>
      <c r="B784" s="217"/>
      <c r="C784" s="217"/>
      <c r="D784" s="217"/>
      <c r="E784" s="167"/>
      <c r="F784" s="217"/>
      <c r="G784" s="216"/>
      <c r="H784" s="217"/>
      <c r="I784" s="216"/>
      <c r="J784" s="216"/>
      <c r="K784" s="219"/>
      <c r="L784" s="218"/>
      <c r="M784" s="220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17"/>
      <c r="AD784" s="217"/>
      <c r="AE784" s="217"/>
      <c r="AF784" s="217"/>
    </row>
    <row r="785">
      <c r="A785" s="217"/>
      <c r="B785" s="217"/>
      <c r="C785" s="217"/>
      <c r="D785" s="217"/>
      <c r="E785" s="167"/>
      <c r="F785" s="217"/>
      <c r="G785" s="216"/>
      <c r="H785" s="217"/>
      <c r="I785" s="216"/>
      <c r="J785" s="216"/>
      <c r="K785" s="219"/>
      <c r="L785" s="218"/>
      <c r="M785" s="220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17"/>
      <c r="AD785" s="217"/>
      <c r="AE785" s="217"/>
      <c r="AF785" s="217"/>
    </row>
    <row r="786">
      <c r="A786" s="217"/>
      <c r="B786" s="217"/>
      <c r="C786" s="217"/>
      <c r="D786" s="217"/>
      <c r="E786" s="167"/>
      <c r="F786" s="217"/>
      <c r="G786" s="216"/>
      <c r="H786" s="217"/>
      <c r="I786" s="216"/>
      <c r="J786" s="216"/>
      <c r="K786" s="219"/>
      <c r="L786" s="218"/>
      <c r="M786" s="220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17"/>
      <c r="AD786" s="217"/>
      <c r="AE786" s="217"/>
      <c r="AF786" s="217"/>
    </row>
    <row r="787">
      <c r="A787" s="217"/>
      <c r="B787" s="217"/>
      <c r="C787" s="217"/>
      <c r="D787" s="217"/>
      <c r="E787" s="167"/>
      <c r="F787" s="217"/>
      <c r="G787" s="216"/>
      <c r="H787" s="217"/>
      <c r="I787" s="216"/>
      <c r="J787" s="216"/>
      <c r="K787" s="219"/>
      <c r="L787" s="218"/>
      <c r="M787" s="220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17"/>
      <c r="AD787" s="217"/>
      <c r="AE787" s="217"/>
      <c r="AF787" s="217"/>
    </row>
    <row r="788">
      <c r="A788" s="217"/>
      <c r="B788" s="217"/>
      <c r="C788" s="217"/>
      <c r="D788" s="217"/>
      <c r="E788" s="167"/>
      <c r="F788" s="217"/>
      <c r="G788" s="216"/>
      <c r="H788" s="217"/>
      <c r="I788" s="216"/>
      <c r="J788" s="216"/>
      <c r="K788" s="219"/>
      <c r="L788" s="218"/>
      <c r="M788" s="220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17"/>
      <c r="AD788" s="217"/>
      <c r="AE788" s="217"/>
      <c r="AF788" s="217"/>
    </row>
    <row r="789">
      <c r="A789" s="217"/>
      <c r="B789" s="217"/>
      <c r="C789" s="217"/>
      <c r="D789" s="217"/>
      <c r="E789" s="167"/>
      <c r="F789" s="217"/>
      <c r="G789" s="216"/>
      <c r="H789" s="217"/>
      <c r="I789" s="216"/>
      <c r="J789" s="216"/>
      <c r="K789" s="219"/>
      <c r="L789" s="218"/>
      <c r="M789" s="220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17"/>
      <c r="AD789" s="217"/>
      <c r="AE789" s="217"/>
      <c r="AF789" s="217"/>
    </row>
    <row r="790">
      <c r="A790" s="217"/>
      <c r="B790" s="217"/>
      <c r="C790" s="217"/>
      <c r="D790" s="217"/>
      <c r="E790" s="167"/>
      <c r="F790" s="217"/>
      <c r="G790" s="216"/>
      <c r="H790" s="217"/>
      <c r="I790" s="216"/>
      <c r="J790" s="216"/>
      <c r="K790" s="219"/>
      <c r="L790" s="218"/>
      <c r="M790" s="220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17"/>
      <c r="AD790" s="217"/>
      <c r="AE790" s="217"/>
      <c r="AF790" s="217"/>
    </row>
    <row r="791">
      <c r="A791" s="217"/>
      <c r="B791" s="217"/>
      <c r="C791" s="217"/>
      <c r="D791" s="217"/>
      <c r="E791" s="167"/>
      <c r="F791" s="217"/>
      <c r="G791" s="216"/>
      <c r="H791" s="217"/>
      <c r="I791" s="216"/>
      <c r="J791" s="216"/>
      <c r="K791" s="219"/>
      <c r="L791" s="218"/>
      <c r="M791" s="220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17"/>
      <c r="AD791" s="217"/>
      <c r="AE791" s="217"/>
      <c r="AF791" s="217"/>
    </row>
    <row r="792">
      <c r="A792" s="217"/>
      <c r="B792" s="217"/>
      <c r="C792" s="217"/>
      <c r="D792" s="217"/>
      <c r="E792" s="167"/>
      <c r="F792" s="217"/>
      <c r="G792" s="216"/>
      <c r="H792" s="217"/>
      <c r="I792" s="216"/>
      <c r="J792" s="216"/>
      <c r="K792" s="219"/>
      <c r="L792" s="218"/>
      <c r="M792" s="220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17"/>
      <c r="AD792" s="217"/>
      <c r="AE792" s="217"/>
      <c r="AF792" s="217"/>
    </row>
    <row r="793">
      <c r="A793" s="217"/>
      <c r="B793" s="217"/>
      <c r="C793" s="217"/>
      <c r="D793" s="217"/>
      <c r="E793" s="167"/>
      <c r="F793" s="217"/>
      <c r="G793" s="216"/>
      <c r="H793" s="217"/>
      <c r="I793" s="216"/>
      <c r="J793" s="216"/>
      <c r="K793" s="219"/>
      <c r="L793" s="218"/>
      <c r="M793" s="220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17"/>
      <c r="AD793" s="217"/>
      <c r="AE793" s="217"/>
      <c r="AF793" s="217"/>
    </row>
    <row r="794">
      <c r="A794" s="217"/>
      <c r="B794" s="217"/>
      <c r="C794" s="217"/>
      <c r="D794" s="217"/>
      <c r="E794" s="167"/>
      <c r="F794" s="217"/>
      <c r="G794" s="216"/>
      <c r="H794" s="217"/>
      <c r="I794" s="216"/>
      <c r="J794" s="216"/>
      <c r="K794" s="219"/>
      <c r="L794" s="218"/>
      <c r="M794" s="220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17"/>
      <c r="AD794" s="217"/>
      <c r="AE794" s="217"/>
      <c r="AF794" s="217"/>
    </row>
    <row r="795">
      <c r="A795" s="217"/>
      <c r="B795" s="217"/>
      <c r="C795" s="217"/>
      <c r="D795" s="217"/>
      <c r="E795" s="167"/>
      <c r="F795" s="217"/>
      <c r="G795" s="216"/>
      <c r="H795" s="217"/>
      <c r="I795" s="216"/>
      <c r="J795" s="216"/>
      <c r="K795" s="219"/>
      <c r="L795" s="218"/>
      <c r="M795" s="220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17"/>
      <c r="AD795" s="217"/>
      <c r="AE795" s="217"/>
      <c r="AF795" s="217"/>
    </row>
    <row r="796">
      <c r="A796" s="217"/>
      <c r="B796" s="217"/>
      <c r="C796" s="217"/>
      <c r="D796" s="217"/>
      <c r="E796" s="167"/>
      <c r="F796" s="217"/>
      <c r="G796" s="216"/>
      <c r="H796" s="217"/>
      <c r="I796" s="216"/>
      <c r="J796" s="216"/>
      <c r="K796" s="219"/>
      <c r="L796" s="218"/>
      <c r="M796" s="220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17"/>
      <c r="AD796" s="217"/>
      <c r="AE796" s="217"/>
      <c r="AF796" s="217"/>
    </row>
    <row r="797">
      <c r="A797" s="217"/>
      <c r="B797" s="217"/>
      <c r="C797" s="217"/>
      <c r="D797" s="217"/>
      <c r="E797" s="167"/>
      <c r="F797" s="217"/>
      <c r="G797" s="216"/>
      <c r="H797" s="217"/>
      <c r="I797" s="216"/>
      <c r="J797" s="216"/>
      <c r="K797" s="219"/>
      <c r="L797" s="218"/>
      <c r="M797" s="220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17"/>
      <c r="AD797" s="217"/>
      <c r="AE797" s="217"/>
      <c r="AF797" s="217"/>
    </row>
    <row r="798">
      <c r="A798" s="217"/>
      <c r="B798" s="217"/>
      <c r="C798" s="217"/>
      <c r="D798" s="217"/>
      <c r="E798" s="167"/>
      <c r="F798" s="217"/>
      <c r="G798" s="216"/>
      <c r="H798" s="217"/>
      <c r="I798" s="216"/>
      <c r="J798" s="216"/>
      <c r="K798" s="219"/>
      <c r="L798" s="218"/>
      <c r="M798" s="220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17"/>
      <c r="AD798" s="217"/>
      <c r="AE798" s="217"/>
      <c r="AF798" s="217"/>
    </row>
    <row r="799">
      <c r="A799" s="217"/>
      <c r="B799" s="217"/>
      <c r="C799" s="217"/>
      <c r="D799" s="217"/>
      <c r="E799" s="167"/>
      <c r="F799" s="217"/>
      <c r="G799" s="216"/>
      <c r="H799" s="217"/>
      <c r="I799" s="216"/>
      <c r="J799" s="216"/>
      <c r="K799" s="219"/>
      <c r="L799" s="218"/>
      <c r="M799" s="220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17"/>
      <c r="AD799" s="217"/>
      <c r="AE799" s="217"/>
      <c r="AF799" s="217"/>
    </row>
    <row r="800">
      <c r="A800" s="217"/>
      <c r="B800" s="217"/>
      <c r="C800" s="217"/>
      <c r="D800" s="217"/>
      <c r="E800" s="167"/>
      <c r="F800" s="217"/>
      <c r="G800" s="216"/>
      <c r="H800" s="217"/>
      <c r="I800" s="216"/>
      <c r="J800" s="216"/>
      <c r="K800" s="219"/>
      <c r="L800" s="218"/>
      <c r="M800" s="220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17"/>
      <c r="AD800" s="217"/>
      <c r="AE800" s="217"/>
      <c r="AF800" s="217"/>
    </row>
    <row r="801">
      <c r="A801" s="217"/>
      <c r="B801" s="217"/>
      <c r="C801" s="217"/>
      <c r="D801" s="217"/>
      <c r="E801" s="167"/>
      <c r="F801" s="217"/>
      <c r="G801" s="216"/>
      <c r="H801" s="217"/>
      <c r="I801" s="216"/>
      <c r="J801" s="216"/>
      <c r="K801" s="219"/>
      <c r="L801" s="218"/>
      <c r="M801" s="220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17"/>
      <c r="AD801" s="217"/>
      <c r="AE801" s="217"/>
      <c r="AF801" s="217"/>
    </row>
    <row r="802">
      <c r="A802" s="217"/>
      <c r="B802" s="217"/>
      <c r="C802" s="217"/>
      <c r="D802" s="217"/>
      <c r="E802" s="167"/>
      <c r="F802" s="217"/>
      <c r="G802" s="216"/>
      <c r="H802" s="217"/>
      <c r="I802" s="216"/>
      <c r="J802" s="216"/>
      <c r="K802" s="219"/>
      <c r="L802" s="218"/>
      <c r="M802" s="220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17"/>
      <c r="AD802" s="217"/>
      <c r="AE802" s="217"/>
      <c r="AF802" s="217"/>
    </row>
    <row r="803">
      <c r="A803" s="217"/>
      <c r="B803" s="217"/>
      <c r="C803" s="217"/>
      <c r="D803" s="217"/>
      <c r="E803" s="167"/>
      <c r="F803" s="217"/>
      <c r="G803" s="216"/>
      <c r="H803" s="217"/>
      <c r="I803" s="216"/>
      <c r="J803" s="216"/>
      <c r="K803" s="219"/>
      <c r="L803" s="218"/>
      <c r="M803" s="220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17"/>
      <c r="AD803" s="217"/>
      <c r="AE803" s="217"/>
      <c r="AF803" s="217"/>
    </row>
    <row r="804">
      <c r="A804" s="217"/>
      <c r="B804" s="217"/>
      <c r="C804" s="217"/>
      <c r="D804" s="217"/>
      <c r="E804" s="167"/>
      <c r="F804" s="217"/>
      <c r="G804" s="216"/>
      <c r="H804" s="217"/>
      <c r="I804" s="216"/>
      <c r="J804" s="216"/>
      <c r="K804" s="219"/>
      <c r="L804" s="218"/>
      <c r="M804" s="220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17"/>
      <c r="AD804" s="217"/>
      <c r="AE804" s="217"/>
      <c r="AF804" s="217"/>
    </row>
    <row r="805">
      <c r="A805" s="217"/>
      <c r="B805" s="217"/>
      <c r="C805" s="217"/>
      <c r="D805" s="217"/>
      <c r="E805" s="167"/>
      <c r="F805" s="217"/>
      <c r="G805" s="216"/>
      <c r="H805" s="217"/>
      <c r="I805" s="216"/>
      <c r="J805" s="216"/>
      <c r="K805" s="219"/>
      <c r="L805" s="218"/>
      <c r="M805" s="220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17"/>
      <c r="AD805" s="217"/>
      <c r="AE805" s="217"/>
      <c r="AF805" s="217"/>
    </row>
    <row r="806">
      <c r="A806" s="217"/>
      <c r="B806" s="217"/>
      <c r="C806" s="217"/>
      <c r="D806" s="217"/>
      <c r="E806" s="167"/>
      <c r="F806" s="217"/>
      <c r="G806" s="216"/>
      <c r="H806" s="217"/>
      <c r="I806" s="216"/>
      <c r="J806" s="216"/>
      <c r="K806" s="219"/>
      <c r="L806" s="218"/>
      <c r="M806" s="220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17"/>
      <c r="AD806" s="217"/>
      <c r="AE806" s="217"/>
      <c r="AF806" s="217"/>
    </row>
    <row r="807">
      <c r="A807" s="217"/>
      <c r="B807" s="217"/>
      <c r="C807" s="217"/>
      <c r="D807" s="217"/>
      <c r="E807" s="167"/>
      <c r="F807" s="217"/>
      <c r="G807" s="216"/>
      <c r="H807" s="217"/>
      <c r="I807" s="216"/>
      <c r="J807" s="216"/>
      <c r="K807" s="219"/>
      <c r="L807" s="218"/>
      <c r="M807" s="220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17"/>
      <c r="AD807" s="217"/>
      <c r="AE807" s="217"/>
      <c r="AF807" s="217"/>
    </row>
    <row r="808">
      <c r="A808" s="217"/>
      <c r="B808" s="217"/>
      <c r="C808" s="217"/>
      <c r="D808" s="217"/>
      <c r="E808" s="167"/>
      <c r="F808" s="217"/>
      <c r="G808" s="216"/>
      <c r="H808" s="217"/>
      <c r="I808" s="216"/>
      <c r="J808" s="216"/>
      <c r="K808" s="219"/>
      <c r="L808" s="218"/>
      <c r="M808" s="220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17"/>
      <c r="AD808" s="217"/>
      <c r="AE808" s="217"/>
      <c r="AF808" s="217"/>
    </row>
    <row r="809">
      <c r="A809" s="217"/>
      <c r="B809" s="217"/>
      <c r="C809" s="217"/>
      <c r="D809" s="217"/>
      <c r="E809" s="167"/>
      <c r="F809" s="217"/>
      <c r="G809" s="216"/>
      <c r="H809" s="217"/>
      <c r="I809" s="216"/>
      <c r="J809" s="216"/>
      <c r="K809" s="219"/>
      <c r="L809" s="218"/>
      <c r="M809" s="220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17"/>
      <c r="AD809" s="217"/>
      <c r="AE809" s="217"/>
      <c r="AF809" s="217"/>
    </row>
    <row r="810">
      <c r="A810" s="217"/>
      <c r="B810" s="217"/>
      <c r="C810" s="217"/>
      <c r="D810" s="217"/>
      <c r="E810" s="167"/>
      <c r="F810" s="217"/>
      <c r="G810" s="216"/>
      <c r="H810" s="217"/>
      <c r="I810" s="216"/>
      <c r="J810" s="216"/>
      <c r="K810" s="219"/>
      <c r="L810" s="218"/>
      <c r="M810" s="220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17"/>
      <c r="AD810" s="217"/>
      <c r="AE810" s="217"/>
      <c r="AF810" s="217"/>
    </row>
    <row r="811">
      <c r="A811" s="217"/>
      <c r="B811" s="217"/>
      <c r="C811" s="217"/>
      <c r="D811" s="217"/>
      <c r="E811" s="167"/>
      <c r="F811" s="217"/>
      <c r="G811" s="216"/>
      <c r="H811" s="217"/>
      <c r="I811" s="216"/>
      <c r="J811" s="216"/>
      <c r="K811" s="219"/>
      <c r="L811" s="218"/>
      <c r="M811" s="220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17"/>
      <c r="AD811" s="217"/>
      <c r="AE811" s="217"/>
      <c r="AF811" s="217"/>
    </row>
    <row r="812">
      <c r="A812" s="217"/>
      <c r="B812" s="217"/>
      <c r="C812" s="217"/>
      <c r="D812" s="217"/>
      <c r="E812" s="167"/>
      <c r="F812" s="217"/>
      <c r="G812" s="216"/>
      <c r="H812" s="217"/>
      <c r="I812" s="216"/>
      <c r="J812" s="216"/>
      <c r="K812" s="219"/>
      <c r="L812" s="218"/>
      <c r="M812" s="220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17"/>
      <c r="AD812" s="217"/>
      <c r="AE812" s="217"/>
      <c r="AF812" s="217"/>
    </row>
    <row r="813">
      <c r="A813" s="217"/>
      <c r="B813" s="217"/>
      <c r="C813" s="217"/>
      <c r="D813" s="217"/>
      <c r="E813" s="167"/>
      <c r="F813" s="217"/>
      <c r="G813" s="216"/>
      <c r="H813" s="217"/>
      <c r="I813" s="216"/>
      <c r="J813" s="216"/>
      <c r="K813" s="219"/>
      <c r="L813" s="218"/>
      <c r="M813" s="220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17"/>
      <c r="AD813" s="217"/>
      <c r="AE813" s="217"/>
      <c r="AF813" s="217"/>
    </row>
    <row r="814">
      <c r="A814" s="217"/>
      <c r="B814" s="217"/>
      <c r="C814" s="217"/>
      <c r="D814" s="217"/>
      <c r="E814" s="167"/>
      <c r="F814" s="217"/>
      <c r="G814" s="216"/>
      <c r="H814" s="217"/>
      <c r="I814" s="216"/>
      <c r="J814" s="216"/>
      <c r="K814" s="219"/>
      <c r="L814" s="218"/>
      <c r="M814" s="220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17"/>
      <c r="AD814" s="217"/>
      <c r="AE814" s="217"/>
      <c r="AF814" s="217"/>
    </row>
    <row r="815">
      <c r="A815" s="217"/>
      <c r="B815" s="217"/>
      <c r="C815" s="217"/>
      <c r="D815" s="217"/>
      <c r="E815" s="167"/>
      <c r="F815" s="217"/>
      <c r="G815" s="216"/>
      <c r="H815" s="217"/>
      <c r="I815" s="216"/>
      <c r="J815" s="216"/>
      <c r="K815" s="219"/>
      <c r="L815" s="218"/>
      <c r="M815" s="220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17"/>
      <c r="AD815" s="217"/>
      <c r="AE815" s="217"/>
      <c r="AF815" s="217"/>
    </row>
    <row r="816">
      <c r="A816" s="217"/>
      <c r="B816" s="217"/>
      <c r="C816" s="217"/>
      <c r="D816" s="217"/>
      <c r="E816" s="167"/>
      <c r="F816" s="217"/>
      <c r="G816" s="216"/>
      <c r="H816" s="217"/>
      <c r="I816" s="216"/>
      <c r="J816" s="216"/>
      <c r="K816" s="219"/>
      <c r="L816" s="218"/>
      <c r="M816" s="220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17"/>
      <c r="AD816" s="217"/>
      <c r="AE816" s="217"/>
      <c r="AF816" s="217"/>
    </row>
    <row r="817">
      <c r="A817" s="217"/>
      <c r="B817" s="217"/>
      <c r="C817" s="217"/>
      <c r="D817" s="217"/>
      <c r="E817" s="167"/>
      <c r="F817" s="217"/>
      <c r="G817" s="216"/>
      <c r="H817" s="217"/>
      <c r="I817" s="216"/>
      <c r="J817" s="216"/>
      <c r="K817" s="219"/>
      <c r="L817" s="218"/>
      <c r="M817" s="220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17"/>
      <c r="AD817" s="217"/>
      <c r="AE817" s="217"/>
      <c r="AF817" s="217"/>
    </row>
    <row r="818">
      <c r="A818" s="217"/>
      <c r="B818" s="217"/>
      <c r="C818" s="217"/>
      <c r="D818" s="217"/>
      <c r="E818" s="167"/>
      <c r="F818" s="217"/>
      <c r="G818" s="216"/>
      <c r="H818" s="217"/>
      <c r="I818" s="216"/>
      <c r="J818" s="216"/>
      <c r="K818" s="219"/>
      <c r="L818" s="218"/>
      <c r="M818" s="220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17"/>
      <c r="AD818" s="217"/>
      <c r="AE818" s="217"/>
      <c r="AF818" s="217"/>
    </row>
    <row r="819">
      <c r="A819" s="217"/>
      <c r="B819" s="217"/>
      <c r="C819" s="217"/>
      <c r="D819" s="217"/>
      <c r="E819" s="167"/>
      <c r="F819" s="217"/>
      <c r="G819" s="216"/>
      <c r="H819" s="217"/>
      <c r="I819" s="216"/>
      <c r="J819" s="216"/>
      <c r="K819" s="219"/>
      <c r="L819" s="218"/>
      <c r="M819" s="220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17"/>
      <c r="AD819" s="217"/>
      <c r="AE819" s="217"/>
      <c r="AF819" s="217"/>
    </row>
    <row r="820">
      <c r="A820" s="217"/>
      <c r="B820" s="217"/>
      <c r="C820" s="217"/>
      <c r="D820" s="217"/>
      <c r="E820" s="167"/>
      <c r="F820" s="217"/>
      <c r="G820" s="216"/>
      <c r="H820" s="217"/>
      <c r="I820" s="216"/>
      <c r="J820" s="216"/>
      <c r="K820" s="219"/>
      <c r="L820" s="218"/>
      <c r="M820" s="220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17"/>
      <c r="AD820" s="217"/>
      <c r="AE820" s="217"/>
      <c r="AF820" s="217"/>
    </row>
    <row r="821">
      <c r="A821" s="217"/>
      <c r="B821" s="217"/>
      <c r="C821" s="217"/>
      <c r="D821" s="217"/>
      <c r="E821" s="167"/>
      <c r="F821" s="217"/>
      <c r="G821" s="216"/>
      <c r="H821" s="217"/>
      <c r="I821" s="216"/>
      <c r="J821" s="216"/>
      <c r="K821" s="219"/>
      <c r="L821" s="218"/>
      <c r="M821" s="220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17"/>
      <c r="AD821" s="217"/>
      <c r="AE821" s="217"/>
      <c r="AF821" s="217"/>
    </row>
    <row r="822">
      <c r="A822" s="217"/>
      <c r="B822" s="217"/>
      <c r="C822" s="217"/>
      <c r="D822" s="217"/>
      <c r="E822" s="167"/>
      <c r="F822" s="217"/>
      <c r="G822" s="216"/>
      <c r="H822" s="217"/>
      <c r="I822" s="216"/>
      <c r="J822" s="216"/>
      <c r="K822" s="219"/>
      <c r="L822" s="218"/>
      <c r="M822" s="220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17"/>
      <c r="AD822" s="217"/>
      <c r="AE822" s="217"/>
      <c r="AF822" s="217"/>
    </row>
    <row r="823">
      <c r="A823" s="217"/>
      <c r="B823" s="217"/>
      <c r="C823" s="217"/>
      <c r="D823" s="217"/>
      <c r="E823" s="167"/>
      <c r="F823" s="217"/>
      <c r="G823" s="216"/>
      <c r="H823" s="217"/>
      <c r="I823" s="216"/>
      <c r="J823" s="216"/>
      <c r="K823" s="219"/>
      <c r="L823" s="218"/>
      <c r="M823" s="220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17"/>
      <c r="AD823" s="217"/>
      <c r="AE823" s="217"/>
      <c r="AF823" s="217"/>
    </row>
    <row r="824">
      <c r="A824" s="217"/>
      <c r="B824" s="217"/>
      <c r="C824" s="217"/>
      <c r="D824" s="217"/>
      <c r="E824" s="167"/>
      <c r="F824" s="217"/>
      <c r="G824" s="216"/>
      <c r="H824" s="217"/>
      <c r="I824" s="216"/>
      <c r="J824" s="216"/>
      <c r="K824" s="219"/>
      <c r="L824" s="218"/>
      <c r="M824" s="220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17"/>
      <c r="AD824" s="217"/>
      <c r="AE824" s="217"/>
      <c r="AF824" s="217"/>
    </row>
    <row r="825">
      <c r="A825" s="217"/>
      <c r="B825" s="217"/>
      <c r="C825" s="217"/>
      <c r="D825" s="217"/>
      <c r="E825" s="167"/>
      <c r="F825" s="217"/>
      <c r="G825" s="216"/>
      <c r="H825" s="217"/>
      <c r="I825" s="216"/>
      <c r="J825" s="216"/>
      <c r="K825" s="219"/>
      <c r="L825" s="218"/>
      <c r="M825" s="220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17"/>
      <c r="AD825" s="217"/>
      <c r="AE825" s="217"/>
      <c r="AF825" s="217"/>
    </row>
    <row r="826">
      <c r="A826" s="217"/>
      <c r="B826" s="217"/>
      <c r="C826" s="217"/>
      <c r="D826" s="217"/>
      <c r="E826" s="167"/>
      <c r="F826" s="217"/>
      <c r="G826" s="216"/>
      <c r="H826" s="217"/>
      <c r="I826" s="216"/>
      <c r="J826" s="216"/>
      <c r="K826" s="219"/>
      <c r="L826" s="218"/>
      <c r="M826" s="220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17"/>
      <c r="AD826" s="217"/>
      <c r="AE826" s="217"/>
      <c r="AF826" s="217"/>
    </row>
    <row r="827">
      <c r="A827" s="217"/>
      <c r="B827" s="217"/>
      <c r="C827" s="217"/>
      <c r="D827" s="217"/>
      <c r="E827" s="167"/>
      <c r="F827" s="217"/>
      <c r="G827" s="216"/>
      <c r="H827" s="217"/>
      <c r="I827" s="216"/>
      <c r="J827" s="216"/>
      <c r="K827" s="219"/>
      <c r="L827" s="218"/>
      <c r="M827" s="220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17"/>
      <c r="AD827" s="217"/>
      <c r="AE827" s="217"/>
      <c r="AF827" s="217"/>
    </row>
    <row r="828">
      <c r="A828" s="217"/>
      <c r="B828" s="217"/>
      <c r="C828" s="217"/>
      <c r="D828" s="217"/>
      <c r="E828" s="167"/>
      <c r="F828" s="217"/>
      <c r="G828" s="216"/>
      <c r="H828" s="217"/>
      <c r="I828" s="216"/>
      <c r="J828" s="216"/>
      <c r="K828" s="219"/>
      <c r="L828" s="218"/>
      <c r="M828" s="220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17"/>
      <c r="AD828" s="217"/>
      <c r="AE828" s="217"/>
      <c r="AF828" s="217"/>
    </row>
    <row r="829">
      <c r="A829" s="217"/>
      <c r="B829" s="217"/>
      <c r="C829" s="217"/>
      <c r="D829" s="217"/>
      <c r="E829" s="167"/>
      <c r="F829" s="217"/>
      <c r="G829" s="216"/>
      <c r="H829" s="217"/>
      <c r="I829" s="216"/>
      <c r="J829" s="216"/>
      <c r="K829" s="219"/>
      <c r="L829" s="218"/>
      <c r="M829" s="220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17"/>
      <c r="AD829" s="217"/>
      <c r="AE829" s="217"/>
      <c r="AF829" s="217"/>
    </row>
    <row r="830">
      <c r="A830" s="217"/>
      <c r="B830" s="217"/>
      <c r="C830" s="217"/>
      <c r="D830" s="217"/>
      <c r="E830" s="167"/>
      <c r="F830" s="217"/>
      <c r="G830" s="216"/>
      <c r="H830" s="217"/>
      <c r="I830" s="216"/>
      <c r="J830" s="216"/>
      <c r="K830" s="219"/>
      <c r="L830" s="218"/>
      <c r="M830" s="220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17"/>
      <c r="AD830" s="217"/>
      <c r="AE830" s="217"/>
      <c r="AF830" s="217"/>
    </row>
    <row r="831">
      <c r="A831" s="217"/>
      <c r="B831" s="217"/>
      <c r="C831" s="217"/>
      <c r="D831" s="217"/>
      <c r="E831" s="167"/>
      <c r="F831" s="217"/>
      <c r="G831" s="216"/>
      <c r="H831" s="217"/>
      <c r="I831" s="216"/>
      <c r="J831" s="216"/>
      <c r="K831" s="219"/>
      <c r="L831" s="218"/>
      <c r="M831" s="220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17"/>
      <c r="AD831" s="217"/>
      <c r="AE831" s="217"/>
      <c r="AF831" s="217"/>
    </row>
    <row r="832">
      <c r="A832" s="217"/>
      <c r="B832" s="217"/>
      <c r="C832" s="217"/>
      <c r="D832" s="217"/>
      <c r="E832" s="167"/>
      <c r="F832" s="217"/>
      <c r="G832" s="216"/>
      <c r="H832" s="217"/>
      <c r="I832" s="216"/>
      <c r="J832" s="216"/>
      <c r="K832" s="219"/>
      <c r="L832" s="218"/>
      <c r="M832" s="220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17"/>
      <c r="AD832" s="217"/>
      <c r="AE832" s="217"/>
      <c r="AF832" s="217"/>
    </row>
    <row r="833">
      <c r="A833" s="217"/>
      <c r="B833" s="217"/>
      <c r="C833" s="217"/>
      <c r="D833" s="217"/>
      <c r="E833" s="167"/>
      <c r="F833" s="217"/>
      <c r="G833" s="216"/>
      <c r="H833" s="217"/>
      <c r="I833" s="216"/>
      <c r="J833" s="216"/>
      <c r="K833" s="219"/>
      <c r="L833" s="218"/>
      <c r="M833" s="220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17"/>
      <c r="AD833" s="217"/>
      <c r="AE833" s="217"/>
      <c r="AF833" s="217"/>
    </row>
    <row r="834">
      <c r="A834" s="217"/>
      <c r="B834" s="217"/>
      <c r="C834" s="217"/>
      <c r="D834" s="217"/>
      <c r="E834" s="167"/>
      <c r="F834" s="217"/>
      <c r="G834" s="216"/>
      <c r="H834" s="217"/>
      <c r="I834" s="216"/>
      <c r="J834" s="216"/>
      <c r="K834" s="219"/>
      <c r="L834" s="218"/>
      <c r="M834" s="220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17"/>
      <c r="AD834" s="217"/>
      <c r="AE834" s="217"/>
      <c r="AF834" s="217"/>
    </row>
    <row r="835">
      <c r="A835" s="217"/>
      <c r="B835" s="217"/>
      <c r="C835" s="217"/>
      <c r="D835" s="217"/>
      <c r="E835" s="167"/>
      <c r="F835" s="217"/>
      <c r="G835" s="216"/>
      <c r="H835" s="217"/>
      <c r="I835" s="216"/>
      <c r="J835" s="216"/>
      <c r="K835" s="219"/>
      <c r="L835" s="218"/>
      <c r="M835" s="220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17"/>
      <c r="AD835" s="217"/>
      <c r="AE835" s="217"/>
      <c r="AF835" s="217"/>
    </row>
    <row r="836">
      <c r="A836" s="217"/>
      <c r="B836" s="217"/>
      <c r="C836" s="217"/>
      <c r="D836" s="217"/>
      <c r="E836" s="167"/>
      <c r="F836" s="217"/>
      <c r="G836" s="216"/>
      <c r="H836" s="217"/>
      <c r="I836" s="216"/>
      <c r="J836" s="216"/>
      <c r="K836" s="219"/>
      <c r="L836" s="218"/>
      <c r="M836" s="220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17"/>
      <c r="AD836" s="217"/>
      <c r="AE836" s="217"/>
      <c r="AF836" s="217"/>
    </row>
    <row r="837">
      <c r="A837" s="217"/>
      <c r="B837" s="217"/>
      <c r="C837" s="217"/>
      <c r="D837" s="217"/>
      <c r="E837" s="167"/>
      <c r="F837" s="217"/>
      <c r="G837" s="216"/>
      <c r="H837" s="217"/>
      <c r="I837" s="216"/>
      <c r="J837" s="216"/>
      <c r="K837" s="219"/>
      <c r="L837" s="218"/>
      <c r="M837" s="220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17"/>
      <c r="AD837" s="217"/>
      <c r="AE837" s="217"/>
      <c r="AF837" s="217"/>
    </row>
    <row r="838">
      <c r="A838" s="217"/>
      <c r="B838" s="217"/>
      <c r="C838" s="217"/>
      <c r="D838" s="217"/>
      <c r="E838" s="167"/>
      <c r="F838" s="217"/>
      <c r="G838" s="216"/>
      <c r="H838" s="217"/>
      <c r="I838" s="216"/>
      <c r="J838" s="216"/>
      <c r="K838" s="219"/>
      <c r="L838" s="218"/>
      <c r="M838" s="220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17"/>
      <c r="AD838" s="217"/>
      <c r="AE838" s="217"/>
      <c r="AF838" s="217"/>
    </row>
    <row r="839">
      <c r="A839" s="217"/>
      <c r="B839" s="217"/>
      <c r="C839" s="217"/>
      <c r="D839" s="217"/>
      <c r="E839" s="167"/>
      <c r="F839" s="217"/>
      <c r="G839" s="216"/>
      <c r="H839" s="217"/>
      <c r="I839" s="216"/>
      <c r="J839" s="216"/>
      <c r="K839" s="219"/>
      <c r="L839" s="218"/>
      <c r="M839" s="220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17"/>
      <c r="AD839" s="217"/>
      <c r="AE839" s="217"/>
      <c r="AF839" s="217"/>
    </row>
    <row r="840">
      <c r="A840" s="217"/>
      <c r="B840" s="217"/>
      <c r="C840" s="217"/>
      <c r="D840" s="217"/>
      <c r="E840" s="167"/>
      <c r="F840" s="217"/>
      <c r="G840" s="216"/>
      <c r="H840" s="217"/>
      <c r="I840" s="216"/>
      <c r="J840" s="216"/>
      <c r="K840" s="219"/>
      <c r="L840" s="218"/>
      <c r="M840" s="220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17"/>
      <c r="AD840" s="217"/>
      <c r="AE840" s="217"/>
      <c r="AF840" s="217"/>
    </row>
    <row r="841">
      <c r="A841" s="217"/>
      <c r="B841" s="217"/>
      <c r="C841" s="217"/>
      <c r="D841" s="217"/>
      <c r="E841" s="167"/>
      <c r="F841" s="217"/>
      <c r="G841" s="216"/>
      <c r="H841" s="217"/>
      <c r="I841" s="216"/>
      <c r="J841" s="216"/>
      <c r="K841" s="219"/>
      <c r="L841" s="218"/>
      <c r="M841" s="220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17"/>
      <c r="AD841" s="217"/>
      <c r="AE841" s="217"/>
      <c r="AF841" s="217"/>
    </row>
    <row r="842">
      <c r="A842" s="217"/>
      <c r="B842" s="217"/>
      <c r="C842" s="217"/>
      <c r="D842" s="217"/>
      <c r="E842" s="167"/>
      <c r="F842" s="217"/>
      <c r="G842" s="216"/>
      <c r="H842" s="217"/>
      <c r="I842" s="216"/>
      <c r="J842" s="216"/>
      <c r="K842" s="219"/>
      <c r="L842" s="218"/>
      <c r="M842" s="220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17"/>
      <c r="AD842" s="217"/>
      <c r="AE842" s="217"/>
      <c r="AF842" s="217"/>
    </row>
    <row r="843">
      <c r="A843" s="217"/>
      <c r="B843" s="217"/>
      <c r="C843" s="217"/>
      <c r="D843" s="217"/>
      <c r="E843" s="167"/>
      <c r="F843" s="217"/>
      <c r="G843" s="216"/>
      <c r="H843" s="217"/>
      <c r="I843" s="216"/>
      <c r="J843" s="216"/>
      <c r="K843" s="219"/>
      <c r="L843" s="218"/>
      <c r="M843" s="220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17"/>
      <c r="AD843" s="217"/>
      <c r="AE843" s="217"/>
      <c r="AF843" s="217"/>
    </row>
    <row r="844">
      <c r="A844" s="217"/>
      <c r="B844" s="217"/>
      <c r="C844" s="217"/>
      <c r="D844" s="217"/>
      <c r="E844" s="167"/>
      <c r="F844" s="217"/>
      <c r="G844" s="216"/>
      <c r="H844" s="217"/>
      <c r="I844" s="216"/>
      <c r="J844" s="216"/>
      <c r="K844" s="219"/>
      <c r="L844" s="218"/>
      <c r="M844" s="220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17"/>
      <c r="AD844" s="217"/>
      <c r="AE844" s="217"/>
      <c r="AF844" s="217"/>
    </row>
    <row r="845">
      <c r="A845" s="217"/>
      <c r="B845" s="217"/>
      <c r="C845" s="217"/>
      <c r="D845" s="217"/>
      <c r="E845" s="167"/>
      <c r="F845" s="217"/>
      <c r="G845" s="216"/>
      <c r="H845" s="217"/>
      <c r="I845" s="216"/>
      <c r="J845" s="216"/>
      <c r="K845" s="219"/>
      <c r="L845" s="218"/>
      <c r="M845" s="220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17"/>
      <c r="AD845" s="217"/>
      <c r="AE845" s="217"/>
      <c r="AF845" s="217"/>
    </row>
    <row r="846">
      <c r="A846" s="217"/>
      <c r="B846" s="217"/>
      <c r="C846" s="217"/>
      <c r="D846" s="217"/>
      <c r="E846" s="167"/>
      <c r="F846" s="217"/>
      <c r="G846" s="216"/>
      <c r="H846" s="217"/>
      <c r="I846" s="216"/>
      <c r="J846" s="216"/>
      <c r="K846" s="219"/>
      <c r="L846" s="218"/>
      <c r="M846" s="220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17"/>
      <c r="AD846" s="217"/>
      <c r="AE846" s="217"/>
      <c r="AF846" s="217"/>
    </row>
    <row r="847">
      <c r="A847" s="217"/>
      <c r="B847" s="217"/>
      <c r="C847" s="217"/>
      <c r="D847" s="217"/>
      <c r="E847" s="167"/>
      <c r="F847" s="217"/>
      <c r="G847" s="216"/>
      <c r="H847" s="217"/>
      <c r="I847" s="216"/>
      <c r="J847" s="216"/>
      <c r="K847" s="219"/>
      <c r="L847" s="218"/>
      <c r="M847" s="220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17"/>
      <c r="AD847" s="217"/>
      <c r="AE847" s="217"/>
      <c r="AF847" s="217"/>
    </row>
    <row r="848">
      <c r="A848" s="217"/>
      <c r="B848" s="217"/>
      <c r="C848" s="217"/>
      <c r="D848" s="217"/>
      <c r="E848" s="167"/>
      <c r="F848" s="217"/>
      <c r="G848" s="216"/>
      <c r="H848" s="217"/>
      <c r="I848" s="216"/>
      <c r="J848" s="216"/>
      <c r="K848" s="219"/>
      <c r="L848" s="218"/>
      <c r="M848" s="220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17"/>
      <c r="AD848" s="217"/>
      <c r="AE848" s="217"/>
      <c r="AF848" s="217"/>
    </row>
    <row r="849">
      <c r="A849" s="217"/>
      <c r="B849" s="217"/>
      <c r="C849" s="217"/>
      <c r="D849" s="217"/>
      <c r="E849" s="167"/>
      <c r="F849" s="217"/>
      <c r="G849" s="216"/>
      <c r="H849" s="217"/>
      <c r="I849" s="216"/>
      <c r="J849" s="216"/>
      <c r="K849" s="219"/>
      <c r="L849" s="218"/>
      <c r="M849" s="220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17"/>
      <c r="AD849" s="217"/>
      <c r="AE849" s="217"/>
      <c r="AF849" s="217"/>
    </row>
    <row r="850">
      <c r="A850" s="217"/>
      <c r="B850" s="217"/>
      <c r="C850" s="217"/>
      <c r="D850" s="217"/>
      <c r="E850" s="167"/>
      <c r="F850" s="217"/>
      <c r="G850" s="216"/>
      <c r="H850" s="217"/>
      <c r="I850" s="216"/>
      <c r="J850" s="216"/>
      <c r="K850" s="219"/>
      <c r="L850" s="218"/>
      <c r="M850" s="220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17"/>
      <c r="AD850" s="217"/>
      <c r="AE850" s="217"/>
      <c r="AF850" s="217"/>
    </row>
    <row r="851">
      <c r="A851" s="217"/>
      <c r="B851" s="217"/>
      <c r="C851" s="217"/>
      <c r="D851" s="217"/>
      <c r="E851" s="167"/>
      <c r="F851" s="217"/>
      <c r="G851" s="216"/>
      <c r="H851" s="217"/>
      <c r="I851" s="216"/>
      <c r="J851" s="216"/>
      <c r="K851" s="219"/>
      <c r="L851" s="218"/>
      <c r="M851" s="220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17"/>
      <c r="AD851" s="217"/>
      <c r="AE851" s="217"/>
      <c r="AF851" s="217"/>
    </row>
    <row r="852">
      <c r="A852" s="217"/>
      <c r="B852" s="217"/>
      <c r="C852" s="217"/>
      <c r="D852" s="217"/>
      <c r="E852" s="167"/>
      <c r="F852" s="217"/>
      <c r="G852" s="216"/>
      <c r="H852" s="217"/>
      <c r="I852" s="216"/>
      <c r="J852" s="216"/>
      <c r="K852" s="219"/>
      <c r="L852" s="218"/>
      <c r="M852" s="220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17"/>
      <c r="AD852" s="217"/>
      <c r="AE852" s="217"/>
      <c r="AF852" s="217"/>
    </row>
    <row r="853">
      <c r="A853" s="217"/>
      <c r="B853" s="217"/>
      <c r="C853" s="217"/>
      <c r="D853" s="217"/>
      <c r="E853" s="167"/>
      <c r="F853" s="217"/>
      <c r="G853" s="216"/>
      <c r="H853" s="217"/>
      <c r="I853" s="216"/>
      <c r="J853" s="216"/>
      <c r="K853" s="219"/>
      <c r="L853" s="218"/>
      <c r="M853" s="220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17"/>
      <c r="AD853" s="217"/>
      <c r="AE853" s="217"/>
      <c r="AF853" s="217"/>
    </row>
    <row r="854">
      <c r="A854" s="217"/>
      <c r="B854" s="217"/>
      <c r="C854" s="217"/>
      <c r="D854" s="217"/>
      <c r="E854" s="167"/>
      <c r="F854" s="217"/>
      <c r="G854" s="216"/>
      <c r="H854" s="217"/>
      <c r="I854" s="216"/>
      <c r="J854" s="216"/>
      <c r="K854" s="219"/>
      <c r="L854" s="218"/>
      <c r="M854" s="220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17"/>
      <c r="AD854" s="217"/>
      <c r="AE854" s="217"/>
      <c r="AF854" s="217"/>
    </row>
    <row r="855">
      <c r="A855" s="217"/>
      <c r="B855" s="217"/>
      <c r="C855" s="217"/>
      <c r="D855" s="217"/>
      <c r="E855" s="167"/>
      <c r="F855" s="217"/>
      <c r="G855" s="216"/>
      <c r="H855" s="217"/>
      <c r="I855" s="216"/>
      <c r="J855" s="216"/>
      <c r="K855" s="219"/>
      <c r="L855" s="218"/>
      <c r="M855" s="220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17"/>
      <c r="AD855" s="217"/>
      <c r="AE855" s="217"/>
      <c r="AF855" s="217"/>
    </row>
    <row r="856">
      <c r="A856" s="217"/>
      <c r="B856" s="217"/>
      <c r="C856" s="217"/>
      <c r="D856" s="217"/>
      <c r="E856" s="167"/>
      <c r="F856" s="217"/>
      <c r="G856" s="216"/>
      <c r="H856" s="217"/>
      <c r="I856" s="216"/>
      <c r="J856" s="216"/>
      <c r="K856" s="219"/>
      <c r="L856" s="218"/>
      <c r="M856" s="220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17"/>
      <c r="AD856" s="217"/>
      <c r="AE856" s="217"/>
      <c r="AF856" s="217"/>
    </row>
    <row r="857">
      <c r="A857" s="217"/>
      <c r="B857" s="217"/>
      <c r="C857" s="217"/>
      <c r="D857" s="217"/>
      <c r="E857" s="167"/>
      <c r="F857" s="217"/>
      <c r="G857" s="216"/>
      <c r="H857" s="217"/>
      <c r="I857" s="216"/>
      <c r="J857" s="216"/>
      <c r="K857" s="219"/>
      <c r="L857" s="218"/>
      <c r="M857" s="220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17"/>
      <c r="AD857" s="217"/>
      <c r="AE857" s="217"/>
      <c r="AF857" s="217"/>
    </row>
    <row r="858">
      <c r="A858" s="217"/>
      <c r="B858" s="217"/>
      <c r="C858" s="217"/>
      <c r="D858" s="217"/>
      <c r="E858" s="167"/>
      <c r="F858" s="217"/>
      <c r="G858" s="216"/>
      <c r="H858" s="217"/>
      <c r="I858" s="216"/>
      <c r="J858" s="216"/>
      <c r="K858" s="219"/>
      <c r="L858" s="218"/>
      <c r="M858" s="220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17"/>
      <c r="AD858" s="217"/>
      <c r="AE858" s="217"/>
      <c r="AF858" s="217"/>
    </row>
    <row r="859">
      <c r="A859" s="217"/>
      <c r="B859" s="217"/>
      <c r="C859" s="217"/>
      <c r="D859" s="217"/>
      <c r="E859" s="167"/>
      <c r="F859" s="217"/>
      <c r="G859" s="216"/>
      <c r="H859" s="217"/>
      <c r="I859" s="216"/>
      <c r="J859" s="216"/>
      <c r="K859" s="219"/>
      <c r="L859" s="218"/>
      <c r="M859" s="220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17"/>
      <c r="AD859" s="217"/>
      <c r="AE859" s="217"/>
      <c r="AF859" s="217"/>
    </row>
    <row r="860">
      <c r="A860" s="217"/>
      <c r="B860" s="217"/>
      <c r="C860" s="217"/>
      <c r="D860" s="217"/>
      <c r="E860" s="167"/>
      <c r="F860" s="217"/>
      <c r="G860" s="216"/>
      <c r="H860" s="217"/>
      <c r="I860" s="216"/>
      <c r="J860" s="216"/>
      <c r="K860" s="219"/>
      <c r="L860" s="218"/>
      <c r="M860" s="220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17"/>
      <c r="AD860" s="217"/>
      <c r="AE860" s="217"/>
      <c r="AF860" s="217"/>
    </row>
    <row r="861">
      <c r="A861" s="217"/>
      <c r="B861" s="217"/>
      <c r="C861" s="217"/>
      <c r="D861" s="217"/>
      <c r="E861" s="167"/>
      <c r="F861" s="217"/>
      <c r="G861" s="216"/>
      <c r="H861" s="217"/>
      <c r="I861" s="216"/>
      <c r="J861" s="216"/>
      <c r="K861" s="219"/>
      <c r="L861" s="218"/>
      <c r="M861" s="220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17"/>
      <c r="AD861" s="217"/>
      <c r="AE861" s="217"/>
      <c r="AF861" s="217"/>
    </row>
    <row r="862">
      <c r="A862" s="217"/>
      <c r="B862" s="217"/>
      <c r="C862" s="217"/>
      <c r="D862" s="217"/>
      <c r="E862" s="167"/>
      <c r="F862" s="217"/>
      <c r="G862" s="216"/>
      <c r="H862" s="217"/>
      <c r="I862" s="216"/>
      <c r="J862" s="216"/>
      <c r="K862" s="219"/>
      <c r="L862" s="218"/>
      <c r="M862" s="220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17"/>
      <c r="AD862" s="217"/>
      <c r="AE862" s="217"/>
      <c r="AF862" s="217"/>
    </row>
    <row r="863">
      <c r="A863" s="217"/>
      <c r="B863" s="217"/>
      <c r="C863" s="217"/>
      <c r="D863" s="217"/>
      <c r="E863" s="167"/>
      <c r="F863" s="217"/>
      <c r="G863" s="216"/>
      <c r="H863" s="217"/>
      <c r="I863" s="216"/>
      <c r="J863" s="216"/>
      <c r="K863" s="219"/>
      <c r="L863" s="218"/>
      <c r="M863" s="220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17"/>
      <c r="AD863" s="217"/>
      <c r="AE863" s="217"/>
      <c r="AF863" s="217"/>
    </row>
    <row r="864">
      <c r="A864" s="217"/>
      <c r="B864" s="217"/>
      <c r="C864" s="217"/>
      <c r="D864" s="217"/>
      <c r="E864" s="167"/>
      <c r="F864" s="217"/>
      <c r="G864" s="216"/>
      <c r="H864" s="217"/>
      <c r="I864" s="216"/>
      <c r="J864" s="216"/>
      <c r="K864" s="219"/>
      <c r="L864" s="218"/>
      <c r="M864" s="220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17"/>
      <c r="AD864" s="217"/>
      <c r="AE864" s="217"/>
      <c r="AF864" s="217"/>
    </row>
    <row r="865">
      <c r="A865" s="217"/>
      <c r="B865" s="217"/>
      <c r="C865" s="217"/>
      <c r="D865" s="217"/>
      <c r="E865" s="167"/>
      <c r="F865" s="217"/>
      <c r="G865" s="216"/>
      <c r="H865" s="217"/>
      <c r="I865" s="216"/>
      <c r="J865" s="216"/>
      <c r="K865" s="219"/>
      <c r="L865" s="218"/>
      <c r="M865" s="220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17"/>
      <c r="AD865" s="217"/>
      <c r="AE865" s="217"/>
      <c r="AF865" s="217"/>
    </row>
    <row r="866">
      <c r="A866" s="217"/>
      <c r="B866" s="217"/>
      <c r="C866" s="217"/>
      <c r="D866" s="217"/>
      <c r="E866" s="167"/>
      <c r="F866" s="217"/>
      <c r="G866" s="216"/>
      <c r="H866" s="217"/>
      <c r="I866" s="216"/>
      <c r="J866" s="216"/>
      <c r="K866" s="219"/>
      <c r="L866" s="218"/>
      <c r="M866" s="220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17"/>
      <c r="AD866" s="217"/>
      <c r="AE866" s="217"/>
      <c r="AF866" s="217"/>
    </row>
    <row r="867">
      <c r="A867" s="217"/>
      <c r="B867" s="217"/>
      <c r="C867" s="217"/>
      <c r="D867" s="217"/>
      <c r="E867" s="167"/>
      <c r="F867" s="217"/>
      <c r="G867" s="216"/>
      <c r="H867" s="217"/>
      <c r="I867" s="216"/>
      <c r="J867" s="216"/>
      <c r="K867" s="219"/>
      <c r="L867" s="218"/>
      <c r="M867" s="220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17"/>
      <c r="AD867" s="217"/>
      <c r="AE867" s="217"/>
      <c r="AF867" s="217"/>
    </row>
    <row r="868">
      <c r="A868" s="217"/>
      <c r="B868" s="217"/>
      <c r="C868" s="217"/>
      <c r="D868" s="217"/>
      <c r="E868" s="167"/>
      <c r="F868" s="217"/>
      <c r="G868" s="216"/>
      <c r="H868" s="217"/>
      <c r="I868" s="216"/>
      <c r="J868" s="216"/>
      <c r="K868" s="219"/>
      <c r="L868" s="218"/>
      <c r="M868" s="220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17"/>
      <c r="AD868" s="217"/>
      <c r="AE868" s="217"/>
      <c r="AF868" s="217"/>
    </row>
    <row r="869">
      <c r="A869" s="217"/>
      <c r="B869" s="217"/>
      <c r="C869" s="217"/>
      <c r="D869" s="217"/>
      <c r="E869" s="167"/>
      <c r="F869" s="217"/>
      <c r="G869" s="216"/>
      <c r="H869" s="217"/>
      <c r="I869" s="216"/>
      <c r="J869" s="216"/>
      <c r="K869" s="219"/>
      <c r="L869" s="218"/>
      <c r="M869" s="220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17"/>
      <c r="AD869" s="217"/>
      <c r="AE869" s="217"/>
      <c r="AF869" s="217"/>
    </row>
    <row r="870">
      <c r="A870" s="217"/>
      <c r="B870" s="217"/>
      <c r="C870" s="217"/>
      <c r="D870" s="217"/>
      <c r="E870" s="167"/>
      <c r="F870" s="217"/>
      <c r="G870" s="216"/>
      <c r="H870" s="217"/>
      <c r="I870" s="216"/>
      <c r="J870" s="216"/>
      <c r="K870" s="219"/>
      <c r="L870" s="218"/>
      <c r="M870" s="220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17"/>
      <c r="AD870" s="217"/>
      <c r="AE870" s="217"/>
      <c r="AF870" s="217"/>
    </row>
    <row r="871">
      <c r="A871" s="217"/>
      <c r="B871" s="217"/>
      <c r="C871" s="217"/>
      <c r="D871" s="217"/>
      <c r="E871" s="167"/>
      <c r="F871" s="217"/>
      <c r="G871" s="216"/>
      <c r="H871" s="217"/>
      <c r="I871" s="216"/>
      <c r="J871" s="216"/>
      <c r="K871" s="219"/>
      <c r="L871" s="218"/>
      <c r="M871" s="220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17"/>
      <c r="AD871" s="217"/>
      <c r="AE871" s="217"/>
      <c r="AF871" s="217"/>
    </row>
    <row r="872">
      <c r="A872" s="217"/>
      <c r="B872" s="217"/>
      <c r="C872" s="217"/>
      <c r="D872" s="217"/>
      <c r="E872" s="167"/>
      <c r="F872" s="217"/>
      <c r="G872" s="216"/>
      <c r="H872" s="217"/>
      <c r="I872" s="216"/>
      <c r="J872" s="216"/>
      <c r="K872" s="219"/>
      <c r="L872" s="218"/>
      <c r="M872" s="220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17"/>
      <c r="AD872" s="217"/>
      <c r="AE872" s="217"/>
      <c r="AF872" s="217"/>
    </row>
    <row r="873">
      <c r="A873" s="217"/>
      <c r="B873" s="217"/>
      <c r="C873" s="217"/>
      <c r="D873" s="217"/>
      <c r="E873" s="167"/>
      <c r="F873" s="217"/>
      <c r="G873" s="216"/>
      <c r="H873" s="217"/>
      <c r="I873" s="216"/>
      <c r="J873" s="216"/>
      <c r="K873" s="219"/>
      <c r="L873" s="218"/>
      <c r="M873" s="220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17"/>
      <c r="AD873" s="217"/>
      <c r="AE873" s="217"/>
      <c r="AF873" s="217"/>
    </row>
    <row r="874">
      <c r="A874" s="217"/>
      <c r="B874" s="217"/>
      <c r="C874" s="217"/>
      <c r="D874" s="217"/>
      <c r="E874" s="167"/>
      <c r="F874" s="217"/>
      <c r="G874" s="216"/>
      <c r="H874" s="217"/>
      <c r="I874" s="216"/>
      <c r="J874" s="216"/>
      <c r="K874" s="219"/>
      <c r="L874" s="218"/>
      <c r="M874" s="220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17"/>
      <c r="AD874" s="217"/>
      <c r="AE874" s="217"/>
      <c r="AF874" s="217"/>
    </row>
    <row r="875">
      <c r="A875" s="217"/>
      <c r="B875" s="217"/>
      <c r="C875" s="217"/>
      <c r="D875" s="217"/>
      <c r="E875" s="167"/>
      <c r="F875" s="217"/>
      <c r="G875" s="216"/>
      <c r="H875" s="217"/>
      <c r="I875" s="216"/>
      <c r="J875" s="216"/>
      <c r="K875" s="219"/>
      <c r="L875" s="218"/>
      <c r="M875" s="220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17"/>
      <c r="AD875" s="217"/>
      <c r="AE875" s="217"/>
      <c r="AF875" s="217"/>
    </row>
    <row r="876">
      <c r="A876" s="217"/>
      <c r="B876" s="217"/>
      <c r="C876" s="217"/>
      <c r="D876" s="217"/>
      <c r="E876" s="167"/>
      <c r="F876" s="217"/>
      <c r="G876" s="216"/>
      <c r="H876" s="217"/>
      <c r="I876" s="216"/>
      <c r="J876" s="216"/>
      <c r="K876" s="219"/>
      <c r="L876" s="218"/>
      <c r="M876" s="220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17"/>
      <c r="AD876" s="217"/>
      <c r="AE876" s="217"/>
      <c r="AF876" s="217"/>
    </row>
    <row r="877">
      <c r="A877" s="217"/>
      <c r="B877" s="217"/>
      <c r="C877" s="217"/>
      <c r="D877" s="217"/>
      <c r="E877" s="167"/>
      <c r="F877" s="217"/>
      <c r="G877" s="216"/>
      <c r="H877" s="217"/>
      <c r="I877" s="216"/>
      <c r="J877" s="216"/>
      <c r="K877" s="219"/>
      <c r="L877" s="218"/>
      <c r="M877" s="220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17"/>
      <c r="AD877" s="217"/>
      <c r="AE877" s="217"/>
      <c r="AF877" s="217"/>
    </row>
    <row r="878">
      <c r="A878" s="217"/>
      <c r="B878" s="217"/>
      <c r="C878" s="217"/>
      <c r="D878" s="217"/>
      <c r="E878" s="167"/>
      <c r="F878" s="217"/>
      <c r="G878" s="216"/>
      <c r="H878" s="217"/>
      <c r="I878" s="216"/>
      <c r="J878" s="216"/>
      <c r="K878" s="219"/>
      <c r="L878" s="218"/>
      <c r="M878" s="220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17"/>
      <c r="AD878" s="217"/>
      <c r="AE878" s="217"/>
      <c r="AF878" s="217"/>
    </row>
    <row r="879">
      <c r="A879" s="217"/>
      <c r="B879" s="217"/>
      <c r="C879" s="217"/>
      <c r="D879" s="217"/>
      <c r="E879" s="167"/>
      <c r="F879" s="217"/>
      <c r="G879" s="216"/>
      <c r="H879" s="217"/>
      <c r="I879" s="216"/>
      <c r="J879" s="216"/>
      <c r="K879" s="219"/>
      <c r="L879" s="218"/>
      <c r="M879" s="220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17"/>
      <c r="AD879" s="217"/>
      <c r="AE879" s="217"/>
      <c r="AF879" s="217"/>
    </row>
    <row r="880">
      <c r="A880" s="217"/>
      <c r="B880" s="217"/>
      <c r="C880" s="217"/>
      <c r="D880" s="217"/>
      <c r="E880" s="167"/>
      <c r="F880" s="217"/>
      <c r="G880" s="216"/>
      <c r="H880" s="217"/>
      <c r="I880" s="216"/>
      <c r="J880" s="216"/>
      <c r="K880" s="219"/>
      <c r="L880" s="218"/>
      <c r="M880" s="220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17"/>
      <c r="AD880" s="217"/>
      <c r="AE880" s="217"/>
      <c r="AF880" s="217"/>
    </row>
    <row r="881">
      <c r="A881" s="217"/>
      <c r="B881" s="217"/>
      <c r="C881" s="217"/>
      <c r="D881" s="217"/>
      <c r="E881" s="167"/>
      <c r="F881" s="217"/>
      <c r="G881" s="216"/>
      <c r="H881" s="217"/>
      <c r="I881" s="216"/>
      <c r="J881" s="216"/>
      <c r="K881" s="219"/>
      <c r="L881" s="218"/>
      <c r="M881" s="220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17"/>
      <c r="AD881" s="217"/>
      <c r="AE881" s="217"/>
      <c r="AF881" s="217"/>
    </row>
    <row r="882">
      <c r="A882" s="217"/>
      <c r="B882" s="217"/>
      <c r="C882" s="217"/>
      <c r="D882" s="217"/>
      <c r="E882" s="167"/>
      <c r="F882" s="217"/>
      <c r="G882" s="216"/>
      <c r="H882" s="217"/>
      <c r="I882" s="216"/>
      <c r="J882" s="216"/>
      <c r="K882" s="219"/>
      <c r="L882" s="218"/>
      <c r="M882" s="220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17"/>
      <c r="AD882" s="217"/>
      <c r="AE882" s="217"/>
      <c r="AF882" s="217"/>
    </row>
    <row r="883">
      <c r="A883" s="217"/>
      <c r="B883" s="217"/>
      <c r="C883" s="217"/>
      <c r="D883" s="217"/>
      <c r="E883" s="167"/>
      <c r="F883" s="217"/>
      <c r="G883" s="216"/>
      <c r="H883" s="217"/>
      <c r="I883" s="216"/>
      <c r="J883" s="216"/>
      <c r="K883" s="219"/>
      <c r="L883" s="218"/>
      <c r="M883" s="220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17"/>
      <c r="AD883" s="217"/>
      <c r="AE883" s="217"/>
      <c r="AF883" s="217"/>
    </row>
    <row r="884">
      <c r="A884" s="217"/>
      <c r="B884" s="217"/>
      <c r="C884" s="217"/>
      <c r="D884" s="217"/>
      <c r="E884" s="167"/>
      <c r="F884" s="217"/>
      <c r="G884" s="216"/>
      <c r="H884" s="217"/>
      <c r="I884" s="216"/>
      <c r="J884" s="216"/>
      <c r="K884" s="219"/>
      <c r="L884" s="218"/>
      <c r="M884" s="220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17"/>
      <c r="AD884" s="217"/>
      <c r="AE884" s="217"/>
      <c r="AF884" s="217"/>
    </row>
    <row r="885">
      <c r="A885" s="217"/>
      <c r="B885" s="217"/>
      <c r="C885" s="217"/>
      <c r="D885" s="217"/>
      <c r="E885" s="167"/>
      <c r="F885" s="217"/>
      <c r="G885" s="216"/>
      <c r="H885" s="217"/>
      <c r="I885" s="216"/>
      <c r="J885" s="216"/>
      <c r="K885" s="219"/>
      <c r="L885" s="218"/>
      <c r="M885" s="220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17"/>
      <c r="AD885" s="217"/>
      <c r="AE885" s="217"/>
      <c r="AF885" s="217"/>
    </row>
    <row r="886">
      <c r="A886" s="217"/>
      <c r="B886" s="217"/>
      <c r="C886" s="217"/>
      <c r="D886" s="217"/>
      <c r="E886" s="167"/>
      <c r="F886" s="217"/>
      <c r="G886" s="216"/>
      <c r="H886" s="217"/>
      <c r="I886" s="216"/>
      <c r="J886" s="216"/>
      <c r="K886" s="219"/>
      <c r="L886" s="218"/>
      <c r="M886" s="220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17"/>
      <c r="AD886" s="217"/>
      <c r="AE886" s="217"/>
      <c r="AF886" s="217"/>
    </row>
    <row r="887">
      <c r="A887" s="217"/>
      <c r="B887" s="217"/>
      <c r="C887" s="217"/>
      <c r="D887" s="217"/>
      <c r="E887" s="167"/>
      <c r="F887" s="217"/>
      <c r="G887" s="216"/>
      <c r="H887" s="217"/>
      <c r="I887" s="216"/>
      <c r="J887" s="216"/>
      <c r="K887" s="219"/>
      <c r="L887" s="218"/>
      <c r="M887" s="220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17"/>
      <c r="AD887" s="217"/>
      <c r="AE887" s="217"/>
      <c r="AF887" s="217"/>
    </row>
    <row r="888">
      <c r="A888" s="217"/>
      <c r="B888" s="217"/>
      <c r="C888" s="217"/>
      <c r="D888" s="217"/>
      <c r="E888" s="167"/>
      <c r="F888" s="217"/>
      <c r="G888" s="216"/>
      <c r="H888" s="217"/>
      <c r="I888" s="216"/>
      <c r="J888" s="216"/>
      <c r="K888" s="219"/>
      <c r="L888" s="218"/>
      <c r="M888" s="220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17"/>
      <c r="AD888" s="217"/>
      <c r="AE888" s="217"/>
      <c r="AF888" s="217"/>
    </row>
    <row r="889">
      <c r="A889" s="217"/>
      <c r="B889" s="217"/>
      <c r="C889" s="217"/>
      <c r="D889" s="217"/>
      <c r="E889" s="167"/>
      <c r="F889" s="217"/>
      <c r="G889" s="216"/>
      <c r="H889" s="217"/>
      <c r="I889" s="216"/>
      <c r="J889" s="216"/>
      <c r="K889" s="219"/>
      <c r="L889" s="218"/>
      <c r="M889" s="220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17"/>
      <c r="AD889" s="217"/>
      <c r="AE889" s="217"/>
      <c r="AF889" s="217"/>
    </row>
    <row r="890">
      <c r="A890" s="217"/>
      <c r="B890" s="217"/>
      <c r="C890" s="217"/>
      <c r="D890" s="217"/>
      <c r="E890" s="167"/>
      <c r="F890" s="217"/>
      <c r="G890" s="216"/>
      <c r="H890" s="217"/>
      <c r="I890" s="216"/>
      <c r="J890" s="216"/>
      <c r="K890" s="219"/>
      <c r="L890" s="218"/>
      <c r="M890" s="220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17"/>
      <c r="AD890" s="217"/>
      <c r="AE890" s="217"/>
      <c r="AF890" s="217"/>
    </row>
    <row r="891">
      <c r="A891" s="217"/>
      <c r="B891" s="217"/>
      <c r="C891" s="217"/>
      <c r="D891" s="217"/>
      <c r="E891" s="167"/>
      <c r="F891" s="217"/>
      <c r="G891" s="216"/>
      <c r="H891" s="217"/>
      <c r="I891" s="216"/>
      <c r="J891" s="216"/>
      <c r="K891" s="219"/>
      <c r="L891" s="218"/>
      <c r="M891" s="220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17"/>
      <c r="AD891" s="217"/>
      <c r="AE891" s="217"/>
      <c r="AF891" s="217"/>
    </row>
    <row r="892">
      <c r="A892" s="217"/>
      <c r="B892" s="217"/>
      <c r="C892" s="217"/>
      <c r="D892" s="217"/>
      <c r="E892" s="167"/>
      <c r="F892" s="217"/>
      <c r="G892" s="216"/>
      <c r="H892" s="217"/>
      <c r="I892" s="216"/>
      <c r="J892" s="216"/>
      <c r="K892" s="219"/>
      <c r="L892" s="218"/>
      <c r="M892" s="220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17"/>
      <c r="AD892" s="217"/>
      <c r="AE892" s="217"/>
      <c r="AF892" s="217"/>
    </row>
    <row r="893">
      <c r="A893" s="217"/>
      <c r="B893" s="217"/>
      <c r="C893" s="217"/>
      <c r="D893" s="217"/>
      <c r="E893" s="167"/>
      <c r="F893" s="217"/>
      <c r="G893" s="216"/>
      <c r="H893" s="217"/>
      <c r="I893" s="216"/>
      <c r="J893" s="216"/>
      <c r="K893" s="219"/>
      <c r="L893" s="218"/>
      <c r="M893" s="220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17"/>
      <c r="AD893" s="217"/>
      <c r="AE893" s="217"/>
      <c r="AF893" s="217"/>
    </row>
    <row r="894">
      <c r="A894" s="217"/>
      <c r="B894" s="217"/>
      <c r="C894" s="217"/>
      <c r="D894" s="217"/>
      <c r="E894" s="167"/>
      <c r="F894" s="217"/>
      <c r="G894" s="216"/>
      <c r="H894" s="217"/>
      <c r="I894" s="216"/>
      <c r="J894" s="216"/>
      <c r="K894" s="219"/>
      <c r="L894" s="218"/>
      <c r="M894" s="220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17"/>
      <c r="AD894" s="217"/>
      <c r="AE894" s="217"/>
      <c r="AF894" s="217"/>
    </row>
    <row r="895">
      <c r="A895" s="217"/>
      <c r="B895" s="217"/>
      <c r="C895" s="217"/>
      <c r="D895" s="217"/>
      <c r="E895" s="167"/>
      <c r="F895" s="217"/>
      <c r="G895" s="216"/>
      <c r="H895" s="217"/>
      <c r="I895" s="216"/>
      <c r="J895" s="216"/>
      <c r="K895" s="219"/>
      <c r="L895" s="218"/>
      <c r="M895" s="220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17"/>
      <c r="AD895" s="217"/>
      <c r="AE895" s="217"/>
      <c r="AF895" s="217"/>
    </row>
    <row r="896">
      <c r="A896" s="217"/>
      <c r="B896" s="217"/>
      <c r="C896" s="217"/>
      <c r="D896" s="217"/>
      <c r="E896" s="167"/>
      <c r="F896" s="217"/>
      <c r="G896" s="216"/>
      <c r="H896" s="217"/>
      <c r="I896" s="216"/>
      <c r="J896" s="216"/>
      <c r="K896" s="219"/>
      <c r="L896" s="218"/>
      <c r="M896" s="220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17"/>
      <c r="AD896" s="217"/>
      <c r="AE896" s="217"/>
      <c r="AF896" s="217"/>
    </row>
    <row r="897">
      <c r="A897" s="217"/>
      <c r="B897" s="217"/>
      <c r="C897" s="217"/>
      <c r="D897" s="217"/>
      <c r="E897" s="167"/>
      <c r="F897" s="217"/>
      <c r="G897" s="216"/>
      <c r="H897" s="217"/>
      <c r="I897" s="216"/>
      <c r="J897" s="216"/>
      <c r="K897" s="219"/>
      <c r="L897" s="218"/>
      <c r="M897" s="220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17"/>
      <c r="AD897" s="217"/>
      <c r="AE897" s="217"/>
      <c r="AF897" s="217"/>
    </row>
    <row r="898">
      <c r="A898" s="217"/>
      <c r="B898" s="217"/>
      <c r="C898" s="217"/>
      <c r="D898" s="217"/>
      <c r="E898" s="167"/>
      <c r="F898" s="217"/>
      <c r="G898" s="216"/>
      <c r="H898" s="217"/>
      <c r="I898" s="216"/>
      <c r="J898" s="216"/>
      <c r="K898" s="219"/>
      <c r="L898" s="218"/>
      <c r="M898" s="220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17"/>
      <c r="AD898" s="217"/>
      <c r="AE898" s="217"/>
      <c r="AF898" s="217"/>
    </row>
    <row r="899">
      <c r="A899" s="217"/>
      <c r="B899" s="217"/>
      <c r="C899" s="217"/>
      <c r="D899" s="217"/>
      <c r="E899" s="167"/>
      <c r="F899" s="217"/>
      <c r="G899" s="216"/>
      <c r="H899" s="217"/>
      <c r="I899" s="216"/>
      <c r="J899" s="216"/>
      <c r="K899" s="219"/>
      <c r="L899" s="218"/>
      <c r="M899" s="220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17"/>
      <c r="AD899" s="217"/>
      <c r="AE899" s="217"/>
      <c r="AF899" s="217"/>
    </row>
    <row r="900">
      <c r="A900" s="217"/>
      <c r="B900" s="217"/>
      <c r="C900" s="217"/>
      <c r="D900" s="217"/>
      <c r="E900" s="167"/>
      <c r="F900" s="217"/>
      <c r="G900" s="216"/>
      <c r="H900" s="217"/>
      <c r="I900" s="216"/>
      <c r="J900" s="216"/>
      <c r="K900" s="219"/>
      <c r="L900" s="218"/>
      <c r="M900" s="220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17"/>
      <c r="AD900" s="217"/>
      <c r="AE900" s="217"/>
      <c r="AF900" s="217"/>
    </row>
    <row r="901">
      <c r="A901" s="217"/>
      <c r="B901" s="217"/>
      <c r="C901" s="217"/>
      <c r="D901" s="217"/>
      <c r="E901" s="167"/>
      <c r="F901" s="217"/>
      <c r="G901" s="216"/>
      <c r="H901" s="217"/>
      <c r="I901" s="216"/>
      <c r="J901" s="216"/>
      <c r="K901" s="219"/>
      <c r="L901" s="218"/>
      <c r="M901" s="220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17"/>
      <c r="AD901" s="217"/>
      <c r="AE901" s="217"/>
      <c r="AF901" s="217"/>
    </row>
    <row r="902">
      <c r="A902" s="217"/>
      <c r="B902" s="217"/>
      <c r="C902" s="217"/>
      <c r="D902" s="217"/>
      <c r="E902" s="167"/>
      <c r="F902" s="217"/>
      <c r="G902" s="216"/>
      <c r="H902" s="217"/>
      <c r="I902" s="216"/>
      <c r="J902" s="216"/>
      <c r="K902" s="219"/>
      <c r="L902" s="218"/>
      <c r="M902" s="220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17"/>
      <c r="AD902" s="217"/>
      <c r="AE902" s="217"/>
      <c r="AF902" s="217"/>
    </row>
    <row r="903">
      <c r="A903" s="217"/>
      <c r="B903" s="217"/>
      <c r="C903" s="217"/>
      <c r="D903" s="217"/>
      <c r="E903" s="167"/>
      <c r="F903" s="217"/>
      <c r="G903" s="216"/>
      <c r="H903" s="217"/>
      <c r="I903" s="216"/>
      <c r="J903" s="216"/>
      <c r="K903" s="219"/>
      <c r="L903" s="218"/>
      <c r="M903" s="220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17"/>
      <c r="AD903" s="217"/>
      <c r="AE903" s="217"/>
      <c r="AF903" s="217"/>
    </row>
    <row r="904">
      <c r="A904" s="217"/>
      <c r="B904" s="217"/>
      <c r="C904" s="217"/>
      <c r="D904" s="217"/>
      <c r="E904" s="167"/>
      <c r="F904" s="217"/>
      <c r="G904" s="216"/>
      <c r="H904" s="217"/>
      <c r="I904" s="216"/>
      <c r="J904" s="216"/>
      <c r="K904" s="219"/>
      <c r="L904" s="218"/>
      <c r="M904" s="220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17"/>
      <c r="AD904" s="217"/>
      <c r="AE904" s="217"/>
      <c r="AF904" s="217"/>
    </row>
    <row r="905">
      <c r="A905" s="217"/>
      <c r="B905" s="217"/>
      <c r="C905" s="217"/>
      <c r="D905" s="217"/>
      <c r="E905" s="167"/>
      <c r="F905" s="217"/>
      <c r="G905" s="216"/>
      <c r="H905" s="217"/>
      <c r="I905" s="216"/>
      <c r="J905" s="216"/>
      <c r="K905" s="219"/>
      <c r="L905" s="218"/>
      <c r="M905" s="220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17"/>
      <c r="AD905" s="217"/>
      <c r="AE905" s="217"/>
      <c r="AF905" s="217"/>
    </row>
    <row r="906">
      <c r="A906" s="217"/>
      <c r="B906" s="217"/>
      <c r="C906" s="217"/>
      <c r="D906" s="217"/>
      <c r="E906" s="167"/>
      <c r="F906" s="217"/>
      <c r="G906" s="216"/>
      <c r="H906" s="217"/>
      <c r="I906" s="216"/>
      <c r="J906" s="216"/>
      <c r="K906" s="219"/>
      <c r="L906" s="218"/>
      <c r="M906" s="220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17"/>
      <c r="AD906" s="217"/>
      <c r="AE906" s="217"/>
      <c r="AF906" s="217"/>
    </row>
    <row r="907">
      <c r="A907" s="217"/>
      <c r="B907" s="217"/>
      <c r="C907" s="217"/>
      <c r="D907" s="217"/>
      <c r="E907" s="167"/>
      <c r="F907" s="217"/>
      <c r="G907" s="216"/>
      <c r="H907" s="217"/>
      <c r="I907" s="216"/>
      <c r="J907" s="216"/>
      <c r="K907" s="219"/>
      <c r="L907" s="218"/>
      <c r="M907" s="220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17"/>
      <c r="AD907" s="217"/>
      <c r="AE907" s="217"/>
      <c r="AF907" s="217"/>
    </row>
    <row r="908">
      <c r="A908" s="217"/>
      <c r="B908" s="217"/>
      <c r="C908" s="217"/>
      <c r="D908" s="217"/>
      <c r="E908" s="167"/>
      <c r="F908" s="217"/>
      <c r="G908" s="216"/>
      <c r="H908" s="217"/>
      <c r="I908" s="216"/>
      <c r="J908" s="216"/>
      <c r="K908" s="219"/>
      <c r="L908" s="218"/>
      <c r="M908" s="220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17"/>
      <c r="AD908" s="217"/>
      <c r="AE908" s="217"/>
      <c r="AF908" s="217"/>
    </row>
    <row r="909">
      <c r="A909" s="217"/>
      <c r="B909" s="217"/>
      <c r="C909" s="217"/>
      <c r="D909" s="217"/>
      <c r="E909" s="167"/>
      <c r="F909" s="217"/>
      <c r="G909" s="216"/>
      <c r="H909" s="217"/>
      <c r="I909" s="216"/>
      <c r="J909" s="216"/>
      <c r="K909" s="219"/>
      <c r="L909" s="218"/>
      <c r="M909" s="220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17"/>
      <c r="AD909" s="217"/>
      <c r="AE909" s="217"/>
      <c r="AF909" s="217"/>
    </row>
    <row r="910">
      <c r="A910" s="217"/>
      <c r="B910" s="217"/>
      <c r="C910" s="217"/>
      <c r="D910" s="217"/>
      <c r="E910" s="167"/>
      <c r="F910" s="217"/>
      <c r="G910" s="216"/>
      <c r="H910" s="217"/>
      <c r="I910" s="216"/>
      <c r="J910" s="216"/>
      <c r="K910" s="219"/>
      <c r="L910" s="218"/>
      <c r="M910" s="220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17"/>
      <c r="AD910" s="217"/>
      <c r="AE910" s="217"/>
      <c r="AF910" s="217"/>
    </row>
    <row r="911">
      <c r="A911" s="217"/>
      <c r="B911" s="217"/>
      <c r="C911" s="217"/>
      <c r="D911" s="217"/>
      <c r="E911" s="167"/>
      <c r="F911" s="217"/>
      <c r="G911" s="216"/>
      <c r="H911" s="217"/>
      <c r="I911" s="216"/>
      <c r="J911" s="216"/>
      <c r="K911" s="219"/>
      <c r="L911" s="218"/>
      <c r="M911" s="220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17"/>
      <c r="AD911" s="217"/>
      <c r="AE911" s="217"/>
      <c r="AF911" s="217"/>
    </row>
    <row r="912">
      <c r="A912" s="217"/>
      <c r="B912" s="217"/>
      <c r="C912" s="217"/>
      <c r="D912" s="217"/>
      <c r="E912" s="167"/>
      <c r="F912" s="217"/>
      <c r="G912" s="216"/>
      <c r="H912" s="217"/>
      <c r="I912" s="216"/>
      <c r="J912" s="216"/>
      <c r="K912" s="219"/>
      <c r="L912" s="218"/>
      <c r="M912" s="220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17"/>
      <c r="AD912" s="217"/>
      <c r="AE912" s="217"/>
      <c r="AF912" s="217"/>
    </row>
    <row r="913">
      <c r="A913" s="217"/>
      <c r="B913" s="217"/>
      <c r="C913" s="217"/>
      <c r="D913" s="217"/>
      <c r="E913" s="167"/>
      <c r="F913" s="217"/>
      <c r="G913" s="216"/>
      <c r="H913" s="217"/>
      <c r="I913" s="216"/>
      <c r="J913" s="216"/>
      <c r="K913" s="219"/>
      <c r="L913" s="218"/>
      <c r="M913" s="220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17"/>
      <c r="AD913" s="217"/>
      <c r="AE913" s="217"/>
      <c r="AF913" s="217"/>
    </row>
    <row r="914">
      <c r="A914" s="217"/>
      <c r="B914" s="217"/>
      <c r="C914" s="217"/>
      <c r="D914" s="217"/>
      <c r="E914" s="167"/>
      <c r="F914" s="217"/>
      <c r="G914" s="216"/>
      <c r="H914" s="217"/>
      <c r="I914" s="216"/>
      <c r="J914" s="216"/>
      <c r="K914" s="219"/>
      <c r="L914" s="218"/>
      <c r="M914" s="220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17"/>
      <c r="AD914" s="217"/>
      <c r="AE914" s="217"/>
      <c r="AF914" s="217"/>
    </row>
    <row r="915">
      <c r="A915" s="217"/>
      <c r="B915" s="217"/>
      <c r="C915" s="217"/>
      <c r="D915" s="217"/>
      <c r="E915" s="167"/>
      <c r="F915" s="217"/>
      <c r="G915" s="216"/>
      <c r="H915" s="217"/>
      <c r="I915" s="216"/>
      <c r="J915" s="216"/>
      <c r="K915" s="219"/>
      <c r="L915" s="218"/>
      <c r="M915" s="220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17"/>
      <c r="AD915" s="217"/>
      <c r="AE915" s="217"/>
      <c r="AF915" s="217"/>
    </row>
    <row r="916">
      <c r="A916" s="217"/>
      <c r="B916" s="217"/>
      <c r="C916" s="217"/>
      <c r="D916" s="217"/>
      <c r="E916" s="167"/>
      <c r="F916" s="217"/>
      <c r="G916" s="216"/>
      <c r="H916" s="217"/>
      <c r="I916" s="216"/>
      <c r="J916" s="216"/>
      <c r="K916" s="219"/>
      <c r="L916" s="218"/>
      <c r="M916" s="220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17"/>
      <c r="AD916" s="217"/>
      <c r="AE916" s="217"/>
      <c r="AF916" s="217"/>
    </row>
    <row r="917">
      <c r="A917" s="217"/>
      <c r="B917" s="217"/>
      <c r="C917" s="217"/>
      <c r="D917" s="217"/>
      <c r="E917" s="167"/>
      <c r="F917" s="217"/>
      <c r="G917" s="216"/>
      <c r="H917" s="217"/>
      <c r="I917" s="216"/>
      <c r="J917" s="216"/>
      <c r="K917" s="219"/>
      <c r="L917" s="218"/>
      <c r="M917" s="220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17"/>
      <c r="AD917" s="217"/>
      <c r="AE917" s="217"/>
      <c r="AF917" s="217"/>
    </row>
    <row r="918">
      <c r="A918" s="217"/>
      <c r="B918" s="217"/>
      <c r="C918" s="217"/>
      <c r="D918" s="217"/>
      <c r="E918" s="167"/>
      <c r="F918" s="217"/>
      <c r="G918" s="216"/>
      <c r="H918" s="217"/>
      <c r="I918" s="216"/>
      <c r="J918" s="216"/>
      <c r="K918" s="219"/>
      <c r="L918" s="218"/>
      <c r="M918" s="220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17"/>
      <c r="AD918" s="217"/>
      <c r="AE918" s="217"/>
      <c r="AF918" s="217"/>
    </row>
    <row r="919">
      <c r="A919" s="217"/>
      <c r="B919" s="217"/>
      <c r="C919" s="217"/>
      <c r="D919" s="217"/>
      <c r="E919" s="167"/>
      <c r="F919" s="217"/>
      <c r="G919" s="216"/>
      <c r="H919" s="217"/>
      <c r="I919" s="216"/>
      <c r="J919" s="216"/>
      <c r="K919" s="219"/>
      <c r="L919" s="218"/>
      <c r="M919" s="220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17"/>
      <c r="AD919" s="217"/>
      <c r="AE919" s="217"/>
      <c r="AF919" s="217"/>
    </row>
    <row r="920">
      <c r="A920" s="217"/>
      <c r="B920" s="217"/>
      <c r="C920" s="217"/>
      <c r="D920" s="217"/>
      <c r="E920" s="167"/>
      <c r="F920" s="217"/>
      <c r="G920" s="216"/>
      <c r="H920" s="217"/>
      <c r="I920" s="216"/>
      <c r="J920" s="216"/>
      <c r="K920" s="219"/>
      <c r="L920" s="218"/>
      <c r="M920" s="220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17"/>
      <c r="AD920" s="217"/>
      <c r="AE920" s="217"/>
      <c r="AF920" s="217"/>
    </row>
    <row r="921">
      <c r="A921" s="217"/>
      <c r="B921" s="217"/>
      <c r="C921" s="217"/>
      <c r="D921" s="217"/>
      <c r="E921" s="167"/>
      <c r="F921" s="217"/>
      <c r="G921" s="216"/>
      <c r="H921" s="217"/>
      <c r="I921" s="216"/>
      <c r="J921" s="216"/>
      <c r="K921" s="219"/>
      <c r="L921" s="218"/>
      <c r="M921" s="220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17"/>
      <c r="AD921" s="217"/>
      <c r="AE921" s="217"/>
      <c r="AF921" s="217"/>
    </row>
    <row r="922">
      <c r="A922" s="217"/>
      <c r="B922" s="217"/>
      <c r="C922" s="217"/>
      <c r="D922" s="217"/>
      <c r="E922" s="167"/>
      <c r="F922" s="217"/>
      <c r="G922" s="216"/>
      <c r="H922" s="217"/>
      <c r="I922" s="216"/>
      <c r="J922" s="216"/>
      <c r="K922" s="219"/>
      <c r="L922" s="218"/>
      <c r="M922" s="220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17"/>
      <c r="AD922" s="217"/>
      <c r="AE922" s="217"/>
      <c r="AF922" s="217"/>
    </row>
    <row r="923">
      <c r="A923" s="217"/>
      <c r="B923" s="217"/>
      <c r="C923" s="217"/>
      <c r="D923" s="217"/>
      <c r="E923" s="167"/>
      <c r="F923" s="217"/>
      <c r="G923" s="216"/>
      <c r="H923" s="217"/>
      <c r="I923" s="216"/>
      <c r="J923" s="216"/>
      <c r="K923" s="219"/>
      <c r="L923" s="218"/>
      <c r="M923" s="220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17"/>
      <c r="AD923" s="217"/>
      <c r="AE923" s="217"/>
      <c r="AF923" s="217"/>
    </row>
    <row r="924">
      <c r="A924" s="217"/>
      <c r="B924" s="217"/>
      <c r="C924" s="217"/>
      <c r="D924" s="217"/>
      <c r="E924" s="167"/>
      <c r="F924" s="217"/>
      <c r="G924" s="216"/>
      <c r="H924" s="217"/>
      <c r="I924" s="216"/>
      <c r="J924" s="216"/>
      <c r="K924" s="219"/>
      <c r="L924" s="218"/>
      <c r="M924" s="220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17"/>
      <c r="AD924" s="217"/>
      <c r="AE924" s="217"/>
      <c r="AF924" s="217"/>
    </row>
    <row r="925">
      <c r="A925" s="217"/>
      <c r="B925" s="217"/>
      <c r="C925" s="217"/>
      <c r="D925" s="217"/>
      <c r="E925" s="167"/>
      <c r="F925" s="217"/>
      <c r="G925" s="216"/>
      <c r="H925" s="217"/>
      <c r="I925" s="216"/>
      <c r="J925" s="216"/>
      <c r="K925" s="219"/>
      <c r="L925" s="218"/>
      <c r="M925" s="220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17"/>
      <c r="AD925" s="217"/>
      <c r="AE925" s="217"/>
      <c r="AF925" s="217"/>
    </row>
    <row r="926">
      <c r="A926" s="217"/>
      <c r="B926" s="217"/>
      <c r="C926" s="217"/>
      <c r="D926" s="217"/>
      <c r="E926" s="167"/>
      <c r="F926" s="217"/>
      <c r="G926" s="216"/>
      <c r="H926" s="217"/>
      <c r="I926" s="216"/>
      <c r="J926" s="216"/>
      <c r="K926" s="219"/>
      <c r="L926" s="218"/>
      <c r="M926" s="220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17"/>
      <c r="AD926" s="217"/>
      <c r="AE926" s="217"/>
      <c r="AF926" s="217"/>
    </row>
    <row r="927">
      <c r="A927" s="217"/>
      <c r="B927" s="217"/>
      <c r="C927" s="217"/>
      <c r="D927" s="217"/>
      <c r="E927" s="167"/>
      <c r="F927" s="217"/>
      <c r="G927" s="216"/>
      <c r="H927" s="217"/>
      <c r="I927" s="216"/>
      <c r="J927" s="216"/>
      <c r="K927" s="219"/>
      <c r="L927" s="218"/>
      <c r="M927" s="220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17"/>
      <c r="AD927" s="217"/>
      <c r="AE927" s="217"/>
      <c r="AF927" s="217"/>
    </row>
    <row r="928">
      <c r="A928" s="217"/>
      <c r="B928" s="217"/>
      <c r="C928" s="217"/>
      <c r="D928" s="217"/>
      <c r="E928" s="167"/>
      <c r="F928" s="217"/>
      <c r="G928" s="216"/>
      <c r="H928" s="217"/>
      <c r="I928" s="216"/>
      <c r="J928" s="216"/>
      <c r="K928" s="219"/>
      <c r="L928" s="218"/>
      <c r="M928" s="220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17"/>
      <c r="AD928" s="217"/>
      <c r="AE928" s="217"/>
      <c r="AF928" s="217"/>
    </row>
    <row r="929">
      <c r="A929" s="217"/>
      <c r="B929" s="217"/>
      <c r="C929" s="217"/>
      <c r="D929" s="217"/>
      <c r="E929" s="167"/>
      <c r="F929" s="217"/>
      <c r="G929" s="216"/>
      <c r="H929" s="217"/>
      <c r="I929" s="216"/>
      <c r="J929" s="216"/>
      <c r="K929" s="219"/>
      <c r="L929" s="218"/>
      <c r="M929" s="220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17"/>
      <c r="AD929" s="217"/>
      <c r="AE929" s="217"/>
      <c r="AF929" s="217"/>
    </row>
    <row r="930">
      <c r="A930" s="217"/>
      <c r="B930" s="217"/>
      <c r="C930" s="217"/>
      <c r="D930" s="217"/>
      <c r="E930" s="167"/>
      <c r="F930" s="217"/>
      <c r="G930" s="216"/>
      <c r="H930" s="217"/>
      <c r="I930" s="216"/>
      <c r="J930" s="216"/>
      <c r="K930" s="219"/>
      <c r="L930" s="218"/>
      <c r="M930" s="220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17"/>
      <c r="AD930" s="217"/>
      <c r="AE930" s="217"/>
      <c r="AF930" s="217"/>
    </row>
    <row r="931">
      <c r="A931" s="217"/>
      <c r="B931" s="217"/>
      <c r="C931" s="217"/>
      <c r="D931" s="217"/>
      <c r="E931" s="167"/>
      <c r="F931" s="217"/>
      <c r="G931" s="216"/>
      <c r="H931" s="217"/>
      <c r="I931" s="216"/>
      <c r="J931" s="216"/>
      <c r="K931" s="219"/>
      <c r="L931" s="218"/>
      <c r="M931" s="220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17"/>
      <c r="AD931" s="217"/>
      <c r="AE931" s="217"/>
      <c r="AF931" s="217"/>
    </row>
    <row r="932">
      <c r="A932" s="217"/>
      <c r="B932" s="217"/>
      <c r="C932" s="217"/>
      <c r="D932" s="217"/>
      <c r="E932" s="167"/>
      <c r="F932" s="217"/>
      <c r="G932" s="216"/>
      <c r="H932" s="217"/>
      <c r="I932" s="216"/>
      <c r="J932" s="216"/>
      <c r="K932" s="219"/>
      <c r="L932" s="218"/>
      <c r="M932" s="220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17"/>
      <c r="AD932" s="217"/>
      <c r="AE932" s="217"/>
      <c r="AF932" s="217"/>
    </row>
    <row r="933">
      <c r="A933" s="217"/>
      <c r="B933" s="217"/>
      <c r="C933" s="217"/>
      <c r="D933" s="217"/>
      <c r="E933" s="167"/>
      <c r="F933" s="217"/>
      <c r="G933" s="216"/>
      <c r="H933" s="217"/>
      <c r="I933" s="216"/>
      <c r="J933" s="216"/>
      <c r="K933" s="219"/>
      <c r="L933" s="218"/>
      <c r="M933" s="220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17"/>
      <c r="AD933" s="217"/>
      <c r="AE933" s="217"/>
      <c r="AF933" s="217"/>
    </row>
    <row r="934">
      <c r="A934" s="217"/>
      <c r="B934" s="217"/>
      <c r="C934" s="217"/>
      <c r="D934" s="217"/>
      <c r="E934" s="167"/>
      <c r="F934" s="217"/>
      <c r="G934" s="216"/>
      <c r="H934" s="217"/>
      <c r="I934" s="216"/>
      <c r="J934" s="216"/>
      <c r="K934" s="219"/>
      <c r="L934" s="218"/>
      <c r="M934" s="220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17"/>
      <c r="AD934" s="217"/>
      <c r="AE934" s="217"/>
      <c r="AF934" s="217"/>
    </row>
    <row r="935">
      <c r="A935" s="217"/>
      <c r="B935" s="217"/>
      <c r="C935" s="217"/>
      <c r="D935" s="217"/>
      <c r="E935" s="167"/>
      <c r="F935" s="217"/>
      <c r="G935" s="216"/>
      <c r="H935" s="217"/>
      <c r="I935" s="216"/>
      <c r="J935" s="216"/>
      <c r="K935" s="219"/>
      <c r="L935" s="218"/>
      <c r="M935" s="220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17"/>
      <c r="AD935" s="217"/>
      <c r="AE935" s="217"/>
      <c r="AF935" s="217"/>
    </row>
    <row r="936">
      <c r="A936" s="217"/>
      <c r="B936" s="217"/>
      <c r="C936" s="217"/>
      <c r="D936" s="217"/>
      <c r="E936" s="167"/>
      <c r="F936" s="217"/>
      <c r="G936" s="216"/>
      <c r="H936" s="217"/>
      <c r="I936" s="216"/>
      <c r="J936" s="216"/>
      <c r="K936" s="219"/>
      <c r="L936" s="218"/>
      <c r="M936" s="220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17"/>
      <c r="AD936" s="217"/>
      <c r="AE936" s="217"/>
      <c r="AF936" s="217"/>
    </row>
    <row r="937">
      <c r="A937" s="217"/>
      <c r="B937" s="217"/>
      <c r="C937" s="217"/>
      <c r="D937" s="217"/>
      <c r="E937" s="167"/>
      <c r="F937" s="217"/>
      <c r="G937" s="216"/>
      <c r="H937" s="217"/>
      <c r="I937" s="216"/>
      <c r="J937" s="216"/>
      <c r="K937" s="219"/>
      <c r="L937" s="218"/>
      <c r="M937" s="220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17"/>
      <c r="AD937" s="217"/>
      <c r="AE937" s="217"/>
      <c r="AF937" s="217"/>
    </row>
    <row r="938">
      <c r="A938" s="217"/>
      <c r="B938" s="217"/>
      <c r="C938" s="217"/>
      <c r="D938" s="217"/>
      <c r="E938" s="167"/>
      <c r="F938" s="217"/>
      <c r="G938" s="216"/>
      <c r="H938" s="217"/>
      <c r="I938" s="216"/>
      <c r="J938" s="216"/>
      <c r="K938" s="219"/>
      <c r="L938" s="218"/>
      <c r="M938" s="220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17"/>
      <c r="AD938" s="217"/>
      <c r="AE938" s="217"/>
      <c r="AF938" s="217"/>
    </row>
    <row r="939">
      <c r="A939" s="217"/>
      <c r="B939" s="217"/>
      <c r="C939" s="217"/>
      <c r="D939" s="217"/>
      <c r="E939" s="167"/>
      <c r="F939" s="217"/>
      <c r="G939" s="216"/>
      <c r="H939" s="217"/>
      <c r="I939" s="216"/>
      <c r="J939" s="216"/>
      <c r="K939" s="219"/>
      <c r="L939" s="218"/>
      <c r="M939" s="220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17"/>
      <c r="AD939" s="217"/>
      <c r="AE939" s="217"/>
      <c r="AF939" s="217"/>
    </row>
    <row r="940">
      <c r="A940" s="217"/>
      <c r="B940" s="217"/>
      <c r="C940" s="217"/>
      <c r="D940" s="217"/>
      <c r="E940" s="167"/>
      <c r="F940" s="217"/>
      <c r="G940" s="216"/>
      <c r="H940" s="217"/>
      <c r="I940" s="216"/>
      <c r="J940" s="216"/>
      <c r="K940" s="219"/>
      <c r="L940" s="218"/>
      <c r="M940" s="220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17"/>
      <c r="AD940" s="217"/>
      <c r="AE940" s="217"/>
      <c r="AF940" s="217"/>
    </row>
    <row r="941">
      <c r="A941" s="217"/>
      <c r="B941" s="217"/>
      <c r="C941" s="217"/>
      <c r="D941" s="217"/>
      <c r="E941" s="167"/>
      <c r="F941" s="217"/>
      <c r="G941" s="216"/>
      <c r="H941" s="217"/>
      <c r="I941" s="216"/>
      <c r="J941" s="216"/>
      <c r="K941" s="219"/>
      <c r="L941" s="218"/>
      <c r="M941" s="220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17"/>
      <c r="AD941" s="217"/>
      <c r="AE941" s="217"/>
      <c r="AF941" s="217"/>
    </row>
    <row r="942">
      <c r="A942" s="217"/>
      <c r="B942" s="217"/>
      <c r="C942" s="217"/>
      <c r="D942" s="217"/>
      <c r="E942" s="167"/>
      <c r="F942" s="217"/>
      <c r="G942" s="216"/>
      <c r="H942" s="217"/>
      <c r="I942" s="216"/>
      <c r="J942" s="216"/>
      <c r="K942" s="219"/>
      <c r="L942" s="218"/>
      <c r="M942" s="220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17"/>
      <c r="AD942" s="217"/>
      <c r="AE942" s="217"/>
      <c r="AF942" s="217"/>
    </row>
    <row r="943">
      <c r="A943" s="217"/>
      <c r="B943" s="217"/>
      <c r="C943" s="217"/>
      <c r="D943" s="217"/>
      <c r="E943" s="167"/>
      <c r="F943" s="217"/>
      <c r="G943" s="216"/>
      <c r="H943" s="217"/>
      <c r="I943" s="216"/>
      <c r="J943" s="216"/>
      <c r="K943" s="219"/>
      <c r="L943" s="218"/>
      <c r="M943" s="220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17"/>
      <c r="AD943" s="217"/>
      <c r="AE943" s="217"/>
      <c r="AF943" s="217"/>
    </row>
    <row r="944">
      <c r="A944" s="217"/>
      <c r="B944" s="217"/>
      <c r="C944" s="217"/>
      <c r="D944" s="217"/>
      <c r="E944" s="167"/>
      <c r="F944" s="217"/>
      <c r="G944" s="216"/>
      <c r="H944" s="217"/>
      <c r="I944" s="216"/>
      <c r="J944" s="216"/>
      <c r="K944" s="219"/>
      <c r="L944" s="218"/>
      <c r="M944" s="220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17"/>
      <c r="AD944" s="217"/>
      <c r="AE944" s="217"/>
      <c r="AF944" s="217"/>
    </row>
    <row r="945">
      <c r="A945" s="217"/>
      <c r="B945" s="217"/>
      <c r="C945" s="217"/>
      <c r="D945" s="217"/>
      <c r="E945" s="167"/>
      <c r="F945" s="217"/>
      <c r="G945" s="216"/>
      <c r="H945" s="217"/>
      <c r="I945" s="216"/>
      <c r="J945" s="216"/>
      <c r="K945" s="219"/>
      <c r="L945" s="218"/>
      <c r="M945" s="220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  <c r="AC945" s="217"/>
      <c r="AD945" s="217"/>
      <c r="AE945" s="217"/>
      <c r="AF945" s="217"/>
    </row>
    <row r="946">
      <c r="A946" s="217"/>
      <c r="B946" s="217"/>
      <c r="C946" s="217"/>
      <c r="D946" s="217"/>
      <c r="E946" s="167"/>
      <c r="F946" s="217"/>
      <c r="G946" s="216"/>
      <c r="H946" s="217"/>
      <c r="I946" s="216"/>
      <c r="J946" s="216"/>
      <c r="K946" s="219"/>
      <c r="L946" s="218"/>
      <c r="M946" s="220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  <c r="AC946" s="217"/>
      <c r="AD946" s="217"/>
      <c r="AE946" s="217"/>
      <c r="AF946" s="217"/>
    </row>
    <row r="947">
      <c r="A947" s="217"/>
      <c r="B947" s="217"/>
      <c r="C947" s="217"/>
      <c r="D947" s="217"/>
      <c r="E947" s="167"/>
      <c r="F947" s="217"/>
      <c r="G947" s="216"/>
      <c r="H947" s="217"/>
      <c r="I947" s="216"/>
      <c r="J947" s="216"/>
      <c r="K947" s="219"/>
      <c r="L947" s="218"/>
      <c r="M947" s="220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  <c r="AA947" s="217"/>
      <c r="AB947" s="217"/>
      <c r="AC947" s="217"/>
      <c r="AD947" s="217"/>
      <c r="AE947" s="217"/>
      <c r="AF947" s="217"/>
    </row>
    <row r="948">
      <c r="A948" s="217"/>
      <c r="B948" s="217"/>
      <c r="C948" s="217"/>
      <c r="D948" s="217"/>
      <c r="E948" s="167"/>
      <c r="F948" s="217"/>
      <c r="G948" s="216"/>
      <c r="H948" s="217"/>
      <c r="I948" s="216"/>
      <c r="J948" s="216"/>
      <c r="K948" s="219"/>
      <c r="L948" s="218"/>
      <c r="M948" s="220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  <c r="AA948" s="217"/>
      <c r="AB948" s="217"/>
      <c r="AC948" s="217"/>
      <c r="AD948" s="217"/>
      <c r="AE948" s="217"/>
      <c r="AF948" s="217"/>
    </row>
    <row r="949">
      <c r="A949" s="217"/>
      <c r="B949" s="217"/>
      <c r="C949" s="217"/>
      <c r="D949" s="217"/>
      <c r="E949" s="167"/>
      <c r="F949" s="217"/>
      <c r="G949" s="216"/>
      <c r="H949" s="217"/>
      <c r="I949" s="216"/>
      <c r="J949" s="216"/>
      <c r="K949" s="219"/>
      <c r="L949" s="218"/>
      <c r="M949" s="220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  <c r="AA949" s="217"/>
      <c r="AB949" s="217"/>
      <c r="AC949" s="217"/>
      <c r="AD949" s="217"/>
      <c r="AE949" s="217"/>
      <c r="AF949" s="217"/>
    </row>
    <row r="950">
      <c r="A950" s="217"/>
      <c r="B950" s="217"/>
      <c r="C950" s="217"/>
      <c r="D950" s="217"/>
      <c r="E950" s="167"/>
      <c r="F950" s="217"/>
      <c r="G950" s="216"/>
      <c r="H950" s="217"/>
      <c r="I950" s="216"/>
      <c r="J950" s="216"/>
      <c r="K950" s="219"/>
      <c r="L950" s="218"/>
      <c r="M950" s="220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  <c r="AA950" s="217"/>
      <c r="AB950" s="217"/>
      <c r="AC950" s="217"/>
      <c r="AD950" s="217"/>
      <c r="AE950" s="217"/>
      <c r="AF950" s="217"/>
    </row>
    <row r="951">
      <c r="A951" s="217"/>
      <c r="B951" s="217"/>
      <c r="C951" s="217"/>
      <c r="D951" s="217"/>
      <c r="E951" s="167"/>
      <c r="F951" s="217"/>
      <c r="G951" s="216"/>
      <c r="H951" s="217"/>
      <c r="I951" s="216"/>
      <c r="J951" s="216"/>
      <c r="K951" s="219"/>
      <c r="L951" s="218"/>
      <c r="M951" s="220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  <c r="AA951" s="217"/>
      <c r="AB951" s="217"/>
      <c r="AC951" s="217"/>
      <c r="AD951" s="217"/>
      <c r="AE951" s="217"/>
      <c r="AF951" s="217"/>
    </row>
    <row r="952">
      <c r="A952" s="217"/>
      <c r="B952" s="217"/>
      <c r="C952" s="217"/>
      <c r="D952" s="217"/>
      <c r="E952" s="167"/>
      <c r="F952" s="217"/>
      <c r="G952" s="216"/>
      <c r="H952" s="217"/>
      <c r="I952" s="216"/>
      <c r="J952" s="216"/>
      <c r="K952" s="219"/>
      <c r="L952" s="218"/>
      <c r="M952" s="220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  <c r="AA952" s="217"/>
      <c r="AB952" s="217"/>
      <c r="AC952" s="217"/>
      <c r="AD952" s="217"/>
      <c r="AE952" s="217"/>
      <c r="AF952" s="217"/>
    </row>
    <row r="953">
      <c r="A953" s="217"/>
      <c r="B953" s="217"/>
      <c r="C953" s="217"/>
      <c r="D953" s="217"/>
      <c r="E953" s="167"/>
      <c r="F953" s="217"/>
      <c r="G953" s="216"/>
      <c r="H953" s="217"/>
      <c r="I953" s="216"/>
      <c r="J953" s="216"/>
      <c r="K953" s="219"/>
      <c r="L953" s="218"/>
      <c r="M953" s="220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  <c r="AA953" s="217"/>
      <c r="AB953" s="217"/>
      <c r="AC953" s="217"/>
      <c r="AD953" s="217"/>
      <c r="AE953" s="217"/>
      <c r="AF953" s="217"/>
    </row>
    <row r="954">
      <c r="A954" s="217"/>
      <c r="B954" s="217"/>
      <c r="C954" s="217"/>
      <c r="D954" s="217"/>
      <c r="E954" s="167"/>
      <c r="F954" s="217"/>
      <c r="G954" s="216"/>
      <c r="H954" s="217"/>
      <c r="I954" s="216"/>
      <c r="J954" s="216"/>
      <c r="K954" s="219"/>
      <c r="L954" s="218"/>
      <c r="M954" s="220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  <c r="AA954" s="217"/>
      <c r="AB954" s="217"/>
      <c r="AC954" s="217"/>
      <c r="AD954" s="217"/>
      <c r="AE954" s="217"/>
      <c r="AF954" s="217"/>
    </row>
    <row r="955">
      <c r="A955" s="217"/>
      <c r="B955" s="217"/>
      <c r="C955" s="217"/>
      <c r="D955" s="217"/>
      <c r="E955" s="167"/>
      <c r="F955" s="217"/>
      <c r="G955" s="216"/>
      <c r="H955" s="217"/>
      <c r="I955" s="216"/>
      <c r="J955" s="216"/>
      <c r="K955" s="219"/>
      <c r="L955" s="218"/>
      <c r="M955" s="220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  <c r="AA955" s="217"/>
      <c r="AB955" s="217"/>
      <c r="AC955" s="217"/>
      <c r="AD955" s="217"/>
      <c r="AE955" s="217"/>
      <c r="AF955" s="217"/>
    </row>
    <row r="956">
      <c r="A956" s="217"/>
      <c r="B956" s="217"/>
      <c r="C956" s="217"/>
      <c r="D956" s="217"/>
      <c r="E956" s="167"/>
      <c r="F956" s="217"/>
      <c r="G956" s="216"/>
      <c r="H956" s="217"/>
      <c r="I956" s="216"/>
      <c r="J956" s="216"/>
      <c r="K956" s="219"/>
      <c r="L956" s="218"/>
      <c r="M956" s="220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  <c r="AA956" s="217"/>
      <c r="AB956" s="217"/>
      <c r="AC956" s="217"/>
      <c r="AD956" s="217"/>
      <c r="AE956" s="217"/>
      <c r="AF956" s="217"/>
    </row>
    <row r="957">
      <c r="A957" s="217"/>
      <c r="B957" s="217"/>
      <c r="C957" s="217"/>
      <c r="D957" s="217"/>
      <c r="E957" s="167"/>
      <c r="F957" s="217"/>
      <c r="G957" s="216"/>
      <c r="H957" s="217"/>
      <c r="I957" s="216"/>
      <c r="J957" s="216"/>
      <c r="K957" s="219"/>
      <c r="L957" s="218"/>
      <c r="M957" s="220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  <c r="AA957" s="217"/>
      <c r="AB957" s="217"/>
      <c r="AC957" s="217"/>
      <c r="AD957" s="217"/>
      <c r="AE957" s="217"/>
      <c r="AF957" s="217"/>
    </row>
    <row r="958">
      <c r="A958" s="217"/>
      <c r="B958" s="217"/>
      <c r="C958" s="217"/>
      <c r="D958" s="217"/>
      <c r="E958" s="167"/>
      <c r="F958" s="217"/>
      <c r="G958" s="216"/>
      <c r="H958" s="217"/>
      <c r="I958" s="216"/>
      <c r="J958" s="216"/>
      <c r="K958" s="219"/>
      <c r="L958" s="218"/>
      <c r="M958" s="220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  <c r="AC958" s="217"/>
      <c r="AD958" s="217"/>
      <c r="AE958" s="217"/>
      <c r="AF958" s="217"/>
    </row>
    <row r="959">
      <c r="A959" s="217"/>
      <c r="B959" s="217"/>
      <c r="C959" s="217"/>
      <c r="D959" s="217"/>
      <c r="E959" s="167"/>
      <c r="F959" s="217"/>
      <c r="G959" s="216"/>
      <c r="H959" s="217"/>
      <c r="I959" s="216"/>
      <c r="J959" s="216"/>
      <c r="K959" s="219"/>
      <c r="L959" s="218"/>
      <c r="M959" s="220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  <c r="AA959" s="217"/>
      <c r="AB959" s="217"/>
      <c r="AC959" s="217"/>
      <c r="AD959" s="217"/>
      <c r="AE959" s="217"/>
      <c r="AF959" s="217"/>
    </row>
    <row r="960">
      <c r="A960" s="217"/>
      <c r="B960" s="217"/>
      <c r="C960" s="217"/>
      <c r="D960" s="217"/>
      <c r="E960" s="167"/>
      <c r="F960" s="217"/>
      <c r="G960" s="216"/>
      <c r="H960" s="217"/>
      <c r="I960" s="216"/>
      <c r="J960" s="216"/>
      <c r="K960" s="219"/>
      <c r="L960" s="218"/>
      <c r="M960" s="220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  <c r="AA960" s="217"/>
      <c r="AB960" s="217"/>
      <c r="AC960" s="217"/>
      <c r="AD960" s="217"/>
      <c r="AE960" s="217"/>
      <c r="AF960" s="217"/>
    </row>
    <row r="961">
      <c r="A961" s="217"/>
      <c r="B961" s="217"/>
      <c r="C961" s="217"/>
      <c r="D961" s="217"/>
      <c r="E961" s="167"/>
      <c r="F961" s="217"/>
      <c r="G961" s="216"/>
      <c r="H961" s="217"/>
      <c r="I961" s="216"/>
      <c r="J961" s="216"/>
      <c r="K961" s="219"/>
      <c r="L961" s="218"/>
      <c r="M961" s="220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  <c r="AC961" s="217"/>
      <c r="AD961" s="217"/>
      <c r="AE961" s="217"/>
      <c r="AF961" s="217"/>
    </row>
    <row r="962">
      <c r="A962" s="217"/>
      <c r="B962" s="217"/>
      <c r="C962" s="217"/>
      <c r="D962" s="217"/>
      <c r="E962" s="167"/>
      <c r="F962" s="217"/>
      <c r="G962" s="216"/>
      <c r="H962" s="217"/>
      <c r="I962" s="216"/>
      <c r="J962" s="216"/>
      <c r="K962" s="219"/>
      <c r="L962" s="218"/>
      <c r="M962" s="220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  <c r="AA962" s="217"/>
      <c r="AB962" s="217"/>
      <c r="AC962" s="217"/>
      <c r="AD962" s="217"/>
      <c r="AE962" s="217"/>
      <c r="AF962" s="217"/>
    </row>
    <row r="963">
      <c r="A963" s="217"/>
      <c r="B963" s="217"/>
      <c r="C963" s="217"/>
      <c r="D963" s="217"/>
      <c r="E963" s="167"/>
      <c r="F963" s="217"/>
      <c r="G963" s="216"/>
      <c r="H963" s="217"/>
      <c r="I963" s="216"/>
      <c r="J963" s="216"/>
      <c r="K963" s="219"/>
      <c r="L963" s="218"/>
      <c r="M963" s="220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  <c r="AA963" s="217"/>
      <c r="AB963" s="217"/>
      <c r="AC963" s="217"/>
      <c r="AD963" s="217"/>
      <c r="AE963" s="217"/>
      <c r="AF963" s="217"/>
    </row>
    <row r="964">
      <c r="A964" s="217"/>
      <c r="B964" s="217"/>
      <c r="C964" s="217"/>
      <c r="D964" s="217"/>
      <c r="E964" s="167"/>
      <c r="F964" s="217"/>
      <c r="G964" s="216"/>
      <c r="H964" s="217"/>
      <c r="I964" s="216"/>
      <c r="J964" s="216"/>
      <c r="K964" s="219"/>
      <c r="L964" s="218"/>
      <c r="M964" s="220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  <c r="AA964" s="217"/>
      <c r="AB964" s="217"/>
      <c r="AC964" s="217"/>
      <c r="AD964" s="217"/>
      <c r="AE964" s="217"/>
      <c r="AF964" s="217"/>
    </row>
    <row r="965">
      <c r="A965" s="217"/>
      <c r="B965" s="217"/>
      <c r="C965" s="217"/>
      <c r="D965" s="217"/>
      <c r="E965" s="167"/>
      <c r="F965" s="217"/>
      <c r="G965" s="216"/>
      <c r="H965" s="217"/>
      <c r="I965" s="216"/>
      <c r="J965" s="216"/>
      <c r="K965" s="219"/>
      <c r="L965" s="218"/>
      <c r="M965" s="220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  <c r="AA965" s="217"/>
      <c r="AB965" s="217"/>
      <c r="AC965" s="217"/>
      <c r="AD965" s="217"/>
      <c r="AE965" s="217"/>
      <c r="AF965" s="217"/>
    </row>
    <row r="966">
      <c r="A966" s="217"/>
      <c r="B966" s="217"/>
      <c r="C966" s="217"/>
      <c r="D966" s="217"/>
      <c r="E966" s="167"/>
      <c r="F966" s="217"/>
      <c r="G966" s="216"/>
      <c r="H966" s="217"/>
      <c r="I966" s="216"/>
      <c r="J966" s="216"/>
      <c r="K966" s="219"/>
      <c r="L966" s="218"/>
      <c r="M966" s="220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  <c r="AA966" s="217"/>
      <c r="AB966" s="217"/>
      <c r="AC966" s="217"/>
      <c r="AD966" s="217"/>
      <c r="AE966" s="217"/>
      <c r="AF966" s="217"/>
    </row>
    <row r="967">
      <c r="A967" s="217"/>
      <c r="B967" s="217"/>
      <c r="C967" s="217"/>
      <c r="D967" s="217"/>
      <c r="E967" s="167"/>
      <c r="F967" s="217"/>
      <c r="G967" s="216"/>
      <c r="H967" s="217"/>
      <c r="I967" s="216"/>
      <c r="J967" s="216"/>
      <c r="K967" s="219"/>
      <c r="L967" s="218"/>
      <c r="M967" s="220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  <c r="AA967" s="217"/>
      <c r="AB967" s="217"/>
      <c r="AC967" s="217"/>
      <c r="AD967" s="217"/>
      <c r="AE967" s="217"/>
      <c r="AF967" s="217"/>
    </row>
    <row r="968">
      <c r="A968" s="217"/>
      <c r="B968" s="217"/>
      <c r="C968" s="217"/>
      <c r="D968" s="217"/>
      <c r="E968" s="167"/>
      <c r="F968" s="217"/>
      <c r="G968" s="216"/>
      <c r="H968" s="217"/>
      <c r="I968" s="216"/>
      <c r="J968" s="216"/>
      <c r="K968" s="219"/>
      <c r="L968" s="218"/>
      <c r="M968" s="220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  <c r="AA968" s="217"/>
      <c r="AB968" s="217"/>
      <c r="AC968" s="217"/>
      <c r="AD968" s="217"/>
      <c r="AE968" s="217"/>
      <c r="AF968" s="217"/>
    </row>
    <row r="969">
      <c r="A969" s="217"/>
      <c r="B969" s="217"/>
      <c r="C969" s="217"/>
      <c r="D969" s="217"/>
      <c r="E969" s="167"/>
      <c r="F969" s="217"/>
      <c r="G969" s="216"/>
      <c r="H969" s="217"/>
      <c r="I969" s="216"/>
      <c r="J969" s="216"/>
      <c r="K969" s="219"/>
      <c r="L969" s="218"/>
      <c r="M969" s="220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  <c r="AA969" s="217"/>
      <c r="AB969" s="217"/>
      <c r="AC969" s="217"/>
      <c r="AD969" s="217"/>
      <c r="AE969" s="217"/>
      <c r="AF969" s="217"/>
    </row>
    <row r="970">
      <c r="A970" s="217"/>
      <c r="B970" s="217"/>
      <c r="C970" s="217"/>
      <c r="D970" s="217"/>
      <c r="E970" s="167"/>
      <c r="F970" s="217"/>
      <c r="G970" s="216"/>
      <c r="H970" s="217"/>
      <c r="I970" s="216"/>
      <c r="J970" s="216"/>
      <c r="K970" s="219"/>
      <c r="L970" s="218"/>
      <c r="M970" s="220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  <c r="AA970" s="217"/>
      <c r="AB970" s="217"/>
      <c r="AC970" s="217"/>
      <c r="AD970" s="217"/>
      <c r="AE970" s="217"/>
      <c r="AF970" s="217"/>
    </row>
    <row r="971">
      <c r="A971" s="217"/>
      <c r="B971" s="217"/>
      <c r="C971" s="217"/>
      <c r="D971" s="217"/>
      <c r="E971" s="167"/>
      <c r="F971" s="217"/>
      <c r="G971" s="216"/>
      <c r="H971" s="217"/>
      <c r="I971" s="216"/>
      <c r="J971" s="216"/>
      <c r="K971" s="219"/>
      <c r="L971" s="218"/>
      <c r="M971" s="220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  <c r="AA971" s="217"/>
      <c r="AB971" s="217"/>
      <c r="AC971" s="217"/>
      <c r="AD971" s="217"/>
      <c r="AE971" s="217"/>
      <c r="AF971" s="217"/>
    </row>
    <row r="972">
      <c r="A972" s="217"/>
      <c r="B972" s="217"/>
      <c r="C972" s="217"/>
      <c r="D972" s="217"/>
      <c r="E972" s="167"/>
      <c r="F972" s="217"/>
      <c r="G972" s="216"/>
      <c r="H972" s="217"/>
      <c r="I972" s="216"/>
      <c r="J972" s="216"/>
      <c r="K972" s="219"/>
      <c r="L972" s="218"/>
      <c r="M972" s="220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  <c r="AA972" s="217"/>
      <c r="AB972" s="217"/>
      <c r="AC972" s="217"/>
      <c r="AD972" s="217"/>
      <c r="AE972" s="217"/>
      <c r="AF972" s="217"/>
    </row>
    <row r="973">
      <c r="A973" s="217"/>
      <c r="B973" s="217"/>
      <c r="C973" s="217"/>
      <c r="D973" s="217"/>
      <c r="E973" s="167"/>
      <c r="F973" s="217"/>
      <c r="G973" s="216"/>
      <c r="H973" s="217"/>
      <c r="I973" s="216"/>
      <c r="J973" s="216"/>
      <c r="K973" s="219"/>
      <c r="L973" s="218"/>
      <c r="M973" s="220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  <c r="AA973" s="217"/>
      <c r="AB973" s="217"/>
      <c r="AC973" s="217"/>
      <c r="AD973" s="217"/>
      <c r="AE973" s="217"/>
      <c r="AF973" s="217"/>
    </row>
    <row r="974">
      <c r="A974" s="217"/>
      <c r="B974" s="217"/>
      <c r="C974" s="217"/>
      <c r="D974" s="217"/>
      <c r="E974" s="167"/>
      <c r="F974" s="217"/>
      <c r="G974" s="216"/>
      <c r="H974" s="217"/>
      <c r="I974" s="216"/>
      <c r="J974" s="216"/>
      <c r="K974" s="219"/>
      <c r="L974" s="218"/>
      <c r="M974" s="220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  <c r="AA974" s="217"/>
      <c r="AB974" s="217"/>
      <c r="AC974" s="217"/>
      <c r="AD974" s="217"/>
      <c r="AE974" s="217"/>
      <c r="AF974" s="217"/>
    </row>
    <row r="975">
      <c r="A975" s="217"/>
      <c r="B975" s="217"/>
      <c r="C975" s="217"/>
      <c r="D975" s="217"/>
      <c r="E975" s="167"/>
      <c r="F975" s="217"/>
      <c r="G975" s="216"/>
      <c r="H975" s="217"/>
      <c r="I975" s="216"/>
      <c r="J975" s="216"/>
      <c r="K975" s="219"/>
      <c r="L975" s="218"/>
      <c r="M975" s="220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  <c r="AA975" s="217"/>
      <c r="AB975" s="217"/>
      <c r="AC975" s="217"/>
      <c r="AD975" s="217"/>
      <c r="AE975" s="217"/>
      <c r="AF975" s="217"/>
    </row>
    <row r="976">
      <c r="A976" s="217"/>
      <c r="B976" s="217"/>
      <c r="C976" s="217"/>
      <c r="D976" s="217"/>
      <c r="E976" s="167"/>
      <c r="F976" s="217"/>
      <c r="G976" s="216"/>
      <c r="H976" s="217"/>
      <c r="I976" s="216"/>
      <c r="J976" s="216"/>
      <c r="K976" s="219"/>
      <c r="L976" s="218"/>
      <c r="M976" s="220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  <c r="AA976" s="217"/>
      <c r="AB976" s="217"/>
      <c r="AC976" s="217"/>
      <c r="AD976" s="217"/>
      <c r="AE976" s="217"/>
      <c r="AF976" s="217"/>
    </row>
    <row r="977">
      <c r="A977" s="217"/>
      <c r="B977" s="217"/>
      <c r="C977" s="217"/>
      <c r="D977" s="217"/>
      <c r="E977" s="167"/>
      <c r="F977" s="217"/>
      <c r="G977" s="216"/>
      <c r="H977" s="217"/>
      <c r="I977" s="216"/>
      <c r="J977" s="216"/>
      <c r="K977" s="219"/>
      <c r="L977" s="218"/>
      <c r="M977" s="220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  <c r="AA977" s="217"/>
      <c r="AB977" s="217"/>
      <c r="AC977" s="217"/>
      <c r="AD977" s="217"/>
      <c r="AE977" s="217"/>
      <c r="AF977" s="217"/>
    </row>
    <row r="978">
      <c r="A978" s="217"/>
      <c r="B978" s="217"/>
      <c r="C978" s="217"/>
      <c r="D978" s="217"/>
      <c r="E978" s="167"/>
      <c r="F978" s="217"/>
      <c r="G978" s="216"/>
      <c r="H978" s="217"/>
      <c r="I978" s="216"/>
      <c r="J978" s="216"/>
      <c r="K978" s="219"/>
      <c r="L978" s="218"/>
      <c r="M978" s="220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17"/>
      <c r="AD978" s="217"/>
      <c r="AE978" s="217"/>
      <c r="AF978" s="217"/>
    </row>
    <row r="979">
      <c r="A979" s="217"/>
      <c r="B979" s="217"/>
      <c r="C979" s="217"/>
      <c r="D979" s="217"/>
      <c r="E979" s="167"/>
      <c r="F979" s="217"/>
      <c r="G979" s="216"/>
      <c r="H979" s="217"/>
      <c r="I979" s="216"/>
      <c r="J979" s="216"/>
      <c r="K979" s="219"/>
      <c r="L979" s="218"/>
      <c r="M979" s="220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  <c r="AA979" s="217"/>
      <c r="AB979" s="217"/>
      <c r="AC979" s="217"/>
      <c r="AD979" s="217"/>
      <c r="AE979" s="217"/>
      <c r="AF979" s="217"/>
    </row>
    <row r="980">
      <c r="A980" s="217"/>
      <c r="B980" s="217"/>
      <c r="C980" s="217"/>
      <c r="D980" s="217"/>
      <c r="E980" s="167"/>
      <c r="F980" s="217"/>
      <c r="G980" s="216"/>
      <c r="H980" s="217"/>
      <c r="I980" s="216"/>
      <c r="J980" s="216"/>
      <c r="K980" s="219"/>
      <c r="L980" s="218"/>
      <c r="M980" s="220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  <c r="AA980" s="217"/>
      <c r="AB980" s="217"/>
      <c r="AC980" s="217"/>
      <c r="AD980" s="217"/>
      <c r="AE980" s="217"/>
      <c r="AF980" s="217"/>
    </row>
    <row r="981">
      <c r="A981" s="217"/>
      <c r="B981" s="217"/>
      <c r="C981" s="217"/>
      <c r="D981" s="217"/>
      <c r="E981" s="167"/>
      <c r="F981" s="217"/>
      <c r="G981" s="216"/>
      <c r="H981" s="217"/>
      <c r="I981" s="216"/>
      <c r="J981" s="216"/>
      <c r="K981" s="219"/>
      <c r="L981" s="218"/>
      <c r="M981" s="220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  <c r="AA981" s="217"/>
      <c r="AB981" s="217"/>
      <c r="AC981" s="217"/>
      <c r="AD981" s="217"/>
      <c r="AE981" s="217"/>
      <c r="AF981" s="217"/>
    </row>
    <row r="982">
      <c r="A982" s="217"/>
      <c r="B982" s="217"/>
      <c r="C982" s="217"/>
      <c r="D982" s="217"/>
      <c r="E982" s="167"/>
      <c r="F982" s="217"/>
      <c r="G982" s="216"/>
      <c r="H982" s="217"/>
      <c r="I982" s="216"/>
      <c r="J982" s="216"/>
      <c r="K982" s="219"/>
      <c r="L982" s="218"/>
      <c r="M982" s="220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  <c r="AA982" s="217"/>
      <c r="AB982" s="217"/>
      <c r="AC982" s="217"/>
      <c r="AD982" s="217"/>
      <c r="AE982" s="217"/>
      <c r="AF982" s="217"/>
    </row>
    <row r="983">
      <c r="A983" s="217"/>
      <c r="B983" s="217"/>
      <c r="C983" s="217"/>
      <c r="D983" s="217"/>
      <c r="E983" s="167"/>
      <c r="F983" s="217"/>
      <c r="G983" s="216"/>
      <c r="H983" s="217"/>
      <c r="I983" s="216"/>
      <c r="J983" s="216"/>
      <c r="K983" s="219"/>
      <c r="L983" s="218"/>
      <c r="M983" s="220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  <c r="AA983" s="217"/>
      <c r="AB983" s="217"/>
      <c r="AC983" s="217"/>
      <c r="AD983" s="217"/>
      <c r="AE983" s="217"/>
      <c r="AF983" s="217"/>
    </row>
    <row r="984">
      <c r="A984" s="217"/>
      <c r="B984" s="217"/>
      <c r="C984" s="217"/>
      <c r="D984" s="217"/>
      <c r="E984" s="167"/>
      <c r="F984" s="217"/>
      <c r="G984" s="216"/>
      <c r="H984" s="217"/>
      <c r="I984" s="216"/>
      <c r="J984" s="216"/>
      <c r="K984" s="219"/>
      <c r="L984" s="218"/>
      <c r="M984" s="220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  <c r="AA984" s="217"/>
      <c r="AB984" s="217"/>
      <c r="AC984" s="217"/>
      <c r="AD984" s="217"/>
      <c r="AE984" s="217"/>
      <c r="AF984" s="217"/>
    </row>
    <row r="985">
      <c r="A985" s="217"/>
      <c r="B985" s="217"/>
      <c r="C985" s="217"/>
      <c r="D985" s="217"/>
      <c r="E985" s="167"/>
      <c r="F985" s="217"/>
      <c r="G985" s="216"/>
      <c r="H985" s="217"/>
      <c r="I985" s="216"/>
      <c r="J985" s="216"/>
      <c r="K985" s="219"/>
      <c r="L985" s="218"/>
      <c r="M985" s="220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  <c r="AA985" s="217"/>
      <c r="AB985" s="217"/>
      <c r="AC985" s="217"/>
      <c r="AD985" s="217"/>
      <c r="AE985" s="217"/>
      <c r="AF985" s="217"/>
    </row>
    <row r="986">
      <c r="A986" s="217"/>
      <c r="B986" s="217"/>
      <c r="C986" s="217"/>
      <c r="D986" s="217"/>
      <c r="E986" s="167"/>
      <c r="F986" s="217"/>
      <c r="G986" s="216"/>
      <c r="H986" s="217"/>
      <c r="I986" s="216"/>
      <c r="J986" s="216"/>
      <c r="K986" s="219"/>
      <c r="L986" s="218"/>
      <c r="M986" s="220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  <c r="AA986" s="217"/>
      <c r="AB986" s="217"/>
      <c r="AC986" s="217"/>
      <c r="AD986" s="217"/>
      <c r="AE986" s="217"/>
      <c r="AF986" s="217"/>
    </row>
    <row r="987">
      <c r="A987" s="217"/>
      <c r="B987" s="217"/>
      <c r="C987" s="217"/>
      <c r="D987" s="217"/>
      <c r="E987" s="167"/>
      <c r="F987" s="217"/>
      <c r="G987" s="216"/>
      <c r="H987" s="217"/>
      <c r="I987" s="216"/>
      <c r="J987" s="216"/>
      <c r="K987" s="219"/>
      <c r="L987" s="218"/>
      <c r="M987" s="220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  <c r="AA987" s="217"/>
      <c r="AB987" s="217"/>
      <c r="AC987" s="217"/>
      <c r="AD987" s="217"/>
      <c r="AE987" s="217"/>
      <c r="AF987" s="217"/>
    </row>
    <row r="988">
      <c r="A988" s="217"/>
      <c r="B988" s="217"/>
      <c r="C988" s="217"/>
      <c r="D988" s="217"/>
      <c r="E988" s="167"/>
      <c r="F988" s="217"/>
      <c r="G988" s="216"/>
      <c r="H988" s="217"/>
      <c r="I988" s="216"/>
      <c r="J988" s="216"/>
      <c r="K988" s="219"/>
      <c r="L988" s="218"/>
      <c r="M988" s="220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  <c r="AA988" s="217"/>
      <c r="AB988" s="217"/>
      <c r="AC988" s="217"/>
      <c r="AD988" s="217"/>
      <c r="AE988" s="217"/>
      <c r="AF988" s="217"/>
    </row>
    <row r="989">
      <c r="A989" s="217"/>
      <c r="B989" s="217"/>
      <c r="C989" s="217"/>
      <c r="D989" s="217"/>
      <c r="E989" s="167"/>
      <c r="F989" s="217"/>
      <c r="G989" s="216"/>
      <c r="H989" s="217"/>
      <c r="I989" s="216"/>
      <c r="J989" s="216"/>
      <c r="K989" s="219"/>
      <c r="L989" s="218"/>
      <c r="M989" s="220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  <c r="AA989" s="217"/>
      <c r="AB989" s="217"/>
      <c r="AC989" s="217"/>
      <c r="AD989" s="217"/>
      <c r="AE989" s="217"/>
      <c r="AF989" s="217"/>
    </row>
    <row r="990">
      <c r="A990" s="217"/>
      <c r="B990" s="217"/>
      <c r="C990" s="217"/>
      <c r="D990" s="217"/>
      <c r="E990" s="167"/>
      <c r="F990" s="217"/>
      <c r="G990" s="216"/>
      <c r="H990" s="217"/>
      <c r="I990" s="216"/>
      <c r="J990" s="216"/>
      <c r="K990" s="219"/>
      <c r="L990" s="218"/>
      <c r="M990" s="220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  <c r="AA990" s="217"/>
      <c r="AB990" s="217"/>
      <c r="AC990" s="217"/>
      <c r="AD990" s="217"/>
      <c r="AE990" s="217"/>
      <c r="AF990" s="217"/>
    </row>
    <row r="991">
      <c r="A991" s="217"/>
      <c r="B991" s="217"/>
      <c r="C991" s="217"/>
      <c r="D991" s="217"/>
      <c r="E991" s="167"/>
      <c r="F991" s="217"/>
      <c r="G991" s="216"/>
      <c r="H991" s="217"/>
      <c r="I991" s="216"/>
      <c r="J991" s="216"/>
      <c r="K991" s="219"/>
      <c r="L991" s="218"/>
      <c r="M991" s="220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  <c r="AA991" s="217"/>
      <c r="AB991" s="217"/>
      <c r="AC991" s="217"/>
      <c r="AD991" s="217"/>
      <c r="AE991" s="217"/>
      <c r="AF991" s="217"/>
    </row>
    <row r="992">
      <c r="A992" s="217"/>
      <c r="B992" s="217"/>
      <c r="C992" s="217"/>
      <c r="D992" s="217"/>
      <c r="E992" s="167"/>
      <c r="F992" s="217"/>
      <c r="G992" s="216"/>
      <c r="H992" s="217"/>
      <c r="I992" s="216"/>
      <c r="J992" s="216"/>
      <c r="K992" s="219"/>
      <c r="L992" s="218"/>
      <c r="M992" s="220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  <c r="AA992" s="217"/>
      <c r="AB992" s="217"/>
      <c r="AC992" s="217"/>
      <c r="AD992" s="217"/>
      <c r="AE992" s="217"/>
      <c r="AF992" s="217"/>
    </row>
    <row r="993">
      <c r="A993" s="217"/>
      <c r="B993" s="217"/>
      <c r="C993" s="217"/>
      <c r="D993" s="217"/>
      <c r="E993" s="167"/>
      <c r="F993" s="217"/>
      <c r="G993" s="216"/>
      <c r="H993" s="217"/>
      <c r="I993" s="216"/>
      <c r="J993" s="216"/>
      <c r="K993" s="219"/>
      <c r="L993" s="218"/>
      <c r="M993" s="220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  <c r="AA993" s="217"/>
      <c r="AB993" s="217"/>
      <c r="AC993" s="217"/>
      <c r="AD993" s="217"/>
      <c r="AE993" s="217"/>
      <c r="AF993" s="217"/>
    </row>
    <row r="994">
      <c r="A994" s="217"/>
      <c r="B994" s="217"/>
      <c r="C994" s="217"/>
      <c r="D994" s="217"/>
      <c r="E994" s="167"/>
      <c r="F994" s="217"/>
      <c r="G994" s="216"/>
      <c r="H994" s="217"/>
      <c r="I994" s="216"/>
      <c r="J994" s="216"/>
      <c r="K994" s="219"/>
      <c r="L994" s="218"/>
      <c r="M994" s="220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  <c r="AA994" s="217"/>
      <c r="AB994" s="217"/>
      <c r="AC994" s="217"/>
      <c r="AD994" s="217"/>
      <c r="AE994" s="217"/>
      <c r="AF994" s="217"/>
    </row>
    <row r="995">
      <c r="A995" s="217"/>
      <c r="B995" s="217"/>
      <c r="C995" s="217"/>
      <c r="D995" s="217"/>
      <c r="E995" s="167"/>
      <c r="F995" s="217"/>
      <c r="G995" s="216"/>
      <c r="H995" s="217"/>
      <c r="I995" s="216"/>
      <c r="J995" s="216"/>
      <c r="K995" s="219"/>
      <c r="L995" s="218"/>
      <c r="M995" s="220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  <c r="AA995" s="217"/>
      <c r="AB995" s="217"/>
      <c r="AC995" s="217"/>
      <c r="AD995" s="217"/>
      <c r="AE995" s="217"/>
      <c r="AF995" s="217"/>
    </row>
    <row r="996">
      <c r="A996" s="217"/>
      <c r="B996" s="217"/>
      <c r="C996" s="217"/>
      <c r="D996" s="217"/>
      <c r="E996" s="167"/>
      <c r="F996" s="217"/>
      <c r="G996" s="216"/>
      <c r="H996" s="217"/>
      <c r="I996" s="216"/>
      <c r="J996" s="216"/>
      <c r="K996" s="219"/>
      <c r="L996" s="218"/>
      <c r="M996" s="220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  <c r="AA996" s="217"/>
      <c r="AB996" s="217"/>
      <c r="AC996" s="217"/>
      <c r="AD996" s="217"/>
      <c r="AE996" s="217"/>
      <c r="AF996" s="217"/>
    </row>
    <row r="997">
      <c r="A997" s="217"/>
      <c r="B997" s="217"/>
      <c r="C997" s="217"/>
      <c r="D997" s="217"/>
      <c r="E997" s="167"/>
      <c r="F997" s="217"/>
      <c r="G997" s="216"/>
      <c r="H997" s="217"/>
      <c r="I997" s="216"/>
      <c r="J997" s="216"/>
      <c r="K997" s="219"/>
      <c r="L997" s="218"/>
      <c r="M997" s="220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  <c r="AA997" s="217"/>
      <c r="AB997" s="217"/>
      <c r="AC997" s="217"/>
      <c r="AD997" s="217"/>
      <c r="AE997" s="217"/>
      <c r="AF997" s="217"/>
    </row>
    <row r="998">
      <c r="A998" s="217"/>
      <c r="B998" s="217"/>
      <c r="C998" s="217"/>
      <c r="D998" s="217"/>
      <c r="E998" s="167"/>
      <c r="F998" s="217"/>
      <c r="G998" s="216"/>
      <c r="H998" s="217"/>
      <c r="I998" s="216"/>
      <c r="J998" s="216"/>
      <c r="K998" s="219"/>
      <c r="L998" s="218"/>
      <c r="M998" s="220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  <c r="AA998" s="217"/>
      <c r="AB998" s="217"/>
      <c r="AC998" s="217"/>
      <c r="AD998" s="217"/>
      <c r="AE998" s="217"/>
      <c r="AF998" s="217"/>
    </row>
    <row r="999">
      <c r="A999" s="217"/>
      <c r="B999" s="217"/>
      <c r="C999" s="217"/>
      <c r="D999" s="217"/>
      <c r="E999" s="167"/>
      <c r="F999" s="217"/>
      <c r="G999" s="216"/>
      <c r="H999" s="217"/>
      <c r="I999" s="216"/>
      <c r="J999" s="216"/>
      <c r="K999" s="219"/>
      <c r="L999" s="218"/>
      <c r="M999" s="220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  <c r="AA999" s="217"/>
      <c r="AB999" s="217"/>
      <c r="AC999" s="217"/>
      <c r="AD999" s="217"/>
      <c r="AE999" s="217"/>
      <c r="AF999" s="217"/>
    </row>
  </sheetData>
  <mergeCells count="2">
    <mergeCell ref="A1:O1"/>
    <mergeCell ref="P1:AF1"/>
  </mergeCells>
  <conditionalFormatting sqref="A1:AF999">
    <cfRule type="containsBlanks" dxfId="1" priority="1">
      <formula>LEN(TRIM(A1))=0</formula>
    </cfRule>
  </conditionalFormatting>
  <conditionalFormatting sqref="I2:I999">
    <cfRule type="notContainsBlanks" dxfId="2" priority="2">
      <formula>LEN(TRIM(I2))&gt;0</formula>
    </cfRule>
  </conditionalFormatting>
  <conditionalFormatting sqref="J2:J999">
    <cfRule type="notContainsBlanks" dxfId="3" priority="3">
      <formula>LEN(TRIM(J2))&gt;0</formula>
    </cfRule>
  </conditionalFormatting>
  <conditionalFormatting sqref="K2:K999">
    <cfRule type="notContainsBlanks" dxfId="4" priority="4">
      <formula>LEN(TRIM(K2))&gt;0</formula>
    </cfRule>
  </conditionalFormatting>
  <conditionalFormatting sqref="N1:N999">
    <cfRule type="cellIs" dxfId="5" priority="5" operator="equal">
      <formula>0</formula>
    </cfRule>
  </conditionalFormatting>
  <conditionalFormatting sqref="N1:N999">
    <cfRule type="cellIs" dxfId="6" priority="6" operator="equal">
      <formula>1</formula>
    </cfRule>
  </conditionalFormatting>
  <conditionalFormatting sqref="G1:G999">
    <cfRule type="notContainsBlanks" dxfId="7" priority="7">
      <formula>LEN(TRIM(G1))&gt;0</formula>
    </cfRule>
  </conditionalFormatting>
  <dataValidations>
    <dataValidation type="list" allowBlank="1" showDropDown="1" showErrorMessage="1" sqref="H2:H999">
      <formula1>"BTC,ETH,TON,RON,SOL,DOGE,USDC,TAO,LINK,ACTIF,SHIB,CAKE,JUP,AAVE,CKB,PENDLE,BOME,PEPE,WIF,RAY"</formula1>
    </dataValidation>
    <dataValidation type="list" allowBlank="1" showDropDown="1" showErrorMessage="1" sqref="F2:F999">
      <formula1>"Invest,Retrait"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75"/>
    <col customWidth="1" min="2" max="2" width="23.38"/>
    <col customWidth="1" min="3" max="3" width="30.38"/>
    <col customWidth="1" min="4" max="4" width="13.0"/>
  </cols>
  <sheetData>
    <row r="1">
      <c r="A1" s="221" t="s">
        <v>103</v>
      </c>
      <c r="B1" s="222"/>
      <c r="C1" s="223"/>
      <c r="D1" s="224"/>
      <c r="E1" s="225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</row>
    <row r="2" ht="22.5" customHeight="1">
      <c r="A2" s="226" t="s">
        <v>66</v>
      </c>
      <c r="B2" s="227" t="s">
        <v>104</v>
      </c>
      <c r="C2" s="228" t="s">
        <v>105</v>
      </c>
      <c r="D2" s="229" t="s">
        <v>46</v>
      </c>
      <c r="E2" s="229" t="s">
        <v>106</v>
      </c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</row>
    <row r="3" ht="22.5" customHeight="1">
      <c r="A3" s="230">
        <f>ARBITRAGES!E3</f>
        <v>45515</v>
      </c>
      <c r="B3" s="231">
        <f>BILAN!N3</f>
        <v>37467.52166</v>
      </c>
      <c r="C3" s="232">
        <f>BILAN!O3</f>
        <v>37684.60626</v>
      </c>
      <c r="D3" s="233">
        <f t="shared" ref="D3:D35" si="1">(C3-B3)/B3</f>
        <v>0.005793940843</v>
      </c>
      <c r="E3" s="234">
        <f t="shared" ref="E3:E35" si="2">C3-B3</f>
        <v>217.084604</v>
      </c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</row>
    <row r="4" ht="22.5" customHeight="1">
      <c r="A4" s="230">
        <f>IF(ARBITRAGES!E4="","",ARBITRAGES!E4)</f>
        <v>45515</v>
      </c>
      <c r="B4" s="231">
        <f>BILAN!N4</f>
        <v>37467.52166</v>
      </c>
      <c r="C4" s="232">
        <f>BILAN!O4</f>
        <v>39187.93921</v>
      </c>
      <c r="D4" s="233">
        <f t="shared" si="1"/>
        <v>0.04591757026</v>
      </c>
      <c r="E4" s="234">
        <f t="shared" si="2"/>
        <v>1720.417558</v>
      </c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</row>
    <row r="5" ht="22.5" customHeight="1">
      <c r="A5" s="230">
        <f>IF(ARBITRAGES!E5="","",ARBITRAGES!E5)</f>
        <v>45516</v>
      </c>
      <c r="B5" s="231">
        <f>BILAN!N5</f>
        <v>37467.52166</v>
      </c>
      <c r="C5" s="232">
        <f>BILAN!O5</f>
        <v>38425.05791</v>
      </c>
      <c r="D5" s="233">
        <f t="shared" si="1"/>
        <v>0.02555643416</v>
      </c>
      <c r="E5" s="234">
        <f t="shared" si="2"/>
        <v>957.5362504</v>
      </c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</row>
    <row r="6" ht="22.5" customHeight="1">
      <c r="A6" s="230">
        <f>IF(ARBITRAGES!E6="","",ARBITRAGES!E6)</f>
        <v>45517</v>
      </c>
      <c r="B6" s="231">
        <f>BILAN!N6</f>
        <v>37467.52166</v>
      </c>
      <c r="C6" s="232">
        <f>BILAN!O6</f>
        <v>38797.4525</v>
      </c>
      <c r="D6" s="233">
        <f t="shared" si="1"/>
        <v>0.03549556489</v>
      </c>
      <c r="E6" s="234">
        <f t="shared" si="2"/>
        <v>1329.930846</v>
      </c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</row>
    <row r="7" ht="22.5" customHeight="1">
      <c r="A7" s="230">
        <f>IF(ARBITRAGES!E7="","",ARBITRAGES!E7)</f>
        <v>45518</v>
      </c>
      <c r="B7" s="231">
        <f>BILAN!N7</f>
        <v>37467.52166</v>
      </c>
      <c r="C7" s="232">
        <f>BILAN!O7</f>
        <v>38816.26487</v>
      </c>
      <c r="D7" s="233">
        <f t="shared" si="1"/>
        <v>0.0359976629</v>
      </c>
      <c r="E7" s="234">
        <f t="shared" si="2"/>
        <v>1348.743214</v>
      </c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</row>
    <row r="8" ht="22.5" customHeight="1">
      <c r="A8" s="230">
        <f>IF(ARBITRAGES!E8="","",ARBITRAGES!E8)</f>
        <v>45518</v>
      </c>
      <c r="B8" s="231">
        <f>BILAN!N8</f>
        <v>37467.52166</v>
      </c>
      <c r="C8" s="232">
        <f>BILAN!O8</f>
        <v>38836.26487</v>
      </c>
      <c r="D8" s="233">
        <f t="shared" si="1"/>
        <v>0.03653145854</v>
      </c>
      <c r="E8" s="234">
        <f t="shared" si="2"/>
        <v>1368.743214</v>
      </c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</row>
    <row r="9" ht="22.5" customHeight="1">
      <c r="A9" s="230">
        <f>IF(ARBITRAGES!E9="","",ARBITRAGES!E9)</f>
        <v>45519</v>
      </c>
      <c r="B9" s="231">
        <f>BILAN!N9</f>
        <v>37467.52166</v>
      </c>
      <c r="C9" s="232">
        <f>BILAN!O9</f>
        <v>37999.57198</v>
      </c>
      <c r="D9" s="233">
        <f t="shared" si="1"/>
        <v>0.01420030735</v>
      </c>
      <c r="E9" s="234">
        <f t="shared" si="2"/>
        <v>532.0503231</v>
      </c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</row>
    <row r="10" ht="22.5" customHeight="1">
      <c r="A10" s="230">
        <f>IF(ARBITRAGES!E10="","",ARBITRAGES!E10)</f>
        <v>45522</v>
      </c>
      <c r="B10" s="231">
        <f>BILAN!N10</f>
        <v>37467.52166</v>
      </c>
      <c r="C10" s="232">
        <f>BILAN!O10</f>
        <v>38621.63</v>
      </c>
      <c r="D10" s="233">
        <f t="shared" si="1"/>
        <v>0.03080290066</v>
      </c>
      <c r="E10" s="234">
        <f t="shared" si="2"/>
        <v>1154.108348</v>
      </c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</row>
    <row r="11" ht="22.5" customHeight="1">
      <c r="A11" s="230">
        <f>IF(ARBITRAGES!E11="","",ARBITRAGES!E11)</f>
        <v>45527</v>
      </c>
      <c r="B11" s="231">
        <f>BILAN!N11</f>
        <v>37467.52166</v>
      </c>
      <c r="C11" s="232">
        <f>BILAN!O11</f>
        <v>40071.08671</v>
      </c>
      <c r="D11" s="233">
        <f t="shared" si="1"/>
        <v>0.06948858485</v>
      </c>
      <c r="E11" s="234">
        <f t="shared" si="2"/>
        <v>2603.565058</v>
      </c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</row>
    <row r="12" ht="22.5" customHeight="1">
      <c r="A12" s="230">
        <f>IF(ARBITRAGES!E12="","",ARBITRAGES!E12)</f>
        <v>45527</v>
      </c>
      <c r="B12" s="231">
        <f>BILAN!N12</f>
        <v>37467.52166</v>
      </c>
      <c r="C12" s="232">
        <f>BILAN!O12</f>
        <v>40130.79639</v>
      </c>
      <c r="D12" s="233">
        <f t="shared" si="1"/>
        <v>0.07108222315</v>
      </c>
      <c r="E12" s="234">
        <f t="shared" si="2"/>
        <v>2663.274735</v>
      </c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</row>
    <row r="13" ht="22.5" customHeight="1">
      <c r="A13" s="230">
        <f>IF(ARBITRAGES!E13="","",ARBITRAGES!E13)</f>
        <v>45528</v>
      </c>
      <c r="B13" s="231">
        <f>BILAN!N13</f>
        <v>37467.52166</v>
      </c>
      <c r="C13" s="232">
        <f>BILAN!O13</f>
        <v>40893.77506</v>
      </c>
      <c r="D13" s="233">
        <f t="shared" si="1"/>
        <v>0.09144595792</v>
      </c>
      <c r="E13" s="234">
        <f t="shared" si="2"/>
        <v>3426.253409</v>
      </c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</row>
    <row r="14" ht="22.5" customHeight="1">
      <c r="A14" s="230">
        <f>IF(ARBITRAGES!E14="","",ARBITRAGES!E14)</f>
        <v>45529</v>
      </c>
      <c r="B14" s="231">
        <f>BILAN!N14</f>
        <v>37467.52166</v>
      </c>
      <c r="C14" s="232">
        <f>BILAN!O14</f>
        <v>40117.45953</v>
      </c>
      <c r="D14" s="233">
        <f t="shared" si="1"/>
        <v>0.07072626539</v>
      </c>
      <c r="E14" s="234">
        <f t="shared" si="2"/>
        <v>2649.93788</v>
      </c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</row>
    <row r="15" ht="22.5" customHeight="1">
      <c r="A15" s="230">
        <f>IF(ARBITRAGES!E15="","",ARBITRAGES!E15)</f>
        <v>45530</v>
      </c>
      <c r="B15" s="231">
        <f>BILAN!N15</f>
        <v>37467.52166</v>
      </c>
      <c r="C15" s="232">
        <f>BILAN!O15</f>
        <v>38900.62381</v>
      </c>
      <c r="D15" s="233">
        <f t="shared" si="1"/>
        <v>0.03824918476</v>
      </c>
      <c r="E15" s="234">
        <f t="shared" si="2"/>
        <v>1433.102158</v>
      </c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</row>
    <row r="16" ht="22.5" customHeight="1">
      <c r="A16" s="230">
        <f>IF(ARBITRAGES!E16="","",ARBITRAGES!E16)</f>
        <v>45531</v>
      </c>
      <c r="B16" s="231">
        <f>BILAN!N16</f>
        <v>37467.52166</v>
      </c>
      <c r="C16" s="232">
        <f>BILAN!O16</f>
        <v>38851.50839</v>
      </c>
      <c r="D16" s="233">
        <f t="shared" si="1"/>
        <v>0.03693830478</v>
      </c>
      <c r="E16" s="234">
        <f t="shared" si="2"/>
        <v>1383.986734</v>
      </c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</row>
    <row r="17" ht="22.5" customHeight="1">
      <c r="A17" s="230">
        <f>IF(ARBITRAGES!E17="","",ARBITRAGES!E17)</f>
        <v>45531</v>
      </c>
      <c r="B17" s="231">
        <f>BILAN!N17</f>
        <v>37467.52166</v>
      </c>
      <c r="C17" s="232">
        <f>BILAN!O17</f>
        <v>38876.00839</v>
      </c>
      <c r="D17" s="233">
        <f t="shared" si="1"/>
        <v>0.03759220445</v>
      </c>
      <c r="E17" s="234">
        <f t="shared" si="2"/>
        <v>1408.486734</v>
      </c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</row>
    <row r="18" ht="22.5" customHeight="1">
      <c r="A18" s="230">
        <f>IF(ARBITRAGES!E18="","",ARBITRAGES!E18)</f>
        <v>45531</v>
      </c>
      <c r="B18" s="231">
        <f>BILAN!N18</f>
        <v>37467.52166</v>
      </c>
      <c r="C18" s="232">
        <f>BILAN!O18</f>
        <v>38881.50839</v>
      </c>
      <c r="D18" s="233">
        <f t="shared" si="1"/>
        <v>0.03773899825</v>
      </c>
      <c r="E18" s="234">
        <f t="shared" si="2"/>
        <v>1413.986734</v>
      </c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</row>
    <row r="19" ht="22.5" customHeight="1">
      <c r="A19" s="230">
        <f>IF(ARBITRAGES!E19="","",ARBITRAGES!E19)</f>
        <v>45531</v>
      </c>
      <c r="B19" s="231">
        <f>BILAN!N19</f>
        <v>37467.52166</v>
      </c>
      <c r="C19" s="232">
        <f>BILAN!O19</f>
        <v>38937.50839</v>
      </c>
      <c r="D19" s="233">
        <f t="shared" si="1"/>
        <v>0.03923362606</v>
      </c>
      <c r="E19" s="234">
        <f t="shared" si="2"/>
        <v>1469.986734</v>
      </c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</row>
    <row r="20" ht="22.5" customHeight="1">
      <c r="A20" s="230">
        <f>IF(ARBITRAGES!E20="","",ARBITRAGES!E20)</f>
        <v>45532</v>
      </c>
      <c r="B20" s="231">
        <f>BILAN!N20</f>
        <v>37467.52166</v>
      </c>
      <c r="C20" s="232">
        <f>BILAN!O20</f>
        <v>37571.82377</v>
      </c>
      <c r="D20" s="233">
        <f t="shared" si="1"/>
        <v>0.002783800735</v>
      </c>
      <c r="E20" s="234">
        <f t="shared" si="2"/>
        <v>104.3021143</v>
      </c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</row>
    <row r="21" ht="22.5" customHeight="1">
      <c r="A21" s="230">
        <f>IF(ARBITRAGES!E21="","",ARBITRAGES!E21)</f>
        <v>45545</v>
      </c>
      <c r="B21" s="231">
        <f>BILAN!N21</f>
        <v>37467.52166</v>
      </c>
      <c r="C21" s="232">
        <f>BILAN!O21</f>
        <v>35856.03699</v>
      </c>
      <c r="D21" s="233">
        <f t="shared" si="1"/>
        <v>-0.04301017517</v>
      </c>
      <c r="E21" s="234">
        <f t="shared" si="2"/>
        <v>-1611.48467</v>
      </c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</row>
    <row r="22" ht="22.5" customHeight="1">
      <c r="A22" s="230">
        <f>IF(ARBITRAGES!E22="","",ARBITRAGES!E22)</f>
        <v>45551</v>
      </c>
      <c r="B22" s="231">
        <f>BILAN!N22</f>
        <v>37467.52166</v>
      </c>
      <c r="C22" s="232">
        <f>BILAN!O22</f>
        <v>36696.80664</v>
      </c>
      <c r="D22" s="233">
        <f t="shared" si="1"/>
        <v>-0.02057021613</v>
      </c>
      <c r="E22" s="234">
        <f t="shared" si="2"/>
        <v>-770.7150183</v>
      </c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</row>
    <row r="23" ht="22.5" customHeight="1">
      <c r="A23" s="230">
        <f>IF(ARBITRAGES!E23="","",ARBITRAGES!E23)</f>
        <v>45552</v>
      </c>
      <c r="B23" s="231">
        <f>BILAN!N23</f>
        <v>37467.52166</v>
      </c>
      <c r="C23" s="232">
        <f>BILAN!O23</f>
        <v>37935.51998</v>
      </c>
      <c r="D23" s="233">
        <f t="shared" si="1"/>
        <v>0.01249077344</v>
      </c>
      <c r="E23" s="234">
        <f t="shared" si="2"/>
        <v>467.9983243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</row>
    <row r="24" ht="22.5" customHeight="1">
      <c r="A24" s="230">
        <f>IF(ARBITRAGES!E24="","",ARBITRAGES!E24)</f>
        <v>45555</v>
      </c>
      <c r="B24" s="231">
        <f>BILAN!N24</f>
        <v>37467.52166</v>
      </c>
      <c r="C24" s="232">
        <f>BILAN!O24</f>
        <v>40252.67797</v>
      </c>
      <c r="D24" s="233">
        <f t="shared" si="1"/>
        <v>0.07433521594</v>
      </c>
      <c r="E24" s="234">
        <f t="shared" si="2"/>
        <v>2785.156313</v>
      </c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</row>
    <row r="25" ht="22.5" customHeight="1">
      <c r="A25" s="230">
        <f>IF(ARBITRAGES!E25="","",ARBITRAGES!E25)</f>
        <v>45557</v>
      </c>
      <c r="B25" s="231">
        <f>BILAN!N25</f>
        <v>37467.52166</v>
      </c>
      <c r="C25" s="232">
        <f>BILAN!O25</f>
        <v>41372.68005</v>
      </c>
      <c r="D25" s="233">
        <f t="shared" si="1"/>
        <v>0.1042278277</v>
      </c>
      <c r="E25" s="234">
        <f t="shared" si="2"/>
        <v>3905.158393</v>
      </c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</row>
    <row r="26" ht="22.5" customHeight="1">
      <c r="A26" s="230">
        <f>IF(ARBITRAGES!E26="","",ARBITRAGES!E26)</f>
        <v>45558</v>
      </c>
      <c r="B26" s="231">
        <f>BILAN!N26</f>
        <v>37467.52166</v>
      </c>
      <c r="C26" s="232">
        <f>BILAN!O26</f>
        <v>40838.91522</v>
      </c>
      <c r="D26" s="233">
        <f t="shared" si="1"/>
        <v>0.08998176064</v>
      </c>
      <c r="E26" s="234">
        <f t="shared" si="2"/>
        <v>3371.393565</v>
      </c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</row>
    <row r="27" ht="22.5" customHeight="1">
      <c r="A27" s="230">
        <f>IF(ARBITRAGES!E27="","",ARBITRAGES!E27)</f>
        <v>45568</v>
      </c>
      <c r="B27" s="231">
        <f>BILAN!N27</f>
        <v>37467.52166</v>
      </c>
      <c r="C27" s="232">
        <f>BILAN!O27</f>
        <v>38996.08912</v>
      </c>
      <c r="D27" s="233">
        <f t="shared" si="1"/>
        <v>0.04079713301</v>
      </c>
      <c r="E27" s="234">
        <f t="shared" si="2"/>
        <v>1528.567465</v>
      </c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</row>
    <row r="28" ht="22.5" customHeight="1">
      <c r="A28" s="230">
        <f>IF(ARBITRAGES!E28="","",ARBITRAGES!E28)</f>
        <v>45586</v>
      </c>
      <c r="B28" s="231">
        <f>BILAN!N28</f>
        <v>37467.52166</v>
      </c>
      <c r="C28" s="232">
        <f>BILAN!O28</f>
        <v>43650.54392</v>
      </c>
      <c r="D28" s="233">
        <f t="shared" si="1"/>
        <v>0.165023519</v>
      </c>
      <c r="E28" s="234">
        <f t="shared" si="2"/>
        <v>6183.02227</v>
      </c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</row>
    <row r="29" ht="22.5" customHeight="1">
      <c r="A29" s="230">
        <f>IF(ARBITRAGES!E29="","",ARBITRAGES!E29)</f>
        <v>45591</v>
      </c>
      <c r="B29" s="231">
        <f>BILAN!N29</f>
        <v>37467.52166</v>
      </c>
      <c r="C29" s="232">
        <f>BILAN!O29</f>
        <v>44302.28453</v>
      </c>
      <c r="D29" s="233">
        <f t="shared" si="1"/>
        <v>0.1824183338</v>
      </c>
      <c r="E29" s="234">
        <f t="shared" si="2"/>
        <v>6834.762872</v>
      </c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</row>
    <row r="30" ht="22.5" customHeight="1">
      <c r="A30" s="230">
        <f>IF(ARBITRAGES!E30="","",ARBITRAGES!E30)</f>
        <v>45594</v>
      </c>
      <c r="B30" s="231">
        <f>BILAN!N30</f>
        <v>37467.52166</v>
      </c>
      <c r="C30" s="232">
        <f>BILAN!O30</f>
        <v>44166.08036</v>
      </c>
      <c r="D30" s="233">
        <f t="shared" si="1"/>
        <v>0.1787830743</v>
      </c>
      <c r="E30" s="234">
        <f t="shared" si="2"/>
        <v>6698.558707</v>
      </c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</row>
    <row r="31" ht="22.5" customHeight="1">
      <c r="A31" s="230">
        <f>IF(ARBITRAGES!E31="","",ARBITRAGES!E31)</f>
        <v>45595</v>
      </c>
      <c r="B31" s="231">
        <f>BILAN!N31</f>
        <v>37467.52166</v>
      </c>
      <c r="C31" s="232">
        <f>BILAN!O31</f>
        <v>41963.67533</v>
      </c>
      <c r="D31" s="233">
        <f t="shared" si="1"/>
        <v>0.1200013632</v>
      </c>
      <c r="E31" s="234">
        <f t="shared" si="2"/>
        <v>4496.153673</v>
      </c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</row>
    <row r="32" ht="22.5" customHeight="1">
      <c r="A32" s="230">
        <f>IF(ARBITRAGES!E32="","",ARBITRAGES!E32)</f>
        <v>45598</v>
      </c>
      <c r="B32" s="231">
        <f>BILAN!N32</f>
        <v>37467.52166</v>
      </c>
      <c r="C32" s="232">
        <f>BILAN!O32</f>
        <v>40654.55668</v>
      </c>
      <c r="D32" s="233">
        <f t="shared" si="1"/>
        <v>0.08506127125</v>
      </c>
      <c r="E32" s="234">
        <f t="shared" si="2"/>
        <v>3187.035023</v>
      </c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</row>
    <row r="33" ht="22.5" customHeight="1">
      <c r="A33" s="230">
        <f>IF(ARBITRAGES!E33="","",ARBITRAGES!E33)</f>
        <v>45599</v>
      </c>
      <c r="B33" s="231">
        <f>BILAN!N33</f>
        <v>37467.52166</v>
      </c>
      <c r="C33" s="232">
        <f>BILAN!O33</f>
        <v>40932.40497</v>
      </c>
      <c r="D33" s="233">
        <f t="shared" si="1"/>
        <v>0.09247698161</v>
      </c>
      <c r="E33" s="234">
        <f t="shared" si="2"/>
        <v>3464.883311</v>
      </c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</row>
    <row r="34" ht="22.5" customHeight="1">
      <c r="A34" s="230">
        <f>IF(ARBITRAGES!E34="","",ARBITRAGES!E34)</f>
        <v>45602</v>
      </c>
      <c r="B34" s="231">
        <f>BILAN!N34</f>
        <v>37467.52166</v>
      </c>
      <c r="C34" s="232">
        <f>BILAN!O34</f>
        <v>45167.98138</v>
      </c>
      <c r="D34" s="233">
        <f t="shared" si="1"/>
        <v>0.2055235945</v>
      </c>
      <c r="E34" s="234">
        <f t="shared" si="2"/>
        <v>7700.459727</v>
      </c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</row>
    <row r="35" ht="22.5" customHeight="1">
      <c r="A35" s="230">
        <v>45603.0</v>
      </c>
      <c r="B35" s="231">
        <f t="shared" ref="B35:B37" si="3">IF(A35="","",B34)</f>
        <v>37467.52166</v>
      </c>
      <c r="C35" s="235">
        <v>46153.16630779234</v>
      </c>
      <c r="D35" s="233">
        <f t="shared" si="1"/>
        <v>0.2318179658</v>
      </c>
      <c r="E35" s="234">
        <f t="shared" si="2"/>
        <v>8685.644653</v>
      </c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</row>
    <row r="36" ht="22.5" customHeight="1">
      <c r="A36" s="230">
        <v>45605.0</v>
      </c>
      <c r="B36" s="231">
        <f t="shared" si="3"/>
        <v>37467.52166</v>
      </c>
      <c r="C36" s="236">
        <v>49222.3147504289</v>
      </c>
      <c r="D36" s="233">
        <f t="shared" ref="D36:D401" si="4">IF(C36="","",(C36-B36)/B36)</f>
        <v>0.3137328699</v>
      </c>
      <c r="E36" s="234">
        <f t="shared" ref="E36:E401" si="5">IF(C36="","",C36-B36)</f>
        <v>11754.7931</v>
      </c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</row>
    <row r="37" ht="22.5" customHeight="1">
      <c r="A37" s="230">
        <v>45607.0</v>
      </c>
      <c r="B37" s="231">
        <f t="shared" si="3"/>
        <v>37467.52166</v>
      </c>
      <c r="C37" s="236">
        <v>51641.25</v>
      </c>
      <c r="D37" s="233">
        <f t="shared" si="4"/>
        <v>0.3782937253</v>
      </c>
      <c r="E37" s="234">
        <f t="shared" si="5"/>
        <v>14173.72834</v>
      </c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</row>
    <row r="38" ht="22.5" customHeight="1">
      <c r="A38" s="230">
        <v>45608.0</v>
      </c>
      <c r="B38" s="231">
        <f t="shared" ref="B38:B69" si="6">IF(C38="","",B37)</f>
        <v>37467.52166</v>
      </c>
      <c r="C38" s="235">
        <v>54284.520113380815</v>
      </c>
      <c r="D38" s="233">
        <f t="shared" si="4"/>
        <v>0.4488420295</v>
      </c>
      <c r="E38" s="234">
        <f t="shared" si="5"/>
        <v>16816.99846</v>
      </c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</row>
    <row r="39" ht="22.5" customHeight="1">
      <c r="A39" s="230">
        <v>45609.0</v>
      </c>
      <c r="B39" s="231">
        <f t="shared" si="6"/>
        <v>37467.52166</v>
      </c>
      <c r="C39" s="235">
        <v>51403.1924435219</v>
      </c>
      <c r="D39" s="233">
        <f t="shared" si="4"/>
        <v>0.3719400209</v>
      </c>
      <c r="E39" s="234">
        <f t="shared" si="5"/>
        <v>13935.67079</v>
      </c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</row>
    <row r="40" ht="22.5" customHeight="1">
      <c r="A40" s="230">
        <v>45610.0</v>
      </c>
      <c r="B40" s="231">
        <f t="shared" si="6"/>
        <v>37467.52166</v>
      </c>
      <c r="C40" s="235">
        <v>51527.82608058977</v>
      </c>
      <c r="D40" s="233">
        <f t="shared" si="4"/>
        <v>0.3752664656</v>
      </c>
      <c r="E40" s="234">
        <f t="shared" si="5"/>
        <v>14060.30443</v>
      </c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</row>
    <row r="41" ht="22.5" customHeight="1">
      <c r="A41" s="230">
        <v>45613.0</v>
      </c>
      <c r="B41" s="231">
        <f t="shared" si="6"/>
        <v>37467.52166</v>
      </c>
      <c r="C41" s="236">
        <v>53158.1165948645</v>
      </c>
      <c r="D41" s="233">
        <f t="shared" si="4"/>
        <v>0.4187785647</v>
      </c>
      <c r="E41" s="234">
        <f t="shared" si="5"/>
        <v>15690.59494</v>
      </c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</row>
    <row r="42" ht="22.5" customHeight="1">
      <c r="A42" s="230">
        <v>45615.0</v>
      </c>
      <c r="B42" s="231">
        <f t="shared" si="6"/>
        <v>37467.52166</v>
      </c>
      <c r="C42" s="235">
        <v>53867.706710812505</v>
      </c>
      <c r="D42" s="233">
        <f t="shared" si="4"/>
        <v>0.4377173704</v>
      </c>
      <c r="E42" s="234">
        <f t="shared" si="5"/>
        <v>16400.18506</v>
      </c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</row>
    <row r="43" ht="22.5" customHeight="1">
      <c r="A43" s="230">
        <v>45617.0</v>
      </c>
      <c r="B43" s="231">
        <f t="shared" si="6"/>
        <v>37467.52166</v>
      </c>
      <c r="C43" s="236">
        <v>56248.56</v>
      </c>
      <c r="D43" s="233">
        <f t="shared" si="4"/>
        <v>0.5012618267</v>
      </c>
      <c r="E43" s="234">
        <f t="shared" si="5"/>
        <v>18781.03834</v>
      </c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</row>
    <row r="44" ht="22.5" customHeight="1">
      <c r="A44" s="230">
        <v>45619.0</v>
      </c>
      <c r="B44" s="231">
        <f t="shared" si="6"/>
        <v>37467.52166</v>
      </c>
      <c r="C44" s="236">
        <v>58682.42</v>
      </c>
      <c r="D44" s="233">
        <f t="shared" si="4"/>
        <v>0.5662210204</v>
      </c>
      <c r="E44" s="234">
        <f t="shared" si="5"/>
        <v>21214.89834</v>
      </c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</row>
    <row r="45" ht="22.5" customHeight="1">
      <c r="A45" s="230">
        <v>45621.0</v>
      </c>
      <c r="B45" s="231">
        <f t="shared" si="6"/>
        <v>37467.52166</v>
      </c>
      <c r="C45" s="235">
        <v>58525.26001775387</v>
      </c>
      <c r="D45" s="233">
        <f t="shared" si="4"/>
        <v>0.5620264547</v>
      </c>
      <c r="E45" s="234">
        <f t="shared" si="5"/>
        <v>21057.73836</v>
      </c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</row>
    <row r="46" ht="22.5" customHeight="1">
      <c r="A46" s="230">
        <v>45622.0</v>
      </c>
      <c r="B46" s="231">
        <f t="shared" si="6"/>
        <v>37467.52166</v>
      </c>
      <c r="C46" s="236">
        <v>54937.25</v>
      </c>
      <c r="D46" s="233">
        <f t="shared" si="4"/>
        <v>0.4662632481</v>
      </c>
      <c r="E46" s="234">
        <f t="shared" si="5"/>
        <v>17469.72834</v>
      </c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</row>
    <row r="47" ht="22.5" customHeight="1">
      <c r="A47" s="230">
        <v>45624.0</v>
      </c>
      <c r="B47" s="231">
        <f t="shared" si="6"/>
        <v>37467.52166</v>
      </c>
      <c r="C47" s="236">
        <v>58243.56</v>
      </c>
      <c r="D47" s="233">
        <f t="shared" si="4"/>
        <v>0.5545079425</v>
      </c>
      <c r="E47" s="234">
        <f t="shared" si="5"/>
        <v>20776.03834</v>
      </c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</row>
    <row r="48" ht="22.5" customHeight="1">
      <c r="A48" s="230">
        <v>45625.0</v>
      </c>
      <c r="B48" s="231">
        <f t="shared" si="6"/>
        <v>37467.52166</v>
      </c>
      <c r="C48" s="236">
        <v>60084.09</v>
      </c>
      <c r="D48" s="233">
        <f t="shared" si="4"/>
        <v>0.6036312877</v>
      </c>
      <c r="E48" s="234">
        <f t="shared" si="5"/>
        <v>22616.56834</v>
      </c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</row>
    <row r="49" ht="22.5" customHeight="1">
      <c r="A49" s="230">
        <v>45628.0</v>
      </c>
      <c r="B49" s="231">
        <f t="shared" si="6"/>
        <v>37467.52166</v>
      </c>
      <c r="C49" s="236">
        <v>58531.42</v>
      </c>
      <c r="D49" s="233">
        <f t="shared" si="4"/>
        <v>0.5621908633</v>
      </c>
      <c r="E49" s="234">
        <f t="shared" si="5"/>
        <v>21063.89834</v>
      </c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</row>
    <row r="50" ht="22.5" customHeight="1">
      <c r="A50" s="230">
        <v>45629.0</v>
      </c>
      <c r="B50" s="231">
        <f t="shared" si="6"/>
        <v>37467.52166</v>
      </c>
      <c r="C50" s="235">
        <v>59156.6808254952</v>
      </c>
      <c r="D50" s="233">
        <f t="shared" si="4"/>
        <v>0.5788789387</v>
      </c>
      <c r="E50" s="234">
        <f t="shared" si="5"/>
        <v>21689.15917</v>
      </c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</row>
    <row r="51" ht="22.5" customHeight="1">
      <c r="A51" s="230">
        <v>45631.0</v>
      </c>
      <c r="B51" s="231">
        <f t="shared" si="6"/>
        <v>37467.52166</v>
      </c>
      <c r="C51" s="236">
        <v>64158.3</v>
      </c>
      <c r="D51" s="233">
        <f t="shared" si="4"/>
        <v>0.7123710661</v>
      </c>
      <c r="E51" s="234">
        <f t="shared" si="5"/>
        <v>26690.77834</v>
      </c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</row>
    <row r="52" ht="22.5" customHeight="1">
      <c r="A52" s="230">
        <v>45636.0</v>
      </c>
      <c r="B52" s="231">
        <f t="shared" si="6"/>
        <v>37467.52166</v>
      </c>
      <c r="C52" s="236">
        <v>60425.34</v>
      </c>
      <c r="D52" s="233">
        <f t="shared" si="4"/>
        <v>0.612739176</v>
      </c>
      <c r="E52" s="234">
        <f t="shared" si="5"/>
        <v>22957.81834</v>
      </c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</row>
    <row r="53" ht="22.5" customHeight="1">
      <c r="A53" s="230">
        <v>45638.0</v>
      </c>
      <c r="B53" s="231">
        <f t="shared" si="6"/>
        <v>37467.52166</v>
      </c>
      <c r="C53" s="235">
        <v>62736.021778539085</v>
      </c>
      <c r="D53" s="233">
        <f t="shared" si="4"/>
        <v>0.6744107698</v>
      </c>
      <c r="E53" s="234">
        <f t="shared" si="5"/>
        <v>25268.50012</v>
      </c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</row>
    <row r="54" ht="22.5" customHeight="1">
      <c r="A54" s="230">
        <v>45641.0</v>
      </c>
      <c r="B54" s="231">
        <f t="shared" si="6"/>
        <v>37467.52166</v>
      </c>
      <c r="C54" s="236">
        <v>59562.31</v>
      </c>
      <c r="D54" s="233">
        <f t="shared" si="4"/>
        <v>0.5897050931</v>
      </c>
      <c r="E54" s="234">
        <f t="shared" si="5"/>
        <v>22094.78834</v>
      </c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</row>
    <row r="55" ht="22.5" customHeight="1">
      <c r="A55" s="230">
        <v>45644.0</v>
      </c>
      <c r="B55" s="231">
        <f t="shared" si="6"/>
        <v>37467.52166</v>
      </c>
      <c r="C55" s="236">
        <v>53240.23</v>
      </c>
      <c r="D55" s="233">
        <f t="shared" si="4"/>
        <v>0.4209701536</v>
      </c>
      <c r="E55" s="234">
        <f t="shared" si="5"/>
        <v>15772.70834</v>
      </c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</row>
    <row r="56" ht="22.5" customHeight="1">
      <c r="A56" s="230">
        <v>45647.0</v>
      </c>
      <c r="B56" s="231">
        <f t="shared" si="6"/>
        <v>37467.52166</v>
      </c>
      <c r="C56" s="237">
        <v>55370.48</v>
      </c>
      <c r="D56" s="233">
        <f t="shared" si="4"/>
        <v>0.4778260625</v>
      </c>
      <c r="E56" s="238">
        <f t="shared" si="5"/>
        <v>17902.95834</v>
      </c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</row>
    <row r="57" ht="22.5" customHeight="1">
      <c r="A57" s="230">
        <v>45649.0</v>
      </c>
      <c r="B57" s="231">
        <f t="shared" si="6"/>
        <v>37467.52166</v>
      </c>
      <c r="C57" s="237">
        <v>54241.84</v>
      </c>
      <c r="D57" s="233">
        <f t="shared" si="4"/>
        <v>0.4477029065</v>
      </c>
      <c r="E57" s="238">
        <f t="shared" si="5"/>
        <v>16774.31834</v>
      </c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</row>
    <row r="58" ht="22.5" customHeight="1">
      <c r="A58" s="230">
        <v>45650.0</v>
      </c>
      <c r="B58" s="231">
        <f t="shared" si="6"/>
        <v>37467.52166</v>
      </c>
      <c r="C58" s="237">
        <v>56962.14</v>
      </c>
      <c r="D58" s="233">
        <f t="shared" si="4"/>
        <v>0.5203071216</v>
      </c>
      <c r="E58" s="238">
        <f t="shared" si="5"/>
        <v>19494.61834</v>
      </c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</row>
    <row r="59" ht="22.5" customHeight="1">
      <c r="A59" s="230">
        <v>45651.0</v>
      </c>
      <c r="B59" s="231">
        <f t="shared" si="6"/>
        <v>37467.52166</v>
      </c>
      <c r="C59" s="237">
        <v>57933.54</v>
      </c>
      <c r="D59" s="233">
        <f t="shared" si="4"/>
        <v>0.5462335762</v>
      </c>
      <c r="E59" s="238">
        <f t="shared" si="5"/>
        <v>20466.01834</v>
      </c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</row>
    <row r="60" ht="22.5" customHeight="1">
      <c r="A60" s="230">
        <v>45653.0</v>
      </c>
      <c r="B60" s="231">
        <f t="shared" si="6"/>
        <v>37467.52166</v>
      </c>
      <c r="C60" s="237">
        <v>56500.0</v>
      </c>
      <c r="D60" s="233">
        <f t="shared" si="4"/>
        <v>0.5079727055</v>
      </c>
      <c r="E60" s="238">
        <f t="shared" si="5"/>
        <v>19032.47834</v>
      </c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</row>
    <row r="61" ht="22.5" customHeight="1">
      <c r="A61" s="230">
        <v>45655.0</v>
      </c>
      <c r="B61" s="231">
        <f t="shared" si="6"/>
        <v>37467.52166</v>
      </c>
      <c r="C61" s="237">
        <v>55823.18</v>
      </c>
      <c r="D61" s="233">
        <f t="shared" si="4"/>
        <v>0.489908527</v>
      </c>
      <c r="E61" s="238">
        <f t="shared" si="5"/>
        <v>18355.65834</v>
      </c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</row>
    <row r="62" ht="22.5" customHeight="1">
      <c r="A62" s="230">
        <v>45659.0</v>
      </c>
      <c r="B62" s="231">
        <f t="shared" si="6"/>
        <v>37467.52166</v>
      </c>
      <c r="C62" s="237">
        <v>58463.24</v>
      </c>
      <c r="D62" s="233">
        <f t="shared" si="4"/>
        <v>0.5603711539</v>
      </c>
      <c r="E62" s="238">
        <f t="shared" si="5"/>
        <v>20995.71834</v>
      </c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</row>
    <row r="63" ht="22.5" customHeight="1">
      <c r="A63" s="230">
        <v>45662.0</v>
      </c>
      <c r="B63" s="231">
        <f t="shared" si="6"/>
        <v>37467.52166</v>
      </c>
      <c r="C63" s="237">
        <v>60241.86</v>
      </c>
      <c r="D63" s="233">
        <f t="shared" si="4"/>
        <v>0.6078421347</v>
      </c>
      <c r="E63" s="238">
        <f t="shared" si="5"/>
        <v>22774.33834</v>
      </c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</row>
    <row r="64" ht="22.5" customHeight="1">
      <c r="A64" s="230">
        <v>45664.0</v>
      </c>
      <c r="B64" s="231">
        <f t="shared" si="6"/>
        <v>37467.52166</v>
      </c>
      <c r="C64" s="237">
        <v>56137.48</v>
      </c>
      <c r="D64" s="233">
        <f t="shared" si="4"/>
        <v>0.4982971256</v>
      </c>
      <c r="E64" s="238">
        <f t="shared" si="5"/>
        <v>18669.95834</v>
      </c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</row>
    <row r="65" ht="22.5" customHeight="1">
      <c r="A65" s="230">
        <v>45666.0</v>
      </c>
      <c r="B65" s="231">
        <f t="shared" si="6"/>
        <v>37467.52166</v>
      </c>
      <c r="C65" s="237">
        <v>54235.1</v>
      </c>
      <c r="D65" s="233">
        <f t="shared" si="4"/>
        <v>0.4475230174</v>
      </c>
      <c r="E65" s="238">
        <f t="shared" si="5"/>
        <v>16767.57834</v>
      </c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</row>
    <row r="66" ht="22.5" customHeight="1">
      <c r="A66" s="230">
        <v>45670.0</v>
      </c>
      <c r="B66" s="231">
        <f t="shared" si="6"/>
        <v>37467.52166</v>
      </c>
      <c r="C66" s="237">
        <v>53812.65</v>
      </c>
      <c r="D66" s="233">
        <f t="shared" si="4"/>
        <v>0.4362479188</v>
      </c>
      <c r="E66" s="238">
        <f t="shared" si="5"/>
        <v>16345.12834</v>
      </c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</row>
    <row r="67" ht="22.5" customHeight="1">
      <c r="A67" s="230">
        <v>45673.0</v>
      </c>
      <c r="B67" s="231">
        <f t="shared" si="6"/>
        <v>37467.52166</v>
      </c>
      <c r="C67" s="237">
        <v>56843.0</v>
      </c>
      <c r="D67" s="233">
        <f t="shared" si="4"/>
        <v>0.5171273009</v>
      </c>
      <c r="E67" s="238">
        <f t="shared" si="5"/>
        <v>19375.47834</v>
      </c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</row>
    <row r="68" ht="22.5" customHeight="1">
      <c r="A68" s="230">
        <v>45675.0</v>
      </c>
      <c r="B68" s="231">
        <f t="shared" si="6"/>
        <v>37467.52166</v>
      </c>
      <c r="C68" s="237">
        <v>58600.0</v>
      </c>
      <c r="D68" s="233">
        <f t="shared" si="4"/>
        <v>0.5640212486</v>
      </c>
      <c r="E68" s="238">
        <f t="shared" si="5"/>
        <v>21132.47834</v>
      </c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</row>
    <row r="69" ht="22.5" customHeight="1">
      <c r="A69" s="230">
        <v>45680.0</v>
      </c>
      <c r="B69" s="231">
        <f t="shared" si="6"/>
        <v>37467.52166</v>
      </c>
      <c r="C69" s="237">
        <v>57532.15</v>
      </c>
      <c r="D69" s="233">
        <f t="shared" si="4"/>
        <v>0.5355205644</v>
      </c>
      <c r="E69" s="238">
        <f t="shared" si="5"/>
        <v>20064.62834</v>
      </c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</row>
    <row r="70" ht="22.5" customHeight="1">
      <c r="A70" s="230">
        <v>45687.0</v>
      </c>
      <c r="B70" s="231">
        <f t="shared" ref="B70:B71" si="7">IF(C70="","",B68)</f>
        <v>37467.52166</v>
      </c>
      <c r="C70" s="237">
        <v>56523.14</v>
      </c>
      <c r="D70" s="233">
        <f t="shared" si="4"/>
        <v>0.5085903071</v>
      </c>
      <c r="E70" s="238">
        <f t="shared" si="5"/>
        <v>19055.61834</v>
      </c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</row>
    <row r="71" ht="22.5" customHeight="1">
      <c r="A71" s="230">
        <v>45692.0</v>
      </c>
      <c r="B71" s="231">
        <f t="shared" si="7"/>
        <v>37467.52166</v>
      </c>
      <c r="C71" s="237">
        <v>51213.21</v>
      </c>
      <c r="D71" s="233">
        <f t="shared" si="4"/>
        <v>0.3668694309</v>
      </c>
      <c r="E71" s="238">
        <f t="shared" si="5"/>
        <v>13745.68834</v>
      </c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</row>
    <row r="72" ht="22.5" customHeight="1">
      <c r="A72" s="230">
        <v>45695.0</v>
      </c>
      <c r="B72" s="231">
        <f t="shared" ref="B72:B401" si="8">IF(C72="","",B71)</f>
        <v>37467.52166</v>
      </c>
      <c r="C72" s="237">
        <v>49452.15</v>
      </c>
      <c r="D72" s="233">
        <f t="shared" si="4"/>
        <v>0.3198671227</v>
      </c>
      <c r="E72" s="238">
        <f t="shared" si="5"/>
        <v>11984.62834</v>
      </c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</row>
    <row r="73" ht="22.5" customHeight="1">
      <c r="A73" s="230">
        <v>45698.0</v>
      </c>
      <c r="B73" s="231">
        <f t="shared" si="8"/>
        <v>37467.52166</v>
      </c>
      <c r="C73" s="237">
        <v>52341.87</v>
      </c>
      <c r="D73" s="233">
        <f t="shared" si="4"/>
        <v>0.3969931207</v>
      </c>
      <c r="E73" s="238">
        <f t="shared" si="5"/>
        <v>14874.34834</v>
      </c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</row>
    <row r="74" ht="22.5" customHeight="1">
      <c r="A74" s="230">
        <v>45700.0</v>
      </c>
      <c r="B74" s="231">
        <f t="shared" si="8"/>
        <v>37467.52166</v>
      </c>
      <c r="C74" s="237">
        <v>50632.64</v>
      </c>
      <c r="D74" s="233">
        <f t="shared" si="4"/>
        <v>0.3513741439</v>
      </c>
      <c r="E74" s="238">
        <f t="shared" si="5"/>
        <v>13165.11834</v>
      </c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</row>
    <row r="75" ht="22.5" customHeight="1">
      <c r="A75" s="230">
        <v>45702.0</v>
      </c>
      <c r="B75" s="231">
        <f t="shared" si="8"/>
        <v>37467.52166</v>
      </c>
      <c r="C75" s="237">
        <v>49241.18</v>
      </c>
      <c r="D75" s="233">
        <f t="shared" si="4"/>
        <v>0.3142363793</v>
      </c>
      <c r="E75" s="238">
        <f t="shared" si="5"/>
        <v>11773.65834</v>
      </c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</row>
    <row r="76" ht="22.5" customHeight="1">
      <c r="A76" s="230">
        <v>45705.0</v>
      </c>
      <c r="B76" s="231">
        <f t="shared" si="8"/>
        <v>37467.52166</v>
      </c>
      <c r="C76" s="237">
        <v>51986.2</v>
      </c>
      <c r="D76" s="233">
        <f t="shared" si="4"/>
        <v>0.3875003657</v>
      </c>
      <c r="E76" s="238">
        <f t="shared" si="5"/>
        <v>14518.67834</v>
      </c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</row>
    <row r="77" ht="22.5" customHeight="1">
      <c r="A77" s="230">
        <v>45707.0</v>
      </c>
      <c r="B77" s="231">
        <f t="shared" si="8"/>
        <v>37467.52166</v>
      </c>
      <c r="C77" s="237">
        <v>48862.47</v>
      </c>
      <c r="D77" s="233">
        <f t="shared" si="4"/>
        <v>0.3041286918</v>
      </c>
      <c r="E77" s="238">
        <f t="shared" si="5"/>
        <v>11394.94834</v>
      </c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</row>
    <row r="78" ht="22.5" customHeight="1">
      <c r="A78" s="230">
        <v>45711.0</v>
      </c>
      <c r="B78" s="231">
        <f t="shared" si="8"/>
        <v>37467.52166</v>
      </c>
      <c r="C78" s="237">
        <v>50136.4</v>
      </c>
      <c r="D78" s="233">
        <f t="shared" si="4"/>
        <v>0.3381296063</v>
      </c>
      <c r="E78" s="238">
        <f t="shared" si="5"/>
        <v>12668.87834</v>
      </c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</row>
    <row r="79" ht="22.5" customHeight="1">
      <c r="A79" s="230">
        <v>45712.0</v>
      </c>
      <c r="B79" s="231">
        <f t="shared" si="8"/>
        <v>37467.52166</v>
      </c>
      <c r="C79" s="237">
        <v>48315.29</v>
      </c>
      <c r="D79" s="233">
        <f t="shared" si="4"/>
        <v>0.2895245766</v>
      </c>
      <c r="E79" s="238">
        <f t="shared" si="5"/>
        <v>10847.76834</v>
      </c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</row>
    <row r="80" ht="22.5" customHeight="1">
      <c r="A80" s="230">
        <v>45714.0</v>
      </c>
      <c r="B80" s="231">
        <f t="shared" si="8"/>
        <v>37467.52166</v>
      </c>
      <c r="C80" s="237">
        <v>45633.1</v>
      </c>
      <c r="D80" s="233">
        <f t="shared" si="4"/>
        <v>0.2179375092</v>
      </c>
      <c r="E80" s="238">
        <f t="shared" si="5"/>
        <v>8165.578345</v>
      </c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</row>
    <row r="81" ht="22.5" customHeight="1">
      <c r="A81" s="230">
        <v>45715.0</v>
      </c>
      <c r="B81" s="231">
        <f t="shared" si="8"/>
        <v>37467.52166</v>
      </c>
      <c r="C81" s="237">
        <v>42186.48</v>
      </c>
      <c r="D81" s="233">
        <f t="shared" si="4"/>
        <v>0.1259479714</v>
      </c>
      <c r="E81" s="238">
        <f t="shared" si="5"/>
        <v>4718.958345</v>
      </c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</row>
    <row r="82" ht="22.5" customHeight="1">
      <c r="A82" s="230">
        <v>45716.0</v>
      </c>
      <c r="B82" s="231">
        <f t="shared" si="8"/>
        <v>37467.52166</v>
      </c>
      <c r="C82" s="237">
        <v>41583.4</v>
      </c>
      <c r="D82" s="233">
        <f t="shared" si="4"/>
        <v>0.1098518974</v>
      </c>
      <c r="E82" s="238">
        <f t="shared" si="5"/>
        <v>4115.878345</v>
      </c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</row>
    <row r="83" ht="22.5" customHeight="1">
      <c r="A83" s="230">
        <v>45718.0</v>
      </c>
      <c r="B83" s="231">
        <f t="shared" si="8"/>
        <v>37467.52166</v>
      </c>
      <c r="C83" s="237">
        <v>47321.84</v>
      </c>
      <c r="D83" s="233">
        <f t="shared" si="4"/>
        <v>0.2630096123</v>
      </c>
      <c r="E83" s="238">
        <f t="shared" si="5"/>
        <v>9854.318345</v>
      </c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</row>
    <row r="84" ht="22.5" customHeight="1">
      <c r="A84" s="230">
        <v>45719.0</v>
      </c>
      <c r="B84" s="231">
        <f t="shared" si="8"/>
        <v>37467.52166</v>
      </c>
      <c r="C84" s="237">
        <v>45216.41</v>
      </c>
      <c r="D84" s="233">
        <f t="shared" si="4"/>
        <v>0.2068161438</v>
      </c>
      <c r="E84" s="238">
        <f t="shared" si="5"/>
        <v>7748.888345</v>
      </c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</row>
    <row r="85" ht="22.5" customHeight="1">
      <c r="A85" s="230">
        <v>45720.0</v>
      </c>
      <c r="B85" s="231">
        <f t="shared" si="8"/>
        <v>37467.52166</v>
      </c>
      <c r="C85" s="237">
        <v>40612.12</v>
      </c>
      <c r="D85" s="233">
        <f t="shared" si="4"/>
        <v>0.08392864556</v>
      </c>
      <c r="E85" s="238">
        <f t="shared" si="5"/>
        <v>3144.598345</v>
      </c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</row>
    <row r="86" ht="22.5" customHeight="1">
      <c r="A86" s="230">
        <v>45722.0</v>
      </c>
      <c r="B86" s="231">
        <f t="shared" si="8"/>
        <v>37467.52166</v>
      </c>
      <c r="C86" s="237">
        <v>45215.62</v>
      </c>
      <c r="D86" s="233">
        <f t="shared" si="4"/>
        <v>0.2067950588</v>
      </c>
      <c r="E86" s="238">
        <f t="shared" si="5"/>
        <v>7748.098345</v>
      </c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</row>
    <row r="87" ht="22.5" customHeight="1">
      <c r="A87" s="230">
        <v>45724.0</v>
      </c>
      <c r="B87" s="231">
        <f t="shared" si="8"/>
        <v>37467.52166</v>
      </c>
      <c r="C87" s="237">
        <v>43216.26</v>
      </c>
      <c r="D87" s="233">
        <f t="shared" si="4"/>
        <v>0.1534325755</v>
      </c>
      <c r="E87" s="238">
        <f t="shared" si="5"/>
        <v>5748.738345</v>
      </c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</row>
    <row r="88" ht="22.5" customHeight="1">
      <c r="A88" s="230">
        <v>45725.0</v>
      </c>
      <c r="B88" s="231">
        <f t="shared" si="8"/>
        <v>37467.52166</v>
      </c>
      <c r="C88" s="237">
        <v>41823.56</v>
      </c>
      <c r="D88" s="233">
        <f t="shared" si="4"/>
        <v>0.1162617155</v>
      </c>
      <c r="E88" s="238">
        <f t="shared" si="5"/>
        <v>4356.038345</v>
      </c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</row>
    <row r="89" ht="22.5" customHeight="1">
      <c r="A89" s="230">
        <v>45728.0</v>
      </c>
      <c r="B89" s="231">
        <f t="shared" si="8"/>
        <v>37467.52166</v>
      </c>
      <c r="C89" s="237">
        <v>39620.74</v>
      </c>
      <c r="D89" s="233">
        <f t="shared" si="4"/>
        <v>0.05746892908</v>
      </c>
      <c r="E89" s="238">
        <f t="shared" si="5"/>
        <v>2153.218345</v>
      </c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</row>
    <row r="90" ht="22.5" customHeight="1">
      <c r="A90" s="230">
        <v>45730.0</v>
      </c>
      <c r="B90" s="231">
        <f t="shared" si="8"/>
        <v>37467.52166</v>
      </c>
      <c r="C90" s="237">
        <v>41230.2</v>
      </c>
      <c r="D90" s="233">
        <f t="shared" si="4"/>
        <v>0.1004250663</v>
      </c>
      <c r="E90" s="238">
        <f t="shared" si="5"/>
        <v>3762.678345</v>
      </c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</row>
    <row r="91" ht="22.5" customHeight="1">
      <c r="A91" s="230">
        <v>45734.0</v>
      </c>
      <c r="B91" s="231">
        <f t="shared" si="8"/>
        <v>37467.52166</v>
      </c>
      <c r="C91" s="237">
        <v>40213.0</v>
      </c>
      <c r="D91" s="233">
        <f t="shared" si="4"/>
        <v>0.07327621961</v>
      </c>
      <c r="E91" s="238">
        <f t="shared" si="5"/>
        <v>2745.478345</v>
      </c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</row>
    <row r="92" ht="22.5" customHeight="1">
      <c r="A92" s="230">
        <v>45738.0</v>
      </c>
      <c r="B92" s="231">
        <f t="shared" si="8"/>
        <v>37467.52166</v>
      </c>
      <c r="C92" s="237">
        <v>41325.89</v>
      </c>
      <c r="D92" s="233">
        <f t="shared" si="4"/>
        <v>0.1029790115</v>
      </c>
      <c r="E92" s="238">
        <f t="shared" si="5"/>
        <v>3858.368345</v>
      </c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</row>
    <row r="93" ht="22.5" customHeight="1">
      <c r="A93" s="230">
        <v>45744.0</v>
      </c>
      <c r="B93" s="231">
        <f t="shared" si="8"/>
        <v>37467.52166</v>
      </c>
      <c r="C93" s="239">
        <v>39412.0</v>
      </c>
      <c r="D93" s="233">
        <f t="shared" si="4"/>
        <v>0.05189770391</v>
      </c>
      <c r="E93" s="238">
        <f t="shared" si="5"/>
        <v>1944.478345</v>
      </c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</row>
    <row r="94" ht="22.5" customHeight="1">
      <c r="A94" s="230">
        <v>45749.0</v>
      </c>
      <c r="B94" s="231">
        <f t="shared" si="8"/>
        <v>37467.52166</v>
      </c>
      <c r="C94" s="239">
        <v>40613.56</v>
      </c>
      <c r="D94" s="233">
        <f t="shared" si="4"/>
        <v>0.08396707885</v>
      </c>
      <c r="E94" s="238">
        <f t="shared" si="5"/>
        <v>3146.038345</v>
      </c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</row>
    <row r="95" ht="22.5" customHeight="1">
      <c r="A95" s="230">
        <v>45752.0</v>
      </c>
      <c r="B95" s="231">
        <f t="shared" si="8"/>
        <v>37467.52166</v>
      </c>
      <c r="C95" s="237">
        <v>39641.25</v>
      </c>
      <c r="D95" s="233">
        <f t="shared" si="4"/>
        <v>0.05801633652</v>
      </c>
      <c r="E95" s="238">
        <f t="shared" si="5"/>
        <v>2173.728345</v>
      </c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</row>
    <row r="96" ht="22.5" customHeight="1">
      <c r="A96" s="230">
        <v>45756.0</v>
      </c>
      <c r="B96" s="231">
        <f t="shared" si="8"/>
        <v>37467.52166</v>
      </c>
      <c r="C96" s="237">
        <v>36150.0</v>
      </c>
      <c r="D96" s="233">
        <f t="shared" si="4"/>
        <v>-0.03516436628</v>
      </c>
      <c r="E96" s="238">
        <f t="shared" si="5"/>
        <v>-1317.521655</v>
      </c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</row>
    <row r="97" ht="22.5" customHeight="1">
      <c r="A97" s="230">
        <v>45760.0</v>
      </c>
      <c r="B97" s="231">
        <f t="shared" si="8"/>
        <v>37467.52166</v>
      </c>
      <c r="C97" s="237">
        <v>39562.4</v>
      </c>
      <c r="D97" s="233">
        <f t="shared" si="4"/>
        <v>0.05591184718</v>
      </c>
      <c r="E97" s="238">
        <f t="shared" si="5"/>
        <v>2094.878345</v>
      </c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</row>
    <row r="98" ht="22.5" customHeight="1">
      <c r="A98" s="230">
        <v>45763.0</v>
      </c>
      <c r="B98" s="231">
        <f t="shared" si="8"/>
        <v>37467.52166</v>
      </c>
      <c r="C98" s="237">
        <v>40320.0</v>
      </c>
      <c r="D98" s="233">
        <f t="shared" si="4"/>
        <v>0.07613202632</v>
      </c>
      <c r="E98" s="238">
        <f t="shared" si="5"/>
        <v>2852.478345</v>
      </c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</row>
    <row r="99" ht="22.5" customHeight="1">
      <c r="A99" s="230">
        <v>45767.0</v>
      </c>
      <c r="B99" s="231">
        <f t="shared" si="8"/>
        <v>37467.52166</v>
      </c>
      <c r="C99" s="237">
        <v>42163.24</v>
      </c>
      <c r="D99" s="233">
        <f t="shared" si="4"/>
        <v>0.1253277008</v>
      </c>
      <c r="E99" s="238">
        <f t="shared" si="5"/>
        <v>4695.718345</v>
      </c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</row>
    <row r="100" ht="22.5" customHeight="1">
      <c r="A100" s="230">
        <v>45770.0</v>
      </c>
      <c r="B100" s="231">
        <f t="shared" si="8"/>
        <v>37467.52166</v>
      </c>
      <c r="C100" s="237">
        <v>45106.89</v>
      </c>
      <c r="D100" s="233">
        <f t="shared" si="4"/>
        <v>0.2038930788</v>
      </c>
      <c r="E100" s="238">
        <f t="shared" si="5"/>
        <v>7639.368345</v>
      </c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</row>
    <row r="101" ht="22.5" customHeight="1">
      <c r="A101" s="230">
        <v>45775.0</v>
      </c>
      <c r="B101" s="231">
        <f t="shared" si="8"/>
        <v>37467.52166</v>
      </c>
      <c r="C101" s="237">
        <v>44802.0</v>
      </c>
      <c r="D101" s="233">
        <f t="shared" si="4"/>
        <v>0.195755631</v>
      </c>
      <c r="E101" s="238">
        <f t="shared" si="5"/>
        <v>7334.478345</v>
      </c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</row>
    <row r="102" ht="22.5" customHeight="1">
      <c r="A102" s="230">
        <v>45778.0</v>
      </c>
      <c r="B102" s="231">
        <f t="shared" si="8"/>
        <v>37467.52166</v>
      </c>
      <c r="C102" s="237">
        <v>45308.24</v>
      </c>
      <c r="D102" s="233">
        <f t="shared" si="4"/>
        <v>0.2092670665</v>
      </c>
      <c r="E102" s="238">
        <f t="shared" si="5"/>
        <v>7840.718345</v>
      </c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</row>
    <row r="103" ht="22.5" customHeight="1">
      <c r="A103" s="230">
        <v>45779.0</v>
      </c>
      <c r="B103" s="231">
        <f t="shared" si="8"/>
        <v>37467.52166</v>
      </c>
      <c r="C103" s="237">
        <v>45687.96</v>
      </c>
      <c r="D103" s="233">
        <f t="shared" si="4"/>
        <v>0.2194017107</v>
      </c>
      <c r="E103" s="238">
        <f t="shared" si="5"/>
        <v>8220.438345</v>
      </c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</row>
    <row r="104" ht="22.5" customHeight="1">
      <c r="A104" s="230">
        <v>45781.0</v>
      </c>
      <c r="B104" s="231">
        <f t="shared" si="8"/>
        <v>37467.52166</v>
      </c>
      <c r="C104" s="237">
        <v>47123.89</v>
      </c>
      <c r="D104" s="233">
        <f t="shared" si="4"/>
        <v>0.2577263699</v>
      </c>
      <c r="E104" s="238">
        <f t="shared" si="5"/>
        <v>9656.368345</v>
      </c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</row>
    <row r="105" ht="22.5" customHeight="1">
      <c r="A105" s="230">
        <v>45783.0</v>
      </c>
      <c r="B105" s="231">
        <f t="shared" si="8"/>
        <v>37467.52166</v>
      </c>
      <c r="C105" s="237">
        <v>46231.65</v>
      </c>
      <c r="D105" s="233">
        <f t="shared" si="4"/>
        <v>0.2339126784</v>
      </c>
      <c r="E105" s="238">
        <f t="shared" si="5"/>
        <v>8764.128345</v>
      </c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</row>
    <row r="106" ht="22.5" customHeight="1">
      <c r="A106" s="230">
        <v>45786.0</v>
      </c>
      <c r="B106" s="231">
        <f t="shared" si="8"/>
        <v>37467.52166</v>
      </c>
      <c r="C106" s="237">
        <v>51032.74</v>
      </c>
      <c r="D106" s="233">
        <f t="shared" si="4"/>
        <v>0.3620527258</v>
      </c>
      <c r="E106" s="238">
        <f t="shared" si="5"/>
        <v>13565.21834</v>
      </c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</row>
    <row r="107" ht="22.5" customHeight="1">
      <c r="A107" s="230">
        <v>45789.0</v>
      </c>
      <c r="B107" s="231">
        <f t="shared" si="8"/>
        <v>37467.52166</v>
      </c>
      <c r="C107" s="237">
        <v>52525.14</v>
      </c>
      <c r="D107" s="233">
        <f t="shared" si="4"/>
        <v>0.4018845571</v>
      </c>
      <c r="E107" s="238">
        <f t="shared" si="5"/>
        <v>15057.61834</v>
      </c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</row>
    <row r="108" ht="22.5" customHeight="1">
      <c r="A108" s="230">
        <v>45790.0</v>
      </c>
      <c r="B108" s="231">
        <f t="shared" si="8"/>
        <v>37467.52166</v>
      </c>
      <c r="C108" s="237">
        <v>51720.96</v>
      </c>
      <c r="D108" s="233">
        <f t="shared" si="4"/>
        <v>0.3804211679</v>
      </c>
      <c r="E108" s="238">
        <f t="shared" si="5"/>
        <v>14253.43834</v>
      </c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</row>
    <row r="109" ht="22.5" customHeight="1">
      <c r="A109" s="230">
        <v>45791.0</v>
      </c>
      <c r="B109" s="231">
        <f t="shared" si="8"/>
        <v>37467.52166</v>
      </c>
      <c r="C109" s="237">
        <v>53121.48</v>
      </c>
      <c r="D109" s="233">
        <f t="shared" si="4"/>
        <v>0.4178007419</v>
      </c>
      <c r="E109" s="238">
        <f t="shared" si="5"/>
        <v>15653.95834</v>
      </c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</row>
    <row r="110" ht="22.5" customHeight="1">
      <c r="A110" s="230">
        <v>45792.0</v>
      </c>
      <c r="B110" s="231">
        <f t="shared" si="8"/>
        <v>37467.52166</v>
      </c>
      <c r="C110" s="237">
        <v>51803.47</v>
      </c>
      <c r="D110" s="233">
        <f t="shared" si="4"/>
        <v>0.3826233418</v>
      </c>
      <c r="E110" s="238">
        <f t="shared" si="5"/>
        <v>14335.94834</v>
      </c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</row>
    <row r="111" ht="22.5" customHeight="1">
      <c r="A111" s="230">
        <v>45795.0</v>
      </c>
      <c r="B111" s="231">
        <f t="shared" si="8"/>
        <v>37467.52166</v>
      </c>
      <c r="C111" s="237">
        <v>53140.6</v>
      </c>
      <c r="D111" s="233">
        <f t="shared" si="4"/>
        <v>0.4183110505</v>
      </c>
      <c r="E111" s="238">
        <f t="shared" si="5"/>
        <v>15673.07834</v>
      </c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</row>
    <row r="112" ht="22.5" customHeight="1">
      <c r="A112" s="230">
        <v>45799.0</v>
      </c>
      <c r="B112" s="231">
        <f t="shared" si="8"/>
        <v>37467.52166</v>
      </c>
      <c r="C112" s="237">
        <v>54832.81</v>
      </c>
      <c r="D112" s="233">
        <f t="shared" si="4"/>
        <v>0.4634757672</v>
      </c>
      <c r="E112" s="238">
        <f t="shared" si="5"/>
        <v>17365.28834</v>
      </c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</row>
    <row r="113" ht="22.5" customHeight="1">
      <c r="A113" s="230">
        <v>45801.0</v>
      </c>
      <c r="B113" s="231">
        <f t="shared" si="8"/>
        <v>37467.52166</v>
      </c>
      <c r="C113" s="237">
        <v>55132.14</v>
      </c>
      <c r="D113" s="233">
        <f t="shared" si="4"/>
        <v>0.4714648198</v>
      </c>
      <c r="E113" s="238">
        <f t="shared" si="5"/>
        <v>17664.61834</v>
      </c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</row>
    <row r="114" ht="22.5" customHeight="1">
      <c r="A114" s="230">
        <v>45804.0</v>
      </c>
      <c r="B114" s="231">
        <f t="shared" si="8"/>
        <v>37467.52166</v>
      </c>
      <c r="C114" s="237">
        <v>53821.53</v>
      </c>
      <c r="D114" s="233">
        <f t="shared" si="4"/>
        <v>0.4364849241</v>
      </c>
      <c r="E114" s="238">
        <f t="shared" si="5"/>
        <v>16354.00834</v>
      </c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</row>
    <row r="115" ht="22.5" customHeight="1">
      <c r="A115" s="230">
        <v>45806.0</v>
      </c>
      <c r="B115" s="231">
        <f t="shared" si="8"/>
        <v>37467.52166</v>
      </c>
      <c r="C115" s="237">
        <v>54218.79</v>
      </c>
      <c r="D115" s="233">
        <f t="shared" si="4"/>
        <v>0.447087707</v>
      </c>
      <c r="E115" s="238">
        <f t="shared" si="5"/>
        <v>16751.26834</v>
      </c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</row>
    <row r="116" ht="22.5" customHeight="1">
      <c r="A116" s="230">
        <v>45808.0</v>
      </c>
      <c r="B116" s="231">
        <f t="shared" si="8"/>
        <v>37467.52166</v>
      </c>
      <c r="C116" s="237">
        <v>51214.22</v>
      </c>
      <c r="D116" s="233">
        <f t="shared" si="4"/>
        <v>0.3668963875</v>
      </c>
      <c r="E116" s="238">
        <f t="shared" si="5"/>
        <v>13746.69834</v>
      </c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</row>
    <row r="117" ht="22.5" customHeight="1">
      <c r="A117" s="230">
        <v>45817.0</v>
      </c>
      <c r="B117" s="231">
        <f t="shared" si="8"/>
        <v>37467.52166</v>
      </c>
      <c r="C117" s="237">
        <v>50612.25</v>
      </c>
      <c r="D117" s="233">
        <f t="shared" si="4"/>
        <v>0.3508299392</v>
      </c>
      <c r="E117" s="238">
        <f t="shared" si="5"/>
        <v>13144.72834</v>
      </c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</row>
    <row r="118" ht="22.5" customHeight="1">
      <c r="A118" s="230">
        <v>45818.0</v>
      </c>
      <c r="B118" s="231">
        <f t="shared" si="8"/>
        <v>37467.52166</v>
      </c>
      <c r="C118" s="237">
        <v>53621.4</v>
      </c>
      <c r="D118" s="233">
        <f t="shared" si="4"/>
        <v>0.4311434979</v>
      </c>
      <c r="E118" s="238">
        <f t="shared" si="5"/>
        <v>16153.87834</v>
      </c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</row>
    <row r="119" ht="22.5" customHeight="1">
      <c r="A119" s="230">
        <v>45822.0</v>
      </c>
      <c r="B119" s="231">
        <f t="shared" si="8"/>
        <v>37467.52166</v>
      </c>
      <c r="C119" s="237">
        <v>51245.889</v>
      </c>
      <c r="D119" s="233">
        <f t="shared" si="4"/>
        <v>0.3677416262</v>
      </c>
      <c r="E119" s="238">
        <f t="shared" si="5"/>
        <v>13778.36734</v>
      </c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</row>
    <row r="120" ht="22.5" customHeight="1">
      <c r="A120" s="230">
        <v>45826.0</v>
      </c>
      <c r="B120" s="231">
        <f t="shared" si="8"/>
        <v>37467.52166</v>
      </c>
      <c r="C120" s="237">
        <v>50542.45</v>
      </c>
      <c r="D120" s="233">
        <f t="shared" si="4"/>
        <v>0.3489669924</v>
      </c>
      <c r="E120" s="238">
        <f t="shared" si="5"/>
        <v>13074.92834</v>
      </c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</row>
    <row r="121" ht="22.5" customHeight="1">
      <c r="A121" s="230">
        <v>45831.0</v>
      </c>
      <c r="B121" s="231">
        <f t="shared" si="8"/>
        <v>37467.52166</v>
      </c>
      <c r="C121" s="237">
        <v>48120.4</v>
      </c>
      <c r="D121" s="233">
        <f t="shared" si="4"/>
        <v>0.2843230049</v>
      </c>
      <c r="E121" s="238">
        <f t="shared" si="5"/>
        <v>10652.87834</v>
      </c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</row>
    <row r="122" ht="22.5" customHeight="1">
      <c r="A122" s="230">
        <v>45832.0</v>
      </c>
      <c r="B122" s="231">
        <f t="shared" si="8"/>
        <v>37467.52166</v>
      </c>
      <c r="C122" s="237">
        <v>49852.91</v>
      </c>
      <c r="D122" s="233">
        <f t="shared" si="4"/>
        <v>0.3305633199</v>
      </c>
      <c r="E122" s="238">
        <f t="shared" si="5"/>
        <v>12385.38834</v>
      </c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</row>
    <row r="123" ht="22.5" customHeight="1">
      <c r="A123" s="230">
        <v>45835.0</v>
      </c>
      <c r="B123" s="231">
        <f t="shared" si="8"/>
        <v>37467.52166</v>
      </c>
      <c r="C123" s="237">
        <v>50250.12</v>
      </c>
      <c r="D123" s="233">
        <f t="shared" si="4"/>
        <v>0.3411647683</v>
      </c>
      <c r="E123" s="238">
        <f t="shared" si="5"/>
        <v>12782.59834</v>
      </c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</row>
    <row r="124" ht="22.5" customHeight="1">
      <c r="A124" s="230">
        <v>45839.0</v>
      </c>
      <c r="B124" s="231">
        <f t="shared" si="8"/>
        <v>37467.52166</v>
      </c>
      <c r="C124" s="237">
        <v>50570.45</v>
      </c>
      <c r="D124" s="233">
        <f t="shared" si="4"/>
        <v>0.3497143063</v>
      </c>
      <c r="E124" s="238">
        <f t="shared" si="5"/>
        <v>13102.92834</v>
      </c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</row>
    <row r="125" ht="22.5" customHeight="1">
      <c r="A125" s="230">
        <v>45844.0</v>
      </c>
      <c r="B125" s="231">
        <f t="shared" si="8"/>
        <v>37467.52166</v>
      </c>
      <c r="C125" s="237">
        <v>51812.4</v>
      </c>
      <c r="D125" s="233">
        <f t="shared" si="4"/>
        <v>0.3828616816</v>
      </c>
      <c r="E125" s="238">
        <f t="shared" si="5"/>
        <v>14344.87834</v>
      </c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</row>
    <row r="126" ht="22.5" customHeight="1">
      <c r="A126" s="230">
        <v>45847.0</v>
      </c>
      <c r="B126" s="231">
        <f t="shared" si="8"/>
        <v>37467.52166</v>
      </c>
      <c r="C126" s="237">
        <v>52634.56</v>
      </c>
      <c r="D126" s="233">
        <f t="shared" si="4"/>
        <v>0.4048049531</v>
      </c>
      <c r="E126" s="238">
        <f t="shared" si="5"/>
        <v>15167.03834</v>
      </c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</row>
    <row r="127" ht="22.5" customHeight="1">
      <c r="A127" s="230">
        <v>45850.0</v>
      </c>
      <c r="B127" s="231">
        <f t="shared" si="8"/>
        <v>37467.52166</v>
      </c>
      <c r="C127" s="237">
        <v>56452.65</v>
      </c>
      <c r="D127" s="233">
        <f t="shared" si="4"/>
        <v>0.5067089443</v>
      </c>
      <c r="E127" s="238">
        <f t="shared" si="5"/>
        <v>18985.12834</v>
      </c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</row>
    <row r="128" ht="22.5" customHeight="1">
      <c r="A128" s="230">
        <v>45852.0</v>
      </c>
      <c r="B128" s="231">
        <f t="shared" si="8"/>
        <v>37467.52166</v>
      </c>
      <c r="C128" s="237">
        <v>58321.97</v>
      </c>
      <c r="D128" s="233">
        <f t="shared" si="4"/>
        <v>0.5566006884</v>
      </c>
      <c r="E128" s="238">
        <f t="shared" si="5"/>
        <v>20854.44834</v>
      </c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</row>
    <row r="129" ht="22.5" customHeight="1">
      <c r="A129" s="230">
        <v>45853.0</v>
      </c>
      <c r="B129" s="231">
        <f t="shared" si="8"/>
        <v>37467.52166</v>
      </c>
      <c r="C129" s="237">
        <v>57421.69</v>
      </c>
      <c r="D129" s="233">
        <f t="shared" si="4"/>
        <v>0.5325724111</v>
      </c>
      <c r="E129" s="238">
        <f t="shared" si="5"/>
        <v>19954.16834</v>
      </c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</row>
    <row r="130" ht="22.5" customHeight="1">
      <c r="A130" s="230">
        <v>45854.0</v>
      </c>
      <c r="B130" s="231">
        <f t="shared" si="8"/>
        <v>37467.52166</v>
      </c>
      <c r="C130" s="237">
        <v>58745.74</v>
      </c>
      <c r="D130" s="233">
        <f t="shared" si="4"/>
        <v>0.5679110175</v>
      </c>
      <c r="E130" s="238">
        <f t="shared" si="5"/>
        <v>21278.21834</v>
      </c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</row>
    <row r="131" ht="22.5" customHeight="1">
      <c r="A131" s="230">
        <v>45856.0</v>
      </c>
      <c r="B131" s="231">
        <f t="shared" si="8"/>
        <v>37467.52166</v>
      </c>
      <c r="C131" s="237">
        <v>59462.45</v>
      </c>
      <c r="D131" s="233">
        <f t="shared" si="4"/>
        <v>0.5870398514</v>
      </c>
      <c r="E131" s="238">
        <f t="shared" si="5"/>
        <v>21994.92834</v>
      </c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</row>
    <row r="132" ht="22.5" customHeight="1">
      <c r="A132" s="230">
        <v>45858.0</v>
      </c>
      <c r="B132" s="231">
        <f t="shared" si="8"/>
        <v>37467.52166</v>
      </c>
      <c r="C132" s="237">
        <v>60152.31</v>
      </c>
      <c r="D132" s="233">
        <f t="shared" si="4"/>
        <v>0.6054520647</v>
      </c>
      <c r="E132" s="238">
        <f t="shared" si="5"/>
        <v>22684.78834</v>
      </c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</row>
    <row r="133" ht="22.5" customHeight="1">
      <c r="A133" s="230">
        <v>45863.0</v>
      </c>
      <c r="B133" s="231">
        <f t="shared" si="8"/>
        <v>37467.52166</v>
      </c>
      <c r="C133" s="237">
        <v>61123.98</v>
      </c>
      <c r="D133" s="233">
        <f t="shared" si="4"/>
        <v>0.6313857256</v>
      </c>
      <c r="E133" s="238">
        <f t="shared" si="5"/>
        <v>23656.45834</v>
      </c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</row>
    <row r="134" ht="22.5" customHeight="1">
      <c r="A134" s="230">
        <v>45867.0</v>
      </c>
      <c r="B134" s="231">
        <f t="shared" si="8"/>
        <v>37467.52166</v>
      </c>
      <c r="C134" s="237">
        <v>60452.54</v>
      </c>
      <c r="D134" s="233">
        <f t="shared" si="4"/>
        <v>0.6134651381</v>
      </c>
      <c r="E134" s="238">
        <f t="shared" si="5"/>
        <v>22985.01834</v>
      </c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</row>
    <row r="135" ht="22.5" customHeight="1">
      <c r="A135" s="230">
        <v>45869.0</v>
      </c>
      <c r="B135" s="231">
        <f t="shared" si="8"/>
        <v>37467.52166</v>
      </c>
      <c r="C135" s="237">
        <v>59326.78</v>
      </c>
      <c r="D135" s="233">
        <f t="shared" si="4"/>
        <v>0.5834188486</v>
      </c>
      <c r="E135" s="238">
        <f t="shared" si="5"/>
        <v>21859.25834</v>
      </c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</row>
    <row r="136" ht="22.5" customHeight="1">
      <c r="A136" s="230">
        <v>45870.0</v>
      </c>
      <c r="B136" s="231">
        <f t="shared" si="8"/>
        <v>37467.52166</v>
      </c>
      <c r="C136" s="237">
        <v>57065.12</v>
      </c>
      <c r="D136" s="233">
        <f t="shared" si="4"/>
        <v>0.5230556354</v>
      </c>
      <c r="E136" s="238">
        <f t="shared" si="5"/>
        <v>19597.59834</v>
      </c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</row>
    <row r="137" ht="22.5" customHeight="1">
      <c r="A137" s="230">
        <v>45875.0</v>
      </c>
      <c r="B137" s="231">
        <f t="shared" si="8"/>
        <v>37467.52166</v>
      </c>
      <c r="C137" s="237">
        <v>56431.9</v>
      </c>
      <c r="D137" s="233">
        <f t="shared" si="4"/>
        <v>0.5061551314</v>
      </c>
      <c r="E137" s="238">
        <f t="shared" si="5"/>
        <v>18964.37834</v>
      </c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</row>
    <row r="138" ht="22.5" customHeight="1">
      <c r="A138" s="230">
        <v>45877.0</v>
      </c>
      <c r="B138" s="231">
        <f t="shared" si="8"/>
        <v>37467.52166</v>
      </c>
      <c r="C138" s="237">
        <v>58623.74</v>
      </c>
      <c r="D138" s="233">
        <f t="shared" si="4"/>
        <v>0.564654864</v>
      </c>
      <c r="E138" s="238">
        <f t="shared" si="5"/>
        <v>21156.21834</v>
      </c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</row>
    <row r="139" ht="22.5" customHeight="1">
      <c r="A139" s="230">
        <v>45879.0</v>
      </c>
      <c r="B139" s="231">
        <f t="shared" si="8"/>
        <v>37467.52166</v>
      </c>
      <c r="C139" s="237">
        <v>61423.98</v>
      </c>
      <c r="D139" s="233">
        <f t="shared" si="4"/>
        <v>0.6393926603</v>
      </c>
      <c r="E139" s="238">
        <f t="shared" si="5"/>
        <v>23956.45834</v>
      </c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</row>
    <row r="140" ht="22.5" customHeight="1">
      <c r="A140" s="230">
        <v>45882.0</v>
      </c>
      <c r="B140" s="231">
        <f t="shared" si="8"/>
        <v>37467.52166</v>
      </c>
      <c r="C140" s="237">
        <v>63124.47</v>
      </c>
      <c r="D140" s="233">
        <f t="shared" si="4"/>
        <v>0.6847783683</v>
      </c>
      <c r="E140" s="238">
        <f t="shared" si="5"/>
        <v>25656.94834</v>
      </c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</row>
    <row r="141" ht="22.5" customHeight="1">
      <c r="A141" s="230">
        <v>45883.0</v>
      </c>
      <c r="B141" s="231">
        <f t="shared" si="8"/>
        <v>37467.52166</v>
      </c>
      <c r="C141" s="237">
        <v>64137.72</v>
      </c>
      <c r="D141" s="233">
        <f t="shared" si="4"/>
        <v>0.7118217904</v>
      </c>
      <c r="E141" s="238">
        <f t="shared" si="5"/>
        <v>26670.19834</v>
      </c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</row>
    <row r="142" ht="22.5" customHeight="1">
      <c r="A142" s="230">
        <v>45885.0</v>
      </c>
      <c r="B142" s="231">
        <f t="shared" si="8"/>
        <v>37467.52166</v>
      </c>
      <c r="C142" s="237">
        <v>62541.89</v>
      </c>
      <c r="D142" s="233">
        <f t="shared" si="4"/>
        <v>0.6692294349</v>
      </c>
      <c r="E142" s="238">
        <f t="shared" si="5"/>
        <v>25074.36834</v>
      </c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</row>
    <row r="143" ht="22.5" customHeight="1">
      <c r="A143" s="230">
        <v>45887.0</v>
      </c>
      <c r="B143" s="231">
        <f t="shared" si="8"/>
        <v>37467.52166</v>
      </c>
      <c r="C143" s="237">
        <v>60723.45</v>
      </c>
      <c r="D143" s="233">
        <f t="shared" si="4"/>
        <v>0.620695667</v>
      </c>
      <c r="E143" s="238">
        <f t="shared" si="5"/>
        <v>23255.92834</v>
      </c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</row>
    <row r="144" ht="22.5" customHeight="1">
      <c r="A144" s="230">
        <v>45889.0</v>
      </c>
      <c r="B144" s="231">
        <f t="shared" si="8"/>
        <v>37467.52166</v>
      </c>
      <c r="C144" s="237">
        <v>59874.32</v>
      </c>
      <c r="D144" s="233">
        <f t="shared" si="4"/>
        <v>0.5980325721</v>
      </c>
      <c r="E144" s="238">
        <f t="shared" si="5"/>
        <v>22406.79834</v>
      </c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</row>
    <row r="145" ht="22.5" customHeight="1">
      <c r="A145" s="230">
        <v>45892.0</v>
      </c>
      <c r="B145" s="231">
        <f t="shared" si="8"/>
        <v>37467.52166</v>
      </c>
      <c r="C145" s="237">
        <v>62485.98</v>
      </c>
      <c r="D145" s="233">
        <f t="shared" si="4"/>
        <v>0.6677372092</v>
      </c>
      <c r="E145" s="238">
        <f t="shared" si="5"/>
        <v>25018.45834</v>
      </c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</row>
    <row r="146" ht="22.5" customHeight="1">
      <c r="A146" s="230">
        <v>45895.0</v>
      </c>
      <c r="B146" s="231">
        <f t="shared" si="8"/>
        <v>37467.52166</v>
      </c>
      <c r="C146" s="237">
        <v>59341.63</v>
      </c>
      <c r="D146" s="233">
        <f t="shared" si="4"/>
        <v>0.5838151919</v>
      </c>
      <c r="E146" s="238">
        <f t="shared" si="5"/>
        <v>21874.10834</v>
      </c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</row>
    <row r="147" ht="22.5" customHeight="1">
      <c r="A147" s="230">
        <v>45900.0</v>
      </c>
      <c r="B147" s="231">
        <f t="shared" si="8"/>
        <v>37467.52166</v>
      </c>
      <c r="C147" s="237">
        <v>59520.15</v>
      </c>
      <c r="D147" s="233">
        <f t="shared" si="4"/>
        <v>0.5885798519</v>
      </c>
      <c r="E147" s="238">
        <f t="shared" si="5"/>
        <v>22052.62834</v>
      </c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</row>
    <row r="148" ht="22.5" customHeight="1">
      <c r="A148" s="230">
        <v>45903.0</v>
      </c>
      <c r="B148" s="231">
        <f t="shared" si="8"/>
        <v>37467.52166</v>
      </c>
      <c r="C148" s="237">
        <v>59444.53</v>
      </c>
      <c r="D148" s="233">
        <f t="shared" si="4"/>
        <v>0.5865615705</v>
      </c>
      <c r="E148" s="238">
        <f t="shared" si="5"/>
        <v>21977.00834</v>
      </c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</row>
    <row r="149" ht="22.5" customHeight="1">
      <c r="A149" s="230">
        <v>45905.0</v>
      </c>
      <c r="B149" s="231">
        <f t="shared" si="8"/>
        <v>37467.52166</v>
      </c>
      <c r="C149" s="237">
        <v>60178.4</v>
      </c>
      <c r="D149" s="233">
        <f t="shared" si="4"/>
        <v>0.6061484011</v>
      </c>
      <c r="E149" s="238">
        <f t="shared" si="5"/>
        <v>22710.87834</v>
      </c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</row>
    <row r="150" ht="22.5" customHeight="1">
      <c r="A150" s="230">
        <v>45910.0</v>
      </c>
      <c r="B150" s="231">
        <f t="shared" si="8"/>
        <v>37467.52166</v>
      </c>
      <c r="C150" s="237">
        <v>61425.56</v>
      </c>
      <c r="D150" s="233">
        <f t="shared" si="4"/>
        <v>0.6394348301</v>
      </c>
      <c r="E150" s="238">
        <f t="shared" si="5"/>
        <v>23958.03834</v>
      </c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</row>
    <row r="151" ht="22.5" customHeight="1">
      <c r="A151" s="230">
        <v>45912.0</v>
      </c>
      <c r="B151" s="231">
        <f t="shared" si="8"/>
        <v>37467.52166</v>
      </c>
      <c r="C151" s="237">
        <v>62452.14</v>
      </c>
      <c r="D151" s="233">
        <f t="shared" si="4"/>
        <v>0.6668340269</v>
      </c>
      <c r="E151" s="238">
        <f t="shared" si="5"/>
        <v>24984.61834</v>
      </c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</row>
    <row r="152" ht="22.5" customHeight="1">
      <c r="A152" s="230">
        <v>45914.0</v>
      </c>
      <c r="B152" s="231">
        <f t="shared" si="8"/>
        <v>37467.52166</v>
      </c>
      <c r="C152" s="237">
        <v>63327.54</v>
      </c>
      <c r="D152" s="233">
        <f t="shared" si="4"/>
        <v>0.6901982625</v>
      </c>
      <c r="E152" s="238">
        <f t="shared" si="5"/>
        <v>25860.01834</v>
      </c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</row>
    <row r="153" ht="22.5" customHeight="1">
      <c r="A153" s="230">
        <v>45919.0</v>
      </c>
      <c r="B153" s="231">
        <f t="shared" si="8"/>
        <v>37467.52166</v>
      </c>
      <c r="C153" s="237">
        <v>62134.12</v>
      </c>
      <c r="D153" s="233">
        <f t="shared" si="4"/>
        <v>0.6583461423</v>
      </c>
      <c r="E153" s="238">
        <f t="shared" si="5"/>
        <v>24666.59834</v>
      </c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</row>
    <row r="154" ht="22.5" customHeight="1">
      <c r="A154" s="230">
        <v>45922.0</v>
      </c>
      <c r="B154" s="231">
        <f t="shared" si="8"/>
        <v>37467.52166</v>
      </c>
      <c r="C154" s="237">
        <v>59641.32</v>
      </c>
      <c r="D154" s="233">
        <f t="shared" si="4"/>
        <v>0.5918138528</v>
      </c>
      <c r="E154" s="238">
        <f t="shared" si="5"/>
        <v>22173.79834</v>
      </c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</row>
    <row r="155" ht="22.5" customHeight="1">
      <c r="A155" s="230">
        <v>45926.0</v>
      </c>
      <c r="B155" s="231">
        <f t="shared" si="8"/>
        <v>37467.52166</v>
      </c>
      <c r="C155" s="237">
        <v>58023.14</v>
      </c>
      <c r="D155" s="233">
        <f t="shared" si="4"/>
        <v>0.5486249807</v>
      </c>
      <c r="E155" s="238">
        <f t="shared" si="5"/>
        <v>20555.61834</v>
      </c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</row>
    <row r="156" ht="22.5" customHeight="1">
      <c r="A156" s="230">
        <v>45931.0</v>
      </c>
      <c r="B156" s="231">
        <f t="shared" si="8"/>
        <v>37467.52166</v>
      </c>
      <c r="C156" s="237">
        <v>60519.65</v>
      </c>
      <c r="D156" s="233">
        <f t="shared" si="4"/>
        <v>0.6152562894</v>
      </c>
      <c r="E156" s="238">
        <f t="shared" si="5"/>
        <v>23052.12834</v>
      </c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</row>
    <row r="157" ht="22.5" customHeight="1">
      <c r="A157" s="230">
        <v>45935.0</v>
      </c>
      <c r="B157" s="231">
        <f t="shared" si="8"/>
        <v>37467.52166</v>
      </c>
      <c r="C157" s="237">
        <v>64013.47</v>
      </c>
      <c r="D157" s="233">
        <f t="shared" si="4"/>
        <v>0.7085055849</v>
      </c>
      <c r="E157" s="238">
        <f t="shared" si="5"/>
        <v>26545.94834</v>
      </c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</row>
    <row r="158" ht="22.5" customHeight="1">
      <c r="A158" s="230">
        <v>45937.0</v>
      </c>
      <c r="B158" s="231">
        <f t="shared" si="8"/>
        <v>37467.52166</v>
      </c>
      <c r="C158" s="237">
        <v>62415.62</v>
      </c>
      <c r="D158" s="233">
        <f t="shared" si="4"/>
        <v>0.6658593161</v>
      </c>
      <c r="E158" s="238">
        <f t="shared" si="5"/>
        <v>24948.09834</v>
      </c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</row>
    <row r="159" ht="22.5" customHeight="1">
      <c r="A159" s="230">
        <v>45940.0</v>
      </c>
      <c r="B159" s="231">
        <f t="shared" si="8"/>
        <v>37467.52166</v>
      </c>
      <c r="C159" s="237">
        <v>63248.71</v>
      </c>
      <c r="D159" s="233">
        <f t="shared" si="4"/>
        <v>0.6880943069</v>
      </c>
      <c r="E159" s="238">
        <f t="shared" si="5"/>
        <v>25781.18834</v>
      </c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</row>
    <row r="160" ht="22.5" customHeight="1">
      <c r="A160" s="230">
        <v>45943.0</v>
      </c>
      <c r="B160" s="231">
        <f t="shared" si="8"/>
        <v>37467.52166</v>
      </c>
      <c r="C160" s="237">
        <v>60342.784</v>
      </c>
      <c r="D160" s="233">
        <f t="shared" si="4"/>
        <v>0.6105357743</v>
      </c>
      <c r="E160" s="238">
        <f t="shared" si="5"/>
        <v>22875.26234</v>
      </c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</row>
    <row r="161" ht="22.5" customHeight="1">
      <c r="A161" s="230">
        <v>45945.0</v>
      </c>
      <c r="B161" s="231">
        <f t="shared" si="8"/>
        <v>37467.52166</v>
      </c>
      <c r="C161" s="237">
        <v>59004.12</v>
      </c>
      <c r="D161" s="233">
        <f t="shared" si="4"/>
        <v>0.5748071234</v>
      </c>
      <c r="E161" s="238">
        <f t="shared" si="5"/>
        <v>21536.59834</v>
      </c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</row>
    <row r="162" ht="22.5" customHeight="1">
      <c r="A162" s="230">
        <v>45950.0</v>
      </c>
      <c r="B162" s="231">
        <f t="shared" si="8"/>
        <v>37467.52166</v>
      </c>
      <c r="C162" s="237">
        <v>59462.1</v>
      </c>
      <c r="D162" s="233">
        <f t="shared" si="4"/>
        <v>0.58703051</v>
      </c>
      <c r="E162" s="238">
        <f t="shared" si="5"/>
        <v>21994.57834</v>
      </c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</row>
    <row r="163" ht="22.5" customHeight="1">
      <c r="A163" s="230">
        <v>45952.0</v>
      </c>
      <c r="B163" s="231">
        <f t="shared" si="8"/>
        <v>37467.52166</v>
      </c>
      <c r="C163" s="237">
        <v>57210.95</v>
      </c>
      <c r="D163" s="233">
        <f t="shared" si="4"/>
        <v>0.5269478063</v>
      </c>
      <c r="E163" s="238">
        <f t="shared" si="5"/>
        <v>19743.42834</v>
      </c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</row>
    <row r="164" ht="22.5" customHeight="1">
      <c r="A164" s="230">
        <v>45954.0</v>
      </c>
      <c r="B164" s="231">
        <f t="shared" si="8"/>
        <v>37467.52166</v>
      </c>
      <c r="C164" s="237">
        <v>58119.7</v>
      </c>
      <c r="D164" s="233">
        <f t="shared" si="4"/>
        <v>0.5512021461</v>
      </c>
      <c r="E164" s="238">
        <f t="shared" si="5"/>
        <v>20652.17834</v>
      </c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</row>
    <row r="165" ht="22.5" customHeight="1">
      <c r="A165" s="230">
        <v>45956.0</v>
      </c>
      <c r="B165" s="231">
        <f t="shared" si="8"/>
        <v>37467.52166</v>
      </c>
      <c r="C165" s="237">
        <v>59213.48</v>
      </c>
      <c r="D165" s="233">
        <f t="shared" si="4"/>
        <v>0.5803948963</v>
      </c>
      <c r="E165" s="238">
        <f t="shared" si="5"/>
        <v>21745.95834</v>
      </c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</row>
    <row r="166" ht="22.5" customHeight="1">
      <c r="A166" s="230">
        <v>45957.0</v>
      </c>
      <c r="B166" s="231">
        <f t="shared" si="8"/>
        <v>37467.52166</v>
      </c>
      <c r="C166" s="237">
        <v>60132.89</v>
      </c>
      <c r="D166" s="233">
        <f t="shared" si="4"/>
        <v>0.6049337491</v>
      </c>
      <c r="E166" s="238">
        <f t="shared" si="5"/>
        <v>22665.36834</v>
      </c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</row>
    <row r="167" ht="22.5" customHeight="1">
      <c r="A167" s="230">
        <v>45958.0</v>
      </c>
      <c r="B167" s="231">
        <f t="shared" si="8"/>
        <v>37467.52166</v>
      </c>
      <c r="C167" s="237">
        <v>60430.49</v>
      </c>
      <c r="D167" s="233">
        <f t="shared" si="4"/>
        <v>0.6128766284</v>
      </c>
      <c r="E167" s="238">
        <f t="shared" si="5"/>
        <v>22962.96834</v>
      </c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</row>
    <row r="168" ht="22.5" customHeight="1">
      <c r="A168" s="230">
        <v>45962.0</v>
      </c>
      <c r="B168" s="231">
        <f t="shared" si="8"/>
        <v>37467.52166</v>
      </c>
      <c r="C168" s="237">
        <v>59043.94</v>
      </c>
      <c r="D168" s="233">
        <f t="shared" si="4"/>
        <v>0.5758699106</v>
      </c>
      <c r="E168" s="238">
        <f t="shared" si="5"/>
        <v>21576.41834</v>
      </c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</row>
    <row r="169" ht="22.5" customHeight="1">
      <c r="A169" s="230">
        <v>45965.0</v>
      </c>
      <c r="B169" s="231">
        <f t="shared" si="8"/>
        <v>37467.52166</v>
      </c>
      <c r="C169" s="237">
        <v>53816.2</v>
      </c>
      <c r="D169" s="233">
        <f t="shared" si="4"/>
        <v>0.4363426675</v>
      </c>
      <c r="E169" s="238">
        <f t="shared" si="5"/>
        <v>16348.67834</v>
      </c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</row>
    <row r="170" ht="22.5" customHeight="1">
      <c r="A170" s="230">
        <v>45970.0</v>
      </c>
      <c r="B170" s="231">
        <f t="shared" si="8"/>
        <v>37467.52166</v>
      </c>
      <c r="C170" s="237">
        <v>56825.34</v>
      </c>
      <c r="D170" s="233">
        <f t="shared" si="4"/>
        <v>0.5166559593</v>
      </c>
      <c r="E170" s="238">
        <f t="shared" si="5"/>
        <v>19357.81834</v>
      </c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</row>
    <row r="171" ht="22.5" customHeight="1">
      <c r="A171" s="230">
        <v>45972.0</v>
      </c>
      <c r="B171" s="231">
        <f t="shared" si="8"/>
        <v>37467.52166</v>
      </c>
      <c r="C171" s="237">
        <v>55481.32</v>
      </c>
      <c r="D171" s="233">
        <f t="shared" si="4"/>
        <v>0.480784358</v>
      </c>
      <c r="E171" s="238">
        <f t="shared" si="5"/>
        <v>18013.79834</v>
      </c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</row>
    <row r="172" ht="22.5" customHeight="1">
      <c r="A172" s="230">
        <v>45975.0</v>
      </c>
      <c r="B172" s="231">
        <f t="shared" si="8"/>
        <v>37467.52166</v>
      </c>
      <c r="C172" s="237">
        <v>52365.48</v>
      </c>
      <c r="D172" s="233">
        <f t="shared" si="4"/>
        <v>0.3976232664</v>
      </c>
      <c r="E172" s="238">
        <f t="shared" si="5"/>
        <v>14897.95834</v>
      </c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</row>
    <row r="173" ht="22.5" customHeight="1">
      <c r="A173" s="230">
        <v>45979.0</v>
      </c>
      <c r="B173" s="231">
        <f t="shared" si="8"/>
        <v>37467.52166</v>
      </c>
      <c r="C173" s="237">
        <v>50312.75</v>
      </c>
      <c r="D173" s="233">
        <f t="shared" si="4"/>
        <v>0.3428363494</v>
      </c>
      <c r="E173" s="238">
        <f t="shared" si="5"/>
        <v>12845.22834</v>
      </c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</row>
    <row r="174" ht="22.5" customHeight="1">
      <c r="A174" s="230">
        <v>45983.0</v>
      </c>
      <c r="B174" s="231">
        <f t="shared" si="8"/>
        <v>37467.52166</v>
      </c>
      <c r="C174" s="237">
        <v>48645.12</v>
      </c>
      <c r="D174" s="233">
        <f t="shared" si="4"/>
        <v>0.2983276676</v>
      </c>
      <c r="E174" s="238">
        <f t="shared" si="5"/>
        <v>11177.59834</v>
      </c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</row>
    <row r="175" ht="22.5" customHeight="1">
      <c r="A175" s="230">
        <v>45983.0</v>
      </c>
      <c r="B175" s="231">
        <f t="shared" si="8"/>
        <v>37467.52166</v>
      </c>
      <c r="C175" s="237">
        <v>47843.15</v>
      </c>
      <c r="D175" s="233">
        <f t="shared" si="4"/>
        <v>0.2769232628</v>
      </c>
      <c r="E175" s="238">
        <f t="shared" si="5"/>
        <v>10375.62834</v>
      </c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</row>
    <row r="176" ht="22.5" customHeight="1">
      <c r="A176" s="230">
        <v>45985.0</v>
      </c>
      <c r="B176" s="231">
        <f t="shared" si="8"/>
        <v>37467.52166</v>
      </c>
      <c r="C176" s="237">
        <v>48287.66</v>
      </c>
      <c r="D176" s="233">
        <f t="shared" si="4"/>
        <v>0.288787138</v>
      </c>
      <c r="E176" s="238">
        <f t="shared" si="5"/>
        <v>10820.13834</v>
      </c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</row>
    <row r="177" ht="22.5" customHeight="1">
      <c r="A177" s="230">
        <v>45993.0</v>
      </c>
      <c r="B177" s="231">
        <f t="shared" si="8"/>
        <v>37467.52166</v>
      </c>
      <c r="C177" s="237">
        <v>49216.45</v>
      </c>
      <c r="D177" s="233">
        <f t="shared" si="4"/>
        <v>0.3135763409</v>
      </c>
      <c r="E177" s="238">
        <f t="shared" si="5"/>
        <v>11748.92834</v>
      </c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</row>
    <row r="178" ht="22.5" customHeight="1">
      <c r="A178" s="230">
        <v>46004.0</v>
      </c>
      <c r="B178" s="231">
        <f t="shared" si="8"/>
        <v>37467.52166</v>
      </c>
      <c r="C178" s="237">
        <v>51321.02</v>
      </c>
      <c r="D178" s="233">
        <f t="shared" si="4"/>
        <v>0.3697468563</v>
      </c>
      <c r="E178" s="238">
        <f t="shared" si="5"/>
        <v>13853.49834</v>
      </c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</row>
    <row r="179" ht="22.5" customHeight="1">
      <c r="A179" s="230">
        <v>46022.0</v>
      </c>
      <c r="B179" s="231">
        <f t="shared" si="8"/>
        <v>37467.52166</v>
      </c>
      <c r="C179" s="237">
        <v>50412.63</v>
      </c>
      <c r="D179" s="233">
        <f t="shared" si="4"/>
        <v>0.3455021249</v>
      </c>
      <c r="E179" s="238">
        <f t="shared" si="5"/>
        <v>12945.10834</v>
      </c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</row>
    <row r="180" ht="22.5" customHeight="1">
      <c r="A180" s="230">
        <v>46038.0</v>
      </c>
      <c r="B180" s="231">
        <f t="shared" si="8"/>
        <v>37467.52166</v>
      </c>
      <c r="C180" s="237">
        <v>51732.45</v>
      </c>
      <c r="D180" s="233">
        <f t="shared" si="4"/>
        <v>0.3807278335</v>
      </c>
      <c r="E180" s="238">
        <f t="shared" si="5"/>
        <v>14264.92834</v>
      </c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</row>
    <row r="181" ht="22.5" customHeight="1">
      <c r="A181" s="230">
        <v>46042.0</v>
      </c>
      <c r="B181" s="231">
        <f t="shared" si="8"/>
        <v>37467.52166</v>
      </c>
      <c r="C181" s="237">
        <v>50321.65</v>
      </c>
      <c r="D181" s="233">
        <f t="shared" si="4"/>
        <v>0.3430738885</v>
      </c>
      <c r="E181" s="238">
        <f t="shared" si="5"/>
        <v>12854.12834</v>
      </c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</row>
    <row r="182" ht="22.5" customHeight="1">
      <c r="A182" s="230">
        <v>46046.0</v>
      </c>
      <c r="B182" s="231">
        <f t="shared" si="8"/>
        <v>37467.52166</v>
      </c>
      <c r="C182" s="237">
        <v>49007.23</v>
      </c>
      <c r="D182" s="233">
        <f t="shared" si="4"/>
        <v>0.3079923047</v>
      </c>
      <c r="E182" s="238">
        <f t="shared" si="5"/>
        <v>11539.70834</v>
      </c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</row>
    <row r="183" ht="22.5" customHeight="1">
      <c r="A183" s="230"/>
      <c r="B183" s="231" t="str">
        <f t="shared" si="8"/>
        <v/>
      </c>
      <c r="C183" s="232"/>
      <c r="D183" s="233" t="str">
        <f t="shared" si="4"/>
        <v/>
      </c>
      <c r="E183" s="238" t="str">
        <f t="shared" si="5"/>
        <v/>
      </c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</row>
    <row r="184" ht="22.5" customHeight="1">
      <c r="A184" s="230"/>
      <c r="B184" s="231" t="str">
        <f t="shared" si="8"/>
        <v/>
      </c>
      <c r="C184" s="232"/>
      <c r="D184" s="233" t="str">
        <f t="shared" si="4"/>
        <v/>
      </c>
      <c r="E184" s="238" t="str">
        <f t="shared" si="5"/>
        <v/>
      </c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</row>
    <row r="185" ht="22.5" customHeight="1">
      <c r="A185" s="230"/>
      <c r="B185" s="231" t="str">
        <f t="shared" si="8"/>
        <v/>
      </c>
      <c r="C185" s="232"/>
      <c r="D185" s="233" t="str">
        <f t="shared" si="4"/>
        <v/>
      </c>
      <c r="E185" s="238" t="str">
        <f t="shared" si="5"/>
        <v/>
      </c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</row>
    <row r="186" ht="22.5" customHeight="1">
      <c r="A186" s="230"/>
      <c r="B186" s="231" t="str">
        <f t="shared" si="8"/>
        <v/>
      </c>
      <c r="C186" s="232"/>
      <c r="D186" s="233" t="str">
        <f t="shared" si="4"/>
        <v/>
      </c>
      <c r="E186" s="238" t="str">
        <f t="shared" si="5"/>
        <v/>
      </c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</row>
    <row r="187" ht="22.5" customHeight="1">
      <c r="A187" s="230"/>
      <c r="B187" s="231" t="str">
        <f t="shared" si="8"/>
        <v/>
      </c>
      <c r="C187" s="232"/>
      <c r="D187" s="233" t="str">
        <f t="shared" si="4"/>
        <v/>
      </c>
      <c r="E187" s="238" t="str">
        <f t="shared" si="5"/>
        <v/>
      </c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</row>
    <row r="188" ht="22.5" customHeight="1">
      <c r="A188" s="230"/>
      <c r="B188" s="231" t="str">
        <f t="shared" si="8"/>
        <v/>
      </c>
      <c r="C188" s="232"/>
      <c r="D188" s="233" t="str">
        <f t="shared" si="4"/>
        <v/>
      </c>
      <c r="E188" s="238" t="str">
        <f t="shared" si="5"/>
        <v/>
      </c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</row>
    <row r="189" ht="22.5" customHeight="1">
      <c r="A189" s="230"/>
      <c r="B189" s="231" t="str">
        <f t="shared" si="8"/>
        <v/>
      </c>
      <c r="C189" s="232"/>
      <c r="D189" s="233" t="str">
        <f t="shared" si="4"/>
        <v/>
      </c>
      <c r="E189" s="238" t="str">
        <f t="shared" si="5"/>
        <v/>
      </c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</row>
    <row r="190" ht="22.5" customHeight="1">
      <c r="A190" s="230"/>
      <c r="B190" s="231" t="str">
        <f t="shared" si="8"/>
        <v/>
      </c>
      <c r="C190" s="232"/>
      <c r="D190" s="233" t="str">
        <f t="shared" si="4"/>
        <v/>
      </c>
      <c r="E190" s="238" t="str">
        <f t="shared" si="5"/>
        <v/>
      </c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</row>
    <row r="191" ht="22.5" customHeight="1">
      <c r="A191" s="230"/>
      <c r="B191" s="231" t="str">
        <f t="shared" si="8"/>
        <v/>
      </c>
      <c r="C191" s="232"/>
      <c r="D191" s="233" t="str">
        <f t="shared" si="4"/>
        <v/>
      </c>
      <c r="E191" s="238" t="str">
        <f t="shared" si="5"/>
        <v/>
      </c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</row>
    <row r="192" ht="22.5" customHeight="1">
      <c r="A192" s="230"/>
      <c r="B192" s="231" t="str">
        <f t="shared" si="8"/>
        <v/>
      </c>
      <c r="C192" s="232"/>
      <c r="D192" s="233" t="str">
        <f t="shared" si="4"/>
        <v/>
      </c>
      <c r="E192" s="238" t="str">
        <f t="shared" si="5"/>
        <v/>
      </c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</row>
    <row r="193" ht="22.5" customHeight="1">
      <c r="A193" s="230"/>
      <c r="B193" s="231" t="str">
        <f t="shared" si="8"/>
        <v/>
      </c>
      <c r="C193" s="232"/>
      <c r="D193" s="233" t="str">
        <f t="shared" si="4"/>
        <v/>
      </c>
      <c r="E193" s="238" t="str">
        <f t="shared" si="5"/>
        <v/>
      </c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</row>
    <row r="194" ht="22.5" customHeight="1">
      <c r="A194" s="230"/>
      <c r="B194" s="231" t="str">
        <f t="shared" si="8"/>
        <v/>
      </c>
      <c r="C194" s="232"/>
      <c r="D194" s="233" t="str">
        <f t="shared" si="4"/>
        <v/>
      </c>
      <c r="E194" s="238" t="str">
        <f t="shared" si="5"/>
        <v/>
      </c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</row>
    <row r="195" ht="22.5" customHeight="1">
      <c r="A195" s="230"/>
      <c r="B195" s="231" t="str">
        <f t="shared" si="8"/>
        <v/>
      </c>
      <c r="C195" s="232"/>
      <c r="D195" s="233" t="str">
        <f t="shared" si="4"/>
        <v/>
      </c>
      <c r="E195" s="238" t="str">
        <f t="shared" si="5"/>
        <v/>
      </c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</row>
    <row r="196" ht="22.5" customHeight="1">
      <c r="A196" s="230"/>
      <c r="B196" s="231" t="str">
        <f t="shared" si="8"/>
        <v/>
      </c>
      <c r="C196" s="232"/>
      <c r="D196" s="233" t="str">
        <f t="shared" si="4"/>
        <v/>
      </c>
      <c r="E196" s="238" t="str">
        <f t="shared" si="5"/>
        <v/>
      </c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</row>
    <row r="197" ht="22.5" customHeight="1">
      <c r="A197" s="230"/>
      <c r="B197" s="231" t="str">
        <f t="shared" si="8"/>
        <v/>
      </c>
      <c r="C197" s="232"/>
      <c r="D197" s="233" t="str">
        <f t="shared" si="4"/>
        <v/>
      </c>
      <c r="E197" s="238" t="str">
        <f t="shared" si="5"/>
        <v/>
      </c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</row>
    <row r="198" ht="22.5" customHeight="1">
      <c r="A198" s="230"/>
      <c r="B198" s="231" t="str">
        <f t="shared" si="8"/>
        <v/>
      </c>
      <c r="C198" s="232"/>
      <c r="D198" s="233" t="str">
        <f t="shared" si="4"/>
        <v/>
      </c>
      <c r="E198" s="238" t="str">
        <f t="shared" si="5"/>
        <v/>
      </c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</row>
    <row r="199" ht="22.5" customHeight="1">
      <c r="A199" s="230"/>
      <c r="B199" s="231" t="str">
        <f t="shared" si="8"/>
        <v/>
      </c>
      <c r="C199" s="232"/>
      <c r="D199" s="233" t="str">
        <f t="shared" si="4"/>
        <v/>
      </c>
      <c r="E199" s="238" t="str">
        <f t="shared" si="5"/>
        <v/>
      </c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</row>
    <row r="200" ht="22.5" customHeight="1">
      <c r="A200" s="230"/>
      <c r="B200" s="231" t="str">
        <f t="shared" si="8"/>
        <v/>
      </c>
      <c r="C200" s="232"/>
      <c r="D200" s="233" t="str">
        <f t="shared" si="4"/>
        <v/>
      </c>
      <c r="E200" s="238" t="str">
        <f t="shared" si="5"/>
        <v/>
      </c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</row>
    <row r="201" ht="22.5" customHeight="1">
      <c r="A201" s="230"/>
      <c r="B201" s="231" t="str">
        <f t="shared" si="8"/>
        <v/>
      </c>
      <c r="C201" s="232"/>
      <c r="D201" s="233" t="str">
        <f t="shared" si="4"/>
        <v/>
      </c>
      <c r="E201" s="238" t="str">
        <f t="shared" si="5"/>
        <v/>
      </c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</row>
    <row r="202" ht="22.5" customHeight="1">
      <c r="A202" s="230"/>
      <c r="B202" s="231" t="str">
        <f t="shared" si="8"/>
        <v/>
      </c>
      <c r="C202" s="232"/>
      <c r="D202" s="233" t="str">
        <f t="shared" si="4"/>
        <v/>
      </c>
      <c r="E202" s="238" t="str">
        <f t="shared" si="5"/>
        <v/>
      </c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</row>
    <row r="203" ht="22.5" customHeight="1">
      <c r="A203" s="230"/>
      <c r="B203" s="231" t="str">
        <f t="shared" si="8"/>
        <v/>
      </c>
      <c r="C203" s="232"/>
      <c r="D203" s="233" t="str">
        <f t="shared" si="4"/>
        <v/>
      </c>
      <c r="E203" s="238" t="str">
        <f t="shared" si="5"/>
        <v/>
      </c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</row>
    <row r="204" ht="22.5" customHeight="1">
      <c r="A204" s="230"/>
      <c r="B204" s="231" t="str">
        <f t="shared" si="8"/>
        <v/>
      </c>
      <c r="C204" s="232"/>
      <c r="D204" s="233" t="str">
        <f t="shared" si="4"/>
        <v/>
      </c>
      <c r="E204" s="238" t="str">
        <f t="shared" si="5"/>
        <v/>
      </c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</row>
    <row r="205" ht="22.5" customHeight="1">
      <c r="A205" s="230"/>
      <c r="B205" s="231" t="str">
        <f t="shared" si="8"/>
        <v/>
      </c>
      <c r="C205" s="232"/>
      <c r="D205" s="233" t="str">
        <f t="shared" si="4"/>
        <v/>
      </c>
      <c r="E205" s="238" t="str">
        <f t="shared" si="5"/>
        <v/>
      </c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</row>
    <row r="206" ht="22.5" customHeight="1">
      <c r="A206" s="230"/>
      <c r="B206" s="231" t="str">
        <f t="shared" si="8"/>
        <v/>
      </c>
      <c r="C206" s="232"/>
      <c r="D206" s="233" t="str">
        <f t="shared" si="4"/>
        <v/>
      </c>
      <c r="E206" s="238" t="str">
        <f t="shared" si="5"/>
        <v/>
      </c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</row>
    <row r="207" ht="22.5" customHeight="1">
      <c r="A207" s="230"/>
      <c r="B207" s="231" t="str">
        <f t="shared" si="8"/>
        <v/>
      </c>
      <c r="C207" s="232"/>
      <c r="D207" s="233" t="str">
        <f t="shared" si="4"/>
        <v/>
      </c>
      <c r="E207" s="238" t="str">
        <f t="shared" si="5"/>
        <v/>
      </c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</row>
    <row r="208" ht="22.5" customHeight="1">
      <c r="A208" s="230"/>
      <c r="B208" s="231" t="str">
        <f t="shared" si="8"/>
        <v/>
      </c>
      <c r="C208" s="232"/>
      <c r="D208" s="233" t="str">
        <f t="shared" si="4"/>
        <v/>
      </c>
      <c r="E208" s="238" t="str">
        <f t="shared" si="5"/>
        <v/>
      </c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</row>
    <row r="209" ht="22.5" customHeight="1">
      <c r="A209" s="230"/>
      <c r="B209" s="231" t="str">
        <f t="shared" si="8"/>
        <v/>
      </c>
      <c r="C209" s="232"/>
      <c r="D209" s="233" t="str">
        <f t="shared" si="4"/>
        <v/>
      </c>
      <c r="E209" s="238" t="str">
        <f t="shared" si="5"/>
        <v/>
      </c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</row>
    <row r="210" ht="22.5" customHeight="1">
      <c r="A210" s="230"/>
      <c r="B210" s="231" t="str">
        <f t="shared" si="8"/>
        <v/>
      </c>
      <c r="C210" s="232"/>
      <c r="D210" s="233" t="str">
        <f t="shared" si="4"/>
        <v/>
      </c>
      <c r="E210" s="238" t="str">
        <f t="shared" si="5"/>
        <v/>
      </c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</row>
    <row r="211" ht="22.5" customHeight="1">
      <c r="A211" s="230"/>
      <c r="B211" s="231" t="str">
        <f t="shared" si="8"/>
        <v/>
      </c>
      <c r="C211" s="232"/>
      <c r="D211" s="233" t="str">
        <f t="shared" si="4"/>
        <v/>
      </c>
      <c r="E211" s="238" t="str">
        <f t="shared" si="5"/>
        <v/>
      </c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</row>
    <row r="212" ht="22.5" customHeight="1">
      <c r="A212" s="230"/>
      <c r="B212" s="231" t="str">
        <f t="shared" si="8"/>
        <v/>
      </c>
      <c r="C212" s="232"/>
      <c r="D212" s="233" t="str">
        <f t="shared" si="4"/>
        <v/>
      </c>
      <c r="E212" s="238" t="str">
        <f t="shared" si="5"/>
        <v/>
      </c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</row>
    <row r="213" ht="22.5" customHeight="1">
      <c r="A213" s="230"/>
      <c r="B213" s="231" t="str">
        <f t="shared" si="8"/>
        <v/>
      </c>
      <c r="C213" s="232"/>
      <c r="D213" s="233" t="str">
        <f t="shared" si="4"/>
        <v/>
      </c>
      <c r="E213" s="238" t="str">
        <f t="shared" si="5"/>
        <v/>
      </c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</row>
    <row r="214" ht="22.5" customHeight="1">
      <c r="A214" s="230"/>
      <c r="B214" s="231" t="str">
        <f t="shared" si="8"/>
        <v/>
      </c>
      <c r="C214" s="232"/>
      <c r="D214" s="233" t="str">
        <f t="shared" si="4"/>
        <v/>
      </c>
      <c r="E214" s="238" t="str">
        <f t="shared" si="5"/>
        <v/>
      </c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</row>
    <row r="215" ht="22.5" customHeight="1">
      <c r="A215" s="230"/>
      <c r="B215" s="231" t="str">
        <f t="shared" si="8"/>
        <v/>
      </c>
      <c r="C215" s="232"/>
      <c r="D215" s="233" t="str">
        <f t="shared" si="4"/>
        <v/>
      </c>
      <c r="E215" s="238" t="str">
        <f t="shared" si="5"/>
        <v/>
      </c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</row>
    <row r="216" ht="22.5" customHeight="1">
      <c r="A216" s="230"/>
      <c r="B216" s="231" t="str">
        <f t="shared" si="8"/>
        <v/>
      </c>
      <c r="C216" s="232"/>
      <c r="D216" s="233" t="str">
        <f t="shared" si="4"/>
        <v/>
      </c>
      <c r="E216" s="238" t="str">
        <f t="shared" si="5"/>
        <v/>
      </c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</row>
    <row r="217" ht="22.5" customHeight="1">
      <c r="A217" s="230"/>
      <c r="B217" s="231" t="str">
        <f t="shared" si="8"/>
        <v/>
      </c>
      <c r="C217" s="232"/>
      <c r="D217" s="233" t="str">
        <f t="shared" si="4"/>
        <v/>
      </c>
      <c r="E217" s="238" t="str">
        <f t="shared" si="5"/>
        <v/>
      </c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</row>
    <row r="218" ht="22.5" customHeight="1">
      <c r="A218" s="230"/>
      <c r="B218" s="231" t="str">
        <f t="shared" si="8"/>
        <v/>
      </c>
      <c r="C218" s="232"/>
      <c r="D218" s="233" t="str">
        <f t="shared" si="4"/>
        <v/>
      </c>
      <c r="E218" s="238" t="str">
        <f t="shared" si="5"/>
        <v/>
      </c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</row>
    <row r="219" ht="22.5" customHeight="1">
      <c r="A219" s="230"/>
      <c r="B219" s="231" t="str">
        <f t="shared" si="8"/>
        <v/>
      </c>
      <c r="C219" s="232"/>
      <c r="D219" s="233" t="str">
        <f t="shared" si="4"/>
        <v/>
      </c>
      <c r="E219" s="238" t="str">
        <f t="shared" si="5"/>
        <v/>
      </c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</row>
    <row r="220" ht="22.5" customHeight="1">
      <c r="A220" s="230"/>
      <c r="B220" s="231" t="str">
        <f t="shared" si="8"/>
        <v/>
      </c>
      <c r="C220" s="232"/>
      <c r="D220" s="233" t="str">
        <f t="shared" si="4"/>
        <v/>
      </c>
      <c r="E220" s="238" t="str">
        <f t="shared" si="5"/>
        <v/>
      </c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</row>
    <row r="221" ht="22.5" customHeight="1">
      <c r="A221" s="230"/>
      <c r="B221" s="231" t="str">
        <f t="shared" si="8"/>
        <v/>
      </c>
      <c r="C221" s="232"/>
      <c r="D221" s="233" t="str">
        <f t="shared" si="4"/>
        <v/>
      </c>
      <c r="E221" s="238" t="str">
        <f t="shared" si="5"/>
        <v/>
      </c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</row>
    <row r="222" ht="22.5" customHeight="1">
      <c r="A222" s="230"/>
      <c r="B222" s="231" t="str">
        <f t="shared" si="8"/>
        <v/>
      </c>
      <c r="C222" s="232"/>
      <c r="D222" s="233" t="str">
        <f t="shared" si="4"/>
        <v/>
      </c>
      <c r="E222" s="238" t="str">
        <f t="shared" si="5"/>
        <v/>
      </c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</row>
    <row r="223" ht="22.5" customHeight="1">
      <c r="A223" s="230"/>
      <c r="B223" s="231" t="str">
        <f t="shared" si="8"/>
        <v/>
      </c>
      <c r="C223" s="232"/>
      <c r="D223" s="233" t="str">
        <f t="shared" si="4"/>
        <v/>
      </c>
      <c r="E223" s="238" t="str">
        <f t="shared" si="5"/>
        <v/>
      </c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</row>
    <row r="224" ht="22.5" customHeight="1">
      <c r="A224" s="230"/>
      <c r="B224" s="231" t="str">
        <f t="shared" si="8"/>
        <v/>
      </c>
      <c r="C224" s="232"/>
      <c r="D224" s="233" t="str">
        <f t="shared" si="4"/>
        <v/>
      </c>
      <c r="E224" s="238" t="str">
        <f t="shared" si="5"/>
        <v/>
      </c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</row>
    <row r="225" ht="22.5" customHeight="1">
      <c r="A225" s="230"/>
      <c r="B225" s="231" t="str">
        <f t="shared" si="8"/>
        <v/>
      </c>
      <c r="C225" s="232"/>
      <c r="D225" s="233" t="str">
        <f t="shared" si="4"/>
        <v/>
      </c>
      <c r="E225" s="238" t="str">
        <f t="shared" si="5"/>
        <v/>
      </c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</row>
    <row r="226" ht="22.5" customHeight="1">
      <c r="A226" s="230"/>
      <c r="B226" s="231" t="str">
        <f t="shared" si="8"/>
        <v/>
      </c>
      <c r="C226" s="232"/>
      <c r="D226" s="233" t="str">
        <f t="shared" si="4"/>
        <v/>
      </c>
      <c r="E226" s="238" t="str">
        <f t="shared" si="5"/>
        <v/>
      </c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</row>
    <row r="227" ht="22.5" customHeight="1">
      <c r="A227" s="230"/>
      <c r="B227" s="231" t="str">
        <f t="shared" si="8"/>
        <v/>
      </c>
      <c r="C227" s="232"/>
      <c r="D227" s="233" t="str">
        <f t="shared" si="4"/>
        <v/>
      </c>
      <c r="E227" s="238" t="str">
        <f t="shared" si="5"/>
        <v/>
      </c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</row>
    <row r="228" ht="22.5" customHeight="1">
      <c r="A228" s="230"/>
      <c r="B228" s="231" t="str">
        <f t="shared" si="8"/>
        <v/>
      </c>
      <c r="C228" s="232"/>
      <c r="D228" s="233" t="str">
        <f t="shared" si="4"/>
        <v/>
      </c>
      <c r="E228" s="238" t="str">
        <f t="shared" si="5"/>
        <v/>
      </c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</row>
    <row r="229" ht="22.5" customHeight="1">
      <c r="A229" s="230"/>
      <c r="B229" s="231" t="str">
        <f t="shared" si="8"/>
        <v/>
      </c>
      <c r="C229" s="232"/>
      <c r="D229" s="233" t="str">
        <f t="shared" si="4"/>
        <v/>
      </c>
      <c r="E229" s="238" t="str">
        <f t="shared" si="5"/>
        <v/>
      </c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</row>
    <row r="230" ht="22.5" customHeight="1">
      <c r="A230" s="230"/>
      <c r="B230" s="231" t="str">
        <f t="shared" si="8"/>
        <v/>
      </c>
      <c r="C230" s="232"/>
      <c r="D230" s="233" t="str">
        <f t="shared" si="4"/>
        <v/>
      </c>
      <c r="E230" s="238" t="str">
        <f t="shared" si="5"/>
        <v/>
      </c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</row>
    <row r="231" ht="22.5" customHeight="1">
      <c r="A231" s="230"/>
      <c r="B231" s="231" t="str">
        <f t="shared" si="8"/>
        <v/>
      </c>
      <c r="C231" s="232"/>
      <c r="D231" s="233" t="str">
        <f t="shared" si="4"/>
        <v/>
      </c>
      <c r="E231" s="238" t="str">
        <f t="shared" si="5"/>
        <v/>
      </c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</row>
    <row r="232" ht="22.5" customHeight="1">
      <c r="A232" s="230"/>
      <c r="B232" s="231" t="str">
        <f t="shared" si="8"/>
        <v/>
      </c>
      <c r="C232" s="232"/>
      <c r="D232" s="233" t="str">
        <f t="shared" si="4"/>
        <v/>
      </c>
      <c r="E232" s="238" t="str">
        <f t="shared" si="5"/>
        <v/>
      </c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</row>
    <row r="233" ht="22.5" customHeight="1">
      <c r="A233" s="230"/>
      <c r="B233" s="231" t="str">
        <f t="shared" si="8"/>
        <v/>
      </c>
      <c r="C233" s="232"/>
      <c r="D233" s="233" t="str">
        <f t="shared" si="4"/>
        <v/>
      </c>
      <c r="E233" s="238" t="str">
        <f t="shared" si="5"/>
        <v/>
      </c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</row>
    <row r="234" ht="22.5" customHeight="1">
      <c r="A234" s="230"/>
      <c r="B234" s="231" t="str">
        <f t="shared" si="8"/>
        <v/>
      </c>
      <c r="C234" s="232"/>
      <c r="D234" s="233" t="str">
        <f t="shared" si="4"/>
        <v/>
      </c>
      <c r="E234" s="238" t="str">
        <f t="shared" si="5"/>
        <v/>
      </c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</row>
    <row r="235" ht="22.5" customHeight="1">
      <c r="A235" s="230"/>
      <c r="B235" s="231" t="str">
        <f t="shared" si="8"/>
        <v/>
      </c>
      <c r="C235" s="232"/>
      <c r="D235" s="233" t="str">
        <f t="shared" si="4"/>
        <v/>
      </c>
      <c r="E235" s="238" t="str">
        <f t="shared" si="5"/>
        <v/>
      </c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</row>
    <row r="236" ht="22.5" customHeight="1">
      <c r="A236" s="230"/>
      <c r="B236" s="231" t="str">
        <f t="shared" si="8"/>
        <v/>
      </c>
      <c r="C236" s="232"/>
      <c r="D236" s="233" t="str">
        <f t="shared" si="4"/>
        <v/>
      </c>
      <c r="E236" s="238" t="str">
        <f t="shared" si="5"/>
        <v/>
      </c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</row>
    <row r="237" ht="22.5" customHeight="1">
      <c r="A237" s="230"/>
      <c r="B237" s="231" t="str">
        <f t="shared" si="8"/>
        <v/>
      </c>
      <c r="C237" s="232"/>
      <c r="D237" s="233" t="str">
        <f t="shared" si="4"/>
        <v/>
      </c>
      <c r="E237" s="238" t="str">
        <f t="shared" si="5"/>
        <v/>
      </c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</row>
    <row r="238" ht="22.5" customHeight="1">
      <c r="A238" s="230"/>
      <c r="B238" s="231" t="str">
        <f t="shared" si="8"/>
        <v/>
      </c>
      <c r="C238" s="232"/>
      <c r="D238" s="233" t="str">
        <f t="shared" si="4"/>
        <v/>
      </c>
      <c r="E238" s="238" t="str">
        <f t="shared" si="5"/>
        <v/>
      </c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</row>
    <row r="239" ht="22.5" customHeight="1">
      <c r="A239" s="230"/>
      <c r="B239" s="231" t="str">
        <f t="shared" si="8"/>
        <v/>
      </c>
      <c r="C239" s="232"/>
      <c r="D239" s="233" t="str">
        <f t="shared" si="4"/>
        <v/>
      </c>
      <c r="E239" s="238" t="str">
        <f t="shared" si="5"/>
        <v/>
      </c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</row>
    <row r="240" ht="22.5" customHeight="1">
      <c r="A240" s="230"/>
      <c r="B240" s="231" t="str">
        <f t="shared" si="8"/>
        <v/>
      </c>
      <c r="C240" s="232"/>
      <c r="D240" s="233" t="str">
        <f t="shared" si="4"/>
        <v/>
      </c>
      <c r="E240" s="238" t="str">
        <f t="shared" si="5"/>
        <v/>
      </c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</row>
    <row r="241" ht="22.5" customHeight="1">
      <c r="A241" s="230"/>
      <c r="B241" s="231" t="str">
        <f t="shared" si="8"/>
        <v/>
      </c>
      <c r="C241" s="232"/>
      <c r="D241" s="233" t="str">
        <f t="shared" si="4"/>
        <v/>
      </c>
      <c r="E241" s="238" t="str">
        <f t="shared" si="5"/>
        <v/>
      </c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</row>
    <row r="242" ht="22.5" customHeight="1">
      <c r="A242" s="230"/>
      <c r="B242" s="231" t="str">
        <f t="shared" si="8"/>
        <v/>
      </c>
      <c r="C242" s="232"/>
      <c r="D242" s="233" t="str">
        <f t="shared" si="4"/>
        <v/>
      </c>
      <c r="E242" s="238" t="str">
        <f t="shared" si="5"/>
        <v/>
      </c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</row>
    <row r="243" ht="22.5" customHeight="1">
      <c r="A243" s="230"/>
      <c r="B243" s="231" t="str">
        <f t="shared" si="8"/>
        <v/>
      </c>
      <c r="C243" s="232"/>
      <c r="D243" s="233" t="str">
        <f t="shared" si="4"/>
        <v/>
      </c>
      <c r="E243" s="238" t="str">
        <f t="shared" si="5"/>
        <v/>
      </c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</row>
    <row r="244" ht="22.5" customHeight="1">
      <c r="A244" s="230"/>
      <c r="B244" s="231" t="str">
        <f t="shared" si="8"/>
        <v/>
      </c>
      <c r="C244" s="232"/>
      <c r="D244" s="233" t="str">
        <f t="shared" si="4"/>
        <v/>
      </c>
      <c r="E244" s="238" t="str">
        <f t="shared" si="5"/>
        <v/>
      </c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</row>
    <row r="245" ht="22.5" customHeight="1">
      <c r="A245" s="230"/>
      <c r="B245" s="231" t="str">
        <f t="shared" si="8"/>
        <v/>
      </c>
      <c r="C245" s="232"/>
      <c r="D245" s="233" t="str">
        <f t="shared" si="4"/>
        <v/>
      </c>
      <c r="E245" s="238" t="str">
        <f t="shared" si="5"/>
        <v/>
      </c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</row>
    <row r="246" ht="22.5" customHeight="1">
      <c r="A246" s="230"/>
      <c r="B246" s="231" t="str">
        <f t="shared" si="8"/>
        <v/>
      </c>
      <c r="C246" s="232"/>
      <c r="D246" s="233" t="str">
        <f t="shared" si="4"/>
        <v/>
      </c>
      <c r="E246" s="238" t="str">
        <f t="shared" si="5"/>
        <v/>
      </c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</row>
    <row r="247" ht="22.5" customHeight="1">
      <c r="A247" s="230"/>
      <c r="B247" s="231" t="str">
        <f t="shared" si="8"/>
        <v/>
      </c>
      <c r="C247" s="232"/>
      <c r="D247" s="233" t="str">
        <f t="shared" si="4"/>
        <v/>
      </c>
      <c r="E247" s="238" t="str">
        <f t="shared" si="5"/>
        <v/>
      </c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</row>
    <row r="248" ht="22.5" customHeight="1">
      <c r="A248" s="230"/>
      <c r="B248" s="231" t="str">
        <f t="shared" si="8"/>
        <v/>
      </c>
      <c r="C248" s="232"/>
      <c r="D248" s="233" t="str">
        <f t="shared" si="4"/>
        <v/>
      </c>
      <c r="E248" s="238" t="str">
        <f t="shared" si="5"/>
        <v/>
      </c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</row>
    <row r="249" ht="22.5" customHeight="1">
      <c r="A249" s="230"/>
      <c r="B249" s="231" t="str">
        <f t="shared" si="8"/>
        <v/>
      </c>
      <c r="C249" s="232"/>
      <c r="D249" s="233" t="str">
        <f t="shared" si="4"/>
        <v/>
      </c>
      <c r="E249" s="238" t="str">
        <f t="shared" si="5"/>
        <v/>
      </c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</row>
    <row r="250" ht="22.5" customHeight="1">
      <c r="A250" s="230"/>
      <c r="B250" s="231" t="str">
        <f t="shared" si="8"/>
        <v/>
      </c>
      <c r="C250" s="232"/>
      <c r="D250" s="233" t="str">
        <f t="shared" si="4"/>
        <v/>
      </c>
      <c r="E250" s="238" t="str">
        <f t="shared" si="5"/>
        <v/>
      </c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</row>
    <row r="251" ht="22.5" customHeight="1">
      <c r="A251" s="230"/>
      <c r="B251" s="231" t="str">
        <f t="shared" si="8"/>
        <v/>
      </c>
      <c r="C251" s="232"/>
      <c r="D251" s="233" t="str">
        <f t="shared" si="4"/>
        <v/>
      </c>
      <c r="E251" s="238" t="str">
        <f t="shared" si="5"/>
        <v/>
      </c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</row>
    <row r="252" ht="22.5" customHeight="1">
      <c r="A252" s="230"/>
      <c r="B252" s="231" t="str">
        <f t="shared" si="8"/>
        <v/>
      </c>
      <c r="C252" s="232"/>
      <c r="D252" s="233" t="str">
        <f t="shared" si="4"/>
        <v/>
      </c>
      <c r="E252" s="238" t="str">
        <f t="shared" si="5"/>
        <v/>
      </c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</row>
    <row r="253" ht="22.5" customHeight="1">
      <c r="A253" s="230"/>
      <c r="B253" s="231" t="str">
        <f t="shared" si="8"/>
        <v/>
      </c>
      <c r="C253" s="232"/>
      <c r="D253" s="233" t="str">
        <f t="shared" si="4"/>
        <v/>
      </c>
      <c r="E253" s="238" t="str">
        <f t="shared" si="5"/>
        <v/>
      </c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</row>
    <row r="254" ht="22.5" customHeight="1">
      <c r="A254" s="230"/>
      <c r="B254" s="231" t="str">
        <f t="shared" si="8"/>
        <v/>
      </c>
      <c r="C254" s="232"/>
      <c r="D254" s="233" t="str">
        <f t="shared" si="4"/>
        <v/>
      </c>
      <c r="E254" s="238" t="str">
        <f t="shared" si="5"/>
        <v/>
      </c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</row>
    <row r="255" ht="22.5" customHeight="1">
      <c r="A255" s="230"/>
      <c r="B255" s="231" t="str">
        <f t="shared" si="8"/>
        <v/>
      </c>
      <c r="C255" s="232"/>
      <c r="D255" s="233" t="str">
        <f t="shared" si="4"/>
        <v/>
      </c>
      <c r="E255" s="238" t="str">
        <f t="shared" si="5"/>
        <v/>
      </c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</row>
    <row r="256" ht="22.5" customHeight="1">
      <c r="A256" s="230"/>
      <c r="B256" s="231" t="str">
        <f t="shared" si="8"/>
        <v/>
      </c>
      <c r="C256" s="232"/>
      <c r="D256" s="233" t="str">
        <f t="shared" si="4"/>
        <v/>
      </c>
      <c r="E256" s="238" t="str">
        <f t="shared" si="5"/>
        <v/>
      </c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</row>
    <row r="257" ht="22.5" customHeight="1">
      <c r="A257" s="230"/>
      <c r="B257" s="231" t="str">
        <f t="shared" si="8"/>
        <v/>
      </c>
      <c r="C257" s="232"/>
      <c r="D257" s="233" t="str">
        <f t="shared" si="4"/>
        <v/>
      </c>
      <c r="E257" s="238" t="str">
        <f t="shared" si="5"/>
        <v/>
      </c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</row>
    <row r="258" ht="22.5" customHeight="1">
      <c r="A258" s="230"/>
      <c r="B258" s="231" t="str">
        <f t="shared" si="8"/>
        <v/>
      </c>
      <c r="C258" s="232"/>
      <c r="D258" s="233" t="str">
        <f t="shared" si="4"/>
        <v/>
      </c>
      <c r="E258" s="238" t="str">
        <f t="shared" si="5"/>
        <v/>
      </c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</row>
    <row r="259" ht="22.5" customHeight="1">
      <c r="A259" s="230"/>
      <c r="B259" s="231" t="str">
        <f t="shared" si="8"/>
        <v/>
      </c>
      <c r="C259" s="232"/>
      <c r="D259" s="233" t="str">
        <f t="shared" si="4"/>
        <v/>
      </c>
      <c r="E259" s="238" t="str">
        <f t="shared" si="5"/>
        <v/>
      </c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</row>
    <row r="260" ht="22.5" customHeight="1">
      <c r="A260" s="230"/>
      <c r="B260" s="231" t="str">
        <f t="shared" si="8"/>
        <v/>
      </c>
      <c r="C260" s="232"/>
      <c r="D260" s="233" t="str">
        <f t="shared" si="4"/>
        <v/>
      </c>
      <c r="E260" s="238" t="str">
        <f t="shared" si="5"/>
        <v/>
      </c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</row>
    <row r="261" ht="22.5" customHeight="1">
      <c r="A261" s="230"/>
      <c r="B261" s="231" t="str">
        <f t="shared" si="8"/>
        <v/>
      </c>
      <c r="C261" s="232"/>
      <c r="D261" s="233" t="str">
        <f t="shared" si="4"/>
        <v/>
      </c>
      <c r="E261" s="238" t="str">
        <f t="shared" si="5"/>
        <v/>
      </c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</row>
    <row r="262" ht="22.5" customHeight="1">
      <c r="A262" s="230"/>
      <c r="B262" s="231" t="str">
        <f t="shared" si="8"/>
        <v/>
      </c>
      <c r="C262" s="232"/>
      <c r="D262" s="233" t="str">
        <f t="shared" si="4"/>
        <v/>
      </c>
      <c r="E262" s="238" t="str">
        <f t="shared" si="5"/>
        <v/>
      </c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</row>
    <row r="263" ht="22.5" customHeight="1">
      <c r="A263" s="230"/>
      <c r="B263" s="231" t="str">
        <f t="shared" si="8"/>
        <v/>
      </c>
      <c r="C263" s="232"/>
      <c r="D263" s="233" t="str">
        <f t="shared" si="4"/>
        <v/>
      </c>
      <c r="E263" s="238" t="str">
        <f t="shared" si="5"/>
        <v/>
      </c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</row>
    <row r="264" ht="22.5" customHeight="1">
      <c r="A264" s="230"/>
      <c r="B264" s="231" t="str">
        <f t="shared" si="8"/>
        <v/>
      </c>
      <c r="C264" s="232"/>
      <c r="D264" s="233" t="str">
        <f t="shared" si="4"/>
        <v/>
      </c>
      <c r="E264" s="238" t="str">
        <f t="shared" si="5"/>
        <v/>
      </c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</row>
    <row r="265" ht="22.5" customHeight="1">
      <c r="A265" s="230"/>
      <c r="B265" s="231" t="str">
        <f t="shared" si="8"/>
        <v/>
      </c>
      <c r="C265" s="232"/>
      <c r="D265" s="233" t="str">
        <f t="shared" si="4"/>
        <v/>
      </c>
      <c r="E265" s="238" t="str">
        <f t="shared" si="5"/>
        <v/>
      </c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</row>
    <row r="266" ht="22.5" customHeight="1">
      <c r="A266" s="230"/>
      <c r="B266" s="231" t="str">
        <f t="shared" si="8"/>
        <v/>
      </c>
      <c r="C266" s="232"/>
      <c r="D266" s="233" t="str">
        <f t="shared" si="4"/>
        <v/>
      </c>
      <c r="E266" s="238" t="str">
        <f t="shared" si="5"/>
        <v/>
      </c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</row>
    <row r="267" ht="22.5" customHeight="1">
      <c r="A267" s="230"/>
      <c r="B267" s="231" t="str">
        <f t="shared" si="8"/>
        <v/>
      </c>
      <c r="C267" s="232"/>
      <c r="D267" s="233" t="str">
        <f t="shared" si="4"/>
        <v/>
      </c>
      <c r="E267" s="238" t="str">
        <f t="shared" si="5"/>
        <v/>
      </c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</row>
    <row r="268" ht="22.5" customHeight="1">
      <c r="A268" s="230"/>
      <c r="B268" s="231" t="str">
        <f t="shared" si="8"/>
        <v/>
      </c>
      <c r="C268" s="232"/>
      <c r="D268" s="233" t="str">
        <f t="shared" si="4"/>
        <v/>
      </c>
      <c r="E268" s="238" t="str">
        <f t="shared" si="5"/>
        <v/>
      </c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</row>
    <row r="269" ht="22.5" customHeight="1">
      <c r="A269" s="230"/>
      <c r="B269" s="231" t="str">
        <f t="shared" si="8"/>
        <v/>
      </c>
      <c r="C269" s="232"/>
      <c r="D269" s="233" t="str">
        <f t="shared" si="4"/>
        <v/>
      </c>
      <c r="E269" s="238" t="str">
        <f t="shared" si="5"/>
        <v/>
      </c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</row>
    <row r="270" ht="22.5" customHeight="1">
      <c r="A270" s="230"/>
      <c r="B270" s="231" t="str">
        <f t="shared" si="8"/>
        <v/>
      </c>
      <c r="C270" s="232"/>
      <c r="D270" s="233" t="str">
        <f t="shared" si="4"/>
        <v/>
      </c>
      <c r="E270" s="238" t="str">
        <f t="shared" si="5"/>
        <v/>
      </c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</row>
    <row r="271" ht="22.5" customHeight="1">
      <c r="A271" s="230"/>
      <c r="B271" s="231" t="str">
        <f t="shared" si="8"/>
        <v/>
      </c>
      <c r="C271" s="232"/>
      <c r="D271" s="233" t="str">
        <f t="shared" si="4"/>
        <v/>
      </c>
      <c r="E271" s="238" t="str">
        <f t="shared" si="5"/>
        <v/>
      </c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</row>
    <row r="272" ht="22.5" customHeight="1">
      <c r="A272" s="230"/>
      <c r="B272" s="231" t="str">
        <f t="shared" si="8"/>
        <v/>
      </c>
      <c r="C272" s="232"/>
      <c r="D272" s="233" t="str">
        <f t="shared" si="4"/>
        <v/>
      </c>
      <c r="E272" s="238" t="str">
        <f t="shared" si="5"/>
        <v/>
      </c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</row>
    <row r="273" ht="22.5" customHeight="1">
      <c r="A273" s="230"/>
      <c r="B273" s="231" t="str">
        <f t="shared" si="8"/>
        <v/>
      </c>
      <c r="C273" s="232"/>
      <c r="D273" s="233" t="str">
        <f t="shared" si="4"/>
        <v/>
      </c>
      <c r="E273" s="238" t="str">
        <f t="shared" si="5"/>
        <v/>
      </c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</row>
    <row r="274" ht="22.5" customHeight="1">
      <c r="A274" s="230"/>
      <c r="B274" s="231" t="str">
        <f t="shared" si="8"/>
        <v/>
      </c>
      <c r="C274" s="232"/>
      <c r="D274" s="233" t="str">
        <f t="shared" si="4"/>
        <v/>
      </c>
      <c r="E274" s="238" t="str">
        <f t="shared" si="5"/>
        <v/>
      </c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</row>
    <row r="275" ht="22.5" customHeight="1">
      <c r="A275" s="230"/>
      <c r="B275" s="231" t="str">
        <f t="shared" si="8"/>
        <v/>
      </c>
      <c r="C275" s="232"/>
      <c r="D275" s="233" t="str">
        <f t="shared" si="4"/>
        <v/>
      </c>
      <c r="E275" s="238" t="str">
        <f t="shared" si="5"/>
        <v/>
      </c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</row>
    <row r="276" ht="22.5" customHeight="1">
      <c r="A276" s="230"/>
      <c r="B276" s="231" t="str">
        <f t="shared" si="8"/>
        <v/>
      </c>
      <c r="C276" s="232"/>
      <c r="D276" s="233" t="str">
        <f t="shared" si="4"/>
        <v/>
      </c>
      <c r="E276" s="238" t="str">
        <f t="shared" si="5"/>
        <v/>
      </c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</row>
    <row r="277" ht="22.5" customHeight="1">
      <c r="A277" s="230"/>
      <c r="B277" s="231" t="str">
        <f t="shared" si="8"/>
        <v/>
      </c>
      <c r="C277" s="232"/>
      <c r="D277" s="233" t="str">
        <f t="shared" si="4"/>
        <v/>
      </c>
      <c r="E277" s="238" t="str">
        <f t="shared" si="5"/>
        <v/>
      </c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</row>
    <row r="278" ht="22.5" customHeight="1">
      <c r="A278" s="230"/>
      <c r="B278" s="231" t="str">
        <f t="shared" si="8"/>
        <v/>
      </c>
      <c r="C278" s="232"/>
      <c r="D278" s="233" t="str">
        <f t="shared" si="4"/>
        <v/>
      </c>
      <c r="E278" s="238" t="str">
        <f t="shared" si="5"/>
        <v/>
      </c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</row>
    <row r="279" ht="22.5" customHeight="1">
      <c r="A279" s="230"/>
      <c r="B279" s="231" t="str">
        <f t="shared" si="8"/>
        <v/>
      </c>
      <c r="C279" s="232"/>
      <c r="D279" s="233" t="str">
        <f t="shared" si="4"/>
        <v/>
      </c>
      <c r="E279" s="238" t="str">
        <f t="shared" si="5"/>
        <v/>
      </c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</row>
    <row r="280" ht="22.5" customHeight="1">
      <c r="A280" s="230"/>
      <c r="B280" s="231" t="str">
        <f t="shared" si="8"/>
        <v/>
      </c>
      <c r="C280" s="232"/>
      <c r="D280" s="233" t="str">
        <f t="shared" si="4"/>
        <v/>
      </c>
      <c r="E280" s="238" t="str">
        <f t="shared" si="5"/>
        <v/>
      </c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</row>
    <row r="281" ht="22.5" customHeight="1">
      <c r="A281" s="230"/>
      <c r="B281" s="231" t="str">
        <f t="shared" si="8"/>
        <v/>
      </c>
      <c r="C281" s="232"/>
      <c r="D281" s="233" t="str">
        <f t="shared" si="4"/>
        <v/>
      </c>
      <c r="E281" s="238" t="str">
        <f t="shared" si="5"/>
        <v/>
      </c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</row>
    <row r="282" ht="22.5" customHeight="1">
      <c r="A282" s="230"/>
      <c r="B282" s="231" t="str">
        <f t="shared" si="8"/>
        <v/>
      </c>
      <c r="C282" s="232"/>
      <c r="D282" s="233" t="str">
        <f t="shared" si="4"/>
        <v/>
      </c>
      <c r="E282" s="238" t="str">
        <f t="shared" si="5"/>
        <v/>
      </c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</row>
    <row r="283" ht="22.5" customHeight="1">
      <c r="A283" s="230"/>
      <c r="B283" s="231" t="str">
        <f t="shared" si="8"/>
        <v/>
      </c>
      <c r="C283" s="232"/>
      <c r="D283" s="233" t="str">
        <f t="shared" si="4"/>
        <v/>
      </c>
      <c r="E283" s="238" t="str">
        <f t="shared" si="5"/>
        <v/>
      </c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</row>
    <row r="284" ht="22.5" customHeight="1">
      <c r="A284" s="230"/>
      <c r="B284" s="231" t="str">
        <f t="shared" si="8"/>
        <v/>
      </c>
      <c r="C284" s="232"/>
      <c r="D284" s="233" t="str">
        <f t="shared" si="4"/>
        <v/>
      </c>
      <c r="E284" s="238" t="str">
        <f t="shared" si="5"/>
        <v/>
      </c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</row>
    <row r="285" ht="22.5" customHeight="1">
      <c r="A285" s="230"/>
      <c r="B285" s="231" t="str">
        <f t="shared" si="8"/>
        <v/>
      </c>
      <c r="C285" s="232"/>
      <c r="D285" s="233" t="str">
        <f t="shared" si="4"/>
        <v/>
      </c>
      <c r="E285" s="238" t="str">
        <f t="shared" si="5"/>
        <v/>
      </c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</row>
    <row r="286" ht="22.5" customHeight="1">
      <c r="A286" s="230"/>
      <c r="B286" s="231" t="str">
        <f t="shared" si="8"/>
        <v/>
      </c>
      <c r="C286" s="232"/>
      <c r="D286" s="233" t="str">
        <f t="shared" si="4"/>
        <v/>
      </c>
      <c r="E286" s="238" t="str">
        <f t="shared" si="5"/>
        <v/>
      </c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</row>
    <row r="287" ht="22.5" customHeight="1">
      <c r="A287" s="230"/>
      <c r="B287" s="231" t="str">
        <f t="shared" si="8"/>
        <v/>
      </c>
      <c r="C287" s="232"/>
      <c r="D287" s="233" t="str">
        <f t="shared" si="4"/>
        <v/>
      </c>
      <c r="E287" s="238" t="str">
        <f t="shared" si="5"/>
        <v/>
      </c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</row>
    <row r="288" ht="22.5" customHeight="1">
      <c r="A288" s="230"/>
      <c r="B288" s="231" t="str">
        <f t="shared" si="8"/>
        <v/>
      </c>
      <c r="C288" s="232"/>
      <c r="D288" s="233" t="str">
        <f t="shared" si="4"/>
        <v/>
      </c>
      <c r="E288" s="238" t="str">
        <f t="shared" si="5"/>
        <v/>
      </c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</row>
    <row r="289" ht="22.5" customHeight="1">
      <c r="A289" s="230"/>
      <c r="B289" s="231" t="str">
        <f t="shared" si="8"/>
        <v/>
      </c>
      <c r="C289" s="232"/>
      <c r="D289" s="233" t="str">
        <f t="shared" si="4"/>
        <v/>
      </c>
      <c r="E289" s="238" t="str">
        <f t="shared" si="5"/>
        <v/>
      </c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</row>
    <row r="290" ht="22.5" customHeight="1">
      <c r="A290" s="230"/>
      <c r="B290" s="231" t="str">
        <f t="shared" si="8"/>
        <v/>
      </c>
      <c r="C290" s="232"/>
      <c r="D290" s="233" t="str">
        <f t="shared" si="4"/>
        <v/>
      </c>
      <c r="E290" s="238" t="str">
        <f t="shared" si="5"/>
        <v/>
      </c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</row>
    <row r="291" ht="22.5" customHeight="1">
      <c r="A291" s="230"/>
      <c r="B291" s="231" t="str">
        <f t="shared" si="8"/>
        <v/>
      </c>
      <c r="C291" s="232"/>
      <c r="D291" s="233" t="str">
        <f t="shared" si="4"/>
        <v/>
      </c>
      <c r="E291" s="238" t="str">
        <f t="shared" si="5"/>
        <v/>
      </c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</row>
    <row r="292" ht="22.5" customHeight="1">
      <c r="A292" s="230"/>
      <c r="B292" s="231" t="str">
        <f t="shared" si="8"/>
        <v/>
      </c>
      <c r="C292" s="232"/>
      <c r="D292" s="233" t="str">
        <f t="shared" si="4"/>
        <v/>
      </c>
      <c r="E292" s="238" t="str">
        <f t="shared" si="5"/>
        <v/>
      </c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</row>
    <row r="293" ht="22.5" customHeight="1">
      <c r="A293" s="230"/>
      <c r="B293" s="231" t="str">
        <f t="shared" si="8"/>
        <v/>
      </c>
      <c r="C293" s="232"/>
      <c r="D293" s="233" t="str">
        <f t="shared" si="4"/>
        <v/>
      </c>
      <c r="E293" s="238" t="str">
        <f t="shared" si="5"/>
        <v/>
      </c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</row>
    <row r="294" ht="22.5" customHeight="1">
      <c r="A294" s="230"/>
      <c r="B294" s="231" t="str">
        <f t="shared" si="8"/>
        <v/>
      </c>
      <c r="C294" s="232"/>
      <c r="D294" s="233" t="str">
        <f t="shared" si="4"/>
        <v/>
      </c>
      <c r="E294" s="238" t="str">
        <f t="shared" si="5"/>
        <v/>
      </c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</row>
    <row r="295" ht="22.5" customHeight="1">
      <c r="A295" s="230"/>
      <c r="B295" s="231" t="str">
        <f t="shared" si="8"/>
        <v/>
      </c>
      <c r="C295" s="232"/>
      <c r="D295" s="233" t="str">
        <f t="shared" si="4"/>
        <v/>
      </c>
      <c r="E295" s="238" t="str">
        <f t="shared" si="5"/>
        <v/>
      </c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</row>
    <row r="296" ht="22.5" customHeight="1">
      <c r="A296" s="230"/>
      <c r="B296" s="231" t="str">
        <f t="shared" si="8"/>
        <v/>
      </c>
      <c r="C296" s="232"/>
      <c r="D296" s="233" t="str">
        <f t="shared" si="4"/>
        <v/>
      </c>
      <c r="E296" s="238" t="str">
        <f t="shared" si="5"/>
        <v/>
      </c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</row>
    <row r="297" ht="22.5" customHeight="1">
      <c r="A297" s="230"/>
      <c r="B297" s="231" t="str">
        <f t="shared" si="8"/>
        <v/>
      </c>
      <c r="C297" s="232"/>
      <c r="D297" s="233" t="str">
        <f t="shared" si="4"/>
        <v/>
      </c>
      <c r="E297" s="238" t="str">
        <f t="shared" si="5"/>
        <v/>
      </c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</row>
    <row r="298" ht="22.5" customHeight="1">
      <c r="A298" s="230"/>
      <c r="B298" s="231" t="str">
        <f t="shared" si="8"/>
        <v/>
      </c>
      <c r="C298" s="232"/>
      <c r="D298" s="233" t="str">
        <f t="shared" si="4"/>
        <v/>
      </c>
      <c r="E298" s="238" t="str">
        <f t="shared" si="5"/>
        <v/>
      </c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</row>
    <row r="299" ht="22.5" customHeight="1">
      <c r="A299" s="230"/>
      <c r="B299" s="231" t="str">
        <f t="shared" si="8"/>
        <v/>
      </c>
      <c r="C299" s="232"/>
      <c r="D299" s="233" t="str">
        <f t="shared" si="4"/>
        <v/>
      </c>
      <c r="E299" s="238" t="str">
        <f t="shared" si="5"/>
        <v/>
      </c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</row>
    <row r="300" ht="22.5" customHeight="1">
      <c r="A300" s="230"/>
      <c r="B300" s="231" t="str">
        <f t="shared" si="8"/>
        <v/>
      </c>
      <c r="C300" s="232"/>
      <c r="D300" s="233" t="str">
        <f t="shared" si="4"/>
        <v/>
      </c>
      <c r="E300" s="238" t="str">
        <f t="shared" si="5"/>
        <v/>
      </c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</row>
    <row r="301" ht="22.5" customHeight="1">
      <c r="A301" s="230"/>
      <c r="B301" s="231" t="str">
        <f t="shared" si="8"/>
        <v/>
      </c>
      <c r="C301" s="232"/>
      <c r="D301" s="233" t="str">
        <f t="shared" si="4"/>
        <v/>
      </c>
      <c r="E301" s="238" t="str">
        <f t="shared" si="5"/>
        <v/>
      </c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</row>
    <row r="302" ht="22.5" customHeight="1">
      <c r="A302" s="230"/>
      <c r="B302" s="231" t="str">
        <f t="shared" si="8"/>
        <v/>
      </c>
      <c r="C302" s="232"/>
      <c r="D302" s="233" t="str">
        <f t="shared" si="4"/>
        <v/>
      </c>
      <c r="E302" s="238" t="str">
        <f t="shared" si="5"/>
        <v/>
      </c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</row>
    <row r="303" ht="22.5" customHeight="1">
      <c r="A303" s="230"/>
      <c r="B303" s="231" t="str">
        <f t="shared" si="8"/>
        <v/>
      </c>
      <c r="C303" s="232"/>
      <c r="D303" s="233" t="str">
        <f t="shared" si="4"/>
        <v/>
      </c>
      <c r="E303" s="238" t="str">
        <f t="shared" si="5"/>
        <v/>
      </c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</row>
    <row r="304" ht="22.5" customHeight="1">
      <c r="A304" s="230"/>
      <c r="B304" s="231" t="str">
        <f t="shared" si="8"/>
        <v/>
      </c>
      <c r="C304" s="232"/>
      <c r="D304" s="233" t="str">
        <f t="shared" si="4"/>
        <v/>
      </c>
      <c r="E304" s="238" t="str">
        <f t="shared" si="5"/>
        <v/>
      </c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</row>
    <row r="305" ht="22.5" customHeight="1">
      <c r="A305" s="230"/>
      <c r="B305" s="231" t="str">
        <f t="shared" si="8"/>
        <v/>
      </c>
      <c r="C305" s="232"/>
      <c r="D305" s="233" t="str">
        <f t="shared" si="4"/>
        <v/>
      </c>
      <c r="E305" s="238" t="str">
        <f t="shared" si="5"/>
        <v/>
      </c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</row>
    <row r="306" ht="22.5" customHeight="1">
      <c r="A306" s="230"/>
      <c r="B306" s="231" t="str">
        <f t="shared" si="8"/>
        <v/>
      </c>
      <c r="C306" s="232"/>
      <c r="D306" s="233" t="str">
        <f t="shared" si="4"/>
        <v/>
      </c>
      <c r="E306" s="238" t="str">
        <f t="shared" si="5"/>
        <v/>
      </c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</row>
    <row r="307" ht="22.5" customHeight="1">
      <c r="A307" s="230"/>
      <c r="B307" s="231" t="str">
        <f t="shared" si="8"/>
        <v/>
      </c>
      <c r="C307" s="232"/>
      <c r="D307" s="233" t="str">
        <f t="shared" si="4"/>
        <v/>
      </c>
      <c r="E307" s="238" t="str">
        <f t="shared" si="5"/>
        <v/>
      </c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</row>
    <row r="308" ht="22.5" customHeight="1">
      <c r="A308" s="230"/>
      <c r="B308" s="231" t="str">
        <f t="shared" si="8"/>
        <v/>
      </c>
      <c r="C308" s="232"/>
      <c r="D308" s="233" t="str">
        <f t="shared" si="4"/>
        <v/>
      </c>
      <c r="E308" s="238" t="str">
        <f t="shared" si="5"/>
        <v/>
      </c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</row>
    <row r="309" ht="22.5" customHeight="1">
      <c r="A309" s="230"/>
      <c r="B309" s="231" t="str">
        <f t="shared" si="8"/>
        <v/>
      </c>
      <c r="C309" s="232"/>
      <c r="D309" s="233" t="str">
        <f t="shared" si="4"/>
        <v/>
      </c>
      <c r="E309" s="238" t="str">
        <f t="shared" si="5"/>
        <v/>
      </c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</row>
    <row r="310" ht="22.5" customHeight="1">
      <c r="A310" s="230"/>
      <c r="B310" s="231" t="str">
        <f t="shared" si="8"/>
        <v/>
      </c>
      <c r="C310" s="232"/>
      <c r="D310" s="233" t="str">
        <f t="shared" si="4"/>
        <v/>
      </c>
      <c r="E310" s="238" t="str">
        <f t="shared" si="5"/>
        <v/>
      </c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</row>
    <row r="311" ht="22.5" customHeight="1">
      <c r="A311" s="230"/>
      <c r="B311" s="231" t="str">
        <f t="shared" si="8"/>
        <v/>
      </c>
      <c r="C311" s="232"/>
      <c r="D311" s="233" t="str">
        <f t="shared" si="4"/>
        <v/>
      </c>
      <c r="E311" s="238" t="str">
        <f t="shared" si="5"/>
        <v/>
      </c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</row>
    <row r="312" ht="22.5" customHeight="1">
      <c r="A312" s="230"/>
      <c r="B312" s="231" t="str">
        <f t="shared" si="8"/>
        <v/>
      </c>
      <c r="C312" s="232"/>
      <c r="D312" s="233" t="str">
        <f t="shared" si="4"/>
        <v/>
      </c>
      <c r="E312" s="238" t="str">
        <f t="shared" si="5"/>
        <v/>
      </c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</row>
    <row r="313" ht="22.5" customHeight="1">
      <c r="A313" s="230"/>
      <c r="B313" s="231" t="str">
        <f t="shared" si="8"/>
        <v/>
      </c>
      <c r="C313" s="232"/>
      <c r="D313" s="233" t="str">
        <f t="shared" si="4"/>
        <v/>
      </c>
      <c r="E313" s="238" t="str">
        <f t="shared" si="5"/>
        <v/>
      </c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</row>
    <row r="314" ht="22.5" customHeight="1">
      <c r="A314" s="230"/>
      <c r="B314" s="231" t="str">
        <f t="shared" si="8"/>
        <v/>
      </c>
      <c r="C314" s="232"/>
      <c r="D314" s="233" t="str">
        <f t="shared" si="4"/>
        <v/>
      </c>
      <c r="E314" s="238" t="str">
        <f t="shared" si="5"/>
        <v/>
      </c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</row>
    <row r="315" ht="22.5" customHeight="1">
      <c r="A315" s="230"/>
      <c r="B315" s="231" t="str">
        <f t="shared" si="8"/>
        <v/>
      </c>
      <c r="C315" s="232"/>
      <c r="D315" s="233" t="str">
        <f t="shared" si="4"/>
        <v/>
      </c>
      <c r="E315" s="238" t="str">
        <f t="shared" si="5"/>
        <v/>
      </c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</row>
    <row r="316" ht="22.5" customHeight="1">
      <c r="A316" s="230"/>
      <c r="B316" s="231" t="str">
        <f t="shared" si="8"/>
        <v/>
      </c>
      <c r="C316" s="232"/>
      <c r="D316" s="233" t="str">
        <f t="shared" si="4"/>
        <v/>
      </c>
      <c r="E316" s="238" t="str">
        <f t="shared" si="5"/>
        <v/>
      </c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</row>
    <row r="317" ht="22.5" customHeight="1">
      <c r="A317" s="230"/>
      <c r="B317" s="231" t="str">
        <f t="shared" si="8"/>
        <v/>
      </c>
      <c r="C317" s="232"/>
      <c r="D317" s="233" t="str">
        <f t="shared" si="4"/>
        <v/>
      </c>
      <c r="E317" s="238" t="str">
        <f t="shared" si="5"/>
        <v/>
      </c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</row>
    <row r="318" ht="22.5" customHeight="1">
      <c r="A318" s="230"/>
      <c r="B318" s="231" t="str">
        <f t="shared" si="8"/>
        <v/>
      </c>
      <c r="C318" s="232"/>
      <c r="D318" s="233" t="str">
        <f t="shared" si="4"/>
        <v/>
      </c>
      <c r="E318" s="238" t="str">
        <f t="shared" si="5"/>
        <v/>
      </c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</row>
    <row r="319" ht="22.5" customHeight="1">
      <c r="A319" s="230"/>
      <c r="B319" s="231" t="str">
        <f t="shared" si="8"/>
        <v/>
      </c>
      <c r="C319" s="232"/>
      <c r="D319" s="233" t="str">
        <f t="shared" si="4"/>
        <v/>
      </c>
      <c r="E319" s="238" t="str">
        <f t="shared" si="5"/>
        <v/>
      </c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</row>
    <row r="320" ht="22.5" customHeight="1">
      <c r="A320" s="230"/>
      <c r="B320" s="231" t="str">
        <f t="shared" si="8"/>
        <v/>
      </c>
      <c r="C320" s="232"/>
      <c r="D320" s="233" t="str">
        <f t="shared" si="4"/>
        <v/>
      </c>
      <c r="E320" s="238" t="str">
        <f t="shared" si="5"/>
        <v/>
      </c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</row>
    <row r="321" ht="22.5" customHeight="1">
      <c r="A321" s="230"/>
      <c r="B321" s="231" t="str">
        <f t="shared" si="8"/>
        <v/>
      </c>
      <c r="C321" s="232"/>
      <c r="D321" s="233" t="str">
        <f t="shared" si="4"/>
        <v/>
      </c>
      <c r="E321" s="238" t="str">
        <f t="shared" si="5"/>
        <v/>
      </c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</row>
    <row r="322" ht="22.5" customHeight="1">
      <c r="A322" s="230"/>
      <c r="B322" s="231" t="str">
        <f t="shared" si="8"/>
        <v/>
      </c>
      <c r="C322" s="232"/>
      <c r="D322" s="233" t="str">
        <f t="shared" si="4"/>
        <v/>
      </c>
      <c r="E322" s="238" t="str">
        <f t="shared" si="5"/>
        <v/>
      </c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</row>
    <row r="323" ht="22.5" customHeight="1">
      <c r="A323" s="230"/>
      <c r="B323" s="231" t="str">
        <f t="shared" si="8"/>
        <v/>
      </c>
      <c r="C323" s="232"/>
      <c r="D323" s="233" t="str">
        <f t="shared" si="4"/>
        <v/>
      </c>
      <c r="E323" s="238" t="str">
        <f t="shared" si="5"/>
        <v/>
      </c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</row>
    <row r="324" ht="22.5" customHeight="1">
      <c r="A324" s="230"/>
      <c r="B324" s="231" t="str">
        <f t="shared" si="8"/>
        <v/>
      </c>
      <c r="C324" s="232"/>
      <c r="D324" s="233" t="str">
        <f t="shared" si="4"/>
        <v/>
      </c>
      <c r="E324" s="238" t="str">
        <f t="shared" si="5"/>
        <v/>
      </c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</row>
    <row r="325" ht="22.5" customHeight="1">
      <c r="A325" s="230"/>
      <c r="B325" s="231" t="str">
        <f t="shared" si="8"/>
        <v/>
      </c>
      <c r="C325" s="232"/>
      <c r="D325" s="233" t="str">
        <f t="shared" si="4"/>
        <v/>
      </c>
      <c r="E325" s="238" t="str">
        <f t="shared" si="5"/>
        <v/>
      </c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</row>
    <row r="326" ht="22.5" customHeight="1">
      <c r="A326" s="230"/>
      <c r="B326" s="231" t="str">
        <f t="shared" si="8"/>
        <v/>
      </c>
      <c r="C326" s="232"/>
      <c r="D326" s="233" t="str">
        <f t="shared" si="4"/>
        <v/>
      </c>
      <c r="E326" s="238" t="str">
        <f t="shared" si="5"/>
        <v/>
      </c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</row>
    <row r="327" ht="22.5" customHeight="1">
      <c r="A327" s="230"/>
      <c r="B327" s="231" t="str">
        <f t="shared" si="8"/>
        <v/>
      </c>
      <c r="C327" s="232"/>
      <c r="D327" s="233" t="str">
        <f t="shared" si="4"/>
        <v/>
      </c>
      <c r="E327" s="238" t="str">
        <f t="shared" si="5"/>
        <v/>
      </c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</row>
    <row r="328" ht="22.5" customHeight="1">
      <c r="A328" s="230"/>
      <c r="B328" s="231" t="str">
        <f t="shared" si="8"/>
        <v/>
      </c>
      <c r="C328" s="232"/>
      <c r="D328" s="233" t="str">
        <f t="shared" si="4"/>
        <v/>
      </c>
      <c r="E328" s="238" t="str">
        <f t="shared" si="5"/>
        <v/>
      </c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</row>
    <row r="329" ht="22.5" customHeight="1">
      <c r="A329" s="230"/>
      <c r="B329" s="231" t="str">
        <f t="shared" si="8"/>
        <v/>
      </c>
      <c r="C329" s="232"/>
      <c r="D329" s="233" t="str">
        <f t="shared" si="4"/>
        <v/>
      </c>
      <c r="E329" s="238" t="str">
        <f t="shared" si="5"/>
        <v/>
      </c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</row>
    <row r="330" ht="22.5" customHeight="1">
      <c r="A330" s="230"/>
      <c r="B330" s="231" t="str">
        <f t="shared" si="8"/>
        <v/>
      </c>
      <c r="C330" s="232"/>
      <c r="D330" s="233" t="str">
        <f t="shared" si="4"/>
        <v/>
      </c>
      <c r="E330" s="238" t="str">
        <f t="shared" si="5"/>
        <v/>
      </c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</row>
    <row r="331" ht="22.5" customHeight="1">
      <c r="A331" s="230"/>
      <c r="B331" s="231" t="str">
        <f t="shared" si="8"/>
        <v/>
      </c>
      <c r="C331" s="232"/>
      <c r="D331" s="233" t="str">
        <f t="shared" si="4"/>
        <v/>
      </c>
      <c r="E331" s="238" t="str">
        <f t="shared" si="5"/>
        <v/>
      </c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</row>
    <row r="332" ht="22.5" customHeight="1">
      <c r="A332" s="230"/>
      <c r="B332" s="231" t="str">
        <f t="shared" si="8"/>
        <v/>
      </c>
      <c r="C332" s="232"/>
      <c r="D332" s="233" t="str">
        <f t="shared" si="4"/>
        <v/>
      </c>
      <c r="E332" s="238" t="str">
        <f t="shared" si="5"/>
        <v/>
      </c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</row>
    <row r="333" ht="22.5" customHeight="1">
      <c r="A333" s="230"/>
      <c r="B333" s="231" t="str">
        <f t="shared" si="8"/>
        <v/>
      </c>
      <c r="C333" s="232"/>
      <c r="D333" s="233" t="str">
        <f t="shared" si="4"/>
        <v/>
      </c>
      <c r="E333" s="238" t="str">
        <f t="shared" si="5"/>
        <v/>
      </c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</row>
    <row r="334" ht="22.5" customHeight="1">
      <c r="A334" s="230"/>
      <c r="B334" s="231" t="str">
        <f t="shared" si="8"/>
        <v/>
      </c>
      <c r="C334" s="232"/>
      <c r="D334" s="233" t="str">
        <f t="shared" si="4"/>
        <v/>
      </c>
      <c r="E334" s="238" t="str">
        <f t="shared" si="5"/>
        <v/>
      </c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</row>
    <row r="335" ht="22.5" customHeight="1">
      <c r="A335" s="230"/>
      <c r="B335" s="231" t="str">
        <f t="shared" si="8"/>
        <v/>
      </c>
      <c r="C335" s="232"/>
      <c r="D335" s="233" t="str">
        <f t="shared" si="4"/>
        <v/>
      </c>
      <c r="E335" s="238" t="str">
        <f t="shared" si="5"/>
        <v/>
      </c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</row>
    <row r="336" ht="22.5" customHeight="1">
      <c r="A336" s="230"/>
      <c r="B336" s="231" t="str">
        <f t="shared" si="8"/>
        <v/>
      </c>
      <c r="C336" s="232"/>
      <c r="D336" s="233" t="str">
        <f t="shared" si="4"/>
        <v/>
      </c>
      <c r="E336" s="238" t="str">
        <f t="shared" si="5"/>
        <v/>
      </c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</row>
    <row r="337" ht="22.5" customHeight="1">
      <c r="A337" s="230"/>
      <c r="B337" s="231" t="str">
        <f t="shared" si="8"/>
        <v/>
      </c>
      <c r="C337" s="232"/>
      <c r="D337" s="233" t="str">
        <f t="shared" si="4"/>
        <v/>
      </c>
      <c r="E337" s="238" t="str">
        <f t="shared" si="5"/>
        <v/>
      </c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</row>
    <row r="338" ht="22.5" customHeight="1">
      <c r="A338" s="230"/>
      <c r="B338" s="231" t="str">
        <f t="shared" si="8"/>
        <v/>
      </c>
      <c r="C338" s="232"/>
      <c r="D338" s="233" t="str">
        <f t="shared" si="4"/>
        <v/>
      </c>
      <c r="E338" s="238" t="str">
        <f t="shared" si="5"/>
        <v/>
      </c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</row>
    <row r="339" ht="22.5" customHeight="1">
      <c r="A339" s="230"/>
      <c r="B339" s="231" t="str">
        <f t="shared" si="8"/>
        <v/>
      </c>
      <c r="C339" s="232"/>
      <c r="D339" s="233" t="str">
        <f t="shared" si="4"/>
        <v/>
      </c>
      <c r="E339" s="238" t="str">
        <f t="shared" si="5"/>
        <v/>
      </c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</row>
    <row r="340" ht="22.5" customHeight="1">
      <c r="A340" s="230"/>
      <c r="B340" s="231" t="str">
        <f t="shared" si="8"/>
        <v/>
      </c>
      <c r="C340" s="232"/>
      <c r="D340" s="233" t="str">
        <f t="shared" si="4"/>
        <v/>
      </c>
      <c r="E340" s="238" t="str">
        <f t="shared" si="5"/>
        <v/>
      </c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</row>
    <row r="341" ht="22.5" customHeight="1">
      <c r="A341" s="230"/>
      <c r="B341" s="231" t="str">
        <f t="shared" si="8"/>
        <v/>
      </c>
      <c r="C341" s="232"/>
      <c r="D341" s="233" t="str">
        <f t="shared" si="4"/>
        <v/>
      </c>
      <c r="E341" s="238" t="str">
        <f t="shared" si="5"/>
        <v/>
      </c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</row>
    <row r="342" ht="22.5" customHeight="1">
      <c r="A342" s="230"/>
      <c r="B342" s="231" t="str">
        <f t="shared" si="8"/>
        <v/>
      </c>
      <c r="C342" s="232"/>
      <c r="D342" s="233" t="str">
        <f t="shared" si="4"/>
        <v/>
      </c>
      <c r="E342" s="238" t="str">
        <f t="shared" si="5"/>
        <v/>
      </c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</row>
    <row r="343" ht="22.5" customHeight="1">
      <c r="A343" s="230"/>
      <c r="B343" s="231" t="str">
        <f t="shared" si="8"/>
        <v/>
      </c>
      <c r="C343" s="232"/>
      <c r="D343" s="233" t="str">
        <f t="shared" si="4"/>
        <v/>
      </c>
      <c r="E343" s="238" t="str">
        <f t="shared" si="5"/>
        <v/>
      </c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</row>
    <row r="344" ht="22.5" customHeight="1">
      <c r="A344" s="230"/>
      <c r="B344" s="231" t="str">
        <f t="shared" si="8"/>
        <v/>
      </c>
      <c r="C344" s="232"/>
      <c r="D344" s="233" t="str">
        <f t="shared" si="4"/>
        <v/>
      </c>
      <c r="E344" s="238" t="str">
        <f t="shared" si="5"/>
        <v/>
      </c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</row>
    <row r="345" ht="22.5" customHeight="1">
      <c r="A345" s="230"/>
      <c r="B345" s="231" t="str">
        <f t="shared" si="8"/>
        <v/>
      </c>
      <c r="C345" s="232"/>
      <c r="D345" s="233" t="str">
        <f t="shared" si="4"/>
        <v/>
      </c>
      <c r="E345" s="238" t="str">
        <f t="shared" si="5"/>
        <v/>
      </c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</row>
    <row r="346" ht="22.5" customHeight="1">
      <c r="A346" s="230"/>
      <c r="B346" s="231" t="str">
        <f t="shared" si="8"/>
        <v/>
      </c>
      <c r="C346" s="232"/>
      <c r="D346" s="233" t="str">
        <f t="shared" si="4"/>
        <v/>
      </c>
      <c r="E346" s="238" t="str">
        <f t="shared" si="5"/>
        <v/>
      </c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</row>
    <row r="347" ht="22.5" customHeight="1">
      <c r="A347" s="230"/>
      <c r="B347" s="231" t="str">
        <f t="shared" si="8"/>
        <v/>
      </c>
      <c r="C347" s="232"/>
      <c r="D347" s="233" t="str">
        <f t="shared" si="4"/>
        <v/>
      </c>
      <c r="E347" s="238" t="str">
        <f t="shared" si="5"/>
        <v/>
      </c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</row>
    <row r="348" ht="22.5" customHeight="1">
      <c r="A348" s="230"/>
      <c r="B348" s="231" t="str">
        <f t="shared" si="8"/>
        <v/>
      </c>
      <c r="C348" s="232"/>
      <c r="D348" s="233" t="str">
        <f t="shared" si="4"/>
        <v/>
      </c>
      <c r="E348" s="238" t="str">
        <f t="shared" si="5"/>
        <v/>
      </c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</row>
    <row r="349" ht="22.5" customHeight="1">
      <c r="A349" s="230"/>
      <c r="B349" s="231" t="str">
        <f t="shared" si="8"/>
        <v/>
      </c>
      <c r="C349" s="232"/>
      <c r="D349" s="233" t="str">
        <f t="shared" si="4"/>
        <v/>
      </c>
      <c r="E349" s="238" t="str">
        <f t="shared" si="5"/>
        <v/>
      </c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</row>
    <row r="350" ht="22.5" customHeight="1">
      <c r="A350" s="230"/>
      <c r="B350" s="231" t="str">
        <f t="shared" si="8"/>
        <v/>
      </c>
      <c r="C350" s="232"/>
      <c r="D350" s="233" t="str">
        <f t="shared" si="4"/>
        <v/>
      </c>
      <c r="E350" s="238" t="str">
        <f t="shared" si="5"/>
        <v/>
      </c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</row>
    <row r="351" ht="22.5" customHeight="1">
      <c r="A351" s="230"/>
      <c r="B351" s="231" t="str">
        <f t="shared" si="8"/>
        <v/>
      </c>
      <c r="C351" s="232"/>
      <c r="D351" s="233" t="str">
        <f t="shared" si="4"/>
        <v/>
      </c>
      <c r="E351" s="238" t="str">
        <f t="shared" si="5"/>
        <v/>
      </c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</row>
    <row r="352" ht="22.5" customHeight="1">
      <c r="A352" s="230"/>
      <c r="B352" s="231" t="str">
        <f t="shared" si="8"/>
        <v/>
      </c>
      <c r="C352" s="232"/>
      <c r="D352" s="233" t="str">
        <f t="shared" si="4"/>
        <v/>
      </c>
      <c r="E352" s="238" t="str">
        <f t="shared" si="5"/>
        <v/>
      </c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</row>
    <row r="353" ht="22.5" customHeight="1">
      <c r="A353" s="230"/>
      <c r="B353" s="231" t="str">
        <f t="shared" si="8"/>
        <v/>
      </c>
      <c r="C353" s="232"/>
      <c r="D353" s="233" t="str">
        <f t="shared" si="4"/>
        <v/>
      </c>
      <c r="E353" s="238" t="str">
        <f t="shared" si="5"/>
        <v/>
      </c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</row>
    <row r="354" ht="22.5" customHeight="1">
      <c r="A354" s="230"/>
      <c r="B354" s="231" t="str">
        <f t="shared" si="8"/>
        <v/>
      </c>
      <c r="C354" s="232"/>
      <c r="D354" s="233" t="str">
        <f t="shared" si="4"/>
        <v/>
      </c>
      <c r="E354" s="238" t="str">
        <f t="shared" si="5"/>
        <v/>
      </c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</row>
    <row r="355" ht="22.5" customHeight="1">
      <c r="A355" s="230"/>
      <c r="B355" s="231" t="str">
        <f t="shared" si="8"/>
        <v/>
      </c>
      <c r="C355" s="232"/>
      <c r="D355" s="233" t="str">
        <f t="shared" si="4"/>
        <v/>
      </c>
      <c r="E355" s="238" t="str">
        <f t="shared" si="5"/>
        <v/>
      </c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</row>
    <row r="356" ht="22.5" customHeight="1">
      <c r="A356" s="230"/>
      <c r="B356" s="231" t="str">
        <f t="shared" si="8"/>
        <v/>
      </c>
      <c r="C356" s="232"/>
      <c r="D356" s="233" t="str">
        <f t="shared" si="4"/>
        <v/>
      </c>
      <c r="E356" s="238" t="str">
        <f t="shared" si="5"/>
        <v/>
      </c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</row>
    <row r="357" ht="22.5" customHeight="1">
      <c r="A357" s="230"/>
      <c r="B357" s="231" t="str">
        <f t="shared" si="8"/>
        <v/>
      </c>
      <c r="C357" s="232"/>
      <c r="D357" s="233" t="str">
        <f t="shared" si="4"/>
        <v/>
      </c>
      <c r="E357" s="238" t="str">
        <f t="shared" si="5"/>
        <v/>
      </c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</row>
    <row r="358" ht="22.5" customHeight="1">
      <c r="A358" s="230"/>
      <c r="B358" s="231" t="str">
        <f t="shared" si="8"/>
        <v/>
      </c>
      <c r="C358" s="232"/>
      <c r="D358" s="233" t="str">
        <f t="shared" si="4"/>
        <v/>
      </c>
      <c r="E358" s="238" t="str">
        <f t="shared" si="5"/>
        <v/>
      </c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</row>
    <row r="359" ht="22.5" customHeight="1">
      <c r="A359" s="230"/>
      <c r="B359" s="231" t="str">
        <f t="shared" si="8"/>
        <v/>
      </c>
      <c r="C359" s="232"/>
      <c r="D359" s="233" t="str">
        <f t="shared" si="4"/>
        <v/>
      </c>
      <c r="E359" s="238" t="str">
        <f t="shared" si="5"/>
        <v/>
      </c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</row>
    <row r="360" ht="22.5" customHeight="1">
      <c r="A360" s="230"/>
      <c r="B360" s="231" t="str">
        <f t="shared" si="8"/>
        <v/>
      </c>
      <c r="C360" s="232"/>
      <c r="D360" s="233" t="str">
        <f t="shared" si="4"/>
        <v/>
      </c>
      <c r="E360" s="238" t="str">
        <f t="shared" si="5"/>
        <v/>
      </c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</row>
    <row r="361" ht="22.5" customHeight="1">
      <c r="A361" s="230"/>
      <c r="B361" s="231" t="str">
        <f t="shared" si="8"/>
        <v/>
      </c>
      <c r="C361" s="232"/>
      <c r="D361" s="233" t="str">
        <f t="shared" si="4"/>
        <v/>
      </c>
      <c r="E361" s="238" t="str">
        <f t="shared" si="5"/>
        <v/>
      </c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</row>
    <row r="362" ht="22.5" customHeight="1">
      <c r="A362" s="230"/>
      <c r="B362" s="231" t="str">
        <f t="shared" si="8"/>
        <v/>
      </c>
      <c r="C362" s="232"/>
      <c r="D362" s="233" t="str">
        <f t="shared" si="4"/>
        <v/>
      </c>
      <c r="E362" s="238" t="str">
        <f t="shared" si="5"/>
        <v/>
      </c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</row>
    <row r="363" ht="22.5" customHeight="1">
      <c r="A363" s="230"/>
      <c r="B363" s="231" t="str">
        <f t="shared" si="8"/>
        <v/>
      </c>
      <c r="C363" s="232"/>
      <c r="D363" s="233" t="str">
        <f t="shared" si="4"/>
        <v/>
      </c>
      <c r="E363" s="238" t="str">
        <f t="shared" si="5"/>
        <v/>
      </c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</row>
    <row r="364" ht="22.5" customHeight="1">
      <c r="A364" s="230"/>
      <c r="B364" s="231" t="str">
        <f t="shared" si="8"/>
        <v/>
      </c>
      <c r="C364" s="232"/>
      <c r="D364" s="233" t="str">
        <f t="shared" si="4"/>
        <v/>
      </c>
      <c r="E364" s="238" t="str">
        <f t="shared" si="5"/>
        <v/>
      </c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</row>
    <row r="365" ht="22.5" customHeight="1">
      <c r="A365" s="230"/>
      <c r="B365" s="231" t="str">
        <f t="shared" si="8"/>
        <v/>
      </c>
      <c r="C365" s="232"/>
      <c r="D365" s="233" t="str">
        <f t="shared" si="4"/>
        <v/>
      </c>
      <c r="E365" s="238" t="str">
        <f t="shared" si="5"/>
        <v/>
      </c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</row>
    <row r="366" ht="22.5" customHeight="1">
      <c r="A366" s="230"/>
      <c r="B366" s="231" t="str">
        <f t="shared" si="8"/>
        <v/>
      </c>
      <c r="C366" s="232"/>
      <c r="D366" s="233" t="str">
        <f t="shared" si="4"/>
        <v/>
      </c>
      <c r="E366" s="238" t="str">
        <f t="shared" si="5"/>
        <v/>
      </c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</row>
    <row r="367" ht="22.5" customHeight="1">
      <c r="A367" s="230"/>
      <c r="B367" s="231" t="str">
        <f t="shared" si="8"/>
        <v/>
      </c>
      <c r="C367" s="232"/>
      <c r="D367" s="233" t="str">
        <f t="shared" si="4"/>
        <v/>
      </c>
      <c r="E367" s="238" t="str">
        <f t="shared" si="5"/>
        <v/>
      </c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</row>
    <row r="368" ht="22.5" customHeight="1">
      <c r="A368" s="230"/>
      <c r="B368" s="231" t="str">
        <f t="shared" si="8"/>
        <v/>
      </c>
      <c r="C368" s="232"/>
      <c r="D368" s="233" t="str">
        <f t="shared" si="4"/>
        <v/>
      </c>
      <c r="E368" s="238" t="str">
        <f t="shared" si="5"/>
        <v/>
      </c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</row>
    <row r="369" ht="22.5" customHeight="1">
      <c r="A369" s="230"/>
      <c r="B369" s="231" t="str">
        <f t="shared" si="8"/>
        <v/>
      </c>
      <c r="C369" s="232"/>
      <c r="D369" s="233" t="str">
        <f t="shared" si="4"/>
        <v/>
      </c>
      <c r="E369" s="238" t="str">
        <f t="shared" si="5"/>
        <v/>
      </c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</row>
    <row r="370" ht="22.5" customHeight="1">
      <c r="A370" s="230"/>
      <c r="B370" s="231" t="str">
        <f t="shared" si="8"/>
        <v/>
      </c>
      <c r="C370" s="232"/>
      <c r="D370" s="233" t="str">
        <f t="shared" si="4"/>
        <v/>
      </c>
      <c r="E370" s="238" t="str">
        <f t="shared" si="5"/>
        <v/>
      </c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</row>
    <row r="371" ht="22.5" customHeight="1">
      <c r="A371" s="230"/>
      <c r="B371" s="231" t="str">
        <f t="shared" si="8"/>
        <v/>
      </c>
      <c r="C371" s="232"/>
      <c r="D371" s="233" t="str">
        <f t="shared" si="4"/>
        <v/>
      </c>
      <c r="E371" s="238" t="str">
        <f t="shared" si="5"/>
        <v/>
      </c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</row>
    <row r="372" ht="22.5" customHeight="1">
      <c r="A372" s="230"/>
      <c r="B372" s="231" t="str">
        <f t="shared" si="8"/>
        <v/>
      </c>
      <c r="C372" s="232"/>
      <c r="D372" s="233" t="str">
        <f t="shared" si="4"/>
        <v/>
      </c>
      <c r="E372" s="238" t="str">
        <f t="shared" si="5"/>
        <v/>
      </c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</row>
    <row r="373" ht="22.5" customHeight="1">
      <c r="A373" s="230"/>
      <c r="B373" s="231" t="str">
        <f t="shared" si="8"/>
        <v/>
      </c>
      <c r="C373" s="232"/>
      <c r="D373" s="233" t="str">
        <f t="shared" si="4"/>
        <v/>
      </c>
      <c r="E373" s="238" t="str">
        <f t="shared" si="5"/>
        <v/>
      </c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</row>
    <row r="374" ht="22.5" customHeight="1">
      <c r="A374" s="230"/>
      <c r="B374" s="231" t="str">
        <f t="shared" si="8"/>
        <v/>
      </c>
      <c r="C374" s="232"/>
      <c r="D374" s="233" t="str">
        <f t="shared" si="4"/>
        <v/>
      </c>
      <c r="E374" s="238" t="str">
        <f t="shared" si="5"/>
        <v/>
      </c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</row>
    <row r="375" ht="22.5" customHeight="1">
      <c r="A375" s="230"/>
      <c r="B375" s="231" t="str">
        <f t="shared" si="8"/>
        <v/>
      </c>
      <c r="C375" s="232"/>
      <c r="D375" s="233" t="str">
        <f t="shared" si="4"/>
        <v/>
      </c>
      <c r="E375" s="238" t="str">
        <f t="shared" si="5"/>
        <v/>
      </c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</row>
    <row r="376" ht="22.5" customHeight="1">
      <c r="A376" s="230"/>
      <c r="B376" s="231" t="str">
        <f t="shared" si="8"/>
        <v/>
      </c>
      <c r="C376" s="232"/>
      <c r="D376" s="233" t="str">
        <f t="shared" si="4"/>
        <v/>
      </c>
      <c r="E376" s="238" t="str">
        <f t="shared" si="5"/>
        <v/>
      </c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</row>
    <row r="377" ht="22.5" customHeight="1">
      <c r="A377" s="230"/>
      <c r="B377" s="231" t="str">
        <f t="shared" si="8"/>
        <v/>
      </c>
      <c r="C377" s="232"/>
      <c r="D377" s="233" t="str">
        <f t="shared" si="4"/>
        <v/>
      </c>
      <c r="E377" s="238" t="str">
        <f t="shared" si="5"/>
        <v/>
      </c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</row>
    <row r="378" ht="22.5" customHeight="1">
      <c r="A378" s="230"/>
      <c r="B378" s="231" t="str">
        <f t="shared" si="8"/>
        <v/>
      </c>
      <c r="C378" s="232"/>
      <c r="D378" s="233" t="str">
        <f t="shared" si="4"/>
        <v/>
      </c>
      <c r="E378" s="238" t="str">
        <f t="shared" si="5"/>
        <v/>
      </c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</row>
    <row r="379" ht="22.5" customHeight="1">
      <c r="A379" s="230"/>
      <c r="B379" s="231" t="str">
        <f t="shared" si="8"/>
        <v/>
      </c>
      <c r="C379" s="232"/>
      <c r="D379" s="233" t="str">
        <f t="shared" si="4"/>
        <v/>
      </c>
      <c r="E379" s="238" t="str">
        <f t="shared" si="5"/>
        <v/>
      </c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</row>
    <row r="380" ht="22.5" customHeight="1">
      <c r="A380" s="230"/>
      <c r="B380" s="231" t="str">
        <f t="shared" si="8"/>
        <v/>
      </c>
      <c r="C380" s="232"/>
      <c r="D380" s="233" t="str">
        <f t="shared" si="4"/>
        <v/>
      </c>
      <c r="E380" s="238" t="str">
        <f t="shared" si="5"/>
        <v/>
      </c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</row>
    <row r="381" ht="22.5" customHeight="1">
      <c r="A381" s="230"/>
      <c r="B381" s="231" t="str">
        <f t="shared" si="8"/>
        <v/>
      </c>
      <c r="C381" s="232"/>
      <c r="D381" s="233" t="str">
        <f t="shared" si="4"/>
        <v/>
      </c>
      <c r="E381" s="238" t="str">
        <f t="shared" si="5"/>
        <v/>
      </c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</row>
    <row r="382" ht="22.5" customHeight="1">
      <c r="A382" s="230"/>
      <c r="B382" s="231" t="str">
        <f t="shared" si="8"/>
        <v/>
      </c>
      <c r="C382" s="232"/>
      <c r="D382" s="233" t="str">
        <f t="shared" si="4"/>
        <v/>
      </c>
      <c r="E382" s="238" t="str">
        <f t="shared" si="5"/>
        <v/>
      </c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</row>
    <row r="383" ht="22.5" customHeight="1">
      <c r="A383" s="230"/>
      <c r="B383" s="231" t="str">
        <f t="shared" si="8"/>
        <v/>
      </c>
      <c r="C383" s="232"/>
      <c r="D383" s="233" t="str">
        <f t="shared" si="4"/>
        <v/>
      </c>
      <c r="E383" s="238" t="str">
        <f t="shared" si="5"/>
        <v/>
      </c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</row>
    <row r="384" ht="22.5" customHeight="1">
      <c r="A384" s="230"/>
      <c r="B384" s="231" t="str">
        <f t="shared" si="8"/>
        <v/>
      </c>
      <c r="C384" s="232"/>
      <c r="D384" s="233" t="str">
        <f t="shared" si="4"/>
        <v/>
      </c>
      <c r="E384" s="238" t="str">
        <f t="shared" si="5"/>
        <v/>
      </c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</row>
    <row r="385" ht="22.5" customHeight="1">
      <c r="A385" s="230"/>
      <c r="B385" s="231" t="str">
        <f t="shared" si="8"/>
        <v/>
      </c>
      <c r="C385" s="232"/>
      <c r="D385" s="233" t="str">
        <f t="shared" si="4"/>
        <v/>
      </c>
      <c r="E385" s="238" t="str">
        <f t="shared" si="5"/>
        <v/>
      </c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</row>
    <row r="386" ht="22.5" customHeight="1">
      <c r="A386" s="230"/>
      <c r="B386" s="231" t="str">
        <f t="shared" si="8"/>
        <v/>
      </c>
      <c r="C386" s="232"/>
      <c r="D386" s="233" t="str">
        <f t="shared" si="4"/>
        <v/>
      </c>
      <c r="E386" s="238" t="str">
        <f t="shared" si="5"/>
        <v/>
      </c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</row>
    <row r="387" ht="22.5" customHeight="1">
      <c r="A387" s="230"/>
      <c r="B387" s="231" t="str">
        <f t="shared" si="8"/>
        <v/>
      </c>
      <c r="C387" s="232"/>
      <c r="D387" s="233" t="str">
        <f t="shared" si="4"/>
        <v/>
      </c>
      <c r="E387" s="238" t="str">
        <f t="shared" si="5"/>
        <v/>
      </c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</row>
    <row r="388" ht="22.5" customHeight="1">
      <c r="A388" s="230"/>
      <c r="B388" s="231" t="str">
        <f t="shared" si="8"/>
        <v/>
      </c>
      <c r="C388" s="232"/>
      <c r="D388" s="233" t="str">
        <f t="shared" si="4"/>
        <v/>
      </c>
      <c r="E388" s="238" t="str">
        <f t="shared" si="5"/>
        <v/>
      </c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</row>
    <row r="389" ht="22.5" customHeight="1">
      <c r="A389" s="230"/>
      <c r="B389" s="231" t="str">
        <f t="shared" si="8"/>
        <v/>
      </c>
      <c r="C389" s="232"/>
      <c r="D389" s="233" t="str">
        <f t="shared" si="4"/>
        <v/>
      </c>
      <c r="E389" s="238" t="str">
        <f t="shared" si="5"/>
        <v/>
      </c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</row>
    <row r="390" ht="22.5" customHeight="1">
      <c r="A390" s="230"/>
      <c r="B390" s="231" t="str">
        <f t="shared" si="8"/>
        <v/>
      </c>
      <c r="C390" s="232"/>
      <c r="D390" s="233" t="str">
        <f t="shared" si="4"/>
        <v/>
      </c>
      <c r="E390" s="238" t="str">
        <f t="shared" si="5"/>
        <v/>
      </c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</row>
    <row r="391" ht="22.5" customHeight="1">
      <c r="A391" s="230"/>
      <c r="B391" s="231" t="str">
        <f t="shared" si="8"/>
        <v/>
      </c>
      <c r="C391" s="232"/>
      <c r="D391" s="233" t="str">
        <f t="shared" si="4"/>
        <v/>
      </c>
      <c r="E391" s="238" t="str">
        <f t="shared" si="5"/>
        <v/>
      </c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</row>
    <row r="392" ht="22.5" customHeight="1">
      <c r="A392" s="230"/>
      <c r="B392" s="231" t="str">
        <f t="shared" si="8"/>
        <v/>
      </c>
      <c r="C392" s="232"/>
      <c r="D392" s="233" t="str">
        <f t="shared" si="4"/>
        <v/>
      </c>
      <c r="E392" s="238" t="str">
        <f t="shared" si="5"/>
        <v/>
      </c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</row>
    <row r="393" ht="22.5" customHeight="1">
      <c r="A393" s="230"/>
      <c r="B393" s="231" t="str">
        <f t="shared" si="8"/>
        <v/>
      </c>
      <c r="C393" s="232"/>
      <c r="D393" s="233" t="str">
        <f t="shared" si="4"/>
        <v/>
      </c>
      <c r="E393" s="238" t="str">
        <f t="shared" si="5"/>
        <v/>
      </c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</row>
    <row r="394" ht="22.5" customHeight="1">
      <c r="A394" s="230"/>
      <c r="B394" s="231" t="str">
        <f t="shared" si="8"/>
        <v/>
      </c>
      <c r="C394" s="232"/>
      <c r="D394" s="233" t="str">
        <f t="shared" si="4"/>
        <v/>
      </c>
      <c r="E394" s="238" t="str">
        <f t="shared" si="5"/>
        <v/>
      </c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</row>
    <row r="395" ht="22.5" customHeight="1">
      <c r="A395" s="230"/>
      <c r="B395" s="231" t="str">
        <f t="shared" si="8"/>
        <v/>
      </c>
      <c r="C395" s="232"/>
      <c r="D395" s="233" t="str">
        <f t="shared" si="4"/>
        <v/>
      </c>
      <c r="E395" s="238" t="str">
        <f t="shared" si="5"/>
        <v/>
      </c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</row>
    <row r="396" ht="22.5" customHeight="1">
      <c r="A396" s="230"/>
      <c r="B396" s="231" t="str">
        <f t="shared" si="8"/>
        <v/>
      </c>
      <c r="C396" s="232"/>
      <c r="D396" s="233" t="str">
        <f t="shared" si="4"/>
        <v/>
      </c>
      <c r="E396" s="238" t="str">
        <f t="shared" si="5"/>
        <v/>
      </c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</row>
    <row r="397" ht="22.5" customHeight="1">
      <c r="A397" s="230"/>
      <c r="B397" s="231" t="str">
        <f t="shared" si="8"/>
        <v/>
      </c>
      <c r="C397" s="232"/>
      <c r="D397" s="233" t="str">
        <f t="shared" si="4"/>
        <v/>
      </c>
      <c r="E397" s="238" t="str">
        <f t="shared" si="5"/>
        <v/>
      </c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</row>
    <row r="398" ht="22.5" customHeight="1">
      <c r="A398" s="230"/>
      <c r="B398" s="231" t="str">
        <f t="shared" si="8"/>
        <v/>
      </c>
      <c r="C398" s="232"/>
      <c r="D398" s="233" t="str">
        <f t="shared" si="4"/>
        <v/>
      </c>
      <c r="E398" s="238" t="str">
        <f t="shared" si="5"/>
        <v/>
      </c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</row>
    <row r="399" ht="22.5" customHeight="1">
      <c r="A399" s="230"/>
      <c r="B399" s="231" t="str">
        <f t="shared" si="8"/>
        <v/>
      </c>
      <c r="C399" s="232"/>
      <c r="D399" s="233" t="str">
        <f t="shared" si="4"/>
        <v/>
      </c>
      <c r="E399" s="238" t="str">
        <f t="shared" si="5"/>
        <v/>
      </c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</row>
    <row r="400" ht="22.5" customHeight="1">
      <c r="A400" s="230"/>
      <c r="B400" s="231" t="str">
        <f t="shared" si="8"/>
        <v/>
      </c>
      <c r="C400" s="232"/>
      <c r="D400" s="233" t="str">
        <f t="shared" si="4"/>
        <v/>
      </c>
      <c r="E400" s="238" t="str">
        <f t="shared" si="5"/>
        <v/>
      </c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</row>
    <row r="401" ht="22.5" customHeight="1">
      <c r="A401" s="230"/>
      <c r="B401" s="231" t="str">
        <f t="shared" si="8"/>
        <v/>
      </c>
      <c r="C401" s="232"/>
      <c r="D401" s="233" t="str">
        <f t="shared" si="4"/>
        <v/>
      </c>
      <c r="E401" s="238" t="str">
        <f t="shared" si="5"/>
        <v/>
      </c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</row>
    <row r="402">
      <c r="A402" s="240"/>
      <c r="B402" s="222"/>
      <c r="C402" s="223"/>
      <c r="D402" s="224"/>
      <c r="E402" s="225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</row>
    <row r="403">
      <c r="A403" s="240"/>
      <c r="B403" s="222"/>
      <c r="C403" s="223"/>
      <c r="D403" s="224"/>
      <c r="E403" s="225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</row>
    <row r="404">
      <c r="A404" s="240"/>
      <c r="B404" s="222"/>
      <c r="C404" s="223"/>
      <c r="D404" s="224"/>
      <c r="E404" s="225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</row>
    <row r="405">
      <c r="A405" s="240"/>
      <c r="B405" s="222"/>
      <c r="C405" s="223"/>
      <c r="D405" s="224"/>
      <c r="E405" s="225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</row>
    <row r="406">
      <c r="A406" s="240"/>
      <c r="B406" s="222"/>
      <c r="C406" s="223"/>
      <c r="D406" s="224"/>
      <c r="E406" s="225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</row>
    <row r="407">
      <c r="A407" s="240"/>
      <c r="B407" s="222"/>
      <c r="C407" s="223"/>
      <c r="D407" s="224"/>
      <c r="E407" s="225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</row>
    <row r="408">
      <c r="A408" s="240"/>
      <c r="B408" s="222"/>
      <c r="C408" s="223"/>
      <c r="D408" s="224"/>
      <c r="E408" s="225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</row>
    <row r="409">
      <c r="A409" s="240"/>
      <c r="B409" s="222"/>
      <c r="C409" s="223"/>
      <c r="D409" s="224"/>
      <c r="E409" s="225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</row>
    <row r="410">
      <c r="A410" s="240"/>
      <c r="B410" s="222"/>
      <c r="C410" s="223"/>
      <c r="D410" s="224"/>
      <c r="E410" s="225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</row>
    <row r="411">
      <c r="A411" s="240"/>
      <c r="B411" s="222"/>
      <c r="C411" s="223"/>
      <c r="D411" s="224"/>
      <c r="E411" s="225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</row>
    <row r="412">
      <c r="A412" s="240"/>
      <c r="B412" s="222"/>
      <c r="C412" s="223"/>
      <c r="D412" s="224"/>
      <c r="E412" s="225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</row>
    <row r="413">
      <c r="A413" s="240"/>
      <c r="B413" s="222"/>
      <c r="C413" s="223"/>
      <c r="D413" s="224"/>
      <c r="E413" s="225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</row>
    <row r="414">
      <c r="A414" s="240"/>
      <c r="B414" s="222"/>
      <c r="C414" s="223"/>
      <c r="D414" s="224"/>
      <c r="E414" s="225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</row>
    <row r="415">
      <c r="A415" s="240"/>
      <c r="B415" s="222"/>
      <c r="C415" s="223"/>
      <c r="D415" s="224"/>
      <c r="E415" s="225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</row>
    <row r="416">
      <c r="A416" s="240"/>
      <c r="B416" s="222"/>
      <c r="C416" s="223"/>
      <c r="D416" s="224"/>
      <c r="E416" s="225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</row>
    <row r="417">
      <c r="A417" s="240"/>
      <c r="B417" s="222"/>
      <c r="C417" s="223"/>
      <c r="D417" s="224"/>
      <c r="E417" s="225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</row>
    <row r="418">
      <c r="A418" s="240"/>
      <c r="B418" s="222"/>
      <c r="C418" s="223"/>
      <c r="D418" s="224"/>
      <c r="E418" s="225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</row>
    <row r="419">
      <c r="A419" s="240"/>
      <c r="B419" s="222"/>
      <c r="C419" s="223"/>
      <c r="D419" s="224"/>
      <c r="E419" s="225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</row>
    <row r="420">
      <c r="A420" s="240"/>
      <c r="B420" s="222"/>
      <c r="C420" s="223"/>
      <c r="D420" s="224"/>
      <c r="E420" s="225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</row>
    <row r="421">
      <c r="A421" s="240"/>
      <c r="B421" s="222"/>
      <c r="C421" s="223"/>
      <c r="D421" s="224"/>
      <c r="E421" s="225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</row>
    <row r="422">
      <c r="A422" s="240"/>
      <c r="B422" s="222"/>
      <c r="C422" s="223"/>
      <c r="D422" s="224"/>
      <c r="E422" s="225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</row>
    <row r="423">
      <c r="A423" s="240"/>
      <c r="B423" s="222"/>
      <c r="C423" s="223"/>
      <c r="D423" s="224"/>
      <c r="E423" s="225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</row>
    <row r="424">
      <c r="A424" s="240"/>
      <c r="B424" s="222"/>
      <c r="C424" s="223"/>
      <c r="D424" s="224"/>
      <c r="E424" s="225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</row>
    <row r="425">
      <c r="A425" s="240"/>
      <c r="B425" s="222"/>
      <c r="C425" s="223"/>
      <c r="D425" s="224"/>
      <c r="E425" s="225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</row>
    <row r="426">
      <c r="A426" s="240"/>
      <c r="B426" s="222"/>
      <c r="C426" s="223"/>
      <c r="D426" s="224"/>
      <c r="E426" s="225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</row>
    <row r="427">
      <c r="A427" s="240"/>
      <c r="B427" s="222"/>
      <c r="C427" s="223"/>
      <c r="D427" s="224"/>
      <c r="E427" s="225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</row>
    <row r="428">
      <c r="A428" s="240"/>
      <c r="B428" s="222"/>
      <c r="C428" s="223"/>
      <c r="D428" s="224"/>
      <c r="E428" s="225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</row>
    <row r="429">
      <c r="A429" s="240"/>
      <c r="B429" s="222"/>
      <c r="C429" s="223"/>
      <c r="D429" s="224"/>
      <c r="E429" s="225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</row>
    <row r="430">
      <c r="A430" s="240"/>
      <c r="B430" s="222"/>
      <c r="C430" s="223"/>
      <c r="D430" s="224"/>
      <c r="E430" s="225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</row>
    <row r="431">
      <c r="A431" s="240"/>
      <c r="B431" s="222"/>
      <c r="C431" s="223"/>
      <c r="D431" s="224"/>
      <c r="E431" s="225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</row>
    <row r="432">
      <c r="A432" s="240"/>
      <c r="B432" s="222"/>
      <c r="C432" s="223"/>
      <c r="D432" s="224"/>
      <c r="E432" s="225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</row>
    <row r="433">
      <c r="A433" s="240"/>
      <c r="B433" s="222"/>
      <c r="C433" s="223"/>
      <c r="D433" s="224"/>
      <c r="E433" s="225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</row>
    <row r="434">
      <c r="A434" s="240"/>
      <c r="B434" s="222"/>
      <c r="C434" s="223"/>
      <c r="D434" s="224"/>
      <c r="E434" s="225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</row>
    <row r="435">
      <c r="A435" s="240"/>
      <c r="B435" s="222"/>
      <c r="C435" s="223"/>
      <c r="D435" s="224"/>
      <c r="E435" s="225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</row>
    <row r="436">
      <c r="A436" s="240"/>
      <c r="B436" s="222"/>
      <c r="C436" s="223"/>
      <c r="D436" s="224"/>
      <c r="E436" s="225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</row>
    <row r="437">
      <c r="A437" s="240"/>
      <c r="B437" s="222"/>
      <c r="C437" s="223"/>
      <c r="D437" s="224"/>
      <c r="E437" s="225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</row>
    <row r="438">
      <c r="A438" s="240"/>
      <c r="B438" s="222"/>
      <c r="C438" s="223"/>
      <c r="D438" s="224"/>
      <c r="E438" s="225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</row>
    <row r="439">
      <c r="A439" s="240"/>
      <c r="B439" s="222"/>
      <c r="C439" s="223"/>
      <c r="D439" s="224"/>
      <c r="E439" s="225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</row>
    <row r="440">
      <c r="A440" s="240"/>
      <c r="B440" s="222"/>
      <c r="C440" s="223"/>
      <c r="D440" s="224"/>
      <c r="E440" s="225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</row>
    <row r="441">
      <c r="A441" s="240"/>
      <c r="B441" s="222"/>
      <c r="C441" s="223"/>
      <c r="D441" s="224"/>
      <c r="E441" s="225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</row>
    <row r="442">
      <c r="A442" s="240"/>
      <c r="B442" s="222"/>
      <c r="C442" s="223"/>
      <c r="D442" s="224"/>
      <c r="E442" s="225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</row>
    <row r="443">
      <c r="A443" s="240"/>
      <c r="B443" s="222"/>
      <c r="C443" s="223"/>
      <c r="D443" s="224"/>
      <c r="E443" s="225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</row>
    <row r="444">
      <c r="A444" s="240"/>
      <c r="B444" s="222"/>
      <c r="C444" s="223"/>
      <c r="D444" s="224"/>
      <c r="E444" s="225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</row>
    <row r="445">
      <c r="A445" s="240"/>
      <c r="B445" s="222"/>
      <c r="C445" s="223"/>
      <c r="D445" s="224"/>
      <c r="E445" s="225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</row>
    <row r="446">
      <c r="A446" s="240"/>
      <c r="B446" s="222"/>
      <c r="C446" s="223"/>
      <c r="D446" s="224"/>
      <c r="E446" s="225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</row>
    <row r="447">
      <c r="A447" s="240"/>
      <c r="B447" s="222"/>
      <c r="C447" s="223"/>
      <c r="D447" s="224"/>
      <c r="E447" s="225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</row>
    <row r="448">
      <c r="A448" s="240"/>
      <c r="B448" s="222"/>
      <c r="C448" s="223"/>
      <c r="D448" s="224"/>
      <c r="E448" s="225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</row>
    <row r="449">
      <c r="A449" s="240"/>
      <c r="B449" s="222"/>
      <c r="C449" s="223"/>
      <c r="D449" s="224"/>
      <c r="E449" s="225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</row>
    <row r="450">
      <c r="A450" s="240"/>
      <c r="B450" s="222"/>
      <c r="C450" s="223"/>
      <c r="D450" s="224"/>
      <c r="E450" s="225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</row>
    <row r="451">
      <c r="A451" s="240"/>
      <c r="B451" s="222"/>
      <c r="C451" s="223"/>
      <c r="D451" s="224"/>
      <c r="E451" s="225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</row>
    <row r="452">
      <c r="A452" s="240"/>
      <c r="B452" s="222"/>
      <c r="C452" s="223"/>
      <c r="D452" s="224"/>
      <c r="E452" s="225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</row>
    <row r="453">
      <c r="A453" s="240"/>
      <c r="B453" s="222"/>
      <c r="C453" s="223"/>
      <c r="D453" s="224"/>
      <c r="E453" s="225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</row>
    <row r="454">
      <c r="A454" s="240"/>
      <c r="B454" s="222"/>
      <c r="C454" s="223"/>
      <c r="D454" s="224"/>
      <c r="E454" s="225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</row>
    <row r="455">
      <c r="A455" s="240"/>
      <c r="B455" s="222"/>
      <c r="C455" s="223"/>
      <c r="D455" s="224"/>
      <c r="E455" s="225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</row>
    <row r="456">
      <c r="A456" s="240"/>
      <c r="B456" s="222"/>
      <c r="C456" s="223"/>
      <c r="D456" s="224"/>
      <c r="E456" s="225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</row>
    <row r="457">
      <c r="A457" s="240"/>
      <c r="B457" s="222"/>
      <c r="C457" s="223"/>
      <c r="D457" s="224"/>
      <c r="E457" s="225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</row>
    <row r="458">
      <c r="A458" s="240"/>
      <c r="B458" s="222"/>
      <c r="C458" s="223"/>
      <c r="D458" s="224"/>
      <c r="E458" s="225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</row>
    <row r="459">
      <c r="A459" s="240"/>
      <c r="B459" s="222"/>
      <c r="C459" s="223"/>
      <c r="D459" s="224"/>
      <c r="E459" s="225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</row>
    <row r="460">
      <c r="A460" s="240"/>
      <c r="B460" s="222"/>
      <c r="C460" s="223"/>
      <c r="D460" s="224"/>
      <c r="E460" s="225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</row>
    <row r="461">
      <c r="A461" s="240"/>
      <c r="B461" s="222"/>
      <c r="C461" s="223"/>
      <c r="D461" s="224"/>
      <c r="E461" s="225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</row>
    <row r="462">
      <c r="A462" s="240"/>
      <c r="B462" s="222"/>
      <c r="C462" s="223"/>
      <c r="D462" s="224"/>
      <c r="E462" s="225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</row>
    <row r="463">
      <c r="A463" s="240"/>
      <c r="B463" s="222"/>
      <c r="C463" s="223"/>
      <c r="D463" s="224"/>
      <c r="E463" s="225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</row>
    <row r="464">
      <c r="A464" s="240"/>
      <c r="B464" s="222"/>
      <c r="C464" s="223"/>
      <c r="D464" s="224"/>
      <c r="E464" s="225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</row>
    <row r="465">
      <c r="A465" s="240"/>
      <c r="B465" s="222"/>
      <c r="C465" s="223"/>
      <c r="D465" s="224"/>
      <c r="E465" s="225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</row>
    <row r="466">
      <c r="A466" s="240"/>
      <c r="B466" s="222"/>
      <c r="C466" s="223"/>
      <c r="D466" s="224"/>
      <c r="E466" s="225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</row>
    <row r="467">
      <c r="A467" s="240"/>
      <c r="B467" s="222"/>
      <c r="C467" s="223"/>
      <c r="D467" s="224"/>
      <c r="E467" s="225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</row>
    <row r="468">
      <c r="A468" s="240"/>
      <c r="B468" s="222"/>
      <c r="C468" s="223"/>
      <c r="D468" s="224"/>
      <c r="E468" s="225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</row>
    <row r="469">
      <c r="A469" s="240"/>
      <c r="B469" s="222"/>
      <c r="C469" s="223"/>
      <c r="D469" s="224"/>
      <c r="E469" s="225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</row>
    <row r="470">
      <c r="A470" s="240"/>
      <c r="B470" s="222"/>
      <c r="C470" s="223"/>
      <c r="D470" s="224"/>
      <c r="E470" s="225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</row>
    <row r="471">
      <c r="A471" s="240"/>
      <c r="B471" s="222"/>
      <c r="C471" s="223"/>
      <c r="D471" s="224"/>
      <c r="E471" s="225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</row>
    <row r="472">
      <c r="A472" s="240"/>
      <c r="B472" s="222"/>
      <c r="C472" s="223"/>
      <c r="D472" s="224"/>
      <c r="E472" s="225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</row>
    <row r="473">
      <c r="A473" s="240"/>
      <c r="B473" s="222"/>
      <c r="C473" s="223"/>
      <c r="D473" s="224"/>
      <c r="E473" s="225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</row>
    <row r="474">
      <c r="A474" s="240"/>
      <c r="B474" s="222"/>
      <c r="C474" s="223"/>
      <c r="D474" s="224"/>
      <c r="E474" s="225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</row>
    <row r="475">
      <c r="A475" s="240"/>
      <c r="B475" s="222"/>
      <c r="C475" s="223"/>
      <c r="D475" s="224"/>
      <c r="E475" s="225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</row>
    <row r="476">
      <c r="A476" s="240"/>
      <c r="B476" s="222"/>
      <c r="C476" s="223"/>
      <c r="D476" s="224"/>
      <c r="E476" s="225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</row>
    <row r="477">
      <c r="A477" s="240"/>
      <c r="B477" s="222"/>
      <c r="C477" s="223"/>
      <c r="D477" s="224"/>
      <c r="E477" s="225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</row>
    <row r="478">
      <c r="A478" s="240"/>
      <c r="B478" s="222"/>
      <c r="C478" s="223"/>
      <c r="D478" s="224"/>
      <c r="E478" s="225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</row>
    <row r="479">
      <c r="A479" s="240"/>
      <c r="B479" s="222"/>
      <c r="C479" s="223"/>
      <c r="D479" s="224"/>
      <c r="E479" s="225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</row>
    <row r="480">
      <c r="A480" s="240"/>
      <c r="B480" s="222"/>
      <c r="C480" s="223"/>
      <c r="D480" s="224"/>
      <c r="E480" s="225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</row>
    <row r="481">
      <c r="A481" s="240"/>
      <c r="B481" s="222"/>
      <c r="C481" s="223"/>
      <c r="D481" s="224"/>
      <c r="E481" s="225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</row>
    <row r="482">
      <c r="A482" s="240"/>
      <c r="B482" s="222"/>
      <c r="C482" s="223"/>
      <c r="D482" s="224"/>
      <c r="E482" s="225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</row>
    <row r="483">
      <c r="A483" s="240"/>
      <c r="B483" s="222"/>
      <c r="C483" s="223"/>
      <c r="D483" s="224"/>
      <c r="E483" s="225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</row>
    <row r="484">
      <c r="A484" s="240"/>
      <c r="B484" s="222"/>
      <c r="C484" s="223"/>
      <c r="D484" s="224"/>
      <c r="E484" s="225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</row>
    <row r="485">
      <c r="A485" s="240"/>
      <c r="B485" s="222"/>
      <c r="C485" s="223"/>
      <c r="D485" s="224"/>
      <c r="E485" s="225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</row>
    <row r="486">
      <c r="A486" s="240"/>
      <c r="B486" s="222"/>
      <c r="C486" s="223"/>
      <c r="D486" s="224"/>
      <c r="E486" s="225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</row>
    <row r="487">
      <c r="A487" s="240"/>
      <c r="B487" s="222"/>
      <c r="C487" s="223"/>
      <c r="D487" s="224"/>
      <c r="E487" s="225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</row>
    <row r="488">
      <c r="A488" s="240"/>
      <c r="B488" s="222"/>
      <c r="C488" s="223"/>
      <c r="D488" s="224"/>
      <c r="E488" s="225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</row>
    <row r="489">
      <c r="A489" s="240"/>
      <c r="B489" s="222"/>
      <c r="C489" s="223"/>
      <c r="D489" s="224"/>
      <c r="E489" s="225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</row>
    <row r="490">
      <c r="A490" s="240"/>
      <c r="B490" s="222"/>
      <c r="C490" s="223"/>
      <c r="D490" s="224"/>
      <c r="E490" s="225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</row>
    <row r="491">
      <c r="A491" s="240"/>
      <c r="B491" s="222"/>
      <c r="C491" s="223"/>
      <c r="D491" s="224"/>
      <c r="E491" s="225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</row>
    <row r="492">
      <c r="A492" s="240"/>
      <c r="B492" s="222"/>
      <c r="C492" s="223"/>
      <c r="D492" s="224"/>
      <c r="E492" s="225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</row>
    <row r="493">
      <c r="A493" s="240"/>
      <c r="B493" s="222"/>
      <c r="C493" s="223"/>
      <c r="D493" s="224"/>
      <c r="E493" s="225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</row>
    <row r="494">
      <c r="A494" s="240"/>
      <c r="B494" s="222"/>
      <c r="C494" s="223"/>
      <c r="D494" s="224"/>
      <c r="E494" s="225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</row>
    <row r="495">
      <c r="A495" s="240"/>
      <c r="B495" s="222"/>
      <c r="C495" s="223"/>
      <c r="D495" s="224"/>
      <c r="E495" s="225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</row>
    <row r="496">
      <c r="A496" s="240"/>
      <c r="B496" s="222"/>
      <c r="C496" s="223"/>
      <c r="D496" s="224"/>
      <c r="E496" s="225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</row>
    <row r="497">
      <c r="A497" s="240"/>
      <c r="B497" s="222"/>
      <c r="C497" s="223"/>
      <c r="D497" s="224"/>
      <c r="E497" s="225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</row>
    <row r="498">
      <c r="A498" s="240"/>
      <c r="B498" s="222"/>
      <c r="C498" s="223"/>
      <c r="D498" s="224"/>
      <c r="E498" s="225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</row>
    <row r="499">
      <c r="A499" s="240"/>
      <c r="B499" s="222"/>
      <c r="C499" s="223"/>
      <c r="D499" s="224"/>
      <c r="E499" s="225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</row>
    <row r="500">
      <c r="A500" s="240"/>
      <c r="B500" s="222"/>
      <c r="C500" s="223"/>
      <c r="D500" s="224"/>
      <c r="E500" s="225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</row>
    <row r="501">
      <c r="A501" s="240"/>
      <c r="B501" s="222"/>
      <c r="C501" s="223"/>
      <c r="D501" s="224"/>
      <c r="E501" s="225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</row>
    <row r="502">
      <c r="A502" s="240"/>
      <c r="B502" s="222"/>
      <c r="C502" s="223"/>
      <c r="D502" s="224"/>
      <c r="E502" s="225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</row>
    <row r="503">
      <c r="A503" s="240"/>
      <c r="B503" s="222"/>
      <c r="C503" s="223"/>
      <c r="D503" s="224"/>
      <c r="E503" s="225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</row>
    <row r="504">
      <c r="A504" s="240"/>
      <c r="B504" s="222"/>
      <c r="C504" s="223"/>
      <c r="D504" s="224"/>
      <c r="E504" s="225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</row>
    <row r="505">
      <c r="A505" s="240"/>
      <c r="B505" s="222"/>
      <c r="C505" s="223"/>
      <c r="D505" s="224"/>
      <c r="E505" s="225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</row>
    <row r="506">
      <c r="A506" s="240"/>
      <c r="B506" s="222"/>
      <c r="C506" s="223"/>
      <c r="D506" s="224"/>
      <c r="E506" s="225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</row>
    <row r="507">
      <c r="A507" s="240"/>
      <c r="B507" s="222"/>
      <c r="C507" s="223"/>
      <c r="D507" s="224"/>
      <c r="E507" s="225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</row>
    <row r="508">
      <c r="A508" s="240"/>
      <c r="B508" s="222"/>
      <c r="C508" s="223"/>
      <c r="D508" s="224"/>
      <c r="E508" s="225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</row>
    <row r="509">
      <c r="A509" s="240"/>
      <c r="B509" s="222"/>
      <c r="C509" s="223"/>
      <c r="D509" s="224"/>
      <c r="E509" s="225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</row>
    <row r="510">
      <c r="A510" s="240"/>
      <c r="B510" s="222"/>
      <c r="C510" s="223"/>
      <c r="D510" s="224"/>
      <c r="E510" s="225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</row>
    <row r="511">
      <c r="A511" s="240"/>
      <c r="B511" s="222"/>
      <c r="C511" s="223"/>
      <c r="D511" s="224"/>
      <c r="E511" s="225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</row>
    <row r="512">
      <c r="A512" s="240"/>
      <c r="B512" s="222"/>
      <c r="C512" s="223"/>
      <c r="D512" s="224"/>
      <c r="E512" s="225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</row>
    <row r="513">
      <c r="A513" s="240"/>
      <c r="B513" s="222"/>
      <c r="C513" s="223"/>
      <c r="D513" s="224"/>
      <c r="E513" s="225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</row>
    <row r="514">
      <c r="A514" s="240"/>
      <c r="B514" s="222"/>
      <c r="C514" s="223"/>
      <c r="D514" s="224"/>
      <c r="E514" s="225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</row>
    <row r="515">
      <c r="A515" s="240"/>
      <c r="B515" s="222"/>
      <c r="C515" s="223"/>
      <c r="D515" s="224"/>
      <c r="E515" s="225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</row>
    <row r="516">
      <c r="A516" s="240"/>
      <c r="B516" s="222"/>
      <c r="C516" s="223"/>
      <c r="D516" s="224"/>
      <c r="E516" s="225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</row>
    <row r="517">
      <c r="A517" s="240"/>
      <c r="B517" s="222"/>
      <c r="C517" s="223"/>
      <c r="D517" s="224"/>
      <c r="E517" s="225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</row>
    <row r="518">
      <c r="A518" s="240"/>
      <c r="B518" s="222"/>
      <c r="C518" s="223"/>
      <c r="D518" s="224"/>
      <c r="E518" s="225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</row>
    <row r="519">
      <c r="A519" s="240"/>
      <c r="B519" s="222"/>
      <c r="C519" s="223"/>
      <c r="D519" s="224"/>
      <c r="E519" s="225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</row>
    <row r="520">
      <c r="A520" s="240"/>
      <c r="B520" s="222"/>
      <c r="C520" s="223"/>
      <c r="D520" s="224"/>
      <c r="E520" s="225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</row>
    <row r="521">
      <c r="A521" s="240"/>
      <c r="B521" s="222"/>
      <c r="C521" s="223"/>
      <c r="D521" s="224"/>
      <c r="E521" s="225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</row>
    <row r="522">
      <c r="A522" s="240"/>
      <c r="B522" s="222"/>
      <c r="C522" s="223"/>
      <c r="D522" s="224"/>
      <c r="E522" s="225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</row>
    <row r="523">
      <c r="A523" s="240"/>
      <c r="B523" s="222"/>
      <c r="C523" s="223"/>
      <c r="D523" s="224"/>
      <c r="E523" s="225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</row>
    <row r="524">
      <c r="A524" s="240"/>
      <c r="B524" s="222"/>
      <c r="C524" s="223"/>
      <c r="D524" s="224"/>
      <c r="E524" s="225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</row>
    <row r="525">
      <c r="A525" s="240"/>
      <c r="B525" s="222"/>
      <c r="C525" s="223"/>
      <c r="D525" s="224"/>
      <c r="E525" s="225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</row>
    <row r="526">
      <c r="A526" s="240"/>
      <c r="B526" s="222"/>
      <c r="C526" s="223"/>
      <c r="D526" s="224"/>
      <c r="E526" s="225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</row>
    <row r="527">
      <c r="A527" s="240"/>
      <c r="B527" s="222"/>
      <c r="C527" s="223"/>
      <c r="D527" s="224"/>
      <c r="E527" s="225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</row>
    <row r="528">
      <c r="A528" s="240"/>
      <c r="B528" s="222"/>
      <c r="C528" s="223"/>
      <c r="D528" s="224"/>
      <c r="E528" s="225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</row>
    <row r="529">
      <c r="A529" s="240"/>
      <c r="B529" s="222"/>
      <c r="C529" s="223"/>
      <c r="D529" s="224"/>
      <c r="E529" s="225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</row>
    <row r="530">
      <c r="A530" s="240"/>
      <c r="B530" s="222"/>
      <c r="C530" s="223"/>
      <c r="D530" s="224"/>
      <c r="E530" s="225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</row>
    <row r="531">
      <c r="A531" s="240"/>
      <c r="B531" s="222"/>
      <c r="C531" s="223"/>
      <c r="D531" s="224"/>
      <c r="E531" s="225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</row>
    <row r="532">
      <c r="A532" s="240"/>
      <c r="B532" s="222"/>
      <c r="C532" s="223"/>
      <c r="D532" s="224"/>
      <c r="E532" s="225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</row>
    <row r="533">
      <c r="A533" s="240"/>
      <c r="B533" s="222"/>
      <c r="C533" s="223"/>
      <c r="D533" s="224"/>
      <c r="E533" s="225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</row>
    <row r="534">
      <c r="A534" s="240"/>
      <c r="B534" s="222"/>
      <c r="C534" s="223"/>
      <c r="D534" s="224"/>
      <c r="E534" s="225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</row>
    <row r="535">
      <c r="A535" s="240"/>
      <c r="B535" s="222"/>
      <c r="C535" s="223"/>
      <c r="D535" s="224"/>
      <c r="E535" s="225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</row>
    <row r="536">
      <c r="A536" s="240"/>
      <c r="B536" s="222"/>
      <c r="C536" s="223"/>
      <c r="D536" s="224"/>
      <c r="E536" s="225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</row>
    <row r="537">
      <c r="A537" s="240"/>
      <c r="B537" s="222"/>
      <c r="C537" s="223"/>
      <c r="D537" s="224"/>
      <c r="E537" s="225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</row>
    <row r="538">
      <c r="A538" s="240"/>
      <c r="B538" s="222"/>
      <c r="C538" s="223"/>
      <c r="D538" s="224"/>
      <c r="E538" s="225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</row>
    <row r="539">
      <c r="A539" s="240"/>
      <c r="B539" s="222"/>
      <c r="C539" s="223"/>
      <c r="D539" s="224"/>
      <c r="E539" s="225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</row>
    <row r="540">
      <c r="A540" s="240"/>
      <c r="B540" s="222"/>
      <c r="C540" s="223"/>
      <c r="D540" s="224"/>
      <c r="E540" s="225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</row>
    <row r="541">
      <c r="A541" s="240"/>
      <c r="B541" s="222"/>
      <c r="C541" s="223"/>
      <c r="D541" s="224"/>
      <c r="E541" s="225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</row>
    <row r="542">
      <c r="A542" s="240"/>
      <c r="B542" s="222"/>
      <c r="C542" s="223"/>
      <c r="D542" s="224"/>
      <c r="E542" s="225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</row>
    <row r="543">
      <c r="A543" s="240"/>
      <c r="B543" s="222"/>
      <c r="C543" s="223"/>
      <c r="D543" s="224"/>
      <c r="E543" s="225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</row>
    <row r="544">
      <c r="A544" s="240"/>
      <c r="B544" s="222"/>
      <c r="C544" s="223"/>
      <c r="D544" s="224"/>
      <c r="E544" s="225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</row>
    <row r="545">
      <c r="A545" s="240"/>
      <c r="B545" s="222"/>
      <c r="C545" s="223"/>
      <c r="D545" s="224"/>
      <c r="E545" s="225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</row>
    <row r="546">
      <c r="A546" s="240"/>
      <c r="B546" s="222"/>
      <c r="C546" s="223"/>
      <c r="D546" s="224"/>
      <c r="E546" s="225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</row>
    <row r="547">
      <c r="A547" s="240"/>
      <c r="B547" s="222"/>
      <c r="C547" s="223"/>
      <c r="D547" s="224"/>
      <c r="E547" s="225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</row>
    <row r="548">
      <c r="A548" s="240"/>
      <c r="B548" s="222"/>
      <c r="C548" s="223"/>
      <c r="D548" s="224"/>
      <c r="E548" s="225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</row>
    <row r="549">
      <c r="A549" s="240"/>
      <c r="B549" s="222"/>
      <c r="C549" s="223"/>
      <c r="D549" s="224"/>
      <c r="E549" s="225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</row>
    <row r="550">
      <c r="A550" s="240"/>
      <c r="B550" s="222"/>
      <c r="C550" s="223"/>
      <c r="D550" s="224"/>
      <c r="E550" s="225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</row>
    <row r="551">
      <c r="A551" s="240"/>
      <c r="B551" s="222"/>
      <c r="C551" s="223"/>
      <c r="D551" s="224"/>
      <c r="E551" s="225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</row>
    <row r="552">
      <c r="A552" s="240"/>
      <c r="B552" s="222"/>
      <c r="C552" s="223"/>
      <c r="D552" s="224"/>
      <c r="E552" s="225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</row>
    <row r="553">
      <c r="A553" s="240"/>
      <c r="B553" s="222"/>
      <c r="C553" s="223"/>
      <c r="D553" s="224"/>
      <c r="E553" s="225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</row>
    <row r="554">
      <c r="A554" s="240"/>
      <c r="B554" s="222"/>
      <c r="C554" s="223"/>
      <c r="D554" s="224"/>
      <c r="E554" s="225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</row>
    <row r="555">
      <c r="A555" s="240"/>
      <c r="B555" s="222"/>
      <c r="C555" s="223"/>
      <c r="D555" s="224"/>
      <c r="E555" s="225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</row>
    <row r="556">
      <c r="A556" s="240"/>
      <c r="B556" s="222"/>
      <c r="C556" s="223"/>
      <c r="D556" s="224"/>
      <c r="E556" s="225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</row>
    <row r="557">
      <c r="A557" s="240"/>
      <c r="B557" s="222"/>
      <c r="C557" s="223"/>
      <c r="D557" s="224"/>
      <c r="E557" s="225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</row>
    <row r="558">
      <c r="A558" s="240"/>
      <c r="B558" s="222"/>
      <c r="C558" s="223"/>
      <c r="D558" s="224"/>
      <c r="E558" s="225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</row>
    <row r="559">
      <c r="A559" s="240"/>
      <c r="B559" s="222"/>
      <c r="C559" s="223"/>
      <c r="D559" s="224"/>
      <c r="E559" s="225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</row>
    <row r="560">
      <c r="A560" s="240"/>
      <c r="B560" s="222"/>
      <c r="C560" s="223"/>
      <c r="D560" s="224"/>
      <c r="E560" s="225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</row>
    <row r="561">
      <c r="A561" s="240"/>
      <c r="B561" s="222"/>
      <c r="C561" s="223"/>
      <c r="D561" s="224"/>
      <c r="E561" s="225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</row>
    <row r="562">
      <c r="A562" s="240"/>
      <c r="B562" s="222"/>
      <c r="C562" s="223"/>
      <c r="D562" s="224"/>
      <c r="E562" s="225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</row>
    <row r="563">
      <c r="A563" s="240"/>
      <c r="B563" s="222"/>
      <c r="C563" s="223"/>
      <c r="D563" s="224"/>
      <c r="E563" s="225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</row>
    <row r="564">
      <c r="A564" s="240"/>
      <c r="B564" s="222"/>
      <c r="C564" s="223"/>
      <c r="D564" s="224"/>
      <c r="E564" s="225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</row>
    <row r="565">
      <c r="A565" s="240"/>
      <c r="B565" s="222"/>
      <c r="C565" s="223"/>
      <c r="D565" s="224"/>
      <c r="E565" s="225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</row>
    <row r="566">
      <c r="A566" s="240"/>
      <c r="B566" s="222"/>
      <c r="C566" s="223"/>
      <c r="D566" s="224"/>
      <c r="E566" s="225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</row>
    <row r="567">
      <c r="A567" s="240"/>
      <c r="B567" s="222"/>
      <c r="C567" s="223"/>
      <c r="D567" s="224"/>
      <c r="E567" s="225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</row>
    <row r="568">
      <c r="A568" s="240"/>
      <c r="B568" s="222"/>
      <c r="C568" s="223"/>
      <c r="D568" s="224"/>
      <c r="E568" s="225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</row>
    <row r="569">
      <c r="A569" s="240"/>
      <c r="B569" s="222"/>
      <c r="C569" s="223"/>
      <c r="D569" s="224"/>
      <c r="E569" s="225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</row>
    <row r="570">
      <c r="A570" s="240"/>
      <c r="B570" s="222"/>
      <c r="C570" s="223"/>
      <c r="D570" s="224"/>
      <c r="E570" s="225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</row>
    <row r="571">
      <c r="A571" s="240"/>
      <c r="B571" s="222"/>
      <c r="C571" s="223"/>
      <c r="D571" s="224"/>
      <c r="E571" s="225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</row>
    <row r="572">
      <c r="A572" s="240"/>
      <c r="B572" s="222"/>
      <c r="C572" s="223"/>
      <c r="D572" s="224"/>
      <c r="E572" s="225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</row>
    <row r="573">
      <c r="A573" s="240"/>
      <c r="B573" s="222"/>
      <c r="C573" s="223"/>
      <c r="D573" s="224"/>
      <c r="E573" s="225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</row>
    <row r="574">
      <c r="A574" s="240"/>
      <c r="B574" s="222"/>
      <c r="C574" s="223"/>
      <c r="D574" s="224"/>
      <c r="E574" s="225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</row>
    <row r="575">
      <c r="A575" s="240"/>
      <c r="B575" s="222"/>
      <c r="C575" s="223"/>
      <c r="D575" s="224"/>
      <c r="E575" s="225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</row>
    <row r="576">
      <c r="A576" s="240"/>
      <c r="B576" s="222"/>
      <c r="C576" s="223"/>
      <c r="D576" s="224"/>
      <c r="E576" s="225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</row>
    <row r="577">
      <c r="A577" s="240"/>
      <c r="B577" s="222"/>
      <c r="C577" s="223"/>
      <c r="D577" s="224"/>
      <c r="E577" s="225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</row>
    <row r="578">
      <c r="A578" s="240"/>
      <c r="B578" s="222"/>
      <c r="C578" s="223"/>
      <c r="D578" s="224"/>
      <c r="E578" s="225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</row>
    <row r="579">
      <c r="A579" s="240"/>
      <c r="B579" s="222"/>
      <c r="C579" s="223"/>
      <c r="D579" s="224"/>
      <c r="E579" s="225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</row>
    <row r="580">
      <c r="A580" s="240"/>
      <c r="B580" s="222"/>
      <c r="C580" s="223"/>
      <c r="D580" s="224"/>
      <c r="E580" s="225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</row>
    <row r="581">
      <c r="A581" s="240"/>
      <c r="B581" s="222"/>
      <c r="C581" s="223"/>
      <c r="D581" s="224"/>
      <c r="E581" s="225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</row>
    <row r="582">
      <c r="A582" s="240"/>
      <c r="B582" s="222"/>
      <c r="C582" s="223"/>
      <c r="D582" s="224"/>
      <c r="E582" s="225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</row>
    <row r="583">
      <c r="A583" s="240"/>
      <c r="B583" s="222"/>
      <c r="C583" s="223"/>
      <c r="D583" s="224"/>
      <c r="E583" s="225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</row>
    <row r="584">
      <c r="A584" s="240"/>
      <c r="B584" s="222"/>
      <c r="C584" s="223"/>
      <c r="D584" s="224"/>
      <c r="E584" s="225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</row>
    <row r="585">
      <c r="A585" s="240"/>
      <c r="B585" s="222"/>
      <c r="C585" s="223"/>
      <c r="D585" s="224"/>
      <c r="E585" s="225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</row>
    <row r="586">
      <c r="A586" s="240"/>
      <c r="B586" s="222"/>
      <c r="C586" s="223"/>
      <c r="D586" s="224"/>
      <c r="E586" s="225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</row>
    <row r="587">
      <c r="A587" s="240"/>
      <c r="B587" s="222"/>
      <c r="C587" s="223"/>
      <c r="D587" s="224"/>
      <c r="E587" s="225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</row>
    <row r="588">
      <c r="A588" s="240"/>
      <c r="B588" s="222"/>
      <c r="C588" s="223"/>
      <c r="D588" s="224"/>
      <c r="E588" s="225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</row>
    <row r="589">
      <c r="A589" s="240"/>
      <c r="B589" s="222"/>
      <c r="C589" s="223"/>
      <c r="D589" s="224"/>
      <c r="E589" s="225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</row>
    <row r="590">
      <c r="A590" s="240"/>
      <c r="B590" s="222"/>
      <c r="C590" s="223"/>
      <c r="D590" s="224"/>
      <c r="E590" s="225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</row>
    <row r="591">
      <c r="A591" s="240"/>
      <c r="B591" s="222"/>
      <c r="C591" s="223"/>
      <c r="D591" s="224"/>
      <c r="E591" s="225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</row>
    <row r="592">
      <c r="A592" s="240"/>
      <c r="B592" s="222"/>
      <c r="C592" s="223"/>
      <c r="D592" s="224"/>
      <c r="E592" s="225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</row>
    <row r="593">
      <c r="A593" s="240"/>
      <c r="B593" s="222"/>
      <c r="C593" s="223"/>
      <c r="D593" s="224"/>
      <c r="E593" s="225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</row>
    <row r="594">
      <c r="A594" s="240"/>
      <c r="B594" s="222"/>
      <c r="C594" s="223"/>
      <c r="D594" s="224"/>
      <c r="E594" s="225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</row>
    <row r="595">
      <c r="A595" s="240"/>
      <c r="B595" s="222"/>
      <c r="C595" s="223"/>
      <c r="D595" s="224"/>
      <c r="E595" s="225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</row>
    <row r="596">
      <c r="A596" s="240"/>
      <c r="B596" s="222"/>
      <c r="C596" s="223"/>
      <c r="D596" s="224"/>
      <c r="E596" s="225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</row>
    <row r="597">
      <c r="A597" s="240"/>
      <c r="B597" s="222"/>
      <c r="C597" s="223"/>
      <c r="D597" s="224"/>
      <c r="E597" s="225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</row>
    <row r="598">
      <c r="A598" s="240"/>
      <c r="B598" s="222"/>
      <c r="C598" s="223"/>
      <c r="D598" s="224"/>
      <c r="E598" s="225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</row>
    <row r="599">
      <c r="A599" s="240"/>
      <c r="B599" s="222"/>
      <c r="C599" s="223"/>
      <c r="D599" s="224"/>
      <c r="E599" s="225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</row>
    <row r="600">
      <c r="A600" s="240"/>
      <c r="B600" s="222"/>
      <c r="C600" s="223"/>
      <c r="D600" s="224"/>
      <c r="E600" s="225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</row>
    <row r="601">
      <c r="A601" s="240"/>
      <c r="B601" s="222"/>
      <c r="C601" s="223"/>
      <c r="D601" s="224"/>
      <c r="E601" s="225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</row>
    <row r="602">
      <c r="A602" s="240"/>
      <c r="B602" s="222"/>
      <c r="C602" s="223"/>
      <c r="D602" s="224"/>
      <c r="E602" s="225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</row>
    <row r="603">
      <c r="A603" s="240"/>
      <c r="B603" s="222"/>
      <c r="C603" s="223"/>
      <c r="D603" s="224"/>
      <c r="E603" s="225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</row>
    <row r="604">
      <c r="A604" s="240"/>
      <c r="B604" s="222"/>
      <c r="C604" s="223"/>
      <c r="D604" s="224"/>
      <c r="E604" s="225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</row>
    <row r="605">
      <c r="A605" s="240"/>
      <c r="B605" s="222"/>
      <c r="C605" s="223"/>
      <c r="D605" s="224"/>
      <c r="E605" s="225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</row>
    <row r="606">
      <c r="A606" s="240"/>
      <c r="B606" s="222"/>
      <c r="C606" s="223"/>
      <c r="D606" s="224"/>
      <c r="E606" s="225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</row>
    <row r="607">
      <c r="A607" s="240"/>
      <c r="B607" s="222"/>
      <c r="C607" s="223"/>
      <c r="D607" s="224"/>
      <c r="E607" s="225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</row>
    <row r="608">
      <c r="A608" s="240"/>
      <c r="B608" s="222"/>
      <c r="C608" s="223"/>
      <c r="D608" s="224"/>
      <c r="E608" s="225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</row>
    <row r="609">
      <c r="A609" s="240"/>
      <c r="B609" s="222"/>
      <c r="C609" s="223"/>
      <c r="D609" s="224"/>
      <c r="E609" s="225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</row>
    <row r="610">
      <c r="A610" s="240"/>
      <c r="B610" s="222"/>
      <c r="C610" s="223"/>
      <c r="D610" s="224"/>
      <c r="E610" s="225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</row>
    <row r="611">
      <c r="A611" s="240"/>
      <c r="B611" s="222"/>
      <c r="C611" s="223"/>
      <c r="D611" s="224"/>
      <c r="E611" s="225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</row>
    <row r="612">
      <c r="A612" s="240"/>
      <c r="B612" s="222"/>
      <c r="C612" s="223"/>
      <c r="D612" s="224"/>
      <c r="E612" s="225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</row>
    <row r="613">
      <c r="A613" s="240"/>
      <c r="B613" s="222"/>
      <c r="C613" s="223"/>
      <c r="D613" s="224"/>
      <c r="E613" s="225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</row>
    <row r="614">
      <c r="A614" s="240"/>
      <c r="B614" s="222"/>
      <c r="C614" s="223"/>
      <c r="D614" s="224"/>
      <c r="E614" s="225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</row>
    <row r="615">
      <c r="A615" s="240"/>
      <c r="B615" s="222"/>
      <c r="C615" s="223"/>
      <c r="D615" s="224"/>
      <c r="E615" s="225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</row>
    <row r="616">
      <c r="A616" s="240"/>
      <c r="B616" s="222"/>
      <c r="C616" s="223"/>
      <c r="D616" s="224"/>
      <c r="E616" s="225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</row>
    <row r="617">
      <c r="A617" s="240"/>
      <c r="B617" s="222"/>
      <c r="C617" s="223"/>
      <c r="D617" s="224"/>
      <c r="E617" s="225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</row>
    <row r="618">
      <c r="A618" s="240"/>
      <c r="B618" s="222"/>
      <c r="C618" s="223"/>
      <c r="D618" s="224"/>
      <c r="E618" s="225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</row>
    <row r="619">
      <c r="A619" s="240"/>
      <c r="B619" s="222"/>
      <c r="C619" s="223"/>
      <c r="D619" s="224"/>
      <c r="E619" s="225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</row>
    <row r="620">
      <c r="A620" s="240"/>
      <c r="B620" s="222"/>
      <c r="C620" s="223"/>
      <c r="D620" s="224"/>
      <c r="E620" s="225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</row>
    <row r="621">
      <c r="A621" s="240"/>
      <c r="B621" s="222"/>
      <c r="C621" s="223"/>
      <c r="D621" s="224"/>
      <c r="E621" s="225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</row>
    <row r="622">
      <c r="A622" s="240"/>
      <c r="B622" s="222"/>
      <c r="C622" s="223"/>
      <c r="D622" s="224"/>
      <c r="E622" s="225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</row>
    <row r="623">
      <c r="A623" s="240"/>
      <c r="B623" s="222"/>
      <c r="C623" s="223"/>
      <c r="D623" s="224"/>
      <c r="E623" s="225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</row>
    <row r="624">
      <c r="A624" s="240"/>
      <c r="B624" s="222"/>
      <c r="C624" s="223"/>
      <c r="D624" s="224"/>
      <c r="E624" s="225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</row>
    <row r="625">
      <c r="A625" s="240"/>
      <c r="B625" s="222"/>
      <c r="C625" s="223"/>
      <c r="D625" s="224"/>
      <c r="E625" s="225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</row>
    <row r="626">
      <c r="A626" s="240"/>
      <c r="B626" s="222"/>
      <c r="C626" s="223"/>
      <c r="D626" s="224"/>
      <c r="E626" s="225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</row>
    <row r="627">
      <c r="A627" s="240"/>
      <c r="B627" s="222"/>
      <c r="C627" s="223"/>
      <c r="D627" s="224"/>
      <c r="E627" s="225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</row>
    <row r="628">
      <c r="A628" s="240"/>
      <c r="B628" s="222"/>
      <c r="C628" s="223"/>
      <c r="D628" s="224"/>
      <c r="E628" s="225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</row>
    <row r="629">
      <c r="A629" s="240"/>
      <c r="B629" s="222"/>
      <c r="C629" s="223"/>
      <c r="D629" s="224"/>
      <c r="E629" s="225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</row>
    <row r="630">
      <c r="A630" s="240"/>
      <c r="B630" s="222"/>
      <c r="C630" s="223"/>
      <c r="D630" s="224"/>
      <c r="E630" s="225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</row>
    <row r="631">
      <c r="A631" s="240"/>
      <c r="B631" s="222"/>
      <c r="C631" s="223"/>
      <c r="D631" s="224"/>
      <c r="E631" s="225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</row>
    <row r="632">
      <c r="A632" s="240"/>
      <c r="B632" s="222"/>
      <c r="C632" s="223"/>
      <c r="D632" s="224"/>
      <c r="E632" s="225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</row>
    <row r="633">
      <c r="A633" s="240"/>
      <c r="B633" s="222"/>
      <c r="C633" s="223"/>
      <c r="D633" s="224"/>
      <c r="E633" s="225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</row>
    <row r="634">
      <c r="A634" s="240"/>
      <c r="B634" s="222"/>
      <c r="C634" s="223"/>
      <c r="D634" s="224"/>
      <c r="E634" s="225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</row>
    <row r="635">
      <c r="A635" s="240"/>
      <c r="B635" s="222"/>
      <c r="C635" s="223"/>
      <c r="D635" s="224"/>
      <c r="E635" s="225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</row>
    <row r="636">
      <c r="A636" s="240"/>
      <c r="B636" s="222"/>
      <c r="C636" s="223"/>
      <c r="D636" s="224"/>
      <c r="E636" s="225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</row>
    <row r="637">
      <c r="A637" s="240"/>
      <c r="B637" s="222"/>
      <c r="C637" s="223"/>
      <c r="D637" s="224"/>
      <c r="E637" s="225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</row>
    <row r="638">
      <c r="A638" s="240"/>
      <c r="B638" s="222"/>
      <c r="C638" s="223"/>
      <c r="D638" s="224"/>
      <c r="E638" s="225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</row>
    <row r="639">
      <c r="A639" s="240"/>
      <c r="B639" s="222"/>
      <c r="C639" s="223"/>
      <c r="D639" s="224"/>
      <c r="E639" s="225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</row>
    <row r="640">
      <c r="A640" s="240"/>
      <c r="B640" s="222"/>
      <c r="C640" s="223"/>
      <c r="D640" s="224"/>
      <c r="E640" s="225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</row>
    <row r="641">
      <c r="A641" s="240"/>
      <c r="B641" s="222"/>
      <c r="C641" s="223"/>
      <c r="D641" s="224"/>
      <c r="E641" s="225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</row>
    <row r="642">
      <c r="A642" s="240"/>
      <c r="B642" s="222"/>
      <c r="C642" s="223"/>
      <c r="D642" s="224"/>
      <c r="E642" s="225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</row>
    <row r="643">
      <c r="A643" s="240"/>
      <c r="B643" s="222"/>
      <c r="C643" s="223"/>
      <c r="D643" s="224"/>
      <c r="E643" s="225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</row>
    <row r="644">
      <c r="A644" s="240"/>
      <c r="B644" s="222"/>
      <c r="C644" s="223"/>
      <c r="D644" s="224"/>
      <c r="E644" s="225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</row>
    <row r="645">
      <c r="A645" s="240"/>
      <c r="B645" s="222"/>
      <c r="C645" s="223"/>
      <c r="D645" s="224"/>
      <c r="E645" s="225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</row>
    <row r="646">
      <c r="A646" s="240"/>
      <c r="B646" s="222"/>
      <c r="C646" s="223"/>
      <c r="D646" s="224"/>
      <c r="E646" s="225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</row>
    <row r="647">
      <c r="A647" s="240"/>
      <c r="B647" s="222"/>
      <c r="C647" s="223"/>
      <c r="D647" s="224"/>
      <c r="E647" s="225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</row>
    <row r="648">
      <c r="A648" s="240"/>
      <c r="B648" s="222"/>
      <c r="C648" s="223"/>
      <c r="D648" s="224"/>
      <c r="E648" s="225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</row>
    <row r="649">
      <c r="A649" s="240"/>
      <c r="B649" s="222"/>
      <c r="C649" s="223"/>
      <c r="D649" s="224"/>
      <c r="E649" s="225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</row>
    <row r="650">
      <c r="A650" s="240"/>
      <c r="B650" s="222"/>
      <c r="C650" s="223"/>
      <c r="D650" s="224"/>
      <c r="E650" s="225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</row>
    <row r="651">
      <c r="A651" s="240"/>
      <c r="B651" s="222"/>
      <c r="C651" s="223"/>
      <c r="D651" s="224"/>
      <c r="E651" s="225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</row>
    <row r="652">
      <c r="A652" s="240"/>
      <c r="B652" s="222"/>
      <c r="C652" s="223"/>
      <c r="D652" s="224"/>
      <c r="E652" s="225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</row>
    <row r="653">
      <c r="A653" s="240"/>
      <c r="B653" s="222"/>
      <c r="C653" s="223"/>
      <c r="D653" s="224"/>
      <c r="E653" s="225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</row>
    <row r="654">
      <c r="A654" s="240"/>
      <c r="B654" s="222"/>
      <c r="C654" s="223"/>
      <c r="D654" s="224"/>
      <c r="E654" s="225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</row>
    <row r="655">
      <c r="A655" s="240"/>
      <c r="B655" s="222"/>
      <c r="C655" s="223"/>
      <c r="D655" s="224"/>
      <c r="E655" s="225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</row>
    <row r="656">
      <c r="A656" s="240"/>
      <c r="B656" s="222"/>
      <c r="C656" s="223"/>
      <c r="D656" s="224"/>
      <c r="E656" s="225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</row>
    <row r="657">
      <c r="A657" s="240"/>
      <c r="B657" s="222"/>
      <c r="C657" s="223"/>
      <c r="D657" s="224"/>
      <c r="E657" s="225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</row>
    <row r="658">
      <c r="A658" s="240"/>
      <c r="B658" s="222"/>
      <c r="C658" s="223"/>
      <c r="D658" s="224"/>
      <c r="E658" s="225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</row>
    <row r="659">
      <c r="A659" s="240"/>
      <c r="B659" s="222"/>
      <c r="C659" s="223"/>
      <c r="D659" s="224"/>
      <c r="E659" s="225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</row>
    <row r="660">
      <c r="A660" s="240"/>
      <c r="B660" s="222"/>
      <c r="C660" s="223"/>
      <c r="D660" s="224"/>
      <c r="E660" s="225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</row>
    <row r="661">
      <c r="A661" s="240"/>
      <c r="B661" s="222"/>
      <c r="C661" s="223"/>
      <c r="D661" s="224"/>
      <c r="E661" s="225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</row>
    <row r="662">
      <c r="A662" s="240"/>
      <c r="B662" s="222"/>
      <c r="C662" s="223"/>
      <c r="D662" s="224"/>
      <c r="E662" s="225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</row>
    <row r="663">
      <c r="A663" s="240"/>
      <c r="B663" s="222"/>
      <c r="C663" s="223"/>
      <c r="D663" s="224"/>
      <c r="E663" s="225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</row>
    <row r="664">
      <c r="A664" s="240"/>
      <c r="B664" s="222"/>
      <c r="C664" s="223"/>
      <c r="D664" s="224"/>
      <c r="E664" s="225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</row>
    <row r="665">
      <c r="A665" s="240"/>
      <c r="B665" s="222"/>
      <c r="C665" s="223"/>
      <c r="D665" s="224"/>
      <c r="E665" s="225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</row>
    <row r="666">
      <c r="A666" s="240"/>
      <c r="B666" s="222"/>
      <c r="C666" s="223"/>
      <c r="D666" s="224"/>
      <c r="E666" s="225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</row>
    <row r="667">
      <c r="A667" s="240"/>
      <c r="B667" s="222"/>
      <c r="C667" s="223"/>
      <c r="D667" s="224"/>
      <c r="E667" s="225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</row>
    <row r="668">
      <c r="A668" s="240"/>
      <c r="B668" s="222"/>
      <c r="C668" s="223"/>
      <c r="D668" s="224"/>
      <c r="E668" s="225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</row>
    <row r="669">
      <c r="A669" s="240"/>
      <c r="B669" s="222"/>
      <c r="C669" s="223"/>
      <c r="D669" s="224"/>
      <c r="E669" s="225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</row>
    <row r="670">
      <c r="A670" s="240"/>
      <c r="B670" s="222"/>
      <c r="C670" s="223"/>
      <c r="D670" s="224"/>
      <c r="E670" s="225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</row>
    <row r="671">
      <c r="A671" s="240"/>
      <c r="B671" s="222"/>
      <c r="C671" s="223"/>
      <c r="D671" s="224"/>
      <c r="E671" s="225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</row>
    <row r="672">
      <c r="A672" s="240"/>
      <c r="B672" s="222"/>
      <c r="C672" s="223"/>
      <c r="D672" s="224"/>
      <c r="E672" s="225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</row>
    <row r="673">
      <c r="A673" s="240"/>
      <c r="B673" s="222"/>
      <c r="C673" s="223"/>
      <c r="D673" s="224"/>
      <c r="E673" s="225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</row>
    <row r="674">
      <c r="A674" s="240"/>
      <c r="B674" s="222"/>
      <c r="C674" s="223"/>
      <c r="D674" s="224"/>
      <c r="E674" s="225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</row>
    <row r="675">
      <c r="A675" s="240"/>
      <c r="B675" s="222"/>
      <c r="C675" s="223"/>
      <c r="D675" s="224"/>
      <c r="E675" s="225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</row>
    <row r="676">
      <c r="A676" s="240"/>
      <c r="B676" s="222"/>
      <c r="C676" s="223"/>
      <c r="D676" s="224"/>
      <c r="E676" s="225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</row>
    <row r="677">
      <c r="A677" s="240"/>
      <c r="B677" s="222"/>
      <c r="C677" s="223"/>
      <c r="D677" s="224"/>
      <c r="E677" s="225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</row>
    <row r="678">
      <c r="A678" s="240"/>
      <c r="B678" s="222"/>
      <c r="C678" s="223"/>
      <c r="D678" s="224"/>
      <c r="E678" s="225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</row>
    <row r="679">
      <c r="A679" s="240"/>
      <c r="B679" s="222"/>
      <c r="C679" s="223"/>
      <c r="D679" s="224"/>
      <c r="E679" s="225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</row>
    <row r="680">
      <c r="A680" s="240"/>
      <c r="B680" s="222"/>
      <c r="C680" s="223"/>
      <c r="D680" s="224"/>
      <c r="E680" s="225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</row>
    <row r="681">
      <c r="A681" s="240"/>
      <c r="B681" s="222"/>
      <c r="C681" s="223"/>
      <c r="D681" s="224"/>
      <c r="E681" s="225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</row>
    <row r="682">
      <c r="A682" s="240"/>
      <c r="B682" s="222"/>
      <c r="C682" s="223"/>
      <c r="D682" s="224"/>
      <c r="E682" s="225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</row>
    <row r="683">
      <c r="A683" s="240"/>
      <c r="B683" s="222"/>
      <c r="C683" s="223"/>
      <c r="D683" s="224"/>
      <c r="E683" s="225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</row>
    <row r="684">
      <c r="A684" s="240"/>
      <c r="B684" s="222"/>
      <c r="C684" s="223"/>
      <c r="D684" s="224"/>
      <c r="E684" s="225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</row>
    <row r="685">
      <c r="A685" s="240"/>
      <c r="B685" s="222"/>
      <c r="C685" s="223"/>
      <c r="D685" s="224"/>
      <c r="E685" s="225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</row>
    <row r="686">
      <c r="A686" s="240"/>
      <c r="B686" s="222"/>
      <c r="C686" s="223"/>
      <c r="D686" s="224"/>
      <c r="E686" s="225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</row>
    <row r="687">
      <c r="A687" s="240"/>
      <c r="B687" s="222"/>
      <c r="C687" s="223"/>
      <c r="D687" s="224"/>
      <c r="E687" s="225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</row>
    <row r="688">
      <c r="A688" s="240"/>
      <c r="B688" s="222"/>
      <c r="C688" s="223"/>
      <c r="D688" s="224"/>
      <c r="E688" s="225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</row>
    <row r="689">
      <c r="A689" s="240"/>
      <c r="B689" s="222"/>
      <c r="C689" s="223"/>
      <c r="D689" s="224"/>
      <c r="E689" s="225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</row>
    <row r="690">
      <c r="A690" s="240"/>
      <c r="B690" s="222"/>
      <c r="C690" s="223"/>
      <c r="D690" s="224"/>
      <c r="E690" s="225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</row>
    <row r="691">
      <c r="A691" s="240"/>
      <c r="B691" s="222"/>
      <c r="C691" s="223"/>
      <c r="D691" s="224"/>
      <c r="E691" s="225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</row>
    <row r="692">
      <c r="A692" s="240"/>
      <c r="B692" s="222"/>
      <c r="C692" s="223"/>
      <c r="D692" s="224"/>
      <c r="E692" s="225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</row>
    <row r="693">
      <c r="A693" s="240"/>
      <c r="B693" s="222"/>
      <c r="C693" s="223"/>
      <c r="D693" s="224"/>
      <c r="E693" s="225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</row>
    <row r="694">
      <c r="A694" s="240"/>
      <c r="B694" s="222"/>
      <c r="C694" s="223"/>
      <c r="D694" s="224"/>
      <c r="E694" s="225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</row>
    <row r="695">
      <c r="A695" s="240"/>
      <c r="B695" s="222"/>
      <c r="C695" s="223"/>
      <c r="D695" s="224"/>
      <c r="E695" s="225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</row>
    <row r="696">
      <c r="A696" s="240"/>
      <c r="B696" s="222"/>
      <c r="C696" s="223"/>
      <c r="D696" s="224"/>
      <c r="E696" s="225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</row>
    <row r="697">
      <c r="A697" s="240"/>
      <c r="B697" s="222"/>
      <c r="C697" s="223"/>
      <c r="D697" s="224"/>
      <c r="E697" s="225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</row>
    <row r="698">
      <c r="A698" s="240"/>
      <c r="B698" s="222"/>
      <c r="C698" s="223"/>
      <c r="D698" s="224"/>
      <c r="E698" s="225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</row>
    <row r="699">
      <c r="A699" s="240"/>
      <c r="B699" s="222"/>
      <c r="C699" s="223"/>
      <c r="D699" s="224"/>
      <c r="E699" s="225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</row>
    <row r="700">
      <c r="A700" s="240"/>
      <c r="B700" s="222"/>
      <c r="C700" s="223"/>
      <c r="D700" s="224"/>
      <c r="E700" s="225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</row>
    <row r="701">
      <c r="A701" s="240"/>
      <c r="B701" s="222"/>
      <c r="C701" s="223"/>
      <c r="D701" s="224"/>
      <c r="E701" s="225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</row>
    <row r="702">
      <c r="A702" s="240"/>
      <c r="B702" s="222"/>
      <c r="C702" s="223"/>
      <c r="D702" s="224"/>
      <c r="E702" s="225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</row>
    <row r="703">
      <c r="A703" s="240"/>
      <c r="B703" s="222"/>
      <c r="C703" s="223"/>
      <c r="D703" s="224"/>
      <c r="E703" s="225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</row>
    <row r="704">
      <c r="A704" s="240"/>
      <c r="B704" s="222"/>
      <c r="C704" s="223"/>
      <c r="D704" s="224"/>
      <c r="E704" s="225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</row>
    <row r="705">
      <c r="A705" s="240"/>
      <c r="B705" s="222"/>
      <c r="C705" s="223"/>
      <c r="D705" s="224"/>
      <c r="E705" s="225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</row>
    <row r="706">
      <c r="A706" s="240"/>
      <c r="B706" s="222"/>
      <c r="C706" s="223"/>
      <c r="D706" s="224"/>
      <c r="E706" s="225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</row>
    <row r="707">
      <c r="A707" s="240"/>
      <c r="B707" s="222"/>
      <c r="C707" s="223"/>
      <c r="D707" s="224"/>
      <c r="E707" s="225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</row>
    <row r="708">
      <c r="A708" s="240"/>
      <c r="B708" s="222"/>
      <c r="C708" s="223"/>
      <c r="D708" s="224"/>
      <c r="E708" s="225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</row>
    <row r="709">
      <c r="A709" s="240"/>
      <c r="B709" s="222"/>
      <c r="C709" s="223"/>
      <c r="D709" s="224"/>
      <c r="E709" s="225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</row>
    <row r="710">
      <c r="A710" s="240"/>
      <c r="B710" s="222"/>
      <c r="C710" s="223"/>
      <c r="D710" s="224"/>
      <c r="E710" s="225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</row>
    <row r="711">
      <c r="A711" s="240"/>
      <c r="B711" s="222"/>
      <c r="C711" s="223"/>
      <c r="D711" s="224"/>
      <c r="E711" s="225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</row>
    <row r="712">
      <c r="A712" s="240"/>
      <c r="B712" s="222"/>
      <c r="C712" s="223"/>
      <c r="D712" s="224"/>
      <c r="E712" s="225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</row>
    <row r="713">
      <c r="A713" s="240"/>
      <c r="B713" s="222"/>
      <c r="C713" s="223"/>
      <c r="D713" s="224"/>
      <c r="E713" s="225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</row>
    <row r="714">
      <c r="A714" s="240"/>
      <c r="B714" s="222"/>
      <c r="C714" s="223"/>
      <c r="D714" s="224"/>
      <c r="E714" s="225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</row>
    <row r="715">
      <c r="A715" s="240"/>
      <c r="B715" s="222"/>
      <c r="C715" s="223"/>
      <c r="D715" s="224"/>
      <c r="E715" s="225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</row>
    <row r="716">
      <c r="A716" s="240"/>
      <c r="B716" s="222"/>
      <c r="C716" s="223"/>
      <c r="D716" s="224"/>
      <c r="E716" s="225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</row>
    <row r="717">
      <c r="A717" s="240"/>
      <c r="B717" s="222"/>
      <c r="C717" s="223"/>
      <c r="D717" s="224"/>
      <c r="E717" s="225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</row>
    <row r="718">
      <c r="A718" s="240"/>
      <c r="B718" s="222"/>
      <c r="C718" s="223"/>
      <c r="D718" s="224"/>
      <c r="E718" s="225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</row>
    <row r="719">
      <c r="A719" s="240"/>
      <c r="B719" s="222"/>
      <c r="C719" s="223"/>
      <c r="D719" s="224"/>
      <c r="E719" s="225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</row>
    <row r="720">
      <c r="A720" s="240"/>
      <c r="B720" s="222"/>
      <c r="C720" s="223"/>
      <c r="D720" s="224"/>
      <c r="E720" s="225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</row>
    <row r="721">
      <c r="A721" s="240"/>
      <c r="B721" s="222"/>
      <c r="C721" s="223"/>
      <c r="D721" s="224"/>
      <c r="E721" s="225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</row>
    <row r="722">
      <c r="A722" s="240"/>
      <c r="B722" s="222"/>
      <c r="C722" s="223"/>
      <c r="D722" s="224"/>
      <c r="E722" s="225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</row>
    <row r="723">
      <c r="A723" s="240"/>
      <c r="B723" s="222"/>
      <c r="C723" s="223"/>
      <c r="D723" s="224"/>
      <c r="E723" s="225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</row>
    <row r="724">
      <c r="A724" s="240"/>
      <c r="B724" s="222"/>
      <c r="C724" s="223"/>
      <c r="D724" s="224"/>
      <c r="E724" s="225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</row>
    <row r="725">
      <c r="A725" s="240"/>
      <c r="B725" s="222"/>
      <c r="C725" s="223"/>
      <c r="D725" s="224"/>
      <c r="E725" s="225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</row>
    <row r="726">
      <c r="A726" s="240"/>
      <c r="B726" s="222"/>
      <c r="C726" s="223"/>
      <c r="D726" s="224"/>
      <c r="E726" s="225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</row>
    <row r="727">
      <c r="A727" s="240"/>
      <c r="B727" s="222"/>
      <c r="C727" s="223"/>
      <c r="D727" s="224"/>
      <c r="E727" s="225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</row>
    <row r="728">
      <c r="A728" s="240"/>
      <c r="B728" s="222"/>
      <c r="C728" s="223"/>
      <c r="D728" s="224"/>
      <c r="E728" s="225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</row>
    <row r="729">
      <c r="A729" s="240"/>
      <c r="B729" s="222"/>
      <c r="C729" s="223"/>
      <c r="D729" s="224"/>
      <c r="E729" s="225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</row>
    <row r="730">
      <c r="A730" s="240"/>
      <c r="B730" s="222"/>
      <c r="C730" s="223"/>
      <c r="D730" s="224"/>
      <c r="E730" s="225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</row>
    <row r="731">
      <c r="A731" s="240"/>
      <c r="B731" s="222"/>
      <c r="C731" s="223"/>
      <c r="D731" s="224"/>
      <c r="E731" s="225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</row>
    <row r="732">
      <c r="A732" s="240"/>
      <c r="B732" s="222"/>
      <c r="C732" s="223"/>
      <c r="D732" s="224"/>
      <c r="E732" s="225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</row>
    <row r="733">
      <c r="A733" s="240"/>
      <c r="B733" s="222"/>
      <c r="C733" s="223"/>
      <c r="D733" s="224"/>
      <c r="E733" s="225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</row>
    <row r="734">
      <c r="A734" s="240"/>
      <c r="B734" s="222"/>
      <c r="C734" s="223"/>
      <c r="D734" s="224"/>
      <c r="E734" s="225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</row>
    <row r="735">
      <c r="A735" s="240"/>
      <c r="B735" s="222"/>
      <c r="C735" s="223"/>
      <c r="D735" s="224"/>
      <c r="E735" s="225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</row>
    <row r="736">
      <c r="A736" s="240"/>
      <c r="B736" s="222"/>
      <c r="C736" s="223"/>
      <c r="D736" s="224"/>
      <c r="E736" s="225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</row>
    <row r="737">
      <c r="A737" s="240"/>
      <c r="B737" s="222"/>
      <c r="C737" s="223"/>
      <c r="D737" s="224"/>
      <c r="E737" s="225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</row>
    <row r="738">
      <c r="A738" s="240"/>
      <c r="B738" s="222"/>
      <c r="C738" s="223"/>
      <c r="D738" s="224"/>
      <c r="E738" s="225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</row>
    <row r="739">
      <c r="A739" s="240"/>
      <c r="B739" s="222"/>
      <c r="C739" s="223"/>
      <c r="D739" s="224"/>
      <c r="E739" s="225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</row>
    <row r="740">
      <c r="A740" s="240"/>
      <c r="B740" s="222"/>
      <c r="C740" s="223"/>
      <c r="D740" s="224"/>
      <c r="E740" s="225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</row>
    <row r="741">
      <c r="A741" s="240"/>
      <c r="B741" s="222"/>
      <c r="C741" s="223"/>
      <c r="D741" s="224"/>
      <c r="E741" s="225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</row>
    <row r="742">
      <c r="A742" s="240"/>
      <c r="B742" s="222"/>
      <c r="C742" s="223"/>
      <c r="D742" s="224"/>
      <c r="E742" s="225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</row>
    <row r="743">
      <c r="A743" s="240"/>
      <c r="B743" s="222"/>
      <c r="C743" s="223"/>
      <c r="D743" s="224"/>
      <c r="E743" s="225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</row>
    <row r="744">
      <c r="A744" s="240"/>
      <c r="B744" s="222"/>
      <c r="C744" s="223"/>
      <c r="D744" s="224"/>
      <c r="E744" s="225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</row>
    <row r="745">
      <c r="A745" s="240"/>
      <c r="B745" s="222"/>
      <c r="C745" s="223"/>
      <c r="D745" s="224"/>
      <c r="E745" s="225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</row>
    <row r="746">
      <c r="A746" s="240"/>
      <c r="B746" s="222"/>
      <c r="C746" s="223"/>
      <c r="D746" s="224"/>
      <c r="E746" s="225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</row>
    <row r="747">
      <c r="A747" s="240"/>
      <c r="B747" s="222"/>
      <c r="C747" s="223"/>
      <c r="D747" s="224"/>
      <c r="E747" s="225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</row>
    <row r="748">
      <c r="A748" s="240"/>
      <c r="B748" s="222"/>
      <c r="C748" s="223"/>
      <c r="D748" s="224"/>
      <c r="E748" s="225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</row>
    <row r="749">
      <c r="A749" s="240"/>
      <c r="B749" s="222"/>
      <c r="C749" s="223"/>
      <c r="D749" s="224"/>
      <c r="E749" s="225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</row>
    <row r="750">
      <c r="A750" s="240"/>
      <c r="B750" s="222"/>
      <c r="C750" s="223"/>
      <c r="D750" s="224"/>
      <c r="E750" s="225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</row>
    <row r="751">
      <c r="A751" s="240"/>
      <c r="B751" s="222"/>
      <c r="C751" s="223"/>
      <c r="D751" s="224"/>
      <c r="E751" s="225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</row>
    <row r="752">
      <c r="A752" s="240"/>
      <c r="B752" s="222"/>
      <c r="C752" s="223"/>
      <c r="D752" s="224"/>
      <c r="E752" s="225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</row>
    <row r="753">
      <c r="A753" s="240"/>
      <c r="B753" s="222"/>
      <c r="C753" s="223"/>
      <c r="D753" s="224"/>
      <c r="E753" s="225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</row>
    <row r="754">
      <c r="A754" s="240"/>
      <c r="B754" s="222"/>
      <c r="C754" s="223"/>
      <c r="D754" s="224"/>
      <c r="E754" s="225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</row>
    <row r="755">
      <c r="A755" s="240"/>
      <c r="B755" s="222"/>
      <c r="C755" s="223"/>
      <c r="D755" s="224"/>
      <c r="E755" s="225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</row>
    <row r="756">
      <c r="A756" s="240"/>
      <c r="B756" s="222"/>
      <c r="C756" s="223"/>
      <c r="D756" s="224"/>
      <c r="E756" s="225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</row>
    <row r="757">
      <c r="A757" s="240"/>
      <c r="B757" s="222"/>
      <c r="C757" s="223"/>
      <c r="D757" s="224"/>
      <c r="E757" s="225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</row>
    <row r="758">
      <c r="A758" s="240"/>
      <c r="B758" s="222"/>
      <c r="C758" s="223"/>
      <c r="D758" s="224"/>
      <c r="E758" s="225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</row>
    <row r="759">
      <c r="A759" s="240"/>
      <c r="B759" s="222"/>
      <c r="C759" s="223"/>
      <c r="D759" s="224"/>
      <c r="E759" s="225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</row>
    <row r="760">
      <c r="A760" s="240"/>
      <c r="B760" s="222"/>
      <c r="C760" s="223"/>
      <c r="D760" s="224"/>
      <c r="E760" s="225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</row>
    <row r="761">
      <c r="A761" s="240"/>
      <c r="B761" s="222"/>
      <c r="C761" s="223"/>
      <c r="D761" s="224"/>
      <c r="E761" s="225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</row>
    <row r="762">
      <c r="A762" s="240"/>
      <c r="B762" s="222"/>
      <c r="C762" s="223"/>
      <c r="D762" s="224"/>
      <c r="E762" s="225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</row>
    <row r="763">
      <c r="A763" s="240"/>
      <c r="B763" s="222"/>
      <c r="C763" s="223"/>
      <c r="D763" s="224"/>
      <c r="E763" s="225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</row>
    <row r="764">
      <c r="A764" s="240"/>
      <c r="B764" s="222"/>
      <c r="C764" s="223"/>
      <c r="D764" s="224"/>
      <c r="E764" s="225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</row>
    <row r="765">
      <c r="A765" s="240"/>
      <c r="B765" s="222"/>
      <c r="C765" s="223"/>
      <c r="D765" s="224"/>
      <c r="E765" s="225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</row>
    <row r="766">
      <c r="A766" s="240"/>
      <c r="B766" s="222"/>
      <c r="C766" s="223"/>
      <c r="D766" s="224"/>
      <c r="E766" s="225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</row>
    <row r="767">
      <c r="A767" s="240"/>
      <c r="B767" s="222"/>
      <c r="C767" s="223"/>
      <c r="D767" s="224"/>
      <c r="E767" s="225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</row>
    <row r="768">
      <c r="A768" s="240"/>
      <c r="B768" s="222"/>
      <c r="C768" s="223"/>
      <c r="D768" s="224"/>
      <c r="E768" s="225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</row>
    <row r="769">
      <c r="A769" s="240"/>
      <c r="B769" s="222"/>
      <c r="C769" s="223"/>
      <c r="D769" s="224"/>
      <c r="E769" s="225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</row>
    <row r="770">
      <c r="A770" s="240"/>
      <c r="B770" s="222"/>
      <c r="C770" s="223"/>
      <c r="D770" s="224"/>
      <c r="E770" s="225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</row>
    <row r="771">
      <c r="A771" s="240"/>
      <c r="B771" s="222"/>
      <c r="C771" s="223"/>
      <c r="D771" s="224"/>
      <c r="E771" s="225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</row>
    <row r="772">
      <c r="A772" s="240"/>
      <c r="B772" s="222"/>
      <c r="C772" s="223"/>
      <c r="D772" s="224"/>
      <c r="E772" s="225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</row>
    <row r="773">
      <c r="A773" s="240"/>
      <c r="B773" s="222"/>
      <c r="C773" s="223"/>
      <c r="D773" s="224"/>
      <c r="E773" s="225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</row>
    <row r="774">
      <c r="A774" s="240"/>
      <c r="B774" s="222"/>
      <c r="C774" s="223"/>
      <c r="D774" s="224"/>
      <c r="E774" s="225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</row>
    <row r="775">
      <c r="A775" s="240"/>
      <c r="B775" s="222"/>
      <c r="C775" s="223"/>
      <c r="D775" s="224"/>
      <c r="E775" s="225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</row>
    <row r="776">
      <c r="A776" s="240"/>
      <c r="B776" s="222"/>
      <c r="C776" s="223"/>
      <c r="D776" s="224"/>
      <c r="E776" s="225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</row>
    <row r="777">
      <c r="A777" s="240"/>
      <c r="B777" s="222"/>
      <c r="C777" s="223"/>
      <c r="D777" s="224"/>
      <c r="E777" s="225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</row>
    <row r="778">
      <c r="A778" s="240"/>
      <c r="B778" s="222"/>
      <c r="C778" s="223"/>
      <c r="D778" s="224"/>
      <c r="E778" s="225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</row>
    <row r="779">
      <c r="A779" s="240"/>
      <c r="B779" s="222"/>
      <c r="C779" s="223"/>
      <c r="D779" s="224"/>
      <c r="E779" s="225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</row>
    <row r="780">
      <c r="A780" s="240"/>
      <c r="B780" s="222"/>
      <c r="C780" s="223"/>
      <c r="D780" s="224"/>
      <c r="E780" s="225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</row>
    <row r="781">
      <c r="A781" s="240"/>
      <c r="B781" s="222"/>
      <c r="C781" s="223"/>
      <c r="D781" s="224"/>
      <c r="E781" s="225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</row>
    <row r="782">
      <c r="A782" s="240"/>
      <c r="B782" s="222"/>
      <c r="C782" s="223"/>
      <c r="D782" s="224"/>
      <c r="E782" s="225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</row>
    <row r="783">
      <c r="A783" s="240"/>
      <c r="B783" s="222"/>
      <c r="C783" s="223"/>
      <c r="D783" s="224"/>
      <c r="E783" s="225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</row>
    <row r="784">
      <c r="A784" s="240"/>
      <c r="B784" s="222"/>
      <c r="C784" s="223"/>
      <c r="D784" s="224"/>
      <c r="E784" s="225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</row>
    <row r="785">
      <c r="A785" s="240"/>
      <c r="B785" s="222"/>
      <c r="C785" s="223"/>
      <c r="D785" s="224"/>
      <c r="E785" s="225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</row>
    <row r="786">
      <c r="A786" s="240"/>
      <c r="B786" s="222"/>
      <c r="C786" s="223"/>
      <c r="D786" s="224"/>
      <c r="E786" s="225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</row>
    <row r="787">
      <c r="A787" s="240"/>
      <c r="B787" s="222"/>
      <c r="C787" s="223"/>
      <c r="D787" s="224"/>
      <c r="E787" s="225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</row>
    <row r="788">
      <c r="A788" s="240"/>
      <c r="B788" s="222"/>
      <c r="C788" s="223"/>
      <c r="D788" s="224"/>
      <c r="E788" s="225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</row>
    <row r="789">
      <c r="A789" s="240"/>
      <c r="B789" s="222"/>
      <c r="C789" s="223"/>
      <c r="D789" s="224"/>
      <c r="E789" s="225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</row>
    <row r="790">
      <c r="A790" s="240"/>
      <c r="B790" s="222"/>
      <c r="C790" s="223"/>
      <c r="D790" s="224"/>
      <c r="E790" s="225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</row>
    <row r="791">
      <c r="A791" s="240"/>
      <c r="B791" s="222"/>
      <c r="C791" s="223"/>
      <c r="D791" s="224"/>
      <c r="E791" s="225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</row>
    <row r="792">
      <c r="A792" s="240"/>
      <c r="B792" s="222"/>
      <c r="C792" s="223"/>
      <c r="D792" s="224"/>
      <c r="E792" s="225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</row>
    <row r="793">
      <c r="A793" s="240"/>
      <c r="B793" s="222"/>
      <c r="C793" s="223"/>
      <c r="D793" s="224"/>
      <c r="E793" s="225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</row>
    <row r="794">
      <c r="A794" s="240"/>
      <c r="B794" s="222"/>
      <c r="C794" s="223"/>
      <c r="D794" s="224"/>
      <c r="E794" s="225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</row>
    <row r="795">
      <c r="A795" s="240"/>
      <c r="B795" s="222"/>
      <c r="C795" s="223"/>
      <c r="D795" s="224"/>
      <c r="E795" s="225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</row>
    <row r="796">
      <c r="A796" s="240"/>
      <c r="B796" s="222"/>
      <c r="C796" s="223"/>
      <c r="D796" s="224"/>
      <c r="E796" s="225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</row>
    <row r="797">
      <c r="A797" s="240"/>
      <c r="B797" s="222"/>
      <c r="C797" s="223"/>
      <c r="D797" s="224"/>
      <c r="E797" s="225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</row>
    <row r="798">
      <c r="A798" s="240"/>
      <c r="B798" s="222"/>
      <c r="C798" s="223"/>
      <c r="D798" s="224"/>
      <c r="E798" s="225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</row>
    <row r="799">
      <c r="A799" s="240"/>
      <c r="B799" s="222"/>
      <c r="C799" s="223"/>
      <c r="D799" s="224"/>
      <c r="E799" s="225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</row>
    <row r="800">
      <c r="A800" s="240"/>
      <c r="B800" s="222"/>
      <c r="C800" s="223"/>
      <c r="D800" s="224"/>
      <c r="E800" s="225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</row>
    <row r="801">
      <c r="A801" s="240"/>
      <c r="B801" s="222"/>
      <c r="C801" s="223"/>
      <c r="D801" s="224"/>
      <c r="E801" s="225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</row>
    <row r="802">
      <c r="A802" s="240"/>
      <c r="B802" s="222"/>
      <c r="C802" s="223"/>
      <c r="D802" s="224"/>
      <c r="E802" s="225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</row>
    <row r="803">
      <c r="A803" s="240"/>
      <c r="B803" s="222"/>
      <c r="C803" s="223"/>
      <c r="D803" s="224"/>
      <c r="E803" s="225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</row>
    <row r="804">
      <c r="A804" s="240"/>
      <c r="B804" s="222"/>
      <c r="C804" s="223"/>
      <c r="D804" s="224"/>
      <c r="E804" s="225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</row>
    <row r="805">
      <c r="A805" s="240"/>
      <c r="B805" s="222"/>
      <c r="C805" s="223"/>
      <c r="D805" s="224"/>
      <c r="E805" s="225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</row>
    <row r="806">
      <c r="A806" s="240"/>
      <c r="B806" s="222"/>
      <c r="C806" s="223"/>
      <c r="D806" s="224"/>
      <c r="E806" s="225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</row>
    <row r="807">
      <c r="A807" s="240"/>
      <c r="B807" s="222"/>
      <c r="C807" s="223"/>
      <c r="D807" s="224"/>
      <c r="E807" s="225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</row>
    <row r="808">
      <c r="A808" s="240"/>
      <c r="B808" s="222"/>
      <c r="C808" s="223"/>
      <c r="D808" s="224"/>
      <c r="E808" s="225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</row>
    <row r="809">
      <c r="A809" s="240"/>
      <c r="B809" s="222"/>
      <c r="C809" s="223"/>
      <c r="D809" s="224"/>
      <c r="E809" s="225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</row>
    <row r="810">
      <c r="A810" s="240"/>
      <c r="B810" s="222"/>
      <c r="C810" s="223"/>
      <c r="D810" s="224"/>
      <c r="E810" s="225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</row>
    <row r="811">
      <c r="A811" s="240"/>
      <c r="B811" s="222"/>
      <c r="C811" s="223"/>
      <c r="D811" s="224"/>
      <c r="E811" s="225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</row>
    <row r="812">
      <c r="A812" s="240"/>
      <c r="B812" s="222"/>
      <c r="C812" s="223"/>
      <c r="D812" s="224"/>
      <c r="E812" s="225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</row>
    <row r="813">
      <c r="A813" s="240"/>
      <c r="B813" s="222"/>
      <c r="C813" s="223"/>
      <c r="D813" s="224"/>
      <c r="E813" s="225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</row>
    <row r="814">
      <c r="A814" s="240"/>
      <c r="B814" s="222"/>
      <c r="C814" s="223"/>
      <c r="D814" s="224"/>
      <c r="E814" s="225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</row>
    <row r="815">
      <c r="A815" s="240"/>
      <c r="B815" s="222"/>
      <c r="C815" s="223"/>
      <c r="D815" s="224"/>
      <c r="E815" s="225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</row>
    <row r="816">
      <c r="A816" s="240"/>
      <c r="B816" s="222"/>
      <c r="C816" s="223"/>
      <c r="D816" s="224"/>
      <c r="E816" s="225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</row>
    <row r="817">
      <c r="A817" s="240"/>
      <c r="B817" s="222"/>
      <c r="C817" s="223"/>
      <c r="D817" s="224"/>
      <c r="E817" s="225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</row>
    <row r="818">
      <c r="A818" s="240"/>
      <c r="B818" s="222"/>
      <c r="C818" s="223"/>
      <c r="D818" s="224"/>
      <c r="E818" s="225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</row>
    <row r="819">
      <c r="A819" s="240"/>
      <c r="B819" s="222"/>
      <c r="C819" s="223"/>
      <c r="D819" s="224"/>
      <c r="E819" s="225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</row>
    <row r="820">
      <c r="A820" s="240"/>
      <c r="B820" s="222"/>
      <c r="C820" s="223"/>
      <c r="D820" s="224"/>
      <c r="E820" s="225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</row>
    <row r="821">
      <c r="A821" s="240"/>
      <c r="B821" s="222"/>
      <c r="C821" s="223"/>
      <c r="D821" s="224"/>
      <c r="E821" s="225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</row>
    <row r="822">
      <c r="A822" s="240"/>
      <c r="B822" s="222"/>
      <c r="C822" s="223"/>
      <c r="D822" s="224"/>
      <c r="E822" s="225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</row>
    <row r="823">
      <c r="A823" s="240"/>
      <c r="B823" s="222"/>
      <c r="C823" s="223"/>
      <c r="D823" s="224"/>
      <c r="E823" s="225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</row>
    <row r="824">
      <c r="A824" s="240"/>
      <c r="B824" s="222"/>
      <c r="C824" s="223"/>
      <c r="D824" s="224"/>
      <c r="E824" s="225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</row>
    <row r="825">
      <c r="A825" s="240"/>
      <c r="B825" s="222"/>
      <c r="C825" s="223"/>
      <c r="D825" s="224"/>
      <c r="E825" s="225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</row>
    <row r="826">
      <c r="A826" s="240"/>
      <c r="B826" s="222"/>
      <c r="C826" s="223"/>
      <c r="D826" s="224"/>
      <c r="E826" s="225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</row>
    <row r="827">
      <c r="A827" s="240"/>
      <c r="B827" s="222"/>
      <c r="C827" s="223"/>
      <c r="D827" s="224"/>
      <c r="E827" s="225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</row>
    <row r="828">
      <c r="A828" s="240"/>
      <c r="B828" s="222"/>
      <c r="C828" s="223"/>
      <c r="D828" s="224"/>
      <c r="E828" s="225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</row>
    <row r="829">
      <c r="A829" s="240"/>
      <c r="B829" s="222"/>
      <c r="C829" s="223"/>
      <c r="D829" s="224"/>
      <c r="E829" s="225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</row>
    <row r="830">
      <c r="A830" s="240"/>
      <c r="B830" s="222"/>
      <c r="C830" s="223"/>
      <c r="D830" s="224"/>
      <c r="E830" s="225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</row>
    <row r="831">
      <c r="A831" s="240"/>
      <c r="B831" s="222"/>
      <c r="C831" s="223"/>
      <c r="D831" s="224"/>
      <c r="E831" s="225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</row>
    <row r="832">
      <c r="A832" s="240"/>
      <c r="B832" s="222"/>
      <c r="C832" s="223"/>
      <c r="D832" s="224"/>
      <c r="E832" s="225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</row>
    <row r="833">
      <c r="A833" s="240"/>
      <c r="B833" s="222"/>
      <c r="C833" s="223"/>
      <c r="D833" s="224"/>
      <c r="E833" s="225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</row>
    <row r="834">
      <c r="A834" s="240"/>
      <c r="B834" s="222"/>
      <c r="C834" s="223"/>
      <c r="D834" s="224"/>
      <c r="E834" s="225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</row>
    <row r="835">
      <c r="A835" s="240"/>
      <c r="B835" s="222"/>
      <c r="C835" s="223"/>
      <c r="D835" s="224"/>
      <c r="E835" s="225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</row>
    <row r="836">
      <c r="A836" s="240"/>
      <c r="B836" s="222"/>
      <c r="C836" s="223"/>
      <c r="D836" s="224"/>
      <c r="E836" s="225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</row>
    <row r="837">
      <c r="A837" s="240"/>
      <c r="B837" s="222"/>
      <c r="C837" s="223"/>
      <c r="D837" s="224"/>
      <c r="E837" s="225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</row>
    <row r="838">
      <c r="A838" s="240"/>
      <c r="B838" s="222"/>
      <c r="C838" s="223"/>
      <c r="D838" s="224"/>
      <c r="E838" s="225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</row>
    <row r="839">
      <c r="A839" s="240"/>
      <c r="B839" s="222"/>
      <c r="C839" s="223"/>
      <c r="D839" s="224"/>
      <c r="E839" s="225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</row>
    <row r="840">
      <c r="A840" s="240"/>
      <c r="B840" s="222"/>
      <c r="C840" s="223"/>
      <c r="D840" s="224"/>
      <c r="E840" s="225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</row>
    <row r="841">
      <c r="A841" s="240"/>
      <c r="B841" s="222"/>
      <c r="C841" s="223"/>
      <c r="D841" s="224"/>
      <c r="E841" s="225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</row>
    <row r="842">
      <c r="A842" s="240"/>
      <c r="B842" s="222"/>
      <c r="C842" s="223"/>
      <c r="D842" s="224"/>
      <c r="E842" s="225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</row>
    <row r="843">
      <c r="A843" s="240"/>
      <c r="B843" s="222"/>
      <c r="C843" s="223"/>
      <c r="D843" s="224"/>
      <c r="E843" s="225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</row>
    <row r="844">
      <c r="A844" s="240"/>
      <c r="B844" s="222"/>
      <c r="C844" s="223"/>
      <c r="D844" s="224"/>
      <c r="E844" s="225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</row>
    <row r="845">
      <c r="A845" s="240"/>
      <c r="B845" s="222"/>
      <c r="C845" s="223"/>
      <c r="D845" s="224"/>
      <c r="E845" s="225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</row>
    <row r="846">
      <c r="A846" s="240"/>
      <c r="B846" s="222"/>
      <c r="C846" s="223"/>
      <c r="D846" s="224"/>
      <c r="E846" s="225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</row>
    <row r="847">
      <c r="A847" s="240"/>
      <c r="B847" s="222"/>
      <c r="C847" s="223"/>
      <c r="D847" s="224"/>
      <c r="E847" s="225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</row>
    <row r="848">
      <c r="A848" s="240"/>
      <c r="B848" s="222"/>
      <c r="C848" s="223"/>
      <c r="D848" s="224"/>
      <c r="E848" s="225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</row>
    <row r="849">
      <c r="A849" s="240"/>
      <c r="B849" s="222"/>
      <c r="C849" s="223"/>
      <c r="D849" s="224"/>
      <c r="E849" s="225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</row>
    <row r="850">
      <c r="A850" s="240"/>
      <c r="B850" s="222"/>
      <c r="C850" s="223"/>
      <c r="D850" s="224"/>
      <c r="E850" s="225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</row>
    <row r="851">
      <c r="A851" s="240"/>
      <c r="B851" s="222"/>
      <c r="C851" s="223"/>
      <c r="D851" s="224"/>
      <c r="E851" s="225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</row>
    <row r="852">
      <c r="A852" s="240"/>
      <c r="B852" s="222"/>
      <c r="C852" s="223"/>
      <c r="D852" s="224"/>
      <c r="E852" s="225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</row>
    <row r="853">
      <c r="A853" s="240"/>
      <c r="B853" s="222"/>
      <c r="C853" s="223"/>
      <c r="D853" s="224"/>
      <c r="E853" s="225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</row>
    <row r="854">
      <c r="A854" s="240"/>
      <c r="B854" s="222"/>
      <c r="C854" s="223"/>
      <c r="D854" s="224"/>
      <c r="E854" s="225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</row>
    <row r="855">
      <c r="A855" s="240"/>
      <c r="B855" s="222"/>
      <c r="C855" s="223"/>
      <c r="D855" s="224"/>
      <c r="E855" s="225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</row>
    <row r="856">
      <c r="A856" s="240"/>
      <c r="B856" s="222"/>
      <c r="C856" s="223"/>
      <c r="D856" s="224"/>
      <c r="E856" s="225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</row>
    <row r="857">
      <c r="A857" s="240"/>
      <c r="B857" s="222"/>
      <c r="C857" s="223"/>
      <c r="D857" s="224"/>
      <c r="E857" s="225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</row>
    <row r="858">
      <c r="A858" s="240"/>
      <c r="B858" s="222"/>
      <c r="C858" s="223"/>
      <c r="D858" s="224"/>
      <c r="E858" s="225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</row>
    <row r="859">
      <c r="A859" s="240"/>
      <c r="B859" s="222"/>
      <c r="C859" s="223"/>
      <c r="D859" s="224"/>
      <c r="E859" s="225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</row>
    <row r="860">
      <c r="A860" s="240"/>
      <c r="B860" s="222"/>
      <c r="C860" s="223"/>
      <c r="D860" s="224"/>
      <c r="E860" s="225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</row>
    <row r="861">
      <c r="A861" s="240"/>
      <c r="B861" s="222"/>
      <c r="C861" s="223"/>
      <c r="D861" s="224"/>
      <c r="E861" s="225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</row>
    <row r="862">
      <c r="A862" s="240"/>
      <c r="B862" s="222"/>
      <c r="C862" s="223"/>
      <c r="D862" s="224"/>
      <c r="E862" s="225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</row>
    <row r="863">
      <c r="A863" s="240"/>
      <c r="B863" s="222"/>
      <c r="C863" s="223"/>
      <c r="D863" s="224"/>
      <c r="E863" s="225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</row>
    <row r="864">
      <c r="A864" s="240"/>
      <c r="B864" s="222"/>
      <c r="C864" s="223"/>
      <c r="D864" s="224"/>
      <c r="E864" s="225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</row>
    <row r="865">
      <c r="A865" s="240"/>
      <c r="B865" s="222"/>
      <c r="C865" s="223"/>
      <c r="D865" s="224"/>
      <c r="E865" s="225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</row>
    <row r="866">
      <c r="A866" s="240"/>
      <c r="B866" s="222"/>
      <c r="C866" s="223"/>
      <c r="D866" s="224"/>
      <c r="E866" s="225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</row>
    <row r="867">
      <c r="A867" s="240"/>
      <c r="B867" s="222"/>
      <c r="C867" s="223"/>
      <c r="D867" s="224"/>
      <c r="E867" s="225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</row>
    <row r="868">
      <c r="A868" s="240"/>
      <c r="B868" s="222"/>
      <c r="C868" s="223"/>
      <c r="D868" s="224"/>
      <c r="E868" s="225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</row>
    <row r="869">
      <c r="A869" s="240"/>
      <c r="B869" s="222"/>
      <c r="C869" s="223"/>
      <c r="D869" s="224"/>
      <c r="E869" s="225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</row>
    <row r="870">
      <c r="A870" s="240"/>
      <c r="B870" s="222"/>
      <c r="C870" s="223"/>
      <c r="D870" s="224"/>
      <c r="E870" s="225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</row>
    <row r="871">
      <c r="A871" s="240"/>
      <c r="B871" s="222"/>
      <c r="C871" s="223"/>
      <c r="D871" s="224"/>
      <c r="E871" s="225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</row>
    <row r="872">
      <c r="A872" s="240"/>
      <c r="B872" s="222"/>
      <c r="C872" s="223"/>
      <c r="D872" s="224"/>
      <c r="E872" s="225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</row>
    <row r="873">
      <c r="A873" s="240"/>
      <c r="B873" s="222"/>
      <c r="C873" s="223"/>
      <c r="D873" s="224"/>
      <c r="E873" s="225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</row>
    <row r="874">
      <c r="A874" s="240"/>
      <c r="B874" s="222"/>
      <c r="C874" s="223"/>
      <c r="D874" s="224"/>
      <c r="E874" s="225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</row>
    <row r="875">
      <c r="A875" s="240"/>
      <c r="B875" s="222"/>
      <c r="C875" s="223"/>
      <c r="D875" s="224"/>
      <c r="E875" s="225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</row>
    <row r="876">
      <c r="A876" s="240"/>
      <c r="B876" s="222"/>
      <c r="C876" s="223"/>
      <c r="D876" s="224"/>
      <c r="E876" s="225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</row>
    <row r="877">
      <c r="A877" s="240"/>
      <c r="B877" s="222"/>
      <c r="C877" s="223"/>
      <c r="D877" s="224"/>
      <c r="E877" s="225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</row>
    <row r="878">
      <c r="A878" s="240"/>
      <c r="B878" s="222"/>
      <c r="C878" s="223"/>
      <c r="D878" s="224"/>
      <c r="E878" s="225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</row>
    <row r="879">
      <c r="A879" s="240"/>
      <c r="B879" s="222"/>
      <c r="C879" s="223"/>
      <c r="D879" s="224"/>
      <c r="E879" s="225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</row>
    <row r="880">
      <c r="A880" s="240"/>
      <c r="B880" s="222"/>
      <c r="C880" s="223"/>
      <c r="D880" s="224"/>
      <c r="E880" s="225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</row>
    <row r="881">
      <c r="A881" s="240"/>
      <c r="B881" s="222"/>
      <c r="C881" s="223"/>
      <c r="D881" s="224"/>
      <c r="E881" s="225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</row>
    <row r="882">
      <c r="A882" s="240"/>
      <c r="B882" s="222"/>
      <c r="C882" s="223"/>
      <c r="D882" s="224"/>
      <c r="E882" s="225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</row>
    <row r="883">
      <c r="A883" s="240"/>
      <c r="B883" s="222"/>
      <c r="C883" s="223"/>
      <c r="D883" s="224"/>
      <c r="E883" s="225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</row>
    <row r="884">
      <c r="A884" s="240"/>
      <c r="B884" s="222"/>
      <c r="C884" s="223"/>
      <c r="D884" s="224"/>
      <c r="E884" s="225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</row>
    <row r="885">
      <c r="A885" s="240"/>
      <c r="B885" s="222"/>
      <c r="C885" s="223"/>
      <c r="D885" s="224"/>
      <c r="E885" s="225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</row>
    <row r="886">
      <c r="A886" s="240"/>
      <c r="B886" s="222"/>
      <c r="C886" s="223"/>
      <c r="D886" s="224"/>
      <c r="E886" s="225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</row>
    <row r="887">
      <c r="A887" s="240"/>
      <c r="B887" s="222"/>
      <c r="C887" s="223"/>
      <c r="D887" s="224"/>
      <c r="E887" s="225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</row>
    <row r="888">
      <c r="A888" s="240"/>
      <c r="B888" s="222"/>
      <c r="C888" s="223"/>
      <c r="D888" s="224"/>
      <c r="E888" s="225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</row>
    <row r="889">
      <c r="A889" s="240"/>
      <c r="B889" s="222"/>
      <c r="C889" s="223"/>
      <c r="D889" s="224"/>
      <c r="E889" s="225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</row>
    <row r="890">
      <c r="A890" s="240"/>
      <c r="B890" s="222"/>
      <c r="C890" s="223"/>
      <c r="D890" s="224"/>
      <c r="E890" s="225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</row>
    <row r="891">
      <c r="A891" s="240"/>
      <c r="B891" s="222"/>
      <c r="C891" s="223"/>
      <c r="D891" s="224"/>
      <c r="E891" s="225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</row>
    <row r="892">
      <c r="A892" s="240"/>
      <c r="B892" s="222"/>
      <c r="C892" s="223"/>
      <c r="D892" s="224"/>
      <c r="E892" s="225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</row>
    <row r="893">
      <c r="A893" s="240"/>
      <c r="B893" s="222"/>
      <c r="C893" s="223"/>
      <c r="D893" s="224"/>
      <c r="E893" s="225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</row>
    <row r="894">
      <c r="A894" s="240"/>
      <c r="B894" s="222"/>
      <c r="C894" s="223"/>
      <c r="D894" s="224"/>
      <c r="E894" s="225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</row>
    <row r="895">
      <c r="A895" s="240"/>
      <c r="B895" s="222"/>
      <c r="C895" s="223"/>
      <c r="D895" s="224"/>
      <c r="E895" s="225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</row>
    <row r="896">
      <c r="A896" s="240"/>
      <c r="B896" s="222"/>
      <c r="C896" s="223"/>
      <c r="D896" s="224"/>
      <c r="E896" s="225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</row>
    <row r="897">
      <c r="A897" s="240"/>
      <c r="B897" s="222"/>
      <c r="C897" s="223"/>
      <c r="D897" s="224"/>
      <c r="E897" s="225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</row>
    <row r="898">
      <c r="A898" s="240"/>
      <c r="B898" s="222"/>
      <c r="C898" s="223"/>
      <c r="D898" s="224"/>
      <c r="E898" s="225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</row>
    <row r="899">
      <c r="A899" s="240"/>
      <c r="B899" s="222"/>
      <c r="C899" s="223"/>
      <c r="D899" s="224"/>
      <c r="E899" s="225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</row>
    <row r="900">
      <c r="A900" s="240"/>
      <c r="B900" s="222"/>
      <c r="C900" s="223"/>
      <c r="D900" s="224"/>
      <c r="E900" s="225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</row>
    <row r="901">
      <c r="A901" s="240"/>
      <c r="B901" s="222"/>
      <c r="C901" s="223"/>
      <c r="D901" s="224"/>
      <c r="E901" s="225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</row>
    <row r="902">
      <c r="A902" s="240"/>
      <c r="B902" s="222"/>
      <c r="C902" s="223"/>
      <c r="D902" s="224"/>
      <c r="E902" s="225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</row>
    <row r="903">
      <c r="A903" s="240"/>
      <c r="B903" s="222"/>
      <c r="C903" s="223"/>
      <c r="D903" s="224"/>
      <c r="E903" s="225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</row>
    <row r="904">
      <c r="A904" s="240"/>
      <c r="B904" s="222"/>
      <c r="C904" s="223"/>
      <c r="D904" s="224"/>
      <c r="E904" s="225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</row>
    <row r="905">
      <c r="A905" s="240"/>
      <c r="B905" s="222"/>
      <c r="C905" s="223"/>
      <c r="D905" s="224"/>
      <c r="E905" s="225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</row>
    <row r="906">
      <c r="A906" s="240"/>
      <c r="B906" s="222"/>
      <c r="C906" s="223"/>
      <c r="D906" s="224"/>
      <c r="E906" s="225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</row>
    <row r="907">
      <c r="A907" s="240"/>
      <c r="B907" s="222"/>
      <c r="C907" s="223"/>
      <c r="D907" s="224"/>
      <c r="E907" s="225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</row>
    <row r="908">
      <c r="A908" s="240"/>
      <c r="B908" s="222"/>
      <c r="C908" s="223"/>
      <c r="D908" s="224"/>
      <c r="E908" s="225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</row>
    <row r="909">
      <c r="A909" s="240"/>
      <c r="B909" s="222"/>
      <c r="C909" s="223"/>
      <c r="D909" s="224"/>
      <c r="E909" s="225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</row>
    <row r="910">
      <c r="A910" s="240"/>
      <c r="B910" s="222"/>
      <c r="C910" s="223"/>
      <c r="D910" s="224"/>
      <c r="E910" s="225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</row>
    <row r="911">
      <c r="A911" s="240"/>
      <c r="B911" s="222"/>
      <c r="C911" s="223"/>
      <c r="D911" s="224"/>
      <c r="E911" s="225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</row>
    <row r="912">
      <c r="A912" s="240"/>
      <c r="B912" s="222"/>
      <c r="C912" s="223"/>
      <c r="D912" s="224"/>
      <c r="E912" s="225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</row>
    <row r="913">
      <c r="A913" s="240"/>
      <c r="B913" s="222"/>
      <c r="C913" s="223"/>
      <c r="D913" s="224"/>
      <c r="E913" s="225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</row>
    <row r="914">
      <c r="A914" s="240"/>
      <c r="B914" s="222"/>
      <c r="C914" s="223"/>
      <c r="D914" s="224"/>
      <c r="E914" s="225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</row>
    <row r="915">
      <c r="A915" s="240"/>
      <c r="B915" s="222"/>
      <c r="C915" s="223"/>
      <c r="D915" s="224"/>
      <c r="E915" s="225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</row>
    <row r="916">
      <c r="A916" s="240"/>
      <c r="B916" s="222"/>
      <c r="C916" s="223"/>
      <c r="D916" s="224"/>
      <c r="E916" s="225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</row>
    <row r="917">
      <c r="A917" s="240"/>
      <c r="B917" s="222"/>
      <c r="C917" s="223"/>
      <c r="D917" s="224"/>
      <c r="E917" s="225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</row>
    <row r="918">
      <c r="A918" s="240"/>
      <c r="B918" s="222"/>
      <c r="C918" s="223"/>
      <c r="D918" s="224"/>
      <c r="E918" s="225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</row>
    <row r="919">
      <c r="A919" s="240"/>
      <c r="B919" s="222"/>
      <c r="C919" s="223"/>
      <c r="D919" s="224"/>
      <c r="E919" s="225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</row>
    <row r="920">
      <c r="A920" s="240"/>
      <c r="B920" s="222"/>
      <c r="C920" s="223"/>
      <c r="D920" s="224"/>
      <c r="E920" s="225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</row>
    <row r="921">
      <c r="A921" s="240"/>
      <c r="B921" s="222"/>
      <c r="C921" s="223"/>
      <c r="D921" s="224"/>
      <c r="E921" s="225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</row>
    <row r="922">
      <c r="A922" s="240"/>
      <c r="B922" s="222"/>
      <c r="C922" s="223"/>
      <c r="D922" s="224"/>
      <c r="E922" s="225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</row>
    <row r="923">
      <c r="A923" s="240"/>
      <c r="B923" s="222"/>
      <c r="C923" s="223"/>
      <c r="D923" s="224"/>
      <c r="E923" s="225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</row>
    <row r="924">
      <c r="A924" s="240"/>
      <c r="B924" s="222"/>
      <c r="C924" s="223"/>
      <c r="D924" s="224"/>
      <c r="E924" s="225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</row>
    <row r="925">
      <c r="A925" s="240"/>
      <c r="B925" s="222"/>
      <c r="C925" s="223"/>
      <c r="D925" s="224"/>
      <c r="E925" s="225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</row>
    <row r="926">
      <c r="A926" s="240"/>
      <c r="B926" s="222"/>
      <c r="C926" s="223"/>
      <c r="D926" s="224"/>
      <c r="E926" s="225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</row>
    <row r="927">
      <c r="A927" s="240"/>
      <c r="B927" s="222"/>
      <c r="C927" s="223"/>
      <c r="D927" s="224"/>
      <c r="E927" s="225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</row>
    <row r="928">
      <c r="A928" s="240"/>
      <c r="B928" s="222"/>
      <c r="C928" s="223"/>
      <c r="D928" s="224"/>
      <c r="E928" s="225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</row>
    <row r="929">
      <c r="A929" s="240"/>
      <c r="B929" s="222"/>
      <c r="C929" s="223"/>
      <c r="D929" s="224"/>
      <c r="E929" s="225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</row>
    <row r="930">
      <c r="A930" s="240"/>
      <c r="B930" s="222"/>
      <c r="C930" s="223"/>
      <c r="D930" s="224"/>
      <c r="E930" s="225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</row>
    <row r="931">
      <c r="A931" s="240"/>
      <c r="B931" s="222"/>
      <c r="C931" s="223"/>
      <c r="D931" s="224"/>
      <c r="E931" s="225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</row>
    <row r="932">
      <c r="A932" s="240"/>
      <c r="B932" s="222"/>
      <c r="C932" s="223"/>
      <c r="D932" s="224"/>
      <c r="E932" s="225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</row>
    <row r="933">
      <c r="A933" s="240"/>
      <c r="B933" s="222"/>
      <c r="C933" s="223"/>
      <c r="D933" s="224"/>
      <c r="E933" s="225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</row>
    <row r="934">
      <c r="A934" s="240"/>
      <c r="B934" s="222"/>
      <c r="C934" s="223"/>
      <c r="D934" s="224"/>
      <c r="E934" s="225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</row>
    <row r="935">
      <c r="A935" s="240"/>
      <c r="B935" s="222"/>
      <c r="C935" s="223"/>
      <c r="D935" s="224"/>
      <c r="E935" s="225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</row>
    <row r="936">
      <c r="A936" s="240"/>
      <c r="B936" s="222"/>
      <c r="C936" s="223"/>
      <c r="D936" s="224"/>
      <c r="E936" s="225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</row>
    <row r="937">
      <c r="A937" s="240"/>
      <c r="B937" s="222"/>
      <c r="C937" s="223"/>
      <c r="D937" s="224"/>
      <c r="E937" s="225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</row>
    <row r="938">
      <c r="A938" s="240"/>
      <c r="B938" s="222"/>
      <c r="C938" s="223"/>
      <c r="D938" s="224"/>
      <c r="E938" s="225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</row>
    <row r="939">
      <c r="A939" s="240"/>
      <c r="B939" s="222"/>
      <c r="C939" s="223"/>
      <c r="D939" s="224"/>
      <c r="E939" s="225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</row>
    <row r="940">
      <c r="A940" s="240"/>
      <c r="B940" s="222"/>
      <c r="C940" s="223"/>
      <c r="D940" s="224"/>
      <c r="E940" s="225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</row>
    <row r="941">
      <c r="A941" s="240"/>
      <c r="B941" s="222"/>
      <c r="C941" s="223"/>
      <c r="D941" s="224"/>
      <c r="E941" s="225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</row>
    <row r="942">
      <c r="A942" s="240"/>
      <c r="B942" s="222"/>
      <c r="C942" s="223"/>
      <c r="D942" s="224"/>
      <c r="E942" s="225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</row>
    <row r="943">
      <c r="A943" s="240"/>
      <c r="B943" s="222"/>
      <c r="C943" s="223"/>
      <c r="D943" s="224"/>
      <c r="E943" s="225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</row>
    <row r="944">
      <c r="A944" s="240"/>
      <c r="B944" s="222"/>
      <c r="C944" s="223"/>
      <c r="D944" s="224"/>
      <c r="E944" s="225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</row>
    <row r="945">
      <c r="A945" s="240"/>
      <c r="B945" s="222"/>
      <c r="C945" s="223"/>
      <c r="D945" s="224"/>
      <c r="E945" s="225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</row>
    <row r="946">
      <c r="A946" s="240"/>
      <c r="B946" s="222"/>
      <c r="C946" s="223"/>
      <c r="D946" s="224"/>
      <c r="E946" s="225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</row>
    <row r="947">
      <c r="A947" s="240"/>
      <c r="B947" s="222"/>
      <c r="C947" s="223"/>
      <c r="D947" s="224"/>
      <c r="E947" s="225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</row>
    <row r="948">
      <c r="A948" s="240"/>
      <c r="B948" s="222"/>
      <c r="C948" s="223"/>
      <c r="D948" s="224"/>
      <c r="E948" s="225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</row>
    <row r="949">
      <c r="A949" s="240"/>
      <c r="B949" s="222"/>
      <c r="C949" s="223"/>
      <c r="D949" s="224"/>
      <c r="E949" s="225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</row>
    <row r="950">
      <c r="A950" s="240"/>
      <c r="B950" s="222"/>
      <c r="C950" s="223"/>
      <c r="D950" s="224"/>
      <c r="E950" s="225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</row>
    <row r="951">
      <c r="A951" s="240"/>
      <c r="B951" s="222"/>
      <c r="C951" s="223"/>
      <c r="D951" s="224"/>
      <c r="E951" s="225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</row>
    <row r="952">
      <c r="A952" s="240"/>
      <c r="B952" s="222"/>
      <c r="C952" s="223"/>
      <c r="D952" s="224"/>
      <c r="E952" s="225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</row>
    <row r="953">
      <c r="A953" s="240"/>
      <c r="B953" s="222"/>
      <c r="C953" s="223"/>
      <c r="D953" s="224"/>
      <c r="E953" s="225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</row>
    <row r="954">
      <c r="A954" s="240"/>
      <c r="B954" s="222"/>
      <c r="C954" s="223"/>
      <c r="D954" s="224"/>
      <c r="E954" s="225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</row>
    <row r="955">
      <c r="A955" s="240"/>
      <c r="B955" s="222"/>
      <c r="C955" s="223"/>
      <c r="D955" s="224"/>
      <c r="E955" s="225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</row>
    <row r="956">
      <c r="A956" s="240"/>
      <c r="B956" s="222"/>
      <c r="C956" s="223"/>
      <c r="D956" s="224"/>
      <c r="E956" s="225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</row>
    <row r="957">
      <c r="A957" s="240"/>
      <c r="B957" s="222"/>
      <c r="C957" s="223"/>
      <c r="D957" s="224"/>
      <c r="E957" s="225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</row>
    <row r="958">
      <c r="A958" s="240"/>
      <c r="B958" s="222"/>
      <c r="C958" s="223"/>
      <c r="D958" s="224"/>
      <c r="E958" s="225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</row>
    <row r="959">
      <c r="A959" s="240"/>
      <c r="B959" s="222"/>
      <c r="C959" s="223"/>
      <c r="D959" s="224"/>
      <c r="E959" s="225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</row>
    <row r="960">
      <c r="A960" s="240"/>
      <c r="B960" s="222"/>
      <c r="C960" s="223"/>
      <c r="D960" s="224"/>
      <c r="E960" s="225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</row>
    <row r="961">
      <c r="A961" s="240"/>
      <c r="B961" s="222"/>
      <c r="C961" s="223"/>
      <c r="D961" s="224"/>
      <c r="E961" s="225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</row>
    <row r="962">
      <c r="A962" s="240"/>
      <c r="B962" s="222"/>
      <c r="C962" s="223"/>
      <c r="D962" s="224"/>
      <c r="E962" s="225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</row>
    <row r="963">
      <c r="A963" s="240"/>
      <c r="B963" s="222"/>
      <c r="C963" s="223"/>
      <c r="D963" s="224"/>
      <c r="E963" s="225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</row>
    <row r="964">
      <c r="A964" s="240"/>
      <c r="B964" s="222"/>
      <c r="C964" s="223"/>
      <c r="D964" s="224"/>
      <c r="E964" s="225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</row>
    <row r="965">
      <c r="A965" s="240"/>
      <c r="B965" s="222"/>
      <c r="C965" s="223"/>
      <c r="D965" s="224"/>
      <c r="E965" s="225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</row>
    <row r="966">
      <c r="A966" s="240"/>
      <c r="B966" s="222"/>
      <c r="C966" s="223"/>
      <c r="D966" s="224"/>
      <c r="E966" s="225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</row>
    <row r="967">
      <c r="A967" s="240"/>
      <c r="B967" s="222"/>
      <c r="C967" s="223"/>
      <c r="D967" s="224"/>
      <c r="E967" s="225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</row>
    <row r="968">
      <c r="A968" s="240"/>
      <c r="B968" s="222"/>
      <c r="C968" s="223"/>
      <c r="D968" s="224"/>
      <c r="E968" s="225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</row>
    <row r="969">
      <c r="A969" s="240"/>
      <c r="B969" s="222"/>
      <c r="C969" s="223"/>
      <c r="D969" s="224"/>
      <c r="E969" s="225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</row>
    <row r="970">
      <c r="A970" s="240"/>
      <c r="B970" s="222"/>
      <c r="C970" s="223"/>
      <c r="D970" s="224"/>
      <c r="E970" s="225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</row>
    <row r="971">
      <c r="A971" s="240"/>
      <c r="B971" s="222"/>
      <c r="C971" s="223"/>
      <c r="D971" s="224"/>
      <c r="E971" s="225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</row>
    <row r="972">
      <c r="A972" s="240"/>
      <c r="B972" s="222"/>
      <c r="C972" s="223"/>
      <c r="D972" s="224"/>
      <c r="E972" s="225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</row>
    <row r="973">
      <c r="A973" s="240"/>
      <c r="B973" s="222"/>
      <c r="C973" s="223"/>
      <c r="D973" s="224"/>
      <c r="E973" s="225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</row>
    <row r="974">
      <c r="A974" s="240"/>
      <c r="B974" s="222"/>
      <c r="C974" s="223"/>
      <c r="D974" s="224"/>
      <c r="E974" s="225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</row>
    <row r="975">
      <c r="A975" s="240"/>
      <c r="B975" s="222"/>
      <c r="C975" s="223"/>
      <c r="D975" s="224"/>
      <c r="E975" s="225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</row>
    <row r="976">
      <c r="A976" s="240"/>
      <c r="B976" s="222"/>
      <c r="C976" s="223"/>
      <c r="D976" s="224"/>
      <c r="E976" s="225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</row>
    <row r="977">
      <c r="A977" s="240"/>
      <c r="B977" s="222"/>
      <c r="C977" s="223"/>
      <c r="D977" s="224"/>
      <c r="E977" s="225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</row>
    <row r="978">
      <c r="A978" s="240"/>
      <c r="B978" s="222"/>
      <c r="C978" s="223"/>
      <c r="D978" s="224"/>
      <c r="E978" s="225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</row>
    <row r="979">
      <c r="A979" s="240"/>
      <c r="B979" s="222"/>
      <c r="C979" s="223"/>
      <c r="D979" s="224"/>
      <c r="E979" s="225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</row>
    <row r="980">
      <c r="A980" s="240"/>
      <c r="B980" s="222"/>
      <c r="C980" s="223"/>
      <c r="D980" s="224"/>
      <c r="E980" s="225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</row>
    <row r="981">
      <c r="A981" s="240"/>
      <c r="B981" s="222"/>
      <c r="C981" s="223"/>
      <c r="D981" s="224"/>
      <c r="E981" s="225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</row>
    <row r="982">
      <c r="A982" s="240"/>
      <c r="B982" s="222"/>
      <c r="C982" s="223"/>
      <c r="D982" s="224"/>
      <c r="E982" s="225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</row>
    <row r="983">
      <c r="A983" s="240"/>
      <c r="B983" s="222"/>
      <c r="C983" s="223"/>
      <c r="D983" s="224"/>
      <c r="E983" s="225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</row>
    <row r="984">
      <c r="A984" s="240"/>
      <c r="B984" s="222"/>
      <c r="C984" s="223"/>
      <c r="D984" s="224"/>
      <c r="E984" s="225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</row>
    <row r="985">
      <c r="A985" s="240"/>
      <c r="B985" s="222"/>
      <c r="C985" s="223"/>
      <c r="D985" s="224"/>
      <c r="E985" s="225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</row>
    <row r="986">
      <c r="A986" s="240"/>
      <c r="B986" s="222"/>
      <c r="C986" s="223"/>
      <c r="D986" s="224"/>
      <c r="E986" s="225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</row>
    <row r="987">
      <c r="A987" s="240"/>
      <c r="B987" s="222"/>
      <c r="C987" s="223"/>
      <c r="D987" s="224"/>
      <c r="E987" s="225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</row>
    <row r="988">
      <c r="A988" s="240"/>
      <c r="B988" s="222"/>
      <c r="C988" s="223"/>
      <c r="D988" s="224"/>
      <c r="E988" s="225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</row>
    <row r="989">
      <c r="A989" s="240"/>
      <c r="B989" s="222"/>
      <c r="C989" s="223"/>
      <c r="D989" s="224"/>
      <c r="E989" s="225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</row>
    <row r="990">
      <c r="A990" s="240"/>
      <c r="B990" s="222"/>
      <c r="C990" s="223"/>
      <c r="D990" s="224"/>
      <c r="E990" s="225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</row>
    <row r="991">
      <c r="A991" s="240"/>
      <c r="B991" s="222"/>
      <c r="C991" s="223"/>
      <c r="D991" s="224"/>
      <c r="E991" s="225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</row>
    <row r="992">
      <c r="A992" s="240"/>
      <c r="B992" s="222"/>
      <c r="C992" s="223"/>
      <c r="D992" s="224"/>
      <c r="E992" s="225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</row>
    <row r="993">
      <c r="A993" s="240"/>
      <c r="B993" s="222"/>
      <c r="C993" s="223"/>
      <c r="D993" s="224"/>
      <c r="E993" s="225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</row>
    <row r="994">
      <c r="A994" s="240"/>
      <c r="B994" s="222"/>
      <c r="C994" s="223"/>
      <c r="D994" s="224"/>
      <c r="E994" s="225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</row>
    <row r="995">
      <c r="A995" s="240"/>
      <c r="B995" s="222"/>
      <c r="C995" s="223"/>
      <c r="D995" s="224"/>
      <c r="E995" s="225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</row>
    <row r="996">
      <c r="A996" s="240"/>
      <c r="B996" s="222"/>
      <c r="C996" s="223"/>
      <c r="D996" s="224"/>
      <c r="E996" s="225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</row>
    <row r="997">
      <c r="A997" s="240"/>
      <c r="B997" s="222"/>
      <c r="C997" s="223"/>
      <c r="D997" s="224"/>
      <c r="E997" s="225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</row>
    <row r="998">
      <c r="A998" s="240"/>
      <c r="B998" s="222"/>
      <c r="C998" s="223"/>
      <c r="D998" s="224"/>
      <c r="E998" s="225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</row>
    <row r="999">
      <c r="A999" s="149"/>
      <c r="B999" s="222"/>
      <c r="C999" s="223"/>
      <c r="D999" s="224"/>
      <c r="E999" s="225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</row>
    <row r="1000">
      <c r="A1000" s="149"/>
      <c r="B1000" s="222"/>
      <c r="C1000" s="223"/>
      <c r="D1000" s="224"/>
      <c r="E1000" s="225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</row>
  </sheetData>
  <conditionalFormatting sqref="B1:C1 D1:W1000 C35:C1000 B277:B1000 A999:A1000">
    <cfRule type="containsBlanks" dxfId="13" priority="1">
      <formula>LEN(TRIM(B1))=0</formula>
    </cfRule>
  </conditionalFormatting>
  <dataValidations>
    <dataValidation type="custom" allowBlank="1" showDropDown="1" sqref="A3:A401">
      <formula1>OR(NOT(ISERROR(DATEVALUE(A3))), AND(ISNUMBER(A3), LEFT(CELL("format", A3))="D"))</formula1>
    </dataValidation>
    <dataValidation type="custom" allowBlank="1" showDropDown="1" sqref="B3:E401">
      <formula1>AND(ISNUMBER(B3),(NOT(OR(NOT(ISERROR(DATEVALUE(B3))), AND(ISNUMBER(B3), LEFT(CELL("format", B3))="D")))))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23.38"/>
    <col customWidth="1" min="4" max="4" width="19.0"/>
    <col customWidth="1" min="5" max="6" width="23.38"/>
    <col customWidth="1" min="7" max="7" width="25.13"/>
    <col customWidth="1" min="8" max="8" width="26.5"/>
    <col customWidth="1" min="12" max="12" width="32.88"/>
    <col customWidth="1" min="13" max="13" width="19.75"/>
    <col customWidth="1" min="14" max="14" width="8.88"/>
    <col customWidth="1" min="15" max="15" width="0.38"/>
    <col customWidth="1" min="16" max="16" width="22.38"/>
    <col customWidth="1" min="17" max="17" width="16.75"/>
  </cols>
  <sheetData>
    <row r="1">
      <c r="A1" s="202"/>
      <c r="B1" s="241"/>
      <c r="C1" s="242"/>
      <c r="D1" s="242"/>
      <c r="E1" s="242"/>
      <c r="F1" s="242"/>
      <c r="G1" s="242"/>
      <c r="H1" s="243"/>
      <c r="I1" s="244"/>
      <c r="J1" s="245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</row>
    <row r="2">
      <c r="A2" s="217"/>
      <c r="B2" s="246"/>
      <c r="C2" s="247"/>
      <c r="D2" s="247"/>
      <c r="E2" s="247"/>
      <c r="F2" s="247"/>
      <c r="G2" s="248"/>
      <c r="H2" s="249"/>
      <c r="I2" s="250"/>
      <c r="J2" s="245"/>
      <c r="K2" s="217"/>
      <c r="L2" s="217"/>
      <c r="M2" s="217"/>
      <c r="N2" s="217"/>
      <c r="O2" s="217"/>
      <c r="P2" s="217"/>
      <c r="Q2" s="30" t="s">
        <v>25</v>
      </c>
      <c r="R2" s="45" t="s">
        <v>6</v>
      </c>
      <c r="S2" s="59" t="s">
        <v>7</v>
      </c>
      <c r="T2" s="70" t="s">
        <v>33</v>
      </c>
      <c r="U2" s="82" t="s">
        <v>36</v>
      </c>
      <c r="V2" s="90" t="s">
        <v>12</v>
      </c>
      <c r="W2" s="102" t="s">
        <v>13</v>
      </c>
      <c r="X2" s="251" t="s">
        <v>14</v>
      </c>
      <c r="Y2" s="14" t="s">
        <v>107</v>
      </c>
      <c r="Z2" s="149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</row>
    <row r="3" ht="22.5" customHeight="1">
      <c r="A3" s="217"/>
      <c r="B3" s="253" t="s">
        <v>108</v>
      </c>
      <c r="C3" s="227" t="s">
        <v>109</v>
      </c>
      <c r="D3" s="254" t="s">
        <v>110</v>
      </c>
      <c r="E3" s="254" t="s">
        <v>111</v>
      </c>
      <c r="F3" s="255" t="s">
        <v>112</v>
      </c>
      <c r="G3" s="256" t="s">
        <v>113</v>
      </c>
      <c r="H3" s="257" t="s">
        <v>114</v>
      </c>
      <c r="I3" s="258" t="s">
        <v>115</v>
      </c>
      <c r="J3" s="259"/>
      <c r="K3" s="217"/>
      <c r="L3" s="217"/>
      <c r="M3" s="217"/>
      <c r="N3" s="217"/>
      <c r="O3" s="217"/>
      <c r="P3" s="260"/>
      <c r="Q3" s="261">
        <f t="shared" ref="Q3:X3" si="1">Q4*$Y$3</f>
        <v>16860.38474</v>
      </c>
      <c r="R3" s="261">
        <f t="shared" si="1"/>
        <v>7493.504331</v>
      </c>
      <c r="S3" s="261">
        <f t="shared" si="1"/>
        <v>3746.752166</v>
      </c>
      <c r="T3" s="261">
        <f t="shared" si="1"/>
        <v>3746.752166</v>
      </c>
      <c r="U3" s="261">
        <f t="shared" si="1"/>
        <v>1873.376083</v>
      </c>
      <c r="V3" s="261">
        <f t="shared" si="1"/>
        <v>1873.376083</v>
      </c>
      <c r="W3" s="261">
        <f t="shared" si="1"/>
        <v>1498.700866</v>
      </c>
      <c r="X3" s="261">
        <f t="shared" si="1"/>
        <v>374.6752166</v>
      </c>
      <c r="Y3" s="261">
        <f>C4</f>
        <v>37467.52166</v>
      </c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</row>
    <row r="4" ht="22.5" customHeight="1">
      <c r="A4" s="217"/>
      <c r="B4" s="263">
        <f>IF(ARBITRAGES!E4=0,"",ARBITRAGES!E4)</f>
        <v>45515</v>
      </c>
      <c r="C4" s="231">
        <f>BILAN!N4</f>
        <v>37467.52166</v>
      </c>
      <c r="D4" s="264">
        <f>IF(F4="","",PRIX!B3)</f>
        <v>63000</v>
      </c>
      <c r="E4" s="264">
        <f t="shared" ref="E4:E11" si="2">IF(F4="","",($G$4/$D$4)*D4)</f>
        <v>37467.52166</v>
      </c>
      <c r="F4" s="242">
        <f>IF(B4="","",G4)</f>
        <v>37467.52166</v>
      </c>
      <c r="G4" s="265">
        <f>IF(B4="","",C4)</f>
        <v>37467.52166</v>
      </c>
      <c r="H4" s="244">
        <f t="shared" ref="H4:H339" si="3">IF(B4="","",(G4-F4)/F4)</f>
        <v>0</v>
      </c>
      <c r="I4" s="266">
        <f t="shared" ref="I4:I339" si="4">IF(H4="","",(G4-C4)/C4)</f>
        <v>0</v>
      </c>
      <c r="J4" s="217"/>
      <c r="K4" s="217"/>
      <c r="L4" s="217"/>
      <c r="M4" s="217"/>
      <c r="N4" s="217"/>
      <c r="O4" s="217"/>
      <c r="P4" s="267" t="s">
        <v>116</v>
      </c>
      <c r="Q4" s="268">
        <v>0.45</v>
      </c>
      <c r="R4" s="268">
        <v>0.2</v>
      </c>
      <c r="S4" s="268">
        <v>0.1</v>
      </c>
      <c r="T4" s="268">
        <v>0.1</v>
      </c>
      <c r="U4" s="268">
        <v>0.05</v>
      </c>
      <c r="V4" s="268">
        <v>0.05</v>
      </c>
      <c r="W4" s="268">
        <v>0.04</v>
      </c>
      <c r="X4" s="268">
        <v>0.01</v>
      </c>
      <c r="Y4" s="269">
        <f>SUM(Q4:X4)</f>
        <v>1</v>
      </c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149"/>
    </row>
    <row r="5" ht="22.5" customHeight="1">
      <c r="A5" s="217"/>
      <c r="B5" s="263">
        <f>IF(ARBITRAGES!E5=0,"",ARBITRAGES!E5)</f>
        <v>45516</v>
      </c>
      <c r="C5" s="231">
        <f t="shared" ref="C5:C70" si="5">IF(F5="","",C4)</f>
        <v>37467.52166</v>
      </c>
      <c r="D5" s="264">
        <f>IF(F5="","",PRIX!B4)</f>
        <v>63000</v>
      </c>
      <c r="E5" s="264">
        <f t="shared" si="2"/>
        <v>37467.52166</v>
      </c>
      <c r="F5" s="242">
        <f>IF(B5="","",PRIX!B5*$Q$6+$R$6*PRIX!C5+PRIX!D5*$S$6+$T$6*PRIX!E5+PRIX!F5*$U$6+PRIX!G5*$V$6+$W$6*PRIX!H5+PRIX!I5*$X$6)</f>
        <v>36849.45069</v>
      </c>
      <c r="G5" s="270">
        <f>IF(B5="","",'Historique détail'!U4)</f>
        <v>39187.93921</v>
      </c>
      <c r="H5" s="244">
        <f t="shared" si="3"/>
        <v>0.06346060737</v>
      </c>
      <c r="I5" s="266">
        <f t="shared" si="4"/>
        <v>0.04591757026</v>
      </c>
      <c r="J5" s="217"/>
      <c r="K5" s="217"/>
      <c r="L5" s="217"/>
      <c r="M5" s="217"/>
      <c r="N5" s="217"/>
      <c r="O5" s="217"/>
      <c r="P5" s="267" t="s">
        <v>117</v>
      </c>
      <c r="Q5" s="271">
        <v>60800.0</v>
      </c>
      <c r="R5" s="271">
        <v>2650.0</v>
      </c>
      <c r="S5" s="272">
        <v>7.61</v>
      </c>
      <c r="T5" s="273">
        <v>155.0</v>
      </c>
      <c r="U5" s="273">
        <v>300.0</v>
      </c>
      <c r="V5" s="272">
        <v>1.6</v>
      </c>
      <c r="W5" s="274">
        <v>11.5</v>
      </c>
      <c r="X5" s="275">
        <v>0.105</v>
      </c>
      <c r="Y5" s="276" t="s">
        <v>30</v>
      </c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149"/>
    </row>
    <row r="6" ht="22.5" customHeight="1">
      <c r="A6" s="217"/>
      <c r="B6" s="263">
        <f>IF(ARBITRAGES!E6=0,"",ARBITRAGES!E6)</f>
        <v>45517</v>
      </c>
      <c r="C6" s="231">
        <f t="shared" si="5"/>
        <v>37467.52166</v>
      </c>
      <c r="D6" s="264">
        <f>IF(F6="","",PRIX!B5)</f>
        <v>59800</v>
      </c>
      <c r="E6" s="264">
        <f t="shared" si="2"/>
        <v>35564.40944</v>
      </c>
      <c r="F6" s="242">
        <f>IF(B6="","",PRIX!B6*$Q$6+$R$6*PRIX!C6+PRIX!D6*$S$6+$T$6*PRIX!E6+PRIX!F6*$U$6+PRIX!G6*$V$6+$W$6*PRIX!H6+PRIX!I6*$X$6)</f>
        <v>37173.71517</v>
      </c>
      <c r="G6" s="270">
        <f>IF(B6="","",'Historique détail'!U5)</f>
        <v>38425.05791</v>
      </c>
      <c r="H6" s="244">
        <f t="shared" si="3"/>
        <v>0.03366203048</v>
      </c>
      <c r="I6" s="266">
        <f t="shared" si="4"/>
        <v>0.02555643416</v>
      </c>
      <c r="J6" s="217"/>
      <c r="K6" s="217"/>
      <c r="L6" s="217"/>
      <c r="M6" s="217"/>
      <c r="N6" s="217"/>
      <c r="O6" s="217"/>
      <c r="P6" s="267" t="s">
        <v>118</v>
      </c>
      <c r="Q6" s="277">
        <f t="shared" ref="Q6:X6" si="6">Q3/Q5</f>
        <v>0.2773089596</v>
      </c>
      <c r="R6" s="277">
        <f t="shared" si="6"/>
        <v>2.827737483</v>
      </c>
      <c r="S6" s="277">
        <f t="shared" si="6"/>
        <v>492.3458825</v>
      </c>
      <c r="T6" s="277">
        <f t="shared" si="6"/>
        <v>24.17259462</v>
      </c>
      <c r="U6" s="277">
        <f t="shared" si="6"/>
        <v>6.244586943</v>
      </c>
      <c r="V6" s="277">
        <f t="shared" si="6"/>
        <v>1170.860052</v>
      </c>
      <c r="W6" s="277">
        <f t="shared" si="6"/>
        <v>130.3218145</v>
      </c>
      <c r="X6" s="277">
        <f t="shared" si="6"/>
        <v>3568.335396</v>
      </c>
      <c r="Y6" s="267" t="s">
        <v>30</v>
      </c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149"/>
    </row>
    <row r="7" ht="22.5" customHeight="1">
      <c r="A7" s="217"/>
      <c r="B7" s="263">
        <f>IF(ARBITRAGES!E7=0,"",ARBITRAGES!E7)</f>
        <v>45518</v>
      </c>
      <c r="C7" s="231">
        <f t="shared" si="5"/>
        <v>37467.52166</v>
      </c>
      <c r="D7" s="264">
        <f>IF(F7="","",PRIX!B6)</f>
        <v>61000</v>
      </c>
      <c r="E7" s="264">
        <f t="shared" si="2"/>
        <v>36278.07652</v>
      </c>
      <c r="F7" s="242">
        <f>IF(B7="","",PRIX!B7*$Q$6+$R$6*PRIX!C7+PRIX!D7*$S$6+$T$6*PRIX!E7+PRIX!F7*$U$6+PRIX!G7*$V$6+$W$6*PRIX!H7+PRIX!I7*$X$6)</f>
        <v>37126.88077</v>
      </c>
      <c r="G7" s="270">
        <f>IF(B7="","",'Historique détail'!U6)</f>
        <v>38797.4525</v>
      </c>
      <c r="H7" s="244">
        <f t="shared" si="3"/>
        <v>0.04499628561</v>
      </c>
      <c r="I7" s="266">
        <f t="shared" si="4"/>
        <v>0.03549556489</v>
      </c>
      <c r="J7" s="217"/>
      <c r="K7" s="217"/>
      <c r="L7" s="217"/>
      <c r="M7" s="217"/>
      <c r="N7" s="217"/>
      <c r="O7" s="217"/>
      <c r="P7" s="267" t="s">
        <v>119</v>
      </c>
      <c r="Q7" s="278">
        <f>RECAP!AU2</f>
        <v>67500</v>
      </c>
      <c r="R7" s="279">
        <f>RECAP!AU3</f>
        <v>1950</v>
      </c>
      <c r="S7" s="279">
        <f>RECAP!AU4</f>
        <v>1.44</v>
      </c>
      <c r="T7" s="279">
        <f>RECAP!AU5</f>
        <v>83</v>
      </c>
      <c r="U7" s="279">
        <f>RECAP!AU6</f>
        <v>190</v>
      </c>
      <c r="V7" s="279">
        <f>RECAP!AU7</f>
        <v>0.096</v>
      </c>
      <c r="W7" s="279">
        <f>RECAP!AU8</f>
        <v>8.7</v>
      </c>
      <c r="X7" s="279">
        <f>RECAP!AU9</f>
        <v>0.0999</v>
      </c>
      <c r="Y7" s="189">
        <f>Q6*Q7+R6*R7+S6*S7+T6*T7+U6*U7+V6*V7+W6*W7+X6*X7</f>
        <v>29736.89687</v>
      </c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149"/>
    </row>
    <row r="8" ht="22.5" customHeight="1">
      <c r="A8" s="217"/>
      <c r="B8" s="263">
        <f>IF(ARBITRAGES!E9=0,"",ARBITRAGES!E9)</f>
        <v>45519</v>
      </c>
      <c r="C8" s="231">
        <f t="shared" si="5"/>
        <v>37467.52166</v>
      </c>
      <c r="D8" s="264">
        <f>IF(F8="","",PRIX!B7)</f>
        <v>61000</v>
      </c>
      <c r="E8" s="264">
        <f t="shared" si="2"/>
        <v>36278.07652</v>
      </c>
      <c r="F8" s="242">
        <f>IF(B8="","",PRIX!B9*$Q$6+$R$6*PRIX!C9+PRIX!D9*$S$6+$T$6*PRIX!E9+PRIX!F9*$U$6+PRIX!G9*$V$6+$W$6*PRIX!H9+PRIX!I9*$X$6)</f>
        <v>35694.10832</v>
      </c>
      <c r="G8" s="270">
        <f>IF(B8="","",'Historique détail'!U8)</f>
        <v>38836.26487</v>
      </c>
      <c r="H8" s="244">
        <f t="shared" si="3"/>
        <v>0.08803011756</v>
      </c>
      <c r="I8" s="266">
        <f t="shared" si="4"/>
        <v>0.03653145854</v>
      </c>
      <c r="J8" s="217"/>
      <c r="K8" s="280" t="s">
        <v>120</v>
      </c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  <c r="AH8" s="217"/>
      <c r="AI8" s="217"/>
      <c r="AJ8" s="217"/>
      <c r="AK8" s="217"/>
      <c r="AL8" s="217"/>
      <c r="AM8" s="149"/>
    </row>
    <row r="9" ht="22.5" customHeight="1">
      <c r="A9" s="217"/>
      <c r="B9" s="263">
        <f>IF(ARBITRAGES!E10=0,"",ARBITRAGES!E10)</f>
        <v>45522</v>
      </c>
      <c r="C9" s="231">
        <f t="shared" si="5"/>
        <v>37467.52166</v>
      </c>
      <c r="D9" s="264">
        <f>IF(F9="","",PRIX!B8)</f>
        <v>61000</v>
      </c>
      <c r="E9" s="264">
        <f t="shared" si="2"/>
        <v>36278.07652</v>
      </c>
      <c r="F9" s="242">
        <f>IF(B9="","",PRIX!B10*$Q$6+$R$6*PRIX!C10+PRIX!D10*$S$6+$T$6*PRIX!E10+PRIX!F10*$U$6+PRIX!G10*$V$6+$W$6*PRIX!H10+PRIX!I10*$X$6)</f>
        <v>36536.79156</v>
      </c>
      <c r="G9" s="270">
        <f>IF(B9="","",'Historique détail'!U9)</f>
        <v>37999.57198</v>
      </c>
      <c r="H9" s="244">
        <f t="shared" si="3"/>
        <v>0.04003582035</v>
      </c>
      <c r="I9" s="266">
        <f t="shared" si="4"/>
        <v>0.01420030735</v>
      </c>
      <c r="J9" s="217"/>
      <c r="K9" s="259" t="s">
        <v>121</v>
      </c>
      <c r="L9" s="266">
        <f>AVERAGE(H195:H205)</f>
        <v>0.1901191805</v>
      </c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149"/>
    </row>
    <row r="10" ht="22.5" customHeight="1">
      <c r="A10" s="217"/>
      <c r="B10" s="263">
        <f>IF(ARBITRAGES!E11=0,"",ARBITRAGES!E11)</f>
        <v>45527</v>
      </c>
      <c r="C10" s="231">
        <f t="shared" si="5"/>
        <v>37467.52166</v>
      </c>
      <c r="D10" s="264">
        <f>IF(F10="","",PRIX!B9)</f>
        <v>58000</v>
      </c>
      <c r="E10" s="264">
        <f t="shared" si="2"/>
        <v>34493.90883</v>
      </c>
      <c r="F10" s="242">
        <f>IF(B10="","",PRIX!B11*$Q$6+$R$6*PRIX!C11+PRIX!D11*$S$6+$T$6*PRIX!E11+PRIX!F11*$U$6+PRIX!G11*$V$6+$W$6*PRIX!H11+PRIX!I11*$X$6)</f>
        <v>38338.25059</v>
      </c>
      <c r="G10" s="270">
        <f>IF(B10="","",'Historique détail'!U10)</f>
        <v>38621.63</v>
      </c>
      <c r="H10" s="244">
        <f t="shared" si="3"/>
        <v>0.007391558382</v>
      </c>
      <c r="I10" s="266">
        <f t="shared" si="4"/>
        <v>0.03080290066</v>
      </c>
      <c r="J10" s="217"/>
      <c r="K10" s="259" t="s">
        <v>122</v>
      </c>
      <c r="L10" s="266">
        <f>AVERAGE(H163:H205)</f>
        <v>0.1703875191</v>
      </c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  <c r="AH10" s="217"/>
      <c r="AI10" s="217"/>
      <c r="AJ10" s="217"/>
      <c r="AK10" s="217"/>
      <c r="AL10" s="217"/>
      <c r="AM10" s="149"/>
    </row>
    <row r="11" ht="22.5" customHeight="1">
      <c r="A11" s="217"/>
      <c r="B11" s="263">
        <f>IF(ARBITRAGES!E12=0,"",ARBITRAGES!E12)</f>
        <v>45527</v>
      </c>
      <c r="C11" s="231">
        <f t="shared" si="5"/>
        <v>37467.52166</v>
      </c>
      <c r="D11" s="264">
        <f>IF(F11="","",PRIX!B10)</f>
        <v>60100</v>
      </c>
      <c r="E11" s="264">
        <f t="shared" si="2"/>
        <v>35742.82621</v>
      </c>
      <c r="F11" s="242">
        <f>IF(B11="","",PRIX!B12*$Q$6+$R$6*PRIX!C12+PRIX!D12*$S$6+$T$6*PRIX!E12+PRIX!F12*$U$6+PRIX!G12*$V$6+$W$6*PRIX!H12+PRIX!I12*$X$6)</f>
        <v>38338.25059</v>
      </c>
      <c r="G11" s="270">
        <f>IF(B11="","",'Historique détail'!U11)</f>
        <v>40071.08671</v>
      </c>
      <c r="H11" s="244">
        <f t="shared" si="3"/>
        <v>0.04519862282</v>
      </c>
      <c r="I11" s="266">
        <f t="shared" si="4"/>
        <v>0.06948858485</v>
      </c>
      <c r="J11" s="217"/>
      <c r="K11" s="259" t="s">
        <v>123</v>
      </c>
      <c r="L11" s="266">
        <f>AVERAGE(H59:H205)</f>
        <v>0.09722100899</v>
      </c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  <c r="AL11" s="217"/>
      <c r="AM11" s="149"/>
    </row>
    <row r="12" ht="22.5" customHeight="1">
      <c r="A12" s="217"/>
      <c r="B12" s="263">
        <f>IF(ARBITRAGES!E13=0,"",ARBITRAGES!E13)</f>
        <v>45528</v>
      </c>
      <c r="C12" s="231">
        <f t="shared" si="5"/>
        <v>37467.52166</v>
      </c>
      <c r="D12" s="264">
        <f>IF(F12="","",PRIX!B11)</f>
        <v>63400</v>
      </c>
      <c r="E12" s="264">
        <f t="shared" ref="E12:E13" si="7">IF(F12="","",($F$4/$D$4)*D12)</f>
        <v>37705.41068</v>
      </c>
      <c r="F12" s="242">
        <f>IF(B12="","",PRIX!B13*$Q$6+$R$6*PRIX!C13+PRIX!D13*$S$6+$T$6*PRIX!E13+PRIX!F13*$U$6+PRIX!G13*$V$6+$W$6*PRIX!H13+PRIX!I13*$X$6)</f>
        <v>39159.96975</v>
      </c>
      <c r="G12" s="270">
        <f>IF(B12="","",'Historique détail'!U12)</f>
        <v>40130.79639</v>
      </c>
      <c r="H12" s="244">
        <f t="shared" si="3"/>
        <v>0.02479130217</v>
      </c>
      <c r="I12" s="266">
        <f t="shared" si="4"/>
        <v>0.07108222315</v>
      </c>
      <c r="J12" s="217"/>
      <c r="K12" s="259" t="s">
        <v>124</v>
      </c>
      <c r="L12" s="266">
        <f>AVERAGE(H:H)</f>
        <v>0.1143878687</v>
      </c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149"/>
    </row>
    <row r="13" ht="22.5" customHeight="1">
      <c r="A13" s="217"/>
      <c r="B13" s="281">
        <f>IF(ARBITRAGES!E14=0,"",ARBITRAGES!E14)</f>
        <v>45529</v>
      </c>
      <c r="C13" s="231">
        <f t="shared" si="5"/>
        <v>37467.52166</v>
      </c>
      <c r="D13" s="264">
        <f>IF(F13="","",PRIX!B12)</f>
        <v>63400</v>
      </c>
      <c r="E13" s="264">
        <f t="shared" si="7"/>
        <v>37705.41068</v>
      </c>
      <c r="F13" s="242">
        <f>IF(B13="","",PRIX!B14*$Q$6+$R$6*PRIX!C14+PRIX!D14*$S$6+$T$6*PRIX!E14+PRIX!F14*$U$6+PRIX!G14*$V$6+$W$6*PRIX!H14+PRIX!I14*$X$6)</f>
        <v>38233.71085</v>
      </c>
      <c r="G13" s="270">
        <f>IF(B13="","",'Historique détail'!U13)</f>
        <v>40893.77506</v>
      </c>
      <c r="H13" s="244">
        <f t="shared" si="3"/>
        <v>0.06957379104</v>
      </c>
      <c r="I13" s="266">
        <f t="shared" si="4"/>
        <v>0.09144595792</v>
      </c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149"/>
    </row>
    <row r="14" ht="22.5" customHeight="1">
      <c r="A14" s="217"/>
      <c r="B14" s="263">
        <f>IF(ARBITRAGES!E15=0,"",ARBITRAGES!E15)</f>
        <v>45530</v>
      </c>
      <c r="C14" s="231">
        <f t="shared" si="5"/>
        <v>37467.52166</v>
      </c>
      <c r="D14" s="264">
        <f>IF(F14="","",PRIX!B13)</f>
        <v>64400</v>
      </c>
      <c r="E14" s="264">
        <f t="shared" ref="E14:E16" si="8">IF(F14="","",($G$4/$D$4)*D14)</f>
        <v>38300.13325</v>
      </c>
      <c r="F14" s="242">
        <f>IF(B14="","",PRIX!B15*$Q$6+$R$6*PRIX!C15+PRIX!D15*$S$6+$T$6*PRIX!E15+PRIX!F15*$U$6+PRIX!G15*$V$6+$W$6*PRIX!H15+PRIX!I15*$X$6)</f>
        <v>36872.13468</v>
      </c>
      <c r="G14" s="270">
        <f>IF(B14="","",'Historique détail'!U14)</f>
        <v>40117.45953</v>
      </c>
      <c r="H14" s="244">
        <f t="shared" si="3"/>
        <v>0.08801564861</v>
      </c>
      <c r="I14" s="266">
        <f t="shared" si="4"/>
        <v>0.07072626539</v>
      </c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149"/>
    </row>
    <row r="15" ht="22.5" customHeight="1">
      <c r="A15" s="217"/>
      <c r="B15" s="263">
        <f>IF(ARBITRAGES!E16=0,"",ARBITRAGES!E16)</f>
        <v>45531</v>
      </c>
      <c r="C15" s="231">
        <f t="shared" si="5"/>
        <v>37467.52166</v>
      </c>
      <c r="D15" s="264">
        <f>IF(F15="","",PRIX!B14)</f>
        <v>64000</v>
      </c>
      <c r="E15" s="264">
        <f t="shared" si="8"/>
        <v>38062.24422</v>
      </c>
      <c r="F15" s="242">
        <f>IF(B15="","",PRIX!B16*$Q$6+$R$6*PRIX!C16+PRIX!D16*$S$6+$T$6*PRIX!E16+PRIX!F16*$U$6+PRIX!G16*$V$6+$W$6*PRIX!H16+PRIX!I16*$X$6)</f>
        <v>36872.13468</v>
      </c>
      <c r="G15" s="270">
        <f>IF(B15="","",'Historique détail'!U15)</f>
        <v>38900.62381</v>
      </c>
      <c r="H15" s="244">
        <f t="shared" si="3"/>
        <v>0.05501414946</v>
      </c>
      <c r="I15" s="266">
        <f t="shared" si="4"/>
        <v>0.03824918476</v>
      </c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7"/>
      <c r="AK15" s="217"/>
      <c r="AL15" s="217"/>
      <c r="AM15" s="149"/>
    </row>
    <row r="16" ht="22.5" customHeight="1">
      <c r="A16" s="217"/>
      <c r="B16" s="263">
        <f>IF(ARBITRAGES!E20=0,"",ARBITRAGES!E20)</f>
        <v>45532</v>
      </c>
      <c r="C16" s="231">
        <f t="shared" si="5"/>
        <v>37467.52166</v>
      </c>
      <c r="D16" s="264">
        <f>IF(F16="","",PRIX!B15)</f>
        <v>62000</v>
      </c>
      <c r="E16" s="264">
        <f t="shared" si="8"/>
        <v>36872.79909</v>
      </c>
      <c r="F16" s="242">
        <f>IF(B16="","",PRIX!B20*$Q$6+$R$6*PRIX!C20+PRIX!D20*$S$6+$T$6*PRIX!E20+PRIX!F20*$U$6+PRIX!G20*$V$6+$W$6*PRIX!H20+PRIX!I20*$X$6)</f>
        <v>35451.62927</v>
      </c>
      <c r="G16" s="270">
        <f>IF(B16="","",'Historique détail'!U19)</f>
        <v>38937.50839</v>
      </c>
      <c r="H16" s="244">
        <f t="shared" si="3"/>
        <v>0.09832775501</v>
      </c>
      <c r="I16" s="266">
        <f t="shared" si="4"/>
        <v>0.03923362606</v>
      </c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149"/>
    </row>
    <row r="17" ht="22.5" customHeight="1">
      <c r="A17" s="217"/>
      <c r="B17" s="263">
        <f>IF(ARBITRAGES!E21=0,"",ARBITRAGES!E21)</f>
        <v>45545</v>
      </c>
      <c r="C17" s="231">
        <f t="shared" si="5"/>
        <v>37467.52166</v>
      </c>
      <c r="D17" s="264">
        <f>IF(F17="","",PRIX!B16)</f>
        <v>62000</v>
      </c>
      <c r="E17" s="264">
        <f t="shared" ref="E17:E307" si="9">IF(F17="","",($F$4/$D$4)*D17)</f>
        <v>36872.79909</v>
      </c>
      <c r="F17" s="242">
        <f>IF(B17="","",PRIX!B21*$Q$6+$R$6*PRIX!C21+PRIX!D21*$S$6+$T$6*PRIX!E21+PRIX!F21*$U$6+PRIX!G21*$V$6+$W$6*PRIX!H21+PRIX!I21*$X$6)</f>
        <v>33732.78938</v>
      </c>
      <c r="G17" s="270">
        <f>IF(B17="","",'Historique détail'!U20)</f>
        <v>37571.82377</v>
      </c>
      <c r="H17" s="244">
        <f t="shared" si="3"/>
        <v>0.1138072023</v>
      </c>
      <c r="I17" s="266">
        <f t="shared" si="4"/>
        <v>0.002783800735</v>
      </c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  <c r="AK17" s="217"/>
      <c r="AL17" s="217"/>
      <c r="AM17" s="149"/>
    </row>
    <row r="18" ht="22.5" customHeight="1">
      <c r="A18" s="217"/>
      <c r="B18" s="263">
        <f>IF(ARBITRAGES!E22=0,"",ARBITRAGES!E22)</f>
        <v>45551</v>
      </c>
      <c r="C18" s="231">
        <f t="shared" si="5"/>
        <v>37467.52166</v>
      </c>
      <c r="D18" s="264">
        <f>IF(F18="","",PRIX!B17)</f>
        <v>62000</v>
      </c>
      <c r="E18" s="264">
        <f t="shared" si="9"/>
        <v>36872.79909</v>
      </c>
      <c r="F18" s="242">
        <f>IF(B18="","",PRIX!B22*$Q$6+$R$6*PRIX!C22+PRIX!D22*$S$6+$T$6*PRIX!E22+PRIX!F22*$U$6+PRIX!G22*$V$6+$W$6*PRIX!H22+PRIX!I22*$X$6)</f>
        <v>34523.80756</v>
      </c>
      <c r="G18" s="270">
        <f>IF(B18="","",'Historique détail'!U21)</f>
        <v>35856.03699</v>
      </c>
      <c r="H18" s="244">
        <f t="shared" si="3"/>
        <v>0.03858871653</v>
      </c>
      <c r="I18" s="266">
        <f t="shared" si="4"/>
        <v>-0.04301017517</v>
      </c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149"/>
    </row>
    <row r="19" ht="22.5" customHeight="1">
      <c r="A19" s="217"/>
      <c r="B19" s="263">
        <f>IF(ARBITRAGES!E23=0,"",ARBITRAGES!E23)</f>
        <v>45552</v>
      </c>
      <c r="C19" s="231">
        <f t="shared" si="5"/>
        <v>37467.52166</v>
      </c>
      <c r="D19" s="264">
        <f>IF(F19="","",PRIX!B18)</f>
        <v>62000</v>
      </c>
      <c r="E19" s="264">
        <f t="shared" si="9"/>
        <v>36872.79909</v>
      </c>
      <c r="F19" s="242">
        <f>IF(B19="","",PRIX!B23*$Q$6+$R$6*PRIX!C23+PRIX!D23*$S$6+$T$6*PRIX!E23+PRIX!F23*$U$6+PRIX!G23*$V$6+$W$6*PRIX!H23+PRIX!I23*$X$6)</f>
        <v>35693.79394</v>
      </c>
      <c r="G19" s="270">
        <f>IF(B19="","",'Historique détail'!U22)</f>
        <v>36696.80664</v>
      </c>
      <c r="H19" s="244">
        <f t="shared" si="3"/>
        <v>0.02810047862</v>
      </c>
      <c r="I19" s="266">
        <f t="shared" si="4"/>
        <v>-0.02057021613</v>
      </c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  <c r="AL19" s="217"/>
      <c r="AM19" s="149"/>
    </row>
    <row r="20" ht="22.5" customHeight="1">
      <c r="A20" s="217"/>
      <c r="B20" s="263">
        <f>IF(ARBITRAGES!E24=0,"",ARBITRAGES!E24)</f>
        <v>45555</v>
      </c>
      <c r="C20" s="231">
        <f t="shared" si="5"/>
        <v>37467.52166</v>
      </c>
      <c r="D20" s="264">
        <f>IF(F20="","",PRIX!B19)</f>
        <v>62000</v>
      </c>
      <c r="E20" s="264">
        <f t="shared" si="9"/>
        <v>36872.79909</v>
      </c>
      <c r="F20" s="242">
        <f>IF(B20="","",PRIX!B24*$Q$6+$R$6*PRIX!C24+PRIX!D24*$S$6+$T$6*PRIX!E24+PRIX!F24*$U$6+PRIX!G24*$V$6+$W$6*PRIX!H24+PRIX!I24*$X$6)</f>
        <v>38152.4421</v>
      </c>
      <c r="G20" s="270">
        <f>IF(B20="","",'Historique détail'!U23)</f>
        <v>37935.51998</v>
      </c>
      <c r="H20" s="244">
        <f t="shared" si="3"/>
        <v>-0.005685668034</v>
      </c>
      <c r="I20" s="266">
        <f t="shared" si="4"/>
        <v>0.01249077344</v>
      </c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149"/>
    </row>
    <row r="21" ht="22.5" customHeight="1">
      <c r="A21" s="217"/>
      <c r="B21" s="263">
        <f>IF(ARBITRAGES!E25=0,"",ARBITRAGES!E25)</f>
        <v>45557</v>
      </c>
      <c r="C21" s="231">
        <f t="shared" si="5"/>
        <v>37467.52166</v>
      </c>
      <c r="D21" s="264">
        <f>IF(F21="","",PRIX!B20)</f>
        <v>59500</v>
      </c>
      <c r="E21" s="264">
        <f t="shared" si="9"/>
        <v>35385.99267</v>
      </c>
      <c r="F21" s="242">
        <f>IF(B21="","",PRIX!B25*$Q$6+$R$6*PRIX!C25+PRIX!D25*$S$6+$T$6*PRIX!E25+PRIX!F25*$U$6+PRIX!G25*$V$6+$W$6*PRIX!H25+PRIX!I25*$X$6)</f>
        <v>39351.6812</v>
      </c>
      <c r="G21" s="270">
        <f>IF(B21="","",'Historique détail'!U24)</f>
        <v>40252.67797</v>
      </c>
      <c r="H21" s="244">
        <f t="shared" si="3"/>
        <v>0.02289601726</v>
      </c>
      <c r="I21" s="266">
        <f t="shared" si="4"/>
        <v>0.07433521594</v>
      </c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149"/>
    </row>
    <row r="22" ht="22.5" customHeight="1">
      <c r="A22" s="217"/>
      <c r="B22" s="263">
        <f>IF(ARBITRAGES!E26=0,"",ARBITRAGES!E26)</f>
        <v>45558</v>
      </c>
      <c r="C22" s="231">
        <f t="shared" si="5"/>
        <v>37467.52166</v>
      </c>
      <c r="D22" s="264">
        <f>IF(F22="","",PRIX!B21)</f>
        <v>57300</v>
      </c>
      <c r="E22" s="264">
        <f t="shared" si="9"/>
        <v>34077.60303</v>
      </c>
      <c r="F22" s="242">
        <f>IF(B22="","",PRIX!B26*$Q$6+$R$6*PRIX!C26+PRIX!D26*$S$6+$T$6*PRIX!E26+PRIX!F26*$U$6+PRIX!G26*$V$6+$W$6*PRIX!H26+PRIX!I26*$X$6)</f>
        <v>38728.40068</v>
      </c>
      <c r="G22" s="270">
        <f>IF(B22="","",'Historique détail'!U25)</f>
        <v>41372.68005</v>
      </c>
      <c r="H22" s="244">
        <f t="shared" si="3"/>
        <v>0.06827752558</v>
      </c>
      <c r="I22" s="266">
        <f t="shared" si="4"/>
        <v>0.1042278277</v>
      </c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  <c r="AL22" s="217"/>
      <c r="AM22" s="149"/>
    </row>
    <row r="23" ht="22.5" customHeight="1">
      <c r="A23" s="217"/>
      <c r="B23" s="263">
        <f>IF(ARBITRAGES!E27=0,"",ARBITRAGES!E27)</f>
        <v>45568</v>
      </c>
      <c r="C23" s="231">
        <f t="shared" si="5"/>
        <v>37467.52166</v>
      </c>
      <c r="D23" s="264">
        <f>IF(F23="","",PRIX!B22)</f>
        <v>59000</v>
      </c>
      <c r="E23" s="264">
        <f t="shared" si="9"/>
        <v>35088.63139</v>
      </c>
      <c r="F23" s="242">
        <f>IF(B23="","",PRIX!B27*$Q$6+$R$6*PRIX!C27+PRIX!D27*$S$6+$T$6*PRIX!E27+PRIX!F27*$U$6+PRIX!G27*$V$6+$W$6*PRIX!H27+PRIX!I27*$X$6)</f>
        <v>36720.63339</v>
      </c>
      <c r="G23" s="270">
        <f>IF(B23="","",'Historique détail'!U26)</f>
        <v>40838.91522</v>
      </c>
      <c r="H23" s="244">
        <f t="shared" si="3"/>
        <v>0.1121517102</v>
      </c>
      <c r="I23" s="266">
        <f t="shared" si="4"/>
        <v>0.08998176064</v>
      </c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7"/>
      <c r="AK23" s="217"/>
      <c r="AL23" s="217"/>
      <c r="AM23" s="149"/>
    </row>
    <row r="24" ht="22.5" customHeight="1">
      <c r="A24" s="217"/>
      <c r="B24" s="263">
        <f>IF(ARBITRAGES!E28=0,"",ARBITRAGES!E28)</f>
        <v>45586</v>
      </c>
      <c r="C24" s="231">
        <f t="shared" si="5"/>
        <v>37467.52166</v>
      </c>
      <c r="D24" s="264">
        <f>IF(F24="","",PRIX!B23)</f>
        <v>61200</v>
      </c>
      <c r="E24" s="264">
        <f t="shared" si="9"/>
        <v>36397.02104</v>
      </c>
      <c r="F24" s="242">
        <f>IF(B24="","",PRIX!B28*$Q$6+$R$6*PRIX!C28+PRIX!D28*$S$6+$T$6*PRIX!E28+PRIX!F28*$U$6+PRIX!G28*$V$6+$W$6*PRIX!H28+PRIX!I28*$X$6)</f>
        <v>41504.00358</v>
      </c>
      <c r="G24" s="270">
        <f>IF(B24="","",'Historique détail'!U27)</f>
        <v>38996.08912</v>
      </c>
      <c r="H24" s="244">
        <f t="shared" si="3"/>
        <v>-0.06042584426</v>
      </c>
      <c r="I24" s="266">
        <f t="shared" si="4"/>
        <v>0.04079713301</v>
      </c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149"/>
    </row>
    <row r="25" ht="22.5" customHeight="1">
      <c r="A25" s="217"/>
      <c r="B25" s="282">
        <f>IF(ARBITRAGES!E29=0,"",ARBITRAGES!E29)</f>
        <v>45591</v>
      </c>
      <c r="C25" s="231">
        <f t="shared" si="5"/>
        <v>37467.52166</v>
      </c>
      <c r="D25" s="264">
        <f>IF(F25="","",PRIX!B24)</f>
        <v>64050</v>
      </c>
      <c r="E25" s="264">
        <f t="shared" si="9"/>
        <v>38091.98035</v>
      </c>
      <c r="F25" s="242">
        <f>IF(B25="","",PRIX!B29*$Q$6+$R$6*PRIX!C29+PRIX!D29*$S$6+$T$6*PRIX!E29+PRIX!F29*$U$6+PRIX!G29*$V$6+$W$6*PRIX!H29+PRIX!I29*$X$6)</f>
        <v>42085.77227</v>
      </c>
      <c r="G25" s="270">
        <f>IF(B25="","",'Historique détail'!U28)</f>
        <v>43650.54392</v>
      </c>
      <c r="H25" s="244">
        <f t="shared" si="3"/>
        <v>0.03718053788</v>
      </c>
      <c r="I25" s="266">
        <f t="shared" si="4"/>
        <v>0.165023519</v>
      </c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149"/>
    </row>
    <row r="26" ht="22.5" customHeight="1">
      <c r="A26" s="217"/>
      <c r="B26" s="263">
        <f>IF(ARBITRAGES!E30=0,"",ARBITRAGES!E30)</f>
        <v>45594</v>
      </c>
      <c r="C26" s="231">
        <f t="shared" si="5"/>
        <v>37467.52166</v>
      </c>
      <c r="D26" s="264">
        <f>IF(F26="","",PRIX!B25)</f>
        <v>64000</v>
      </c>
      <c r="E26" s="264">
        <f t="shared" si="9"/>
        <v>38062.24422</v>
      </c>
      <c r="F26" s="242">
        <f>IF(B26="","",PRIX!B30*$Q$6+$R$6*PRIX!C30+PRIX!D30*$S$6+$T$6*PRIX!E30+PRIX!F30*$U$6+PRIX!G30*$V$6+$W$6*PRIX!H30+PRIX!I30*$X$6)</f>
        <v>41940.31758</v>
      </c>
      <c r="G26" s="270">
        <f>IF(B26="","",'Historique détail'!U29)</f>
        <v>44302.28453</v>
      </c>
      <c r="H26" s="244">
        <f t="shared" si="3"/>
        <v>0.05631733586</v>
      </c>
      <c r="I26" s="266">
        <f t="shared" si="4"/>
        <v>0.1824183338</v>
      </c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149"/>
    </row>
    <row r="27" ht="22.5" customHeight="1">
      <c r="A27" s="217"/>
      <c r="B27" s="263">
        <f>IF(ARBITRAGES!E31=0,"",ARBITRAGES!E31)</f>
        <v>45595</v>
      </c>
      <c r="C27" s="231">
        <f t="shared" si="5"/>
        <v>37467.52166</v>
      </c>
      <c r="D27" s="264">
        <f>IF(F27="","",PRIX!B26)</f>
        <v>63600</v>
      </c>
      <c r="E27" s="264">
        <f t="shared" si="9"/>
        <v>37824.35519</v>
      </c>
      <c r="F27" s="242">
        <f>IF(B27="","",PRIX!B31*$Q$6+$R$6*PRIX!C31+PRIX!D31*$S$6+$T$6*PRIX!E31+PRIX!F31*$U$6+PRIX!G31*$V$6+$W$6*PRIX!H31+PRIX!I31*$X$6)</f>
        <v>39504.87454</v>
      </c>
      <c r="G27" s="270">
        <f>IF(B27="","",'Historique détail'!U30)</f>
        <v>44166.08036</v>
      </c>
      <c r="H27" s="244">
        <f t="shared" si="3"/>
        <v>0.11799065</v>
      </c>
      <c r="I27" s="266">
        <f t="shared" si="4"/>
        <v>0.1787830743</v>
      </c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7"/>
      <c r="AK27" s="217"/>
      <c r="AL27" s="217"/>
      <c r="AM27" s="149"/>
    </row>
    <row r="28" ht="22.5" customHeight="1">
      <c r="A28" s="217"/>
      <c r="B28" s="263">
        <f>IF(ARBITRAGES!E32=0,"",ARBITRAGES!E32)</f>
        <v>45598</v>
      </c>
      <c r="C28" s="231">
        <f t="shared" si="5"/>
        <v>37467.52166</v>
      </c>
      <c r="D28" s="264">
        <f>IF(F28="","",PRIX!B27)</f>
        <v>61100</v>
      </c>
      <c r="E28" s="264">
        <f t="shared" si="9"/>
        <v>36337.54878</v>
      </c>
      <c r="F28" s="242">
        <f>IF(B28="","",PRIX!B32*$Q$6+$R$6*PRIX!C32+PRIX!D32*$S$6+$T$6*PRIX!E32+PRIX!F32*$U$6+PRIX!G32*$V$6+$W$6*PRIX!H32+PRIX!I32*$X$6)</f>
        <v>38160.91047</v>
      </c>
      <c r="G28" s="270">
        <f>IF(B28="","",'Historique détail'!U31)</f>
        <v>41963.67533</v>
      </c>
      <c r="H28" s="244">
        <f t="shared" si="3"/>
        <v>0.09965078957</v>
      </c>
      <c r="I28" s="266">
        <f t="shared" si="4"/>
        <v>0.1200013632</v>
      </c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149"/>
    </row>
    <row r="29" ht="22.5" customHeight="1">
      <c r="A29" s="217"/>
      <c r="B29" s="263">
        <f>IF(ARBITRAGES!E33=0,"",ARBITRAGES!E33)</f>
        <v>45599</v>
      </c>
      <c r="C29" s="231">
        <f t="shared" si="5"/>
        <v>37467.52166</v>
      </c>
      <c r="D29" s="264">
        <f>IF(F29="","",PRIX!B28)</f>
        <v>69100</v>
      </c>
      <c r="E29" s="264">
        <f t="shared" si="9"/>
        <v>41095.32931</v>
      </c>
      <c r="F29" s="242">
        <f>IF(B29="","",PRIX!B33*$Q$6+$R$6*PRIX!C33+PRIX!D33*$S$6+$T$6*PRIX!E33+PRIX!F33*$U$6+PRIX!G33*$V$6+$W$6*PRIX!H33+PRIX!I33*$X$6)</f>
        <v>38434.5286</v>
      </c>
      <c r="G29" s="270">
        <f>IF(B29="","",'Historique détail'!U32)</f>
        <v>40654.55668</v>
      </c>
      <c r="H29" s="244">
        <f t="shared" si="3"/>
        <v>0.05776129321</v>
      </c>
      <c r="I29" s="266">
        <f t="shared" si="4"/>
        <v>0.08506127125</v>
      </c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7"/>
      <c r="AK29" s="217"/>
      <c r="AL29" s="217"/>
      <c r="AM29" s="149"/>
    </row>
    <row r="30" ht="22.5" customHeight="1">
      <c r="A30" s="217"/>
      <c r="B30" s="263">
        <f>IF(ARBITRAGES!E34=0,"",ARBITRAGES!E34)</f>
        <v>45602</v>
      </c>
      <c r="C30" s="231">
        <f t="shared" si="5"/>
        <v>37467.52166</v>
      </c>
      <c r="D30" s="264">
        <f>IF(F30="","",PRIX!B29)</f>
        <v>67000</v>
      </c>
      <c r="E30" s="264">
        <f t="shared" si="9"/>
        <v>39846.41192</v>
      </c>
      <c r="F30" s="242">
        <f>IF(B30="","",PRIX!B34*$Q$6+$R$6*PRIX!C34+PRIX!D34*$S$6+$T$6*PRIX!E34+PRIX!F34*$U$6+PRIX!G34*$V$6+$W$6*PRIX!H34+PRIX!I34*$X$6)</f>
        <v>42788.24254</v>
      </c>
      <c r="G30" s="270">
        <f>IF(B30="","",'Historique détail'!U33)</f>
        <v>40932.40497</v>
      </c>
      <c r="H30" s="244">
        <f t="shared" si="3"/>
        <v>-0.04337260578</v>
      </c>
      <c r="I30" s="266">
        <f t="shared" si="4"/>
        <v>0.09247698161</v>
      </c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149"/>
    </row>
    <row r="31" ht="22.5" customHeight="1">
      <c r="A31" s="217"/>
      <c r="B31" s="263">
        <f>IF(ARBITRAGES!E36=0,"",ARBITRAGES!E36)</f>
        <v>45576</v>
      </c>
      <c r="C31" s="231">
        <f t="shared" si="5"/>
        <v>37467.52166</v>
      </c>
      <c r="D31" s="264">
        <f>IF(F31="","",PRIX!B30)</f>
        <v>72500</v>
      </c>
      <c r="E31" s="264">
        <f t="shared" si="9"/>
        <v>43117.38603</v>
      </c>
      <c r="F31" s="242">
        <f>IF(B31="","",PRIX!B36*$Q$6+$R$6*PRIX!C36+PRIX!D36*$S$6+$T$6*PRIX!E36+PRIX!F36*$U$6+PRIX!G36*$V$6+$W$6*PRIX!H36+PRIX!I36*$X$6)</f>
        <v>50465.37931</v>
      </c>
      <c r="G31" s="270">
        <f>IF(B31="","",'Historique détail'!U35)</f>
        <v>50381.22143</v>
      </c>
      <c r="H31" s="244">
        <f t="shared" si="3"/>
        <v>-0.001667636096</v>
      </c>
      <c r="I31" s="266">
        <f t="shared" si="4"/>
        <v>0.3446638368</v>
      </c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7"/>
      <c r="AK31" s="217"/>
      <c r="AL31" s="217"/>
      <c r="AM31" s="149"/>
    </row>
    <row r="32" ht="22.5" customHeight="1">
      <c r="A32" s="217"/>
      <c r="B32" s="263">
        <f>IF(ARBITRAGES!E37=0,"",ARBITRAGES!E37)</f>
        <v>45608</v>
      </c>
      <c r="C32" s="231">
        <f t="shared" si="5"/>
        <v>37467.52166</v>
      </c>
      <c r="D32" s="264">
        <f>IF(F32="","",PRIX!B53)</f>
        <v>92000</v>
      </c>
      <c r="E32" s="264">
        <f t="shared" si="9"/>
        <v>54714.47607</v>
      </c>
      <c r="F32" s="242">
        <f>IF(B32="","",PRIX!B37*$Q$6+$R$6*PRIX!C37+PRIX!D37*$S$6+$T$6*PRIX!E37+PRIX!F37*$U$6+PRIX!G37*$V$6+$W$6*PRIX!H37+PRIX!I37*$X$6)</f>
        <v>51901.24356</v>
      </c>
      <c r="G32" s="270">
        <f>IF(B32="","",'Historique détail'!U36)</f>
        <v>52869.46053</v>
      </c>
      <c r="H32" s="244">
        <f t="shared" si="3"/>
        <v>0.0186549859</v>
      </c>
      <c r="I32" s="266">
        <f t="shared" si="4"/>
        <v>0.4110743971</v>
      </c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149"/>
    </row>
    <row r="33" ht="22.5" customHeight="1">
      <c r="A33" s="217"/>
      <c r="B33" s="282">
        <f>IF(ARBITRAGES!E38=0,"",ARBITRAGES!E38)</f>
        <v>45609</v>
      </c>
      <c r="C33" s="231">
        <f t="shared" si="5"/>
        <v>37467.52166</v>
      </c>
      <c r="D33" s="264">
        <f>IF(F33="","",PRIX!B54)</f>
        <v>94000</v>
      </c>
      <c r="E33" s="264">
        <f t="shared" si="9"/>
        <v>55903.9212</v>
      </c>
      <c r="F33" s="242">
        <f>IF(B33="","",PRIX!B38*$Q$6+$R$6*PRIX!C38+PRIX!D38*$S$6+$T$6*PRIX!E38+PRIX!F38*$U$6+PRIX!G38*$V$6+$W$6*PRIX!H38+PRIX!I38*$X$6)</f>
        <v>48980.28607</v>
      </c>
      <c r="G33" s="270">
        <f>IF(B33="","",'Historique détail'!U37)</f>
        <v>54208.65594</v>
      </c>
      <c r="H33" s="244">
        <f t="shared" si="3"/>
        <v>0.1067443719</v>
      </c>
      <c r="I33" s="266">
        <f t="shared" si="4"/>
        <v>0.4468172313</v>
      </c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149"/>
    </row>
    <row r="34" ht="22.5" customHeight="1">
      <c r="A34" s="217"/>
      <c r="B34" s="263">
        <f>IF(ARBITRAGES!E41=0,"",ARBITRAGES!E41)</f>
        <v>45610</v>
      </c>
      <c r="C34" s="231">
        <f t="shared" si="5"/>
        <v>37467.52166</v>
      </c>
      <c r="D34" s="264">
        <f>IF(F34="","",PRIX!B55)</f>
        <v>88000</v>
      </c>
      <c r="E34" s="264">
        <f t="shared" si="9"/>
        <v>52335.5858</v>
      </c>
      <c r="F34" s="242">
        <f>IF(B34="","",PRIX!B41*$Q$6+$R$6*PRIX!C41+PRIX!D41*$S$6+$T$6*PRIX!E41+PRIX!F41*$U$6+PRIX!G41*$V$6+$W$6*PRIX!H41+PRIX!I41*$X$6)</f>
        <v>51650.25831</v>
      </c>
      <c r="G34" s="270">
        <f>IF(B34="","",'Historique détail'!U40)</f>
        <v>51415.19244</v>
      </c>
      <c r="H34" s="244">
        <f t="shared" si="3"/>
        <v>-0.00455110732</v>
      </c>
      <c r="I34" s="266">
        <f t="shared" si="4"/>
        <v>0.3722602983</v>
      </c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149"/>
    </row>
    <row r="35" ht="22.5" customHeight="1">
      <c r="A35" s="217"/>
      <c r="B35" s="263">
        <f>IF(ARBITRAGES!E42=0,"",ARBITRAGES!E42)</f>
        <v>45615</v>
      </c>
      <c r="C35" s="231">
        <f t="shared" si="5"/>
        <v>37467.52166</v>
      </c>
      <c r="D35" s="264">
        <f>IF(F35="","",PRIX!B48)</f>
        <v>96000</v>
      </c>
      <c r="E35" s="264">
        <f t="shared" si="9"/>
        <v>57093.36633</v>
      </c>
      <c r="F35" s="242">
        <f>IF(B35="","",PRIX!B42*$Q$6+$R$6*PRIX!C42+PRIX!D42*$S$6+$T$6*PRIX!E42+PRIX!F42*$U$6+PRIX!G42*$V$6+$W$6*PRIX!H42+PRIX!I42*$X$6)</f>
        <v>51650.25831</v>
      </c>
      <c r="G35" s="270">
        <f>IF(B35="","",'Historique détail'!U41)</f>
        <v>53867.70671</v>
      </c>
      <c r="H35" s="244">
        <f t="shared" si="3"/>
        <v>0.04293199049</v>
      </c>
      <c r="I35" s="266">
        <f t="shared" si="4"/>
        <v>0.4377173704</v>
      </c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  <c r="AH35" s="217"/>
      <c r="AI35" s="217"/>
      <c r="AJ35" s="217"/>
      <c r="AK35" s="217"/>
      <c r="AL35" s="217"/>
      <c r="AM35" s="149"/>
    </row>
    <row r="36" ht="22.5" customHeight="1">
      <c r="A36" s="217"/>
      <c r="B36" s="263">
        <f>IF(ARBITRAGES!E44=0,"",ARBITRAGES!E44)</f>
        <v>45619</v>
      </c>
      <c r="C36" s="231">
        <f t="shared" si="5"/>
        <v>37467.52166</v>
      </c>
      <c r="D36" s="264">
        <f>IF(F36="","",PRIX!B49)</f>
        <v>93000</v>
      </c>
      <c r="E36" s="264">
        <f t="shared" si="9"/>
        <v>55309.19863</v>
      </c>
      <c r="F36" s="242">
        <f>IF(B36="","",PRIX!B44*$Q$6+$R$6*PRIX!C44+PRIX!D44*$S$6+$T$6*PRIX!E44+PRIX!F44*$U$6+PRIX!G44*$V$6+$W$6*PRIX!H44+PRIX!I44*$X$6)</f>
        <v>56216.25836</v>
      </c>
      <c r="G36" s="270">
        <f>IF(B36="","",'Historique détail'!U43)</f>
        <v>58333.00437</v>
      </c>
      <c r="H36" s="244">
        <f t="shared" si="3"/>
        <v>0.03765362671</v>
      </c>
      <c r="I36" s="266">
        <f t="shared" si="4"/>
        <v>0.5568951933</v>
      </c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149"/>
    </row>
    <row r="37" ht="22.5" customHeight="1">
      <c r="A37" s="217"/>
      <c r="B37" s="263">
        <f>IF(ARBITRAGES!E45=0,"",ARBITRAGES!E45)</f>
        <v>45622</v>
      </c>
      <c r="C37" s="231">
        <f t="shared" si="5"/>
        <v>37467.52166</v>
      </c>
      <c r="D37" s="264">
        <f>IF(F37="","",PRIX!B50)</f>
        <v>89000</v>
      </c>
      <c r="E37" s="264">
        <f t="shared" si="9"/>
        <v>52930.30837</v>
      </c>
      <c r="F37" s="242">
        <f>IF(B37="","",PRIX!B45*$Q$6+$R$6*PRIX!C45+PRIX!D45*$S$6+$T$6*PRIX!E45+PRIX!F45*$U$6+PRIX!G45*$V$6+$W$6*PRIX!H45+PRIX!I45*$X$6)</f>
        <v>52780.58917</v>
      </c>
      <c r="G37" s="270">
        <f>IF(B37="","",'Historique détail'!U44)</f>
        <v>58333.00437</v>
      </c>
      <c r="H37" s="244">
        <f t="shared" si="3"/>
        <v>0.1051980526</v>
      </c>
      <c r="I37" s="266">
        <f t="shared" si="4"/>
        <v>0.5568951933</v>
      </c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  <c r="AH37" s="217"/>
      <c r="AI37" s="217"/>
      <c r="AJ37" s="217"/>
      <c r="AK37" s="217"/>
      <c r="AL37" s="217"/>
      <c r="AM37" s="149"/>
    </row>
    <row r="38" ht="22.5" customHeight="1">
      <c r="A38" s="217"/>
      <c r="B38" s="263">
        <f>IF(ARBITRAGES!E46=0,"",ARBITRAGES!E46)</f>
        <v>45630</v>
      </c>
      <c r="C38" s="231">
        <f t="shared" si="5"/>
        <v>37467.52166</v>
      </c>
      <c r="D38" s="264">
        <f>IF(F38="","",PRIX!B51)</f>
        <v>92000</v>
      </c>
      <c r="E38" s="264">
        <f t="shared" si="9"/>
        <v>54714.47607</v>
      </c>
      <c r="F38" s="242">
        <f>IF(B38="","",PRIX!B46*$Q$6+$R$6*PRIX!C46+PRIX!D46*$S$6+$T$6*PRIX!E46+PRIX!F46*$U$6+PRIX!G46*$V$6+$W$6*PRIX!H46+PRIX!I46*$X$6)</f>
        <v>58525.64165</v>
      </c>
      <c r="G38" s="270">
        <f>IF(B38="","",'Historique détail'!U45)</f>
        <v>55137.78634</v>
      </c>
      <c r="H38" s="244">
        <f t="shared" si="3"/>
        <v>-0.0578866839</v>
      </c>
      <c r="I38" s="266">
        <f t="shared" si="4"/>
        <v>0.4716155193</v>
      </c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149"/>
    </row>
    <row r="39" ht="22.5" customHeight="1">
      <c r="A39" s="217"/>
      <c r="B39" s="263">
        <f>IF(ARBITRAGES!E47=0,"",ARBITRAGES!E47)</f>
        <v>45636</v>
      </c>
      <c r="C39" s="231">
        <f t="shared" si="5"/>
        <v>37467.52166</v>
      </c>
      <c r="D39" s="264">
        <f>IF(F39="","",PRIX!B52)</f>
        <v>90000</v>
      </c>
      <c r="E39" s="264">
        <f t="shared" si="9"/>
        <v>53525.03094</v>
      </c>
      <c r="F39" s="242">
        <f>IF(B39="","",PRIX!B47*$Q$6+$R$6*PRIX!C47+PRIX!D47*$S$6+$T$6*PRIX!E47+PRIX!F47*$U$6+PRIX!G47*$V$6+$W$6*PRIX!H47+PRIX!I47*$X$6)</f>
        <v>57307.05443</v>
      </c>
      <c r="G39" s="270">
        <f>IF(B39="","",'Historique détail'!U46)</f>
        <v>61473.7625</v>
      </c>
      <c r="H39" s="244">
        <f t="shared" si="3"/>
        <v>0.07270846693</v>
      </c>
      <c r="I39" s="266">
        <f t="shared" si="4"/>
        <v>0.6407213443</v>
      </c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  <c r="AH39" s="217"/>
      <c r="AI39" s="217"/>
      <c r="AJ39" s="217"/>
      <c r="AK39" s="217"/>
      <c r="AL39" s="217"/>
      <c r="AM39" s="149"/>
    </row>
    <row r="40" ht="22.5" customHeight="1">
      <c r="A40" s="217"/>
      <c r="B40" s="263">
        <f>IF(ARBITRAGES!E48=0,"",ARBITRAGES!E48)</f>
        <v>45644</v>
      </c>
      <c r="C40" s="231">
        <f t="shared" si="5"/>
        <v>37467.52166</v>
      </c>
      <c r="D40" s="264">
        <f>IF(F40="","",PRIX!B53)</f>
        <v>92000</v>
      </c>
      <c r="E40" s="264">
        <f t="shared" si="9"/>
        <v>54714.47607</v>
      </c>
      <c r="F40" s="242">
        <f>IF(B40="","",PRIX!B48*$Q$6+$R$6*PRIX!C48+PRIX!D48*$S$6+$T$6*PRIX!E48+PRIX!F48*$U$6+PRIX!G48*$V$6+$W$6*PRIX!H48+PRIX!I48*$X$6)</f>
        <v>54045.76164</v>
      </c>
      <c r="G40" s="270">
        <f>IF(B40="","",'Historique détail'!U47)</f>
        <v>60076.06217</v>
      </c>
      <c r="H40" s="244">
        <f t="shared" si="3"/>
        <v>0.111577677</v>
      </c>
      <c r="I40" s="266">
        <f t="shared" si="4"/>
        <v>0.6034170268</v>
      </c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149"/>
    </row>
    <row r="41" ht="22.5" customHeight="1">
      <c r="A41" s="217"/>
      <c r="B41" s="263">
        <f>IF(ARBITRAGES!E49=0,"",ARBITRAGES!E49)</f>
        <v>45646</v>
      </c>
      <c r="C41" s="231">
        <f t="shared" si="5"/>
        <v>37467.52166</v>
      </c>
      <c r="D41" s="264">
        <f>IF(F41="","",PRIX!B54)</f>
        <v>94000</v>
      </c>
      <c r="E41" s="264">
        <f t="shared" si="9"/>
        <v>55903.9212</v>
      </c>
      <c r="F41" s="242">
        <f>IF(B41="","",PRIX!B49*$Q$6+$R$6*PRIX!C49+PRIX!D49*$S$6+$T$6*PRIX!E49+PRIX!F49*$U$6+PRIX!G49*$V$6+$W$6*PRIX!H49+PRIX!I49*$X$6)</f>
        <v>51484.63271</v>
      </c>
      <c r="G41" s="270">
        <f>IF(B41="","",'Historique détail'!U48)</f>
        <v>56800.4764</v>
      </c>
      <c r="H41" s="244">
        <f t="shared" si="3"/>
        <v>0.1032510752</v>
      </c>
      <c r="I41" s="266">
        <f t="shared" si="4"/>
        <v>0.5159923553</v>
      </c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  <c r="AH41" s="217"/>
      <c r="AI41" s="217"/>
      <c r="AJ41" s="217"/>
      <c r="AK41" s="217"/>
      <c r="AL41" s="217"/>
      <c r="AM41" s="149"/>
    </row>
    <row r="42" ht="22.5" customHeight="1">
      <c r="A42" s="217"/>
      <c r="B42" s="263">
        <f>IF(ARBITRAGES!E50=0,"",ARBITRAGES!E50)</f>
        <v>45658</v>
      </c>
      <c r="C42" s="231">
        <f t="shared" si="5"/>
        <v>37467.52166</v>
      </c>
      <c r="D42" s="264">
        <f>IF(F42="","",PRIX!B50)</f>
        <v>89000</v>
      </c>
      <c r="E42" s="264">
        <f t="shared" si="9"/>
        <v>52930.30837</v>
      </c>
      <c r="F42" s="242">
        <f>IF(B42="","",PRIX!B50*$Q$6+$R$6*PRIX!C50+PRIX!D50*$S$6+$T$6*PRIX!E50+PRIX!F50*$U$6+PRIX!G50*$V$6+$W$6*PRIX!H50+PRIX!I50*$X$6)</f>
        <v>50770.60228</v>
      </c>
      <c r="G42" s="270">
        <f>IF(B42="","",'Historique détail'!U49)</f>
        <v>54086.40919</v>
      </c>
      <c r="H42" s="244">
        <f t="shared" si="3"/>
        <v>0.06530958378</v>
      </c>
      <c r="I42" s="266">
        <f t="shared" si="4"/>
        <v>0.443554492</v>
      </c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149"/>
    </row>
    <row r="43" ht="22.5" customHeight="1">
      <c r="A43" s="217"/>
      <c r="B43" s="263">
        <f>IF(ARBITRAGES!E51=0,"",ARBITRAGES!E51)</f>
        <v>45666</v>
      </c>
      <c r="C43" s="231">
        <f t="shared" si="5"/>
        <v>37467.52166</v>
      </c>
      <c r="D43" s="264">
        <f>IF(F43="","",PRIX!B51)</f>
        <v>92000</v>
      </c>
      <c r="E43" s="264">
        <f t="shared" si="9"/>
        <v>54714.47607</v>
      </c>
      <c r="F43" s="242">
        <f>IF(B43="","",PRIX!B51*$Q$6+$R$6*PRIX!C51+PRIX!D51*$S$6+$T$6*PRIX!E51+PRIX!F51*$U$6+PRIX!G51*$V$6+$W$6*PRIX!H51+PRIX!I51*$X$6)</f>
        <v>53187.0989</v>
      </c>
      <c r="G43" s="270">
        <f>IF(B43="","",'Historique détail'!U50)</f>
        <v>52919.58283</v>
      </c>
      <c r="H43" s="244">
        <f t="shared" si="3"/>
        <v>-0.005029717259</v>
      </c>
      <c r="I43" s="266">
        <f t="shared" si="4"/>
        <v>0.4124121504</v>
      </c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  <c r="AH43" s="217"/>
      <c r="AI43" s="217"/>
      <c r="AJ43" s="217"/>
      <c r="AK43" s="217"/>
      <c r="AL43" s="217"/>
      <c r="AM43" s="149"/>
    </row>
    <row r="44" ht="22.5" customHeight="1">
      <c r="A44" s="217"/>
      <c r="B44" s="263">
        <f>IF(ARBITRAGES!E52=0,"",ARBITRAGES!E52)</f>
        <v>45676</v>
      </c>
      <c r="C44" s="231">
        <f t="shared" si="5"/>
        <v>37467.52166</v>
      </c>
      <c r="D44" s="264">
        <f>IF(F44="","",PRIX!B52)</f>
        <v>90000</v>
      </c>
      <c r="E44" s="264">
        <f t="shared" si="9"/>
        <v>53525.03094</v>
      </c>
      <c r="F44" s="242">
        <f>IF(B44="","",PRIX!B52*$Q$6+$R$6*PRIX!C52+PRIX!D52*$S$6+$T$6*PRIX!E52+PRIX!F52*$U$6+PRIX!G52*$V$6+$W$6*PRIX!H52+PRIX!I52*$X$6)</f>
        <v>52373.09416</v>
      </c>
      <c r="G44" s="270">
        <f>IF(B44="","",'Historique détail'!U51)</f>
        <v>55303.26532</v>
      </c>
      <c r="H44" s="244">
        <f t="shared" si="3"/>
        <v>0.05594802443</v>
      </c>
      <c r="I44" s="266">
        <f t="shared" si="4"/>
        <v>0.4760321172</v>
      </c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149"/>
    </row>
    <row r="45" ht="22.5" customHeight="1">
      <c r="A45" s="217"/>
      <c r="B45" s="263">
        <f>IF(ARBITRAGES!E53=0,"",ARBITRAGES!E53)</f>
        <v>45677</v>
      </c>
      <c r="C45" s="231">
        <f t="shared" si="5"/>
        <v>37467.52166</v>
      </c>
      <c r="D45" s="264">
        <f>IF(F45="","",PRIX!B53)</f>
        <v>92000</v>
      </c>
      <c r="E45" s="264">
        <f t="shared" si="9"/>
        <v>54714.47607</v>
      </c>
      <c r="F45" s="242">
        <f>IF(B45="","",PRIX!B53*$Q$6+$R$6*PRIX!C53+PRIX!D53*$S$6+$T$6*PRIX!E53+PRIX!F53*$U$6+PRIX!G53*$V$6+$W$6*PRIX!H53+PRIX!I53*$X$6)</f>
        <v>52375.96884</v>
      </c>
      <c r="G45" s="270">
        <f>IF(B45="","",'Historique détail'!U52)</f>
        <v>54210.27247</v>
      </c>
      <c r="H45" s="244">
        <f t="shared" si="3"/>
        <v>0.03502185589</v>
      </c>
      <c r="I45" s="266">
        <f t="shared" si="4"/>
        <v>0.4468603761</v>
      </c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  <c r="AH45" s="217"/>
      <c r="AI45" s="217"/>
      <c r="AJ45" s="217"/>
      <c r="AK45" s="217"/>
      <c r="AL45" s="217"/>
      <c r="AM45" s="149"/>
    </row>
    <row r="46" ht="22.5" customHeight="1">
      <c r="A46" s="217"/>
      <c r="B46" s="263">
        <f>IF(ARBITRAGES!E54=0,"",ARBITRAGES!E54)</f>
        <v>45718</v>
      </c>
      <c r="C46" s="231">
        <f t="shared" si="5"/>
        <v>37467.52166</v>
      </c>
      <c r="D46" s="264">
        <f>IF(F46="","",PRIX!B54)</f>
        <v>94000</v>
      </c>
      <c r="E46" s="264">
        <f t="shared" si="9"/>
        <v>55903.9212</v>
      </c>
      <c r="F46" s="242">
        <f>IF(B46="","",PRIX!B54*$Q$6+$R$6*PRIX!C54+PRIX!D54*$S$6+$T$6*PRIX!E54+PRIX!F54*$U$6+PRIX!G54*$V$6+$W$6*PRIX!H54+PRIX!I54*$X$6)</f>
        <v>48697.25424</v>
      </c>
      <c r="G46" s="270">
        <f>IF(B46="","",'Historique détail'!U53)</f>
        <v>53954.96817</v>
      </c>
      <c r="H46" s="244">
        <f t="shared" si="3"/>
        <v>0.107967359</v>
      </c>
      <c r="I46" s="266">
        <f t="shared" si="4"/>
        <v>0.4400463597</v>
      </c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149"/>
    </row>
    <row r="47" ht="22.5" customHeight="1">
      <c r="A47" s="217"/>
      <c r="B47" s="263">
        <f>IF(ARBITRAGES!E55=0,"",ARBITRAGES!E55)</f>
        <v>45719</v>
      </c>
      <c r="C47" s="231">
        <f t="shared" si="5"/>
        <v>37467.52166</v>
      </c>
      <c r="D47" s="264">
        <f>IF(F47="","",PRIX!B55)</f>
        <v>88000</v>
      </c>
      <c r="E47" s="264">
        <f t="shared" si="9"/>
        <v>52335.5858</v>
      </c>
      <c r="F47" s="242">
        <f>IF(B47="","",PRIX!B55*$Q$6+$R$6*PRIX!C55+PRIX!D55*$S$6+$T$6*PRIX!E55+PRIX!F55*$U$6+PRIX!G55*$V$6+$W$6*PRIX!H55+PRIX!I55*$X$6)</f>
        <v>44402.17983</v>
      </c>
      <c r="G47" s="270">
        <f>IF(B47="","",'Historique détail'!U54)</f>
        <v>50501.98855</v>
      </c>
      <c r="H47" s="244">
        <f t="shared" si="3"/>
        <v>0.1373763349</v>
      </c>
      <c r="I47" s="266">
        <f t="shared" si="4"/>
        <v>0.3478870852</v>
      </c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  <c r="AH47" s="217"/>
      <c r="AI47" s="217"/>
      <c r="AJ47" s="217"/>
      <c r="AK47" s="217"/>
      <c r="AL47" s="217"/>
      <c r="AM47" s="149"/>
    </row>
    <row r="48" ht="22.5" customHeight="1">
      <c r="A48" s="217"/>
      <c r="B48" s="263">
        <f>IF(ARBITRAGES!E59=0,"",ARBITRAGES!E59)</f>
        <v>45720</v>
      </c>
      <c r="C48" s="231">
        <f t="shared" si="5"/>
        <v>37467.52166</v>
      </c>
      <c r="D48" s="264">
        <f>IF(F48="","",PRIX!B59)</f>
        <v>86000</v>
      </c>
      <c r="E48" s="264">
        <f t="shared" si="9"/>
        <v>51146.14067</v>
      </c>
      <c r="F48" s="242">
        <f>IF(B48="","",PRIX!B59*$Q$6+$R$6*PRIX!C59+PRIX!D59*$S$6+$T$6*PRIX!E59+PRIX!F59*$U$6+PRIX!G59*$V$6+$W$6*PRIX!H59+PRIX!I59*$X$6)</f>
        <v>42086.60928</v>
      </c>
      <c r="G48" s="270">
        <f>IF(B48="","",'Historique détail'!U58)</f>
        <v>46028.67629</v>
      </c>
      <c r="H48" s="244">
        <f t="shared" si="3"/>
        <v>0.09366558799</v>
      </c>
      <c r="I48" s="266">
        <f t="shared" si="4"/>
        <v>0.2284953543</v>
      </c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149"/>
    </row>
    <row r="49" ht="22.5" customHeight="1">
      <c r="A49" s="217"/>
      <c r="B49" s="263">
        <f>IF(ARBITRAGES!E60=0,"",ARBITRAGES!E60)</f>
        <v>45725</v>
      </c>
      <c r="C49" s="231">
        <f t="shared" si="5"/>
        <v>37467.52166</v>
      </c>
      <c r="D49" s="264">
        <f>IF(F49="","",PRIX!B60)</f>
        <v>85000</v>
      </c>
      <c r="E49" s="264">
        <f t="shared" si="9"/>
        <v>50551.41811</v>
      </c>
      <c r="F49" s="242">
        <f>IF(B49="","",PRIX!B60*$Q$6+$R$6*PRIX!C60+PRIX!D60*$S$6+$T$6*PRIX!E60+PRIX!F60*$U$6+PRIX!G60*$V$6+$W$6*PRIX!H60+PRIX!I60*$X$6)</f>
        <v>40153.06036</v>
      </c>
      <c r="G49" s="270">
        <f>IF(B49="","",'Historique détail'!U59)</f>
        <v>44004.98237</v>
      </c>
      <c r="H49" s="244">
        <f t="shared" si="3"/>
        <v>0.09593096946</v>
      </c>
      <c r="I49" s="266">
        <f t="shared" si="4"/>
        <v>0.1744834038</v>
      </c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  <c r="AH49" s="217"/>
      <c r="AI49" s="217"/>
      <c r="AJ49" s="217"/>
      <c r="AK49" s="217"/>
      <c r="AL49" s="217"/>
      <c r="AM49" s="149"/>
    </row>
    <row r="50" ht="22.5" customHeight="1">
      <c r="A50" s="217"/>
      <c r="B50" s="263">
        <f>IF(ARBITRAGES!E61=0,"",ARBITRAGES!E61)</f>
        <v>45734</v>
      </c>
      <c r="C50" s="231">
        <f t="shared" si="5"/>
        <v>37467.52166</v>
      </c>
      <c r="D50" s="264">
        <f>IF(F50="","",PRIX!B61)</f>
        <v>93000</v>
      </c>
      <c r="E50" s="264">
        <f t="shared" si="9"/>
        <v>55309.19863</v>
      </c>
      <c r="F50" s="242">
        <f>IF(B50="","",PRIX!B61*$Q$6+$R$6*PRIX!C61+PRIX!D61*$S$6+$T$6*PRIX!E61+PRIX!F61*$U$6+PRIX!G61*$V$6+$W$6*PRIX!H61+PRIX!I61*$X$6)</f>
        <v>41409.60432</v>
      </c>
      <c r="G50" s="270">
        <f>IF(B50="","",'Historique détail'!U60)</f>
        <v>42004.47623</v>
      </c>
      <c r="H50" s="244">
        <f t="shared" si="3"/>
        <v>0.01436555398</v>
      </c>
      <c r="I50" s="266">
        <f t="shared" si="4"/>
        <v>0.1210903303</v>
      </c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149"/>
    </row>
    <row r="51" ht="22.5" customHeight="1">
      <c r="A51" s="217"/>
      <c r="B51" s="263">
        <f>IF(ARBITRAGES!E62=0,"",ARBITRAGES!E62)</f>
        <v>45749</v>
      </c>
      <c r="C51" s="231">
        <f t="shared" si="5"/>
        <v>37467.52166</v>
      </c>
      <c r="D51" s="264">
        <f>IF(F51="","",PRIX!B62)</f>
        <v>87000</v>
      </c>
      <c r="E51" s="264">
        <f t="shared" si="9"/>
        <v>51740.86324</v>
      </c>
      <c r="F51" s="242">
        <f>IF(B51="","",PRIX!B62*$Q$6+$R$6*PRIX!C62+PRIX!D62*$S$6+$T$6*PRIX!E62+PRIX!F62*$U$6+PRIX!G62*$V$6+$W$6*PRIX!H62+PRIX!I62*$X$6)</f>
        <v>38153.48205</v>
      </c>
      <c r="G51" s="270">
        <f>IF(B51="","",'Historique détail'!U61)</f>
        <v>43548.6634</v>
      </c>
      <c r="H51" s="244">
        <f t="shared" si="3"/>
        <v>0.1414073121</v>
      </c>
      <c r="I51" s="266">
        <f t="shared" si="4"/>
        <v>0.1623043499</v>
      </c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  <c r="AH51" s="217"/>
      <c r="AI51" s="217"/>
      <c r="AJ51" s="217"/>
      <c r="AK51" s="217"/>
      <c r="AL51" s="217"/>
      <c r="AM51" s="149"/>
    </row>
    <row r="52" ht="22.5" customHeight="1">
      <c r="A52" s="217"/>
      <c r="B52" s="263">
        <f>IF(ARBITRAGES!E63=0,"",ARBITRAGES!E63)</f>
        <v>45751</v>
      </c>
      <c r="C52" s="231">
        <f t="shared" si="5"/>
        <v>37467.52166</v>
      </c>
      <c r="D52" s="264">
        <f>IF(F52="","",PRIX!B63)</f>
        <v>83000</v>
      </c>
      <c r="E52" s="264">
        <f t="shared" si="9"/>
        <v>49361.97297</v>
      </c>
      <c r="F52" s="242">
        <f>IF(B52="","",PRIX!B63*$Q$6+$R$6*PRIX!C63+PRIX!D63*$S$6+$T$6*PRIX!E63+PRIX!F63*$U$6+PRIX!G63*$V$6+$W$6*PRIX!H63+PRIX!I63*$X$6)</f>
        <v>37044.24622</v>
      </c>
      <c r="G52" s="270">
        <f>IF(B52="","",'Historique détail'!U62)</f>
        <v>40154.82361</v>
      </c>
      <c r="H52" s="244">
        <f t="shared" si="3"/>
        <v>0.08396924529</v>
      </c>
      <c r="I52" s="266">
        <f t="shared" si="4"/>
        <v>0.07172350452</v>
      </c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149"/>
    </row>
    <row r="53" ht="22.5" customHeight="1">
      <c r="A53" s="217"/>
      <c r="B53" s="263">
        <f>IF(ARBITRAGES!E65=0,"",ARBITRAGES!E65)</f>
        <v>45753</v>
      </c>
      <c r="C53" s="231">
        <f t="shared" si="5"/>
        <v>37467.52166</v>
      </c>
      <c r="D53" s="264">
        <f>IF(F53="","",PRIX!B66)</f>
        <v>79000</v>
      </c>
      <c r="E53" s="264">
        <f t="shared" si="9"/>
        <v>46983.08271</v>
      </c>
      <c r="F53" s="242">
        <f>IF(B53="","",PRIX!B65*$Q$6+$R$6*PRIX!C65+PRIX!D65*$S$6+$T$6*PRIX!E65+PRIX!F65*$U$6+PRIX!G65*$V$6+$W$6*PRIX!H65+PRIX!I65*$X$6)</f>
        <v>34862.2032</v>
      </c>
      <c r="G53" s="270">
        <f>IF(B53="","",'Historique détail'!U64)</f>
        <v>36867.23552</v>
      </c>
      <c r="H53" s="244">
        <f t="shared" si="3"/>
        <v>0.05751306963</v>
      </c>
      <c r="I53" s="266">
        <f t="shared" si="4"/>
        <v>-0.01602150645</v>
      </c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  <c r="AH53" s="217"/>
      <c r="AI53" s="217"/>
      <c r="AJ53" s="217"/>
      <c r="AK53" s="217"/>
      <c r="AL53" s="217"/>
      <c r="AM53" s="149"/>
    </row>
    <row r="54" ht="22.5" customHeight="1">
      <c r="A54" s="217"/>
      <c r="B54" s="263">
        <f>IF(ARBITRAGES!E66=0,"",ARBITRAGES!E66)</f>
        <v>45754</v>
      </c>
      <c r="C54" s="231">
        <f t="shared" si="5"/>
        <v>37467.52166</v>
      </c>
      <c r="D54" s="264">
        <f>IF(F54="","",PRIX!B65)</f>
        <v>80000</v>
      </c>
      <c r="E54" s="264">
        <f t="shared" si="9"/>
        <v>47577.80528</v>
      </c>
      <c r="F54" s="242">
        <f>IF(B54="","",PRIX!B66*$Q$6+$R$6*PRIX!C66+PRIX!D66*$S$6+$T$6*PRIX!E66+PRIX!F66*$U$6+PRIX!G66*$V$6+$W$6*PRIX!H66+PRIX!I66*$X$6)</f>
        <v>34584.89424</v>
      </c>
      <c r="G54" s="270">
        <f>IF(B54="","",'Historique détail'!U65)</f>
        <v>36887.23552</v>
      </c>
      <c r="H54" s="244">
        <f t="shared" si="3"/>
        <v>0.0665707191</v>
      </c>
      <c r="I54" s="266">
        <f t="shared" si="4"/>
        <v>-0.0154877108</v>
      </c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149"/>
    </row>
    <row r="55" ht="22.5" customHeight="1">
      <c r="A55" s="217"/>
      <c r="B55" s="263">
        <f>IF(ARBITRAGES!E67=0,"",ARBITRAGES!E67)</f>
        <v>45756</v>
      </c>
      <c r="C55" s="231">
        <f t="shared" si="5"/>
        <v>37467.52166</v>
      </c>
      <c r="D55" s="264">
        <f>IF(F55="","",PRIX!B66)</f>
        <v>79000</v>
      </c>
      <c r="E55" s="264">
        <f t="shared" si="9"/>
        <v>46983.08271</v>
      </c>
      <c r="F55" s="242">
        <f>IF(B55="","",PRIX!B67*$Q$6+$R$6*PRIX!C67+PRIX!D67*$S$6+$T$6*PRIX!E67+PRIX!F67*$U$6+PRIX!G67*$V$6+$W$6*PRIX!H67+PRIX!I67*$X$6)</f>
        <v>34307.58528</v>
      </c>
      <c r="G55" s="270">
        <f>IF(B55="","",'Historique détail'!U66)</f>
        <v>36631.22302</v>
      </c>
      <c r="H55" s="244">
        <f t="shared" si="3"/>
        <v>0.06772956246</v>
      </c>
      <c r="I55" s="266">
        <f t="shared" si="4"/>
        <v>-0.0223206287</v>
      </c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  <c r="AH55" s="217"/>
      <c r="AI55" s="217"/>
      <c r="AJ55" s="217"/>
      <c r="AK55" s="217"/>
      <c r="AL55" s="217"/>
      <c r="AM55" s="149"/>
    </row>
    <row r="56" ht="22.5" customHeight="1">
      <c r="A56" s="217"/>
      <c r="B56" s="263">
        <f>IF(ARBITRAGES!E69=0,"",ARBITRAGES!E69)</f>
        <v>45757</v>
      </c>
      <c r="C56" s="231">
        <f t="shared" si="5"/>
        <v>37467.52166</v>
      </c>
      <c r="D56" s="264">
        <f>IF(F56="","",PRIX!B69)</f>
        <v>80000</v>
      </c>
      <c r="E56" s="264">
        <f t="shared" si="9"/>
        <v>47577.80528</v>
      </c>
      <c r="F56" s="242">
        <f>IF(B56="","",PRIX!B69*$Q$6+$R$6*PRIX!C69+PRIX!D69*$S$6+$T$6*PRIX!E69+PRIX!F69*$U$6+PRIX!G69*$V$6+$W$6*PRIX!H69+PRIX!I69*$X$6)</f>
        <v>36121.83177</v>
      </c>
      <c r="G56" s="270">
        <f>IF(B56="","",'Historique détail'!U68)</f>
        <v>38502.14361</v>
      </c>
      <c r="H56" s="244">
        <f t="shared" si="3"/>
        <v>0.06589676468</v>
      </c>
      <c r="I56" s="266">
        <f t="shared" si="4"/>
        <v>0.02761383492</v>
      </c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  <c r="AH56" s="217"/>
      <c r="AI56" s="217"/>
      <c r="AJ56" s="217"/>
      <c r="AK56" s="217"/>
      <c r="AL56" s="217"/>
      <c r="AM56" s="149"/>
    </row>
    <row r="57" ht="22.5" customHeight="1">
      <c r="A57" s="217"/>
      <c r="B57" s="263">
        <f>IF(ARBITRAGES!E70=0,"",ARBITRAGES!E70)</f>
        <v>45758</v>
      </c>
      <c r="C57" s="231">
        <f t="shared" si="5"/>
        <v>37467.52166</v>
      </c>
      <c r="D57" s="264">
        <f>IF(F57="","",PRIX!B70)</f>
        <v>86000</v>
      </c>
      <c r="E57" s="264">
        <f t="shared" si="9"/>
        <v>51146.14067</v>
      </c>
      <c r="F57" s="242">
        <f>IF(B57="","",PRIX!B70*$Q$6+$R$6*PRIX!C70+PRIX!D70*$S$6+$T$6*PRIX!E70+PRIX!F70*$U$6+PRIX!G70*$V$6+$W$6*PRIX!H70+PRIX!I70*$X$6)</f>
        <v>37785.68552</v>
      </c>
      <c r="G57" s="270">
        <f>IF(B57="","",'Historique détail'!U69)</f>
        <v>38493.93879</v>
      </c>
      <c r="H57" s="244">
        <f t="shared" si="3"/>
        <v>0.01874395716</v>
      </c>
      <c r="I57" s="266">
        <f t="shared" si="4"/>
        <v>0.02739485007</v>
      </c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  <c r="AH57" s="217"/>
      <c r="AI57" s="217"/>
      <c r="AJ57" s="217"/>
      <c r="AK57" s="217"/>
      <c r="AL57" s="217"/>
      <c r="AM57" s="149"/>
    </row>
    <row r="58" ht="22.5" customHeight="1">
      <c r="A58" s="217"/>
      <c r="B58" s="263">
        <f>IF(ARBITRAGES!E71=0,"",ARBITRAGES!E71)</f>
        <v>45760</v>
      </c>
      <c r="C58" s="231">
        <f t="shared" si="5"/>
        <v>37467.52166</v>
      </c>
      <c r="D58" s="264">
        <f>IF(F58="","",PRIX!B71)</f>
        <v>86000</v>
      </c>
      <c r="E58" s="264">
        <f t="shared" si="9"/>
        <v>51146.14067</v>
      </c>
      <c r="F58" s="242">
        <f>IF(B58="","",PRIX!B71*$Q$6+$R$6*PRIX!C71+PRIX!D71*$S$6+$T$6*PRIX!E71+PRIX!F71*$U$6+PRIX!G71*$V$6+$W$6*PRIX!H71+PRIX!I71*$X$6)</f>
        <v>37785.68552</v>
      </c>
      <c r="G58" s="270">
        <f>IF(B58="","",'Historique détail'!U70)</f>
        <v>40128.97563</v>
      </c>
      <c r="H58" s="244">
        <f t="shared" si="3"/>
        <v>0.06201528625</v>
      </c>
      <c r="I58" s="266">
        <f t="shared" si="4"/>
        <v>0.07103362737</v>
      </c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  <c r="AH58" s="217"/>
      <c r="AI58" s="217"/>
      <c r="AJ58" s="217"/>
      <c r="AK58" s="217"/>
      <c r="AL58" s="217"/>
      <c r="AM58" s="149"/>
    </row>
    <row r="59" ht="22.5" customHeight="1">
      <c r="A59" s="217"/>
      <c r="B59" s="263">
        <f>IF(ARBITRAGES!E73=0,"",ARBITRAGES!E73)</f>
        <v>45779</v>
      </c>
      <c r="C59" s="231">
        <f t="shared" si="5"/>
        <v>37467.52166</v>
      </c>
      <c r="D59" s="264">
        <f>IF(F59="","",PRIX!B72)</f>
        <v>93000</v>
      </c>
      <c r="E59" s="264">
        <f t="shared" si="9"/>
        <v>55309.19863</v>
      </c>
      <c r="F59" s="242">
        <f>IF(B59="","",PRIX!B73*$Q$6+$R$6*PRIX!C73+PRIX!D73*$S$6+$T$6*PRIX!E73+PRIX!F73*$U$6+PRIX!G73*$V$6+$W$6*PRIX!H73+PRIX!I73*$X$6)</f>
        <v>41135.87532</v>
      </c>
      <c r="G59" s="270">
        <f>IF(B59="","",'Historique détail'!U72)</f>
        <v>44107.81914</v>
      </c>
      <c r="H59" s="244">
        <f t="shared" si="3"/>
        <v>0.07224700572</v>
      </c>
      <c r="I59" s="266">
        <f t="shared" si="4"/>
        <v>0.177228095</v>
      </c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149"/>
    </row>
    <row r="60" ht="22.5" customHeight="1">
      <c r="A60" s="217"/>
      <c r="B60" s="263">
        <f>IF(ARBITRAGES!E76=0,"",ARBITRAGES!E76)</f>
        <v>45054</v>
      </c>
      <c r="C60" s="231">
        <f t="shared" si="5"/>
        <v>37467.52166</v>
      </c>
      <c r="D60" s="264">
        <f>IF(F60="","",PRIX!B73)</f>
        <v>93000</v>
      </c>
      <c r="E60" s="264">
        <f t="shared" si="9"/>
        <v>55309.19863</v>
      </c>
      <c r="F60" s="242">
        <f>IF(B60="","",PRIX!B76*$Q$6+$R$6*PRIX!C76+PRIX!D76*$S$6+$T$6*PRIX!E76+PRIX!F76*$U$6+PRIX!G76*$V$6+$W$6*PRIX!H76+PRIX!I76*$X$6)</f>
        <v>47384.53792</v>
      </c>
      <c r="G60" s="270">
        <f>IF(B60="","",'Historique détail'!U75)</f>
        <v>51104.18706</v>
      </c>
      <c r="H60" s="244">
        <f t="shared" si="3"/>
        <v>0.07849921726</v>
      </c>
      <c r="I60" s="266">
        <f t="shared" si="4"/>
        <v>0.3639596322</v>
      </c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149"/>
    </row>
    <row r="61" ht="22.5" customHeight="1">
      <c r="A61" s="217"/>
      <c r="B61" s="263">
        <f>IF(ARBITRAGES!E77=0,"",ARBITRAGES!E77)</f>
        <v>45786</v>
      </c>
      <c r="C61" s="231">
        <f t="shared" si="5"/>
        <v>37467.52166</v>
      </c>
      <c r="D61" s="264">
        <f>IF(F61="","",PRIX!B74)</f>
        <v>104000</v>
      </c>
      <c r="E61" s="264">
        <f t="shared" si="9"/>
        <v>61851.14686</v>
      </c>
      <c r="F61" s="242">
        <f>IF(B61="","",PRIX!B77*$Q$6+$R$6*PRIX!C77+PRIX!D77*$S$6+$T$6*PRIX!E77+PRIX!F77*$U$6+PRIX!G77*$V$6+$W$6*PRIX!H77+PRIX!I77*$X$6)</f>
        <v>47384.53792</v>
      </c>
      <c r="G61" s="270">
        <f>IF(B61="","",'Historique détail'!U76)</f>
        <v>51062.16706</v>
      </c>
      <c r="H61" s="244">
        <f t="shared" si="3"/>
        <v>0.07761243009</v>
      </c>
      <c r="I61" s="266">
        <f t="shared" si="4"/>
        <v>0.3628381276</v>
      </c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149"/>
    </row>
    <row r="62" ht="22.5" customHeight="1">
      <c r="A62" s="217"/>
      <c r="B62" s="263">
        <f>IF(ARBITRAGES!E78=0,"",ARBITRAGES!E78)</f>
        <v>45789</v>
      </c>
      <c r="C62" s="231">
        <f t="shared" si="5"/>
        <v>37467.52166</v>
      </c>
      <c r="D62" s="264">
        <f>IF(F62="","",PRIX!B75)</f>
        <v>104000</v>
      </c>
      <c r="E62" s="264">
        <f t="shared" si="9"/>
        <v>61851.14686</v>
      </c>
      <c r="F62" s="242">
        <f>IF(B62="","",PRIX!B78*$Q$6+$R$6*PRIX!C78+PRIX!D78*$S$6+$T$6*PRIX!E78+PRIX!F78*$U$6+PRIX!G78*$V$6+$W$6*PRIX!H78+PRIX!I78*$X$6)</f>
        <v>49045.5835</v>
      </c>
      <c r="G62" s="270">
        <f>IF(B62="","",'Historique détail'!U77)</f>
        <v>52809.09666</v>
      </c>
      <c r="H62" s="244">
        <f t="shared" si="3"/>
        <v>0.07673500638</v>
      </c>
      <c r="I62" s="266">
        <f t="shared" si="4"/>
        <v>0.4094632985</v>
      </c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  <c r="AH62" s="217"/>
      <c r="AI62" s="217"/>
      <c r="AJ62" s="217"/>
      <c r="AK62" s="217"/>
      <c r="AL62" s="217"/>
      <c r="AM62" s="149"/>
    </row>
    <row r="63" ht="22.5" customHeight="1">
      <c r="A63" s="217"/>
      <c r="B63" s="263">
        <f>IF(ARBITRAGES!E79=0,"",ARBITRAGES!E79)</f>
        <v>45790</v>
      </c>
      <c r="C63" s="231">
        <f t="shared" si="5"/>
        <v>37467.52166</v>
      </c>
      <c r="D63" s="264">
        <f>IF(F63="","",PRIX!B76)</f>
        <v>104000</v>
      </c>
      <c r="E63" s="264">
        <f t="shared" si="9"/>
        <v>61851.14686</v>
      </c>
      <c r="F63" s="242">
        <f>IF(B63="","",PRIX!B79*$Q$6+$R$6*PRIX!C79+PRIX!D79*$S$6+$T$6*PRIX!E79+PRIX!F79*$U$6+PRIX!G79*$V$6+$W$6*PRIX!H79+PRIX!I79*$X$6)</f>
        <v>48130.62528</v>
      </c>
      <c r="G63" s="270">
        <f>IF(B63="","",'Historique détail'!U78)</f>
        <v>51891.13917</v>
      </c>
      <c r="H63" s="244">
        <f t="shared" si="3"/>
        <v>0.07813141552</v>
      </c>
      <c r="I63" s="266">
        <f t="shared" si="4"/>
        <v>0.3849632128</v>
      </c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7"/>
      <c r="AJ63" s="217"/>
      <c r="AK63" s="217"/>
      <c r="AL63" s="217"/>
      <c r="AM63" s="149"/>
    </row>
    <row r="64" ht="22.5" customHeight="1">
      <c r="A64" s="217"/>
      <c r="B64" s="263">
        <f>IF(ARBITRAGES!E80=0,"",ARBITRAGES!E80)</f>
        <v>45808</v>
      </c>
      <c r="C64" s="231">
        <f t="shared" si="5"/>
        <v>37467.52166</v>
      </c>
      <c r="D64" s="264">
        <f>IF(F64="","",PRIX!B77)</f>
        <v>104000</v>
      </c>
      <c r="E64" s="264">
        <f t="shared" si="9"/>
        <v>61851.14686</v>
      </c>
      <c r="F64" s="242">
        <f>IF(B64="","",PRIX!B80*$Q$6+$R$6*PRIX!C80+PRIX!D80*$S$6+$T$6*PRIX!E80+PRIX!F80*$U$6+PRIX!G80*$V$6+$W$6*PRIX!H80+PRIX!I80*$X$6)</f>
        <v>46805.91279</v>
      </c>
      <c r="G64" s="270">
        <f>IF(B64="","",'Historique détail'!U79)</f>
        <v>50774.01778</v>
      </c>
      <c r="H64" s="244">
        <f t="shared" si="3"/>
        <v>0.08477785712</v>
      </c>
      <c r="I64" s="266">
        <f t="shared" si="4"/>
        <v>0.3551474861</v>
      </c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  <c r="AH64" s="217"/>
      <c r="AI64" s="217"/>
      <c r="AJ64" s="217"/>
      <c r="AK64" s="217"/>
      <c r="AL64" s="217"/>
      <c r="AM64" s="149"/>
    </row>
    <row r="65" ht="22.5" customHeight="1">
      <c r="A65" s="217"/>
      <c r="B65" s="263">
        <f>IF(ARBITRAGES!E82=0,"",ARBITRAGES!E82)</f>
        <v>45817</v>
      </c>
      <c r="C65" s="231">
        <f t="shared" si="5"/>
        <v>37467.52166</v>
      </c>
      <c r="D65" s="264">
        <f>IF(F65="","",PRIX!B78)</f>
        <v>104500</v>
      </c>
      <c r="E65" s="264">
        <f t="shared" si="9"/>
        <v>62148.50814</v>
      </c>
      <c r="F65" s="242">
        <f>IF(B65="","",PRIX!B82*$Q$6+$R$6*PRIX!C82+PRIX!D82*$S$6+$T$6*PRIX!E82+PRIX!F82*$U$6+PRIX!G82*$V$6+$W$6*PRIX!H82+PRIX!I82*$X$6)</f>
        <v>49729.50647</v>
      </c>
      <c r="G65" s="270">
        <f>IF(B65="","",'Historique détail'!U81)</f>
        <v>53721.82851</v>
      </c>
      <c r="H65" s="244">
        <f t="shared" si="3"/>
        <v>0.08028074931</v>
      </c>
      <c r="I65" s="266">
        <f t="shared" si="4"/>
        <v>0.4338239131</v>
      </c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149"/>
    </row>
    <row r="66" ht="22.5" customHeight="1">
      <c r="A66" s="217"/>
      <c r="B66" s="263">
        <f>IF(ARBITRAGES!E83=0,"",ARBITRAGES!E83)</f>
        <v>45818</v>
      </c>
      <c r="C66" s="231">
        <f t="shared" si="5"/>
        <v>37467.52166</v>
      </c>
      <c r="D66" s="264">
        <f>IF(F66="","",PRIX!B79)</f>
        <v>103000</v>
      </c>
      <c r="E66" s="264">
        <f t="shared" si="9"/>
        <v>61256.42429</v>
      </c>
      <c r="F66" s="242">
        <f>IF(B66="","",PRIX!B83*$Q$6+$R$6*PRIX!C83+PRIX!D83*$S$6+$T$6*PRIX!E83+PRIX!F83*$U$6+PRIX!G83*$V$6+$W$6*PRIX!H83+PRIX!I83*$X$6)</f>
        <v>49870.89334</v>
      </c>
      <c r="G66" s="270">
        <f>IF(B66="","",'Historique détail'!U82)</f>
        <v>53968.13422</v>
      </c>
      <c r="H66" s="244">
        <f t="shared" si="3"/>
        <v>0.08215695777</v>
      </c>
      <c r="I66" s="266">
        <f t="shared" si="4"/>
        <v>0.4403977589</v>
      </c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149"/>
    </row>
    <row r="67" ht="22.5" customHeight="1">
      <c r="A67" s="217"/>
      <c r="B67" s="263">
        <f>IF(ARBITRAGES!E87=0,"",ARBITRAGES!E87)</f>
        <v>45831</v>
      </c>
      <c r="C67" s="231">
        <f t="shared" si="5"/>
        <v>37467.52166</v>
      </c>
      <c r="D67" s="264">
        <f>IF(F67="","",PRIX!B80)</f>
        <v>103000</v>
      </c>
      <c r="E67" s="264">
        <f t="shared" si="9"/>
        <v>61256.42429</v>
      </c>
      <c r="F67" s="242">
        <f>IF(B67="","",PRIX!B87*$Q$6+$R$6*PRIX!C87+PRIX!D87*$S$6+$T$6*PRIX!E87+PRIX!F87*$U$6+PRIX!G87*$V$6+$W$6*PRIX!H87+PRIX!I87*$X$6)</f>
        <v>47115.9733</v>
      </c>
      <c r="G67" s="270">
        <f>IF(B67="","",'Historique détail'!U86)</f>
        <v>50252.42274</v>
      </c>
      <c r="H67" s="244">
        <f t="shared" si="3"/>
        <v>0.06656870747</v>
      </c>
      <c r="I67" s="266">
        <f t="shared" si="4"/>
        <v>0.3412262279</v>
      </c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149"/>
    </row>
    <row r="68" ht="22.5" customHeight="1">
      <c r="A68" s="217"/>
      <c r="B68" s="263">
        <f>IF(ARBITRAGES!E89=0,"",ARBITRAGES!E89)</f>
        <v>45832</v>
      </c>
      <c r="C68" s="231">
        <f t="shared" si="5"/>
        <v>37467.52166</v>
      </c>
      <c r="D68" s="264">
        <f>IF(F68="","",PRIX!B81)</f>
        <v>110000</v>
      </c>
      <c r="E68" s="264">
        <f t="shared" si="9"/>
        <v>65419.48225</v>
      </c>
      <c r="F68" s="242">
        <f>IF(B68="","",PRIX!B89*$Q$6+$R$6*PRIX!C89+PRIX!D89*$S$6+$T$6*PRIX!E89+PRIX!F89*$U$6+PRIX!G89*$V$6+$W$6*PRIX!H89+PRIX!I89*$X$6)</f>
        <v>46194.05782</v>
      </c>
      <c r="G68" s="270">
        <f>IF(B68="","",'Historique détail'!U88)</f>
        <v>49783.28497</v>
      </c>
      <c r="H68" s="244">
        <f t="shared" si="3"/>
        <v>0.07769889287</v>
      </c>
      <c r="I68" s="266">
        <f t="shared" si="4"/>
        <v>0.3287050431</v>
      </c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149"/>
    </row>
    <row r="69" ht="22.5" customHeight="1">
      <c r="A69" s="217"/>
      <c r="B69" s="263">
        <f>IF(ARBITRAGES!E90=0,"",ARBITRAGES!E90)</f>
        <v>45847</v>
      </c>
      <c r="C69" s="231">
        <f t="shared" si="5"/>
        <v>37467.52166</v>
      </c>
      <c r="D69" s="264">
        <f>IF(F69="","",PRIX!B82)</f>
        <v>110000</v>
      </c>
      <c r="E69" s="264">
        <f t="shared" si="9"/>
        <v>65419.48225</v>
      </c>
      <c r="F69" s="242">
        <f>IF(B69="","",PRIX!B90*$Q$6+$R$6*PRIX!C90+PRIX!D90*$S$6+$T$6*PRIX!E90+PRIX!F90*$U$6+PRIX!G90*$V$6+$W$6*PRIX!H90+PRIX!I90*$X$6)</f>
        <v>49211.16353</v>
      </c>
      <c r="G69" s="270">
        <f>IF(B69="","",'Historique détail'!U89)</f>
        <v>52535.11227</v>
      </c>
      <c r="H69" s="244">
        <f t="shared" si="3"/>
        <v>0.06754460776</v>
      </c>
      <c r="I69" s="266">
        <f t="shared" si="4"/>
        <v>0.4021507149</v>
      </c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149"/>
    </row>
    <row r="70" ht="22.5" customHeight="1">
      <c r="A70" s="217"/>
      <c r="B70" s="263">
        <f>IF(ARBITRAGES!E91=0,"",ARBITRAGES!E91)</f>
        <v>45848</v>
      </c>
      <c r="C70" s="231">
        <f t="shared" si="5"/>
        <v>37467.52166</v>
      </c>
      <c r="D70" s="264">
        <f>IF(F70="","",PRIX!B91)</f>
        <v>118000</v>
      </c>
      <c r="E70" s="264">
        <f t="shared" si="9"/>
        <v>70177.26278</v>
      </c>
      <c r="F70" s="242">
        <f>IF(B70="","",PRIX!B91*$Q$6+$R$6*PRIX!C91+PRIX!D91*$S$6+$T$6*PRIX!E91+PRIX!F91*$U$6+PRIX!G91*$V$6+$W$6*PRIX!H91+PRIX!I91*$X$6)</f>
        <v>52347.66412</v>
      </c>
      <c r="G70" s="270">
        <f>IF(B70="","",'Historique détail'!U90)</f>
        <v>55609.70236</v>
      </c>
      <c r="H70" s="244">
        <f t="shared" si="3"/>
        <v>0.06231487686</v>
      </c>
      <c r="I70" s="266">
        <f t="shared" si="4"/>
        <v>0.4842108553</v>
      </c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149"/>
    </row>
    <row r="71" ht="22.5" customHeight="1">
      <c r="A71" s="217"/>
      <c r="B71" s="263">
        <f>IF(ARBITRAGES!E92=0,"",ARBITRAGES!E92)</f>
        <v>45849</v>
      </c>
      <c r="C71" s="231">
        <f t="shared" ref="C71:C72" si="10">IF(F71="","",C69)</f>
        <v>37467.52166</v>
      </c>
      <c r="D71" s="264">
        <f>IF(F71="","",PRIX!B92)</f>
        <v>118000</v>
      </c>
      <c r="E71" s="264">
        <f t="shared" si="9"/>
        <v>70177.26278</v>
      </c>
      <c r="F71" s="242">
        <f>IF(B71="","",PRIX!B92*$Q$6+$R$6*PRIX!C92+PRIX!D92*$S$6+$T$6*PRIX!E92+PRIX!F92*$U$6+PRIX!G92*$V$6+$W$6*PRIX!H92+PRIX!I92*$X$6)</f>
        <v>52347.66412</v>
      </c>
      <c r="G71" s="270">
        <f>IF(B71="","",'Historique détail'!U91)</f>
        <v>55610.38426</v>
      </c>
      <c r="H71" s="244">
        <f t="shared" si="3"/>
        <v>0.0623279032</v>
      </c>
      <c r="I71" s="266">
        <f t="shared" si="4"/>
        <v>0.4842290551</v>
      </c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  <c r="AH71" s="217"/>
      <c r="AI71" s="217"/>
      <c r="AJ71" s="217"/>
      <c r="AK71" s="217"/>
      <c r="AL71" s="217"/>
      <c r="AM71" s="149"/>
    </row>
    <row r="72" ht="22.5" customHeight="1">
      <c r="A72" s="217"/>
      <c r="B72" s="263">
        <f>IF(ARBITRAGES!E93=0,"",ARBITRAGES!E93)</f>
        <v>45849</v>
      </c>
      <c r="C72" s="231">
        <f t="shared" si="10"/>
        <v>37467.52166</v>
      </c>
      <c r="D72" s="264">
        <f>IF(F72="","",PRIX!B93)</f>
        <v>118000</v>
      </c>
      <c r="E72" s="264">
        <f t="shared" si="9"/>
        <v>70177.26278</v>
      </c>
      <c r="F72" s="242">
        <f>IF(B72="","",PRIX!B93*$Q$6+$R$6*PRIX!C93+PRIX!D93*$S$6+$T$6*PRIX!E93+PRIX!F93*$U$6+PRIX!G93*$V$6+$W$6*PRIX!H93+PRIX!I93*$X$6)</f>
        <v>52347.66412</v>
      </c>
      <c r="G72" s="270">
        <f>IF(B72="","",'Historique détail'!U92)</f>
        <v>55612.49397</v>
      </c>
      <c r="H72" s="244">
        <f t="shared" si="3"/>
        <v>0.062368205</v>
      </c>
      <c r="I72" s="266">
        <f t="shared" si="4"/>
        <v>0.4842853626</v>
      </c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  <c r="AH72" s="217"/>
      <c r="AI72" s="217"/>
      <c r="AJ72" s="217"/>
      <c r="AK72" s="217"/>
      <c r="AL72" s="217"/>
      <c r="AM72" s="149"/>
    </row>
    <row r="73" ht="22.5" customHeight="1">
      <c r="A73" s="217"/>
      <c r="B73" s="281">
        <f>IF(ARBITRAGES!E94=0,"",ARBITRAGES!E94)</f>
        <v>45850</v>
      </c>
      <c r="C73" s="231">
        <f t="shared" ref="C73:C402" si="11">IF(F73="","",C72)</f>
        <v>37467.52166</v>
      </c>
      <c r="D73" s="264">
        <f>IF(F73="","",PRIX!B94)</f>
        <v>118000</v>
      </c>
      <c r="E73" s="264">
        <f t="shared" si="9"/>
        <v>70177.26278</v>
      </c>
      <c r="F73" s="242">
        <f>IF(B73="","",PRIX!B94*$Q$6+$R$6*PRIX!C94+PRIX!D94*$S$6+$T$6*PRIX!E94+PRIX!F94*$U$6+PRIX!G94*$V$6+$W$6*PRIX!H94+PRIX!I94*$X$6)</f>
        <v>52347.66412</v>
      </c>
      <c r="G73" s="270">
        <f>IF(B73="","",'Historique détail'!U93)</f>
        <v>55614.84797</v>
      </c>
      <c r="H73" s="244">
        <f t="shared" si="3"/>
        <v>0.06241317371</v>
      </c>
      <c r="I73" s="266">
        <f t="shared" si="4"/>
        <v>0.4843481906</v>
      </c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  <c r="AH73" s="217"/>
      <c r="AI73" s="217"/>
      <c r="AJ73" s="217"/>
      <c r="AK73" s="217"/>
      <c r="AL73" s="217"/>
      <c r="AM73" s="149"/>
    </row>
    <row r="74" ht="22.5" customHeight="1">
      <c r="A74" s="217"/>
      <c r="B74" s="263">
        <f>IF(ARBITRAGES!E95=0,"",ARBITRAGES!E95)</f>
        <v>45852</v>
      </c>
      <c r="C74" s="231">
        <f t="shared" si="11"/>
        <v>37467.52166</v>
      </c>
      <c r="D74" s="264">
        <f>IF(F74="","",PRIX!B95)</f>
        <v>119500</v>
      </c>
      <c r="E74" s="264">
        <f t="shared" si="9"/>
        <v>71069.34663</v>
      </c>
      <c r="F74" s="242">
        <f>IF(B74="","",PRIX!B95*$Q$6+$R$6*PRIX!C95+PRIX!D95*$S$6+$T$6*PRIX!E95+PRIX!F95*$U$6+PRIX!G95*$V$6+$W$6*PRIX!H95+PRIX!I95*$X$6)</f>
        <v>54815.62768</v>
      </c>
      <c r="G74" s="270">
        <f>IF(B74="","",'Historique détail'!U94)</f>
        <v>58302.68636</v>
      </c>
      <c r="H74" s="244">
        <f t="shared" si="3"/>
        <v>0.06361431627</v>
      </c>
      <c r="I74" s="266">
        <f t="shared" si="4"/>
        <v>0.5560860122</v>
      </c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  <c r="AH74" s="217"/>
      <c r="AI74" s="217"/>
      <c r="AJ74" s="217"/>
      <c r="AK74" s="217"/>
      <c r="AL74" s="217"/>
      <c r="AM74" s="149"/>
    </row>
    <row r="75" ht="22.5" customHeight="1">
      <c r="A75" s="217"/>
      <c r="B75" s="263">
        <f>IF(ARBITRAGES!E96=0,"",ARBITRAGES!E96)</f>
        <v>45852</v>
      </c>
      <c r="C75" s="231">
        <f t="shared" si="11"/>
        <v>37467.52166</v>
      </c>
      <c r="D75" s="264">
        <f>IF(F75="","",PRIX!B96)</f>
        <v>119500</v>
      </c>
      <c r="E75" s="264">
        <f t="shared" si="9"/>
        <v>71069.34663</v>
      </c>
      <c r="F75" s="242">
        <f>IF(B75="","",PRIX!B96*$Q$6+$R$6*PRIX!C96+PRIX!D96*$S$6+$T$6*PRIX!E96+PRIX!F96*$U$6+PRIX!G96*$V$6+$W$6*PRIX!H96+PRIX!I96*$X$6)</f>
        <v>54815.62768</v>
      </c>
      <c r="G75" s="270">
        <f>IF(B75="","",'Historique détail'!U95)</f>
        <v>58315.19336</v>
      </c>
      <c r="H75" s="244">
        <f t="shared" si="3"/>
        <v>0.06384248113</v>
      </c>
      <c r="I75" s="266">
        <f t="shared" si="4"/>
        <v>0.5564198213</v>
      </c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  <c r="AH75" s="217"/>
      <c r="AI75" s="217"/>
      <c r="AJ75" s="217"/>
      <c r="AK75" s="217"/>
      <c r="AL75" s="217"/>
      <c r="AM75" s="149"/>
    </row>
    <row r="76" ht="22.5" customHeight="1">
      <c r="A76" s="217"/>
      <c r="B76" s="263">
        <f>IF(ARBITRAGES!E97=0,"",ARBITRAGES!E97)</f>
        <v>45852</v>
      </c>
      <c r="C76" s="231">
        <f t="shared" si="11"/>
        <v>37467.52166</v>
      </c>
      <c r="D76" s="264">
        <f>IF(F76="","",PRIX!B97)</f>
        <v>119500</v>
      </c>
      <c r="E76" s="264">
        <f t="shared" si="9"/>
        <v>71069.34663</v>
      </c>
      <c r="F76" s="242">
        <f>IF(B76="","",PRIX!B97*$Q$6+$R$6*PRIX!C97+PRIX!D97*$S$6+$T$6*PRIX!E97+PRIX!F97*$U$6+PRIX!G97*$V$6+$W$6*PRIX!H97+PRIX!I97*$X$6)</f>
        <v>54815.62768</v>
      </c>
      <c r="G76" s="270">
        <f>IF(B76="","",'Historique détail'!U96)</f>
        <v>58340.06293</v>
      </c>
      <c r="H76" s="244">
        <f t="shared" si="3"/>
        <v>0.06429617593</v>
      </c>
      <c r="I76" s="266">
        <f t="shared" si="4"/>
        <v>0.5570835846</v>
      </c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  <c r="AH76" s="217"/>
      <c r="AI76" s="217"/>
      <c r="AJ76" s="217"/>
      <c r="AK76" s="217"/>
      <c r="AL76" s="217"/>
      <c r="AM76" s="149"/>
    </row>
    <row r="77" ht="22.5" customHeight="1">
      <c r="A77" s="217"/>
      <c r="B77" s="263">
        <f>IF(ARBITRAGES!E98=0,"",ARBITRAGES!E98)</f>
        <v>45852</v>
      </c>
      <c r="C77" s="231">
        <f t="shared" si="11"/>
        <v>37467.52166</v>
      </c>
      <c r="D77" s="264">
        <f>IF(F77="","",PRIX!B98)</f>
        <v>119500</v>
      </c>
      <c r="E77" s="264">
        <f t="shared" si="9"/>
        <v>71069.34663</v>
      </c>
      <c r="F77" s="242">
        <f>IF(B77="","",PRIX!B98*$Q$6+$R$6*PRIX!C98+PRIX!D98*$S$6+$T$6*PRIX!E98+PRIX!F98*$U$6+PRIX!G98*$V$6+$W$6*PRIX!H98+PRIX!I98*$X$6)</f>
        <v>54815.62768</v>
      </c>
      <c r="G77" s="270">
        <f>IF(B77="","",'Historique détail'!U97)</f>
        <v>58344.86155</v>
      </c>
      <c r="H77" s="244">
        <f t="shared" si="3"/>
        <v>0.06438371718</v>
      </c>
      <c r="I77" s="266">
        <f t="shared" si="4"/>
        <v>0.557211659</v>
      </c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  <c r="AH77" s="217"/>
      <c r="AI77" s="217"/>
      <c r="AJ77" s="217"/>
      <c r="AK77" s="217"/>
      <c r="AL77" s="217"/>
      <c r="AM77" s="149"/>
    </row>
    <row r="78" ht="22.5" customHeight="1">
      <c r="A78" s="217"/>
      <c r="B78" s="263">
        <f>IF(ARBITRAGES!E99=0,"",ARBITRAGES!E99)</f>
        <v>45853</v>
      </c>
      <c r="C78" s="231">
        <f t="shared" si="11"/>
        <v>37467.52166</v>
      </c>
      <c r="D78" s="264">
        <f>IF(F78="","",PRIX!B99)</f>
        <v>118000</v>
      </c>
      <c r="E78" s="264">
        <f t="shared" si="9"/>
        <v>70177.26278</v>
      </c>
      <c r="F78" s="242">
        <f>IF(B78="","",PRIX!B99*$Q$6+$R$6*PRIX!C99+PRIX!D99*$S$6+$T$6*PRIX!E99+PRIX!F99*$U$6+PRIX!G99*$V$6+$W$6*PRIX!H99+PRIX!I99*$X$6)</f>
        <v>53732.02789</v>
      </c>
      <c r="G78" s="270">
        <f>IF(B78="","",'Historique détail'!U98)</f>
        <v>57309.23725</v>
      </c>
      <c r="H78" s="244">
        <f t="shared" si="3"/>
        <v>0.06657499273</v>
      </c>
      <c r="I78" s="266">
        <f t="shared" si="4"/>
        <v>0.5295710717</v>
      </c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  <c r="AH78" s="217"/>
      <c r="AI78" s="217"/>
      <c r="AJ78" s="217"/>
      <c r="AK78" s="217"/>
      <c r="AL78" s="217"/>
      <c r="AM78" s="149"/>
    </row>
    <row r="79" ht="22.5" customHeight="1">
      <c r="A79" s="217"/>
      <c r="B79" s="263">
        <f>IF(ARBITRAGES!E100=0,"",ARBITRAGES!E100)</f>
        <v>45854</v>
      </c>
      <c r="C79" s="231">
        <f t="shared" si="11"/>
        <v>37467.52166</v>
      </c>
      <c r="D79" s="264">
        <f>IF(F79="","",PRIX!B100)</f>
        <v>119500</v>
      </c>
      <c r="E79" s="264">
        <f t="shared" si="9"/>
        <v>71069.34663</v>
      </c>
      <c r="F79" s="242">
        <f>IF(B79="","",PRIX!B100*$Q$6+$R$6*PRIX!C100+PRIX!D100*$S$6+$T$6*PRIX!E100+PRIX!F100*$U$6+PRIX!G100*$V$6+$W$6*PRIX!H100+PRIX!I100*$X$6)</f>
        <v>54815.62768</v>
      </c>
      <c r="G79" s="270">
        <f>IF(B79="","",'Historique détail'!U99)</f>
        <v>58367.67308</v>
      </c>
      <c r="H79" s="244">
        <f t="shared" si="3"/>
        <v>0.06479986728</v>
      </c>
      <c r="I79" s="266">
        <f t="shared" si="4"/>
        <v>0.5578204937</v>
      </c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  <c r="AH79" s="217"/>
      <c r="AI79" s="217"/>
      <c r="AJ79" s="217"/>
      <c r="AK79" s="217"/>
      <c r="AL79" s="217"/>
      <c r="AM79" s="149"/>
    </row>
    <row r="80" ht="22.5" customHeight="1">
      <c r="A80" s="217"/>
      <c r="B80" s="263">
        <f>IF(ARBITRAGES!E101=0,"",ARBITRAGES!E101)</f>
        <v>45856</v>
      </c>
      <c r="C80" s="231">
        <f t="shared" si="11"/>
        <v>37467.52166</v>
      </c>
      <c r="D80" s="264">
        <f>IF(F80="","",PRIX!B101)</f>
        <v>122000</v>
      </c>
      <c r="E80" s="264">
        <f t="shared" si="9"/>
        <v>72556.15305</v>
      </c>
      <c r="F80" s="242">
        <f>IF(B80="","",PRIX!B101*$Q$6+$R$6*PRIX!C101+PRIX!D101*$S$6+$T$6*PRIX!E101+PRIX!F101*$U$6+PRIX!G101*$V$6+$W$6*PRIX!H101+PRIX!I101*$X$6)</f>
        <v>56229.50819</v>
      </c>
      <c r="G80" s="270">
        <f>IF(B80="","",'Historique détail'!U100)</f>
        <v>59627.83598</v>
      </c>
      <c r="H80" s="244">
        <f t="shared" si="3"/>
        <v>0.06043673326</v>
      </c>
      <c r="I80" s="266">
        <f t="shared" si="4"/>
        <v>0.5914539672</v>
      </c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  <c r="AH80" s="217"/>
      <c r="AI80" s="217"/>
      <c r="AJ80" s="217"/>
      <c r="AK80" s="217"/>
      <c r="AL80" s="217"/>
      <c r="AM80" s="149"/>
    </row>
    <row r="81" ht="22.5" customHeight="1">
      <c r="A81" s="217"/>
      <c r="B81" s="263">
        <f>IF(ARBITRAGES!E102=0,"",ARBITRAGES!E102)</f>
        <v>45856</v>
      </c>
      <c r="C81" s="231">
        <f t="shared" si="11"/>
        <v>37467.52166</v>
      </c>
      <c r="D81" s="264">
        <f>IF(F81="","",PRIX!B102)</f>
        <v>122000</v>
      </c>
      <c r="E81" s="264">
        <f t="shared" si="9"/>
        <v>72556.15305</v>
      </c>
      <c r="F81" s="242">
        <f>IF(B81="","",PRIX!B102*$Q$6+$R$6*PRIX!C102+PRIX!D102*$S$6+$T$6*PRIX!E102+PRIX!F102*$U$6+PRIX!G102*$V$6+$W$6*PRIX!H102+PRIX!I102*$X$6)</f>
        <v>56385.03375</v>
      </c>
      <c r="G81" s="270">
        <f>IF(B81="","",'Historique détail'!U101)</f>
        <v>59793.41733</v>
      </c>
      <c r="H81" s="244">
        <f t="shared" si="3"/>
        <v>0.06044837336</v>
      </c>
      <c r="I81" s="266">
        <f t="shared" si="4"/>
        <v>0.5958732973</v>
      </c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  <c r="AH81" s="217"/>
      <c r="AI81" s="217"/>
      <c r="AJ81" s="217"/>
      <c r="AK81" s="217"/>
      <c r="AL81" s="217"/>
      <c r="AM81" s="149"/>
    </row>
    <row r="82" ht="22.5" customHeight="1">
      <c r="A82" s="217"/>
      <c r="B82" s="263">
        <f>IF(ARBITRAGES!E103=0,"",ARBITRAGES!E103)</f>
        <v>45857</v>
      </c>
      <c r="C82" s="231">
        <f t="shared" si="11"/>
        <v>37467.52166</v>
      </c>
      <c r="D82" s="264">
        <f>IF(F82="","",PRIX!B103)</f>
        <v>120000</v>
      </c>
      <c r="E82" s="264">
        <f t="shared" si="9"/>
        <v>71366.70791</v>
      </c>
      <c r="F82" s="242">
        <f>IF(B82="","",PRIX!B103*$Q$6+$R$6*PRIX!C103+PRIX!D103*$S$6+$T$6*PRIX!E103+PRIX!F103*$U$6+PRIX!G103*$V$6+$W$6*PRIX!H103+PRIX!I103*$X$6)</f>
        <v>56311.87243</v>
      </c>
      <c r="G82" s="270">
        <f>IF(B82="","",'Historique détail'!U102)</f>
        <v>59959.08351</v>
      </c>
      <c r="H82" s="244">
        <f t="shared" si="3"/>
        <v>0.06476806613</v>
      </c>
      <c r="I82" s="266">
        <f t="shared" si="4"/>
        <v>0.6002948917</v>
      </c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  <c r="AH82" s="217"/>
      <c r="AI82" s="217"/>
      <c r="AJ82" s="217"/>
      <c r="AK82" s="217"/>
      <c r="AL82" s="217"/>
      <c r="AM82" s="149"/>
    </row>
    <row r="83" ht="22.5" customHeight="1">
      <c r="A83" s="217"/>
      <c r="B83" s="263">
        <f>IF(ARBITRAGES!E104=0,"",ARBITRAGES!E104)</f>
        <v>45858</v>
      </c>
      <c r="C83" s="231">
        <f t="shared" si="11"/>
        <v>37467.52166</v>
      </c>
      <c r="D83" s="264">
        <f>IF(F83="","",PRIX!B104)</f>
        <v>120000</v>
      </c>
      <c r="E83" s="264">
        <f t="shared" si="9"/>
        <v>71366.70791</v>
      </c>
      <c r="F83" s="242">
        <f>IF(B83="","",PRIX!B104*$Q$6+$R$6*PRIX!C104+PRIX!D104*$S$6+$T$6*PRIX!E104+PRIX!F104*$U$6+PRIX!G104*$V$6+$W$6*PRIX!H104+PRIX!I104*$X$6)</f>
        <v>56354.28849</v>
      </c>
      <c r="G83" s="270">
        <f>IF(B83="","",'Historique détail'!U103)</f>
        <v>60002.07732</v>
      </c>
      <c r="H83" s="244">
        <f t="shared" si="3"/>
        <v>0.06472956946</v>
      </c>
      <c r="I83" s="266">
        <f t="shared" si="4"/>
        <v>0.6014423873</v>
      </c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  <c r="AH83" s="217"/>
      <c r="AI83" s="217"/>
      <c r="AJ83" s="217"/>
      <c r="AK83" s="217"/>
      <c r="AL83" s="217"/>
      <c r="AM83" s="149"/>
    </row>
    <row r="84" ht="22.5" customHeight="1">
      <c r="A84" s="217"/>
      <c r="B84" s="263">
        <f>IF(ARBITRAGES!E105=0,"",ARBITRAGES!E105)</f>
        <v>45858</v>
      </c>
      <c r="C84" s="231">
        <f t="shared" si="11"/>
        <v>37467.52166</v>
      </c>
      <c r="D84" s="264">
        <f>IF(F84="","",PRIX!B105)</f>
        <v>120000</v>
      </c>
      <c r="E84" s="264">
        <f t="shared" si="9"/>
        <v>71366.70791</v>
      </c>
      <c r="F84" s="242">
        <f>IF(B84="","",PRIX!B105*$Q$6+$R$6*PRIX!C105+PRIX!D105*$S$6+$T$6*PRIX!E105+PRIX!F105*$U$6+PRIX!G105*$V$6+$W$6*PRIX!H105+PRIX!I105*$X$6)</f>
        <v>56354.28849</v>
      </c>
      <c r="G84" s="270">
        <f>IF(B84="","",'Historique détail'!U104)</f>
        <v>60004.08732</v>
      </c>
      <c r="H84" s="244">
        <f t="shared" si="3"/>
        <v>0.06476523667</v>
      </c>
      <c r="I84" s="266">
        <f t="shared" si="4"/>
        <v>0.6014960337</v>
      </c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  <c r="AH84" s="217"/>
      <c r="AI84" s="217"/>
      <c r="AJ84" s="217"/>
      <c r="AK84" s="217"/>
      <c r="AL84" s="217"/>
      <c r="AM84" s="149"/>
    </row>
    <row r="85" ht="22.5" customHeight="1">
      <c r="A85" s="217"/>
      <c r="B85" s="263">
        <f>IF(ARBITRAGES!E106=0,"",ARBITRAGES!E106)</f>
        <v>45858</v>
      </c>
      <c r="C85" s="231">
        <f t="shared" si="11"/>
        <v>37467.52166</v>
      </c>
      <c r="D85" s="264">
        <f>IF(F85="","",PRIX!B106)</f>
        <v>120000</v>
      </c>
      <c r="E85" s="264">
        <f t="shared" si="9"/>
        <v>71366.70791</v>
      </c>
      <c r="F85" s="242">
        <f>IF(B85="","",PRIX!B106*$Q$6+$R$6*PRIX!C106+PRIX!D106*$S$6+$T$6*PRIX!E106+PRIX!F106*$U$6+PRIX!G106*$V$6+$W$6*PRIX!H106+PRIX!I106*$X$6)</f>
        <v>56354.28849</v>
      </c>
      <c r="G85" s="270">
        <f>IF(B85="","",'Historique détail'!U105)</f>
        <v>60009.08732</v>
      </c>
      <c r="H85" s="244">
        <f t="shared" si="3"/>
        <v>0.06485396106</v>
      </c>
      <c r="I85" s="266">
        <f t="shared" si="4"/>
        <v>0.6016294826</v>
      </c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  <c r="AH85" s="217"/>
      <c r="AI85" s="217"/>
      <c r="AJ85" s="217"/>
      <c r="AK85" s="217"/>
      <c r="AL85" s="217"/>
      <c r="AM85" s="149"/>
    </row>
    <row r="86" ht="22.5" customHeight="1">
      <c r="A86" s="217"/>
      <c r="B86" s="263">
        <f>IF(ARBITRAGES!E107=0,"",ARBITRAGES!E107)</f>
        <v>45858</v>
      </c>
      <c r="C86" s="231">
        <f t="shared" si="11"/>
        <v>37467.52166</v>
      </c>
      <c r="D86" s="264">
        <f>IF(F86="","",PRIX!B107)</f>
        <v>120000</v>
      </c>
      <c r="E86" s="264">
        <f t="shared" si="9"/>
        <v>71366.70791</v>
      </c>
      <c r="F86" s="242">
        <f>IF(B86="","",PRIX!B107*$Q$6+$R$6*PRIX!C107+PRIX!D107*$S$6+$T$6*PRIX!E107+PRIX!F107*$U$6+PRIX!G107*$V$6+$W$6*PRIX!H107+PRIX!I107*$X$6)</f>
        <v>56354.28849</v>
      </c>
      <c r="G86" s="270">
        <f>IF(B86="","",'Historique détail'!U106)</f>
        <v>60012.62328</v>
      </c>
      <c r="H86" s="244">
        <f t="shared" si="3"/>
        <v>0.06491670609</v>
      </c>
      <c r="I86" s="266">
        <f t="shared" si="4"/>
        <v>0.6017238564</v>
      </c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  <c r="AH86" s="217"/>
      <c r="AI86" s="217"/>
      <c r="AJ86" s="217"/>
      <c r="AK86" s="217"/>
      <c r="AL86" s="217"/>
      <c r="AM86" s="149"/>
    </row>
    <row r="87" ht="22.5" customHeight="1">
      <c r="A87" s="217"/>
      <c r="B87" s="263">
        <f>IF(ARBITRAGES!E108=0,"",ARBITRAGES!E108)</f>
        <v>45859</v>
      </c>
      <c r="C87" s="231">
        <f t="shared" si="11"/>
        <v>37467.52166</v>
      </c>
      <c r="D87" s="264">
        <f>IF(F87="","",PRIX!B108)</f>
        <v>118500</v>
      </c>
      <c r="E87" s="264">
        <f t="shared" si="9"/>
        <v>70474.62407</v>
      </c>
      <c r="F87" s="242">
        <f>IF(B87="","",PRIX!B108*$Q$6+$R$6*PRIX!C108+PRIX!D108*$S$6+$T$6*PRIX!E108+PRIX!F108*$U$6+PRIX!G108*$V$6+$W$6*PRIX!H108+PRIX!I108*$X$6)</f>
        <v>56674.14209</v>
      </c>
      <c r="G87" s="270">
        <f>IF(B87="","",'Historique détail'!U107)</f>
        <v>60313.6292</v>
      </c>
      <c r="H87" s="244">
        <f t="shared" si="3"/>
        <v>0.06421777166</v>
      </c>
      <c r="I87" s="266">
        <f t="shared" si="4"/>
        <v>0.6097576391</v>
      </c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  <c r="AH87" s="217"/>
      <c r="AI87" s="217"/>
      <c r="AJ87" s="217"/>
      <c r="AK87" s="217"/>
      <c r="AL87" s="217"/>
      <c r="AM87" s="149"/>
    </row>
    <row r="88" ht="22.5" customHeight="1">
      <c r="A88" s="217"/>
      <c r="B88" s="263">
        <f>IF(ARBITRAGES!E109=0,"",ARBITRAGES!E109)</f>
        <v>45860</v>
      </c>
      <c r="C88" s="231">
        <f t="shared" si="11"/>
        <v>37467.52166</v>
      </c>
      <c r="D88" s="264">
        <f>IF(F88="","",PRIX!B109)</f>
        <v>116000</v>
      </c>
      <c r="E88" s="264">
        <f t="shared" si="9"/>
        <v>68987.81765</v>
      </c>
      <c r="F88" s="242">
        <f>IF(B88="","",PRIX!B109*$Q$6+$R$6*PRIX!C109+PRIX!D109*$S$6+$T$6*PRIX!E109+PRIX!F109*$U$6+PRIX!G109*$V$6+$W$6*PRIX!H109+PRIX!I109*$X$6)</f>
        <v>54169.12461</v>
      </c>
      <c r="G88" s="270">
        <f>IF(B88="","",'Historique détail'!U108)</f>
        <v>57734.626</v>
      </c>
      <c r="H88" s="244">
        <f t="shared" si="3"/>
        <v>0.06582165419</v>
      </c>
      <c r="I88" s="266">
        <f t="shared" si="4"/>
        <v>0.5409246049</v>
      </c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  <c r="AH88" s="217"/>
      <c r="AI88" s="217"/>
      <c r="AJ88" s="217"/>
      <c r="AK88" s="217"/>
      <c r="AL88" s="217"/>
      <c r="AM88" s="149"/>
    </row>
    <row r="89" ht="22.5" customHeight="1">
      <c r="A89" s="217"/>
      <c r="B89" s="263">
        <f>IF(ARBITRAGES!E110=0,"",ARBITRAGES!E110)</f>
        <v>45861</v>
      </c>
      <c r="C89" s="231">
        <f t="shared" si="11"/>
        <v>37467.52166</v>
      </c>
      <c r="D89" s="264">
        <f>IF(F89="","",PRIX!B110)</f>
        <v>116000</v>
      </c>
      <c r="E89" s="264">
        <f t="shared" si="9"/>
        <v>68987.81765</v>
      </c>
      <c r="F89" s="242">
        <f>IF(B89="","",PRIX!B110*$Q$6+$R$6*PRIX!C110+PRIX!D110*$S$6+$T$6*PRIX!E110+PRIX!F110*$U$6+PRIX!G110*$V$6+$W$6*PRIX!H110+PRIX!I110*$X$6)</f>
        <v>54169.12461</v>
      </c>
      <c r="G89" s="270">
        <f>IF(B89="","",'Historique détail'!U109)</f>
        <v>57751.126</v>
      </c>
      <c r="H89" s="244">
        <f t="shared" si="3"/>
        <v>0.06612625575</v>
      </c>
      <c r="I89" s="266">
        <f t="shared" si="4"/>
        <v>0.5413649863</v>
      </c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  <c r="AH89" s="217"/>
      <c r="AI89" s="217"/>
      <c r="AJ89" s="217"/>
      <c r="AK89" s="217"/>
      <c r="AL89" s="217"/>
      <c r="AM89" s="149"/>
    </row>
    <row r="90" ht="22.5" customHeight="1">
      <c r="A90" s="217"/>
      <c r="B90" s="281">
        <f>IF(ARBITRAGES!E111=0,"",ARBITRAGES!E111)</f>
        <v>45863</v>
      </c>
      <c r="C90" s="231">
        <f t="shared" si="11"/>
        <v>37467.52166</v>
      </c>
      <c r="D90" s="264">
        <f>IF(F90="","",PRIX!B111)</f>
        <v>117500</v>
      </c>
      <c r="E90" s="264">
        <f t="shared" si="9"/>
        <v>69879.9015</v>
      </c>
      <c r="F90" s="242">
        <f>IF(B90="","",PRIX!B111*$Q$6+$R$6*PRIX!C111+PRIX!D111*$S$6+$T$6*PRIX!E111+PRIX!F111*$U$6+PRIX!G111*$V$6+$W$6*PRIX!H111+PRIX!I111*$X$6)</f>
        <v>55929.74901</v>
      </c>
      <c r="G90" s="270">
        <f>IF(B90="","",'Historique détail'!U110)</f>
        <v>59204.67145</v>
      </c>
      <c r="H90" s="244">
        <f t="shared" si="3"/>
        <v>0.05855421291</v>
      </c>
      <c r="I90" s="266">
        <f t="shared" si="4"/>
        <v>0.5801597979</v>
      </c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  <c r="AH90" s="217"/>
      <c r="AI90" s="217"/>
      <c r="AJ90" s="217"/>
      <c r="AK90" s="217"/>
      <c r="AL90" s="217"/>
      <c r="AM90" s="149"/>
    </row>
    <row r="91" ht="22.5" customHeight="1">
      <c r="A91" s="217"/>
      <c r="B91" s="263">
        <f>IF(ARBITRAGES!E112=0,"",ARBITRAGES!E112)</f>
        <v>45867</v>
      </c>
      <c r="C91" s="231">
        <f t="shared" si="11"/>
        <v>37467.52166</v>
      </c>
      <c r="D91" s="264">
        <f>IF(F91="","",PRIX!B112)</f>
        <v>120000</v>
      </c>
      <c r="E91" s="264">
        <f t="shared" si="9"/>
        <v>71366.70791</v>
      </c>
      <c r="F91" s="242">
        <f>IF(B91="","",PRIX!B112*$Q$6+$R$6*PRIX!C112+PRIX!D112*$S$6+$T$6*PRIX!E112+PRIX!F112*$U$6+PRIX!G112*$V$6+$W$6*PRIX!H112+PRIX!I112*$X$6)</f>
        <v>57239.03862</v>
      </c>
      <c r="G91" s="270">
        <f>IF(B91="","",'Historique détail'!U111)</f>
        <v>60132.91956</v>
      </c>
      <c r="H91" s="244">
        <f t="shared" si="3"/>
        <v>0.05055781858</v>
      </c>
      <c r="I91" s="266">
        <f t="shared" si="4"/>
        <v>0.604934538</v>
      </c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  <c r="AH91" s="217"/>
      <c r="AI91" s="217"/>
      <c r="AJ91" s="217"/>
      <c r="AK91" s="217"/>
      <c r="AL91" s="217"/>
      <c r="AM91" s="149"/>
    </row>
    <row r="92" ht="22.5" customHeight="1">
      <c r="A92" s="217"/>
      <c r="B92" s="263">
        <f>IF(ARBITRAGES!E113=0,"",ARBITRAGES!E113)</f>
        <v>45868</v>
      </c>
      <c r="C92" s="231">
        <f t="shared" si="11"/>
        <v>37467.52166</v>
      </c>
      <c r="D92" s="264">
        <f>IF(F92="","",PRIX!B113)</f>
        <v>118500</v>
      </c>
      <c r="E92" s="264">
        <f t="shared" si="9"/>
        <v>70474.62407</v>
      </c>
      <c r="F92" s="242">
        <f>IF(B92="","",PRIX!B113*$Q$6+$R$6*PRIX!C113+PRIX!D113*$S$6+$T$6*PRIX!E113+PRIX!F113*$U$6+PRIX!G113*$V$6+$W$6*PRIX!H113+PRIX!I113*$X$6)</f>
        <v>55904.76125</v>
      </c>
      <c r="G92" s="270">
        <f>IF(B92="","",'Historique détail'!U112)</f>
        <v>58941.80655</v>
      </c>
      <c r="H92" s="244">
        <f t="shared" si="3"/>
        <v>0.05432534238</v>
      </c>
      <c r="I92" s="266">
        <f t="shared" si="4"/>
        <v>0.573143991</v>
      </c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  <c r="AH92" s="217"/>
      <c r="AI92" s="217"/>
      <c r="AJ92" s="217"/>
      <c r="AK92" s="217"/>
      <c r="AL92" s="217"/>
      <c r="AM92" s="149"/>
    </row>
    <row r="93" ht="22.5" customHeight="1">
      <c r="A93" s="217"/>
      <c r="B93" s="263">
        <f>IF(ARBITRAGES!E114=0,"",ARBITRAGES!E114)</f>
        <v>45869</v>
      </c>
      <c r="C93" s="231">
        <f t="shared" si="11"/>
        <v>37467.52166</v>
      </c>
      <c r="D93" s="264">
        <f>IF(F93="","",PRIX!B114)</f>
        <v>115500</v>
      </c>
      <c r="E93" s="264">
        <f t="shared" si="9"/>
        <v>68690.45637</v>
      </c>
      <c r="F93" s="242">
        <f>IF(B93="","",PRIX!B114*$Q$6+$R$6*PRIX!C114+PRIX!D114*$S$6+$T$6*PRIX!E114+PRIX!F114*$U$6+PRIX!G114*$V$6+$W$6*PRIX!H114+PRIX!I114*$X$6)</f>
        <v>53907.97298</v>
      </c>
      <c r="G93" s="270">
        <f>IF(B93="","",'Historique détail'!U113)</f>
        <v>56872.72876</v>
      </c>
      <c r="H93" s="244">
        <f t="shared" si="3"/>
        <v>0.05499661029</v>
      </c>
      <c r="I93" s="266">
        <f t="shared" si="4"/>
        <v>0.5179207551</v>
      </c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  <c r="AH93" s="217"/>
      <c r="AI93" s="217"/>
      <c r="AJ93" s="217"/>
      <c r="AK93" s="217"/>
      <c r="AL93" s="217"/>
      <c r="AM93" s="149"/>
    </row>
    <row r="94" ht="22.5" customHeight="1">
      <c r="A94" s="217"/>
      <c r="B94" s="263">
        <f>IF(ARBITRAGES!E115=0,"",ARBITRAGES!E115)</f>
        <v>45869</v>
      </c>
      <c r="C94" s="231">
        <f t="shared" si="11"/>
        <v>37467.52166</v>
      </c>
      <c r="D94" s="264">
        <f>IF(F94="","",PRIX!B115)</f>
        <v>115500</v>
      </c>
      <c r="E94" s="264">
        <f t="shared" si="9"/>
        <v>68690.45637</v>
      </c>
      <c r="F94" s="242">
        <f>IF(B94="","",PRIX!B115*$Q$6+$R$6*PRIX!C115+PRIX!D115*$S$6+$T$6*PRIX!E115+PRIX!F115*$U$6+PRIX!G115*$V$6+$W$6*PRIX!H115+PRIX!I115*$X$6)</f>
        <v>53907.97298</v>
      </c>
      <c r="G94" s="270">
        <f>IF(B94="","",'Historique détail'!U114)</f>
        <v>56869.25376</v>
      </c>
      <c r="H94" s="244">
        <f t="shared" si="3"/>
        <v>0.05493214859</v>
      </c>
      <c r="I94" s="266">
        <f t="shared" si="4"/>
        <v>0.5178280081</v>
      </c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  <c r="AH94" s="217"/>
      <c r="AI94" s="217"/>
      <c r="AJ94" s="217"/>
      <c r="AK94" s="217"/>
      <c r="AL94" s="217"/>
      <c r="AM94" s="149"/>
    </row>
    <row r="95" ht="22.5" customHeight="1">
      <c r="A95" s="217"/>
      <c r="B95" s="263">
        <f>IF(ARBITRAGES!E116=0,"",ARBITRAGES!E116)</f>
        <v>45869</v>
      </c>
      <c r="C95" s="231">
        <f t="shared" si="11"/>
        <v>37467.52166</v>
      </c>
      <c r="D95" s="264">
        <f>IF(F95="","",PRIX!B116)</f>
        <v>115500</v>
      </c>
      <c r="E95" s="264">
        <f t="shared" si="9"/>
        <v>68690.45637</v>
      </c>
      <c r="F95" s="242">
        <f>IF(B95="","",PRIX!B116*$Q$6+$R$6*PRIX!C116+PRIX!D116*$S$6+$T$6*PRIX!E116+PRIX!F116*$U$6+PRIX!G116*$V$6+$W$6*PRIX!H116+PRIX!I116*$X$6)</f>
        <v>53907.97298</v>
      </c>
      <c r="G95" s="270">
        <f>IF(B95="","",'Historique détail'!U115)</f>
        <v>56869.25376</v>
      </c>
      <c r="H95" s="244">
        <f t="shared" si="3"/>
        <v>0.05493214859</v>
      </c>
      <c r="I95" s="266">
        <f t="shared" si="4"/>
        <v>0.5178280081</v>
      </c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  <c r="AH95" s="217"/>
      <c r="AI95" s="217"/>
      <c r="AJ95" s="217"/>
      <c r="AK95" s="217"/>
      <c r="AL95" s="217"/>
      <c r="AM95" s="149"/>
    </row>
    <row r="96" ht="22.5" customHeight="1">
      <c r="A96" s="217"/>
      <c r="B96" s="263">
        <f>IF(ARBITRAGES!E117=0,"",ARBITRAGES!E117)</f>
        <v>45870</v>
      </c>
      <c r="C96" s="231">
        <f t="shared" si="11"/>
        <v>37467.52166</v>
      </c>
      <c r="D96" s="264">
        <f>IF(F96="","",PRIX!B117)</f>
        <v>115500</v>
      </c>
      <c r="E96" s="264">
        <f t="shared" si="9"/>
        <v>68690.45637</v>
      </c>
      <c r="F96" s="242">
        <f>IF(B96="","",PRIX!B117*$Q$6+$R$6*PRIX!C117+PRIX!D117*$S$6+$T$6*PRIX!E117+PRIX!F117*$U$6+PRIX!G117*$V$6+$W$6*PRIX!H117+PRIX!I117*$X$6)</f>
        <v>53907.97298</v>
      </c>
      <c r="G96" s="270">
        <f>IF(B96="","",'Historique détail'!U116)</f>
        <v>56871.87385</v>
      </c>
      <c r="H96" s="244">
        <f t="shared" si="3"/>
        <v>0.05498075155</v>
      </c>
      <c r="I96" s="266">
        <f t="shared" si="4"/>
        <v>0.5178979376</v>
      </c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  <c r="AH96" s="217"/>
      <c r="AI96" s="217"/>
      <c r="AJ96" s="217"/>
      <c r="AK96" s="217"/>
      <c r="AL96" s="217"/>
      <c r="AM96" s="149"/>
    </row>
    <row r="97" ht="22.5" customHeight="1">
      <c r="A97" s="217"/>
      <c r="B97" s="263">
        <f>IF(ARBITRAGES!E118=0,"",ARBITRAGES!E118)</f>
        <v>45871</v>
      </c>
      <c r="C97" s="231">
        <f t="shared" si="11"/>
        <v>37467.52166</v>
      </c>
      <c r="D97" s="264">
        <f>IF(F97="","",PRIX!B118)</f>
        <v>114000</v>
      </c>
      <c r="E97" s="264">
        <f t="shared" si="9"/>
        <v>67798.37252</v>
      </c>
      <c r="F97" s="242">
        <f>IF(B97="","",PRIX!B118*$Q$6+$R$6*PRIX!C118+PRIX!D118*$S$6+$T$6*PRIX!E118+PRIX!F118*$U$6+PRIX!G118*$V$6+$W$6*PRIX!H118+PRIX!I118*$X$6)</f>
        <v>53223.10066</v>
      </c>
      <c r="G97" s="270">
        <f>IF(B97="","",'Historique détail'!U117)</f>
        <v>56296.031</v>
      </c>
      <c r="H97" s="244">
        <f t="shared" si="3"/>
        <v>0.05773677782</v>
      </c>
      <c r="I97" s="266">
        <f t="shared" si="4"/>
        <v>0.5025288172</v>
      </c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149"/>
    </row>
    <row r="98" ht="22.5" customHeight="1">
      <c r="A98" s="217"/>
      <c r="B98" s="263">
        <f>IF(ARBITRAGES!E119=0,"",ARBITRAGES!E119)</f>
        <v>45875</v>
      </c>
      <c r="C98" s="231">
        <f t="shared" si="11"/>
        <v>37467.52166</v>
      </c>
      <c r="D98" s="264">
        <f>IF(F98="","",PRIX!B119)</f>
        <v>114000</v>
      </c>
      <c r="E98" s="264">
        <f t="shared" si="9"/>
        <v>67798.37252</v>
      </c>
      <c r="F98" s="242">
        <f>IF(B98="","",PRIX!B119*$Q$6+$R$6*PRIX!C119+PRIX!D119*$S$6+$T$6*PRIX!E119+PRIX!F119*$U$6+PRIX!G119*$V$6+$W$6*PRIX!H119+PRIX!I119*$X$6)</f>
        <v>53223.10066</v>
      </c>
      <c r="G98" s="270">
        <f>IF(B98="","",'Historique détail'!U118)</f>
        <v>56561.971</v>
      </c>
      <c r="H98" s="244">
        <f t="shared" si="3"/>
        <v>0.06273348032</v>
      </c>
      <c r="I98" s="266">
        <f t="shared" si="4"/>
        <v>0.5096266979</v>
      </c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  <c r="AH98" s="217"/>
      <c r="AI98" s="217"/>
      <c r="AJ98" s="217"/>
      <c r="AK98" s="217"/>
      <c r="AL98" s="217"/>
      <c r="AM98" s="149"/>
    </row>
    <row r="99" ht="22.5" customHeight="1">
      <c r="A99" s="217"/>
      <c r="B99" s="263">
        <f>IF(ARBITRAGES!E120=0,"",ARBITRAGES!E120)</f>
        <v>45876</v>
      </c>
      <c r="C99" s="231">
        <f t="shared" si="11"/>
        <v>37467.52166</v>
      </c>
      <c r="D99" s="264">
        <f>IF(F99="","",PRIX!B120)</f>
        <v>119000</v>
      </c>
      <c r="E99" s="264">
        <f t="shared" si="9"/>
        <v>70771.98535</v>
      </c>
      <c r="F99" s="242">
        <f>IF(B99="","",PRIX!B120*$Q$6+$R$6*PRIX!C120+PRIX!D120*$S$6+$T$6*PRIX!E120+PRIX!F120*$U$6+PRIX!G120*$V$6+$W$6*PRIX!H120+PRIX!I120*$X$6)</f>
        <v>57534.55582</v>
      </c>
      <c r="G99" s="270">
        <f>IF(B99="","",'Historique détail'!U119)</f>
        <v>61068.90436</v>
      </c>
      <c r="H99" s="244">
        <f t="shared" si="3"/>
        <v>0.06143001343</v>
      </c>
      <c r="I99" s="266">
        <f t="shared" si="4"/>
        <v>0.6299157687</v>
      </c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  <c r="AH99" s="217"/>
      <c r="AI99" s="217"/>
      <c r="AJ99" s="217"/>
      <c r="AK99" s="217"/>
      <c r="AL99" s="217"/>
      <c r="AM99" s="149"/>
    </row>
    <row r="100" ht="22.5" customHeight="1">
      <c r="A100" s="217"/>
      <c r="B100" s="263">
        <f>IF(ARBITRAGES!E121=0,"",ARBITRAGES!E121)</f>
        <v>45876</v>
      </c>
      <c r="C100" s="231">
        <f t="shared" si="11"/>
        <v>37467.52166</v>
      </c>
      <c r="D100" s="264">
        <f>IF(F100="","",PRIX!B121)</f>
        <v>119000</v>
      </c>
      <c r="E100" s="264">
        <f t="shared" si="9"/>
        <v>70771.98535</v>
      </c>
      <c r="F100" s="242">
        <f>IF(B100="","",PRIX!B121*$Q$6+$R$6*PRIX!C121+PRIX!D121*$S$6+$T$6*PRIX!E121+PRIX!F121*$U$6+PRIX!G121*$V$6+$W$6*PRIX!H121+PRIX!I121*$X$6)</f>
        <v>57534.55582</v>
      </c>
      <c r="G100" s="270">
        <f>IF(B100="","",'Historique détail'!U120)</f>
        <v>60963.90436</v>
      </c>
      <c r="H100" s="244">
        <f t="shared" si="3"/>
        <v>0.05960502324</v>
      </c>
      <c r="I100" s="266">
        <f t="shared" si="4"/>
        <v>0.6271133415</v>
      </c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  <c r="AH100" s="217"/>
      <c r="AI100" s="217"/>
      <c r="AJ100" s="217"/>
      <c r="AK100" s="217"/>
      <c r="AL100" s="217"/>
      <c r="AM100" s="149"/>
    </row>
    <row r="101" ht="22.5" customHeight="1">
      <c r="A101" s="217"/>
      <c r="B101" s="263">
        <f>IF(ARBITRAGES!E122=0,"",ARBITRAGES!E122)</f>
        <v>45877</v>
      </c>
      <c r="C101" s="231">
        <f t="shared" si="11"/>
        <v>37467.52166</v>
      </c>
      <c r="D101" s="264">
        <f>IF(F101="","",PRIX!B122)</f>
        <v>119000</v>
      </c>
      <c r="E101" s="264">
        <f t="shared" si="9"/>
        <v>70771.98535</v>
      </c>
      <c r="F101" s="242">
        <f>IF(B101="","",PRIX!B122*$Q$6+$R$6*PRIX!C122+PRIX!D122*$S$6+$T$6*PRIX!E122+PRIX!F122*$U$6+PRIX!G122*$V$6+$W$6*PRIX!H122+PRIX!I122*$X$6)</f>
        <v>57534.55582</v>
      </c>
      <c r="G101" s="270">
        <f>IF(B101="","",'Historique détail'!U121)</f>
        <v>60888.90436</v>
      </c>
      <c r="H101" s="244">
        <f t="shared" si="3"/>
        <v>0.05830145882</v>
      </c>
      <c r="I101" s="266">
        <f t="shared" si="4"/>
        <v>0.6251116078</v>
      </c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  <c r="AH101" s="217"/>
      <c r="AI101" s="217"/>
      <c r="AJ101" s="217"/>
      <c r="AK101" s="217"/>
      <c r="AL101" s="217"/>
      <c r="AM101" s="149"/>
    </row>
    <row r="102" ht="22.5" customHeight="1">
      <c r="A102" s="217"/>
      <c r="B102" s="263">
        <f>IF(ARBITRAGES!E123=0,"",ARBITRAGES!E123)</f>
        <v>45877</v>
      </c>
      <c r="C102" s="231">
        <f t="shared" si="11"/>
        <v>37467.52166</v>
      </c>
      <c r="D102" s="264">
        <f>IF(F102="","",PRIX!B123)</f>
        <v>119000</v>
      </c>
      <c r="E102" s="264">
        <f t="shared" si="9"/>
        <v>70771.98535</v>
      </c>
      <c r="F102" s="242">
        <f>IF(B102="","",PRIX!B123*$Q$6+$R$6*PRIX!C123+PRIX!D123*$S$6+$T$6*PRIX!E123+PRIX!F123*$U$6+PRIX!G123*$V$6+$W$6*PRIX!H123+PRIX!I123*$X$6)</f>
        <v>57534.55582</v>
      </c>
      <c r="G102" s="270">
        <f>IF(B102="","",'Historique détail'!U122)</f>
        <v>60873.85424</v>
      </c>
      <c r="H102" s="244">
        <f t="shared" si="3"/>
        <v>0.05803987487</v>
      </c>
      <c r="I102" s="266">
        <f t="shared" si="4"/>
        <v>0.6247099235</v>
      </c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  <c r="AH102" s="217"/>
      <c r="AI102" s="217"/>
      <c r="AJ102" s="217"/>
      <c r="AK102" s="217"/>
      <c r="AL102" s="217"/>
      <c r="AM102" s="149"/>
    </row>
    <row r="103" ht="22.5" customHeight="1">
      <c r="A103" s="217"/>
      <c r="B103" s="263">
        <f>IF(ARBITRAGES!E124=0,"",ARBITRAGES!E124)</f>
        <v>45878</v>
      </c>
      <c r="C103" s="231">
        <f t="shared" si="11"/>
        <v>37467.52166</v>
      </c>
      <c r="D103" s="264">
        <f>IF(F103="","",PRIX!B124)</f>
        <v>119000</v>
      </c>
      <c r="E103" s="264">
        <f t="shared" si="9"/>
        <v>70771.98535</v>
      </c>
      <c r="F103" s="242">
        <f>IF(B103="","",PRIX!B124*$Q$6+$R$6*PRIX!C124+PRIX!D124*$S$6+$T$6*PRIX!E124+PRIX!F124*$U$6+PRIX!G124*$V$6+$W$6*PRIX!H124+PRIX!I124*$X$6)</f>
        <v>57534.55582</v>
      </c>
      <c r="G103" s="270">
        <f>IF(B103="","",'Historique détail'!U123)</f>
        <v>60858.85417</v>
      </c>
      <c r="H103" s="244">
        <f t="shared" si="3"/>
        <v>0.05777916069</v>
      </c>
      <c r="I103" s="266">
        <f t="shared" si="4"/>
        <v>0.6243095748</v>
      </c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  <c r="AH103" s="217"/>
      <c r="AI103" s="217"/>
      <c r="AJ103" s="217"/>
      <c r="AK103" s="217"/>
      <c r="AL103" s="217"/>
      <c r="AM103" s="149"/>
    </row>
    <row r="104" ht="22.5" customHeight="1">
      <c r="A104" s="217"/>
      <c r="B104" s="263">
        <f>IF(ARBITRAGES!E125=0,"",ARBITRAGES!E125)</f>
        <v>45879</v>
      </c>
      <c r="C104" s="231">
        <f t="shared" si="11"/>
        <v>37467.52166</v>
      </c>
      <c r="D104" s="264">
        <f>IF(F104="","",PRIX!B125)</f>
        <v>119000</v>
      </c>
      <c r="E104" s="264">
        <f t="shared" si="9"/>
        <v>70771.98535</v>
      </c>
      <c r="F104" s="242">
        <f>IF(B104="","",PRIX!B125*$Q$6+$R$6*PRIX!C125+PRIX!D125*$S$6+$T$6*PRIX!E125+PRIX!F125*$U$6+PRIX!G125*$V$6+$W$6*PRIX!H125+PRIX!I125*$X$6)</f>
        <v>57534.55582</v>
      </c>
      <c r="G104" s="270">
        <f>IF(B104="","",'Historique détail'!U124)</f>
        <v>60857.35417</v>
      </c>
      <c r="H104" s="244">
        <f t="shared" si="3"/>
        <v>0.0577530894</v>
      </c>
      <c r="I104" s="266">
        <f t="shared" si="4"/>
        <v>0.6242695401</v>
      </c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  <c r="AH104" s="217"/>
      <c r="AI104" s="217"/>
      <c r="AJ104" s="217"/>
      <c r="AK104" s="217"/>
      <c r="AL104" s="217"/>
      <c r="AM104" s="149"/>
    </row>
    <row r="105" ht="22.5" customHeight="1">
      <c r="A105" s="217"/>
      <c r="B105" s="263">
        <f>IF(ARBITRAGES!E126=0,"",ARBITRAGES!E126)</f>
        <v>45880</v>
      </c>
      <c r="C105" s="231">
        <f t="shared" si="11"/>
        <v>37467.52166</v>
      </c>
      <c r="D105" s="264">
        <f>IF(F105="","",PRIX!B126)</f>
        <v>122000</v>
      </c>
      <c r="E105" s="264">
        <f t="shared" si="9"/>
        <v>72556.15305</v>
      </c>
      <c r="F105" s="242">
        <f>IF(B105="","",PRIX!B126*$Q$6+$R$6*PRIX!C126+PRIX!D126*$S$6+$T$6*PRIX!E126+PRIX!F126*$U$6+PRIX!G126*$V$6+$W$6*PRIX!H126+PRIX!I126*$X$6)</f>
        <v>58871.53347</v>
      </c>
      <c r="G105" s="270">
        <f>IF(B105="","",'Historique détail'!U125)</f>
        <v>61863.37888</v>
      </c>
      <c r="H105" s="244">
        <f t="shared" si="3"/>
        <v>0.05081989936</v>
      </c>
      <c r="I105" s="266">
        <f t="shared" si="4"/>
        <v>0.6511201207</v>
      </c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  <c r="AH105" s="217"/>
      <c r="AI105" s="217"/>
      <c r="AJ105" s="217"/>
      <c r="AK105" s="217"/>
      <c r="AL105" s="217"/>
      <c r="AM105" s="149"/>
    </row>
    <row r="106" ht="22.5" customHeight="1">
      <c r="A106" s="217"/>
      <c r="B106" s="263">
        <f>IF(ARBITRAGES!E127=0,"",ARBITRAGES!E127)</f>
        <v>45880</v>
      </c>
      <c r="C106" s="231">
        <f t="shared" si="11"/>
        <v>37467.52166</v>
      </c>
      <c r="D106" s="264">
        <f>IF(F106="","",PRIX!B127)</f>
        <v>122000</v>
      </c>
      <c r="E106" s="264">
        <f t="shared" si="9"/>
        <v>72556.15305</v>
      </c>
      <c r="F106" s="242">
        <f>IF(B106="","",PRIX!B127*$Q$6+$R$6*PRIX!C127+PRIX!D127*$S$6+$T$6*PRIX!E127+PRIX!F127*$U$6+PRIX!G127*$V$6+$W$6*PRIX!H127+PRIX!I127*$X$6)</f>
        <v>58871.53347</v>
      </c>
      <c r="G106" s="270">
        <f>IF(B106="","",'Historique détail'!U126)</f>
        <v>61866.37888</v>
      </c>
      <c r="H106" s="244">
        <f t="shared" si="3"/>
        <v>0.05087085777</v>
      </c>
      <c r="I106" s="266">
        <f t="shared" si="4"/>
        <v>0.65120019</v>
      </c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  <c r="AH106" s="217"/>
      <c r="AI106" s="217"/>
      <c r="AJ106" s="217"/>
      <c r="AK106" s="217"/>
      <c r="AL106" s="217"/>
      <c r="AM106" s="149"/>
    </row>
    <row r="107" ht="22.5" customHeight="1">
      <c r="A107" s="217"/>
      <c r="B107" s="263">
        <f>IF(ARBITRAGES!E128=0,"",ARBITRAGES!E128)</f>
        <v>45880</v>
      </c>
      <c r="C107" s="231">
        <f t="shared" si="11"/>
        <v>37467.52166</v>
      </c>
      <c r="D107" s="264">
        <f>IF(F107="","",PRIX!B128)</f>
        <v>122000</v>
      </c>
      <c r="E107" s="264">
        <f t="shared" si="9"/>
        <v>72556.15305</v>
      </c>
      <c r="F107" s="242">
        <f>IF(B107="","",PRIX!B128*$Q$6+$R$6*PRIX!C128+PRIX!D128*$S$6+$T$6*PRIX!E128+PRIX!F128*$U$6+PRIX!G128*$V$6+$W$6*PRIX!H128+PRIX!I128*$X$6)</f>
        <v>58871.53347</v>
      </c>
      <c r="G107" s="270">
        <f>IF(B107="","",'Historique détail'!U127)</f>
        <v>61878.88034</v>
      </c>
      <c r="H107" s="244">
        <f t="shared" si="3"/>
        <v>0.05108320937</v>
      </c>
      <c r="I107" s="266">
        <f t="shared" si="4"/>
        <v>0.6515338514</v>
      </c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  <c r="AH107" s="217"/>
      <c r="AI107" s="217"/>
      <c r="AJ107" s="217"/>
      <c r="AK107" s="217"/>
      <c r="AL107" s="217"/>
      <c r="AM107" s="149"/>
    </row>
    <row r="108" ht="22.5" customHeight="1">
      <c r="A108" s="217"/>
      <c r="B108" s="263">
        <f>IF(ARBITRAGES!E129=0,"",ARBITRAGES!E129)</f>
        <v>45881</v>
      </c>
      <c r="C108" s="231">
        <f t="shared" si="11"/>
        <v>37467.52166</v>
      </c>
      <c r="D108" s="264">
        <f>IF(F108="","",PRIX!B129)</f>
        <v>122000</v>
      </c>
      <c r="E108" s="264">
        <f t="shared" si="9"/>
        <v>72556.15305</v>
      </c>
      <c r="F108" s="242">
        <f>IF(B108="","",PRIX!B129*$Q$6+$R$6*PRIX!C129+PRIX!D129*$S$6+$T$6*PRIX!E129+PRIX!F129*$U$6+PRIX!G129*$V$6+$W$6*PRIX!H129+PRIX!I129*$X$6)</f>
        <v>60749.93131</v>
      </c>
      <c r="G108" s="270">
        <f>IF(B108="","",'Historique détail'!U128)</f>
        <v>63504.65168</v>
      </c>
      <c r="H108" s="244">
        <f t="shared" si="3"/>
        <v>0.04534524247</v>
      </c>
      <c r="I108" s="266">
        <f t="shared" si="4"/>
        <v>0.6949253346</v>
      </c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  <c r="AH108" s="217"/>
      <c r="AI108" s="217"/>
      <c r="AJ108" s="217"/>
      <c r="AK108" s="217"/>
      <c r="AL108" s="217"/>
      <c r="AM108" s="149"/>
    </row>
    <row r="109" ht="22.5" customHeight="1">
      <c r="A109" s="217"/>
      <c r="B109" s="263">
        <f>IF(ARBITRAGES!E130=0,"",ARBITRAGES!E130)</f>
        <v>45882</v>
      </c>
      <c r="C109" s="231">
        <f t="shared" si="11"/>
        <v>37467.52166</v>
      </c>
      <c r="D109" s="264">
        <f>IF(F109="","",PRIX!B130)</f>
        <v>122000</v>
      </c>
      <c r="E109" s="264">
        <f t="shared" si="9"/>
        <v>72556.15305</v>
      </c>
      <c r="F109" s="242">
        <f>IF(B109="","",PRIX!B130*$Q$6+$R$6*PRIX!C130+PRIX!D130*$S$6+$T$6*PRIX!E130+PRIX!F130*$U$6+PRIX!G130*$V$6+$W$6*PRIX!H130+PRIX!I130*$X$6)</f>
        <v>60749.93131</v>
      </c>
      <c r="G109" s="270">
        <f>IF(B109="","",'Historique détail'!U129)</f>
        <v>63506.75168</v>
      </c>
      <c r="H109" s="244">
        <f t="shared" si="3"/>
        <v>0.04537981041</v>
      </c>
      <c r="I109" s="266">
        <f t="shared" si="4"/>
        <v>0.6949813831</v>
      </c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  <c r="AH109" s="217"/>
      <c r="AI109" s="217"/>
      <c r="AJ109" s="217"/>
      <c r="AK109" s="217"/>
      <c r="AL109" s="217"/>
      <c r="AM109" s="149"/>
    </row>
    <row r="110" ht="22.5" customHeight="1">
      <c r="A110" s="217"/>
      <c r="B110" s="263">
        <f>IF(ARBITRAGES!E131=0,"",ARBITRAGES!E131)</f>
        <v>45882</v>
      </c>
      <c r="C110" s="231">
        <f t="shared" si="11"/>
        <v>37467.52166</v>
      </c>
      <c r="D110" s="264">
        <f>IF(F110="","",PRIX!B131)</f>
        <v>122000</v>
      </c>
      <c r="E110" s="264">
        <f t="shared" si="9"/>
        <v>72556.15305</v>
      </c>
      <c r="F110" s="242">
        <f>IF(B110="","",PRIX!B131*$Q$6+$R$6*PRIX!C131+PRIX!D131*$S$6+$T$6*PRIX!E131+PRIX!F131*$U$6+PRIX!G131*$V$6+$W$6*PRIX!H131+PRIX!I131*$X$6)</f>
        <v>61129.29169</v>
      </c>
      <c r="G110" s="270">
        <f>IF(B110="","",'Historique détail'!U130)</f>
        <v>63775.15911</v>
      </c>
      <c r="H110" s="244">
        <f t="shared" si="3"/>
        <v>0.04328313552</v>
      </c>
      <c r="I110" s="266">
        <f t="shared" si="4"/>
        <v>0.7021451191</v>
      </c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  <c r="AH110" s="217"/>
      <c r="AI110" s="217"/>
      <c r="AJ110" s="217"/>
      <c r="AK110" s="217"/>
      <c r="AL110" s="217"/>
      <c r="AM110" s="149"/>
    </row>
    <row r="111" ht="22.5" customHeight="1">
      <c r="A111" s="217"/>
      <c r="B111" s="263">
        <f>IF(ARBITRAGES!E132=0,"",ARBITRAGES!E132)</f>
        <v>45882</v>
      </c>
      <c r="C111" s="231">
        <f t="shared" si="11"/>
        <v>37467.52166</v>
      </c>
      <c r="D111" s="264">
        <f>IF(F111="","",PRIX!B132)</f>
        <v>122000</v>
      </c>
      <c r="E111" s="264">
        <f t="shared" si="9"/>
        <v>72556.15305</v>
      </c>
      <c r="F111" s="242">
        <f>IF(B111="","",PRIX!B132*$Q$6+$R$6*PRIX!C132+PRIX!D132*$S$6+$T$6*PRIX!E132+PRIX!F132*$U$6+PRIX!G132*$V$6+$W$6*PRIX!H132+PRIX!I132*$X$6)</f>
        <v>61129.29169</v>
      </c>
      <c r="G111" s="270">
        <f>IF(B111="","",'Historique détail'!U131)</f>
        <v>63786.08411</v>
      </c>
      <c r="H111" s="244">
        <f t="shared" si="3"/>
        <v>0.04346185508</v>
      </c>
      <c r="I111" s="266">
        <f t="shared" si="4"/>
        <v>0.7024367049</v>
      </c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  <c r="AH111" s="217"/>
      <c r="AI111" s="217"/>
      <c r="AJ111" s="217"/>
      <c r="AK111" s="217"/>
      <c r="AL111" s="217"/>
      <c r="AM111" s="149"/>
    </row>
    <row r="112" ht="22.5" customHeight="1">
      <c r="A112" s="217"/>
      <c r="B112" s="263">
        <f>IF(ARBITRAGES!E133=0,"",ARBITRAGES!E133)</f>
        <v>45883</v>
      </c>
      <c r="C112" s="231">
        <f t="shared" si="11"/>
        <v>37467.52166</v>
      </c>
      <c r="D112" s="264">
        <f>IF(F112="","",PRIX!B133)</f>
        <v>122000</v>
      </c>
      <c r="E112" s="264">
        <f t="shared" si="9"/>
        <v>72556.15305</v>
      </c>
      <c r="F112" s="242">
        <f>IF(B112="","",PRIX!B133*$Q$6+$R$6*PRIX!C133+PRIX!D133*$S$6+$T$6*PRIX!E133+PRIX!F133*$U$6+PRIX!G133*$V$6+$W$6*PRIX!H133+PRIX!I133*$X$6)</f>
        <v>61129.29169</v>
      </c>
      <c r="G112" s="270">
        <f>IF(B112="","",'Historique détail'!U132)</f>
        <v>63782.66411</v>
      </c>
      <c r="H112" s="244">
        <f t="shared" si="3"/>
        <v>0.04340590809</v>
      </c>
      <c r="I112" s="266">
        <f t="shared" si="4"/>
        <v>0.7023454259</v>
      </c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149"/>
    </row>
    <row r="113" ht="22.5" customHeight="1">
      <c r="A113" s="217"/>
      <c r="B113" s="263">
        <f>IF(ARBITRAGES!E134=0,"",ARBITRAGES!E134)</f>
        <v>45886</v>
      </c>
      <c r="C113" s="231">
        <f t="shared" si="11"/>
        <v>37467.52166</v>
      </c>
      <c r="D113" s="264">
        <f>IF(F113="","",PRIX!B134)</f>
        <v>119000</v>
      </c>
      <c r="E113" s="264">
        <f t="shared" si="9"/>
        <v>70771.98535</v>
      </c>
      <c r="F113" s="242">
        <f>IF(B113="","",PRIX!B134*$Q$6+$R$6*PRIX!C134+PRIX!D134*$S$6+$T$6*PRIX!E134+PRIX!F134*$U$6+PRIX!G134*$V$6+$W$6*PRIX!H134+PRIX!I134*$X$6)</f>
        <v>59417.61423</v>
      </c>
      <c r="G113" s="270">
        <f>IF(B113="","",'Historique détail'!U133)</f>
        <v>62371.57494</v>
      </c>
      <c r="H113" s="244">
        <f t="shared" si="3"/>
        <v>0.04971523584</v>
      </c>
      <c r="I113" s="266">
        <f t="shared" si="4"/>
        <v>0.664683763</v>
      </c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  <c r="AH113" s="217"/>
      <c r="AI113" s="217"/>
      <c r="AJ113" s="217"/>
      <c r="AK113" s="217"/>
      <c r="AL113" s="217"/>
      <c r="AM113" s="149"/>
    </row>
    <row r="114" ht="22.5" customHeight="1">
      <c r="A114" s="217"/>
      <c r="B114" s="263">
        <f>IF(ARBITRAGES!E135=0,"",ARBITRAGES!E135)</f>
        <v>45887</v>
      </c>
      <c r="C114" s="231">
        <f t="shared" si="11"/>
        <v>37467.52166</v>
      </c>
      <c r="D114" s="264">
        <f>IF(F114="","",PRIX!B135)</f>
        <v>115000</v>
      </c>
      <c r="E114" s="264">
        <f t="shared" si="9"/>
        <v>68393.09508</v>
      </c>
      <c r="F114" s="242">
        <f>IF(B114="","",PRIX!B135*$Q$6+$R$6*PRIX!C135+PRIX!D135*$S$6+$T$6*PRIX!E135+PRIX!F135*$U$6+PRIX!G135*$V$6+$W$6*PRIX!H135+PRIX!I135*$X$6)</f>
        <v>57167.79227</v>
      </c>
      <c r="G114" s="270">
        <f>IF(B114="","",'Historique détail'!U134)</f>
        <v>60469.59993</v>
      </c>
      <c r="H114" s="244">
        <f t="shared" si="3"/>
        <v>0.05775643134</v>
      </c>
      <c r="I114" s="266">
        <f t="shared" si="4"/>
        <v>0.613920464</v>
      </c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  <c r="AH114" s="217"/>
      <c r="AI114" s="217"/>
      <c r="AJ114" s="217"/>
      <c r="AK114" s="217"/>
      <c r="AL114" s="217"/>
      <c r="AM114" s="149"/>
    </row>
    <row r="115" ht="22.5" customHeight="1">
      <c r="A115" s="217"/>
      <c r="B115" s="263">
        <f>IF(ARBITRAGES!E136=0,"",ARBITRAGES!E136)</f>
        <v>45887</v>
      </c>
      <c r="C115" s="231">
        <f t="shared" si="11"/>
        <v>37467.52166</v>
      </c>
      <c r="D115" s="264">
        <f>IF(F115="","",PRIX!B136)</f>
        <v>115000</v>
      </c>
      <c r="E115" s="264">
        <f t="shared" si="9"/>
        <v>68393.09508</v>
      </c>
      <c r="F115" s="242">
        <f>IF(B115="","",PRIX!B136*$Q$6+$R$6*PRIX!C136+PRIX!D136*$S$6+$T$6*PRIX!E136+PRIX!F136*$U$6+PRIX!G136*$V$6+$W$6*PRIX!H136+PRIX!I136*$X$6)</f>
        <v>57167.79227</v>
      </c>
      <c r="G115" s="270">
        <f>IF(B115="","",'Historique détail'!U135)</f>
        <v>60474.59993</v>
      </c>
      <c r="H115" s="244">
        <f t="shared" si="3"/>
        <v>0.05784389317</v>
      </c>
      <c r="I115" s="266">
        <f t="shared" si="4"/>
        <v>0.6140539129</v>
      </c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  <c r="AH115" s="217"/>
      <c r="AI115" s="217"/>
      <c r="AJ115" s="217"/>
      <c r="AK115" s="217"/>
      <c r="AL115" s="217"/>
      <c r="AM115" s="149"/>
    </row>
    <row r="116" ht="22.5" customHeight="1">
      <c r="A116" s="217"/>
      <c r="B116" s="263">
        <f>IF(ARBITRAGES!E137=0,"",ARBITRAGES!E137)</f>
        <v>45887</v>
      </c>
      <c r="C116" s="231">
        <f t="shared" si="11"/>
        <v>37467.52166</v>
      </c>
      <c r="D116" s="264">
        <f>IF(F116="","",PRIX!B137)</f>
        <v>115000</v>
      </c>
      <c r="E116" s="264">
        <f t="shared" si="9"/>
        <v>68393.09508</v>
      </c>
      <c r="F116" s="242">
        <f>IF(B116="","",PRIX!B137*$Q$6+$R$6*PRIX!C137+PRIX!D137*$S$6+$T$6*PRIX!E137+PRIX!F137*$U$6+PRIX!G137*$V$6+$W$6*PRIX!H137+PRIX!I137*$X$6)</f>
        <v>57167.79227</v>
      </c>
      <c r="G116" s="270">
        <f>IF(B116="","",'Historique détail'!U136)</f>
        <v>60474.59993</v>
      </c>
      <c r="H116" s="244">
        <f t="shared" si="3"/>
        <v>0.05784389317</v>
      </c>
      <c r="I116" s="266">
        <f t="shared" si="4"/>
        <v>0.6140539129</v>
      </c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  <c r="AH116" s="217"/>
      <c r="AI116" s="217"/>
      <c r="AJ116" s="217"/>
      <c r="AK116" s="217"/>
      <c r="AL116" s="217"/>
      <c r="AM116" s="149"/>
    </row>
    <row r="117" ht="22.5" customHeight="1">
      <c r="A117" s="217"/>
      <c r="B117" s="263">
        <f>IF(ARBITRAGES!E138=0,"",ARBITRAGES!E138)</f>
        <v>45888</v>
      </c>
      <c r="C117" s="231">
        <f t="shared" si="11"/>
        <v>37467.52166</v>
      </c>
      <c r="D117" s="264">
        <f>IF(F117="","",PRIX!B138)</f>
        <v>115000</v>
      </c>
      <c r="E117" s="264">
        <f t="shared" si="9"/>
        <v>68393.09508</v>
      </c>
      <c r="F117" s="242">
        <f>IF(B117="","",PRIX!B138*$Q$6+$R$6*PRIX!C138+PRIX!D138*$S$6+$T$6*PRIX!E138+PRIX!F138*$U$6+PRIX!G138*$V$6+$W$6*PRIX!H138+PRIX!I138*$X$6)</f>
        <v>57167.79227</v>
      </c>
      <c r="G117" s="270">
        <f>IF(B117="","",'Historique détail'!U137)</f>
        <v>60473.59993</v>
      </c>
      <c r="H117" s="244">
        <f t="shared" si="3"/>
        <v>0.05782640081</v>
      </c>
      <c r="I117" s="266">
        <f t="shared" si="4"/>
        <v>0.6140272231</v>
      </c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  <c r="AH117" s="217"/>
      <c r="AI117" s="217"/>
      <c r="AJ117" s="217"/>
      <c r="AK117" s="217"/>
      <c r="AL117" s="217"/>
      <c r="AM117" s="149"/>
    </row>
    <row r="118" ht="22.5" customHeight="1">
      <c r="A118" s="217"/>
      <c r="B118" s="263">
        <f>IF(ARBITRAGES!E139=0,"",ARBITRAGES!E139)</f>
        <v>45888</v>
      </c>
      <c r="C118" s="231">
        <f t="shared" si="11"/>
        <v>37467.52166</v>
      </c>
      <c r="D118" s="264">
        <f>IF(F118="","",PRIX!B139)</f>
        <v>114000</v>
      </c>
      <c r="E118" s="264">
        <f t="shared" si="9"/>
        <v>67798.37252</v>
      </c>
      <c r="F118" s="242">
        <f>IF(B118="","",PRIX!B139*$Q$6+$R$6*PRIX!C139+PRIX!D139*$S$6+$T$6*PRIX!E139+PRIX!F139*$U$6+PRIX!G139*$V$6+$W$6*PRIX!H139+PRIX!I139*$X$6)</f>
        <v>56609.38811</v>
      </c>
      <c r="G118" s="270">
        <f>IF(B118="","",'Historique détail'!U138)</f>
        <v>59958.34681</v>
      </c>
      <c r="H118" s="244">
        <f t="shared" si="3"/>
        <v>0.05915906893</v>
      </c>
      <c r="I118" s="266">
        <f t="shared" si="4"/>
        <v>0.6002752293</v>
      </c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149"/>
    </row>
    <row r="119" ht="22.5" customHeight="1">
      <c r="A119" s="217"/>
      <c r="B119" s="263">
        <f>IF(ARBITRAGES!E140=0,"",ARBITRAGES!E140)</f>
        <v>45889</v>
      </c>
      <c r="C119" s="231">
        <f t="shared" si="11"/>
        <v>37467.52166</v>
      </c>
      <c r="D119" s="264">
        <f>IF(F119="","",PRIX!B140)</f>
        <v>114000</v>
      </c>
      <c r="E119" s="264">
        <f t="shared" si="9"/>
        <v>67798.37252</v>
      </c>
      <c r="F119" s="242">
        <f>IF(B119="","",PRIX!B140*$Q$6+$R$6*PRIX!C140+PRIX!D140*$S$6+$T$6*PRIX!E140+PRIX!F140*$U$6+PRIX!G140*$V$6+$W$6*PRIX!H140+PRIX!I140*$X$6)</f>
        <v>56609.38811</v>
      </c>
      <c r="G119" s="270">
        <f>IF(B119="","",'Historique détail'!U139)</f>
        <v>59962.34681</v>
      </c>
      <c r="H119" s="244">
        <f t="shared" si="3"/>
        <v>0.05922972859</v>
      </c>
      <c r="I119" s="266">
        <f t="shared" si="4"/>
        <v>0.6003819884</v>
      </c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  <c r="AH119" s="217"/>
      <c r="AI119" s="217"/>
      <c r="AJ119" s="217"/>
      <c r="AK119" s="217"/>
      <c r="AL119" s="217"/>
      <c r="AM119" s="149"/>
    </row>
    <row r="120" ht="22.5" customHeight="1">
      <c r="A120" s="217"/>
      <c r="B120" s="263">
        <f>IF(ARBITRAGES!E141=0,"",ARBITRAGES!E141)</f>
        <v>45891</v>
      </c>
      <c r="C120" s="231">
        <f t="shared" si="11"/>
        <v>37467.52166</v>
      </c>
      <c r="D120" s="264">
        <f>IF(F120="","",PRIX!B141)</f>
        <v>116000</v>
      </c>
      <c r="E120" s="264">
        <f t="shared" si="9"/>
        <v>68987.81765</v>
      </c>
      <c r="F120" s="242">
        <f>IF(B120="","",PRIX!B141*$Q$6+$R$6*PRIX!C141+PRIX!D141*$S$6+$T$6*PRIX!E141+PRIX!F141*$U$6+PRIX!G141*$V$6+$W$6*PRIX!H141+PRIX!I141*$X$6)</f>
        <v>59542.924</v>
      </c>
      <c r="G120" s="270">
        <f>IF(B120="","",'Historique détail'!U140)</f>
        <v>62926.3</v>
      </c>
      <c r="H120" s="244">
        <f t="shared" si="3"/>
        <v>0.05682246982</v>
      </c>
      <c r="I120" s="266">
        <f t="shared" si="4"/>
        <v>0.6794892541</v>
      </c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  <c r="AH120" s="217"/>
      <c r="AI120" s="217"/>
      <c r="AJ120" s="217"/>
      <c r="AK120" s="217"/>
      <c r="AL120" s="217"/>
      <c r="AM120" s="149"/>
    </row>
    <row r="121" ht="22.5" customHeight="1">
      <c r="A121" s="217"/>
      <c r="B121" s="281">
        <f>IF(ARBITRAGES!E142=0,"",ARBITRAGES!E142)</f>
        <v>45891</v>
      </c>
      <c r="C121" s="231">
        <f t="shared" si="11"/>
        <v>37467.52166</v>
      </c>
      <c r="D121" s="264">
        <f>IF(F121="","",PRIX!B142)</f>
        <v>116000</v>
      </c>
      <c r="E121" s="264">
        <f t="shared" si="9"/>
        <v>68987.81765</v>
      </c>
      <c r="F121" s="242">
        <f>IF(B121="","",PRIX!B142*$Q$6+$R$6*PRIX!C142+PRIX!D142*$S$6+$T$6*PRIX!E142+PRIX!F142*$U$6+PRIX!G142*$V$6+$W$6*PRIX!H142+PRIX!I142*$X$6)</f>
        <v>59542.924</v>
      </c>
      <c r="G121" s="270">
        <f>IF(B121="","",'Historique détail'!U141)</f>
        <v>62926.3</v>
      </c>
      <c r="H121" s="244">
        <f t="shared" si="3"/>
        <v>0.05682246982</v>
      </c>
      <c r="I121" s="266">
        <f t="shared" si="4"/>
        <v>0.6794892541</v>
      </c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  <c r="AH121" s="217"/>
      <c r="AI121" s="217"/>
      <c r="AJ121" s="217"/>
      <c r="AK121" s="217"/>
      <c r="AL121" s="217"/>
      <c r="AM121" s="149"/>
    </row>
    <row r="122" ht="22.5" customHeight="1">
      <c r="A122" s="217"/>
      <c r="B122" s="263">
        <f>IF(ARBITRAGES!E143=0,"",ARBITRAGES!E143)</f>
        <v>45892</v>
      </c>
      <c r="C122" s="231">
        <f t="shared" si="11"/>
        <v>37467.52166</v>
      </c>
      <c r="D122" s="264">
        <f>IF(F122="","",PRIX!B143)</f>
        <v>116000</v>
      </c>
      <c r="E122" s="264">
        <f t="shared" si="9"/>
        <v>68987.81765</v>
      </c>
      <c r="F122" s="242">
        <f>IF(B122="","",PRIX!B143*$Q$6+$R$6*PRIX!C143+PRIX!D143*$S$6+$T$6*PRIX!E143+PRIX!F143*$U$6+PRIX!G143*$V$6+$W$6*PRIX!H143+PRIX!I143*$X$6)</f>
        <v>59542.924</v>
      </c>
      <c r="G122" s="270">
        <f>IF(B122="","",'Historique détail'!U142)</f>
        <v>62971.3</v>
      </c>
      <c r="H122" s="244">
        <f t="shared" si="3"/>
        <v>0.05757822712</v>
      </c>
      <c r="I122" s="266">
        <f t="shared" si="4"/>
        <v>0.6806902943</v>
      </c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  <c r="AH122" s="217"/>
      <c r="AI122" s="217"/>
      <c r="AJ122" s="217"/>
      <c r="AK122" s="217"/>
      <c r="AL122" s="217"/>
      <c r="AM122" s="149"/>
    </row>
    <row r="123" ht="22.5" customHeight="1">
      <c r="A123" s="217"/>
      <c r="B123" s="281">
        <f>IF(ARBITRAGES!E144=0,"",ARBITRAGES!E144)</f>
        <v>45894</v>
      </c>
      <c r="C123" s="231">
        <f t="shared" si="11"/>
        <v>37467.52166</v>
      </c>
      <c r="D123" s="264">
        <f>IF(F123="","",PRIX!B144)</f>
        <v>110000</v>
      </c>
      <c r="E123" s="264">
        <f t="shared" si="9"/>
        <v>65419.48225</v>
      </c>
      <c r="F123" s="242">
        <f>IF(B123="","",PRIX!B144*$Q$6+$R$6*PRIX!C144+PRIX!D144*$S$6+$T$6*PRIX!E144+PRIX!F144*$U$6+PRIX!G144*$V$6+$W$6*PRIX!H144+PRIX!I144*$X$6)</f>
        <v>55655.95562</v>
      </c>
      <c r="G123" s="270">
        <f>IF(B123="","",'Historique détail'!U143)</f>
        <v>59614.91091</v>
      </c>
      <c r="H123" s="244">
        <f t="shared" si="3"/>
        <v>0.07113264416</v>
      </c>
      <c r="I123" s="266">
        <f t="shared" si="4"/>
        <v>0.5911089999</v>
      </c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  <c r="AH123" s="217"/>
      <c r="AI123" s="217"/>
      <c r="AJ123" s="217"/>
      <c r="AK123" s="217"/>
      <c r="AL123" s="217"/>
      <c r="AM123" s="149"/>
    </row>
    <row r="124" ht="22.5" customHeight="1">
      <c r="A124" s="217"/>
      <c r="B124" s="281">
        <f>IF(ARBITRAGES!E145=0,"",ARBITRAGES!E145)</f>
        <v>45894</v>
      </c>
      <c r="C124" s="231">
        <f t="shared" si="11"/>
        <v>37467.52166</v>
      </c>
      <c r="D124" s="264">
        <f>IF(F124="","",PRIX!B145)</f>
        <v>110000</v>
      </c>
      <c r="E124" s="264">
        <f t="shared" si="9"/>
        <v>65419.48225</v>
      </c>
      <c r="F124" s="242">
        <f>IF(B124="","",PRIX!B145*$Q$6+$R$6*PRIX!C145+PRIX!D145*$S$6+$T$6*PRIX!E145+PRIX!F145*$U$6+PRIX!G145*$V$6+$W$6*PRIX!H145+PRIX!I145*$X$6)</f>
        <v>55655.95562</v>
      </c>
      <c r="G124" s="270">
        <f>IF(B124="","",'Historique détail'!U144)</f>
        <v>59615.33091</v>
      </c>
      <c r="H124" s="244">
        <f t="shared" si="3"/>
        <v>0.07114019052</v>
      </c>
      <c r="I124" s="266">
        <f t="shared" si="4"/>
        <v>0.5911202096</v>
      </c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7"/>
      <c r="AM124" s="149"/>
    </row>
    <row r="125" ht="22.5" customHeight="1">
      <c r="A125" s="217"/>
      <c r="B125" s="263">
        <f>IF(ARBITRAGES!E146=0,"",ARBITRAGES!E146)</f>
        <v>45894</v>
      </c>
      <c r="C125" s="231">
        <f t="shared" si="11"/>
        <v>37467.52166</v>
      </c>
      <c r="D125" s="264">
        <f>IF(F125="","",PRIX!B146)</f>
        <v>110000</v>
      </c>
      <c r="E125" s="264">
        <f t="shared" si="9"/>
        <v>65419.48225</v>
      </c>
      <c r="F125" s="242">
        <f>IF(B125="","",PRIX!B146*$Q$6+$R$6*PRIX!C146+PRIX!D146*$S$6+$T$6*PRIX!E146+PRIX!F146*$U$6+PRIX!G146*$V$6+$W$6*PRIX!H146+PRIX!I146*$X$6)</f>
        <v>55655.95562</v>
      </c>
      <c r="G125" s="270">
        <f>IF(B125="","",'Historique détail'!U145)</f>
        <v>59614.25299</v>
      </c>
      <c r="H125" s="244">
        <f t="shared" si="3"/>
        <v>0.07112082305</v>
      </c>
      <c r="I125" s="266">
        <f t="shared" si="4"/>
        <v>0.5910914403</v>
      </c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  <c r="AH125" s="217"/>
      <c r="AI125" s="217"/>
      <c r="AJ125" s="217"/>
      <c r="AK125" s="217"/>
      <c r="AL125" s="217"/>
      <c r="AM125" s="149"/>
    </row>
    <row r="126" ht="22.5" customHeight="1">
      <c r="A126" s="217"/>
      <c r="B126" s="263">
        <f>IF(ARBITRAGES!E147=0,"",ARBITRAGES!E147)</f>
        <v>45894</v>
      </c>
      <c r="C126" s="231">
        <f t="shared" si="11"/>
        <v>37467.52166</v>
      </c>
      <c r="D126" s="264">
        <f>IF(F126="","",PRIX!B147)</f>
        <v>110000</v>
      </c>
      <c r="E126" s="264">
        <f t="shared" si="9"/>
        <v>65419.48225</v>
      </c>
      <c r="F126" s="242">
        <f>IF(B126="","",PRIX!B147*$Q$6+$R$6*PRIX!C147+PRIX!D147*$S$6+$T$6*PRIX!E147+PRIX!F147*$U$6+PRIX!G147*$V$6+$W$6*PRIX!H147+PRIX!I147*$X$6)</f>
        <v>55655.95562</v>
      </c>
      <c r="G126" s="270">
        <f>IF(B126="","",'Historique détail'!U146)</f>
        <v>59602.25299</v>
      </c>
      <c r="H126" s="244">
        <f t="shared" si="3"/>
        <v>0.0709052127</v>
      </c>
      <c r="I126" s="266">
        <f t="shared" si="4"/>
        <v>0.5907711629</v>
      </c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  <c r="AH126" s="217"/>
      <c r="AI126" s="217"/>
      <c r="AJ126" s="217"/>
      <c r="AK126" s="217"/>
      <c r="AL126" s="217"/>
      <c r="AM126" s="149"/>
    </row>
    <row r="127" ht="22.5" customHeight="1">
      <c r="A127" s="217"/>
      <c r="B127" s="263">
        <f>IF(ARBITRAGES!E148=0,"",ARBITRAGES!E148)</f>
        <v>45895</v>
      </c>
      <c r="C127" s="231">
        <f t="shared" si="11"/>
        <v>37467.52166</v>
      </c>
      <c r="D127" s="264">
        <f>IF(F127="","",PRIX!B148)</f>
        <v>108500</v>
      </c>
      <c r="E127" s="264">
        <f t="shared" si="9"/>
        <v>64527.39841</v>
      </c>
      <c r="F127" s="242">
        <f>IF(B127="","",PRIX!B148*$Q$6+$R$6*PRIX!C148+PRIX!D148*$S$6+$T$6*PRIX!E148+PRIX!F148*$U$6+PRIX!G148*$V$6+$W$6*PRIX!H148+PRIX!I148*$X$6)</f>
        <v>55714.47217</v>
      </c>
      <c r="G127" s="270">
        <f>IF(B127="","",'Historique détail'!U147)</f>
        <v>59864.82955</v>
      </c>
      <c r="H127" s="244">
        <f t="shared" si="3"/>
        <v>0.07449334468</v>
      </c>
      <c r="I127" s="266">
        <f t="shared" si="4"/>
        <v>0.5977792741</v>
      </c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  <c r="AH127" s="217"/>
      <c r="AI127" s="217"/>
      <c r="AJ127" s="217"/>
      <c r="AK127" s="217"/>
      <c r="AL127" s="217"/>
      <c r="AM127" s="149"/>
    </row>
    <row r="128" ht="22.5" customHeight="1">
      <c r="A128" s="217"/>
      <c r="B128" s="263">
        <f>IF(ARBITRAGES!E149=0,"",ARBITRAGES!E149)</f>
        <v>45908</v>
      </c>
      <c r="C128" s="231">
        <f t="shared" si="11"/>
        <v>37467.52166</v>
      </c>
      <c r="D128" s="264">
        <f>IF(F128="","",PRIX!B149)</f>
        <v>110000</v>
      </c>
      <c r="E128" s="264">
        <f t="shared" si="9"/>
        <v>65419.48225</v>
      </c>
      <c r="F128" s="242">
        <f>IF(B128="","",PRIX!B149*$Q$6+$R$6*PRIX!C149+PRIX!D149*$S$6+$T$6*PRIX!E149+PRIX!F149*$U$6+PRIX!G149*$V$6+$W$6*PRIX!H149+PRIX!I149*$X$6)</f>
        <v>55655.95562</v>
      </c>
      <c r="G128" s="270">
        <f>IF(B128="","",'Historique détail'!U148)</f>
        <v>59805.95069</v>
      </c>
      <c r="H128" s="244">
        <f t="shared" si="3"/>
        <v>0.07456515707</v>
      </c>
      <c r="I128" s="266">
        <f t="shared" si="4"/>
        <v>0.5962078102</v>
      </c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217"/>
      <c r="AK128" s="217"/>
      <c r="AL128" s="217"/>
      <c r="AM128" s="149"/>
    </row>
    <row r="129" ht="22.5" customHeight="1">
      <c r="A129" s="217"/>
      <c r="B129" s="263">
        <f>IF(ARBITRAGES!E150=0,"",ARBITRAGES!E150)</f>
        <v>45908</v>
      </c>
      <c r="C129" s="231">
        <f t="shared" si="11"/>
        <v>37467.52166</v>
      </c>
      <c r="D129" s="264">
        <f>IF(F129="","",PRIX!B150)</f>
        <v>110000</v>
      </c>
      <c r="E129" s="264">
        <f t="shared" si="9"/>
        <v>65419.48225</v>
      </c>
      <c r="F129" s="242">
        <f>IF(B129="","",PRIX!B150*$Q$6+$R$6*PRIX!C150+PRIX!D150*$S$6+$T$6*PRIX!E150+PRIX!F150*$U$6+PRIX!G150*$V$6+$W$6*PRIX!H150+PRIX!I150*$X$6)</f>
        <v>55655.95562</v>
      </c>
      <c r="G129" s="270">
        <f>IF(B129="","",'Historique détail'!U149)</f>
        <v>59814.62121</v>
      </c>
      <c r="H129" s="244">
        <f t="shared" si="3"/>
        <v>0.07472094489</v>
      </c>
      <c r="I129" s="266">
        <f t="shared" si="4"/>
        <v>0.5964392245</v>
      </c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217"/>
      <c r="AK129" s="217"/>
      <c r="AL129" s="217"/>
      <c r="AM129" s="149"/>
    </row>
    <row r="130" ht="22.5" customHeight="1">
      <c r="A130" s="217"/>
      <c r="B130" s="263">
        <f>IF(ARBITRAGES!E151=0,"",ARBITRAGES!E151)</f>
        <v>45909</v>
      </c>
      <c r="C130" s="231">
        <f t="shared" si="11"/>
        <v>37467.52166</v>
      </c>
      <c r="D130" s="264">
        <f>IF(F130="","",PRIX!B151)</f>
        <v>110000</v>
      </c>
      <c r="E130" s="264">
        <f t="shared" si="9"/>
        <v>65419.48225</v>
      </c>
      <c r="F130" s="242">
        <f>IF(B130="","",PRIX!B151*$Q$6+$R$6*PRIX!C151+PRIX!D151*$S$6+$T$6*PRIX!E151+PRIX!F151*$U$6+PRIX!G151*$V$6+$W$6*PRIX!H151+PRIX!I151*$X$6)</f>
        <v>55655.95562</v>
      </c>
      <c r="G130" s="270">
        <f>IF(B130="","",'Historique détail'!U150)</f>
        <v>59843.93736</v>
      </c>
      <c r="H130" s="244">
        <f t="shared" si="3"/>
        <v>0.07524768364</v>
      </c>
      <c r="I130" s="266">
        <f t="shared" si="4"/>
        <v>0.5972216661</v>
      </c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  <c r="AH130" s="217"/>
      <c r="AI130" s="217"/>
      <c r="AJ130" s="217"/>
      <c r="AK130" s="217"/>
      <c r="AL130" s="217"/>
      <c r="AM130" s="149"/>
    </row>
    <row r="131" ht="22.5" customHeight="1">
      <c r="A131" s="217"/>
      <c r="B131" s="263">
        <f>IF(ARBITRAGES!E152=0,"",ARBITRAGES!E152)</f>
        <v>45911</v>
      </c>
      <c r="C131" s="231">
        <f t="shared" si="11"/>
        <v>37467.52166</v>
      </c>
      <c r="D131" s="264">
        <f>IF(F131="","",PRIX!B152)</f>
        <v>115500</v>
      </c>
      <c r="E131" s="264">
        <f t="shared" si="9"/>
        <v>68690.45637</v>
      </c>
      <c r="F131" s="242">
        <f>IF(B131="","",PRIX!B152*$Q$6+$R$6*PRIX!C152+PRIX!D152*$S$6+$T$6*PRIX!E152+PRIX!F152*$U$6+PRIX!G152*$V$6+$W$6*PRIX!H152+PRIX!I152*$X$6)</f>
        <v>59446.60496</v>
      </c>
      <c r="G131" s="270">
        <f>IF(B131="","",'Historique détail'!U151)</f>
        <v>63068.19267</v>
      </c>
      <c r="H131" s="244">
        <f t="shared" si="3"/>
        <v>0.06092169118</v>
      </c>
      <c r="I131" s="266">
        <f t="shared" si="4"/>
        <v>0.6832763386</v>
      </c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  <c r="AH131" s="217"/>
      <c r="AI131" s="217"/>
      <c r="AJ131" s="217"/>
      <c r="AK131" s="217"/>
      <c r="AL131" s="217"/>
      <c r="AM131" s="149"/>
    </row>
    <row r="132" ht="22.5" customHeight="1">
      <c r="A132" s="217"/>
      <c r="B132" s="263">
        <f>IF(ARBITRAGES!E153=0,"",ARBITRAGES!E153)</f>
        <v>45911</v>
      </c>
      <c r="C132" s="231">
        <f t="shared" si="11"/>
        <v>37467.52166</v>
      </c>
      <c r="D132" s="264">
        <f>IF(F132="","",PRIX!B153)</f>
        <v>115500</v>
      </c>
      <c r="E132" s="264">
        <f t="shared" si="9"/>
        <v>68690.45637</v>
      </c>
      <c r="F132" s="242">
        <f>IF(B132="","",PRIX!B153*$Q$6+$R$6*PRIX!C153+PRIX!D153*$S$6+$T$6*PRIX!E153+PRIX!F153*$U$6+PRIX!G153*$V$6+$W$6*PRIX!H153+PRIX!I153*$X$6)</f>
        <v>59446.60496</v>
      </c>
      <c r="G132" s="270">
        <f>IF(B132="","",'Historique détail'!U152)</f>
        <v>63402.30545</v>
      </c>
      <c r="H132" s="244">
        <f t="shared" si="3"/>
        <v>0.06654207576</v>
      </c>
      <c r="I132" s="266">
        <f t="shared" si="4"/>
        <v>0.6921937361</v>
      </c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  <c r="AH132" s="217"/>
      <c r="AI132" s="217"/>
      <c r="AJ132" s="217"/>
      <c r="AK132" s="217"/>
      <c r="AL132" s="217"/>
      <c r="AM132" s="149"/>
    </row>
    <row r="133" ht="22.5" customHeight="1">
      <c r="A133" s="217"/>
      <c r="B133" s="263">
        <f>IF(ARBITRAGES!E154=0,"",ARBITRAGES!E154)</f>
        <v>45911</v>
      </c>
      <c r="C133" s="231">
        <f t="shared" si="11"/>
        <v>37467.52166</v>
      </c>
      <c r="D133" s="264">
        <f>IF(F133="","",PRIX!B154)</f>
        <v>115500</v>
      </c>
      <c r="E133" s="264">
        <f t="shared" si="9"/>
        <v>68690.45637</v>
      </c>
      <c r="F133" s="242">
        <f>IF(B133="","",PRIX!B154*$Q$6+$R$6*PRIX!C154+PRIX!D154*$S$6+$T$6*PRIX!E154+PRIX!F154*$U$6+PRIX!G154*$V$6+$W$6*PRIX!H154+PRIX!I154*$X$6)</f>
        <v>59446.60496</v>
      </c>
      <c r="G133" s="270">
        <f>IF(B133="","",'Historique détail'!U153)</f>
        <v>63397.30545</v>
      </c>
      <c r="H133" s="244">
        <f t="shared" si="3"/>
        <v>0.06645796667</v>
      </c>
      <c r="I133" s="266">
        <f t="shared" si="4"/>
        <v>0.6920602871</v>
      </c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217"/>
      <c r="AK133" s="217"/>
      <c r="AL133" s="217"/>
      <c r="AM133" s="149"/>
    </row>
    <row r="134" ht="22.5" customHeight="1">
      <c r="A134" s="217"/>
      <c r="B134" s="263">
        <f>IF(ARBITRAGES!E155=0,"",ARBITRAGES!E155)</f>
        <v>45912</v>
      </c>
      <c r="C134" s="231">
        <f t="shared" si="11"/>
        <v>37467.52166</v>
      </c>
      <c r="D134" s="264">
        <f>IF(F134="","",PRIX!B155)</f>
        <v>115500</v>
      </c>
      <c r="E134" s="264">
        <f t="shared" si="9"/>
        <v>68690.45637</v>
      </c>
      <c r="F134" s="242">
        <f>IF(B134="","",PRIX!B155*$Q$6+$R$6*PRIX!C155+PRIX!D155*$S$6+$T$6*PRIX!E155+PRIX!F155*$U$6+PRIX!G155*$V$6+$W$6*PRIX!H155+PRIX!I155*$X$6)</f>
        <v>59446.60496</v>
      </c>
      <c r="G134" s="270">
        <f>IF(B134="","",'Historique détail'!U154)</f>
        <v>63116.34295</v>
      </c>
      <c r="H134" s="244">
        <f t="shared" si="3"/>
        <v>0.06173166648</v>
      </c>
      <c r="I134" s="266">
        <f t="shared" si="4"/>
        <v>0.6845614592</v>
      </c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217"/>
      <c r="AK134" s="217"/>
      <c r="AL134" s="217"/>
      <c r="AM134" s="149"/>
    </row>
    <row r="135" ht="22.5" customHeight="1">
      <c r="A135" s="217"/>
      <c r="B135" s="263">
        <f>IF(ARBITRAGES!E156=0,"",ARBITRAGES!E156)</f>
        <v>45914</v>
      </c>
      <c r="C135" s="231">
        <f t="shared" si="11"/>
        <v>37467.52166</v>
      </c>
      <c r="D135" s="264">
        <f>IF(F135="","",PRIX!B156)</f>
        <v>116500</v>
      </c>
      <c r="E135" s="264">
        <f t="shared" si="9"/>
        <v>69285.17893</v>
      </c>
      <c r="F135" s="242">
        <f>IF(B135="","",PRIX!B156*$Q$6+$R$6*PRIX!C156+PRIX!D156*$S$6+$T$6*PRIX!E156+PRIX!F156*$U$6+PRIX!G156*$V$6+$W$6*PRIX!H156+PRIX!I156*$X$6)</f>
        <v>60160.81499</v>
      </c>
      <c r="G135" s="270">
        <f>IF(B135="","",'Historique détail'!U155)</f>
        <v>63628.93254</v>
      </c>
      <c r="H135" s="244">
        <f t="shared" si="3"/>
        <v>0.0576474497</v>
      </c>
      <c r="I135" s="266">
        <f t="shared" si="4"/>
        <v>0.6982423639</v>
      </c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217"/>
      <c r="AK135" s="217"/>
      <c r="AL135" s="217"/>
      <c r="AM135" s="149"/>
    </row>
    <row r="136" ht="22.5" customHeight="1">
      <c r="A136" s="217"/>
      <c r="B136" s="263">
        <f>IF(ARBITRAGES!E157=0,"",ARBITRAGES!E157)</f>
        <v>45918</v>
      </c>
      <c r="C136" s="231">
        <f t="shared" si="11"/>
        <v>37467.52166</v>
      </c>
      <c r="D136" s="264">
        <f>IF(F136="","",PRIX!B157)</f>
        <v>115500</v>
      </c>
      <c r="E136" s="264">
        <f t="shared" si="9"/>
        <v>68690.45637</v>
      </c>
      <c r="F136" s="242">
        <f>IF(B136="","",PRIX!B157*$Q$6+$R$6*PRIX!C157+PRIX!D157*$S$6+$T$6*PRIX!E157+PRIX!F157*$U$6+PRIX!G157*$V$6+$W$6*PRIX!H157+PRIX!I157*$X$6)</f>
        <v>58981.08605</v>
      </c>
      <c r="G136" s="270">
        <f>IF(B136="","",'Historique détail'!U156)</f>
        <v>62622.14299</v>
      </c>
      <c r="H136" s="244">
        <f t="shared" si="3"/>
        <v>0.06173261943</v>
      </c>
      <c r="I136" s="266">
        <f t="shared" si="4"/>
        <v>0.6713713697</v>
      </c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  <c r="AH136" s="217"/>
      <c r="AI136" s="217"/>
      <c r="AJ136" s="217"/>
      <c r="AK136" s="217"/>
      <c r="AL136" s="217"/>
      <c r="AM136" s="149"/>
    </row>
    <row r="137" ht="22.5" customHeight="1">
      <c r="A137" s="217"/>
      <c r="B137" s="263">
        <f>IF(ARBITRAGES!E158=0,"",ARBITRAGES!E158)</f>
        <v>45918</v>
      </c>
      <c r="C137" s="231">
        <f t="shared" si="11"/>
        <v>37467.52166</v>
      </c>
      <c r="D137" s="264">
        <f>IF(F137="","",PRIX!B158)</f>
        <v>115500</v>
      </c>
      <c r="E137" s="264">
        <f t="shared" si="9"/>
        <v>68690.45637</v>
      </c>
      <c r="F137" s="242">
        <f>IF(B137="","",PRIX!B158*$Q$6+$R$6*PRIX!C158+PRIX!D158*$S$6+$T$6*PRIX!E158+PRIX!F158*$U$6+PRIX!G158*$V$6+$W$6*PRIX!H158+PRIX!I158*$X$6)</f>
        <v>58981.08605</v>
      </c>
      <c r="G137" s="270">
        <f>IF(B137="","",'Historique détail'!U157)</f>
        <v>62637.14299</v>
      </c>
      <c r="H137" s="244">
        <f t="shared" si="3"/>
        <v>0.06198693825</v>
      </c>
      <c r="I137" s="266">
        <f t="shared" si="4"/>
        <v>0.6717717165</v>
      </c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  <c r="AH137" s="217"/>
      <c r="AI137" s="217"/>
      <c r="AJ137" s="217"/>
      <c r="AK137" s="217"/>
      <c r="AL137" s="217"/>
      <c r="AM137" s="149"/>
    </row>
    <row r="138" ht="22.5" customHeight="1">
      <c r="A138" s="217"/>
      <c r="B138" s="263">
        <f>IF(ARBITRAGES!E159=0,"",ARBITRAGES!E159)</f>
        <v>45919</v>
      </c>
      <c r="C138" s="231">
        <f t="shared" si="11"/>
        <v>37467.52166</v>
      </c>
      <c r="D138" s="264">
        <f>IF(F138="","",PRIX!B159)</f>
        <v>115500</v>
      </c>
      <c r="E138" s="264">
        <f t="shared" si="9"/>
        <v>68690.45637</v>
      </c>
      <c r="F138" s="242">
        <f>IF(B138="","",PRIX!B159*$Q$6+$R$6*PRIX!C159+PRIX!D159*$S$6+$T$6*PRIX!E159+PRIX!F159*$U$6+PRIX!G159*$V$6+$W$6*PRIX!H159+PRIX!I159*$X$6)</f>
        <v>58981.08605</v>
      </c>
      <c r="G138" s="270">
        <f>IF(B138="","",'Historique détail'!U158)</f>
        <v>62642.39299</v>
      </c>
      <c r="H138" s="244">
        <f t="shared" si="3"/>
        <v>0.06207594984</v>
      </c>
      <c r="I138" s="266">
        <f t="shared" si="4"/>
        <v>0.6719118378</v>
      </c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  <c r="AH138" s="217"/>
      <c r="AI138" s="217"/>
      <c r="AJ138" s="217"/>
      <c r="AK138" s="217"/>
      <c r="AL138" s="217"/>
      <c r="AM138" s="149"/>
    </row>
    <row r="139" ht="22.5" customHeight="1">
      <c r="A139" s="217"/>
      <c r="B139" s="263">
        <f>IF(ARBITRAGES!E160=0,"",ARBITRAGES!E160)</f>
        <v>45922</v>
      </c>
      <c r="C139" s="231">
        <f t="shared" si="11"/>
        <v>37467.52166</v>
      </c>
      <c r="D139" s="264">
        <f>IF(F139="","",PRIX!B160)</f>
        <v>113000</v>
      </c>
      <c r="E139" s="264">
        <f t="shared" si="9"/>
        <v>67203.64995</v>
      </c>
      <c r="F139" s="242">
        <f>IF(B139="","",PRIX!B160*$Q$6+$R$6*PRIX!C160+PRIX!D160*$S$6+$T$6*PRIX!E160+PRIX!F160*$U$6+PRIX!G160*$V$6+$W$6*PRIX!H160+PRIX!I160*$X$6)</f>
        <v>56209.48784</v>
      </c>
      <c r="G139" s="270">
        <f>IF(B139="","",'Historique détail'!U159)</f>
        <v>60659.23884</v>
      </c>
      <c r="H139" s="244">
        <f t="shared" si="3"/>
        <v>0.07916369949</v>
      </c>
      <c r="I139" s="266">
        <f t="shared" si="4"/>
        <v>0.6189818851</v>
      </c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  <c r="AH139" s="217"/>
      <c r="AI139" s="217"/>
      <c r="AJ139" s="217"/>
      <c r="AK139" s="217"/>
      <c r="AL139" s="217"/>
      <c r="AM139" s="149"/>
    </row>
    <row r="140" ht="22.5" customHeight="1">
      <c r="A140" s="217"/>
      <c r="B140" s="263">
        <f>IF(ARBITRAGES!E161=0,"",ARBITRAGES!E161)</f>
        <v>45923</v>
      </c>
      <c r="C140" s="231">
        <f t="shared" si="11"/>
        <v>37467.52166</v>
      </c>
      <c r="D140" s="264">
        <f>IF(F140="","",PRIX!B161)</f>
        <v>113000</v>
      </c>
      <c r="E140" s="264">
        <f t="shared" si="9"/>
        <v>67203.64995</v>
      </c>
      <c r="F140" s="242">
        <f>IF(B140="","",PRIX!B161*$Q$6+$R$6*PRIX!C161+PRIX!D161*$S$6+$T$6*PRIX!E161+PRIX!F161*$U$6+PRIX!G161*$V$6+$W$6*PRIX!H161+PRIX!I161*$X$6)</f>
        <v>56209.48784</v>
      </c>
      <c r="G140" s="270">
        <f>IF(B140="","",'Historique détail'!U160)</f>
        <v>60664.44284</v>
      </c>
      <c r="H140" s="244">
        <f t="shared" si="3"/>
        <v>0.07925628173</v>
      </c>
      <c r="I140" s="266">
        <f t="shared" si="4"/>
        <v>0.6191207787</v>
      </c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  <c r="AH140" s="217"/>
      <c r="AI140" s="217"/>
      <c r="AJ140" s="217"/>
      <c r="AK140" s="217"/>
      <c r="AL140" s="217"/>
      <c r="AM140" s="149"/>
    </row>
    <row r="141" ht="22.5" customHeight="1">
      <c r="A141" s="217"/>
      <c r="B141" s="263">
        <f>IF(ARBITRAGES!E162=0,"",ARBITRAGES!E162)</f>
        <v>45924</v>
      </c>
      <c r="C141" s="231">
        <f t="shared" si="11"/>
        <v>37467.52166</v>
      </c>
      <c r="D141" s="264">
        <f>IF(F141="","",PRIX!B162)</f>
        <v>111500</v>
      </c>
      <c r="E141" s="264">
        <f t="shared" si="9"/>
        <v>66311.5661</v>
      </c>
      <c r="F141" s="242">
        <f>IF(B141="","",PRIX!B162*$Q$6+$R$6*PRIX!C162+PRIX!D162*$S$6+$T$6*PRIX!E162+PRIX!F162*$U$6+PRIX!G162*$V$6+$W$6*PRIX!H162+PRIX!I162*$X$6)</f>
        <v>54527.35087</v>
      </c>
      <c r="G141" s="270">
        <f>IF(B141="","",'Historique détail'!U161)</f>
        <v>59207.2624</v>
      </c>
      <c r="H141" s="244">
        <f t="shared" si="3"/>
        <v>0.08582686393</v>
      </c>
      <c r="I141" s="266">
        <f t="shared" si="4"/>
        <v>0.5802289498</v>
      </c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  <c r="AH141" s="217"/>
      <c r="AI141" s="217"/>
      <c r="AJ141" s="217"/>
      <c r="AK141" s="217"/>
      <c r="AL141" s="217"/>
      <c r="AM141" s="149"/>
    </row>
    <row r="142" ht="22.5" customHeight="1">
      <c r="A142" s="217"/>
      <c r="B142" s="263">
        <f>IF(ARBITRAGES!E163=0,"",ARBITRAGES!E163)</f>
        <v>45925</v>
      </c>
      <c r="C142" s="231">
        <f t="shared" si="11"/>
        <v>37467.52166</v>
      </c>
      <c r="D142" s="264">
        <f>IF(F142="","",PRIX!B163)</f>
        <v>111500</v>
      </c>
      <c r="E142" s="264">
        <f t="shared" si="9"/>
        <v>66311.5661</v>
      </c>
      <c r="F142" s="242">
        <f>IF(B142="","",PRIX!B163*$Q$6+$R$6*PRIX!C163+PRIX!D163*$S$6+$T$6*PRIX!E163+PRIX!F163*$U$6+PRIX!G163*$V$6+$W$6*PRIX!H163+PRIX!I163*$X$6)</f>
        <v>54527.35087</v>
      </c>
      <c r="G142" s="270">
        <f>IF(B142="","",'Historique détail'!U162)</f>
        <v>59207.9944</v>
      </c>
      <c r="H142" s="244">
        <f t="shared" si="3"/>
        <v>0.08584028839</v>
      </c>
      <c r="I142" s="266">
        <f t="shared" si="4"/>
        <v>0.5802484867</v>
      </c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  <c r="AH142" s="217"/>
      <c r="AI142" s="217"/>
      <c r="AJ142" s="217"/>
      <c r="AK142" s="217"/>
      <c r="AL142" s="217"/>
      <c r="AM142" s="149"/>
    </row>
    <row r="143" ht="22.5" customHeight="1">
      <c r="A143" s="217"/>
      <c r="B143" s="263">
        <f>IF(ARBITRAGES!E164=0,"",ARBITRAGES!E164)</f>
        <v>45928</v>
      </c>
      <c r="C143" s="231">
        <f t="shared" si="11"/>
        <v>37467.52166</v>
      </c>
      <c r="D143" s="264">
        <f>IF(F143="","",PRIX!B164)</f>
        <v>110000</v>
      </c>
      <c r="E143" s="264">
        <f t="shared" si="9"/>
        <v>65419.48225</v>
      </c>
      <c r="F143" s="242">
        <f>IF(B143="","",PRIX!B164*$Q$6+$R$6*PRIX!C164+PRIX!D164*$S$6+$T$6*PRIX!E164+PRIX!F164*$U$6+PRIX!G164*$V$6+$W$6*PRIX!H164+PRIX!I164*$X$6)</f>
        <v>54024.27915</v>
      </c>
      <c r="G143" s="270">
        <f>IF(B143="","",'Historique détail'!U163)</f>
        <v>58803.84076</v>
      </c>
      <c r="H143" s="244">
        <f t="shared" si="3"/>
        <v>0.08847062259</v>
      </c>
      <c r="I143" s="266">
        <f t="shared" si="4"/>
        <v>0.5694617142</v>
      </c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  <c r="AH143" s="217"/>
      <c r="AI143" s="217"/>
      <c r="AJ143" s="217"/>
      <c r="AK143" s="217"/>
      <c r="AL143" s="217"/>
      <c r="AM143" s="149"/>
    </row>
    <row r="144" ht="22.5" customHeight="1">
      <c r="A144" s="217"/>
      <c r="B144" s="263">
        <f>IF(ARBITRAGES!E165=0,"",ARBITRAGES!E165)</f>
        <v>45905</v>
      </c>
      <c r="C144" s="231">
        <f t="shared" si="11"/>
        <v>37467.52166</v>
      </c>
      <c r="D144" s="264">
        <f>IF(F144="","",PRIX!B165)</f>
        <v>123156</v>
      </c>
      <c r="E144" s="264">
        <f t="shared" si="9"/>
        <v>73243.65233</v>
      </c>
      <c r="F144" s="242">
        <f>IF(B144="","",PRIX!B165*$Q$6+$R$6*PRIX!C165+PRIX!D165*$S$6+$T$6*PRIX!E165+PRIX!F165*$U$6+PRIX!G165*$V$6+$W$6*PRIX!H165+PRIX!I165*$X$6)</f>
        <v>60583.69916</v>
      </c>
      <c r="G144" s="270">
        <f>IF(B144="","",'Historique détail'!U164)</f>
        <v>63770.45958</v>
      </c>
      <c r="H144" s="244">
        <f t="shared" si="3"/>
        <v>0.05260095483</v>
      </c>
      <c r="I144" s="266">
        <f t="shared" si="4"/>
        <v>0.7020196896</v>
      </c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149"/>
    </row>
    <row r="145" ht="22.5" customHeight="1">
      <c r="A145" s="217"/>
      <c r="B145" s="263">
        <f>IF(ARBITRAGES!E166=0,"",ARBITRAGES!E166)</f>
        <v>45939</v>
      </c>
      <c r="C145" s="231">
        <f t="shared" si="11"/>
        <v>37467.52166</v>
      </c>
      <c r="D145" s="264">
        <f>IF(F145="","",PRIX!B166)</f>
        <v>122000</v>
      </c>
      <c r="E145" s="264">
        <f t="shared" si="9"/>
        <v>72556.15305</v>
      </c>
      <c r="F145" s="242">
        <f>IF(B145="","",PRIX!B166*$Q$6+$R$6*PRIX!C166+PRIX!D166*$S$6+$T$6*PRIX!E166+PRIX!F166*$U$6+PRIX!G166*$V$6+$W$6*PRIX!H166+PRIX!I166*$X$6)</f>
        <v>59662.63611</v>
      </c>
      <c r="G145" s="270">
        <f>IF(B145="","",'Historique détail'!U165)</f>
        <v>63789.16448</v>
      </c>
      <c r="H145" s="244">
        <f t="shared" si="3"/>
        <v>0.06916436545</v>
      </c>
      <c r="I145" s="266">
        <f t="shared" si="4"/>
        <v>0.7025189194</v>
      </c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  <c r="AH145" s="217"/>
      <c r="AI145" s="217"/>
      <c r="AJ145" s="217"/>
      <c r="AK145" s="217"/>
      <c r="AL145" s="217"/>
      <c r="AM145" s="149"/>
    </row>
    <row r="146" ht="22.5" customHeight="1">
      <c r="A146" s="217"/>
      <c r="B146" s="263">
        <f>IF(ARBITRAGES!E167=0,"",ARBITRAGES!E167)</f>
        <v>45939</v>
      </c>
      <c r="C146" s="231">
        <f t="shared" si="11"/>
        <v>37467.52166</v>
      </c>
      <c r="D146" s="264">
        <f>IF(F146="","",PRIX!B167)</f>
        <v>122000</v>
      </c>
      <c r="E146" s="264">
        <f t="shared" si="9"/>
        <v>72556.15305</v>
      </c>
      <c r="F146" s="242">
        <f>IF(B146="","",PRIX!B167*$Q$6+$R$6*PRIX!C167+PRIX!D167*$S$6+$T$6*PRIX!E167+PRIX!F167*$U$6+PRIX!G167*$V$6+$W$6*PRIX!H167+PRIX!I167*$X$6)</f>
        <v>59662.63611</v>
      </c>
      <c r="G146" s="270">
        <f>IF(B146="","",'Historique détail'!U166)</f>
        <v>63791.66448</v>
      </c>
      <c r="H146" s="244">
        <f t="shared" si="3"/>
        <v>0.06920626772</v>
      </c>
      <c r="I146" s="266">
        <f t="shared" si="4"/>
        <v>0.7025856439</v>
      </c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  <c r="AH146" s="217"/>
      <c r="AI146" s="217"/>
      <c r="AJ146" s="217"/>
      <c r="AK146" s="217"/>
      <c r="AL146" s="217"/>
      <c r="AM146" s="149"/>
    </row>
    <row r="147" ht="22.5" customHeight="1">
      <c r="A147" s="217"/>
      <c r="B147" s="263">
        <f>IF(ARBITRAGES!E168=0,"",ARBITRAGES!E168)</f>
        <v>45940</v>
      </c>
      <c r="C147" s="231">
        <f t="shared" si="11"/>
        <v>37467.52166</v>
      </c>
      <c r="D147" s="264">
        <f>IF(F147="","",PRIX!B168)</f>
        <v>122000</v>
      </c>
      <c r="E147" s="264">
        <f t="shared" si="9"/>
        <v>72556.15305</v>
      </c>
      <c r="F147" s="242">
        <f>IF(B147="","",PRIX!B168*$Q$6+$R$6*PRIX!C168+PRIX!D168*$S$6+$T$6*PRIX!E168+PRIX!F168*$U$6+PRIX!G168*$V$6+$W$6*PRIX!H168+PRIX!I168*$X$6)</f>
        <v>59662.63611</v>
      </c>
      <c r="G147" s="270">
        <f>IF(B147="","",'Historique détail'!U167)</f>
        <v>63023.16419</v>
      </c>
      <c r="H147" s="244">
        <f t="shared" si="3"/>
        <v>0.05632550449</v>
      </c>
      <c r="I147" s="266">
        <f t="shared" si="4"/>
        <v>0.6820745384</v>
      </c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  <c r="AH147" s="217"/>
      <c r="AI147" s="217"/>
      <c r="AJ147" s="217"/>
      <c r="AK147" s="217"/>
      <c r="AL147" s="217"/>
      <c r="AM147" s="149"/>
    </row>
    <row r="148" ht="22.5" customHeight="1">
      <c r="A148" s="217"/>
      <c r="B148" s="263">
        <f>IF(ARBITRAGES!E169=0,"",ARBITRAGES!E169)</f>
        <v>45941</v>
      </c>
      <c r="C148" s="231">
        <f t="shared" si="11"/>
        <v>37467.52166</v>
      </c>
      <c r="D148" s="264">
        <f>IF(F148="","",PRIX!B169)</f>
        <v>112500</v>
      </c>
      <c r="E148" s="264">
        <f t="shared" si="9"/>
        <v>66906.28867</v>
      </c>
      <c r="F148" s="242">
        <f>IF(B148="","",PRIX!B169*$Q$6+$R$6*PRIX!C169+PRIX!D169*$S$6+$T$6*PRIX!E169+PRIX!F169*$U$6+PRIX!G169*$V$6+$W$6*PRIX!H169+PRIX!I169*$X$6)</f>
        <v>53161.16048</v>
      </c>
      <c r="G148" s="270">
        <f>IF(B148="","",'Historique détail'!U168)</f>
        <v>57331.98588</v>
      </c>
      <c r="H148" s="244">
        <f t="shared" si="3"/>
        <v>0.07845625196</v>
      </c>
      <c r="I148" s="266">
        <f t="shared" si="4"/>
        <v>0.5301782277</v>
      </c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  <c r="AH148" s="217"/>
      <c r="AI148" s="217"/>
      <c r="AJ148" s="217"/>
      <c r="AK148" s="217"/>
      <c r="AL148" s="217"/>
      <c r="AM148" s="149"/>
    </row>
    <row r="149" ht="22.5" customHeight="1">
      <c r="A149" s="217"/>
      <c r="B149" s="263">
        <f>IF(ARBITRAGES!E170=0,"",ARBITRAGES!E170)</f>
        <v>45941</v>
      </c>
      <c r="C149" s="231">
        <f t="shared" si="11"/>
        <v>37467.52166</v>
      </c>
      <c r="D149" s="264">
        <f>IF(F149="","",PRIX!B170)</f>
        <v>115000</v>
      </c>
      <c r="E149" s="264">
        <f t="shared" si="9"/>
        <v>68393.09508</v>
      </c>
      <c r="F149" s="242">
        <f>IF(B149="","",PRIX!B170*$Q$6+$R$6*PRIX!C170+PRIX!D170*$S$6+$T$6*PRIX!E170+PRIX!F170*$U$6+PRIX!G170*$V$6+$W$6*PRIX!H170+PRIX!I170*$X$6)</f>
        <v>56011.75802</v>
      </c>
      <c r="G149" s="270">
        <f>IF(B149="","",'Historique détail'!U169)</f>
        <v>60267.14169</v>
      </c>
      <c r="H149" s="244">
        <f t="shared" si="3"/>
        <v>0.07597304244</v>
      </c>
      <c r="I149" s="266">
        <f t="shared" si="4"/>
        <v>0.6085168976</v>
      </c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  <c r="AH149" s="217"/>
      <c r="AI149" s="217"/>
      <c r="AJ149" s="217"/>
      <c r="AK149" s="217"/>
      <c r="AL149" s="217"/>
      <c r="AM149" s="149"/>
    </row>
    <row r="150" ht="22.5" customHeight="1">
      <c r="A150" s="217"/>
      <c r="B150" s="263">
        <f>IF(ARBITRAGES!E171=0,"",ARBITRAGES!E171)</f>
        <v>45942</v>
      </c>
      <c r="C150" s="231">
        <f t="shared" si="11"/>
        <v>37467.52166</v>
      </c>
      <c r="D150" s="264">
        <f>IF(F150="","",PRIX!B171)</f>
        <v>115000</v>
      </c>
      <c r="E150" s="264">
        <f t="shared" si="9"/>
        <v>68393.09508</v>
      </c>
      <c r="F150" s="242">
        <f>IF(B150="","",PRIX!B171*$Q$6+$R$6*PRIX!C171+PRIX!D171*$S$6+$T$6*PRIX!E171+PRIX!F171*$U$6+PRIX!G171*$V$6+$W$6*PRIX!H171+PRIX!I171*$X$6)</f>
        <v>56011.75802</v>
      </c>
      <c r="G150" s="270">
        <f>IF(B150="","",'Historique détail'!U170)</f>
        <v>60279.58169</v>
      </c>
      <c r="H150" s="244">
        <f t="shared" si="3"/>
        <v>0.07619513867</v>
      </c>
      <c r="I150" s="266">
        <f t="shared" si="4"/>
        <v>0.6088489185</v>
      </c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  <c r="AH150" s="217"/>
      <c r="AI150" s="217"/>
      <c r="AJ150" s="217"/>
      <c r="AK150" s="217"/>
      <c r="AL150" s="217"/>
      <c r="AM150" s="149"/>
    </row>
    <row r="151" ht="22.5" customHeight="1">
      <c r="A151" s="217"/>
      <c r="B151" s="263">
        <f>IF(ARBITRAGES!E172=0,"",ARBITRAGES!E172)</f>
        <v>45945</v>
      </c>
      <c r="C151" s="231">
        <f t="shared" si="11"/>
        <v>37467.52166</v>
      </c>
      <c r="D151" s="264">
        <f>IF(F151="","",PRIX!B172)</f>
        <v>111111</v>
      </c>
      <c r="E151" s="264">
        <f t="shared" si="9"/>
        <v>66080.21903</v>
      </c>
      <c r="F151" s="242">
        <f>IF(B151="","",PRIX!B172*$Q$6+$R$6*PRIX!C172+PRIX!D172*$S$6+$T$6*PRIX!E172+PRIX!F172*$U$6+PRIX!G172*$V$6+$W$6*PRIX!H172+PRIX!I172*$X$6)</f>
        <v>54118.32902</v>
      </c>
      <c r="G151" s="270">
        <f>IF(B151="","",'Historique détail'!U171)</f>
        <v>58802.78132</v>
      </c>
      <c r="H151" s="244">
        <f t="shared" si="3"/>
        <v>0.08655944073</v>
      </c>
      <c r="I151" s="266">
        <f t="shared" si="4"/>
        <v>0.5694334378</v>
      </c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  <c r="AH151" s="217"/>
      <c r="AI151" s="217"/>
      <c r="AJ151" s="217"/>
      <c r="AK151" s="217"/>
      <c r="AL151" s="217"/>
      <c r="AM151" s="149"/>
    </row>
    <row r="152" ht="22.5" customHeight="1">
      <c r="A152" s="217"/>
      <c r="B152" s="263">
        <f>IF(ARBITRAGES!E173=0,"",ARBITRAGES!E173)</f>
        <v>45949</v>
      </c>
      <c r="C152" s="231">
        <f t="shared" si="11"/>
        <v>37467.52166</v>
      </c>
      <c r="D152" s="264">
        <f>IF(F152="","",PRIX!B173)</f>
        <v>111500</v>
      </c>
      <c r="E152" s="264">
        <f t="shared" si="9"/>
        <v>66311.5661</v>
      </c>
      <c r="F152" s="242">
        <f>IF(B152="","",PRIX!B173*$Q$6+$R$6*PRIX!C173+PRIX!D173*$S$6+$T$6*PRIX!E173+PRIX!F173*$U$6+PRIX!G173*$V$6+$W$6*PRIX!H173+PRIX!I173*$X$6)</f>
        <v>54611.22529</v>
      </c>
      <c r="G152" s="270">
        <f>IF(B152="","",'Historique détail'!U172)</f>
        <v>59403.42487</v>
      </c>
      <c r="H152" s="244">
        <f t="shared" si="3"/>
        <v>0.08775118211</v>
      </c>
      <c r="I152" s="266">
        <f t="shared" si="4"/>
        <v>0.5854644835</v>
      </c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  <c r="AH152" s="217"/>
      <c r="AI152" s="217"/>
      <c r="AJ152" s="217"/>
      <c r="AK152" s="217"/>
      <c r="AL152" s="217"/>
      <c r="AM152" s="149"/>
    </row>
    <row r="153" ht="22.5" customHeight="1">
      <c r="A153" s="217"/>
      <c r="B153" s="263">
        <f>IF(ARBITRAGES!E174=0,"",ARBITRAGES!E174)</f>
        <v>45950</v>
      </c>
      <c r="C153" s="231">
        <f t="shared" si="11"/>
        <v>37467.52166</v>
      </c>
      <c r="D153" s="264">
        <f>IF(F153="","",PRIX!B174)</f>
        <v>111500</v>
      </c>
      <c r="E153" s="264">
        <f t="shared" si="9"/>
        <v>66311.5661</v>
      </c>
      <c r="F153" s="242">
        <f>IF(B153="","",PRIX!B174*$Q$6+$R$6*PRIX!C174+PRIX!D174*$S$6+$T$6*PRIX!E174+PRIX!F174*$U$6+PRIX!G174*$V$6+$W$6*PRIX!H174+PRIX!I174*$X$6)</f>
        <v>54611.22529</v>
      </c>
      <c r="G153" s="270">
        <f>IF(B153="","",'Historique détail'!U173)</f>
        <v>59404.42487</v>
      </c>
      <c r="H153" s="244">
        <f t="shared" si="3"/>
        <v>0.08776949336</v>
      </c>
      <c r="I153" s="266">
        <f t="shared" si="4"/>
        <v>0.5854911733</v>
      </c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  <c r="AH153" s="217"/>
      <c r="AI153" s="217"/>
      <c r="AJ153" s="217"/>
      <c r="AK153" s="217"/>
      <c r="AL153" s="217"/>
      <c r="AM153" s="149"/>
    </row>
    <row r="154" ht="22.5" customHeight="1">
      <c r="A154" s="217"/>
      <c r="B154" s="263">
        <f>IF(ARBITRAGES!E175=0,"",ARBITRAGES!E175)</f>
        <v>45952</v>
      </c>
      <c r="C154" s="231">
        <f t="shared" si="11"/>
        <v>37467.52166</v>
      </c>
      <c r="D154" s="264">
        <f>IF(F154="","",PRIX!B175)</f>
        <v>108200</v>
      </c>
      <c r="E154" s="264">
        <f t="shared" si="9"/>
        <v>64348.98164</v>
      </c>
      <c r="F154" s="242">
        <f>IF(B154="","",PRIX!B175*$Q$6+$R$6*PRIX!C175+PRIX!D175*$S$6+$T$6*PRIX!E175+PRIX!F175*$U$6+PRIX!G175*$V$6+$W$6*PRIX!H175+PRIX!I175*$X$6)</f>
        <v>52269.48385</v>
      </c>
      <c r="G154" s="270">
        <f>IF(B154="","",'Historique détail'!U174)</f>
        <v>57209.62094</v>
      </c>
      <c r="H154" s="244">
        <f t="shared" si="3"/>
        <v>0.0945128347</v>
      </c>
      <c r="I154" s="266">
        <f t="shared" si="4"/>
        <v>0.5269123339</v>
      </c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  <c r="AH154" s="217"/>
      <c r="AI154" s="217"/>
      <c r="AJ154" s="217"/>
      <c r="AK154" s="217"/>
      <c r="AL154" s="217"/>
      <c r="AM154" s="149"/>
    </row>
    <row r="155" ht="22.5" customHeight="1">
      <c r="A155" s="217"/>
      <c r="B155" s="263">
        <f>IF(ARBITRAGES!E176=0,"",ARBITRAGES!E176)</f>
        <v>45953</v>
      </c>
      <c r="C155" s="231">
        <f t="shared" si="11"/>
        <v>37467.52166</v>
      </c>
      <c r="D155" s="264">
        <f>IF(F155="","",PRIX!B176)</f>
        <v>110500</v>
      </c>
      <c r="E155" s="264">
        <f t="shared" si="9"/>
        <v>65716.84354</v>
      </c>
      <c r="F155" s="242">
        <f>IF(B155="","",PRIX!B176*$Q$6+$R$6*PRIX!C176+PRIX!D176*$S$6+$T$6*PRIX!E176+PRIX!F176*$U$6+PRIX!G176*$V$6+$W$6*PRIX!H176+PRIX!I176*$X$6)</f>
        <v>53216.70275</v>
      </c>
      <c r="G155" s="270">
        <f>IF(B155="","",'Historique détail'!U175)</f>
        <v>57908.82315</v>
      </c>
      <c r="H155" s="244">
        <f t="shared" si="3"/>
        <v>0.08817007001</v>
      </c>
      <c r="I155" s="266">
        <f t="shared" si="4"/>
        <v>0.5455738889</v>
      </c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  <c r="AH155" s="217"/>
      <c r="AI155" s="217"/>
      <c r="AJ155" s="217"/>
      <c r="AK155" s="217"/>
      <c r="AL155" s="217"/>
      <c r="AM155" s="149"/>
    </row>
    <row r="156" ht="22.5" customHeight="1">
      <c r="A156" s="217"/>
      <c r="B156" s="263">
        <f>IF(ARBITRAGES!E177=0,"",ARBITRAGES!E177)</f>
        <v>45957</v>
      </c>
      <c r="C156" s="231">
        <f t="shared" si="11"/>
        <v>37467.52166</v>
      </c>
      <c r="D156" s="264">
        <f>IF(F156="","",PRIX!B177)</f>
        <v>114500</v>
      </c>
      <c r="E156" s="264">
        <f t="shared" si="9"/>
        <v>68095.7338</v>
      </c>
      <c r="F156" s="242">
        <f>IF(B156="","",PRIX!B177*$Q$6+$R$6*PRIX!C177+PRIX!D177*$S$6+$T$6*PRIX!E177+PRIX!F177*$U$6+PRIX!G177*$V$6+$W$6*PRIX!H177+PRIX!I177*$X$6)</f>
        <v>55782.40668</v>
      </c>
      <c r="G156" s="270">
        <f>IF(B156="","",'Historique détail'!U176)</f>
        <v>60211.62415</v>
      </c>
      <c r="H156" s="244">
        <f t="shared" si="3"/>
        <v>0.07940169195</v>
      </c>
      <c r="I156" s="266">
        <f t="shared" si="4"/>
        <v>0.6070351465</v>
      </c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  <c r="AH156" s="217"/>
      <c r="AI156" s="217"/>
      <c r="AJ156" s="217"/>
      <c r="AK156" s="217"/>
      <c r="AL156" s="217"/>
      <c r="AM156" s="149"/>
    </row>
    <row r="157" ht="22.5" customHeight="1">
      <c r="A157" s="217"/>
      <c r="B157" s="263">
        <f>IF(ARBITRAGES!E178=0,"",ARBITRAGES!E178)</f>
        <v>45957</v>
      </c>
      <c r="C157" s="231">
        <f t="shared" si="11"/>
        <v>37467.52166</v>
      </c>
      <c r="D157" s="264">
        <f>IF(F157="","",PRIX!B178)</f>
        <v>114500</v>
      </c>
      <c r="E157" s="264">
        <f t="shared" si="9"/>
        <v>68095.7338</v>
      </c>
      <c r="F157" s="242">
        <f>IF(B157="","",PRIX!B178*$Q$6+$R$6*PRIX!C178+PRIX!D178*$S$6+$T$6*PRIX!E178+PRIX!F178*$U$6+PRIX!G178*$V$6+$W$6*PRIX!H178+PRIX!I178*$X$6)</f>
        <v>55782.40668</v>
      </c>
      <c r="G157" s="270">
        <f>IF(B157="","",'Historique détail'!U177)</f>
        <v>60206.62415</v>
      </c>
      <c r="H157" s="244">
        <f t="shared" si="3"/>
        <v>0.07931205795</v>
      </c>
      <c r="I157" s="266">
        <f t="shared" si="4"/>
        <v>0.6069016976</v>
      </c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  <c r="AH157" s="217"/>
      <c r="AI157" s="217"/>
      <c r="AJ157" s="217"/>
      <c r="AK157" s="217"/>
      <c r="AL157" s="217"/>
      <c r="AM157" s="149"/>
    </row>
    <row r="158" ht="22.5" customHeight="1">
      <c r="A158" s="217"/>
      <c r="B158" s="263">
        <f>IF(ARBITRAGES!E179=0,"",ARBITRAGES!E179)</f>
        <v>45958</v>
      </c>
      <c r="C158" s="231">
        <f t="shared" si="11"/>
        <v>37467.52166</v>
      </c>
      <c r="D158" s="264">
        <f>IF(F158="","",PRIX!B179)</f>
        <v>114500</v>
      </c>
      <c r="E158" s="264">
        <f t="shared" si="9"/>
        <v>68095.7338</v>
      </c>
      <c r="F158" s="242">
        <f>IF(B158="","",PRIX!B179*$Q$6+$R$6*PRIX!C179+PRIX!D179*$S$6+$T$6*PRIX!E179+PRIX!F179*$U$6+PRIX!G179*$V$6+$W$6*PRIX!H179+PRIX!I179*$X$6)</f>
        <v>55782.40668</v>
      </c>
      <c r="G158" s="270">
        <f>IF(B158="","",'Historique détail'!U178)</f>
        <v>60237.52415</v>
      </c>
      <c r="H158" s="244">
        <f t="shared" si="3"/>
        <v>0.07986599605</v>
      </c>
      <c r="I158" s="266">
        <f t="shared" si="4"/>
        <v>0.6077264118</v>
      </c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  <c r="AH158" s="217"/>
      <c r="AI158" s="217"/>
      <c r="AJ158" s="217"/>
      <c r="AK158" s="217"/>
      <c r="AL158" s="217"/>
      <c r="AM158" s="149"/>
    </row>
    <row r="159" ht="22.5" customHeight="1">
      <c r="A159" s="217"/>
      <c r="B159" s="263">
        <f>IF(ARBITRAGES!E180=0,"",ARBITRAGES!E180)</f>
        <v>45960</v>
      </c>
      <c r="C159" s="231">
        <f t="shared" si="11"/>
        <v>37467.52166</v>
      </c>
      <c r="D159" s="264">
        <f>IF(F159="","",PRIX!B180)</f>
        <v>111000</v>
      </c>
      <c r="E159" s="264">
        <f t="shared" si="9"/>
        <v>66014.20482</v>
      </c>
      <c r="F159" s="242">
        <f>IF(B159="","",PRIX!B180*$Q$6+$R$6*PRIX!C180+PRIX!D180*$S$6+$T$6*PRIX!E180+PRIX!F180*$U$6+PRIX!G180*$V$6+$W$6*PRIX!H180+PRIX!I180*$X$6)</f>
        <v>53810.515</v>
      </c>
      <c r="G159" s="270">
        <f>IF(B159="","",'Historique détail'!U179)</f>
        <v>58892.85713</v>
      </c>
      <c r="H159" s="244">
        <f t="shared" si="3"/>
        <v>0.09444886622</v>
      </c>
      <c r="I159" s="266">
        <f t="shared" si="4"/>
        <v>0.5718375418</v>
      </c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  <c r="AH159" s="217"/>
      <c r="AI159" s="217"/>
      <c r="AJ159" s="217"/>
      <c r="AK159" s="217"/>
      <c r="AL159" s="217"/>
      <c r="AM159" s="149"/>
    </row>
    <row r="160" ht="22.5" customHeight="1">
      <c r="A160" s="217"/>
      <c r="B160" s="263">
        <f>IF(ARBITRAGES!E181=0,"",ARBITRAGES!E181)</f>
        <v>45961</v>
      </c>
      <c r="C160" s="231">
        <f t="shared" si="11"/>
        <v>37467.52166</v>
      </c>
      <c r="D160" s="264">
        <f>IF(F160="","",PRIX!B181)</f>
        <v>111000</v>
      </c>
      <c r="E160" s="264">
        <f t="shared" si="9"/>
        <v>66014.20482</v>
      </c>
      <c r="F160" s="242">
        <f>IF(B160="","",PRIX!B181*$Q$6+$R$6*PRIX!C181+PRIX!D181*$S$6+$T$6*PRIX!E181+PRIX!F181*$U$6+PRIX!G181*$V$6+$W$6*PRIX!H181+PRIX!I181*$X$6)</f>
        <v>53810.515</v>
      </c>
      <c r="G160" s="270">
        <f>IF(B160="","",'Historique détail'!U180)</f>
        <v>58886.30713</v>
      </c>
      <c r="H160" s="244">
        <f t="shared" si="3"/>
        <v>0.0943271428</v>
      </c>
      <c r="I160" s="266">
        <f t="shared" si="4"/>
        <v>0.5716627237</v>
      </c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  <c r="AH160" s="217"/>
      <c r="AI160" s="217"/>
      <c r="AJ160" s="217"/>
      <c r="AK160" s="217"/>
      <c r="AL160" s="217"/>
      <c r="AM160" s="149"/>
    </row>
    <row r="161" ht="22.5" customHeight="1">
      <c r="A161" s="217"/>
      <c r="B161" s="263">
        <f>IF(ARBITRAGES!E182=0,"",ARBITRAGES!E182)</f>
        <v>45961</v>
      </c>
      <c r="C161" s="231">
        <f t="shared" si="11"/>
        <v>37467.52166</v>
      </c>
      <c r="D161" s="264">
        <f>IF(F161="","",PRIX!B182)</f>
        <v>111000</v>
      </c>
      <c r="E161" s="264">
        <f t="shared" si="9"/>
        <v>66014.20482</v>
      </c>
      <c r="F161" s="242">
        <f>IF(B161="","",PRIX!B182*$Q$6+$R$6*PRIX!C182+PRIX!D182*$S$6+$T$6*PRIX!E182+PRIX!F182*$U$6+PRIX!G182*$V$6+$W$6*PRIX!H182+PRIX!I182*$X$6)</f>
        <v>53810.515</v>
      </c>
      <c r="G161" s="270">
        <f>IF(B161="","",'Historique détail'!U181)</f>
        <v>58907.25713</v>
      </c>
      <c r="H161" s="244">
        <f t="shared" si="3"/>
        <v>0.09471647191</v>
      </c>
      <c r="I161" s="266">
        <f t="shared" si="4"/>
        <v>0.5722218746</v>
      </c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  <c r="AH161" s="217"/>
      <c r="AI161" s="217"/>
      <c r="AJ161" s="217"/>
      <c r="AK161" s="217"/>
      <c r="AL161" s="217"/>
      <c r="AM161" s="149"/>
    </row>
    <row r="162" ht="22.5" customHeight="1">
      <c r="A162" s="217"/>
      <c r="B162" s="263">
        <f>IF(ARBITRAGES!E183=0,"",ARBITRAGES!E183)</f>
        <v>45962</v>
      </c>
      <c r="C162" s="231">
        <f t="shared" si="11"/>
        <v>37467.52166</v>
      </c>
      <c r="D162" s="264">
        <f>IF(F162="","",PRIX!B183)</f>
        <v>110000</v>
      </c>
      <c r="E162" s="264">
        <f t="shared" si="9"/>
        <v>65419.48225</v>
      </c>
      <c r="F162" s="242">
        <f>IF(B162="","",PRIX!B183*$Q$6+$R$6*PRIX!C183+PRIX!D183*$S$6+$T$6*PRIX!E183+PRIX!F183*$U$6+PRIX!G183*$V$6+$W$6*PRIX!H183+PRIX!I183*$X$6)</f>
        <v>53780.41265</v>
      </c>
      <c r="G162" s="270">
        <f>IF(B162="","",'Historique détail'!U182)</f>
        <v>59046.03016</v>
      </c>
      <c r="H162" s="244">
        <f t="shared" si="3"/>
        <v>0.09790957821</v>
      </c>
      <c r="I162" s="266">
        <f t="shared" si="4"/>
        <v>0.5759256966</v>
      </c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  <c r="AH162" s="217"/>
      <c r="AI162" s="217"/>
      <c r="AJ162" s="217"/>
      <c r="AK162" s="217"/>
      <c r="AL162" s="217"/>
      <c r="AM162" s="149"/>
    </row>
    <row r="163" ht="22.5" customHeight="1">
      <c r="A163" s="217"/>
      <c r="B163" s="263">
        <f>IF(ARBITRAGES!E184=0,"",ARBITRAGES!E184)</f>
        <v>45963</v>
      </c>
      <c r="C163" s="231">
        <f t="shared" si="11"/>
        <v>37467.52166</v>
      </c>
      <c r="D163" s="264">
        <f>IF(F163="","",PRIX!B184)</f>
        <v>110000</v>
      </c>
      <c r="E163" s="264">
        <f t="shared" si="9"/>
        <v>65419.48225</v>
      </c>
      <c r="F163" s="242">
        <f>IF(B163="","",PRIX!B184*$Q$6+$R$6*PRIX!C184+PRIX!D184*$S$6+$T$6*PRIX!E184+PRIX!F184*$U$6+PRIX!G184*$V$6+$W$6*PRIX!H184+PRIX!I184*$X$6)</f>
        <v>53780.41265</v>
      </c>
      <c r="G163" s="270">
        <f>IF(B163="","",'Historique détail'!U183)</f>
        <v>59050.75837</v>
      </c>
      <c r="H163" s="244">
        <f t="shared" si="3"/>
        <v>0.09799749508</v>
      </c>
      <c r="I163" s="266">
        <f t="shared" si="4"/>
        <v>0.5760518914</v>
      </c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  <c r="AH163" s="217"/>
      <c r="AI163" s="217"/>
      <c r="AJ163" s="217"/>
      <c r="AK163" s="217"/>
      <c r="AL163" s="217"/>
      <c r="AM163" s="149"/>
    </row>
    <row r="164" ht="22.5" customHeight="1">
      <c r="A164" s="217"/>
      <c r="B164" s="263">
        <f>IF(ARBITRAGES!E185=0,"",ARBITRAGES!E185)</f>
        <v>45964</v>
      </c>
      <c r="C164" s="231">
        <f t="shared" si="11"/>
        <v>37467.52166</v>
      </c>
      <c r="D164" s="264">
        <f>IF(F164="","",PRIX!B185)</f>
        <v>100500</v>
      </c>
      <c r="E164" s="264">
        <f t="shared" si="9"/>
        <v>59769.61788</v>
      </c>
      <c r="F164" s="242">
        <f>IF(B164="","",PRIX!B185*$Q$6+$R$6*PRIX!C185+PRIX!D185*$S$6+$T$6*PRIX!E185+PRIX!F185*$U$6+PRIX!G185*$V$6+$W$6*PRIX!H185+PRIX!I185*$X$6)</f>
        <v>46842.50624</v>
      </c>
      <c r="G164" s="270">
        <f>IF(B164="","",'Historique détail'!U184)</f>
        <v>53780.20039</v>
      </c>
      <c r="H164" s="244">
        <f t="shared" si="3"/>
        <v>0.1481068096</v>
      </c>
      <c r="I164" s="266">
        <f t="shared" si="4"/>
        <v>0.4353818459</v>
      </c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  <c r="AH164" s="217"/>
      <c r="AI164" s="217"/>
      <c r="AJ164" s="217"/>
      <c r="AK164" s="217"/>
      <c r="AL164" s="217"/>
      <c r="AM164" s="149"/>
    </row>
    <row r="165" ht="22.5" customHeight="1">
      <c r="A165" s="217"/>
      <c r="B165" s="263">
        <f>IF(ARBITRAGES!E186=0,"",ARBITRAGES!E186)</f>
        <v>45964</v>
      </c>
      <c r="C165" s="231">
        <f t="shared" si="11"/>
        <v>37467.52166</v>
      </c>
      <c r="D165" s="264">
        <f>IF(F165="","",PRIX!B186)</f>
        <v>100500</v>
      </c>
      <c r="E165" s="264">
        <f t="shared" si="9"/>
        <v>59769.61788</v>
      </c>
      <c r="F165" s="242">
        <f>IF(B165="","",PRIX!B186*$Q$6+$R$6*PRIX!C186+PRIX!D186*$S$6+$T$6*PRIX!E186+PRIX!F186*$U$6+PRIX!G186*$V$6+$W$6*PRIX!H186+PRIX!I186*$X$6)</f>
        <v>46842.50624</v>
      </c>
      <c r="G165" s="270">
        <f>IF(B165="","",'Historique détail'!U185)</f>
        <v>53785.70314</v>
      </c>
      <c r="H165" s="244">
        <f t="shared" si="3"/>
        <v>0.1482242831</v>
      </c>
      <c r="I165" s="266">
        <f t="shared" si="4"/>
        <v>0.4355287131</v>
      </c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  <c r="AH165" s="217"/>
      <c r="AI165" s="217"/>
      <c r="AJ165" s="217"/>
      <c r="AK165" s="217"/>
      <c r="AL165" s="217"/>
      <c r="AM165" s="149"/>
    </row>
    <row r="166" ht="22.5" customHeight="1">
      <c r="A166" s="217"/>
      <c r="B166" s="263">
        <f>IF(ARBITRAGES!E187=0,"",ARBITRAGES!E187)</f>
        <v>45964</v>
      </c>
      <c r="C166" s="231">
        <f t="shared" si="11"/>
        <v>37467.52166</v>
      </c>
      <c r="D166" s="264">
        <f>IF(F166="","",PRIX!B187)</f>
        <v>100500</v>
      </c>
      <c r="E166" s="264">
        <f t="shared" si="9"/>
        <v>59769.61788</v>
      </c>
      <c r="F166" s="242">
        <f>IF(B166="","",PRIX!B187*$Q$6+$R$6*PRIX!C187+PRIX!D187*$S$6+$T$6*PRIX!E187+PRIX!F187*$U$6+PRIX!G187*$V$6+$W$6*PRIX!H187+PRIX!I187*$X$6)</f>
        <v>46842.50624</v>
      </c>
      <c r="G166" s="270">
        <f>IF(B166="","",'Historique détail'!U186)</f>
        <v>53798.70314</v>
      </c>
      <c r="H166" s="244">
        <f t="shared" si="3"/>
        <v>0.1485018088</v>
      </c>
      <c r="I166" s="266">
        <f t="shared" si="4"/>
        <v>0.4358756803</v>
      </c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  <c r="AH166" s="217"/>
      <c r="AI166" s="217"/>
      <c r="AJ166" s="217"/>
      <c r="AK166" s="217"/>
      <c r="AL166" s="217"/>
      <c r="AM166" s="149"/>
    </row>
    <row r="167" ht="22.5" customHeight="1">
      <c r="A167" s="217"/>
      <c r="B167" s="263">
        <f>IF(ARBITRAGES!E188=0,"",ARBITRAGES!E188)</f>
        <v>45965</v>
      </c>
      <c r="C167" s="231">
        <f t="shared" si="11"/>
        <v>37467.52166</v>
      </c>
      <c r="D167" s="264">
        <f>IF(F167="","",PRIX!B188)</f>
        <v>100500</v>
      </c>
      <c r="E167" s="264">
        <f t="shared" si="9"/>
        <v>59769.61788</v>
      </c>
      <c r="F167" s="242">
        <f>IF(B167="","",PRIX!B188*$Q$6+$R$6*PRIX!C188+PRIX!D188*$S$6+$T$6*PRIX!E188+PRIX!F188*$U$6+PRIX!G188*$V$6+$W$6*PRIX!H188+PRIX!I188*$X$6)</f>
        <v>46842.50624</v>
      </c>
      <c r="G167" s="270">
        <f>IF(B167="","",'Historique détail'!U187)</f>
        <v>53803.2486</v>
      </c>
      <c r="H167" s="244">
        <f t="shared" si="3"/>
        <v>0.1485988457</v>
      </c>
      <c r="I167" s="266">
        <f t="shared" si="4"/>
        <v>0.4359969975</v>
      </c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  <c r="AH167" s="217"/>
      <c r="AI167" s="217"/>
      <c r="AJ167" s="217"/>
      <c r="AK167" s="217"/>
      <c r="AL167" s="217"/>
      <c r="AM167" s="149"/>
    </row>
    <row r="168" ht="22.5" customHeight="1">
      <c r="A168" s="217"/>
      <c r="B168" s="263">
        <f>IF(ARBITRAGES!E189=0,"",ARBITRAGES!E189)</f>
        <v>45968</v>
      </c>
      <c r="C168" s="231">
        <f t="shared" si="11"/>
        <v>37467.52166</v>
      </c>
      <c r="D168" s="264">
        <f>IF(F168="","",PRIX!B189)</f>
        <v>102000</v>
      </c>
      <c r="E168" s="264">
        <f t="shared" si="9"/>
        <v>60661.70173</v>
      </c>
      <c r="F168" s="242">
        <f>IF(B168="","",PRIX!B189*$Q$6+$R$6*PRIX!C189+PRIX!D189*$S$6+$T$6*PRIX!E189+PRIX!F189*$U$6+PRIX!G189*$V$6+$W$6*PRIX!H189+PRIX!I189*$X$6)</f>
        <v>47801.2208</v>
      </c>
      <c r="G168" s="270">
        <f>IF(B168="","",'Historique détail'!U188)</f>
        <v>54577.90923</v>
      </c>
      <c r="H168" s="244">
        <f t="shared" si="3"/>
        <v>0.1417681037</v>
      </c>
      <c r="I168" s="266">
        <f t="shared" si="4"/>
        <v>0.4566725212</v>
      </c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  <c r="AH168" s="217"/>
      <c r="AI168" s="217"/>
      <c r="AJ168" s="217"/>
      <c r="AK168" s="217"/>
      <c r="AL168" s="217"/>
      <c r="AM168" s="149"/>
    </row>
    <row r="169" ht="22.5" customHeight="1">
      <c r="A169" s="217"/>
      <c r="B169" s="263">
        <f>IF(ARBITRAGES!E190=0,"",ARBITRAGES!E190)</f>
        <v>45970</v>
      </c>
      <c r="C169" s="231">
        <f t="shared" si="11"/>
        <v>37467.52166</v>
      </c>
      <c r="D169" s="264">
        <f>IF(F169="","",PRIX!B190)</f>
        <v>106500</v>
      </c>
      <c r="E169" s="264">
        <f t="shared" si="9"/>
        <v>63337.95327</v>
      </c>
      <c r="F169" s="242">
        <f>IF(B169="","",PRIX!B190*$Q$6+$R$6*PRIX!C190+PRIX!D190*$S$6+$T$6*PRIX!E190+PRIX!F190*$U$6+PRIX!G190*$V$6+$W$6*PRIX!H190+PRIX!I190*$X$6)</f>
        <v>50693.78413</v>
      </c>
      <c r="G169" s="270">
        <f>IF(B169="","",'Historique détail'!U189)</f>
        <v>56935.8572</v>
      </c>
      <c r="H169" s="244">
        <f t="shared" si="3"/>
        <v>0.1231329083</v>
      </c>
      <c r="I169" s="266">
        <f t="shared" si="4"/>
        <v>0.5196056394</v>
      </c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  <c r="AH169" s="217"/>
      <c r="AI169" s="217"/>
      <c r="AJ169" s="217"/>
      <c r="AK169" s="217"/>
      <c r="AL169" s="217"/>
      <c r="AM169" s="149"/>
    </row>
    <row r="170" ht="22.5" customHeight="1">
      <c r="A170" s="217"/>
      <c r="B170" s="263">
        <f>IF(ARBITRAGES!E191=0,"",ARBITRAGES!E191)</f>
        <v>45971</v>
      </c>
      <c r="C170" s="231">
        <f t="shared" si="11"/>
        <v>37467.52166</v>
      </c>
      <c r="D170" s="264">
        <f>IF(F170="","",PRIX!B191)</f>
        <v>106500</v>
      </c>
      <c r="E170" s="264">
        <f t="shared" si="9"/>
        <v>63337.95327</v>
      </c>
      <c r="F170" s="242">
        <f>IF(B170="","",PRIX!B191*$Q$6+$R$6*PRIX!C191+PRIX!D191*$S$6+$T$6*PRIX!E191+PRIX!F191*$U$6+PRIX!G191*$V$6+$W$6*PRIX!H191+PRIX!I191*$X$6)</f>
        <v>50693.78413</v>
      </c>
      <c r="G170" s="270">
        <f>IF(B170="","",'Historique détail'!U190)</f>
        <v>56948.59667</v>
      </c>
      <c r="H170" s="244">
        <f t="shared" si="3"/>
        <v>0.1233842107</v>
      </c>
      <c r="I170" s="266">
        <f t="shared" si="4"/>
        <v>0.519945653</v>
      </c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  <c r="AH170" s="217"/>
      <c r="AI170" s="217"/>
      <c r="AJ170" s="217"/>
      <c r="AK170" s="217"/>
      <c r="AL170" s="217"/>
      <c r="AM170" s="149"/>
    </row>
    <row r="171" ht="22.5" customHeight="1">
      <c r="A171" s="217"/>
      <c r="B171" s="263">
        <f>IF(ARBITRAGES!E192=0,"",ARBITRAGES!E192)</f>
        <v>45971</v>
      </c>
      <c r="C171" s="231">
        <f t="shared" si="11"/>
        <v>37467.52166</v>
      </c>
      <c r="D171" s="264">
        <f>IF(F171="","",PRIX!B192)</f>
        <v>104000</v>
      </c>
      <c r="E171" s="264">
        <f t="shared" si="9"/>
        <v>61851.14686</v>
      </c>
      <c r="F171" s="242">
        <f>IF(B171="","",PRIX!B192*$Q$6+$R$6*PRIX!C192+PRIX!D192*$S$6+$T$6*PRIX!E192+PRIX!F192*$U$6+PRIX!G192*$V$6+$W$6*PRIX!H192+PRIX!I192*$X$6)</f>
        <v>49030.38307</v>
      </c>
      <c r="G171" s="270">
        <f>IF(B171="","",'Historique détail'!U191)</f>
        <v>55642.93569</v>
      </c>
      <c r="H171" s="244">
        <f t="shared" si="3"/>
        <v>0.1348664278</v>
      </c>
      <c r="I171" s="266">
        <f t="shared" si="4"/>
        <v>0.4850978455</v>
      </c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  <c r="AH171" s="217"/>
      <c r="AI171" s="217"/>
      <c r="AJ171" s="217"/>
      <c r="AK171" s="217"/>
      <c r="AL171" s="217"/>
      <c r="AM171" s="149"/>
    </row>
    <row r="172" ht="22.5" customHeight="1">
      <c r="A172" s="217"/>
      <c r="B172" s="263">
        <f>IF(ARBITRAGES!E193=0,"",ARBITRAGES!E193)</f>
        <v>45972</v>
      </c>
      <c r="C172" s="231">
        <f t="shared" si="11"/>
        <v>37467.52166</v>
      </c>
      <c r="D172" s="264">
        <f>IF(F172="","",PRIX!B193)</f>
        <v>104000</v>
      </c>
      <c r="E172" s="264">
        <f t="shared" si="9"/>
        <v>61851.14686</v>
      </c>
      <c r="F172" s="242">
        <f>IF(B172="","",PRIX!B193*$Q$6+$R$6*PRIX!C193+PRIX!D193*$S$6+$T$6*PRIX!E193+PRIX!F193*$U$6+PRIX!G193*$V$6+$W$6*PRIX!H193+PRIX!I193*$X$6)</f>
        <v>49030.38307</v>
      </c>
      <c r="G172" s="270">
        <f>IF(B172="","",'Historique détail'!U192)</f>
        <v>55842.93569</v>
      </c>
      <c r="H172" s="244">
        <f t="shared" si="3"/>
        <v>0.1389455312</v>
      </c>
      <c r="I172" s="266">
        <f t="shared" si="4"/>
        <v>0.490435802</v>
      </c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  <c r="AH172" s="217"/>
      <c r="AI172" s="217"/>
      <c r="AJ172" s="217"/>
      <c r="AK172" s="217"/>
      <c r="AL172" s="217"/>
      <c r="AM172" s="149"/>
    </row>
    <row r="173" ht="22.5" customHeight="1">
      <c r="A173" s="217"/>
      <c r="B173" s="263">
        <f>IF(ARBITRAGES!E194=0,"",ARBITRAGES!E194)</f>
        <v>45974</v>
      </c>
      <c r="C173" s="231">
        <f t="shared" si="11"/>
        <v>37467.52166</v>
      </c>
      <c r="D173" s="264">
        <f>IF(F173="","",PRIX!B194)</f>
        <v>98000</v>
      </c>
      <c r="E173" s="264">
        <f t="shared" si="9"/>
        <v>58282.81146</v>
      </c>
      <c r="F173" s="242">
        <f>IF(B173="","",PRIX!B194*$Q$6+$R$6*PRIX!C194+PRIX!D194*$S$6+$T$6*PRIX!E194+PRIX!F194*$U$6+PRIX!G194*$V$6+$W$6*PRIX!H194+PRIX!I194*$X$6)</f>
        <v>45724.50509</v>
      </c>
      <c r="G173" s="270">
        <f>IF(B173="","",'Historique détail'!U193)</f>
        <v>53100.54934</v>
      </c>
      <c r="H173" s="244">
        <f t="shared" si="3"/>
        <v>0.161314906</v>
      </c>
      <c r="I173" s="266">
        <f t="shared" si="4"/>
        <v>0.4172421071</v>
      </c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  <c r="AH173" s="217"/>
      <c r="AI173" s="217"/>
      <c r="AJ173" s="217"/>
      <c r="AK173" s="217"/>
      <c r="AL173" s="217"/>
      <c r="AM173" s="149"/>
    </row>
    <row r="174" ht="22.5" customHeight="1">
      <c r="A174" s="217"/>
      <c r="B174" s="263">
        <f>IF(ARBITRAGES!E195=0,"",ARBITRAGES!E195)</f>
        <v>45974</v>
      </c>
      <c r="C174" s="231">
        <f t="shared" si="11"/>
        <v>37467.52166</v>
      </c>
      <c r="D174" s="264">
        <f>IF(F174="","",PRIX!B195)</f>
        <v>97500</v>
      </c>
      <c r="E174" s="264">
        <f t="shared" si="9"/>
        <v>57985.45018</v>
      </c>
      <c r="F174" s="242">
        <f>IF(B174="","",PRIX!B195*$Q$6+$R$6*PRIX!C195+PRIX!D195*$S$6+$T$6*PRIX!E195+PRIX!F195*$U$6+PRIX!G195*$V$6+$W$6*PRIX!H195+PRIX!I195*$X$6)</f>
        <v>45330.80545</v>
      </c>
      <c r="G174" s="270">
        <f>IF(B174="","",'Historique détail'!U194)</f>
        <v>52763.48738</v>
      </c>
      <c r="H174" s="244">
        <f t="shared" si="3"/>
        <v>0.163965362</v>
      </c>
      <c r="I174" s="266">
        <f t="shared" si="4"/>
        <v>0.4082459968</v>
      </c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  <c r="AH174" s="217"/>
      <c r="AI174" s="217"/>
      <c r="AJ174" s="217"/>
      <c r="AK174" s="217"/>
      <c r="AL174" s="217"/>
      <c r="AM174" s="149"/>
    </row>
    <row r="175" ht="22.5" customHeight="1">
      <c r="A175" s="217"/>
      <c r="B175" s="263">
        <f>IF(ARBITRAGES!E196=0,"",ARBITRAGES!E196)</f>
        <v>45974</v>
      </c>
      <c r="C175" s="231">
        <f t="shared" si="11"/>
        <v>37467.52166</v>
      </c>
      <c r="D175" s="264">
        <f>IF(F175="","",PRIX!B196)</f>
        <v>97500</v>
      </c>
      <c r="E175" s="264">
        <f t="shared" si="9"/>
        <v>57985.45018</v>
      </c>
      <c r="F175" s="242">
        <f>IF(B175="","",PRIX!B196*$Q$6+$R$6*PRIX!C196+PRIX!D196*$S$6+$T$6*PRIX!E196+PRIX!F196*$U$6+PRIX!G196*$V$6+$W$6*PRIX!H196+PRIX!I196*$X$6)</f>
        <v>45330.80545</v>
      </c>
      <c r="G175" s="270">
        <f>IF(B175="","",'Historique détail'!U195)</f>
        <v>52763.48738</v>
      </c>
      <c r="H175" s="244">
        <f t="shared" si="3"/>
        <v>0.163965362</v>
      </c>
      <c r="I175" s="266">
        <f t="shared" si="4"/>
        <v>0.4082459968</v>
      </c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  <c r="AH175" s="217"/>
      <c r="AI175" s="217"/>
      <c r="AJ175" s="217"/>
      <c r="AK175" s="217"/>
      <c r="AL175" s="217"/>
      <c r="AM175" s="149"/>
    </row>
    <row r="176" ht="22.5" customHeight="1">
      <c r="A176" s="217"/>
      <c r="B176" s="263">
        <f>IF(ARBITRAGES!E197=0,"",ARBITRAGES!E197)</f>
        <v>45974</v>
      </c>
      <c r="C176" s="231">
        <f t="shared" si="11"/>
        <v>37467.52166</v>
      </c>
      <c r="D176" s="264">
        <f>IF(F176="","",PRIX!B197)</f>
        <v>97500</v>
      </c>
      <c r="E176" s="264">
        <f t="shared" si="9"/>
        <v>57985.45018</v>
      </c>
      <c r="F176" s="242">
        <f>IF(B176="","",PRIX!B197*$Q$6+$R$6*PRIX!C197+PRIX!D197*$S$6+$T$6*PRIX!E197+PRIX!F197*$U$6+PRIX!G197*$V$6+$W$6*PRIX!H197+PRIX!I197*$X$6)</f>
        <v>45330.80545</v>
      </c>
      <c r="G176" s="270">
        <f>IF(B176="","",'Historique détail'!U196)</f>
        <v>52773.85007</v>
      </c>
      <c r="H176" s="244">
        <f t="shared" si="3"/>
        <v>0.1641939636</v>
      </c>
      <c r="I176" s="266">
        <f t="shared" si="4"/>
        <v>0.4085225748</v>
      </c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  <c r="AH176" s="217"/>
      <c r="AI176" s="217"/>
      <c r="AJ176" s="217"/>
      <c r="AK176" s="217"/>
      <c r="AL176" s="217"/>
      <c r="AM176" s="149"/>
    </row>
    <row r="177" ht="22.5" customHeight="1">
      <c r="A177" s="217"/>
      <c r="B177" s="263">
        <f>IF(ARBITRAGES!E198=0,"",ARBITRAGES!E198)</f>
        <v>45974</v>
      </c>
      <c r="C177" s="231">
        <f t="shared" si="11"/>
        <v>37467.52166</v>
      </c>
      <c r="D177" s="264">
        <f>IF(F177="","",PRIX!B198)</f>
        <v>97500</v>
      </c>
      <c r="E177" s="264">
        <f t="shared" si="9"/>
        <v>57985.45018</v>
      </c>
      <c r="F177" s="242">
        <f>IF(B177="","",PRIX!B198*$Q$6+$R$6*PRIX!C198+PRIX!D198*$S$6+$T$6*PRIX!E198+PRIX!F198*$U$6+PRIX!G198*$V$6+$W$6*PRIX!H198+PRIX!I198*$X$6)</f>
        <v>45330.80545</v>
      </c>
      <c r="G177" s="270">
        <f>IF(B177="","",'Historique détail'!U197)</f>
        <v>52789.47507</v>
      </c>
      <c r="H177" s="244">
        <f t="shared" si="3"/>
        <v>0.1645386519</v>
      </c>
      <c r="I177" s="266">
        <f t="shared" si="4"/>
        <v>0.4089396027</v>
      </c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  <c r="AH177" s="217"/>
      <c r="AI177" s="217"/>
      <c r="AJ177" s="217"/>
      <c r="AK177" s="217"/>
      <c r="AL177" s="217"/>
      <c r="AM177" s="149"/>
    </row>
    <row r="178" ht="22.5" customHeight="1">
      <c r="A178" s="217"/>
      <c r="B178" s="263">
        <f>IF(ARBITRAGES!E199=0,"",ARBITRAGES!E199)</f>
        <v>45974</v>
      </c>
      <c r="C178" s="231">
        <f t="shared" si="11"/>
        <v>37467.52166</v>
      </c>
      <c r="D178" s="264">
        <f>IF(F178="","",PRIX!B199)</f>
        <v>96000</v>
      </c>
      <c r="E178" s="264">
        <f t="shared" si="9"/>
        <v>57093.36633</v>
      </c>
      <c r="F178" s="242">
        <f>IF(B178="","",PRIX!B199*$Q$6+$R$6*PRIX!C199+PRIX!D199*$S$6+$T$6*PRIX!E199+PRIX!F199*$U$6+PRIX!G199*$V$6+$W$6*PRIX!H199+PRIX!I199*$X$6)</f>
        <v>44465.08929</v>
      </c>
      <c r="G178" s="270">
        <f>IF(B178="","",'Historique détail'!U198)</f>
        <v>52016.56799</v>
      </c>
      <c r="H178" s="244">
        <f t="shared" si="3"/>
        <v>0.1698293835</v>
      </c>
      <c r="I178" s="266">
        <f t="shared" si="4"/>
        <v>0.3883108809</v>
      </c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  <c r="AH178" s="217"/>
      <c r="AI178" s="217"/>
      <c r="AJ178" s="217"/>
      <c r="AK178" s="217"/>
      <c r="AL178" s="217"/>
      <c r="AM178" s="149"/>
    </row>
    <row r="179" ht="22.5" customHeight="1">
      <c r="A179" s="217"/>
      <c r="B179" s="263">
        <f>IF(ARBITRAGES!E200=0,"",ARBITRAGES!E200)</f>
        <v>45974</v>
      </c>
      <c r="C179" s="231">
        <f t="shared" si="11"/>
        <v>37467.52166</v>
      </c>
      <c r="D179" s="264">
        <f>IF(F179="","",PRIX!B200)</f>
        <v>96000</v>
      </c>
      <c r="E179" s="264">
        <f t="shared" si="9"/>
        <v>57093.36633</v>
      </c>
      <c r="F179" s="242">
        <f>IF(B179="","",PRIX!B200*$Q$6+$R$6*PRIX!C200+PRIX!D200*$S$6+$T$6*PRIX!E200+PRIX!F200*$U$6+PRIX!G200*$V$6+$W$6*PRIX!H200+PRIX!I200*$X$6)</f>
        <v>44465.08929</v>
      </c>
      <c r="G179" s="270">
        <f>IF(B179="","",'Historique détail'!U199)</f>
        <v>52027.09431</v>
      </c>
      <c r="H179" s="244">
        <f t="shared" si="3"/>
        <v>0.1700661156</v>
      </c>
      <c r="I179" s="266">
        <f t="shared" si="4"/>
        <v>0.3885918259</v>
      </c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  <c r="AH179" s="217"/>
      <c r="AI179" s="217"/>
      <c r="AJ179" s="217"/>
      <c r="AK179" s="217"/>
      <c r="AL179" s="217"/>
      <c r="AM179" s="149"/>
    </row>
    <row r="180" ht="22.5" customHeight="1">
      <c r="A180" s="217"/>
      <c r="B180" s="263">
        <f>IF(ARBITRAGES!E201=0,"",ARBITRAGES!E201)</f>
        <v>45974</v>
      </c>
      <c r="C180" s="231">
        <f t="shared" si="11"/>
        <v>37467.52166</v>
      </c>
      <c r="D180" s="264">
        <f>IF(F180="","",PRIX!B201)</f>
        <v>97500</v>
      </c>
      <c r="E180" s="264">
        <f t="shared" si="9"/>
        <v>57985.45018</v>
      </c>
      <c r="F180" s="242">
        <f>IF(B180="","",PRIX!B201*$Q$6+$R$6*PRIX!C201+PRIX!D201*$S$6+$T$6*PRIX!E201+PRIX!F201*$U$6+PRIX!G201*$V$6+$W$6*PRIX!H201+PRIX!I201*$X$6)</f>
        <v>45330.80545</v>
      </c>
      <c r="G180" s="270">
        <f>IF(B180="","",'Historique détail'!U200)</f>
        <v>52834.80637</v>
      </c>
      <c r="H180" s="244">
        <f t="shared" si="3"/>
        <v>0.1655386628</v>
      </c>
      <c r="I180" s="266">
        <f t="shared" si="4"/>
        <v>0.4101494851</v>
      </c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  <c r="AH180" s="217"/>
      <c r="AI180" s="217"/>
      <c r="AJ180" s="217"/>
      <c r="AK180" s="217"/>
      <c r="AL180" s="217"/>
      <c r="AM180" s="149"/>
    </row>
    <row r="181" ht="22.5" customHeight="1">
      <c r="A181" s="217"/>
      <c r="B181" s="263">
        <f>IF(ARBITRAGES!E202=0,"",ARBITRAGES!E202)</f>
        <v>45975</v>
      </c>
      <c r="C181" s="231">
        <f t="shared" si="11"/>
        <v>37467.52166</v>
      </c>
      <c r="D181" s="264">
        <f>IF(F181="","",PRIX!B202)</f>
        <v>97500</v>
      </c>
      <c r="E181" s="264">
        <f t="shared" si="9"/>
        <v>57985.45018</v>
      </c>
      <c r="F181" s="242">
        <f>IF(B181="","",PRIX!B202*$Q$6+$R$6*PRIX!C202+PRIX!D202*$S$6+$T$6*PRIX!E202+PRIX!F202*$U$6+PRIX!G202*$V$6+$W$6*PRIX!H202+PRIX!I202*$X$6)</f>
        <v>45330.80545</v>
      </c>
      <c r="G181" s="270">
        <f>IF(B181="","",'Historique détail'!U201)</f>
        <v>52850.13407</v>
      </c>
      <c r="H181" s="244">
        <f t="shared" si="3"/>
        <v>0.1658767926</v>
      </c>
      <c r="I181" s="266">
        <f t="shared" si="4"/>
        <v>0.410558578</v>
      </c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  <c r="AH181" s="217"/>
      <c r="AI181" s="217"/>
      <c r="AJ181" s="217"/>
      <c r="AK181" s="217"/>
      <c r="AL181" s="217"/>
      <c r="AM181" s="149"/>
    </row>
    <row r="182" ht="22.5" customHeight="1">
      <c r="A182" s="217"/>
      <c r="B182" s="263">
        <f>IF(ARBITRAGES!E203=0,"",ARBITRAGES!E203)</f>
        <v>45977</v>
      </c>
      <c r="C182" s="231">
        <f t="shared" si="11"/>
        <v>37467.52166</v>
      </c>
      <c r="D182" s="264">
        <f>IF(F182="","",PRIX!B203)</f>
        <v>92000</v>
      </c>
      <c r="E182" s="264">
        <f t="shared" si="9"/>
        <v>54714.47607</v>
      </c>
      <c r="F182" s="242">
        <f>IF(B182="","",PRIX!B203*$Q$6+$R$6*PRIX!C203+PRIX!D203*$S$6+$T$6*PRIX!E203+PRIX!F203*$U$6+PRIX!G203*$V$6+$W$6*PRIX!H203+PRIX!I203*$X$6)</f>
        <v>42532.51251</v>
      </c>
      <c r="G182" s="270">
        <f>IF(B182="","",'Historique détail'!U202)</f>
        <v>50173.95668</v>
      </c>
      <c r="H182" s="244">
        <f t="shared" si="3"/>
        <v>0.1796612453</v>
      </c>
      <c r="I182" s="266">
        <f t="shared" si="4"/>
        <v>0.3391319858</v>
      </c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  <c r="AH182" s="217"/>
      <c r="AI182" s="217"/>
      <c r="AJ182" s="217"/>
      <c r="AK182" s="217"/>
      <c r="AL182" s="217"/>
      <c r="AM182" s="149"/>
    </row>
    <row r="183" ht="22.5" customHeight="1">
      <c r="A183" s="217"/>
      <c r="B183" s="263">
        <f>IF(ARBITRAGES!E204=0,"",ARBITRAGES!E204)</f>
        <v>45977</v>
      </c>
      <c r="C183" s="231">
        <f t="shared" si="11"/>
        <v>37467.52166</v>
      </c>
      <c r="D183" s="264">
        <f>IF(F183="","",PRIX!B204)</f>
        <v>92000</v>
      </c>
      <c r="E183" s="264">
        <f t="shared" si="9"/>
        <v>54714.47607</v>
      </c>
      <c r="F183" s="242">
        <f>IF(B183="","",PRIX!B204*$Q$6+$R$6*PRIX!C204+PRIX!D204*$S$6+$T$6*PRIX!E204+PRIX!F204*$U$6+PRIX!G204*$V$6+$W$6*PRIX!H204+PRIX!I204*$X$6)</f>
        <v>42532.51251</v>
      </c>
      <c r="G183" s="270">
        <f>IF(B183="","",'Historique détail'!U203)</f>
        <v>50186.95668</v>
      </c>
      <c r="H183" s="244">
        <f t="shared" si="3"/>
        <v>0.1799668939</v>
      </c>
      <c r="I183" s="266">
        <f t="shared" si="4"/>
        <v>0.339478953</v>
      </c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  <c r="AH183" s="217"/>
      <c r="AI183" s="217"/>
      <c r="AJ183" s="217"/>
      <c r="AK183" s="217"/>
      <c r="AL183" s="217"/>
      <c r="AM183" s="149"/>
    </row>
    <row r="184" ht="22.5" customHeight="1">
      <c r="A184" s="217"/>
      <c r="B184" s="263">
        <f>IF(ARBITRAGES!E205=0,"",ARBITRAGES!E205)</f>
        <v>45978</v>
      </c>
      <c r="C184" s="231">
        <f t="shared" si="11"/>
        <v>37467.52166</v>
      </c>
      <c r="D184" s="264">
        <f>IF(F184="","",PRIX!B205)</f>
        <v>92000</v>
      </c>
      <c r="E184" s="264">
        <f t="shared" si="9"/>
        <v>54714.47607</v>
      </c>
      <c r="F184" s="242">
        <f>IF(B184="","",PRIX!B205*$Q$6+$R$6*PRIX!C205+PRIX!D205*$S$6+$T$6*PRIX!E205+PRIX!F205*$U$6+PRIX!G205*$V$6+$W$6*PRIX!H205+PRIX!I205*$X$6)</f>
        <v>42532.51251</v>
      </c>
      <c r="G184" s="270">
        <f>IF(B184="","",'Historique détail'!U204)</f>
        <v>49950.97459</v>
      </c>
      <c r="H184" s="244">
        <f t="shared" si="3"/>
        <v>0.1744186187</v>
      </c>
      <c r="I184" s="266">
        <f t="shared" si="4"/>
        <v>0.3331806425</v>
      </c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  <c r="AH184" s="217"/>
      <c r="AI184" s="217"/>
      <c r="AJ184" s="217"/>
      <c r="AK184" s="217"/>
      <c r="AL184" s="217"/>
      <c r="AM184" s="149"/>
    </row>
    <row r="185" ht="22.5" customHeight="1">
      <c r="A185" s="217"/>
      <c r="B185" s="263">
        <f>IF(ARBITRAGES!E206=0,"",ARBITRAGES!E206)</f>
        <v>45978</v>
      </c>
      <c r="C185" s="231">
        <f t="shared" si="11"/>
        <v>37467.52166</v>
      </c>
      <c r="D185" s="264">
        <f>IF(F185="","",PRIX!B206)</f>
        <v>91500</v>
      </c>
      <c r="E185" s="264">
        <f t="shared" si="9"/>
        <v>54417.11478</v>
      </c>
      <c r="F185" s="242">
        <f>IF(B185="","",PRIX!B206*$Q$6+$R$6*PRIX!C206+PRIX!D206*$S$6+$T$6*PRIX!E206+PRIX!F206*$U$6+PRIX!G206*$V$6+$W$6*PRIX!H206+PRIX!I206*$X$6)</f>
        <v>42920.08728</v>
      </c>
      <c r="G185" s="270">
        <f>IF(B185="","",'Historique détail'!U205)</f>
        <v>50259.02658</v>
      </c>
      <c r="H185" s="244">
        <f t="shared" si="3"/>
        <v>0.1709907823</v>
      </c>
      <c r="I185" s="266">
        <f t="shared" si="4"/>
        <v>0.3414024831</v>
      </c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  <c r="AH185" s="217"/>
      <c r="AI185" s="217"/>
      <c r="AJ185" s="217"/>
      <c r="AK185" s="217"/>
      <c r="AL185" s="217"/>
      <c r="AM185" s="149"/>
    </row>
    <row r="186" ht="22.5" customHeight="1">
      <c r="A186" s="217"/>
      <c r="B186" s="263">
        <f>IF(ARBITRAGES!E207=0,"",ARBITRAGES!E207)</f>
        <v>45978</v>
      </c>
      <c r="C186" s="231">
        <f t="shared" si="11"/>
        <v>37467.52166</v>
      </c>
      <c r="D186" s="264">
        <f>IF(F186="","",PRIX!B207)</f>
        <v>93200</v>
      </c>
      <c r="E186" s="264">
        <f t="shared" si="9"/>
        <v>55428.14315</v>
      </c>
      <c r="F186" s="242">
        <f>IF(B186="","",PRIX!B207*$Q$6+$R$6*PRIX!C207+PRIX!D207*$S$6+$T$6*PRIX!E207+PRIX!F207*$U$6+PRIX!G207*$V$6+$W$6*PRIX!H207+PRIX!I207*$X$6)</f>
        <v>43718.45183</v>
      </c>
      <c r="G186" s="270">
        <f>IF(B186="","",'Historique détail'!U206)</f>
        <v>51053.33978</v>
      </c>
      <c r="H186" s="244">
        <f t="shared" si="3"/>
        <v>0.167775565</v>
      </c>
      <c r="I186" s="266">
        <f t="shared" si="4"/>
        <v>0.3626025296</v>
      </c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  <c r="AH186" s="217"/>
      <c r="AI186" s="217"/>
      <c r="AJ186" s="217"/>
      <c r="AK186" s="217"/>
      <c r="AL186" s="217"/>
      <c r="AM186" s="149"/>
    </row>
    <row r="187" ht="22.5" customHeight="1">
      <c r="A187" s="217"/>
      <c r="B187" s="263">
        <f>IF(ARBITRAGES!E208=0,"",ARBITRAGES!E208)</f>
        <v>45979</v>
      </c>
      <c r="C187" s="231">
        <f t="shared" si="11"/>
        <v>37467.52166</v>
      </c>
      <c r="D187" s="264">
        <f>IF(F187="","",PRIX!B208)</f>
        <v>93200</v>
      </c>
      <c r="E187" s="264">
        <f t="shared" si="9"/>
        <v>55428.14315</v>
      </c>
      <c r="F187" s="242">
        <f>IF(B187="","",PRIX!B208*$Q$6+$R$6*PRIX!C208+PRIX!D208*$S$6+$T$6*PRIX!E208+PRIX!F208*$U$6+PRIX!G208*$V$6+$W$6*PRIX!H208+PRIX!I208*$X$6)</f>
        <v>43718.45183</v>
      </c>
      <c r="G187" s="270">
        <f>IF(B187="","",'Historique détail'!U207)</f>
        <v>51138.33978</v>
      </c>
      <c r="H187" s="244">
        <f t="shared" si="3"/>
        <v>0.1697198242</v>
      </c>
      <c r="I187" s="266">
        <f t="shared" si="4"/>
        <v>0.3648711611</v>
      </c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  <c r="AH187" s="217"/>
      <c r="AI187" s="217"/>
      <c r="AJ187" s="217"/>
      <c r="AK187" s="217"/>
      <c r="AL187" s="217"/>
      <c r="AM187" s="149"/>
    </row>
    <row r="188" ht="22.5" customHeight="1">
      <c r="A188" s="217"/>
      <c r="B188" s="263">
        <f>IF(ARBITRAGES!E209=0,"",ARBITRAGES!E209)</f>
        <v>45980</v>
      </c>
      <c r="C188" s="231">
        <f t="shared" si="11"/>
        <v>37467.52166</v>
      </c>
      <c r="D188" s="264">
        <f>IF(F188="","",PRIX!B209)</f>
        <v>86500</v>
      </c>
      <c r="E188" s="264">
        <f t="shared" si="9"/>
        <v>51443.50195</v>
      </c>
      <c r="F188" s="242">
        <f>IF(B188="","",PRIX!B209*$Q$6+$R$6*PRIX!C209+PRIX!D209*$S$6+$T$6*PRIX!E209+PRIX!F209*$U$6+PRIX!G209*$V$6+$W$6*PRIX!H209+PRIX!I209*$X$6)</f>
        <v>40379.79827</v>
      </c>
      <c r="G188" s="270">
        <f>IF(B188="","",'Historique détail'!U208)</f>
        <v>47928.09342</v>
      </c>
      <c r="H188" s="244">
        <f t="shared" si="3"/>
        <v>0.1869324631</v>
      </c>
      <c r="I188" s="266">
        <f t="shared" si="4"/>
        <v>0.2791903842</v>
      </c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  <c r="AH188" s="217"/>
      <c r="AI188" s="217"/>
      <c r="AJ188" s="217"/>
      <c r="AK188" s="217"/>
      <c r="AL188" s="217"/>
      <c r="AM188" s="149"/>
    </row>
    <row r="189" ht="22.5" customHeight="1">
      <c r="A189" s="217"/>
      <c r="B189" s="263">
        <f>IF(ARBITRAGES!E210=0,"",ARBITRAGES!E210)</f>
        <v>45981</v>
      </c>
      <c r="C189" s="231">
        <f t="shared" si="11"/>
        <v>37467.52166</v>
      </c>
      <c r="D189" s="264">
        <f>IF(F189="","",PRIX!B210)</f>
        <v>86500</v>
      </c>
      <c r="E189" s="264">
        <f t="shared" si="9"/>
        <v>51443.50195</v>
      </c>
      <c r="F189" s="242">
        <f>IF(B189="","",PRIX!B210*$Q$6+$R$6*PRIX!C210+PRIX!D210*$S$6+$T$6*PRIX!E210+PRIX!F210*$U$6+PRIX!G210*$V$6+$W$6*PRIX!H210+PRIX!I210*$X$6)</f>
        <v>40379.79827</v>
      </c>
      <c r="G189" s="270">
        <f>IF(B189="","",'Historique détail'!U209)</f>
        <v>47926.36928</v>
      </c>
      <c r="H189" s="244">
        <f t="shared" si="3"/>
        <v>0.186889765</v>
      </c>
      <c r="I189" s="266">
        <f t="shared" si="4"/>
        <v>0.2791443674</v>
      </c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  <c r="AH189" s="217"/>
      <c r="AI189" s="217"/>
      <c r="AJ189" s="217"/>
      <c r="AK189" s="217"/>
      <c r="AL189" s="217"/>
      <c r="AM189" s="149"/>
    </row>
    <row r="190" ht="22.5" customHeight="1">
      <c r="A190" s="217"/>
      <c r="B190" s="263">
        <f>IF(ARBITRAGES!E211=0,"",ARBITRAGES!E211)</f>
        <v>45981</v>
      </c>
      <c r="C190" s="231">
        <f t="shared" si="11"/>
        <v>37467.52166</v>
      </c>
      <c r="D190" s="264">
        <f>IF(F190="","",PRIX!B211)</f>
        <v>83500</v>
      </c>
      <c r="E190" s="264">
        <f t="shared" si="9"/>
        <v>49659.33426</v>
      </c>
      <c r="F190" s="242">
        <f>IF(B190="","",PRIX!B211*$Q$6+$R$6*PRIX!C211+PRIX!D211*$S$6+$T$6*PRIX!E211+PRIX!F211*$U$6+PRIX!G211*$V$6+$W$6*PRIX!H211+PRIX!I211*$X$6)</f>
        <v>38881.43268</v>
      </c>
      <c r="G190" s="270">
        <f>IF(B190="","",'Historique détail'!U210)</f>
        <v>46475.85983</v>
      </c>
      <c r="H190" s="244">
        <f t="shared" si="3"/>
        <v>0.1953227191</v>
      </c>
      <c r="I190" s="266">
        <f t="shared" si="4"/>
        <v>0.2404305857</v>
      </c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149"/>
    </row>
    <row r="191" ht="22.5" customHeight="1">
      <c r="A191" s="217"/>
      <c r="B191" s="263">
        <f>IF(ARBITRAGES!E212=0,"",ARBITRAGES!E212)</f>
        <v>45981</v>
      </c>
      <c r="C191" s="231">
        <f t="shared" si="11"/>
        <v>37467.52166</v>
      </c>
      <c r="D191" s="264">
        <f>IF(F191="","",PRIX!B212)</f>
        <v>83500</v>
      </c>
      <c r="E191" s="264">
        <f t="shared" si="9"/>
        <v>49659.33426</v>
      </c>
      <c r="F191" s="242">
        <f>IF(B191="","",PRIX!B212*$Q$6+$R$6*PRIX!C212+PRIX!D212*$S$6+$T$6*PRIX!E212+PRIX!F212*$U$6+PRIX!G212*$V$6+$W$6*PRIX!H212+PRIX!I212*$X$6)</f>
        <v>38881.43268</v>
      </c>
      <c r="G191" s="270">
        <f>IF(B191="","",'Historique détail'!U211)</f>
        <v>46477.85983</v>
      </c>
      <c r="H191" s="244">
        <f t="shared" si="3"/>
        <v>0.1953741576</v>
      </c>
      <c r="I191" s="266">
        <f t="shared" si="4"/>
        <v>0.2404839652</v>
      </c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  <c r="AH191" s="217"/>
      <c r="AI191" s="217"/>
      <c r="AJ191" s="217"/>
      <c r="AK191" s="217"/>
      <c r="AL191" s="217"/>
      <c r="AM191" s="149"/>
    </row>
    <row r="192" ht="22.5" customHeight="1">
      <c r="A192" s="217"/>
      <c r="B192" s="263">
        <f>IF(ARBITRAGES!E213=0,"",ARBITRAGES!E213)</f>
        <v>45981</v>
      </c>
      <c r="C192" s="231">
        <f t="shared" si="11"/>
        <v>37467.52166</v>
      </c>
      <c r="D192" s="264">
        <f>IF(F192="","",PRIX!B213)</f>
        <v>83500</v>
      </c>
      <c r="E192" s="264">
        <f t="shared" si="9"/>
        <v>49659.33426</v>
      </c>
      <c r="F192" s="242">
        <f>IF(B192="","",PRIX!B213*$Q$6+$R$6*PRIX!C213+PRIX!D213*$S$6+$T$6*PRIX!E213+PRIX!F213*$U$6+PRIX!G213*$V$6+$W$6*PRIX!H213+PRIX!I213*$X$6)</f>
        <v>38881.43268</v>
      </c>
      <c r="G192" s="270">
        <f>IF(B192="","",'Historique détail'!U212)</f>
        <v>46469.09171</v>
      </c>
      <c r="H192" s="244">
        <f t="shared" si="3"/>
        <v>0.1951486485</v>
      </c>
      <c r="I192" s="266">
        <f t="shared" si="4"/>
        <v>0.2402499461</v>
      </c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  <c r="AH192" s="217"/>
      <c r="AI192" s="217"/>
      <c r="AJ192" s="217"/>
      <c r="AK192" s="217"/>
      <c r="AL192" s="217"/>
      <c r="AM192" s="149"/>
    </row>
    <row r="193" ht="22.5" customHeight="1">
      <c r="A193" s="217"/>
      <c r="B193" s="282">
        <f>IF(ARBITRAGES!E214=0,"",ARBITRAGES!E214)</f>
        <v>45981</v>
      </c>
      <c r="C193" s="231">
        <f t="shared" si="11"/>
        <v>37467.52166</v>
      </c>
      <c r="D193" s="264">
        <f>IF(F193="","",PRIX!B214)</f>
        <v>83500</v>
      </c>
      <c r="E193" s="264">
        <f t="shared" si="9"/>
        <v>49659.33426</v>
      </c>
      <c r="F193" s="242">
        <f>IF(B193="","",PRIX!B214*$Q$6+$R$6*PRIX!C214+PRIX!D214*$S$6+$T$6*PRIX!E214+PRIX!F214*$U$6+PRIX!G214*$V$6+$W$6*PRIX!H214+PRIX!I214*$X$6)</f>
        <v>38881.43268</v>
      </c>
      <c r="G193" s="270">
        <f>IF(B193="","",'Historique détail'!U213)</f>
        <v>46469.09171</v>
      </c>
      <c r="H193" s="244">
        <f t="shared" si="3"/>
        <v>0.1951486485</v>
      </c>
      <c r="I193" s="266">
        <f t="shared" si="4"/>
        <v>0.2402499461</v>
      </c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  <c r="AH193" s="217"/>
      <c r="AI193" s="217"/>
      <c r="AJ193" s="217"/>
      <c r="AK193" s="217"/>
      <c r="AL193" s="217"/>
      <c r="AM193" s="149"/>
    </row>
    <row r="194" ht="22.5" customHeight="1">
      <c r="A194" s="217"/>
      <c r="B194" s="263">
        <f>IF(ARBITRAGES!E215=0,"",ARBITRAGES!E215)</f>
        <v>45981</v>
      </c>
      <c r="C194" s="231">
        <f t="shared" si="11"/>
        <v>37467.52166</v>
      </c>
      <c r="D194" s="264">
        <f>IF(F194="","",PRIX!B215)</f>
        <v>83500</v>
      </c>
      <c r="E194" s="264">
        <f t="shared" si="9"/>
        <v>49659.33426</v>
      </c>
      <c r="F194" s="242">
        <f>IF(B194="","",PRIX!B215*$Q$6+$R$6*PRIX!C215+PRIX!D215*$S$6+$T$6*PRIX!E215+PRIX!F215*$U$6+PRIX!G215*$V$6+$W$6*PRIX!H215+PRIX!I215*$X$6)</f>
        <v>38881.43268</v>
      </c>
      <c r="G194" s="270">
        <f>IF(B194="","",'Historique détail'!U214)</f>
        <v>46470.59774</v>
      </c>
      <c r="H194" s="244">
        <f t="shared" si="3"/>
        <v>0.1951873823</v>
      </c>
      <c r="I194" s="266">
        <f t="shared" si="4"/>
        <v>0.2402901416</v>
      </c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  <c r="AH194" s="217"/>
      <c r="AI194" s="217"/>
      <c r="AJ194" s="217"/>
      <c r="AK194" s="217"/>
      <c r="AL194" s="217"/>
      <c r="AM194" s="149"/>
    </row>
    <row r="195" ht="22.5" customHeight="1">
      <c r="A195" s="217"/>
      <c r="B195" s="263">
        <f>IF(ARBITRAGES!E216=0,"",ARBITRAGES!E216)</f>
        <v>45981</v>
      </c>
      <c r="C195" s="231">
        <f t="shared" si="11"/>
        <v>37467.52166</v>
      </c>
      <c r="D195" s="264">
        <f>IF(F195="","",PRIX!B216)</f>
        <v>83500</v>
      </c>
      <c r="E195" s="264">
        <f t="shared" si="9"/>
        <v>49659.33426</v>
      </c>
      <c r="F195" s="242">
        <f>IF(B195="","",PRIX!B216*$Q$6+$R$6*PRIX!C216+PRIX!D216*$S$6+$T$6*PRIX!E216+PRIX!F216*$U$6+PRIX!G216*$V$6+$W$6*PRIX!H216+PRIX!I216*$X$6)</f>
        <v>38881.43268</v>
      </c>
      <c r="G195" s="270">
        <f>IF(B195="","",'Historique détail'!U215)</f>
        <v>46471.86585</v>
      </c>
      <c r="H195" s="244">
        <f t="shared" si="3"/>
        <v>0.1952199972</v>
      </c>
      <c r="I195" s="266">
        <f t="shared" si="4"/>
        <v>0.2403239873</v>
      </c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  <c r="AH195" s="217"/>
      <c r="AI195" s="217"/>
      <c r="AJ195" s="217"/>
      <c r="AK195" s="217"/>
      <c r="AL195" s="217"/>
      <c r="AM195" s="149"/>
    </row>
    <row r="196" ht="22.5" customHeight="1">
      <c r="A196" s="217"/>
      <c r="B196" s="263">
        <f>IF(ARBITRAGES!E217=0,"",ARBITRAGES!E217)</f>
        <v>45982</v>
      </c>
      <c r="C196" s="231">
        <f t="shared" si="11"/>
        <v>37467.52166</v>
      </c>
      <c r="D196" s="264">
        <f>IF(F196="","",PRIX!B217)</f>
        <v>85000</v>
      </c>
      <c r="E196" s="264">
        <f t="shared" si="9"/>
        <v>50551.41811</v>
      </c>
      <c r="F196" s="242">
        <f>IF(B196="","",PRIX!B217*$Q$6+$R$6*PRIX!C217+PRIX!D217*$S$6+$T$6*PRIX!E217+PRIX!F217*$U$6+PRIX!G217*$V$6+$W$6*PRIX!H217+PRIX!I217*$X$6)</f>
        <v>39420.78982</v>
      </c>
      <c r="G196" s="270">
        <f>IF(B196="","",'Historique détail'!U216)</f>
        <v>47074.14994</v>
      </c>
      <c r="H196" s="244">
        <f t="shared" si="3"/>
        <v>0.194145276</v>
      </c>
      <c r="I196" s="266">
        <f t="shared" si="4"/>
        <v>0.2563988185</v>
      </c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  <c r="AH196" s="217"/>
      <c r="AI196" s="217"/>
      <c r="AJ196" s="217"/>
      <c r="AK196" s="217"/>
      <c r="AL196" s="217"/>
      <c r="AM196" s="149"/>
    </row>
    <row r="197" ht="22.5" customHeight="1">
      <c r="A197" s="217"/>
      <c r="B197" s="263">
        <f>IF(ARBITRAGES!E218=0,"",ARBITRAGES!E218)</f>
        <v>45988</v>
      </c>
      <c r="C197" s="231">
        <f t="shared" si="11"/>
        <v>37467.52166</v>
      </c>
      <c r="D197" s="264">
        <f>IF(F197="","",PRIX!B218)</f>
        <v>92500</v>
      </c>
      <c r="E197" s="264">
        <f t="shared" si="9"/>
        <v>55011.83735</v>
      </c>
      <c r="F197" s="242">
        <f>IF(B197="","",PRIX!B218*$Q$6+$R$6*PRIX!C218+PRIX!D218*$S$6+$T$6*PRIX!E218+PRIX!F218*$U$6+PRIX!G218*$V$6+$W$6*PRIX!H218+PRIX!I218*$X$6)</f>
        <v>43146.82675</v>
      </c>
      <c r="G197" s="270">
        <f>IF(B197="","",'Historique détail'!U217)</f>
        <v>50959.10987</v>
      </c>
      <c r="H197" s="244">
        <f t="shared" si="3"/>
        <v>0.1810627504</v>
      </c>
      <c r="I197" s="266">
        <f t="shared" si="4"/>
        <v>0.3600875537</v>
      </c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  <c r="AH197" s="217"/>
      <c r="AI197" s="217"/>
      <c r="AJ197" s="217"/>
      <c r="AK197" s="217"/>
      <c r="AL197" s="217"/>
      <c r="AM197" s="149"/>
    </row>
    <row r="198" ht="22.5" customHeight="1">
      <c r="A198" s="217"/>
      <c r="B198" s="263">
        <f>IF(ARBITRAGES!E219=0,"",ARBITRAGES!E219)</f>
        <v>45988</v>
      </c>
      <c r="C198" s="231">
        <f t="shared" si="11"/>
        <v>37467.52166</v>
      </c>
      <c r="D198" s="264">
        <f>IF(F198="","",PRIX!B219)</f>
        <v>92500</v>
      </c>
      <c r="E198" s="264">
        <f t="shared" si="9"/>
        <v>55011.83735</v>
      </c>
      <c r="F198" s="242">
        <f>IF(B198="","",PRIX!B219*$Q$6+$R$6*PRIX!C219+PRIX!D219*$S$6+$T$6*PRIX!E219+PRIX!F219*$U$6+PRIX!G219*$V$6+$W$6*PRIX!H219+PRIX!I219*$X$6)</f>
        <v>43146.82675</v>
      </c>
      <c r="G198" s="270">
        <f>IF(B198="","",'Historique détail'!U218)</f>
        <v>50957.50987</v>
      </c>
      <c r="H198" s="244">
        <f t="shared" si="3"/>
        <v>0.1810256678</v>
      </c>
      <c r="I198" s="266">
        <f t="shared" si="4"/>
        <v>0.3600448501</v>
      </c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  <c r="AF198" s="217"/>
      <c r="AG198" s="217"/>
      <c r="AH198" s="217"/>
      <c r="AI198" s="217"/>
      <c r="AJ198" s="217"/>
      <c r="AK198" s="217"/>
      <c r="AL198" s="217"/>
      <c r="AM198" s="149"/>
    </row>
    <row r="199" ht="22.5" customHeight="1">
      <c r="A199" s="217"/>
      <c r="B199" s="263">
        <f>IF(ARBITRAGES!E220=0,"",ARBITRAGES!E220)</f>
        <v>45988</v>
      </c>
      <c r="C199" s="231">
        <f t="shared" si="11"/>
        <v>37467.52166</v>
      </c>
      <c r="D199" s="264">
        <f>IF(F199="","",PRIX!B220)</f>
        <v>92500</v>
      </c>
      <c r="E199" s="264">
        <f t="shared" si="9"/>
        <v>55011.83735</v>
      </c>
      <c r="F199" s="242">
        <f>IF(B199="","",PRIX!B220*$Q$6+$R$6*PRIX!C220+PRIX!D220*$S$6+$T$6*PRIX!E220+PRIX!F220*$U$6+PRIX!G220*$V$6+$W$6*PRIX!H220+PRIX!I220*$X$6)</f>
        <v>43146.82675</v>
      </c>
      <c r="G199" s="270">
        <f>IF(B199="","",'Historique détail'!U219)</f>
        <v>50956.00987</v>
      </c>
      <c r="H199" s="244">
        <f t="shared" si="3"/>
        <v>0.1809909027</v>
      </c>
      <c r="I199" s="266">
        <f t="shared" si="4"/>
        <v>0.3600048154</v>
      </c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  <c r="AH199" s="217"/>
      <c r="AI199" s="217"/>
      <c r="AJ199" s="217"/>
      <c r="AK199" s="217"/>
      <c r="AL199" s="217"/>
      <c r="AM199" s="149"/>
    </row>
    <row r="200" ht="22.5" customHeight="1">
      <c r="A200" s="217"/>
      <c r="B200" s="263">
        <f>IF(ARBITRAGES!E221=0,"",ARBITRAGES!E221)</f>
        <v>45989</v>
      </c>
      <c r="C200" s="231">
        <f t="shared" si="11"/>
        <v>37467.52166</v>
      </c>
      <c r="D200" s="264">
        <f>IF(F200="","",PRIX!B221)</f>
        <v>92500</v>
      </c>
      <c r="E200" s="264">
        <f t="shared" si="9"/>
        <v>55011.83735</v>
      </c>
      <c r="F200" s="242">
        <f>IF(B200="","",PRIX!B221*$Q$6+$R$6*PRIX!C221+PRIX!D221*$S$6+$T$6*PRIX!E221+PRIX!F221*$U$6+PRIX!G221*$V$6+$W$6*PRIX!H221+PRIX!I221*$X$6)</f>
        <v>43146.82675</v>
      </c>
      <c r="G200" s="270">
        <f>IF(B200="","",'Historique détail'!U220)</f>
        <v>50952.25987</v>
      </c>
      <c r="H200" s="244">
        <f t="shared" si="3"/>
        <v>0.1809039902</v>
      </c>
      <c r="I200" s="266">
        <f t="shared" si="4"/>
        <v>0.3599047287</v>
      </c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  <c r="AE200" s="217"/>
      <c r="AF200" s="217"/>
      <c r="AG200" s="217"/>
      <c r="AH200" s="217"/>
      <c r="AI200" s="217"/>
      <c r="AJ200" s="217"/>
      <c r="AK200" s="217"/>
      <c r="AL200" s="217"/>
      <c r="AM200" s="149"/>
    </row>
    <row r="201" ht="22.5" customHeight="1">
      <c r="A201" s="217"/>
      <c r="B201" s="263">
        <f>IF(ARBITRAGES!E222=0,"",ARBITRAGES!E222)</f>
        <v>45991</v>
      </c>
      <c r="C201" s="231">
        <f t="shared" si="11"/>
        <v>37467.52166</v>
      </c>
      <c r="D201" s="264">
        <f>IF(F201="","",PRIX!B222)</f>
        <v>87000</v>
      </c>
      <c r="E201" s="264">
        <f t="shared" si="9"/>
        <v>51740.86324</v>
      </c>
      <c r="F201" s="242">
        <f>IF(B201="","",PRIX!B222*$Q$6+$R$6*PRIX!C222+PRIX!D222*$S$6+$T$6*PRIX!E222+PRIX!F222*$U$6+PRIX!G222*$V$6+$W$6*PRIX!H222+PRIX!I222*$X$6)</f>
        <v>40064.55148</v>
      </c>
      <c r="G201" s="270">
        <f>IF(B201="","",'Historique détail'!U221)</f>
        <v>47959.81892</v>
      </c>
      <c r="H201" s="244">
        <f t="shared" si="3"/>
        <v>0.1970636673</v>
      </c>
      <c r="I201" s="266">
        <f t="shared" si="4"/>
        <v>0.2800371308</v>
      </c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17"/>
      <c r="AG201" s="217"/>
      <c r="AH201" s="217"/>
      <c r="AI201" s="217"/>
      <c r="AJ201" s="217"/>
      <c r="AK201" s="217"/>
      <c r="AL201" s="217"/>
      <c r="AM201" s="149"/>
    </row>
    <row r="202" ht="22.5" customHeight="1">
      <c r="A202" s="217"/>
      <c r="B202" s="263">
        <f>IF(ARBITRAGES!E223=0,"",ARBITRAGES!E223)</f>
        <v>45992</v>
      </c>
      <c r="C202" s="231">
        <f t="shared" si="11"/>
        <v>37467.52166</v>
      </c>
      <c r="D202" s="264">
        <f>IF(F202="","",PRIX!B223)</f>
        <v>87000</v>
      </c>
      <c r="E202" s="264">
        <f t="shared" si="9"/>
        <v>51740.86324</v>
      </c>
      <c r="F202" s="242">
        <f>IF(B202="","",PRIX!B223*$Q$6+$R$6*PRIX!C223+PRIX!D223*$S$6+$T$6*PRIX!E223+PRIX!F223*$U$6+PRIX!G223*$V$6+$W$6*PRIX!H223+PRIX!I223*$X$6)</f>
        <v>40064.55148</v>
      </c>
      <c r="G202" s="270">
        <f>IF(B202="","",'Historique détail'!U222)</f>
        <v>47966.31892</v>
      </c>
      <c r="H202" s="244">
        <f t="shared" si="3"/>
        <v>0.1972259054</v>
      </c>
      <c r="I202" s="266">
        <f t="shared" si="4"/>
        <v>0.2802106144</v>
      </c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  <c r="AH202" s="217"/>
      <c r="AI202" s="217"/>
      <c r="AJ202" s="217"/>
      <c r="AK202" s="217"/>
      <c r="AL202" s="217"/>
      <c r="AM202" s="149"/>
    </row>
    <row r="203" ht="22.5" customHeight="1">
      <c r="A203" s="217"/>
      <c r="B203" s="263">
        <f>IF(ARBITRAGES!E224=0,"",ARBITRAGES!E224)</f>
        <v>45992</v>
      </c>
      <c r="C203" s="231">
        <f t="shared" si="11"/>
        <v>37467.52166</v>
      </c>
      <c r="D203" s="264">
        <f>IF(F203="","",PRIX!B224)</f>
        <v>87000</v>
      </c>
      <c r="E203" s="264">
        <f t="shared" si="9"/>
        <v>51740.86324</v>
      </c>
      <c r="F203" s="242">
        <f>IF(B203="","",PRIX!B224*$Q$6+$R$6*PRIX!C224+PRIX!D224*$S$6+$T$6*PRIX!E224+PRIX!F224*$U$6+PRIX!G224*$V$6+$W$6*PRIX!H224+PRIX!I224*$X$6)</f>
        <v>40064.55148</v>
      </c>
      <c r="G203" s="270">
        <f>IF(B203="","",'Historique détail'!U223)</f>
        <v>47956.31892</v>
      </c>
      <c r="H203" s="244">
        <f t="shared" si="3"/>
        <v>0.1969763082</v>
      </c>
      <c r="I203" s="266">
        <f t="shared" si="4"/>
        <v>0.2799437166</v>
      </c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  <c r="AE203" s="217"/>
      <c r="AF203" s="217"/>
      <c r="AG203" s="217"/>
      <c r="AH203" s="217"/>
      <c r="AI203" s="217"/>
      <c r="AJ203" s="217"/>
      <c r="AK203" s="217"/>
      <c r="AL203" s="217"/>
      <c r="AM203" s="149"/>
    </row>
    <row r="204" ht="22.5" customHeight="1">
      <c r="A204" s="217"/>
      <c r="B204" s="263">
        <f>IF(ARBITRAGES!E225=0,"",ARBITRAGES!E225)</f>
        <v>45992</v>
      </c>
      <c r="C204" s="231">
        <f t="shared" si="11"/>
        <v>37467.52166</v>
      </c>
      <c r="D204" s="264">
        <f>IF(F204="","",PRIX!B225)</f>
        <v>87000</v>
      </c>
      <c r="E204" s="264">
        <f t="shared" si="9"/>
        <v>51740.86324</v>
      </c>
      <c r="F204" s="242">
        <f>IF(B204="","",PRIX!B225*$Q$6+$R$6*PRIX!C225+PRIX!D225*$S$6+$T$6*PRIX!E225+PRIX!F225*$U$6+PRIX!G225*$V$6+$W$6*PRIX!H225+PRIX!I225*$X$6)</f>
        <v>40064.55148</v>
      </c>
      <c r="G204" s="270">
        <f>IF(B204="","",'Historique détail'!U224)</f>
        <v>47958.32158</v>
      </c>
      <c r="H204" s="244">
        <f t="shared" si="3"/>
        <v>0.1970262941</v>
      </c>
      <c r="I204" s="266">
        <f t="shared" si="4"/>
        <v>0.2799971671</v>
      </c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  <c r="AF204" s="217"/>
      <c r="AG204" s="217"/>
      <c r="AH204" s="217"/>
      <c r="AI204" s="217"/>
      <c r="AJ204" s="217"/>
      <c r="AK204" s="217"/>
      <c r="AL204" s="217"/>
      <c r="AM204" s="149"/>
    </row>
    <row r="205" ht="22.5" customHeight="1">
      <c r="A205" s="217"/>
      <c r="B205" s="263">
        <f>IF(ARBITRAGES!E226=0,"",ARBITRAGES!E226)</f>
        <v>45992</v>
      </c>
      <c r="C205" s="231">
        <f t="shared" si="11"/>
        <v>37467.52166</v>
      </c>
      <c r="D205" s="264">
        <f>IF(F205="","",PRIX!B226)</f>
        <v>90000</v>
      </c>
      <c r="E205" s="264">
        <f t="shared" si="9"/>
        <v>53525.03094</v>
      </c>
      <c r="F205" s="242">
        <f>IF(B205="","",PRIX!B226*$Q$6+$R$6*PRIX!C226+PRIX!D226*$S$6+$T$6*PRIX!E226+PRIX!F226*$U$6+PRIX!G226*$V$6+$W$6*PRIX!H226+PRIX!I226*$X$6)</f>
        <v>41394.68662</v>
      </c>
      <c r="G205" s="270">
        <f>IF(B205="","",'Historique détail'!U225)</f>
        <v>49246.0262</v>
      </c>
      <c r="H205" s="244">
        <f t="shared" si="3"/>
        <v>0.1896702264</v>
      </c>
      <c r="I205" s="266">
        <f t="shared" si="4"/>
        <v>0.3143657232</v>
      </c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7"/>
      <c r="AH205" s="217"/>
      <c r="AI205" s="217"/>
      <c r="AJ205" s="217"/>
      <c r="AK205" s="217"/>
      <c r="AL205" s="217"/>
      <c r="AM205" s="149"/>
    </row>
    <row r="206" ht="22.5" customHeight="1">
      <c r="A206" s="217"/>
      <c r="B206" s="263">
        <f>IF(ARBITRAGES!E227=0,"",ARBITRAGES!E227)</f>
        <v>45993</v>
      </c>
      <c r="C206" s="231">
        <f t="shared" si="11"/>
        <v>37467.52166</v>
      </c>
      <c r="D206" s="264">
        <f>IF(F206="","",PRIX!B227)</f>
        <v>90000</v>
      </c>
      <c r="E206" s="264">
        <f t="shared" si="9"/>
        <v>53525.03094</v>
      </c>
      <c r="F206" s="242">
        <f>IF(B206="","",PRIX!B227*$Q$6+$R$6*PRIX!C227+PRIX!D227*$S$6+$T$6*PRIX!E227+PRIX!F227*$U$6+PRIX!G227*$V$6+$W$6*PRIX!H227+PRIX!I227*$X$6)</f>
        <v>41394.68662</v>
      </c>
      <c r="G206" s="270">
        <f>IF(B206="","",'Historique détail'!U226)</f>
        <v>49246.0262</v>
      </c>
      <c r="H206" s="244">
        <f t="shared" si="3"/>
        <v>0.1896702264</v>
      </c>
      <c r="I206" s="266">
        <f t="shared" si="4"/>
        <v>0.3143657232</v>
      </c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  <c r="AC206" s="217"/>
      <c r="AD206" s="217"/>
      <c r="AE206" s="217"/>
      <c r="AF206" s="217"/>
      <c r="AG206" s="217"/>
      <c r="AH206" s="217"/>
      <c r="AI206" s="217"/>
      <c r="AJ206" s="217"/>
      <c r="AK206" s="217"/>
      <c r="AL206" s="217"/>
      <c r="AM206" s="149"/>
    </row>
    <row r="207" ht="22.5" customHeight="1">
      <c r="A207" s="217"/>
      <c r="B207" s="263">
        <f>IF(ARBITRAGES!E228=0,"",ARBITRAGES!E228)</f>
        <v>45993</v>
      </c>
      <c r="C207" s="231">
        <f t="shared" si="11"/>
        <v>37467.52166</v>
      </c>
      <c r="D207" s="264">
        <f>IF(F207="","",PRIX!B228)</f>
        <v>93000</v>
      </c>
      <c r="E207" s="264">
        <f t="shared" si="9"/>
        <v>55309.19863</v>
      </c>
      <c r="F207" s="242">
        <f>IF(B207="","",PRIX!B228*$Q$6+$R$6*PRIX!C228+PRIX!D228*$S$6+$T$6*PRIX!E228+PRIX!F228*$U$6+PRIX!G228*$V$6+$W$6*PRIX!H228+PRIX!I228*$X$6)</f>
        <v>43281.0504</v>
      </c>
      <c r="G207" s="270">
        <f>IF(B207="","",'Historique détail'!U227)</f>
        <v>50830.33496</v>
      </c>
      <c r="H207" s="244">
        <f t="shared" si="3"/>
        <v>0.1744247076</v>
      </c>
      <c r="I207" s="266">
        <f t="shared" si="4"/>
        <v>0.3566505793</v>
      </c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  <c r="AF207" s="217"/>
      <c r="AG207" s="217"/>
      <c r="AH207" s="217"/>
      <c r="AI207" s="217"/>
      <c r="AJ207" s="217"/>
      <c r="AK207" s="217"/>
      <c r="AL207" s="217"/>
      <c r="AM207" s="149"/>
    </row>
    <row r="208" ht="22.5" customHeight="1">
      <c r="A208" s="217"/>
      <c r="B208" s="263">
        <f>IF(ARBITRAGES!E229=0,"",ARBITRAGES!E229)</f>
        <v>45993</v>
      </c>
      <c r="C208" s="231">
        <f t="shared" si="11"/>
        <v>37467.52166</v>
      </c>
      <c r="D208" s="264">
        <f>IF(F208="","",PRIX!B229)</f>
        <v>93000</v>
      </c>
      <c r="E208" s="264">
        <f t="shared" si="9"/>
        <v>55309.19863</v>
      </c>
      <c r="F208" s="242">
        <f>IF(B208="","",PRIX!B229*$Q$6+$R$6*PRIX!C229+PRIX!D229*$S$6+$T$6*PRIX!E229+PRIX!F229*$U$6+PRIX!G229*$V$6+$W$6*PRIX!H229+PRIX!I229*$X$6)</f>
        <v>43281.0504</v>
      </c>
      <c r="G208" s="270">
        <f>IF(B208="","",'Historique détail'!U228)</f>
        <v>50830.30496</v>
      </c>
      <c r="H208" s="244">
        <f t="shared" si="3"/>
        <v>0.1744240145</v>
      </c>
      <c r="I208" s="266">
        <f t="shared" si="4"/>
        <v>0.3566497786</v>
      </c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  <c r="AC208" s="217"/>
      <c r="AD208" s="217"/>
      <c r="AE208" s="217"/>
      <c r="AF208" s="217"/>
      <c r="AG208" s="217"/>
      <c r="AH208" s="217"/>
      <c r="AI208" s="217"/>
      <c r="AJ208" s="217"/>
      <c r="AK208" s="217"/>
      <c r="AL208" s="217"/>
      <c r="AM208" s="149"/>
    </row>
    <row r="209" ht="22.5" customHeight="1">
      <c r="A209" s="217"/>
      <c r="B209" s="263">
        <f>IF(ARBITRAGES!E230=0,"",ARBITRAGES!E230)</f>
        <v>45994</v>
      </c>
      <c r="C209" s="231">
        <f t="shared" si="11"/>
        <v>37467.52166</v>
      </c>
      <c r="D209" s="264">
        <f>IF(F209="","",PRIX!B230)</f>
        <v>93000</v>
      </c>
      <c r="E209" s="264">
        <f t="shared" si="9"/>
        <v>55309.19863</v>
      </c>
      <c r="F209" s="242">
        <f>IF(B209="","",PRIX!B230*$Q$6+$R$6*PRIX!C230+PRIX!D230*$S$6+$T$6*PRIX!E230+PRIX!F230*$U$6+PRIX!G230*$V$6+$W$6*PRIX!H230+PRIX!I230*$X$6)</f>
        <v>43281.0504</v>
      </c>
      <c r="G209" s="270">
        <f>IF(B209="","",'Historique détail'!U229)</f>
        <v>50831.64544</v>
      </c>
      <c r="H209" s="244">
        <f t="shared" si="3"/>
        <v>0.1744549861</v>
      </c>
      <c r="I209" s="266">
        <f t="shared" si="4"/>
        <v>0.3566855557</v>
      </c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  <c r="AH209" s="217"/>
      <c r="AI209" s="217"/>
      <c r="AJ209" s="217"/>
      <c r="AK209" s="217"/>
      <c r="AL209" s="217"/>
      <c r="AM209" s="149"/>
    </row>
    <row r="210" ht="22.5" customHeight="1">
      <c r="A210" s="217"/>
      <c r="B210" s="263">
        <f>IF(ARBITRAGES!E231=0,"",ARBITRAGES!E231)</f>
        <v>45994</v>
      </c>
      <c r="C210" s="231">
        <f t="shared" si="11"/>
        <v>37467.52166</v>
      </c>
      <c r="D210" s="264">
        <f>IF(F210="","",PRIX!B231)</f>
        <v>93000</v>
      </c>
      <c r="E210" s="264">
        <f t="shared" si="9"/>
        <v>55309.19863</v>
      </c>
      <c r="F210" s="242">
        <f>IF(B210="","",PRIX!B231*$Q$6+$R$6*PRIX!C231+PRIX!D231*$S$6+$T$6*PRIX!E231+PRIX!F231*$U$6+PRIX!G231*$V$6+$W$6*PRIX!H231+PRIX!I231*$X$6)</f>
        <v>43281.0504</v>
      </c>
      <c r="G210" s="270">
        <f>IF(B210="","",'Historique détail'!U230)</f>
        <v>50831.64544</v>
      </c>
      <c r="H210" s="244">
        <f t="shared" si="3"/>
        <v>0.1744549861</v>
      </c>
      <c r="I210" s="266">
        <f t="shared" si="4"/>
        <v>0.3566855557</v>
      </c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  <c r="AC210" s="217"/>
      <c r="AD210" s="217"/>
      <c r="AE210" s="217"/>
      <c r="AF210" s="217"/>
      <c r="AG210" s="217"/>
      <c r="AH210" s="217"/>
      <c r="AI210" s="217"/>
      <c r="AJ210" s="217"/>
      <c r="AK210" s="217"/>
      <c r="AL210" s="217"/>
      <c r="AM210" s="149"/>
    </row>
    <row r="211" ht="22.5" customHeight="1">
      <c r="A211" s="217"/>
      <c r="B211" s="263">
        <f>IF(ARBITRAGES!E232=0,"",ARBITRAGES!E232)</f>
        <v>45995</v>
      </c>
      <c r="C211" s="231">
        <f t="shared" si="11"/>
        <v>37467.52166</v>
      </c>
      <c r="D211" s="264">
        <f>IF(F211="","",PRIX!B232)</f>
        <v>93000</v>
      </c>
      <c r="E211" s="264">
        <f t="shared" si="9"/>
        <v>55309.19863</v>
      </c>
      <c r="F211" s="242">
        <f>IF(B211="","",PRIX!B232*$Q$6+$R$6*PRIX!C232+PRIX!D232*$S$6+$T$6*PRIX!E232+PRIX!F232*$U$6+PRIX!G232*$V$6+$W$6*PRIX!H232+PRIX!I232*$X$6)</f>
        <v>43422.43727</v>
      </c>
      <c r="G211" s="270">
        <f>IF(B211="","",'Historique détail'!U231)</f>
        <v>50951.29748</v>
      </c>
      <c r="H211" s="244">
        <f t="shared" si="3"/>
        <v>0.173386403</v>
      </c>
      <c r="I211" s="266">
        <f t="shared" si="4"/>
        <v>0.3598790426</v>
      </c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  <c r="AC211" s="217"/>
      <c r="AD211" s="217"/>
      <c r="AE211" s="217"/>
      <c r="AF211" s="217"/>
      <c r="AG211" s="217"/>
      <c r="AH211" s="217"/>
      <c r="AI211" s="217"/>
      <c r="AJ211" s="217"/>
      <c r="AK211" s="217"/>
      <c r="AL211" s="217"/>
      <c r="AM211" s="149"/>
    </row>
    <row r="212" ht="22.5" customHeight="1">
      <c r="A212" s="217"/>
      <c r="B212" s="263">
        <f>IF(ARBITRAGES!E233=0,"",ARBITRAGES!E233)</f>
        <v>46001</v>
      </c>
      <c r="C212" s="231">
        <f t="shared" si="11"/>
        <v>37467.52166</v>
      </c>
      <c r="D212" s="264">
        <f>IF(F212="","",PRIX!B233)</f>
        <v>93000</v>
      </c>
      <c r="E212" s="264">
        <f t="shared" si="9"/>
        <v>55309.19863</v>
      </c>
      <c r="F212" s="242">
        <f>IF(B212="","",PRIX!B233*$Q$6+$R$6*PRIX!C233+PRIX!D233*$S$6+$T$6*PRIX!E233+PRIX!F233*$U$6+PRIX!G233*$V$6+$W$6*PRIX!H233+PRIX!I233*$X$6)</f>
        <v>43856.02468</v>
      </c>
      <c r="G212" s="270">
        <f>IF(B212="","",'Historique détail'!U232)</f>
        <v>51375.74074</v>
      </c>
      <c r="H212" s="244">
        <f t="shared" si="3"/>
        <v>0.1714636956</v>
      </c>
      <c r="I212" s="266">
        <f t="shared" si="4"/>
        <v>0.371207341</v>
      </c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  <c r="AC212" s="217"/>
      <c r="AD212" s="217"/>
      <c r="AE212" s="217"/>
      <c r="AF212" s="217"/>
      <c r="AG212" s="217"/>
      <c r="AH212" s="217"/>
      <c r="AI212" s="217"/>
      <c r="AJ212" s="217"/>
      <c r="AK212" s="217"/>
      <c r="AL212" s="217"/>
      <c r="AM212" s="149"/>
    </row>
    <row r="213" ht="22.5" customHeight="1">
      <c r="A213" s="217"/>
      <c r="B213" s="263">
        <f>IF(ARBITRAGES!E234=0,"",ARBITRAGES!E234)</f>
        <v>46026</v>
      </c>
      <c r="C213" s="231">
        <f t="shared" si="11"/>
        <v>37467.52166</v>
      </c>
      <c r="D213" s="264">
        <f>IF(F213="","",PRIX!B234)</f>
        <v>91500</v>
      </c>
      <c r="E213" s="264">
        <f t="shared" si="9"/>
        <v>54417.11478</v>
      </c>
      <c r="F213" s="242">
        <f>IF(B213="","",PRIX!B234*$Q$6+$R$6*PRIX!C234+PRIX!D234*$S$6+$T$6*PRIX!E234+PRIX!F234*$U$6+PRIX!G234*$V$6+$W$6*PRIX!H234+PRIX!I234*$X$6)</f>
        <v>42596.84048</v>
      </c>
      <c r="G213" s="270">
        <f>IF(B213="","",'Historique détail'!U233)</f>
        <v>50259.36039</v>
      </c>
      <c r="H213" s="244">
        <f t="shared" si="3"/>
        <v>0.1798847009</v>
      </c>
      <c r="I213" s="266">
        <f t="shared" si="4"/>
        <v>0.3414113923</v>
      </c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  <c r="AC213" s="217"/>
      <c r="AD213" s="217"/>
      <c r="AE213" s="217"/>
      <c r="AF213" s="217"/>
      <c r="AG213" s="217"/>
      <c r="AH213" s="217"/>
      <c r="AI213" s="217"/>
      <c r="AJ213" s="217"/>
      <c r="AK213" s="217"/>
      <c r="AL213" s="217"/>
      <c r="AM213" s="149"/>
    </row>
    <row r="214" ht="22.5" customHeight="1">
      <c r="A214" s="217"/>
      <c r="B214" s="263">
        <f>IF(ARBITRAGES!E235=0,"",ARBITRAGES!E235)</f>
        <v>46039</v>
      </c>
      <c r="C214" s="231">
        <f t="shared" si="11"/>
        <v>37467.52166</v>
      </c>
      <c r="D214" s="264">
        <f>IF(F214="","",PRIX!B235)</f>
        <v>92200</v>
      </c>
      <c r="E214" s="264">
        <f t="shared" si="9"/>
        <v>54833.42058</v>
      </c>
      <c r="F214" s="242">
        <f>IF(B214="","",PRIX!B235*$Q$6+$R$6*PRIX!C235+PRIX!D235*$S$6+$T$6*PRIX!E235+PRIX!F235*$U$6+PRIX!G235*$V$6+$W$6*PRIX!H235+PRIX!I235*$X$6)</f>
        <v>42041.16782</v>
      </c>
      <c r="G214" s="270">
        <f>IF(B214="","",'Historique détail'!U234)</f>
        <v>50101.19299</v>
      </c>
      <c r="H214" s="244">
        <f t="shared" si="3"/>
        <v>0.1917174423</v>
      </c>
      <c r="I214" s="266">
        <f t="shared" si="4"/>
        <v>0.3371899388</v>
      </c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  <c r="AE214" s="217"/>
      <c r="AF214" s="217"/>
      <c r="AG214" s="217"/>
      <c r="AH214" s="217"/>
      <c r="AI214" s="217"/>
      <c r="AJ214" s="217"/>
      <c r="AK214" s="217"/>
      <c r="AL214" s="217"/>
      <c r="AM214" s="149"/>
    </row>
    <row r="215" ht="22.5" customHeight="1">
      <c r="A215" s="217"/>
      <c r="B215" s="263">
        <f>IF(ARBITRAGES!E236=0,"",ARBITRAGES!E236)</f>
        <v>46045</v>
      </c>
      <c r="C215" s="231">
        <f t="shared" si="11"/>
        <v>37467.52166</v>
      </c>
      <c r="D215" s="264">
        <f>IF(F215="","",PRIX!B236)</f>
        <v>89000</v>
      </c>
      <c r="E215" s="264">
        <f t="shared" si="9"/>
        <v>52930.30837</v>
      </c>
      <c r="F215" s="242">
        <f>IF(B215="","",PRIX!B236*$Q$6+$R$6*PRIX!C236+PRIX!D236*$S$6+$T$6*PRIX!E236+PRIX!F236*$U$6+PRIX!G236*$V$6+$W$6*PRIX!H236+PRIX!I236*$X$6)</f>
        <v>40650.73051</v>
      </c>
      <c r="G215" s="270">
        <f>IF(B215="","",'Historique détail'!U235)</f>
        <v>48792.21262</v>
      </c>
      <c r="H215" s="244">
        <f t="shared" si="3"/>
        <v>0.2002788636</v>
      </c>
      <c r="I215" s="266">
        <f t="shared" si="4"/>
        <v>0.3022535376</v>
      </c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  <c r="AE215" s="217"/>
      <c r="AF215" s="217"/>
      <c r="AG215" s="217"/>
      <c r="AH215" s="217"/>
      <c r="AI215" s="217"/>
      <c r="AJ215" s="217"/>
      <c r="AK215" s="217"/>
      <c r="AL215" s="217"/>
      <c r="AM215" s="149"/>
    </row>
    <row r="216" ht="22.5" customHeight="1">
      <c r="A216" s="217"/>
      <c r="B216" s="263">
        <f>IF(ARBITRAGES!E237=0,"",ARBITRAGES!E237)</f>
        <v>46046</v>
      </c>
      <c r="C216" s="231">
        <f t="shared" si="11"/>
        <v>37467.52166</v>
      </c>
      <c r="D216" s="264">
        <f>IF(F216="","",PRIX!B237)</f>
        <v>89000</v>
      </c>
      <c r="E216" s="264">
        <f t="shared" si="9"/>
        <v>52930.30837</v>
      </c>
      <c r="F216" s="242">
        <f>IF(B216="","",PRIX!B237*$Q$6+$R$6*PRIX!C237+PRIX!D237*$S$6+$T$6*PRIX!E237+PRIX!F237*$U$6+PRIX!G237*$V$6+$W$6*PRIX!H237+PRIX!I237*$X$6)</f>
        <v>40650.73051</v>
      </c>
      <c r="G216" s="270">
        <f>IF(B216="","",'Historique détail'!U236)</f>
        <v>48800.56917</v>
      </c>
      <c r="H216" s="244">
        <f t="shared" si="3"/>
        <v>0.200484433</v>
      </c>
      <c r="I216" s="266">
        <f t="shared" si="4"/>
        <v>0.302476572</v>
      </c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  <c r="AF216" s="217"/>
      <c r="AG216" s="217"/>
      <c r="AH216" s="217"/>
      <c r="AI216" s="217"/>
      <c r="AJ216" s="217"/>
      <c r="AK216" s="217"/>
      <c r="AL216" s="217"/>
      <c r="AM216" s="149"/>
    </row>
    <row r="217" ht="22.5" customHeight="1">
      <c r="A217" s="217"/>
      <c r="B217" s="263">
        <f>IF(ARBITRAGES!E238=0,"",ARBITRAGES!E238)</f>
        <v>46047</v>
      </c>
      <c r="C217" s="231">
        <f t="shared" si="11"/>
        <v>37467.52166</v>
      </c>
      <c r="D217" s="264">
        <f>IF(F217="","",PRIX!B238)</f>
        <v>88000</v>
      </c>
      <c r="E217" s="264">
        <f t="shared" si="9"/>
        <v>52335.5858</v>
      </c>
      <c r="F217" s="242">
        <f>IF(B217="","",PRIX!B238*$Q$6+$R$6*PRIX!C238+PRIX!D238*$S$6+$T$6*PRIX!E238+PRIX!F238*$U$6+PRIX!G238*$V$6+$W$6*PRIX!H238+PRIX!I238*$X$6)</f>
        <v>39945.56058</v>
      </c>
      <c r="G217" s="270">
        <f>IF(B217="","",'Historique détail'!U237)</f>
        <v>48287.00358</v>
      </c>
      <c r="H217" s="244">
        <f t="shared" si="3"/>
        <v>0.2088202762</v>
      </c>
      <c r="I217" s="266">
        <f t="shared" si="4"/>
        <v>0.2887696182</v>
      </c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  <c r="AC217" s="217"/>
      <c r="AD217" s="217"/>
      <c r="AE217" s="217"/>
      <c r="AF217" s="217"/>
      <c r="AG217" s="217"/>
      <c r="AH217" s="217"/>
      <c r="AI217" s="217"/>
      <c r="AJ217" s="217"/>
      <c r="AK217" s="217"/>
      <c r="AL217" s="217"/>
      <c r="AM217" s="149"/>
    </row>
    <row r="218" ht="22.5" customHeight="1">
      <c r="A218" s="217"/>
      <c r="B218" s="263">
        <f>IF(ARBITRAGES!E239=0,"",ARBITRAGES!E239)</f>
        <v>46048</v>
      </c>
      <c r="C218" s="231">
        <f t="shared" si="11"/>
        <v>37467.52166</v>
      </c>
      <c r="D218" s="264">
        <f>IF(F218="","",PRIX!B239)</f>
        <v>88000</v>
      </c>
      <c r="E218" s="264">
        <f t="shared" si="9"/>
        <v>52335.5858</v>
      </c>
      <c r="F218" s="242">
        <f>IF(B218="","",PRIX!B239*$Q$6+$R$6*PRIX!C239+PRIX!D239*$S$6+$T$6*PRIX!E239+PRIX!F239*$U$6+PRIX!G239*$V$6+$W$6*PRIX!H239+PRIX!I239*$X$6)</f>
        <v>39945.56058</v>
      </c>
      <c r="G218" s="270">
        <f>IF(B218="","",'Historique détail'!U238)</f>
        <v>48288.14644</v>
      </c>
      <c r="H218" s="244">
        <f t="shared" si="3"/>
        <v>0.2088488866</v>
      </c>
      <c r="I218" s="266">
        <f t="shared" si="4"/>
        <v>0.2888001208</v>
      </c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17"/>
      <c r="AD218" s="217"/>
      <c r="AE218" s="217"/>
      <c r="AF218" s="217"/>
      <c r="AG218" s="217"/>
      <c r="AH218" s="217"/>
      <c r="AI218" s="217"/>
      <c r="AJ218" s="217"/>
      <c r="AK218" s="217"/>
      <c r="AL218" s="217"/>
      <c r="AM218" s="149"/>
    </row>
    <row r="219" ht="22.5" customHeight="1">
      <c r="A219" s="217"/>
      <c r="B219" s="263">
        <f>IF(ARBITRAGES!E240=0,"",ARBITRAGES!E240)</f>
        <v>46053</v>
      </c>
      <c r="C219" s="231">
        <f t="shared" si="11"/>
        <v>37467.52166</v>
      </c>
      <c r="D219" s="264">
        <f>IF(F219="","",PRIX!B240)</f>
        <v>83000</v>
      </c>
      <c r="E219" s="264">
        <f t="shared" si="9"/>
        <v>49361.97297</v>
      </c>
      <c r="F219" s="242">
        <f>IF(B219="","",PRIX!B240*$Q$6+$R$6*PRIX!C240+PRIX!D240*$S$6+$T$6*PRIX!E240+PRIX!F240*$U$6+PRIX!G240*$V$6+$W$6*PRIX!H240+PRIX!I240*$X$6)</f>
        <v>37309.98967</v>
      </c>
      <c r="G219" s="270">
        <f>IF(B219="","",'Historique détail'!U239)</f>
        <v>46066.89183</v>
      </c>
      <c r="H219" s="244">
        <f t="shared" si="3"/>
        <v>0.234706636</v>
      </c>
      <c r="I219" s="266">
        <f t="shared" si="4"/>
        <v>0.2295153189</v>
      </c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17"/>
      <c r="AD219" s="217"/>
      <c r="AE219" s="217"/>
      <c r="AF219" s="217"/>
      <c r="AG219" s="217"/>
      <c r="AH219" s="217"/>
      <c r="AI219" s="217"/>
      <c r="AJ219" s="217"/>
      <c r="AK219" s="217"/>
      <c r="AL219" s="217"/>
      <c r="AM219" s="149"/>
    </row>
    <row r="220" ht="22.5" customHeight="1">
      <c r="A220" s="217"/>
      <c r="B220" s="263">
        <f>IF(ARBITRAGES!E241=0,"",ARBITRAGES!E241)</f>
        <v>46053</v>
      </c>
      <c r="C220" s="231">
        <f t="shared" si="11"/>
        <v>37467.52166</v>
      </c>
      <c r="D220" s="264">
        <f>IF(F220="","",PRIX!B241)</f>
        <v>83000</v>
      </c>
      <c r="E220" s="264">
        <f t="shared" si="9"/>
        <v>49361.97297</v>
      </c>
      <c r="F220" s="242">
        <f>IF(B220="","",PRIX!B241*$Q$6+$R$6*PRIX!C241+PRIX!D241*$S$6+$T$6*PRIX!E241+PRIX!F241*$U$6+PRIX!G241*$V$6+$W$6*PRIX!H241+PRIX!I241*$X$6)</f>
        <v>37309.98967</v>
      </c>
      <c r="G220" s="270">
        <f>IF(B220="","",'Historique détail'!U240)</f>
        <v>46069.89183</v>
      </c>
      <c r="H220" s="244">
        <f t="shared" si="3"/>
        <v>0.2347870434</v>
      </c>
      <c r="I220" s="266">
        <f t="shared" si="4"/>
        <v>0.2295953882</v>
      </c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  <c r="AA220" s="217"/>
      <c r="AB220" s="217"/>
      <c r="AC220" s="217"/>
      <c r="AD220" s="217"/>
      <c r="AE220" s="217"/>
      <c r="AF220" s="217"/>
      <c r="AG220" s="217"/>
      <c r="AH220" s="217"/>
      <c r="AI220" s="217"/>
      <c r="AJ220" s="217"/>
      <c r="AK220" s="217"/>
      <c r="AL220" s="217"/>
      <c r="AM220" s="149"/>
    </row>
    <row r="221" ht="22.5" customHeight="1">
      <c r="A221" s="217"/>
      <c r="B221" s="263">
        <f>IF(ARBITRAGES!E242=0,"",ARBITRAGES!E242)</f>
        <v>46053</v>
      </c>
      <c r="C221" s="231">
        <f t="shared" si="11"/>
        <v>37467.52166</v>
      </c>
      <c r="D221" s="264">
        <f>IF(F221="","",PRIX!B242)</f>
        <v>83000</v>
      </c>
      <c r="E221" s="264">
        <f t="shared" si="9"/>
        <v>49361.97297</v>
      </c>
      <c r="F221" s="242">
        <f>IF(B221="","",PRIX!B242*$Q$6+$R$6*PRIX!C242+PRIX!D242*$S$6+$T$6*PRIX!E242+PRIX!F242*$U$6+PRIX!G242*$V$6+$W$6*PRIX!H242+PRIX!I242*$X$6)</f>
        <v>37309.98967</v>
      </c>
      <c r="G221" s="270">
        <f>IF(B221="","",'Historique détail'!U241)</f>
        <v>46067.51836</v>
      </c>
      <c r="H221" s="244">
        <f t="shared" si="3"/>
        <v>0.2347234285</v>
      </c>
      <c r="I221" s="266">
        <f t="shared" si="4"/>
        <v>0.2295320408</v>
      </c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  <c r="AH221" s="217"/>
      <c r="AI221" s="217"/>
      <c r="AJ221" s="217"/>
      <c r="AK221" s="217"/>
      <c r="AL221" s="217"/>
      <c r="AM221" s="149"/>
    </row>
    <row r="222" ht="22.5" customHeight="1">
      <c r="A222" s="217"/>
      <c r="B222" s="263">
        <f>IF(ARBITRAGES!E243=0,"",ARBITRAGES!E243)</f>
        <v>46053</v>
      </c>
      <c r="C222" s="231">
        <f t="shared" si="11"/>
        <v>37467.52166</v>
      </c>
      <c r="D222" s="264">
        <f>IF(F222="","",PRIX!B243)</f>
        <v>83000</v>
      </c>
      <c r="E222" s="264">
        <f t="shared" si="9"/>
        <v>49361.97297</v>
      </c>
      <c r="F222" s="242">
        <f>IF(B222="","",PRIX!B243*$Q$6+$R$6*PRIX!C243+PRIX!D243*$S$6+$T$6*PRIX!E243+PRIX!F243*$U$6+PRIX!G243*$V$6+$W$6*PRIX!H243+PRIX!I243*$X$6)</f>
        <v>37309.98967</v>
      </c>
      <c r="G222" s="270">
        <f>IF(B222="","",'Historique détail'!U242)</f>
        <v>46171.79903</v>
      </c>
      <c r="H222" s="244">
        <f t="shared" si="3"/>
        <v>0.2375184083</v>
      </c>
      <c r="I222" s="266">
        <f t="shared" si="4"/>
        <v>0.2323152691</v>
      </c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  <c r="AA222" s="217"/>
      <c r="AB222" s="217"/>
      <c r="AC222" s="217"/>
      <c r="AD222" s="217"/>
      <c r="AE222" s="217"/>
      <c r="AF222" s="217"/>
      <c r="AG222" s="217"/>
      <c r="AH222" s="217"/>
      <c r="AI222" s="217"/>
      <c r="AJ222" s="217"/>
      <c r="AK222" s="217"/>
      <c r="AL222" s="217"/>
      <c r="AM222" s="149"/>
    </row>
    <row r="223" ht="22.5" customHeight="1">
      <c r="A223" s="217"/>
      <c r="B223" s="263">
        <f>IF(ARBITRAGES!E244=0,"",ARBITRAGES!E244)</f>
        <v>46053</v>
      </c>
      <c r="C223" s="231">
        <f t="shared" si="11"/>
        <v>37467.52166</v>
      </c>
      <c r="D223" s="264">
        <f>IF(F223="","",PRIX!B244)</f>
        <v>83000</v>
      </c>
      <c r="E223" s="264">
        <f t="shared" si="9"/>
        <v>49361.97297</v>
      </c>
      <c r="F223" s="242">
        <f>IF(B223="","",PRIX!B244*$Q$6+$R$6*PRIX!C244+PRIX!D244*$S$6+$T$6*PRIX!E244+PRIX!F244*$U$6+PRIX!G244*$V$6+$W$6*PRIX!H244+PRIX!I244*$X$6)</f>
        <v>37309.98967</v>
      </c>
      <c r="G223" s="270">
        <f>IF(B223="","",'Historique détail'!U243)</f>
        <v>46182.13503</v>
      </c>
      <c r="H223" s="244">
        <f t="shared" si="3"/>
        <v>0.2377954386</v>
      </c>
      <c r="I223" s="266">
        <f t="shared" si="4"/>
        <v>0.2325911346</v>
      </c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  <c r="AA223" s="217"/>
      <c r="AB223" s="217"/>
      <c r="AC223" s="217"/>
      <c r="AD223" s="217"/>
      <c r="AE223" s="217"/>
      <c r="AF223" s="217"/>
      <c r="AG223" s="217"/>
      <c r="AH223" s="217"/>
      <c r="AI223" s="217"/>
      <c r="AJ223" s="217"/>
      <c r="AK223" s="217"/>
      <c r="AL223" s="217"/>
      <c r="AM223" s="149"/>
    </row>
    <row r="224" ht="22.5" customHeight="1">
      <c r="A224" s="217"/>
      <c r="B224" s="263">
        <f>IF(ARBITRAGES!E245=0,"",ARBITRAGES!E245)</f>
        <v>46053</v>
      </c>
      <c r="C224" s="231">
        <f t="shared" si="11"/>
        <v>37467.52166</v>
      </c>
      <c r="D224" s="264">
        <f>IF(F224="","",PRIX!B245)</f>
        <v>83000</v>
      </c>
      <c r="E224" s="264">
        <f t="shared" si="9"/>
        <v>49361.97297</v>
      </c>
      <c r="F224" s="242">
        <f>IF(B224="","",PRIX!B245*$Q$6+$R$6*PRIX!C245+PRIX!D245*$S$6+$T$6*PRIX!E245+PRIX!F245*$U$6+PRIX!G245*$V$6+$W$6*PRIX!H245+PRIX!I245*$X$6)</f>
        <v>37309.98967</v>
      </c>
      <c r="G224" s="270">
        <f>IF(B224="","",'Historique détail'!U244)</f>
        <v>46201.04503</v>
      </c>
      <c r="H224" s="244">
        <f t="shared" si="3"/>
        <v>0.2383022734</v>
      </c>
      <c r="I224" s="266">
        <f t="shared" si="4"/>
        <v>0.2330958384</v>
      </c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  <c r="AA224" s="217"/>
      <c r="AB224" s="217"/>
      <c r="AC224" s="217"/>
      <c r="AD224" s="217"/>
      <c r="AE224" s="217"/>
      <c r="AF224" s="217"/>
      <c r="AG224" s="217"/>
      <c r="AH224" s="217"/>
      <c r="AI224" s="217"/>
      <c r="AJ224" s="217"/>
      <c r="AK224" s="217"/>
      <c r="AL224" s="217"/>
      <c r="AM224" s="149"/>
    </row>
    <row r="225" ht="22.5" customHeight="1">
      <c r="A225" s="217"/>
      <c r="B225" s="263">
        <f>IF(ARBITRAGES!E246=0,"",ARBITRAGES!E246)</f>
        <v>46053</v>
      </c>
      <c r="C225" s="231">
        <f t="shared" si="11"/>
        <v>37467.52166</v>
      </c>
      <c r="D225" s="264">
        <f>IF(F225="","",PRIX!B246)</f>
        <v>83000</v>
      </c>
      <c r="E225" s="264">
        <f t="shared" si="9"/>
        <v>49361.97297</v>
      </c>
      <c r="F225" s="242">
        <f>IF(B225="","",PRIX!B246*$Q$6+$R$6*PRIX!C246+PRIX!D246*$S$6+$T$6*PRIX!E246+PRIX!F246*$U$6+PRIX!G246*$V$6+$W$6*PRIX!H246+PRIX!I246*$X$6)</f>
        <v>37309.98967</v>
      </c>
      <c r="G225" s="270">
        <f>IF(B225="","",'Historique détail'!U245)</f>
        <v>46201.04504</v>
      </c>
      <c r="H225" s="244">
        <f t="shared" si="3"/>
        <v>0.2383022736</v>
      </c>
      <c r="I225" s="266">
        <f t="shared" si="4"/>
        <v>0.2330958386</v>
      </c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  <c r="AA225" s="217"/>
      <c r="AB225" s="217"/>
      <c r="AC225" s="217"/>
      <c r="AD225" s="217"/>
      <c r="AE225" s="217"/>
      <c r="AF225" s="217"/>
      <c r="AG225" s="217"/>
      <c r="AH225" s="217"/>
      <c r="AI225" s="217"/>
      <c r="AJ225" s="217"/>
      <c r="AK225" s="217"/>
      <c r="AL225" s="217"/>
      <c r="AM225" s="149"/>
    </row>
    <row r="226" ht="22.5" customHeight="1">
      <c r="A226" s="217"/>
      <c r="B226" s="263">
        <f>IF(ARBITRAGES!E247=0,"",ARBITRAGES!E247)</f>
        <v>46054</v>
      </c>
      <c r="C226" s="231">
        <f t="shared" si="11"/>
        <v>37467.52166</v>
      </c>
      <c r="D226" s="264">
        <f>IF(F226="","",PRIX!B247)</f>
        <v>78500</v>
      </c>
      <c r="E226" s="264">
        <f t="shared" si="9"/>
        <v>46685.72143</v>
      </c>
      <c r="F226" s="242">
        <f>IF(B226="","",PRIX!B247*$Q$6+$R$6*PRIX!C247+PRIX!D247*$S$6+$T$6*PRIX!E247+PRIX!F247*$U$6+PRIX!G247*$V$6+$W$6*PRIX!H247+PRIX!I247*$X$6)</f>
        <v>34767.87027</v>
      </c>
      <c r="G226" s="270">
        <f>IF(B226="","",'Historique détail'!U246)</f>
        <v>43898.21918</v>
      </c>
      <c r="H226" s="244">
        <f t="shared" si="3"/>
        <v>0.2626088061</v>
      </c>
      <c r="I226" s="266">
        <f t="shared" si="4"/>
        <v>0.1716339175</v>
      </c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  <c r="AC226" s="217"/>
      <c r="AD226" s="217"/>
      <c r="AE226" s="217"/>
      <c r="AF226" s="217"/>
      <c r="AG226" s="217"/>
      <c r="AH226" s="217"/>
      <c r="AI226" s="217"/>
      <c r="AJ226" s="217"/>
      <c r="AK226" s="217"/>
      <c r="AL226" s="217"/>
      <c r="AM226" s="149"/>
    </row>
    <row r="227" ht="22.5" customHeight="1">
      <c r="A227" s="217"/>
      <c r="B227" s="263">
        <f>IF(ARBITRAGES!E248=0,"",ARBITRAGES!E248)</f>
        <v>46054</v>
      </c>
      <c r="C227" s="231">
        <f t="shared" si="11"/>
        <v>37467.52166</v>
      </c>
      <c r="D227" s="264">
        <f>IF(F227="","",PRIX!B248)</f>
        <v>78500</v>
      </c>
      <c r="E227" s="264">
        <f t="shared" si="9"/>
        <v>46685.72143</v>
      </c>
      <c r="F227" s="242">
        <f>IF(B227="","",PRIX!B248*$Q$6+$R$6*PRIX!C248+PRIX!D248*$S$6+$T$6*PRIX!E248+PRIX!F248*$U$6+PRIX!G248*$V$6+$W$6*PRIX!H248+PRIX!I248*$X$6)</f>
        <v>34767.87027</v>
      </c>
      <c r="G227" s="270">
        <f>IF(B227="","",'Historique détail'!U247)</f>
        <v>43900.66599</v>
      </c>
      <c r="H227" s="244">
        <f t="shared" si="3"/>
        <v>0.2626791817</v>
      </c>
      <c r="I227" s="266">
        <f t="shared" si="4"/>
        <v>0.1716992223</v>
      </c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  <c r="AF227" s="217"/>
      <c r="AG227" s="217"/>
      <c r="AH227" s="217"/>
      <c r="AI227" s="217"/>
      <c r="AJ227" s="217"/>
      <c r="AK227" s="217"/>
      <c r="AL227" s="217"/>
      <c r="AM227" s="149"/>
    </row>
    <row r="228" ht="22.5" customHeight="1">
      <c r="A228" s="217"/>
      <c r="B228" s="263">
        <f>IF(ARBITRAGES!E249=0,"",ARBITRAGES!E249)</f>
        <v>46054</v>
      </c>
      <c r="C228" s="231">
        <f t="shared" si="11"/>
        <v>37467.52166</v>
      </c>
      <c r="D228" s="264">
        <f>IF(F228="","",PRIX!B249)</f>
        <v>78500</v>
      </c>
      <c r="E228" s="264">
        <f t="shared" si="9"/>
        <v>46685.72143</v>
      </c>
      <c r="F228" s="242">
        <f>IF(B228="","",PRIX!B249*$Q$6+$R$6*PRIX!C249+PRIX!D249*$S$6+$T$6*PRIX!E249+PRIX!F249*$U$6+PRIX!G249*$V$6+$W$6*PRIX!H249+PRIX!I249*$X$6)</f>
        <v>34767.87027</v>
      </c>
      <c r="G228" s="270">
        <f>IF(B228="","",'Historique détail'!U248)</f>
        <v>43915.66599</v>
      </c>
      <c r="H228" s="244">
        <f t="shared" si="3"/>
        <v>0.2631106145</v>
      </c>
      <c r="I228" s="266">
        <f t="shared" si="4"/>
        <v>0.172099569</v>
      </c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  <c r="AC228" s="217"/>
      <c r="AD228" s="217"/>
      <c r="AE228" s="217"/>
      <c r="AF228" s="217"/>
      <c r="AG228" s="217"/>
      <c r="AH228" s="217"/>
      <c r="AI228" s="217"/>
      <c r="AJ228" s="217"/>
      <c r="AK228" s="217"/>
      <c r="AL228" s="217"/>
      <c r="AM228" s="149"/>
    </row>
    <row r="229" ht="22.5" customHeight="1">
      <c r="A229" s="217"/>
      <c r="B229" s="263">
        <f>IF(ARBITRAGES!E250=0,"",ARBITRAGES!E250)</f>
        <v>46055</v>
      </c>
      <c r="C229" s="231">
        <f t="shared" si="11"/>
        <v>37467.52166</v>
      </c>
      <c r="D229" s="264">
        <f>IF(F229="","",PRIX!B250)</f>
        <v>77000</v>
      </c>
      <c r="E229" s="264">
        <f t="shared" si="9"/>
        <v>45793.63758</v>
      </c>
      <c r="F229" s="242">
        <f>IF(B229="","",PRIX!B250*$Q$6+$R$6*PRIX!C250+PRIX!D250*$S$6+$T$6*PRIX!E250+PRIX!F250*$U$6+PRIX!G250*$V$6+$W$6*PRIX!H250+PRIX!I250*$X$6)</f>
        <v>33723.62603</v>
      </c>
      <c r="G229" s="270">
        <f>IF(B229="","",'Historique détail'!U249)</f>
        <v>43048.78345</v>
      </c>
      <c r="H229" s="244">
        <f t="shared" si="3"/>
        <v>0.2765170451</v>
      </c>
      <c r="I229" s="266">
        <f t="shared" si="4"/>
        <v>0.1489626629</v>
      </c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  <c r="AF229" s="217"/>
      <c r="AG229" s="217"/>
      <c r="AH229" s="217"/>
      <c r="AI229" s="217"/>
      <c r="AJ229" s="217"/>
      <c r="AK229" s="217"/>
      <c r="AL229" s="217"/>
      <c r="AM229" s="149"/>
    </row>
    <row r="230" ht="22.5" customHeight="1">
      <c r="A230" s="217"/>
      <c r="B230" s="263">
        <f>IF(ARBITRAGES!E251=0,"",ARBITRAGES!E251)</f>
        <v>46055</v>
      </c>
      <c r="C230" s="231">
        <f t="shared" si="11"/>
        <v>37467.52166</v>
      </c>
      <c r="D230" s="264">
        <f>IF(F230="","",PRIX!B251)</f>
        <v>77000</v>
      </c>
      <c r="E230" s="264">
        <f t="shared" si="9"/>
        <v>45793.63758</v>
      </c>
      <c r="F230" s="242">
        <f>IF(B230="","",PRIX!B251*$Q$6+$R$6*PRIX!C251+PRIX!D251*$S$6+$T$6*PRIX!E251+PRIX!F251*$U$6+PRIX!G251*$V$6+$W$6*PRIX!H251+PRIX!I251*$X$6)</f>
        <v>33723.62603</v>
      </c>
      <c r="G230" s="270">
        <f>IF(B230="","",'Historique détail'!U250)</f>
        <v>43055.9418</v>
      </c>
      <c r="H230" s="244">
        <f t="shared" si="3"/>
        <v>0.2767293102</v>
      </c>
      <c r="I230" s="266">
        <f t="shared" si="4"/>
        <v>0.1491537177</v>
      </c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  <c r="AE230" s="217"/>
      <c r="AF230" s="217"/>
      <c r="AG230" s="217"/>
      <c r="AH230" s="217"/>
      <c r="AI230" s="217"/>
      <c r="AJ230" s="217"/>
      <c r="AK230" s="217"/>
      <c r="AL230" s="217"/>
      <c r="AM230" s="149"/>
    </row>
    <row r="231" ht="22.5" customHeight="1">
      <c r="A231" s="217"/>
      <c r="B231" s="263">
        <f>IF(ARBITRAGES!E252=0,"",ARBITRAGES!E252)</f>
        <v>46055</v>
      </c>
      <c r="C231" s="231">
        <f t="shared" si="11"/>
        <v>37467.52166</v>
      </c>
      <c r="D231" s="264">
        <f>IF(F231="","",PRIX!B252)</f>
        <v>77000</v>
      </c>
      <c r="E231" s="264">
        <f t="shared" si="9"/>
        <v>45793.63758</v>
      </c>
      <c r="F231" s="242">
        <f>IF(B231="","",PRIX!B252*$Q$6+$R$6*PRIX!C252+PRIX!D252*$S$6+$T$6*PRIX!E252+PRIX!F252*$U$6+PRIX!G252*$V$6+$W$6*PRIX!H252+PRIX!I252*$X$6)</f>
        <v>33723.62603</v>
      </c>
      <c r="G231" s="270">
        <f>IF(B231="","",'Historique détail'!U251)</f>
        <v>43055.9418</v>
      </c>
      <c r="H231" s="244">
        <f t="shared" si="3"/>
        <v>0.2767293102</v>
      </c>
      <c r="I231" s="266">
        <f t="shared" si="4"/>
        <v>0.1491537177</v>
      </c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  <c r="AE231" s="217"/>
      <c r="AF231" s="217"/>
      <c r="AG231" s="217"/>
      <c r="AH231" s="217"/>
      <c r="AI231" s="217"/>
      <c r="AJ231" s="217"/>
      <c r="AK231" s="217"/>
      <c r="AL231" s="217"/>
      <c r="AM231" s="149"/>
    </row>
    <row r="232" ht="22.5" customHeight="1">
      <c r="A232" s="217"/>
      <c r="B232" s="263">
        <f>IF(ARBITRAGES!E253=0,"",ARBITRAGES!E253)</f>
        <v>46055</v>
      </c>
      <c r="C232" s="231">
        <f t="shared" si="11"/>
        <v>37467.52166</v>
      </c>
      <c r="D232" s="264">
        <f>IF(F232="","",PRIX!B253)</f>
        <v>77000</v>
      </c>
      <c r="E232" s="264">
        <f t="shared" si="9"/>
        <v>45793.63758</v>
      </c>
      <c r="F232" s="242">
        <f>IF(B232="","",PRIX!B253*$Q$6+$R$6*PRIX!C253+PRIX!D253*$S$6+$T$6*PRIX!E253+PRIX!F253*$U$6+PRIX!G253*$V$6+$W$6*PRIX!H253+PRIX!I253*$X$6)</f>
        <v>33723.62603</v>
      </c>
      <c r="G232" s="270">
        <f>IF(B232="","",'Historique détail'!U252)</f>
        <v>43068.91995</v>
      </c>
      <c r="H232" s="244">
        <f t="shared" si="3"/>
        <v>0.2771141485</v>
      </c>
      <c r="I232" s="266">
        <f t="shared" si="4"/>
        <v>0.1495001015</v>
      </c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  <c r="AE232" s="217"/>
      <c r="AF232" s="217"/>
      <c r="AG232" s="217"/>
      <c r="AH232" s="217"/>
      <c r="AI232" s="217"/>
      <c r="AJ232" s="217"/>
      <c r="AK232" s="217"/>
      <c r="AL232" s="217"/>
      <c r="AM232" s="149"/>
    </row>
    <row r="233" ht="22.5" customHeight="1">
      <c r="A233" s="217"/>
      <c r="B233" s="263">
        <f>IF(ARBITRAGES!E254=0,"",ARBITRAGES!E254)</f>
        <v>46055</v>
      </c>
      <c r="C233" s="231">
        <f t="shared" si="11"/>
        <v>37467.52166</v>
      </c>
      <c r="D233" s="264">
        <f>IF(F233="","",PRIX!B254)</f>
        <v>77000</v>
      </c>
      <c r="E233" s="264">
        <f t="shared" si="9"/>
        <v>45793.63758</v>
      </c>
      <c r="F233" s="242">
        <f>IF(B233="","",PRIX!B254*$Q$6+$R$6*PRIX!C254+PRIX!D254*$S$6+$T$6*PRIX!E254+PRIX!F254*$U$6+PRIX!G254*$V$6+$W$6*PRIX!H254+PRIX!I254*$X$6)</f>
        <v>33723.62603</v>
      </c>
      <c r="G233" s="270">
        <f>IF(B233="","",'Historique détail'!U253)</f>
        <v>43079.83995</v>
      </c>
      <c r="H233" s="244">
        <f t="shared" si="3"/>
        <v>0.2774379571</v>
      </c>
      <c r="I233" s="266">
        <f t="shared" si="4"/>
        <v>0.149791554</v>
      </c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  <c r="AE233" s="217"/>
      <c r="AF233" s="217"/>
      <c r="AG233" s="217"/>
      <c r="AH233" s="217"/>
      <c r="AI233" s="217"/>
      <c r="AJ233" s="217"/>
      <c r="AK233" s="217"/>
      <c r="AL233" s="217"/>
      <c r="AM233" s="149"/>
    </row>
    <row r="234" ht="22.5" customHeight="1">
      <c r="A234" s="217"/>
      <c r="B234" s="263">
        <f>IF(ARBITRAGES!E255=0,"",ARBITRAGES!E255)</f>
        <v>46056</v>
      </c>
      <c r="C234" s="231">
        <f t="shared" si="11"/>
        <v>37467.52166</v>
      </c>
      <c r="D234" s="264">
        <f>IF(F234="","",PRIX!B255)</f>
        <v>76500</v>
      </c>
      <c r="E234" s="264">
        <f t="shared" si="9"/>
        <v>45496.2763</v>
      </c>
      <c r="F234" s="242">
        <f>IF(B234="","",PRIX!B255*$Q$6+$R$6*PRIX!C255+PRIX!D255*$S$6+$T$6*PRIX!E255+PRIX!F255*$U$6+PRIX!G255*$V$6+$W$6*PRIX!H255+PRIX!I255*$X$6)</f>
        <v>33760.41241</v>
      </c>
      <c r="G234" s="270">
        <f>IF(B234="","",'Historique détail'!U254)</f>
        <v>43061.41388</v>
      </c>
      <c r="H234" s="244">
        <f t="shared" si="3"/>
        <v>0.2755002324</v>
      </c>
      <c r="I234" s="266">
        <f t="shared" si="4"/>
        <v>0.1492997662</v>
      </c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  <c r="AE234" s="217"/>
      <c r="AF234" s="217"/>
      <c r="AG234" s="217"/>
      <c r="AH234" s="217"/>
      <c r="AI234" s="217"/>
      <c r="AJ234" s="217"/>
      <c r="AK234" s="217"/>
      <c r="AL234" s="217"/>
      <c r="AM234" s="149"/>
    </row>
    <row r="235" ht="22.5" customHeight="1">
      <c r="A235" s="217"/>
      <c r="B235" s="263">
        <f>IF(ARBITRAGES!E256=0,"",ARBITRAGES!E256)</f>
        <v>46057</v>
      </c>
      <c r="C235" s="231">
        <f t="shared" si="11"/>
        <v>37467.52166</v>
      </c>
      <c r="D235" s="264">
        <f>IF(F235="","",PRIX!B256)</f>
        <v>70000</v>
      </c>
      <c r="E235" s="264">
        <f t="shared" si="9"/>
        <v>41630.57962</v>
      </c>
      <c r="F235" s="242">
        <f>IF(B235="","",PRIX!B256*$Q$6+$R$6*PRIX!C256+PRIX!D256*$S$6+$T$6*PRIX!E256+PRIX!F256*$U$6+PRIX!G256*$V$6+$W$6*PRIX!H256+PRIX!I256*$X$6)</f>
        <v>30831.53785</v>
      </c>
      <c r="G235" s="270">
        <f>IF(B235="","",'Historique détail'!U255)</f>
        <v>39996.4808</v>
      </c>
      <c r="H235" s="244">
        <f t="shared" si="3"/>
        <v>0.2972587029</v>
      </c>
      <c r="I235" s="266">
        <f t="shared" si="4"/>
        <v>0.06749736917</v>
      </c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  <c r="AE235" s="217"/>
      <c r="AF235" s="217"/>
      <c r="AG235" s="217"/>
      <c r="AH235" s="217"/>
      <c r="AI235" s="217"/>
      <c r="AJ235" s="217"/>
      <c r="AK235" s="217"/>
      <c r="AL235" s="217"/>
      <c r="AM235" s="149"/>
    </row>
    <row r="236" ht="22.5" customHeight="1">
      <c r="A236" s="217"/>
      <c r="B236" s="263">
        <f>IF(ARBITRAGES!E257=0,"",ARBITRAGES!E257)</f>
        <v>46058</v>
      </c>
      <c r="C236" s="231">
        <f t="shared" si="11"/>
        <v>37467.52166</v>
      </c>
      <c r="D236" s="264">
        <f>IF(F236="","",PRIX!B257)</f>
        <v>64000</v>
      </c>
      <c r="E236" s="264">
        <f t="shared" si="9"/>
        <v>38062.24422</v>
      </c>
      <c r="F236" s="242">
        <f>IF(B236="","",PRIX!B257*$Q$6+$R$6*PRIX!C257+PRIX!D257*$S$6+$T$6*PRIX!E257+PRIX!F257*$U$6+PRIX!G257*$V$6+$W$6*PRIX!H257+PRIX!I257*$X$6)</f>
        <v>28121.99086</v>
      </c>
      <c r="G236" s="270">
        <f>IF(B236="","",'Historique détail'!U256)</f>
        <v>37166.50621</v>
      </c>
      <c r="H236" s="244">
        <f t="shared" si="3"/>
        <v>0.3216171784</v>
      </c>
      <c r="I236" s="266">
        <f t="shared" si="4"/>
        <v>-0.00803403673</v>
      </c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  <c r="AE236" s="217"/>
      <c r="AF236" s="217"/>
      <c r="AG236" s="217"/>
      <c r="AH236" s="217"/>
      <c r="AI236" s="217"/>
      <c r="AJ236" s="217"/>
      <c r="AK236" s="217"/>
      <c r="AL236" s="217"/>
      <c r="AM236" s="149"/>
    </row>
    <row r="237" ht="22.5" customHeight="1">
      <c r="A237" s="217"/>
      <c r="B237" s="263">
        <f>IF(ARBITRAGES!E258=0,"",ARBITRAGES!E258)</f>
        <v>46058</v>
      </c>
      <c r="C237" s="231">
        <f t="shared" si="11"/>
        <v>37467.52166</v>
      </c>
      <c r="D237" s="264">
        <f>IF(F237="","",PRIX!B258)</f>
        <v>64000</v>
      </c>
      <c r="E237" s="264">
        <f t="shared" si="9"/>
        <v>38062.24422</v>
      </c>
      <c r="F237" s="242">
        <f>IF(B237="","",PRIX!B258*$Q$6+$R$6*PRIX!C258+PRIX!D258*$S$6+$T$6*PRIX!E258+PRIX!F258*$U$6+PRIX!G258*$V$6+$W$6*PRIX!H258+PRIX!I258*$X$6)</f>
        <v>28121.99086</v>
      </c>
      <c r="G237" s="270">
        <f>IF(B237="","",'Historique détail'!U257)</f>
        <v>37161.35354</v>
      </c>
      <c r="H237" s="244">
        <f t="shared" si="3"/>
        <v>0.3214339527</v>
      </c>
      <c r="I237" s="266">
        <f t="shared" si="4"/>
        <v>-0.008171560418</v>
      </c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  <c r="AE237" s="217"/>
      <c r="AF237" s="217"/>
      <c r="AG237" s="217"/>
      <c r="AH237" s="217"/>
      <c r="AI237" s="217"/>
      <c r="AJ237" s="217"/>
      <c r="AK237" s="217"/>
      <c r="AL237" s="217"/>
      <c r="AM237" s="149"/>
    </row>
    <row r="238" ht="22.5" customHeight="1">
      <c r="A238" s="217"/>
      <c r="B238" s="263">
        <f>IF(ARBITRAGES!E259=0,"",ARBITRAGES!E259)</f>
        <v>46059</v>
      </c>
      <c r="C238" s="231">
        <f t="shared" si="11"/>
        <v>37467.52166</v>
      </c>
      <c r="D238" s="264">
        <f>IF(F238="","",59500)</f>
        <v>59500</v>
      </c>
      <c r="E238" s="264">
        <f t="shared" si="9"/>
        <v>35385.99267</v>
      </c>
      <c r="F238" s="242">
        <f>IF(B238="","",PRIX!B259*$Q$6+$R$6*PRIX!C259+PRIX!D259*$S$6+$T$6*PRIX!E259+PRIX!F259*$U$6+PRIX!G259*$V$6+$W$6*PRIX!H259+PRIX!I259*$X$6)</f>
        <v>26828.54037</v>
      </c>
      <c r="G238" s="270">
        <f>IF(B238="","",'Historique détail'!U258)</f>
        <v>35761.94124</v>
      </c>
      <c r="H238" s="244">
        <f t="shared" si="3"/>
        <v>0.3329812487</v>
      </c>
      <c r="I238" s="266">
        <f t="shared" si="4"/>
        <v>-0.0455215701</v>
      </c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  <c r="AE238" s="217"/>
      <c r="AF238" s="217"/>
      <c r="AG238" s="217"/>
      <c r="AH238" s="217"/>
      <c r="AI238" s="217"/>
      <c r="AJ238" s="217"/>
      <c r="AK238" s="217"/>
      <c r="AL238" s="217"/>
      <c r="AM238" s="149"/>
    </row>
    <row r="239" ht="22.5" customHeight="1">
      <c r="A239" s="217"/>
      <c r="B239" s="263">
        <f>IF(ARBITRAGES!E260=0,"",ARBITRAGES!E260)</f>
        <v>46060</v>
      </c>
      <c r="C239" s="231">
        <f t="shared" si="11"/>
        <v>37467.52166</v>
      </c>
      <c r="D239" s="264">
        <f>IF(F239="","",PRIX!B260)</f>
        <v>67000</v>
      </c>
      <c r="E239" s="264">
        <f t="shared" si="9"/>
        <v>39846.41192</v>
      </c>
      <c r="F239" s="242">
        <f>IF(B239="","",PRIX!B260*$Q$6+$R$6*PRIX!C260+PRIX!D260*$S$6+$T$6*PRIX!E260+PRIX!F260*$U$6+PRIX!G260*$V$6+$W$6*PRIX!H260+PRIX!I260*$X$6)</f>
        <v>29339.58906</v>
      </c>
      <c r="G239" s="270">
        <f>IF(B239="","",'Historique détail'!U259)</f>
        <v>38537.78225</v>
      </c>
      <c r="H239" s="244">
        <f t="shared" si="3"/>
        <v>0.313507908</v>
      </c>
      <c r="I239" s="266">
        <f t="shared" si="4"/>
        <v>0.02856502237</v>
      </c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  <c r="AE239" s="217"/>
      <c r="AF239" s="217"/>
      <c r="AG239" s="217"/>
      <c r="AH239" s="217"/>
      <c r="AI239" s="217"/>
      <c r="AJ239" s="217"/>
      <c r="AK239" s="217"/>
      <c r="AL239" s="217"/>
      <c r="AM239" s="149"/>
    </row>
    <row r="240" ht="22.5" customHeight="1">
      <c r="A240" s="217"/>
      <c r="B240" s="263">
        <f>IF(ARBITRAGES!E261=0,"",ARBITRAGES!E261)</f>
        <v>46060</v>
      </c>
      <c r="C240" s="231">
        <f t="shared" si="11"/>
        <v>37467.52166</v>
      </c>
      <c r="D240" s="264">
        <f>IF(F240="","",PRIX!B261)</f>
        <v>67000</v>
      </c>
      <c r="E240" s="264">
        <f t="shared" si="9"/>
        <v>39846.41192</v>
      </c>
      <c r="F240" s="242">
        <f>IF(B240="","",PRIX!B261*$Q$6+$R$6*PRIX!C261+PRIX!D261*$S$6+$T$6*PRIX!E261+PRIX!F261*$U$6+PRIX!G261*$V$6+$W$6*PRIX!H261+PRIX!I261*$X$6)</f>
        <v>29339.58906</v>
      </c>
      <c r="G240" s="270">
        <f>IF(B240="","",'Historique détail'!U260)</f>
        <v>38562.88211</v>
      </c>
      <c r="H240" s="244">
        <f t="shared" si="3"/>
        <v>0.3143634025</v>
      </c>
      <c r="I240" s="266">
        <f t="shared" si="4"/>
        <v>0.02923493206</v>
      </c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  <c r="AE240" s="217"/>
      <c r="AF240" s="217"/>
      <c r="AG240" s="217"/>
      <c r="AH240" s="217"/>
      <c r="AI240" s="217"/>
      <c r="AJ240" s="217"/>
      <c r="AK240" s="217"/>
      <c r="AL240" s="217"/>
      <c r="AM240" s="149"/>
    </row>
    <row r="241" ht="22.5" customHeight="1">
      <c r="A241" s="217"/>
      <c r="B241" s="263">
        <f>IF(ARBITRAGES!E262=0,"",ARBITRAGES!E262)</f>
        <v>46061</v>
      </c>
      <c r="C241" s="231">
        <f t="shared" si="11"/>
        <v>37467.52166</v>
      </c>
      <c r="D241" s="264">
        <f>IF(F241="","",PRIX!B262)</f>
        <v>69000</v>
      </c>
      <c r="E241" s="264">
        <f t="shared" si="9"/>
        <v>41035.85705</v>
      </c>
      <c r="F241" s="242">
        <f>IF(B241="","",PRIX!B262*$Q$6+$R$6*PRIX!C262+PRIX!D262*$S$6+$T$6*PRIX!E262+PRIX!F262*$U$6+PRIX!G262*$V$6+$W$6*PRIX!H262+PRIX!I262*$X$6)</f>
        <v>30329.38859</v>
      </c>
      <c r="G241" s="270">
        <f>IF(B241="","",'Historique détail'!U261)</f>
        <v>39554.08661</v>
      </c>
      <c r="H241" s="244">
        <f t="shared" si="3"/>
        <v>0.3041504776</v>
      </c>
      <c r="I241" s="266">
        <f t="shared" si="4"/>
        <v>0.0556899646</v>
      </c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  <c r="AF241" s="217"/>
      <c r="AG241" s="217"/>
      <c r="AH241" s="217"/>
      <c r="AI241" s="217"/>
      <c r="AJ241" s="217"/>
      <c r="AK241" s="217"/>
      <c r="AL241" s="217"/>
      <c r="AM241" s="149"/>
    </row>
    <row r="242" ht="22.5" customHeight="1">
      <c r="A242" s="217"/>
      <c r="B242" s="263">
        <f>IF(ARBITRAGES!E263=0,"",ARBITRAGES!E263)</f>
        <v>46061</v>
      </c>
      <c r="C242" s="231">
        <f t="shared" si="11"/>
        <v>37467.52166</v>
      </c>
      <c r="D242" s="264">
        <f>IF(F242="","",PRIX!B263)</f>
        <v>69000</v>
      </c>
      <c r="E242" s="264">
        <f t="shared" si="9"/>
        <v>41035.85705</v>
      </c>
      <c r="F242" s="242">
        <f>IF(B242="","",PRIX!B263*$Q$6+$R$6*PRIX!C263+PRIX!D263*$S$6+$T$6*PRIX!E263+PRIX!F263*$U$6+PRIX!G263*$V$6+$W$6*PRIX!H263+PRIX!I263*$X$6)</f>
        <v>30329.38859</v>
      </c>
      <c r="G242" s="270">
        <f>IF(B242="","",'Historique détail'!U262)</f>
        <v>39557.52645</v>
      </c>
      <c r="H242" s="244">
        <f t="shared" si="3"/>
        <v>0.3042638936</v>
      </c>
      <c r="I242" s="266">
        <f t="shared" si="4"/>
        <v>0.05578177311</v>
      </c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  <c r="AE242" s="217"/>
      <c r="AF242" s="217"/>
      <c r="AG242" s="217"/>
      <c r="AH242" s="217"/>
      <c r="AI242" s="217"/>
      <c r="AJ242" s="217"/>
      <c r="AK242" s="217"/>
      <c r="AL242" s="217"/>
      <c r="AM242" s="149"/>
    </row>
    <row r="243" ht="22.5" customHeight="1">
      <c r="A243" s="217"/>
      <c r="B243" s="263">
        <f>IF(ARBITRAGES!E264=0,"",ARBITRAGES!E264)</f>
        <v>46062</v>
      </c>
      <c r="C243" s="231">
        <f t="shared" si="11"/>
        <v>37467.52166</v>
      </c>
      <c r="D243" s="264">
        <f>IF(F243="","",PRIX!B264)</f>
        <v>69000</v>
      </c>
      <c r="E243" s="264">
        <f t="shared" si="9"/>
        <v>41035.85705</v>
      </c>
      <c r="F243" s="242">
        <f>IF(B243="","",PRIX!B264*$Q$6+$R$6*PRIX!C264+PRIX!D264*$S$6+$T$6*PRIX!E264+PRIX!F264*$U$6+PRIX!G264*$V$6+$W$6*PRIX!H264+PRIX!I264*$X$6)</f>
        <v>30037.30932</v>
      </c>
      <c r="G243" s="270">
        <f>IF(B243="","",'Historique détail'!U263)</f>
        <v>39497.21829</v>
      </c>
      <c r="H243" s="244">
        <f t="shared" si="3"/>
        <v>0.3149386275</v>
      </c>
      <c r="I243" s="266">
        <f t="shared" si="4"/>
        <v>0.05417216149</v>
      </c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  <c r="AF243" s="217"/>
      <c r="AG243" s="217"/>
      <c r="AH243" s="217"/>
      <c r="AI243" s="217"/>
      <c r="AJ243" s="217"/>
      <c r="AK243" s="217"/>
      <c r="AL243" s="217"/>
      <c r="AM243" s="149"/>
    </row>
    <row r="244" ht="22.5" customHeight="1">
      <c r="A244" s="217"/>
      <c r="B244" s="263">
        <f>IF(ARBITRAGES!E265=0,"",ARBITRAGES!E265)</f>
        <v>46063</v>
      </c>
      <c r="C244" s="231">
        <f t="shared" si="11"/>
        <v>37467.52166</v>
      </c>
      <c r="D244" s="264">
        <f>IF(F244="","",PRIX!B265)</f>
        <v>66000</v>
      </c>
      <c r="E244" s="264">
        <f t="shared" si="9"/>
        <v>39251.68935</v>
      </c>
      <c r="F244" s="242">
        <f>IF(B244="","",PRIX!B265*$Q$6+$R$6*PRIX!C265+PRIX!D265*$S$6+$T$6*PRIX!E265+PRIX!F265*$U$6+PRIX!G265*$V$6+$W$6*PRIX!H265+PRIX!I265*$X$6)</f>
        <v>28663.30101</v>
      </c>
      <c r="G244" s="270">
        <f>IF(B244="","",'Historique détail'!U264)</f>
        <v>38119.99257</v>
      </c>
      <c r="H244" s="244">
        <f t="shared" si="3"/>
        <v>0.3299233243</v>
      </c>
      <c r="I244" s="266">
        <f t="shared" si="4"/>
        <v>0.0174143067</v>
      </c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  <c r="AE244" s="217"/>
      <c r="AF244" s="217"/>
      <c r="AG244" s="217"/>
      <c r="AH244" s="217"/>
      <c r="AI244" s="217"/>
      <c r="AJ244" s="217"/>
      <c r="AK244" s="217"/>
      <c r="AL244" s="217"/>
      <c r="AM244" s="149"/>
    </row>
    <row r="245" ht="22.5" customHeight="1">
      <c r="A245" s="217"/>
      <c r="B245" s="263">
        <f>IF(ARBITRAGES!E266=0,"",ARBITRAGES!E266)</f>
        <v>46064</v>
      </c>
      <c r="C245" s="231">
        <f t="shared" si="11"/>
        <v>37467.52166</v>
      </c>
      <c r="D245" s="264">
        <f>IF(F245="","",PRIX!B266)</f>
        <v>66700</v>
      </c>
      <c r="E245" s="264">
        <f t="shared" si="9"/>
        <v>39667.99515</v>
      </c>
      <c r="F245" s="242">
        <f>IF(B245="","",PRIX!B266*$Q$6+$R$6*PRIX!C266+PRIX!D266*$S$6+$T$6*PRIX!E266+PRIX!F266*$U$6+PRIX!G266*$V$6+$W$6*PRIX!H266+PRIX!I266*$X$6)</f>
        <v>28998.80416</v>
      </c>
      <c r="G245" s="270">
        <f>IF(B245="","",'Historique détail'!U265)</f>
        <v>38487.88514</v>
      </c>
      <c r="H245" s="244">
        <f t="shared" si="3"/>
        <v>0.3272231824</v>
      </c>
      <c r="I245" s="266">
        <f t="shared" si="4"/>
        <v>0.02723327945</v>
      </c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17"/>
      <c r="AD245" s="217"/>
      <c r="AE245" s="217"/>
      <c r="AF245" s="217"/>
      <c r="AG245" s="217"/>
      <c r="AH245" s="217"/>
      <c r="AI245" s="217"/>
      <c r="AJ245" s="217"/>
      <c r="AK245" s="217"/>
      <c r="AL245" s="217"/>
      <c r="AM245" s="149"/>
    </row>
    <row r="246" ht="22.5" customHeight="1">
      <c r="A246" s="217"/>
      <c r="B246" s="263">
        <f>IF(ARBITRAGES!E267=0,"",ARBITRAGES!E267)</f>
        <v>46065</v>
      </c>
      <c r="C246" s="231">
        <f t="shared" si="11"/>
        <v>37467.52166</v>
      </c>
      <c r="D246" s="264">
        <f>IF(F246="","",PRIX!B267)</f>
        <v>67500</v>
      </c>
      <c r="E246" s="264">
        <f t="shared" si="9"/>
        <v>40143.7732</v>
      </c>
      <c r="F246" s="242">
        <f>IF(B246="","",PRIX!B267*$Q$6+$R$6*PRIX!C267+PRIX!D267*$S$6+$T$6*PRIX!E267+PRIX!F267*$U$6+PRIX!G267*$V$6+$W$6*PRIX!H267+PRIX!I267*$X$6)</f>
        <v>29736.89687</v>
      </c>
      <c r="G246" s="270">
        <f>IF(B246="","",'Historique détail'!U266)</f>
        <v>38787.84142</v>
      </c>
      <c r="H246" s="244">
        <f t="shared" si="3"/>
        <v>0.3043674865</v>
      </c>
      <c r="I246" s="266">
        <f t="shared" si="4"/>
        <v>0.03523904731</v>
      </c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17"/>
      <c r="AD246" s="217"/>
      <c r="AE246" s="217"/>
      <c r="AF246" s="217"/>
      <c r="AG246" s="217"/>
      <c r="AH246" s="217"/>
      <c r="AI246" s="217"/>
      <c r="AJ246" s="217"/>
      <c r="AK246" s="217"/>
      <c r="AL246" s="217"/>
      <c r="AM246" s="149"/>
    </row>
    <row r="247" ht="22.5" customHeight="1">
      <c r="A247" s="217"/>
      <c r="B247" s="263">
        <f>IF(ARBITRAGES!E268=0,"",ARBITRAGES!E268)</f>
        <v>46066</v>
      </c>
      <c r="C247" s="231">
        <f t="shared" si="11"/>
        <v>37467.52166</v>
      </c>
      <c r="D247" s="264">
        <f>IF(F247="","",PRIX!B268)</f>
        <v>67500</v>
      </c>
      <c r="E247" s="264">
        <f t="shared" si="9"/>
        <v>40143.7732</v>
      </c>
      <c r="F247" s="242">
        <f>IF(B247="","",PRIX!B268*$Q$6+$R$6*PRIX!C268+PRIX!D268*$S$6+$T$6*PRIX!E268+PRIX!F268*$U$6+PRIX!G268*$V$6+$W$6*PRIX!H268+PRIX!I268*$X$6)</f>
        <v>29736.89687</v>
      </c>
      <c r="G247" s="270">
        <f>IF(B247="","",'Historique détail'!U267)</f>
        <v>38821.35275</v>
      </c>
      <c r="H247" s="244">
        <f t="shared" si="3"/>
        <v>0.305494414</v>
      </c>
      <c r="I247" s="266">
        <f t="shared" si="4"/>
        <v>0.03613345733</v>
      </c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  <c r="AE247" s="217"/>
      <c r="AF247" s="217"/>
      <c r="AG247" s="217"/>
      <c r="AH247" s="217"/>
      <c r="AI247" s="217"/>
      <c r="AJ247" s="217"/>
      <c r="AK247" s="217"/>
      <c r="AL247" s="217"/>
      <c r="AM247" s="149"/>
    </row>
    <row r="248" ht="22.5" customHeight="1">
      <c r="A248" s="217"/>
      <c r="B248" s="241" t="str">
        <f>IF(ARBITRAGES!E269=0,"",ARBITRAGES!E269)</f>
        <v/>
      </c>
      <c r="C248" s="231" t="str">
        <f t="shared" si="11"/>
        <v/>
      </c>
      <c r="D248" s="264" t="str">
        <f>IF(F248="","",PRIX!B269)</f>
        <v/>
      </c>
      <c r="E248" s="264" t="str">
        <f t="shared" si="9"/>
        <v/>
      </c>
      <c r="F248" s="242" t="str">
        <f>IF(B248="","",PRIX!B269*$Q$6+$R$6*PRIX!C269+PRIX!D269*$S$6+$T$6*PRIX!E269+PRIX!F269*$U$6+PRIX!G269*$V$6+$W$6*PRIX!H269+PRIX!I269*$X$6)</f>
        <v/>
      </c>
      <c r="G248" s="243" t="str">
        <f>IF(B248="","",'Historique détail'!U268)</f>
        <v/>
      </c>
      <c r="H248" s="244" t="str">
        <f t="shared" si="3"/>
        <v/>
      </c>
      <c r="I248" s="266" t="str">
        <f t="shared" si="4"/>
        <v/>
      </c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  <c r="AE248" s="217"/>
      <c r="AF248" s="217"/>
      <c r="AG248" s="217"/>
      <c r="AH248" s="217"/>
      <c r="AI248" s="217"/>
      <c r="AJ248" s="217"/>
      <c r="AK248" s="217"/>
      <c r="AL248" s="217"/>
      <c r="AM248" s="149"/>
    </row>
    <row r="249" ht="22.5" customHeight="1">
      <c r="A249" s="217"/>
      <c r="B249" s="241" t="str">
        <f>IF(ARBITRAGES!E270=0,"",ARBITRAGES!E270)</f>
        <v/>
      </c>
      <c r="C249" s="231" t="str">
        <f t="shared" si="11"/>
        <v/>
      </c>
      <c r="D249" s="264" t="str">
        <f>IF(F249="","",PRIX!B270)</f>
        <v/>
      </c>
      <c r="E249" s="264" t="str">
        <f t="shared" si="9"/>
        <v/>
      </c>
      <c r="F249" s="242" t="str">
        <f>IF(B249="","",PRIX!B270*$Q$6+$R$6*PRIX!C270+PRIX!D270*$S$6+$T$6*PRIX!E270+PRIX!F270*$U$6+PRIX!G270*$V$6+$W$6*PRIX!H270+PRIX!I270*$X$6)</f>
        <v/>
      </c>
      <c r="G249" s="243" t="str">
        <f>IF(B249="","",'Historique détail'!U269)</f>
        <v/>
      </c>
      <c r="H249" s="244" t="str">
        <f t="shared" si="3"/>
        <v/>
      </c>
      <c r="I249" s="266" t="str">
        <f t="shared" si="4"/>
        <v/>
      </c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17"/>
      <c r="AD249" s="217"/>
      <c r="AE249" s="217"/>
      <c r="AF249" s="217"/>
      <c r="AG249" s="217"/>
      <c r="AH249" s="217"/>
      <c r="AI249" s="217"/>
      <c r="AJ249" s="217"/>
      <c r="AK249" s="217"/>
      <c r="AL249" s="217"/>
      <c r="AM249" s="149"/>
    </row>
    <row r="250" ht="22.5" customHeight="1">
      <c r="A250" s="217"/>
      <c r="B250" s="241" t="str">
        <f>IF(ARBITRAGES!E271=0,"",ARBITRAGES!E271)</f>
        <v/>
      </c>
      <c r="C250" s="231" t="str">
        <f t="shared" si="11"/>
        <v/>
      </c>
      <c r="D250" s="264" t="str">
        <f>IF(F250="","",PRIX!B271)</f>
        <v/>
      </c>
      <c r="E250" s="264" t="str">
        <f t="shared" si="9"/>
        <v/>
      </c>
      <c r="F250" s="242" t="str">
        <f>IF(B250="","",PRIX!B271*$Q$6+$R$6*PRIX!C271+PRIX!D271*$S$6+$T$6*PRIX!E271+PRIX!F271*$U$6+PRIX!G271*$V$6+$W$6*PRIX!H271+PRIX!I271*$X$6)</f>
        <v/>
      </c>
      <c r="G250" s="243" t="str">
        <f>IF(B250="","",'Historique détail'!U270)</f>
        <v/>
      </c>
      <c r="H250" s="244" t="str">
        <f t="shared" si="3"/>
        <v/>
      </c>
      <c r="I250" s="266" t="str">
        <f t="shared" si="4"/>
        <v/>
      </c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17"/>
      <c r="AD250" s="217"/>
      <c r="AE250" s="217"/>
      <c r="AF250" s="217"/>
      <c r="AG250" s="217"/>
      <c r="AH250" s="217"/>
      <c r="AI250" s="217"/>
      <c r="AJ250" s="217"/>
      <c r="AK250" s="217"/>
      <c r="AL250" s="217"/>
      <c r="AM250" s="149"/>
    </row>
    <row r="251" ht="22.5" customHeight="1">
      <c r="A251" s="217"/>
      <c r="B251" s="241" t="str">
        <f>IF(ARBITRAGES!E272=0,"",ARBITRAGES!E272)</f>
        <v/>
      </c>
      <c r="C251" s="231" t="str">
        <f t="shared" si="11"/>
        <v/>
      </c>
      <c r="D251" s="264" t="str">
        <f>IF(F251="","",PRIX!B272)</f>
        <v/>
      </c>
      <c r="E251" s="264" t="str">
        <f t="shared" si="9"/>
        <v/>
      </c>
      <c r="F251" s="242" t="str">
        <f>IF(B251="","",PRIX!B272*$Q$6+$R$6*PRIX!C272+PRIX!D272*$S$6+$T$6*PRIX!E272+PRIX!F272*$U$6+PRIX!G272*$V$6+$W$6*PRIX!H272+PRIX!I272*$X$6)</f>
        <v/>
      </c>
      <c r="G251" s="243" t="str">
        <f>IF(B251="","",'Historique détail'!U271)</f>
        <v/>
      </c>
      <c r="H251" s="244" t="str">
        <f t="shared" si="3"/>
        <v/>
      </c>
      <c r="I251" s="266" t="str">
        <f t="shared" si="4"/>
        <v/>
      </c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17"/>
      <c r="AD251" s="217"/>
      <c r="AE251" s="217"/>
      <c r="AF251" s="217"/>
      <c r="AG251" s="217"/>
      <c r="AH251" s="217"/>
      <c r="AI251" s="217"/>
      <c r="AJ251" s="217"/>
      <c r="AK251" s="217"/>
      <c r="AL251" s="217"/>
      <c r="AM251" s="149"/>
    </row>
    <row r="252" ht="22.5" customHeight="1">
      <c r="A252" s="217"/>
      <c r="B252" s="241" t="str">
        <f>IF(ARBITRAGES!E273=0,"",ARBITRAGES!E273)</f>
        <v/>
      </c>
      <c r="C252" s="231" t="str">
        <f t="shared" si="11"/>
        <v/>
      </c>
      <c r="D252" s="264" t="str">
        <f>IF(F252="","",PRIX!B273)</f>
        <v/>
      </c>
      <c r="E252" s="264" t="str">
        <f t="shared" si="9"/>
        <v/>
      </c>
      <c r="F252" s="242" t="str">
        <f>IF(B252="","",PRIX!B273*$Q$6+$R$6*PRIX!C273+PRIX!D273*$S$6+$T$6*PRIX!E273+PRIX!F273*$U$6+PRIX!G273*$V$6+$W$6*PRIX!H273+PRIX!I273*$X$6)</f>
        <v/>
      </c>
      <c r="G252" s="243" t="str">
        <f>IF(B252="","",'Historique détail'!U272)</f>
        <v/>
      </c>
      <c r="H252" s="244" t="str">
        <f t="shared" si="3"/>
        <v/>
      </c>
      <c r="I252" s="266" t="str">
        <f t="shared" si="4"/>
        <v/>
      </c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17"/>
      <c r="AD252" s="217"/>
      <c r="AE252" s="217"/>
      <c r="AF252" s="217"/>
      <c r="AG252" s="217"/>
      <c r="AH252" s="217"/>
      <c r="AI252" s="217"/>
      <c r="AJ252" s="217"/>
      <c r="AK252" s="217"/>
      <c r="AL252" s="217"/>
      <c r="AM252" s="149"/>
    </row>
    <row r="253" ht="22.5" customHeight="1">
      <c r="A253" s="217"/>
      <c r="B253" s="241" t="str">
        <f>IF(ARBITRAGES!E274=0,"",ARBITRAGES!E274)</f>
        <v/>
      </c>
      <c r="C253" s="231" t="str">
        <f t="shared" si="11"/>
        <v/>
      </c>
      <c r="D253" s="264" t="str">
        <f>IF(F253="","",PRIX!B274)</f>
        <v/>
      </c>
      <c r="E253" s="264" t="str">
        <f t="shared" si="9"/>
        <v/>
      </c>
      <c r="F253" s="242" t="str">
        <f>IF(B253="","",PRIX!B274*$Q$6+$R$6*PRIX!C274+PRIX!D274*$S$6+$T$6*PRIX!E274+PRIX!F274*$U$6+PRIX!G274*$V$6+$W$6*PRIX!H274+PRIX!I274*$X$6)</f>
        <v/>
      </c>
      <c r="G253" s="243" t="str">
        <f>IF(B253="","",'Historique détail'!U273)</f>
        <v/>
      </c>
      <c r="H253" s="244" t="str">
        <f t="shared" si="3"/>
        <v/>
      </c>
      <c r="I253" s="266" t="str">
        <f t="shared" si="4"/>
        <v/>
      </c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17"/>
      <c r="AD253" s="217"/>
      <c r="AE253" s="217"/>
      <c r="AF253" s="217"/>
      <c r="AG253" s="217"/>
      <c r="AH253" s="217"/>
      <c r="AI253" s="217"/>
      <c r="AJ253" s="217"/>
      <c r="AK253" s="217"/>
      <c r="AL253" s="217"/>
      <c r="AM253" s="149"/>
    </row>
    <row r="254" ht="22.5" customHeight="1">
      <c r="A254" s="217"/>
      <c r="B254" s="241" t="str">
        <f>IF(ARBITRAGES!E275=0,"",ARBITRAGES!E275)</f>
        <v/>
      </c>
      <c r="C254" s="231" t="str">
        <f t="shared" si="11"/>
        <v/>
      </c>
      <c r="D254" s="264" t="str">
        <f>IF(F254="","",PRIX!B275)</f>
        <v/>
      </c>
      <c r="E254" s="264" t="str">
        <f t="shared" si="9"/>
        <v/>
      </c>
      <c r="F254" s="242" t="str">
        <f>IF(B254="","",PRIX!B275*$Q$6+$R$6*PRIX!C275+PRIX!D275*$S$6+$T$6*PRIX!E275+PRIX!F275*$U$6+PRIX!G275*$V$6+$W$6*PRIX!H275+PRIX!I275*$X$6)</f>
        <v/>
      </c>
      <c r="G254" s="243" t="str">
        <f>IF(B254="","",'Historique détail'!U274)</f>
        <v/>
      </c>
      <c r="H254" s="244" t="str">
        <f t="shared" si="3"/>
        <v/>
      </c>
      <c r="I254" s="266" t="str">
        <f t="shared" si="4"/>
        <v/>
      </c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17"/>
      <c r="AD254" s="217"/>
      <c r="AE254" s="217"/>
      <c r="AF254" s="217"/>
      <c r="AG254" s="217"/>
      <c r="AH254" s="217"/>
      <c r="AI254" s="217"/>
      <c r="AJ254" s="217"/>
      <c r="AK254" s="217"/>
      <c r="AL254" s="217"/>
      <c r="AM254" s="149"/>
    </row>
    <row r="255" ht="22.5" customHeight="1">
      <c r="A255" s="217"/>
      <c r="B255" s="241" t="str">
        <f>IF(ARBITRAGES!E276=0,"",ARBITRAGES!E276)</f>
        <v/>
      </c>
      <c r="C255" s="231" t="str">
        <f t="shared" si="11"/>
        <v/>
      </c>
      <c r="D255" s="264" t="str">
        <f>IF(F255="","",PRIX!B276)</f>
        <v/>
      </c>
      <c r="E255" s="264" t="str">
        <f t="shared" si="9"/>
        <v/>
      </c>
      <c r="F255" s="242" t="str">
        <f>IF(B255="","",PRIX!B276*$Q$6+$R$6*PRIX!C276+PRIX!D276*$S$6+$T$6*PRIX!E276+PRIX!F276*$U$6+PRIX!G276*$V$6+$W$6*PRIX!H276+PRIX!I276*$X$6)</f>
        <v/>
      </c>
      <c r="G255" s="243" t="str">
        <f>IF(B255="","",'Historique détail'!U275)</f>
        <v/>
      </c>
      <c r="H255" s="244" t="str">
        <f t="shared" si="3"/>
        <v/>
      </c>
      <c r="I255" s="266" t="str">
        <f t="shared" si="4"/>
        <v/>
      </c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17"/>
      <c r="AD255" s="217"/>
      <c r="AE255" s="217"/>
      <c r="AF255" s="217"/>
      <c r="AG255" s="217"/>
      <c r="AH255" s="217"/>
      <c r="AI255" s="217"/>
      <c r="AJ255" s="217"/>
      <c r="AK255" s="217"/>
      <c r="AL255" s="217"/>
      <c r="AM255" s="149"/>
    </row>
    <row r="256" ht="22.5" customHeight="1">
      <c r="A256" s="217"/>
      <c r="B256" s="241" t="str">
        <f>IF(ARBITRAGES!E277=0,"",ARBITRAGES!E277)</f>
        <v/>
      </c>
      <c r="C256" s="231" t="str">
        <f t="shared" si="11"/>
        <v/>
      </c>
      <c r="D256" s="264" t="str">
        <f>IF(F256="","",PRIX!B277)</f>
        <v/>
      </c>
      <c r="E256" s="264" t="str">
        <f t="shared" si="9"/>
        <v/>
      </c>
      <c r="F256" s="242" t="str">
        <f>IF(B256="","",PRIX!B277*$Q$6+$R$6*PRIX!C277+PRIX!D277*$S$6+$T$6*PRIX!E277+PRIX!F277*$U$6+PRIX!G277*$V$6+$W$6*PRIX!H277+PRIX!I277*$X$6)</f>
        <v/>
      </c>
      <c r="G256" s="243" t="str">
        <f>IF(B256="","",'Historique détail'!U276)</f>
        <v/>
      </c>
      <c r="H256" s="244" t="str">
        <f t="shared" si="3"/>
        <v/>
      </c>
      <c r="I256" s="266" t="str">
        <f t="shared" si="4"/>
        <v/>
      </c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17"/>
      <c r="AD256" s="217"/>
      <c r="AE256" s="217"/>
      <c r="AF256" s="217"/>
      <c r="AG256" s="217"/>
      <c r="AH256" s="217"/>
      <c r="AI256" s="217"/>
      <c r="AJ256" s="217"/>
      <c r="AK256" s="217"/>
      <c r="AL256" s="217"/>
      <c r="AM256" s="149"/>
    </row>
    <row r="257" ht="22.5" customHeight="1">
      <c r="A257" s="217"/>
      <c r="B257" s="241" t="str">
        <f>IF(ARBITRAGES!E278=0,"",ARBITRAGES!E278)</f>
        <v/>
      </c>
      <c r="C257" s="231" t="str">
        <f t="shared" si="11"/>
        <v/>
      </c>
      <c r="D257" s="264" t="str">
        <f>IF(F257="","",PRIX!B278)</f>
        <v/>
      </c>
      <c r="E257" s="264" t="str">
        <f t="shared" si="9"/>
        <v/>
      </c>
      <c r="F257" s="242" t="str">
        <f>IF(B257="","",PRIX!B278*$Q$6+$R$6*PRIX!C278+PRIX!D278*$S$6+$T$6*PRIX!E278+PRIX!F278*$U$6+PRIX!G278*$V$6+$W$6*PRIX!H278+PRIX!I278*$X$6)</f>
        <v/>
      </c>
      <c r="G257" s="243" t="str">
        <f>IF(B257="","",'Historique détail'!U277)</f>
        <v/>
      </c>
      <c r="H257" s="244" t="str">
        <f t="shared" si="3"/>
        <v/>
      </c>
      <c r="I257" s="266" t="str">
        <f t="shared" si="4"/>
        <v/>
      </c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17"/>
      <c r="AD257" s="217"/>
      <c r="AE257" s="217"/>
      <c r="AF257" s="217"/>
      <c r="AG257" s="217"/>
      <c r="AH257" s="217"/>
      <c r="AI257" s="217"/>
      <c r="AJ257" s="217"/>
      <c r="AK257" s="217"/>
      <c r="AL257" s="217"/>
      <c r="AM257" s="149"/>
    </row>
    <row r="258" ht="22.5" customHeight="1">
      <c r="A258" s="217"/>
      <c r="B258" s="241" t="str">
        <f>IF(ARBITRAGES!E279=0,"",ARBITRAGES!E279)</f>
        <v/>
      </c>
      <c r="C258" s="231" t="str">
        <f t="shared" si="11"/>
        <v/>
      </c>
      <c r="D258" s="264" t="str">
        <f>IF(F258="","",PRIX!B279)</f>
        <v/>
      </c>
      <c r="E258" s="264" t="str">
        <f t="shared" si="9"/>
        <v/>
      </c>
      <c r="F258" s="242" t="str">
        <f>IF(B258="","",PRIX!B279*$Q$6+$R$6*PRIX!C279+PRIX!D279*$S$6+$T$6*PRIX!E279+PRIX!F279*$U$6+PRIX!G279*$V$6+$W$6*PRIX!H279+PRIX!I279*$X$6)</f>
        <v/>
      </c>
      <c r="G258" s="243" t="str">
        <f>IF(B258="","",'Historique détail'!U278)</f>
        <v/>
      </c>
      <c r="H258" s="244" t="str">
        <f t="shared" si="3"/>
        <v/>
      </c>
      <c r="I258" s="266" t="str">
        <f t="shared" si="4"/>
        <v/>
      </c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17"/>
      <c r="AD258" s="217"/>
      <c r="AE258" s="217"/>
      <c r="AF258" s="217"/>
      <c r="AG258" s="217"/>
      <c r="AH258" s="217"/>
      <c r="AI258" s="217"/>
      <c r="AJ258" s="217"/>
      <c r="AK258" s="217"/>
      <c r="AL258" s="217"/>
      <c r="AM258" s="149"/>
    </row>
    <row r="259" ht="22.5" customHeight="1">
      <c r="A259" s="217"/>
      <c r="B259" s="241" t="str">
        <f>IF(ARBITRAGES!E280=0,"",ARBITRAGES!E280)</f>
        <v/>
      </c>
      <c r="C259" s="231" t="str">
        <f t="shared" si="11"/>
        <v/>
      </c>
      <c r="D259" s="264" t="str">
        <f>IF(F259="","",PRIX!B280)</f>
        <v/>
      </c>
      <c r="E259" s="264" t="str">
        <f t="shared" si="9"/>
        <v/>
      </c>
      <c r="F259" s="242" t="str">
        <f>IF(B259="","",PRIX!B280*$Q$6+$R$6*PRIX!C280+PRIX!D280*$S$6+$T$6*PRIX!E280+PRIX!F280*$U$6+PRIX!G280*$V$6+$W$6*PRIX!H280+PRIX!I280*$X$6)</f>
        <v/>
      </c>
      <c r="G259" s="243" t="str">
        <f>IF(B259="","",'Historique détail'!U279)</f>
        <v/>
      </c>
      <c r="H259" s="244" t="str">
        <f t="shared" si="3"/>
        <v/>
      </c>
      <c r="I259" s="266" t="str">
        <f t="shared" si="4"/>
        <v/>
      </c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7"/>
      <c r="AD259" s="217"/>
      <c r="AE259" s="217"/>
      <c r="AF259" s="217"/>
      <c r="AG259" s="217"/>
      <c r="AH259" s="217"/>
      <c r="AI259" s="217"/>
      <c r="AJ259" s="217"/>
      <c r="AK259" s="217"/>
      <c r="AL259" s="217"/>
      <c r="AM259" s="149"/>
    </row>
    <row r="260" ht="22.5" customHeight="1">
      <c r="A260" s="217"/>
      <c r="B260" s="241" t="str">
        <f>IF(ARBITRAGES!E281=0,"",ARBITRAGES!E281)</f>
        <v/>
      </c>
      <c r="C260" s="231" t="str">
        <f t="shared" si="11"/>
        <v/>
      </c>
      <c r="D260" s="264" t="str">
        <f>IF(F260="","",PRIX!B281)</f>
        <v/>
      </c>
      <c r="E260" s="264" t="str">
        <f t="shared" si="9"/>
        <v/>
      </c>
      <c r="F260" s="242" t="str">
        <f>IF(B260="","",PRIX!B281*$Q$6+$R$6*PRIX!C281+PRIX!D281*$S$6+$T$6*PRIX!E281+PRIX!F281*$U$6+PRIX!G281*$V$6+$W$6*PRIX!H281+PRIX!I281*$X$6)</f>
        <v/>
      </c>
      <c r="G260" s="243" t="str">
        <f>IF(B260="","",'Historique détail'!U280)</f>
        <v/>
      </c>
      <c r="H260" s="244" t="str">
        <f t="shared" si="3"/>
        <v/>
      </c>
      <c r="I260" s="266" t="str">
        <f t="shared" si="4"/>
        <v/>
      </c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17"/>
      <c r="AD260" s="217"/>
      <c r="AE260" s="217"/>
      <c r="AF260" s="217"/>
      <c r="AG260" s="217"/>
      <c r="AH260" s="217"/>
      <c r="AI260" s="217"/>
      <c r="AJ260" s="217"/>
      <c r="AK260" s="217"/>
      <c r="AL260" s="217"/>
      <c r="AM260" s="149"/>
    </row>
    <row r="261" ht="22.5" customHeight="1">
      <c r="A261" s="217"/>
      <c r="B261" s="241" t="str">
        <f>IF(ARBITRAGES!E282=0,"",ARBITRAGES!E282)</f>
        <v/>
      </c>
      <c r="C261" s="231" t="str">
        <f t="shared" si="11"/>
        <v/>
      </c>
      <c r="D261" s="264" t="str">
        <f>IF(F261="","",PRIX!B282)</f>
        <v/>
      </c>
      <c r="E261" s="264" t="str">
        <f t="shared" si="9"/>
        <v/>
      </c>
      <c r="F261" s="242" t="str">
        <f>IF(B261="","",PRIX!B282*$Q$6+$R$6*PRIX!C282+PRIX!D282*$S$6+$T$6*PRIX!E282+PRIX!F282*$U$6+PRIX!G282*$V$6+$W$6*PRIX!H282+PRIX!I282*$X$6)</f>
        <v/>
      </c>
      <c r="G261" s="243" t="str">
        <f>IF(B261="","",'Historique détail'!U281)</f>
        <v/>
      </c>
      <c r="H261" s="244" t="str">
        <f t="shared" si="3"/>
        <v/>
      </c>
      <c r="I261" s="266" t="str">
        <f t="shared" si="4"/>
        <v/>
      </c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  <c r="AE261" s="217"/>
      <c r="AF261" s="217"/>
      <c r="AG261" s="217"/>
      <c r="AH261" s="217"/>
      <c r="AI261" s="217"/>
      <c r="AJ261" s="217"/>
      <c r="AK261" s="217"/>
      <c r="AL261" s="217"/>
      <c r="AM261" s="149"/>
    </row>
    <row r="262" ht="22.5" customHeight="1">
      <c r="A262" s="217"/>
      <c r="B262" s="241" t="str">
        <f>IF(ARBITRAGES!E283=0,"",ARBITRAGES!E283)</f>
        <v/>
      </c>
      <c r="C262" s="231" t="str">
        <f t="shared" si="11"/>
        <v/>
      </c>
      <c r="D262" s="264" t="str">
        <f>IF(F262="","",PRIX!B283)</f>
        <v/>
      </c>
      <c r="E262" s="264" t="str">
        <f t="shared" si="9"/>
        <v/>
      </c>
      <c r="F262" s="242" t="str">
        <f>IF(B262="","",PRIX!B283*$Q$6+$R$6*PRIX!C283+PRIX!D283*$S$6+$T$6*PRIX!E283+PRIX!F283*$U$6+PRIX!G283*$V$6+$W$6*PRIX!H283+PRIX!I283*$X$6)</f>
        <v/>
      </c>
      <c r="G262" s="243" t="str">
        <f>IF(B262="","",'Historique détail'!U282)</f>
        <v/>
      </c>
      <c r="H262" s="244" t="str">
        <f t="shared" si="3"/>
        <v/>
      </c>
      <c r="I262" s="266" t="str">
        <f t="shared" si="4"/>
        <v/>
      </c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17"/>
      <c r="AD262" s="217"/>
      <c r="AE262" s="217"/>
      <c r="AF262" s="217"/>
      <c r="AG262" s="217"/>
      <c r="AH262" s="217"/>
      <c r="AI262" s="217"/>
      <c r="AJ262" s="217"/>
      <c r="AK262" s="217"/>
      <c r="AL262" s="217"/>
      <c r="AM262" s="149"/>
    </row>
    <row r="263" ht="22.5" customHeight="1">
      <c r="A263" s="217"/>
      <c r="B263" s="241" t="str">
        <f>IF(ARBITRAGES!E284=0,"",ARBITRAGES!E284)</f>
        <v/>
      </c>
      <c r="C263" s="231" t="str">
        <f t="shared" si="11"/>
        <v/>
      </c>
      <c r="D263" s="264" t="str">
        <f>IF(F263="","",PRIX!B284)</f>
        <v/>
      </c>
      <c r="E263" s="264" t="str">
        <f t="shared" si="9"/>
        <v/>
      </c>
      <c r="F263" s="242" t="str">
        <f>IF(B263="","",PRIX!B284*$Q$6+$R$6*PRIX!C284+PRIX!D284*$S$6+$T$6*PRIX!E284+PRIX!F284*$U$6+PRIX!G284*$V$6+$W$6*PRIX!H284+PRIX!I284*$X$6)</f>
        <v/>
      </c>
      <c r="G263" s="243" t="str">
        <f>IF(B263="","",'Historique détail'!U283)</f>
        <v/>
      </c>
      <c r="H263" s="244" t="str">
        <f t="shared" si="3"/>
        <v/>
      </c>
      <c r="I263" s="266" t="str">
        <f t="shared" si="4"/>
        <v/>
      </c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17"/>
      <c r="AD263" s="217"/>
      <c r="AE263" s="217"/>
      <c r="AF263" s="217"/>
      <c r="AG263" s="217"/>
      <c r="AH263" s="217"/>
      <c r="AI263" s="217"/>
      <c r="AJ263" s="217"/>
      <c r="AK263" s="217"/>
      <c r="AL263" s="217"/>
      <c r="AM263" s="149"/>
    </row>
    <row r="264" ht="22.5" customHeight="1">
      <c r="A264" s="217"/>
      <c r="B264" s="241" t="str">
        <f>IF(ARBITRAGES!E285=0,"",ARBITRAGES!E285)</f>
        <v/>
      </c>
      <c r="C264" s="231" t="str">
        <f t="shared" si="11"/>
        <v/>
      </c>
      <c r="D264" s="264" t="str">
        <f>IF(F264="","",PRIX!B285)</f>
        <v/>
      </c>
      <c r="E264" s="264" t="str">
        <f t="shared" si="9"/>
        <v/>
      </c>
      <c r="F264" s="242" t="str">
        <f>IF(B264="","",PRIX!B285*$Q$6+$R$6*PRIX!C285+PRIX!D285*$S$6+$T$6*PRIX!E285+PRIX!F285*$U$6+PRIX!G285*$V$6+$W$6*PRIX!H285+PRIX!I285*$X$6)</f>
        <v/>
      </c>
      <c r="G264" s="243" t="str">
        <f>IF(B264="","",'Historique détail'!U284)</f>
        <v/>
      </c>
      <c r="H264" s="244" t="str">
        <f t="shared" si="3"/>
        <v/>
      </c>
      <c r="I264" s="266" t="str">
        <f t="shared" si="4"/>
        <v/>
      </c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17"/>
      <c r="AD264" s="217"/>
      <c r="AE264" s="217"/>
      <c r="AF264" s="217"/>
      <c r="AG264" s="217"/>
      <c r="AH264" s="217"/>
      <c r="AI264" s="217"/>
      <c r="AJ264" s="217"/>
      <c r="AK264" s="217"/>
      <c r="AL264" s="217"/>
      <c r="AM264" s="149"/>
    </row>
    <row r="265" ht="22.5" customHeight="1">
      <c r="A265" s="217"/>
      <c r="B265" s="241" t="str">
        <f>IF(ARBITRAGES!E286=0,"",ARBITRAGES!E286)</f>
        <v/>
      </c>
      <c r="C265" s="231" t="str">
        <f t="shared" si="11"/>
        <v/>
      </c>
      <c r="D265" s="264" t="str">
        <f>IF(F265="","",PRIX!B286)</f>
        <v/>
      </c>
      <c r="E265" s="264" t="str">
        <f t="shared" si="9"/>
        <v/>
      </c>
      <c r="F265" s="242" t="str">
        <f>IF(B265="","",PRIX!B286*$Q$6+$R$6*PRIX!C286+PRIX!D286*$S$6+$T$6*PRIX!E286+PRIX!F286*$U$6+PRIX!G286*$V$6+$W$6*PRIX!H286+PRIX!I286*$X$6)</f>
        <v/>
      </c>
      <c r="G265" s="243" t="str">
        <f>IF(B265="","",'Historique détail'!U285)</f>
        <v/>
      </c>
      <c r="H265" s="244" t="str">
        <f t="shared" si="3"/>
        <v/>
      </c>
      <c r="I265" s="266" t="str">
        <f t="shared" si="4"/>
        <v/>
      </c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  <c r="AE265" s="217"/>
      <c r="AF265" s="217"/>
      <c r="AG265" s="217"/>
      <c r="AH265" s="217"/>
      <c r="AI265" s="217"/>
      <c r="AJ265" s="217"/>
      <c r="AK265" s="217"/>
      <c r="AL265" s="217"/>
      <c r="AM265" s="149"/>
    </row>
    <row r="266" ht="22.5" customHeight="1">
      <c r="A266" s="217"/>
      <c r="B266" s="241" t="str">
        <f>IF(ARBITRAGES!E287=0,"",ARBITRAGES!E287)</f>
        <v/>
      </c>
      <c r="C266" s="231" t="str">
        <f t="shared" si="11"/>
        <v/>
      </c>
      <c r="D266" s="264" t="str">
        <f>IF(F266="","",PRIX!B287)</f>
        <v/>
      </c>
      <c r="E266" s="264" t="str">
        <f t="shared" si="9"/>
        <v/>
      </c>
      <c r="F266" s="242" t="str">
        <f>IF(B266="","",PRIX!B287*$Q$6+$R$6*PRIX!C287+PRIX!D287*$S$6+$T$6*PRIX!E287+PRIX!F287*$U$6+PRIX!G287*$V$6+$W$6*PRIX!H287+PRIX!I287*$X$6)</f>
        <v/>
      </c>
      <c r="G266" s="243" t="str">
        <f>IF(B266="","",'Historique détail'!U286)</f>
        <v/>
      </c>
      <c r="H266" s="244" t="str">
        <f t="shared" si="3"/>
        <v/>
      </c>
      <c r="I266" s="266" t="str">
        <f t="shared" si="4"/>
        <v/>
      </c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17"/>
      <c r="AE266" s="217"/>
      <c r="AF266" s="217"/>
      <c r="AG266" s="217"/>
      <c r="AH266" s="217"/>
      <c r="AI266" s="217"/>
      <c r="AJ266" s="217"/>
      <c r="AK266" s="217"/>
      <c r="AL266" s="217"/>
      <c r="AM266" s="149"/>
    </row>
    <row r="267" ht="22.5" customHeight="1">
      <c r="A267" s="217"/>
      <c r="B267" s="241" t="str">
        <f>IF(ARBITRAGES!E288=0,"",ARBITRAGES!E288)</f>
        <v/>
      </c>
      <c r="C267" s="231" t="str">
        <f t="shared" si="11"/>
        <v/>
      </c>
      <c r="D267" s="264" t="str">
        <f>IF(F267="","",PRIX!B288)</f>
        <v/>
      </c>
      <c r="E267" s="264" t="str">
        <f t="shared" si="9"/>
        <v/>
      </c>
      <c r="F267" s="242" t="str">
        <f>IF(B267="","",PRIX!B288*$Q$6+$R$6*PRIX!C288+PRIX!D288*$S$6+$T$6*PRIX!E288+PRIX!F288*$U$6+PRIX!G288*$V$6+$W$6*PRIX!H288+PRIX!I288*$X$6)</f>
        <v/>
      </c>
      <c r="G267" s="243" t="str">
        <f>IF(B267="","",'Historique détail'!U287)</f>
        <v/>
      </c>
      <c r="H267" s="244" t="str">
        <f t="shared" si="3"/>
        <v/>
      </c>
      <c r="I267" s="266" t="str">
        <f t="shared" si="4"/>
        <v/>
      </c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17"/>
      <c r="AD267" s="217"/>
      <c r="AE267" s="217"/>
      <c r="AF267" s="217"/>
      <c r="AG267" s="217"/>
      <c r="AH267" s="217"/>
      <c r="AI267" s="217"/>
      <c r="AJ267" s="217"/>
      <c r="AK267" s="217"/>
      <c r="AL267" s="217"/>
      <c r="AM267" s="149"/>
    </row>
    <row r="268" ht="22.5" customHeight="1">
      <c r="A268" s="217"/>
      <c r="B268" s="241" t="str">
        <f>IF(ARBITRAGES!E289=0,"",ARBITRAGES!E289)</f>
        <v/>
      </c>
      <c r="C268" s="231" t="str">
        <f t="shared" si="11"/>
        <v/>
      </c>
      <c r="D268" s="264" t="str">
        <f>IF(F268="","",PRIX!B289)</f>
        <v/>
      </c>
      <c r="E268" s="264" t="str">
        <f t="shared" si="9"/>
        <v/>
      </c>
      <c r="F268" s="242" t="str">
        <f>IF(B268="","",PRIX!B289*$Q$6+$R$6*PRIX!C289+PRIX!D289*$S$6+$T$6*PRIX!E289+PRIX!F289*$U$6+PRIX!G289*$V$6+$W$6*PRIX!H289+PRIX!I289*$X$6)</f>
        <v/>
      </c>
      <c r="G268" s="243" t="str">
        <f>IF(B268="","",'Historique détail'!U288)</f>
        <v/>
      </c>
      <c r="H268" s="244" t="str">
        <f t="shared" si="3"/>
        <v/>
      </c>
      <c r="I268" s="266" t="str">
        <f t="shared" si="4"/>
        <v/>
      </c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17"/>
      <c r="AD268" s="217"/>
      <c r="AE268" s="217"/>
      <c r="AF268" s="217"/>
      <c r="AG268" s="217"/>
      <c r="AH268" s="217"/>
      <c r="AI268" s="217"/>
      <c r="AJ268" s="217"/>
      <c r="AK268" s="217"/>
      <c r="AL268" s="217"/>
      <c r="AM268" s="149"/>
    </row>
    <row r="269" ht="22.5" customHeight="1">
      <c r="A269" s="217"/>
      <c r="B269" s="241" t="str">
        <f>IF(ARBITRAGES!E290=0,"",ARBITRAGES!E290)</f>
        <v/>
      </c>
      <c r="C269" s="231" t="str">
        <f t="shared" si="11"/>
        <v/>
      </c>
      <c r="D269" s="264" t="str">
        <f>IF(F269="","",PRIX!B290)</f>
        <v/>
      </c>
      <c r="E269" s="264" t="str">
        <f t="shared" si="9"/>
        <v/>
      </c>
      <c r="F269" s="242" t="str">
        <f>IF(B269="","",PRIX!B290*$Q$6+$R$6*PRIX!C290+PRIX!D290*$S$6+$T$6*PRIX!E290+PRIX!F290*$U$6+PRIX!G290*$V$6+$W$6*PRIX!H290+PRIX!I290*$X$6)</f>
        <v/>
      </c>
      <c r="G269" s="243" t="str">
        <f>IF(B269="","",'Historique détail'!U289)</f>
        <v/>
      </c>
      <c r="H269" s="244" t="str">
        <f t="shared" si="3"/>
        <v/>
      </c>
      <c r="I269" s="266" t="str">
        <f t="shared" si="4"/>
        <v/>
      </c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17"/>
      <c r="AD269" s="217"/>
      <c r="AE269" s="217"/>
      <c r="AF269" s="217"/>
      <c r="AG269" s="217"/>
      <c r="AH269" s="217"/>
      <c r="AI269" s="217"/>
      <c r="AJ269" s="217"/>
      <c r="AK269" s="217"/>
      <c r="AL269" s="217"/>
      <c r="AM269" s="149"/>
    </row>
    <row r="270" ht="22.5" customHeight="1">
      <c r="A270" s="217"/>
      <c r="B270" s="241" t="str">
        <f>IF(ARBITRAGES!E291=0,"",ARBITRAGES!E291)</f>
        <v/>
      </c>
      <c r="C270" s="231" t="str">
        <f t="shared" si="11"/>
        <v/>
      </c>
      <c r="D270" s="264" t="str">
        <f>IF(F270="","",PRIX!B291)</f>
        <v/>
      </c>
      <c r="E270" s="264" t="str">
        <f t="shared" si="9"/>
        <v/>
      </c>
      <c r="F270" s="242" t="str">
        <f>IF(B270="","",PRIX!B291*$Q$6+$R$6*PRIX!C291+PRIX!D291*$S$6+$T$6*PRIX!E291+PRIX!F291*$U$6+PRIX!G291*$V$6+$W$6*PRIX!H291+PRIX!I291*$X$6)</f>
        <v/>
      </c>
      <c r="G270" s="243" t="str">
        <f>IF(B270="","",'Historique détail'!U290)</f>
        <v/>
      </c>
      <c r="H270" s="244" t="str">
        <f t="shared" si="3"/>
        <v/>
      </c>
      <c r="I270" s="266" t="str">
        <f t="shared" si="4"/>
        <v/>
      </c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17"/>
      <c r="AD270" s="217"/>
      <c r="AE270" s="217"/>
      <c r="AF270" s="217"/>
      <c r="AG270" s="217"/>
      <c r="AH270" s="217"/>
      <c r="AI270" s="217"/>
      <c r="AJ270" s="217"/>
      <c r="AK270" s="217"/>
      <c r="AL270" s="217"/>
      <c r="AM270" s="149"/>
    </row>
    <row r="271" ht="22.5" customHeight="1">
      <c r="A271" s="217"/>
      <c r="B271" s="241" t="str">
        <f>IF(ARBITRAGES!E292=0,"",ARBITRAGES!E292)</f>
        <v/>
      </c>
      <c r="C271" s="231" t="str">
        <f t="shared" si="11"/>
        <v/>
      </c>
      <c r="D271" s="264" t="str">
        <f>IF(F271="","",PRIX!B292)</f>
        <v/>
      </c>
      <c r="E271" s="264" t="str">
        <f t="shared" si="9"/>
        <v/>
      </c>
      <c r="F271" s="242" t="str">
        <f>IF(B271="","",PRIX!B292*$Q$6+$R$6*PRIX!C292+PRIX!D292*$S$6+$T$6*PRIX!E292+PRIX!F292*$U$6+PRIX!G292*$V$6+$W$6*PRIX!H292+PRIX!I292*$X$6)</f>
        <v/>
      </c>
      <c r="G271" s="243" t="str">
        <f>IF(B271="","",'Historique détail'!U291)</f>
        <v/>
      </c>
      <c r="H271" s="244" t="str">
        <f t="shared" si="3"/>
        <v/>
      </c>
      <c r="I271" s="266" t="str">
        <f t="shared" si="4"/>
        <v/>
      </c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17"/>
      <c r="AD271" s="217"/>
      <c r="AE271" s="217"/>
      <c r="AF271" s="217"/>
      <c r="AG271" s="217"/>
      <c r="AH271" s="217"/>
      <c r="AI271" s="217"/>
      <c r="AJ271" s="217"/>
      <c r="AK271" s="217"/>
      <c r="AL271" s="217"/>
      <c r="AM271" s="149"/>
    </row>
    <row r="272" ht="22.5" customHeight="1">
      <c r="A272" s="217"/>
      <c r="B272" s="241" t="str">
        <f>IF(ARBITRAGES!E293=0,"",ARBITRAGES!E293)</f>
        <v/>
      </c>
      <c r="C272" s="231" t="str">
        <f t="shared" si="11"/>
        <v/>
      </c>
      <c r="D272" s="264" t="str">
        <f>IF(F272="","",PRIX!B293)</f>
        <v/>
      </c>
      <c r="E272" s="264" t="str">
        <f t="shared" si="9"/>
        <v/>
      </c>
      <c r="F272" s="242" t="str">
        <f>IF(B272="","",PRIX!B293*$Q$6+$R$6*PRIX!C293+PRIX!D293*$S$6+$T$6*PRIX!E293+PRIX!F293*$U$6+PRIX!G293*$V$6+$W$6*PRIX!H293+PRIX!I293*$X$6)</f>
        <v/>
      </c>
      <c r="G272" s="243" t="str">
        <f>IF(B272="","",'Historique détail'!U292)</f>
        <v/>
      </c>
      <c r="H272" s="244" t="str">
        <f t="shared" si="3"/>
        <v/>
      </c>
      <c r="I272" s="266" t="str">
        <f t="shared" si="4"/>
        <v/>
      </c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17"/>
      <c r="AD272" s="217"/>
      <c r="AE272" s="217"/>
      <c r="AF272" s="217"/>
      <c r="AG272" s="217"/>
      <c r="AH272" s="217"/>
      <c r="AI272" s="217"/>
      <c r="AJ272" s="217"/>
      <c r="AK272" s="217"/>
      <c r="AL272" s="217"/>
      <c r="AM272" s="149"/>
    </row>
    <row r="273" ht="22.5" customHeight="1">
      <c r="A273" s="217"/>
      <c r="B273" s="241" t="str">
        <f>IF(ARBITRAGES!E294=0,"",ARBITRAGES!E294)</f>
        <v/>
      </c>
      <c r="C273" s="231" t="str">
        <f t="shared" si="11"/>
        <v/>
      </c>
      <c r="D273" s="264" t="str">
        <f>IF(F273="","",PRIX!B294)</f>
        <v/>
      </c>
      <c r="E273" s="264" t="str">
        <f t="shared" si="9"/>
        <v/>
      </c>
      <c r="F273" s="242" t="str">
        <f>IF(B273="","",PRIX!B294*$Q$6+$R$6*PRIX!C294+PRIX!D294*$S$6+$T$6*PRIX!E294+PRIX!F294*$U$6+PRIX!G294*$V$6+$W$6*PRIX!H294+PRIX!I294*$X$6)</f>
        <v/>
      </c>
      <c r="G273" s="243" t="str">
        <f>IF(B273="","",'Historique détail'!U293)</f>
        <v/>
      </c>
      <c r="H273" s="244" t="str">
        <f t="shared" si="3"/>
        <v/>
      </c>
      <c r="I273" s="266" t="str">
        <f t="shared" si="4"/>
        <v/>
      </c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17"/>
      <c r="AD273" s="217"/>
      <c r="AE273" s="217"/>
      <c r="AF273" s="217"/>
      <c r="AG273" s="217"/>
      <c r="AH273" s="217"/>
      <c r="AI273" s="217"/>
      <c r="AJ273" s="217"/>
      <c r="AK273" s="217"/>
      <c r="AL273" s="217"/>
      <c r="AM273" s="149"/>
    </row>
    <row r="274" ht="22.5" customHeight="1">
      <c r="A274" s="217"/>
      <c r="B274" s="241" t="str">
        <f>IF(ARBITRAGES!E295=0,"",ARBITRAGES!E295)</f>
        <v/>
      </c>
      <c r="C274" s="231" t="str">
        <f t="shared" si="11"/>
        <v/>
      </c>
      <c r="D274" s="264" t="str">
        <f>IF(F274="","",PRIX!B295)</f>
        <v/>
      </c>
      <c r="E274" s="264" t="str">
        <f t="shared" si="9"/>
        <v/>
      </c>
      <c r="F274" s="242" t="str">
        <f>IF(B274="","",PRIX!B295*$Q$6+$R$6*PRIX!C295+PRIX!D295*$S$6+$T$6*PRIX!E295+PRIX!F295*$U$6+PRIX!G295*$V$6+$W$6*PRIX!H295+PRIX!I295*$X$6)</f>
        <v/>
      </c>
      <c r="G274" s="243" t="str">
        <f>IF(B274="","",'Historique détail'!U294)</f>
        <v/>
      </c>
      <c r="H274" s="244" t="str">
        <f t="shared" si="3"/>
        <v/>
      </c>
      <c r="I274" s="266" t="str">
        <f t="shared" si="4"/>
        <v/>
      </c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17"/>
      <c r="AD274" s="217"/>
      <c r="AE274" s="217"/>
      <c r="AF274" s="217"/>
      <c r="AG274" s="217"/>
      <c r="AH274" s="217"/>
      <c r="AI274" s="217"/>
      <c r="AJ274" s="217"/>
      <c r="AK274" s="217"/>
      <c r="AL274" s="217"/>
      <c r="AM274" s="149"/>
    </row>
    <row r="275" ht="22.5" customHeight="1">
      <c r="A275" s="217"/>
      <c r="B275" s="241" t="str">
        <f>IF(ARBITRAGES!E296=0,"",ARBITRAGES!E296)</f>
        <v/>
      </c>
      <c r="C275" s="231" t="str">
        <f t="shared" si="11"/>
        <v/>
      </c>
      <c r="D275" s="264" t="str">
        <f>IF(F275="","",PRIX!B296)</f>
        <v/>
      </c>
      <c r="E275" s="264" t="str">
        <f t="shared" si="9"/>
        <v/>
      </c>
      <c r="F275" s="242" t="str">
        <f>IF(B275="","",PRIX!B296*$Q$6+$R$6*PRIX!C296+PRIX!D296*$S$6+$T$6*PRIX!E296+PRIX!F296*$U$6+PRIX!G296*$V$6+$W$6*PRIX!H296+PRIX!I296*$X$6)</f>
        <v/>
      </c>
      <c r="G275" s="243" t="str">
        <f>IF(B275="","",'Historique détail'!U295)</f>
        <v/>
      </c>
      <c r="H275" s="244" t="str">
        <f t="shared" si="3"/>
        <v/>
      </c>
      <c r="I275" s="266" t="str">
        <f t="shared" si="4"/>
        <v/>
      </c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17"/>
      <c r="AD275" s="217"/>
      <c r="AE275" s="217"/>
      <c r="AF275" s="217"/>
      <c r="AG275" s="217"/>
      <c r="AH275" s="217"/>
      <c r="AI275" s="217"/>
      <c r="AJ275" s="217"/>
      <c r="AK275" s="217"/>
      <c r="AL275" s="217"/>
      <c r="AM275" s="149"/>
    </row>
    <row r="276" ht="22.5" customHeight="1">
      <c r="A276" s="217"/>
      <c r="B276" s="241" t="str">
        <f>IF(ARBITRAGES!E297=0,"",ARBITRAGES!E297)</f>
        <v/>
      </c>
      <c r="C276" s="231" t="str">
        <f t="shared" si="11"/>
        <v/>
      </c>
      <c r="D276" s="264" t="str">
        <f>IF(F276="","",PRIX!B297)</f>
        <v/>
      </c>
      <c r="E276" s="264" t="str">
        <f t="shared" si="9"/>
        <v/>
      </c>
      <c r="F276" s="242" t="str">
        <f>IF(B276="","",PRIX!B297*$Q$6+$R$6*PRIX!C297+PRIX!D297*$S$6+$T$6*PRIX!E297+PRIX!F297*$U$6+PRIX!G297*$V$6+$W$6*PRIX!H297+PRIX!I297*$X$6)</f>
        <v/>
      </c>
      <c r="G276" s="243" t="str">
        <f>IF(B276="","",'Historique détail'!U296)</f>
        <v/>
      </c>
      <c r="H276" s="244" t="str">
        <f t="shared" si="3"/>
        <v/>
      </c>
      <c r="I276" s="266" t="str">
        <f t="shared" si="4"/>
        <v/>
      </c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17"/>
      <c r="AD276" s="217"/>
      <c r="AE276" s="217"/>
      <c r="AF276" s="217"/>
      <c r="AG276" s="217"/>
      <c r="AH276" s="217"/>
      <c r="AI276" s="217"/>
      <c r="AJ276" s="217"/>
      <c r="AK276" s="217"/>
      <c r="AL276" s="217"/>
      <c r="AM276" s="149"/>
    </row>
    <row r="277" ht="22.5" customHeight="1">
      <c r="A277" s="217"/>
      <c r="B277" s="241" t="str">
        <f>IF(ARBITRAGES!E298=0,"",ARBITRAGES!E298)</f>
        <v/>
      </c>
      <c r="C277" s="231" t="str">
        <f t="shared" si="11"/>
        <v/>
      </c>
      <c r="D277" s="264" t="str">
        <f>IF(F277="","",PRIX!B298)</f>
        <v/>
      </c>
      <c r="E277" s="264" t="str">
        <f t="shared" si="9"/>
        <v/>
      </c>
      <c r="F277" s="242" t="str">
        <f>IF(B277="","",PRIX!B298*$Q$6+$R$6*PRIX!C298+PRIX!D298*$S$6+$T$6*PRIX!E298+PRIX!F298*$U$6+PRIX!G298*$V$6+$W$6*PRIX!H298+PRIX!I298*$X$6)</f>
        <v/>
      </c>
      <c r="G277" s="243" t="str">
        <f>IF(B277="","",'Historique détail'!U297)</f>
        <v/>
      </c>
      <c r="H277" s="244" t="str">
        <f t="shared" si="3"/>
        <v/>
      </c>
      <c r="I277" s="266" t="str">
        <f t="shared" si="4"/>
        <v/>
      </c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17"/>
      <c r="AE277" s="217"/>
      <c r="AF277" s="217"/>
      <c r="AG277" s="217"/>
      <c r="AH277" s="217"/>
      <c r="AI277" s="217"/>
      <c r="AJ277" s="217"/>
      <c r="AK277" s="217"/>
      <c r="AL277" s="217"/>
      <c r="AM277" s="149"/>
    </row>
    <row r="278" ht="22.5" customHeight="1">
      <c r="A278" s="217"/>
      <c r="B278" s="241" t="str">
        <f>IF(ARBITRAGES!E299=0,"",ARBITRAGES!E299)</f>
        <v/>
      </c>
      <c r="C278" s="231" t="str">
        <f t="shared" si="11"/>
        <v/>
      </c>
      <c r="D278" s="264" t="str">
        <f>IF(F278="","",PRIX!B299)</f>
        <v/>
      </c>
      <c r="E278" s="264" t="str">
        <f t="shared" si="9"/>
        <v/>
      </c>
      <c r="F278" s="242" t="str">
        <f>IF(B278="","",PRIX!B299*$Q$6+$R$6*PRIX!C299+PRIX!D299*$S$6+$T$6*PRIX!E299+PRIX!F299*$U$6+PRIX!G299*$V$6+$W$6*PRIX!H299+PRIX!I299*$X$6)</f>
        <v/>
      </c>
      <c r="G278" s="243" t="str">
        <f>IF(B278="","",'Historique détail'!U298)</f>
        <v/>
      </c>
      <c r="H278" s="244" t="str">
        <f t="shared" si="3"/>
        <v/>
      </c>
      <c r="I278" s="266" t="str">
        <f t="shared" si="4"/>
        <v/>
      </c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17"/>
      <c r="AD278" s="217"/>
      <c r="AE278" s="217"/>
      <c r="AF278" s="217"/>
      <c r="AG278" s="217"/>
      <c r="AH278" s="217"/>
      <c r="AI278" s="217"/>
      <c r="AJ278" s="217"/>
      <c r="AK278" s="217"/>
      <c r="AL278" s="217"/>
      <c r="AM278" s="149"/>
    </row>
    <row r="279" ht="22.5" customHeight="1">
      <c r="A279" s="217"/>
      <c r="B279" s="241" t="str">
        <f>IF(ARBITRAGES!E300=0,"",ARBITRAGES!E300)</f>
        <v/>
      </c>
      <c r="C279" s="231" t="str">
        <f t="shared" si="11"/>
        <v/>
      </c>
      <c r="D279" s="264" t="str">
        <f>IF(F279="","",PRIX!B300)</f>
        <v/>
      </c>
      <c r="E279" s="264" t="str">
        <f t="shared" si="9"/>
        <v/>
      </c>
      <c r="F279" s="242" t="str">
        <f>IF(B279="","",PRIX!B300*$Q$6+$R$6*PRIX!C300+PRIX!D300*$S$6+$T$6*PRIX!E300+PRIX!F300*$U$6+PRIX!G300*$V$6+$W$6*PRIX!H300+PRIX!I300*$X$6)</f>
        <v/>
      </c>
      <c r="G279" s="243" t="str">
        <f>IF(B279="","",'Historique détail'!U299)</f>
        <v/>
      </c>
      <c r="H279" s="244" t="str">
        <f t="shared" si="3"/>
        <v/>
      </c>
      <c r="I279" s="266" t="str">
        <f t="shared" si="4"/>
        <v/>
      </c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17"/>
      <c r="AD279" s="217"/>
      <c r="AE279" s="217"/>
      <c r="AF279" s="217"/>
      <c r="AG279" s="217"/>
      <c r="AH279" s="217"/>
      <c r="AI279" s="217"/>
      <c r="AJ279" s="217"/>
      <c r="AK279" s="217"/>
      <c r="AL279" s="217"/>
      <c r="AM279" s="149"/>
    </row>
    <row r="280" ht="22.5" customHeight="1">
      <c r="A280" s="217"/>
      <c r="B280" s="241" t="str">
        <f>IF(ARBITRAGES!E301=0,"",ARBITRAGES!E301)</f>
        <v/>
      </c>
      <c r="C280" s="231" t="str">
        <f t="shared" si="11"/>
        <v/>
      </c>
      <c r="D280" s="264" t="str">
        <f>IF(F280="","",PRIX!B301)</f>
        <v/>
      </c>
      <c r="E280" s="264" t="str">
        <f t="shared" si="9"/>
        <v/>
      </c>
      <c r="F280" s="242" t="str">
        <f>IF(B280="","",PRIX!B301*$Q$6+$R$6*PRIX!C301+PRIX!D301*$S$6+$T$6*PRIX!E301+PRIX!F301*$U$6+PRIX!G301*$V$6+$W$6*PRIX!H301+PRIX!I301*$X$6)</f>
        <v/>
      </c>
      <c r="G280" s="243" t="str">
        <f>IF(B280="","",'Historique détail'!U300)</f>
        <v/>
      </c>
      <c r="H280" s="244" t="str">
        <f t="shared" si="3"/>
        <v/>
      </c>
      <c r="I280" s="266" t="str">
        <f t="shared" si="4"/>
        <v/>
      </c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17"/>
      <c r="AE280" s="217"/>
      <c r="AF280" s="217"/>
      <c r="AG280" s="217"/>
      <c r="AH280" s="217"/>
      <c r="AI280" s="217"/>
      <c r="AJ280" s="217"/>
      <c r="AK280" s="217"/>
      <c r="AL280" s="217"/>
      <c r="AM280" s="149"/>
    </row>
    <row r="281" ht="22.5" customHeight="1">
      <c r="A281" s="217"/>
      <c r="B281" s="241" t="str">
        <f>IF(ARBITRAGES!E302=0,"",ARBITRAGES!E302)</f>
        <v/>
      </c>
      <c r="C281" s="231" t="str">
        <f t="shared" si="11"/>
        <v/>
      </c>
      <c r="D281" s="264" t="str">
        <f>IF(F281="","",PRIX!B302)</f>
        <v/>
      </c>
      <c r="E281" s="264" t="str">
        <f t="shared" si="9"/>
        <v/>
      </c>
      <c r="F281" s="242" t="str">
        <f>IF(B281="","",PRIX!B302*$Q$6+$R$6*PRIX!C302+PRIX!D302*$S$6+$T$6*PRIX!E302+PRIX!F302*$U$6+PRIX!G302*$V$6+$W$6*PRIX!H302+PRIX!I302*$X$6)</f>
        <v/>
      </c>
      <c r="G281" s="243" t="str">
        <f>IF(B281="","",'Historique détail'!U301)</f>
        <v/>
      </c>
      <c r="H281" s="244" t="str">
        <f t="shared" si="3"/>
        <v/>
      </c>
      <c r="I281" s="266" t="str">
        <f t="shared" si="4"/>
        <v/>
      </c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  <c r="AE281" s="217"/>
      <c r="AF281" s="217"/>
      <c r="AG281" s="217"/>
      <c r="AH281" s="217"/>
      <c r="AI281" s="217"/>
      <c r="AJ281" s="217"/>
      <c r="AK281" s="217"/>
      <c r="AL281" s="217"/>
      <c r="AM281" s="149"/>
    </row>
    <row r="282" ht="22.5" customHeight="1">
      <c r="A282" s="217"/>
      <c r="B282" s="241" t="str">
        <f>IF(ARBITRAGES!E303=0,"",ARBITRAGES!E303)</f>
        <v/>
      </c>
      <c r="C282" s="231" t="str">
        <f t="shared" si="11"/>
        <v/>
      </c>
      <c r="D282" s="264" t="str">
        <f>IF(F282="","",PRIX!B303)</f>
        <v/>
      </c>
      <c r="E282" s="264" t="str">
        <f t="shared" si="9"/>
        <v/>
      </c>
      <c r="F282" s="242" t="str">
        <f>IF(B282="","",PRIX!B303*$Q$6+$R$6*PRIX!C303+PRIX!D303*$S$6+$T$6*PRIX!E303+PRIX!F303*$U$6+PRIX!G303*$V$6+$W$6*PRIX!H303+PRIX!I303*$X$6)</f>
        <v/>
      </c>
      <c r="G282" s="243" t="str">
        <f>IF(B282="","",'Historique détail'!U302)</f>
        <v/>
      </c>
      <c r="H282" s="244" t="str">
        <f t="shared" si="3"/>
        <v/>
      </c>
      <c r="I282" s="266" t="str">
        <f t="shared" si="4"/>
        <v/>
      </c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17"/>
      <c r="AD282" s="217"/>
      <c r="AE282" s="217"/>
      <c r="AF282" s="217"/>
      <c r="AG282" s="217"/>
      <c r="AH282" s="217"/>
      <c r="AI282" s="217"/>
      <c r="AJ282" s="217"/>
      <c r="AK282" s="217"/>
      <c r="AL282" s="217"/>
      <c r="AM282" s="149"/>
    </row>
    <row r="283" ht="22.5" customHeight="1">
      <c r="A283" s="217"/>
      <c r="B283" s="241" t="str">
        <f>IF(ARBITRAGES!E304=0,"",ARBITRAGES!E304)</f>
        <v/>
      </c>
      <c r="C283" s="231" t="str">
        <f t="shared" si="11"/>
        <v/>
      </c>
      <c r="D283" s="264" t="str">
        <f>IF(F283="","",PRIX!B304)</f>
        <v/>
      </c>
      <c r="E283" s="264" t="str">
        <f t="shared" si="9"/>
        <v/>
      </c>
      <c r="F283" s="242" t="str">
        <f>IF(B283="","",PRIX!B304*$Q$6+$R$6*PRIX!C304+PRIX!D304*$S$6+$T$6*PRIX!E304+PRIX!F304*$U$6+PRIX!G304*$V$6+$W$6*PRIX!H304+PRIX!I304*$X$6)</f>
        <v/>
      </c>
      <c r="G283" s="243" t="str">
        <f>IF(B283="","",'Historique détail'!U303)</f>
        <v/>
      </c>
      <c r="H283" s="244" t="str">
        <f t="shared" si="3"/>
        <v/>
      </c>
      <c r="I283" s="266" t="str">
        <f t="shared" si="4"/>
        <v/>
      </c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17"/>
      <c r="AD283" s="217"/>
      <c r="AE283" s="217"/>
      <c r="AF283" s="217"/>
      <c r="AG283" s="217"/>
      <c r="AH283" s="217"/>
      <c r="AI283" s="217"/>
      <c r="AJ283" s="217"/>
      <c r="AK283" s="217"/>
      <c r="AL283" s="217"/>
      <c r="AM283" s="149"/>
    </row>
    <row r="284" ht="22.5" customHeight="1">
      <c r="A284" s="217"/>
      <c r="B284" s="241" t="str">
        <f>IF(ARBITRAGES!E305=0,"",ARBITRAGES!E305)</f>
        <v/>
      </c>
      <c r="C284" s="231" t="str">
        <f t="shared" si="11"/>
        <v/>
      </c>
      <c r="D284" s="264" t="str">
        <f>IF(F284="","",PRIX!B305)</f>
        <v/>
      </c>
      <c r="E284" s="264" t="str">
        <f t="shared" si="9"/>
        <v/>
      </c>
      <c r="F284" s="242" t="str">
        <f>IF(B284="","",PRIX!B305*$Q$6+$R$6*PRIX!C305+PRIX!D305*$S$6+$T$6*PRIX!E305+PRIX!F305*$U$6+PRIX!G305*$V$6+$W$6*PRIX!H305+PRIX!I305*$X$6)</f>
        <v/>
      </c>
      <c r="G284" s="243" t="str">
        <f>IF(B284="","",'Historique détail'!U304)</f>
        <v/>
      </c>
      <c r="H284" s="244" t="str">
        <f t="shared" si="3"/>
        <v/>
      </c>
      <c r="I284" s="266" t="str">
        <f t="shared" si="4"/>
        <v/>
      </c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17"/>
      <c r="AE284" s="217"/>
      <c r="AF284" s="217"/>
      <c r="AG284" s="217"/>
      <c r="AH284" s="217"/>
      <c r="AI284" s="217"/>
      <c r="AJ284" s="217"/>
      <c r="AK284" s="217"/>
      <c r="AL284" s="217"/>
      <c r="AM284" s="149"/>
    </row>
    <row r="285" ht="22.5" customHeight="1">
      <c r="A285" s="217"/>
      <c r="B285" s="241" t="str">
        <f>IF(ARBITRAGES!E306=0,"",ARBITRAGES!E306)</f>
        <v/>
      </c>
      <c r="C285" s="231" t="str">
        <f t="shared" si="11"/>
        <v/>
      </c>
      <c r="D285" s="264" t="str">
        <f>IF(F285="","",PRIX!B306)</f>
        <v/>
      </c>
      <c r="E285" s="264" t="str">
        <f t="shared" si="9"/>
        <v/>
      </c>
      <c r="F285" s="242" t="str">
        <f>IF(B285="","",PRIX!B306*$Q$6+$R$6*PRIX!C306+PRIX!D306*$S$6+$T$6*PRIX!E306+PRIX!F306*$U$6+PRIX!G306*$V$6+$W$6*PRIX!H306+PRIX!I306*$X$6)</f>
        <v/>
      </c>
      <c r="G285" s="243" t="str">
        <f>IF(B285="","",'Historique détail'!U305)</f>
        <v/>
      </c>
      <c r="H285" s="244" t="str">
        <f t="shared" si="3"/>
        <v/>
      </c>
      <c r="I285" s="266" t="str">
        <f t="shared" si="4"/>
        <v/>
      </c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17"/>
      <c r="AD285" s="217"/>
      <c r="AE285" s="217"/>
      <c r="AF285" s="217"/>
      <c r="AG285" s="217"/>
      <c r="AH285" s="217"/>
      <c r="AI285" s="217"/>
      <c r="AJ285" s="217"/>
      <c r="AK285" s="217"/>
      <c r="AL285" s="217"/>
      <c r="AM285" s="149"/>
    </row>
    <row r="286" ht="22.5" customHeight="1">
      <c r="A286" s="217"/>
      <c r="B286" s="241" t="str">
        <f>IF(ARBITRAGES!E307=0,"",ARBITRAGES!E307)</f>
        <v/>
      </c>
      <c r="C286" s="231" t="str">
        <f t="shared" si="11"/>
        <v/>
      </c>
      <c r="D286" s="264" t="str">
        <f>IF(F286="","",PRIX!B307)</f>
        <v/>
      </c>
      <c r="E286" s="264" t="str">
        <f t="shared" si="9"/>
        <v/>
      </c>
      <c r="F286" s="242" t="str">
        <f>IF(B286="","",PRIX!B307*$Q$6+$R$6*PRIX!C307+PRIX!D307*$S$6+$T$6*PRIX!E307+PRIX!F307*$U$6+PRIX!G307*$V$6+$W$6*PRIX!H307+PRIX!I307*$X$6)</f>
        <v/>
      </c>
      <c r="G286" s="243" t="str">
        <f>IF(B286="","",'Historique détail'!U306)</f>
        <v/>
      </c>
      <c r="H286" s="244" t="str">
        <f t="shared" si="3"/>
        <v/>
      </c>
      <c r="I286" s="266" t="str">
        <f t="shared" si="4"/>
        <v/>
      </c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17"/>
      <c r="AD286" s="217"/>
      <c r="AE286" s="217"/>
      <c r="AF286" s="217"/>
      <c r="AG286" s="217"/>
      <c r="AH286" s="217"/>
      <c r="AI286" s="217"/>
      <c r="AJ286" s="217"/>
      <c r="AK286" s="217"/>
      <c r="AL286" s="217"/>
      <c r="AM286" s="149"/>
    </row>
    <row r="287" ht="22.5" customHeight="1">
      <c r="A287" s="217"/>
      <c r="B287" s="241" t="str">
        <f>IF(ARBITRAGES!E308=0,"",ARBITRAGES!E308)</f>
        <v/>
      </c>
      <c r="C287" s="231" t="str">
        <f t="shared" si="11"/>
        <v/>
      </c>
      <c r="D287" s="264" t="str">
        <f>IF(F287="","",PRIX!B308)</f>
        <v/>
      </c>
      <c r="E287" s="264" t="str">
        <f t="shared" si="9"/>
        <v/>
      </c>
      <c r="F287" s="242" t="str">
        <f>IF(B287="","",PRIX!B308*$Q$6+$R$6*PRIX!C308+PRIX!D308*$S$6+$T$6*PRIX!E308+PRIX!F308*$U$6+PRIX!G308*$V$6+$W$6*PRIX!H308+PRIX!I308*$X$6)</f>
        <v/>
      </c>
      <c r="G287" s="243" t="str">
        <f>IF(B287="","",'Historique détail'!U307)</f>
        <v/>
      </c>
      <c r="H287" s="244" t="str">
        <f t="shared" si="3"/>
        <v/>
      </c>
      <c r="I287" s="266" t="str">
        <f t="shared" si="4"/>
        <v/>
      </c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  <c r="AE287" s="217"/>
      <c r="AF287" s="217"/>
      <c r="AG287" s="217"/>
      <c r="AH287" s="217"/>
      <c r="AI287" s="217"/>
      <c r="AJ287" s="217"/>
      <c r="AK287" s="217"/>
      <c r="AL287" s="217"/>
      <c r="AM287" s="149"/>
    </row>
    <row r="288" ht="22.5" customHeight="1">
      <c r="A288" s="217"/>
      <c r="B288" s="241" t="str">
        <f>IF(ARBITRAGES!E309=0,"",ARBITRAGES!E309)</f>
        <v/>
      </c>
      <c r="C288" s="231" t="str">
        <f t="shared" si="11"/>
        <v/>
      </c>
      <c r="D288" s="264" t="str">
        <f>IF(F288="","",PRIX!B309)</f>
        <v/>
      </c>
      <c r="E288" s="264" t="str">
        <f t="shared" si="9"/>
        <v/>
      </c>
      <c r="F288" s="242" t="str">
        <f>IF(B288="","",PRIX!B309*$Q$6+$R$6*PRIX!C309+PRIX!D309*$S$6+$T$6*PRIX!E309+PRIX!F309*$U$6+PRIX!G309*$V$6+$W$6*PRIX!H309+PRIX!I309*$X$6)</f>
        <v/>
      </c>
      <c r="G288" s="243" t="str">
        <f>IF(B288="","",'Historique détail'!U308)</f>
        <v/>
      </c>
      <c r="H288" s="244" t="str">
        <f t="shared" si="3"/>
        <v/>
      </c>
      <c r="I288" s="266" t="str">
        <f t="shared" si="4"/>
        <v/>
      </c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17"/>
      <c r="AD288" s="217"/>
      <c r="AE288" s="217"/>
      <c r="AF288" s="217"/>
      <c r="AG288" s="217"/>
      <c r="AH288" s="217"/>
      <c r="AI288" s="217"/>
      <c r="AJ288" s="217"/>
      <c r="AK288" s="217"/>
      <c r="AL288" s="217"/>
      <c r="AM288" s="149"/>
    </row>
    <row r="289" ht="22.5" customHeight="1">
      <c r="A289" s="217"/>
      <c r="B289" s="241" t="str">
        <f>IF(ARBITRAGES!E310=0,"",ARBITRAGES!E310)</f>
        <v/>
      </c>
      <c r="C289" s="231" t="str">
        <f t="shared" si="11"/>
        <v/>
      </c>
      <c r="D289" s="264" t="str">
        <f>IF(F289="","",PRIX!B310)</f>
        <v/>
      </c>
      <c r="E289" s="264" t="str">
        <f t="shared" si="9"/>
        <v/>
      </c>
      <c r="F289" s="242" t="str">
        <f>IF(B289="","",PRIX!B310*$Q$6+$R$6*PRIX!C310+PRIX!D310*$S$6+$T$6*PRIX!E310+PRIX!F310*$U$6+PRIX!G310*$V$6+$W$6*PRIX!H310+PRIX!I310*$X$6)</f>
        <v/>
      </c>
      <c r="G289" s="243" t="str">
        <f>IF(B289="","",'Historique détail'!U309)</f>
        <v/>
      </c>
      <c r="H289" s="244" t="str">
        <f t="shared" si="3"/>
        <v/>
      </c>
      <c r="I289" s="266" t="str">
        <f t="shared" si="4"/>
        <v/>
      </c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17"/>
      <c r="AD289" s="217"/>
      <c r="AE289" s="217"/>
      <c r="AF289" s="217"/>
      <c r="AG289" s="217"/>
      <c r="AH289" s="217"/>
      <c r="AI289" s="217"/>
      <c r="AJ289" s="217"/>
      <c r="AK289" s="217"/>
      <c r="AL289" s="217"/>
      <c r="AM289" s="149"/>
    </row>
    <row r="290" ht="22.5" customHeight="1">
      <c r="A290" s="217"/>
      <c r="B290" s="241" t="str">
        <f>IF(ARBITRAGES!E311=0,"",ARBITRAGES!E311)</f>
        <v/>
      </c>
      <c r="C290" s="231" t="str">
        <f t="shared" si="11"/>
        <v/>
      </c>
      <c r="D290" s="264" t="str">
        <f>IF(F290="","",PRIX!B311)</f>
        <v/>
      </c>
      <c r="E290" s="264" t="str">
        <f t="shared" si="9"/>
        <v/>
      </c>
      <c r="F290" s="242" t="str">
        <f>IF(B290="","",PRIX!B311*$Q$6+$R$6*PRIX!C311+PRIX!D311*$S$6+$T$6*PRIX!E311+PRIX!F311*$U$6+PRIX!G311*$V$6+$W$6*PRIX!H311+PRIX!I311*$X$6)</f>
        <v/>
      </c>
      <c r="G290" s="243" t="str">
        <f>IF(B290="","",'Historique détail'!U310)</f>
        <v/>
      </c>
      <c r="H290" s="244" t="str">
        <f t="shared" si="3"/>
        <v/>
      </c>
      <c r="I290" s="266" t="str">
        <f t="shared" si="4"/>
        <v/>
      </c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17"/>
      <c r="AD290" s="217"/>
      <c r="AE290" s="217"/>
      <c r="AF290" s="217"/>
      <c r="AG290" s="217"/>
      <c r="AH290" s="217"/>
      <c r="AI290" s="217"/>
      <c r="AJ290" s="217"/>
      <c r="AK290" s="217"/>
      <c r="AL290" s="217"/>
      <c r="AM290" s="149"/>
    </row>
    <row r="291" ht="22.5" customHeight="1">
      <c r="A291" s="217"/>
      <c r="B291" s="241" t="str">
        <f>IF(ARBITRAGES!E312=0,"",ARBITRAGES!E312)</f>
        <v/>
      </c>
      <c r="C291" s="231" t="str">
        <f t="shared" si="11"/>
        <v/>
      </c>
      <c r="D291" s="264" t="str">
        <f>IF(F291="","",PRIX!B312)</f>
        <v/>
      </c>
      <c r="E291" s="264" t="str">
        <f t="shared" si="9"/>
        <v/>
      </c>
      <c r="F291" s="242" t="str">
        <f>IF(B291="","",PRIX!B312*$Q$6+$R$6*PRIX!C312+PRIX!D312*$S$6+$T$6*PRIX!E312+PRIX!F312*$U$6+PRIX!G312*$V$6+$W$6*PRIX!H312+PRIX!I312*$X$6)</f>
        <v/>
      </c>
      <c r="G291" s="243" t="str">
        <f>IF(B291="","",'Historique détail'!U311)</f>
        <v/>
      </c>
      <c r="H291" s="244" t="str">
        <f t="shared" si="3"/>
        <v/>
      </c>
      <c r="I291" s="266" t="str">
        <f t="shared" si="4"/>
        <v/>
      </c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17"/>
      <c r="AD291" s="217"/>
      <c r="AE291" s="217"/>
      <c r="AF291" s="217"/>
      <c r="AG291" s="217"/>
      <c r="AH291" s="217"/>
      <c r="AI291" s="217"/>
      <c r="AJ291" s="217"/>
      <c r="AK291" s="217"/>
      <c r="AL291" s="217"/>
      <c r="AM291" s="149"/>
    </row>
    <row r="292" ht="22.5" customHeight="1">
      <c r="A292" s="217"/>
      <c r="B292" s="241" t="str">
        <f>IF(ARBITRAGES!E313=0,"",ARBITRAGES!E313)</f>
        <v/>
      </c>
      <c r="C292" s="231" t="str">
        <f t="shared" si="11"/>
        <v/>
      </c>
      <c r="D292" s="264" t="str">
        <f>IF(F292="","",PRIX!B313)</f>
        <v/>
      </c>
      <c r="E292" s="264" t="str">
        <f t="shared" si="9"/>
        <v/>
      </c>
      <c r="F292" s="242" t="str">
        <f>IF(B292="","",PRIX!B313*$Q$6+$R$6*PRIX!C313+PRIX!D313*$S$6+$T$6*PRIX!E313+PRIX!F313*$U$6+PRIX!G313*$V$6+$W$6*PRIX!H313+PRIX!I313*$X$6)</f>
        <v/>
      </c>
      <c r="G292" s="243" t="str">
        <f>IF(B292="","",'Historique détail'!U312)</f>
        <v/>
      </c>
      <c r="H292" s="244" t="str">
        <f t="shared" si="3"/>
        <v/>
      </c>
      <c r="I292" s="266" t="str">
        <f t="shared" si="4"/>
        <v/>
      </c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17"/>
      <c r="AD292" s="217"/>
      <c r="AE292" s="217"/>
      <c r="AF292" s="217"/>
      <c r="AG292" s="217"/>
      <c r="AH292" s="217"/>
      <c r="AI292" s="217"/>
      <c r="AJ292" s="217"/>
      <c r="AK292" s="217"/>
      <c r="AL292" s="217"/>
      <c r="AM292" s="149"/>
    </row>
    <row r="293" ht="22.5" customHeight="1">
      <c r="A293" s="217"/>
      <c r="B293" s="241" t="str">
        <f>IF(ARBITRAGES!E314=0,"",ARBITRAGES!E314)</f>
        <v/>
      </c>
      <c r="C293" s="231" t="str">
        <f t="shared" si="11"/>
        <v/>
      </c>
      <c r="D293" s="264" t="str">
        <f>IF(F293="","",PRIX!B314)</f>
        <v/>
      </c>
      <c r="E293" s="264" t="str">
        <f t="shared" si="9"/>
        <v/>
      </c>
      <c r="F293" s="242" t="str">
        <f>IF(B293="","",PRIX!B314*$Q$6+$R$6*PRIX!C314+PRIX!D314*$S$6+$T$6*PRIX!E314+PRIX!F314*$U$6+PRIX!G314*$V$6+$W$6*PRIX!H314+PRIX!I314*$X$6)</f>
        <v/>
      </c>
      <c r="G293" s="243" t="str">
        <f>IF(B293="","",'Historique détail'!U313)</f>
        <v/>
      </c>
      <c r="H293" s="244" t="str">
        <f t="shared" si="3"/>
        <v/>
      </c>
      <c r="I293" s="266" t="str">
        <f t="shared" si="4"/>
        <v/>
      </c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17"/>
      <c r="AD293" s="217"/>
      <c r="AE293" s="217"/>
      <c r="AF293" s="217"/>
      <c r="AG293" s="217"/>
      <c r="AH293" s="217"/>
      <c r="AI293" s="217"/>
      <c r="AJ293" s="217"/>
      <c r="AK293" s="217"/>
      <c r="AL293" s="217"/>
      <c r="AM293" s="149"/>
    </row>
    <row r="294" ht="22.5" customHeight="1">
      <c r="A294" s="217"/>
      <c r="B294" s="241" t="str">
        <f>IF(ARBITRAGES!E315=0,"",ARBITRAGES!E315)</f>
        <v/>
      </c>
      <c r="C294" s="231" t="str">
        <f t="shared" si="11"/>
        <v/>
      </c>
      <c r="D294" s="264" t="str">
        <f>IF(F294="","",PRIX!B315)</f>
        <v/>
      </c>
      <c r="E294" s="264" t="str">
        <f t="shared" si="9"/>
        <v/>
      </c>
      <c r="F294" s="242" t="str">
        <f>IF(B294="","",PRIX!B315*$Q$6+$R$6*PRIX!C315+PRIX!D315*$S$6+$T$6*PRIX!E315+PRIX!F315*$U$6+PRIX!G315*$V$6+$W$6*PRIX!H315+PRIX!I315*$X$6)</f>
        <v/>
      </c>
      <c r="G294" s="243" t="str">
        <f>IF(B294="","",'Historique détail'!U314)</f>
        <v/>
      </c>
      <c r="H294" s="244" t="str">
        <f t="shared" si="3"/>
        <v/>
      </c>
      <c r="I294" s="266" t="str">
        <f t="shared" si="4"/>
        <v/>
      </c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17"/>
      <c r="AD294" s="217"/>
      <c r="AE294" s="217"/>
      <c r="AF294" s="217"/>
      <c r="AG294" s="217"/>
      <c r="AH294" s="217"/>
      <c r="AI294" s="217"/>
      <c r="AJ294" s="217"/>
      <c r="AK294" s="217"/>
      <c r="AL294" s="217"/>
      <c r="AM294" s="149"/>
    </row>
    <row r="295" ht="22.5" customHeight="1">
      <c r="A295" s="217"/>
      <c r="B295" s="241" t="str">
        <f>IF(ARBITRAGES!E316=0,"",ARBITRAGES!E316)</f>
        <v/>
      </c>
      <c r="C295" s="231" t="str">
        <f t="shared" si="11"/>
        <v/>
      </c>
      <c r="D295" s="264" t="str">
        <f>IF(F295="","",PRIX!B316)</f>
        <v/>
      </c>
      <c r="E295" s="264" t="str">
        <f t="shared" si="9"/>
        <v/>
      </c>
      <c r="F295" s="242" t="str">
        <f>IF(B295="","",PRIX!B316*$Q$6+$R$6*PRIX!C316+PRIX!D316*$S$6+$T$6*PRIX!E316+PRIX!F316*$U$6+PRIX!G316*$V$6+$W$6*PRIX!H316+PRIX!I316*$X$6)</f>
        <v/>
      </c>
      <c r="G295" s="243" t="str">
        <f>IF(B295="","",'Historique détail'!U315)</f>
        <v/>
      </c>
      <c r="H295" s="244" t="str">
        <f t="shared" si="3"/>
        <v/>
      </c>
      <c r="I295" s="266" t="str">
        <f t="shared" si="4"/>
        <v/>
      </c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17"/>
      <c r="AD295" s="217"/>
      <c r="AE295" s="217"/>
      <c r="AF295" s="217"/>
      <c r="AG295" s="217"/>
      <c r="AH295" s="217"/>
      <c r="AI295" s="217"/>
      <c r="AJ295" s="217"/>
      <c r="AK295" s="217"/>
      <c r="AL295" s="217"/>
      <c r="AM295" s="149"/>
    </row>
    <row r="296" ht="22.5" customHeight="1">
      <c r="A296" s="217"/>
      <c r="B296" s="241" t="str">
        <f>IF(ARBITRAGES!E317=0,"",ARBITRAGES!E317)</f>
        <v/>
      </c>
      <c r="C296" s="231" t="str">
        <f t="shared" si="11"/>
        <v/>
      </c>
      <c r="D296" s="264" t="str">
        <f>IF(F296="","",PRIX!B317)</f>
        <v/>
      </c>
      <c r="E296" s="264" t="str">
        <f t="shared" si="9"/>
        <v/>
      </c>
      <c r="F296" s="242" t="str">
        <f>IF(B296="","",PRIX!B317*$Q$6+$R$6*PRIX!C317+PRIX!D317*$S$6+$T$6*PRIX!E317+PRIX!F317*$U$6+PRIX!G317*$V$6+$W$6*PRIX!H317+PRIX!I317*$X$6)</f>
        <v/>
      </c>
      <c r="G296" s="243" t="str">
        <f>IF(B296="","",'Historique détail'!U316)</f>
        <v/>
      </c>
      <c r="H296" s="244" t="str">
        <f t="shared" si="3"/>
        <v/>
      </c>
      <c r="I296" s="266" t="str">
        <f t="shared" si="4"/>
        <v/>
      </c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17"/>
      <c r="AD296" s="217"/>
      <c r="AE296" s="217"/>
      <c r="AF296" s="217"/>
      <c r="AG296" s="217"/>
      <c r="AH296" s="217"/>
      <c r="AI296" s="217"/>
      <c r="AJ296" s="217"/>
      <c r="AK296" s="217"/>
      <c r="AL296" s="217"/>
      <c r="AM296" s="149"/>
    </row>
    <row r="297" ht="22.5" customHeight="1">
      <c r="A297" s="217"/>
      <c r="B297" s="241" t="str">
        <f>IF(ARBITRAGES!E318=0,"",ARBITRAGES!E318)</f>
        <v/>
      </c>
      <c r="C297" s="231" t="str">
        <f t="shared" si="11"/>
        <v/>
      </c>
      <c r="D297" s="264" t="str">
        <f>IF(F297="","",PRIX!B318)</f>
        <v/>
      </c>
      <c r="E297" s="264" t="str">
        <f t="shared" si="9"/>
        <v/>
      </c>
      <c r="F297" s="242" t="str">
        <f>IF(B297="","",PRIX!B318*$Q$6+$R$6*PRIX!C318+PRIX!D318*$S$6+$T$6*PRIX!E318+PRIX!F318*$U$6+PRIX!G318*$V$6+$W$6*PRIX!H318+PRIX!I318*$X$6)</f>
        <v/>
      </c>
      <c r="G297" s="243" t="str">
        <f>IF(B297="","",'Historique détail'!U317)</f>
        <v/>
      </c>
      <c r="H297" s="244" t="str">
        <f t="shared" si="3"/>
        <v/>
      </c>
      <c r="I297" s="266" t="str">
        <f t="shared" si="4"/>
        <v/>
      </c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17"/>
      <c r="AD297" s="217"/>
      <c r="AE297" s="217"/>
      <c r="AF297" s="217"/>
      <c r="AG297" s="217"/>
      <c r="AH297" s="217"/>
      <c r="AI297" s="217"/>
      <c r="AJ297" s="217"/>
      <c r="AK297" s="217"/>
      <c r="AL297" s="217"/>
      <c r="AM297" s="149"/>
    </row>
    <row r="298" ht="22.5" customHeight="1">
      <c r="A298" s="217"/>
      <c r="B298" s="241" t="str">
        <f>IF(ARBITRAGES!E319=0,"",ARBITRAGES!E319)</f>
        <v/>
      </c>
      <c r="C298" s="231" t="str">
        <f t="shared" si="11"/>
        <v/>
      </c>
      <c r="D298" s="264" t="str">
        <f>IF(F298="","",PRIX!B319)</f>
        <v/>
      </c>
      <c r="E298" s="264" t="str">
        <f t="shared" si="9"/>
        <v/>
      </c>
      <c r="F298" s="242" t="str">
        <f>IF(B298="","",PRIX!B319*$Q$6+$R$6*PRIX!C319+PRIX!D319*$S$6+$T$6*PRIX!E319+PRIX!F319*$U$6+PRIX!G319*$V$6+$W$6*PRIX!H319+PRIX!I319*$X$6)</f>
        <v/>
      </c>
      <c r="G298" s="243" t="str">
        <f>IF(B298="","",'Historique détail'!U318)</f>
        <v/>
      </c>
      <c r="H298" s="244" t="str">
        <f t="shared" si="3"/>
        <v/>
      </c>
      <c r="I298" s="266" t="str">
        <f t="shared" si="4"/>
        <v/>
      </c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17"/>
      <c r="AD298" s="217"/>
      <c r="AE298" s="217"/>
      <c r="AF298" s="217"/>
      <c r="AG298" s="217"/>
      <c r="AH298" s="217"/>
      <c r="AI298" s="217"/>
      <c r="AJ298" s="217"/>
      <c r="AK298" s="217"/>
      <c r="AL298" s="217"/>
      <c r="AM298" s="149"/>
    </row>
    <row r="299" ht="22.5" customHeight="1">
      <c r="A299" s="217"/>
      <c r="B299" s="241" t="str">
        <f>IF(ARBITRAGES!E320=0,"",ARBITRAGES!E320)</f>
        <v/>
      </c>
      <c r="C299" s="231" t="str">
        <f t="shared" si="11"/>
        <v/>
      </c>
      <c r="D299" s="264" t="str">
        <f>IF(F299="","",PRIX!B320)</f>
        <v/>
      </c>
      <c r="E299" s="264" t="str">
        <f t="shared" si="9"/>
        <v/>
      </c>
      <c r="F299" s="242" t="str">
        <f>IF(B299="","",PRIX!B320*$Q$6+$R$6*PRIX!C320+PRIX!D320*$S$6+$T$6*PRIX!E320+PRIX!F320*$U$6+PRIX!G320*$V$6+$W$6*PRIX!H320+PRIX!I320*$X$6)</f>
        <v/>
      </c>
      <c r="G299" s="243" t="str">
        <f>IF(B299="","",'Historique détail'!U319)</f>
        <v/>
      </c>
      <c r="H299" s="244" t="str">
        <f t="shared" si="3"/>
        <v/>
      </c>
      <c r="I299" s="266" t="str">
        <f t="shared" si="4"/>
        <v/>
      </c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17"/>
      <c r="AD299" s="217"/>
      <c r="AE299" s="217"/>
      <c r="AF299" s="217"/>
      <c r="AG299" s="217"/>
      <c r="AH299" s="217"/>
      <c r="AI299" s="217"/>
      <c r="AJ299" s="217"/>
      <c r="AK299" s="217"/>
      <c r="AL299" s="217"/>
      <c r="AM299" s="149"/>
    </row>
    <row r="300" ht="22.5" customHeight="1">
      <c r="A300" s="217"/>
      <c r="B300" s="241" t="str">
        <f>IF(ARBITRAGES!E321=0,"",ARBITRAGES!E321)</f>
        <v/>
      </c>
      <c r="C300" s="231" t="str">
        <f t="shared" si="11"/>
        <v/>
      </c>
      <c r="D300" s="264" t="str">
        <f>IF(F300="","",PRIX!B321)</f>
        <v/>
      </c>
      <c r="E300" s="264" t="str">
        <f t="shared" si="9"/>
        <v/>
      </c>
      <c r="F300" s="242" t="str">
        <f>IF(B300="","",PRIX!B321*$Q$6+$R$6*PRIX!C321+PRIX!D321*$S$6+$T$6*PRIX!E321+PRIX!F321*$U$6+PRIX!G321*$V$6+$W$6*PRIX!H321+PRIX!I321*$X$6)</f>
        <v/>
      </c>
      <c r="G300" s="243" t="str">
        <f>IF(B300="","",'Historique détail'!U320)</f>
        <v/>
      </c>
      <c r="H300" s="244" t="str">
        <f t="shared" si="3"/>
        <v/>
      </c>
      <c r="I300" s="266" t="str">
        <f t="shared" si="4"/>
        <v/>
      </c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17"/>
      <c r="AD300" s="217"/>
      <c r="AE300" s="217"/>
      <c r="AF300" s="217"/>
      <c r="AG300" s="217"/>
      <c r="AH300" s="217"/>
      <c r="AI300" s="217"/>
      <c r="AJ300" s="217"/>
      <c r="AK300" s="217"/>
      <c r="AL300" s="217"/>
      <c r="AM300" s="149"/>
    </row>
    <row r="301" ht="22.5" customHeight="1">
      <c r="A301" s="217"/>
      <c r="B301" s="241" t="str">
        <f>IF(ARBITRAGES!E322=0,"",ARBITRAGES!E322)</f>
        <v/>
      </c>
      <c r="C301" s="231" t="str">
        <f t="shared" si="11"/>
        <v/>
      </c>
      <c r="D301" s="264" t="str">
        <f>IF(F301="","",PRIX!B322)</f>
        <v/>
      </c>
      <c r="E301" s="264" t="str">
        <f t="shared" si="9"/>
        <v/>
      </c>
      <c r="F301" s="242" t="str">
        <f>IF(B301="","",PRIX!B322*$Q$6+$R$6*PRIX!C322+PRIX!D322*$S$6+$T$6*PRIX!E322+PRIX!F322*$U$6+PRIX!G322*$V$6+$W$6*PRIX!H322+PRIX!I322*$X$6)</f>
        <v/>
      </c>
      <c r="G301" s="243" t="str">
        <f>IF(B301="","",'Historique détail'!U321)</f>
        <v/>
      </c>
      <c r="H301" s="244" t="str">
        <f t="shared" si="3"/>
        <v/>
      </c>
      <c r="I301" s="266" t="str">
        <f t="shared" si="4"/>
        <v/>
      </c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17"/>
      <c r="AD301" s="217"/>
      <c r="AE301" s="217"/>
      <c r="AF301" s="217"/>
      <c r="AG301" s="217"/>
      <c r="AH301" s="217"/>
      <c r="AI301" s="217"/>
      <c r="AJ301" s="217"/>
      <c r="AK301" s="217"/>
      <c r="AL301" s="217"/>
      <c r="AM301" s="149"/>
    </row>
    <row r="302" ht="22.5" customHeight="1">
      <c r="A302" s="217"/>
      <c r="B302" s="241" t="str">
        <f>IF(ARBITRAGES!E323=0,"",ARBITRAGES!E323)</f>
        <v/>
      </c>
      <c r="C302" s="231" t="str">
        <f t="shared" si="11"/>
        <v/>
      </c>
      <c r="D302" s="264" t="str">
        <f>IF(F302="","",PRIX!B323)</f>
        <v/>
      </c>
      <c r="E302" s="264" t="str">
        <f t="shared" si="9"/>
        <v/>
      </c>
      <c r="F302" s="242" t="str">
        <f>IF(B302="","",PRIX!B323*$Q$6+$R$6*PRIX!C323+PRIX!D323*$S$6+$T$6*PRIX!E323+PRIX!F323*$U$6+PRIX!G323*$V$6+$W$6*PRIX!H323+PRIX!I323*$X$6)</f>
        <v/>
      </c>
      <c r="G302" s="243" t="str">
        <f>IF(B302="","",'Historique détail'!U322)</f>
        <v/>
      </c>
      <c r="H302" s="244" t="str">
        <f t="shared" si="3"/>
        <v/>
      </c>
      <c r="I302" s="266" t="str">
        <f t="shared" si="4"/>
        <v/>
      </c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17"/>
      <c r="AD302" s="217"/>
      <c r="AE302" s="217"/>
      <c r="AF302" s="217"/>
      <c r="AG302" s="217"/>
      <c r="AH302" s="217"/>
      <c r="AI302" s="217"/>
      <c r="AJ302" s="217"/>
      <c r="AK302" s="217"/>
      <c r="AL302" s="217"/>
      <c r="AM302" s="149"/>
    </row>
    <row r="303" ht="22.5" customHeight="1">
      <c r="A303" s="217"/>
      <c r="B303" s="241" t="str">
        <f>IF(ARBITRAGES!E324=0,"",ARBITRAGES!E324)</f>
        <v/>
      </c>
      <c r="C303" s="231" t="str">
        <f t="shared" si="11"/>
        <v/>
      </c>
      <c r="D303" s="264" t="str">
        <f>IF(F303="","",PRIX!B324)</f>
        <v/>
      </c>
      <c r="E303" s="264" t="str">
        <f t="shared" si="9"/>
        <v/>
      </c>
      <c r="F303" s="242" t="str">
        <f>IF(B303="","",PRIX!B324*$Q$6+$R$6*PRIX!C324+PRIX!D324*$S$6+$T$6*PRIX!E324+PRIX!F324*$U$6+PRIX!G324*$V$6+$W$6*PRIX!H324+PRIX!I324*$X$6)</f>
        <v/>
      </c>
      <c r="G303" s="243" t="str">
        <f>IF(B303="","",'Historique détail'!U323)</f>
        <v/>
      </c>
      <c r="H303" s="244" t="str">
        <f t="shared" si="3"/>
        <v/>
      </c>
      <c r="I303" s="266" t="str">
        <f t="shared" si="4"/>
        <v/>
      </c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17"/>
      <c r="AD303" s="217"/>
      <c r="AE303" s="217"/>
      <c r="AF303" s="217"/>
      <c r="AG303" s="217"/>
      <c r="AH303" s="217"/>
      <c r="AI303" s="217"/>
      <c r="AJ303" s="217"/>
      <c r="AK303" s="217"/>
      <c r="AL303" s="217"/>
      <c r="AM303" s="149"/>
    </row>
    <row r="304" ht="22.5" customHeight="1">
      <c r="A304" s="217"/>
      <c r="B304" s="241" t="str">
        <f>IF(ARBITRAGES!E325=0,"",ARBITRAGES!E325)</f>
        <v/>
      </c>
      <c r="C304" s="231" t="str">
        <f t="shared" si="11"/>
        <v/>
      </c>
      <c r="D304" s="264" t="str">
        <f>IF(F304="","",PRIX!B325)</f>
        <v/>
      </c>
      <c r="E304" s="264" t="str">
        <f t="shared" si="9"/>
        <v/>
      </c>
      <c r="F304" s="242" t="str">
        <f>IF(B304="","",PRIX!B325*$Q$6+$R$6*PRIX!C325+PRIX!D325*$S$6+$T$6*PRIX!E325+PRIX!F325*$U$6+PRIX!G325*$V$6+$W$6*PRIX!H325+PRIX!I325*$X$6)</f>
        <v/>
      </c>
      <c r="G304" s="243" t="str">
        <f>IF(B304="","",'Historique détail'!U324)</f>
        <v/>
      </c>
      <c r="H304" s="244" t="str">
        <f t="shared" si="3"/>
        <v/>
      </c>
      <c r="I304" s="266" t="str">
        <f t="shared" si="4"/>
        <v/>
      </c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17"/>
      <c r="AD304" s="217"/>
      <c r="AE304" s="217"/>
      <c r="AF304" s="217"/>
      <c r="AG304" s="217"/>
      <c r="AH304" s="217"/>
      <c r="AI304" s="217"/>
      <c r="AJ304" s="217"/>
      <c r="AK304" s="217"/>
      <c r="AL304" s="217"/>
      <c r="AM304" s="149"/>
    </row>
    <row r="305" ht="22.5" customHeight="1">
      <c r="A305" s="217"/>
      <c r="B305" s="241" t="str">
        <f>IF(ARBITRAGES!E326=0,"",ARBITRAGES!E326)</f>
        <v/>
      </c>
      <c r="C305" s="231" t="str">
        <f t="shared" si="11"/>
        <v/>
      </c>
      <c r="D305" s="264" t="str">
        <f>IF(F305="","",PRIX!B326)</f>
        <v/>
      </c>
      <c r="E305" s="264" t="str">
        <f t="shared" si="9"/>
        <v/>
      </c>
      <c r="F305" s="242" t="str">
        <f>IF(B305="","",PRIX!B326*$Q$6+$R$6*PRIX!C326+PRIX!D326*$S$6+$T$6*PRIX!E326+PRIX!F326*$U$6+PRIX!G326*$V$6+$W$6*PRIX!H326+PRIX!I326*$X$6)</f>
        <v/>
      </c>
      <c r="G305" s="243" t="str">
        <f>IF(B305="","",'Historique détail'!U325)</f>
        <v/>
      </c>
      <c r="H305" s="244" t="str">
        <f t="shared" si="3"/>
        <v/>
      </c>
      <c r="I305" s="266" t="str">
        <f t="shared" si="4"/>
        <v/>
      </c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17"/>
      <c r="AD305" s="217"/>
      <c r="AE305" s="217"/>
      <c r="AF305" s="217"/>
      <c r="AG305" s="217"/>
      <c r="AH305" s="217"/>
      <c r="AI305" s="217"/>
      <c r="AJ305" s="217"/>
      <c r="AK305" s="217"/>
      <c r="AL305" s="217"/>
      <c r="AM305" s="149"/>
    </row>
    <row r="306" ht="22.5" customHeight="1">
      <c r="A306" s="217"/>
      <c r="B306" s="241" t="str">
        <f>IF(ARBITRAGES!E327=0,"",ARBITRAGES!E327)</f>
        <v/>
      </c>
      <c r="C306" s="231" t="str">
        <f t="shared" si="11"/>
        <v/>
      </c>
      <c r="D306" s="264" t="str">
        <f>IF(F306="","",PRIX!B327)</f>
        <v/>
      </c>
      <c r="E306" s="264" t="str">
        <f t="shared" si="9"/>
        <v/>
      </c>
      <c r="F306" s="242" t="str">
        <f>IF(B306="","",PRIX!B327*$Q$6+$R$6*PRIX!C327+PRIX!D327*$S$6+$T$6*PRIX!E327+PRIX!F327*$U$6+PRIX!G327*$V$6+$W$6*PRIX!H327+PRIX!I327*$X$6)</f>
        <v/>
      </c>
      <c r="G306" s="243" t="str">
        <f>IF(B306="","",'Historique détail'!U326)</f>
        <v/>
      </c>
      <c r="H306" s="244" t="str">
        <f t="shared" si="3"/>
        <v/>
      </c>
      <c r="I306" s="266" t="str">
        <f t="shared" si="4"/>
        <v/>
      </c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17"/>
      <c r="AD306" s="217"/>
      <c r="AE306" s="217"/>
      <c r="AF306" s="217"/>
      <c r="AG306" s="217"/>
      <c r="AH306" s="217"/>
      <c r="AI306" s="217"/>
      <c r="AJ306" s="217"/>
      <c r="AK306" s="217"/>
      <c r="AL306" s="217"/>
      <c r="AM306" s="149"/>
    </row>
    <row r="307" ht="22.5" customHeight="1">
      <c r="A307" s="217"/>
      <c r="B307" s="241" t="str">
        <f>IF(ARBITRAGES!E328=0,"",ARBITRAGES!E328)</f>
        <v/>
      </c>
      <c r="C307" s="231" t="str">
        <f t="shared" si="11"/>
        <v/>
      </c>
      <c r="D307" s="264" t="str">
        <f>IF(F307="","",PRIX!B328)</f>
        <v/>
      </c>
      <c r="E307" s="264" t="str">
        <f t="shared" si="9"/>
        <v/>
      </c>
      <c r="F307" s="242" t="str">
        <f>IF(B307="","",PRIX!B328*$Q$6+$R$6*PRIX!C328+PRIX!D328*$S$6+$T$6*PRIX!E328+PRIX!F328*$U$6+PRIX!G328*$V$6+$W$6*PRIX!H328+PRIX!I328*$X$6)</f>
        <v/>
      </c>
      <c r="G307" s="243" t="str">
        <f>IF(B307="","",'Historique détail'!U327)</f>
        <v/>
      </c>
      <c r="H307" s="244" t="str">
        <f t="shared" si="3"/>
        <v/>
      </c>
      <c r="I307" s="266" t="str">
        <f t="shared" si="4"/>
        <v/>
      </c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17"/>
      <c r="AD307" s="217"/>
      <c r="AE307" s="217"/>
      <c r="AF307" s="217"/>
      <c r="AG307" s="217"/>
      <c r="AH307" s="217"/>
      <c r="AI307" s="217"/>
      <c r="AJ307" s="217"/>
      <c r="AK307" s="217"/>
      <c r="AL307" s="217"/>
      <c r="AM307" s="149"/>
    </row>
    <row r="308" ht="22.5" customHeight="1">
      <c r="A308" s="217"/>
      <c r="B308" s="241" t="str">
        <f>IF(ARBITRAGES!E329=0,"",ARBITRAGES!E329)</f>
        <v/>
      </c>
      <c r="C308" s="231" t="str">
        <f t="shared" si="11"/>
        <v/>
      </c>
      <c r="D308" s="264" t="str">
        <f>IF(F308="","",PRIX!B329)</f>
        <v/>
      </c>
      <c r="E308" s="264" t="str">
        <f>IF(F308="","",($F$4/PRIX!$B$3)*PRIX!B307)</f>
        <v/>
      </c>
      <c r="F308" s="242" t="str">
        <f>IF(B308="","",PRIX!B329*$Q$6+$R$6*PRIX!C329+PRIX!D329*$S$6+$T$6*PRIX!E329+PRIX!F329*$U$6+PRIX!G329*$V$6+$W$6*PRIX!H329+PRIX!I329*$X$6)</f>
        <v/>
      </c>
      <c r="G308" s="243" t="str">
        <f>IF(B308="","",'Historique détail'!U328)</f>
        <v/>
      </c>
      <c r="H308" s="244" t="str">
        <f t="shared" si="3"/>
        <v/>
      </c>
      <c r="I308" s="266" t="str">
        <f t="shared" si="4"/>
        <v/>
      </c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17"/>
      <c r="AD308" s="217"/>
      <c r="AE308" s="217"/>
      <c r="AF308" s="217"/>
      <c r="AG308" s="217"/>
      <c r="AH308" s="217"/>
      <c r="AI308" s="217"/>
      <c r="AJ308" s="217"/>
      <c r="AK308" s="217"/>
      <c r="AL308" s="217"/>
      <c r="AM308" s="149"/>
    </row>
    <row r="309" ht="22.5" customHeight="1">
      <c r="A309" s="217"/>
      <c r="B309" s="241" t="str">
        <f>IF(ARBITRAGES!E330=0,"",ARBITRAGES!E330)</f>
        <v/>
      </c>
      <c r="C309" s="231" t="str">
        <f t="shared" si="11"/>
        <v/>
      </c>
      <c r="D309" s="264" t="str">
        <f>IF(F309="","",PRIX!B330)</f>
        <v/>
      </c>
      <c r="E309" s="264" t="str">
        <f>IF(F309="","",($F$4/PRIX!$B$3)*PRIX!B308)</f>
        <v/>
      </c>
      <c r="F309" s="242" t="str">
        <f>IF(B309="","",PRIX!B330*$Q$6+$R$6*PRIX!C330+PRIX!D330*$S$6+$T$6*PRIX!E330+PRIX!F330*$U$6+PRIX!G330*$V$6+$W$6*PRIX!H330+PRIX!I330*$X$6)</f>
        <v/>
      </c>
      <c r="G309" s="243" t="str">
        <f>IF(B309="","",'Historique détail'!U329)</f>
        <v/>
      </c>
      <c r="H309" s="244" t="str">
        <f t="shared" si="3"/>
        <v/>
      </c>
      <c r="I309" s="266" t="str">
        <f t="shared" si="4"/>
        <v/>
      </c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7"/>
      <c r="AE309" s="217"/>
      <c r="AF309" s="217"/>
      <c r="AG309" s="217"/>
      <c r="AH309" s="217"/>
      <c r="AI309" s="217"/>
      <c r="AJ309" s="217"/>
      <c r="AK309" s="217"/>
      <c r="AL309" s="217"/>
      <c r="AM309" s="149"/>
    </row>
    <row r="310" ht="22.5" customHeight="1">
      <c r="A310" s="217"/>
      <c r="B310" s="241" t="str">
        <f>IF(ARBITRAGES!E331=0,"",ARBITRAGES!E331)</f>
        <v/>
      </c>
      <c r="C310" s="231" t="str">
        <f t="shared" si="11"/>
        <v/>
      </c>
      <c r="D310" s="264" t="str">
        <f>IF(F310="","",PRIX!B331)</f>
        <v/>
      </c>
      <c r="E310" s="264" t="str">
        <f>IF(F310="","",($F$4/PRIX!$B$3)*PRIX!B309)</f>
        <v/>
      </c>
      <c r="F310" s="242" t="str">
        <f>IF(B310="","",PRIX!B331*$Q$6+$R$6*PRIX!C331+PRIX!D331*$S$6+$T$6*PRIX!E331+PRIX!F331*$U$6+PRIX!G331*$V$6+$W$6*PRIX!H331+PRIX!I331*$X$6)</f>
        <v/>
      </c>
      <c r="G310" s="243" t="str">
        <f>IF(B310="","",'Historique détail'!U330)</f>
        <v/>
      </c>
      <c r="H310" s="244" t="str">
        <f t="shared" si="3"/>
        <v/>
      </c>
      <c r="I310" s="266" t="str">
        <f t="shared" si="4"/>
        <v/>
      </c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17"/>
      <c r="AD310" s="217"/>
      <c r="AE310" s="217"/>
      <c r="AF310" s="217"/>
      <c r="AG310" s="217"/>
      <c r="AH310" s="217"/>
      <c r="AI310" s="217"/>
      <c r="AJ310" s="217"/>
      <c r="AK310" s="217"/>
      <c r="AL310" s="217"/>
      <c r="AM310" s="149"/>
    </row>
    <row r="311" ht="22.5" customHeight="1">
      <c r="A311" s="217"/>
      <c r="B311" s="241" t="str">
        <f>IF(ARBITRAGES!E332=0,"",ARBITRAGES!E332)</f>
        <v/>
      </c>
      <c r="C311" s="231" t="str">
        <f t="shared" si="11"/>
        <v/>
      </c>
      <c r="D311" s="264" t="str">
        <f>IF(F311="","",PRIX!B332)</f>
        <v/>
      </c>
      <c r="E311" s="264" t="str">
        <f>IF(F311="","",($F$4/PRIX!$B$3)*PRIX!B310)</f>
        <v/>
      </c>
      <c r="F311" s="242" t="str">
        <f>IF(B311="","",PRIX!B332*$Q$6+$R$6*PRIX!C332+PRIX!D332*$S$6+$T$6*PRIX!E332+PRIX!F332*$U$6+PRIX!G332*$V$6+$W$6*PRIX!H332+PRIX!I332*$X$6)</f>
        <v/>
      </c>
      <c r="G311" s="243" t="str">
        <f>IF(B311="","",'Historique détail'!U331)</f>
        <v/>
      </c>
      <c r="H311" s="244" t="str">
        <f t="shared" si="3"/>
        <v/>
      </c>
      <c r="I311" s="266" t="str">
        <f t="shared" si="4"/>
        <v/>
      </c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17"/>
      <c r="AD311" s="217"/>
      <c r="AE311" s="217"/>
      <c r="AF311" s="217"/>
      <c r="AG311" s="217"/>
      <c r="AH311" s="217"/>
      <c r="AI311" s="217"/>
      <c r="AJ311" s="217"/>
      <c r="AK311" s="217"/>
      <c r="AL311" s="217"/>
      <c r="AM311" s="149"/>
    </row>
    <row r="312" ht="22.5" customHeight="1">
      <c r="A312" s="217"/>
      <c r="B312" s="241" t="str">
        <f>IF(ARBITRAGES!E333=0,"",ARBITRAGES!E333)</f>
        <v/>
      </c>
      <c r="C312" s="231" t="str">
        <f t="shared" si="11"/>
        <v/>
      </c>
      <c r="D312" s="264" t="str">
        <f>IF(F312="","",PRIX!B333)</f>
        <v/>
      </c>
      <c r="E312" s="264" t="str">
        <f>IF(F312="","",($F$4/PRIX!$B$3)*PRIX!B311)</f>
        <v/>
      </c>
      <c r="F312" s="242" t="str">
        <f>IF(B312="","",PRIX!B333*$Q$6+$R$6*PRIX!C333+PRIX!D333*$S$6+$T$6*PRIX!E333+PRIX!F333*$U$6+PRIX!G333*$V$6+$W$6*PRIX!H333+PRIX!I333*$X$6)</f>
        <v/>
      </c>
      <c r="G312" s="243" t="str">
        <f>IF(B312="","",'Historique détail'!U332)</f>
        <v/>
      </c>
      <c r="H312" s="244" t="str">
        <f t="shared" si="3"/>
        <v/>
      </c>
      <c r="I312" s="266" t="str">
        <f t="shared" si="4"/>
        <v/>
      </c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17"/>
      <c r="AD312" s="217"/>
      <c r="AE312" s="217"/>
      <c r="AF312" s="217"/>
      <c r="AG312" s="217"/>
      <c r="AH312" s="217"/>
      <c r="AI312" s="217"/>
      <c r="AJ312" s="217"/>
      <c r="AK312" s="217"/>
      <c r="AL312" s="217"/>
      <c r="AM312" s="149"/>
    </row>
    <row r="313" ht="22.5" customHeight="1">
      <c r="A313" s="217"/>
      <c r="B313" s="241" t="str">
        <f>IF(ARBITRAGES!E334=0,"",ARBITRAGES!E334)</f>
        <v/>
      </c>
      <c r="C313" s="231" t="str">
        <f t="shared" si="11"/>
        <v/>
      </c>
      <c r="D313" s="264" t="str">
        <f>IF(F313="","",PRIX!B334)</f>
        <v/>
      </c>
      <c r="E313" s="264" t="str">
        <f>IF(F313="","",($F$4/PRIX!$B$3)*PRIX!B312)</f>
        <v/>
      </c>
      <c r="F313" s="242" t="str">
        <f>IF(B313="","",PRIX!B334*$Q$6+$R$6*PRIX!C334+PRIX!D334*$S$6+$T$6*PRIX!E334+PRIX!F334*$U$6+PRIX!G334*$V$6+$W$6*PRIX!H334+PRIX!I334*$X$6)</f>
        <v/>
      </c>
      <c r="G313" s="243" t="str">
        <f>IF(B313="","",'Historique détail'!U333)</f>
        <v/>
      </c>
      <c r="H313" s="244" t="str">
        <f t="shared" si="3"/>
        <v/>
      </c>
      <c r="I313" s="266" t="str">
        <f t="shared" si="4"/>
        <v/>
      </c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17"/>
      <c r="AD313" s="217"/>
      <c r="AE313" s="217"/>
      <c r="AF313" s="217"/>
      <c r="AG313" s="217"/>
      <c r="AH313" s="217"/>
      <c r="AI313" s="217"/>
      <c r="AJ313" s="217"/>
      <c r="AK313" s="217"/>
      <c r="AL313" s="217"/>
      <c r="AM313" s="149"/>
    </row>
    <row r="314" ht="22.5" customHeight="1">
      <c r="A314" s="217"/>
      <c r="B314" s="241" t="str">
        <f>IF(ARBITRAGES!E335=0,"",ARBITRAGES!E335)</f>
        <v/>
      </c>
      <c r="C314" s="231" t="str">
        <f t="shared" si="11"/>
        <v/>
      </c>
      <c r="D314" s="264" t="str">
        <f>IF(F314="","",PRIX!B335)</f>
        <v/>
      </c>
      <c r="E314" s="264" t="str">
        <f>IF(F314="","",($F$4/PRIX!$B$3)*PRIX!B313)</f>
        <v/>
      </c>
      <c r="F314" s="242" t="str">
        <f>IF(B314="","",PRIX!B335*$Q$6+$R$6*PRIX!C335+PRIX!D335*$S$6+$T$6*PRIX!E335+PRIX!F335*$U$6+PRIX!G335*$V$6+$W$6*PRIX!H335+PRIX!I335*$X$6)</f>
        <v/>
      </c>
      <c r="G314" s="243" t="str">
        <f>IF(B314="","",'Historique détail'!U334)</f>
        <v/>
      </c>
      <c r="H314" s="244" t="str">
        <f t="shared" si="3"/>
        <v/>
      </c>
      <c r="I314" s="266" t="str">
        <f t="shared" si="4"/>
        <v/>
      </c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17"/>
      <c r="AD314" s="217"/>
      <c r="AE314" s="217"/>
      <c r="AF314" s="217"/>
      <c r="AG314" s="217"/>
      <c r="AH314" s="217"/>
      <c r="AI314" s="217"/>
      <c r="AJ314" s="217"/>
      <c r="AK314" s="217"/>
      <c r="AL314" s="217"/>
      <c r="AM314" s="149"/>
    </row>
    <row r="315" ht="22.5" customHeight="1">
      <c r="A315" s="217"/>
      <c r="B315" s="241" t="str">
        <f>IF(ARBITRAGES!E336=0,"",ARBITRAGES!E336)</f>
        <v/>
      </c>
      <c r="C315" s="231" t="str">
        <f t="shared" si="11"/>
        <v/>
      </c>
      <c r="D315" s="264" t="str">
        <f>IF(F315="","",PRIX!B336)</f>
        <v/>
      </c>
      <c r="E315" s="264" t="str">
        <f>IF(F315="","",($F$4/PRIX!$B$3)*PRIX!B314)</f>
        <v/>
      </c>
      <c r="F315" s="242" t="str">
        <f>IF(B315="","",PRIX!B336*$Q$6+$R$6*PRIX!C336+PRIX!D336*$S$6+$T$6*PRIX!E336+PRIX!F336*$U$6+PRIX!G336*$V$6+$W$6*PRIX!H336+PRIX!I336*$X$6)</f>
        <v/>
      </c>
      <c r="G315" s="243" t="str">
        <f>IF(B315="","",'Historique détail'!U335)</f>
        <v/>
      </c>
      <c r="H315" s="244" t="str">
        <f t="shared" si="3"/>
        <v/>
      </c>
      <c r="I315" s="266" t="str">
        <f t="shared" si="4"/>
        <v/>
      </c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17"/>
      <c r="AD315" s="217"/>
      <c r="AE315" s="217"/>
      <c r="AF315" s="217"/>
      <c r="AG315" s="217"/>
      <c r="AH315" s="217"/>
      <c r="AI315" s="217"/>
      <c r="AJ315" s="217"/>
      <c r="AK315" s="217"/>
      <c r="AL315" s="217"/>
      <c r="AM315" s="149"/>
    </row>
    <row r="316" ht="22.5" customHeight="1">
      <c r="A316" s="217"/>
      <c r="B316" s="241" t="str">
        <f>IF(ARBITRAGES!E337=0,"",ARBITRAGES!E337)</f>
        <v/>
      </c>
      <c r="C316" s="231" t="str">
        <f t="shared" si="11"/>
        <v/>
      </c>
      <c r="D316" s="264" t="str">
        <f>IF(F316="","",PRIX!B337)</f>
        <v/>
      </c>
      <c r="E316" s="264" t="str">
        <f>IF(F316="","",($F$4/PRIX!$B$3)*PRIX!B315)</f>
        <v/>
      </c>
      <c r="F316" s="242" t="str">
        <f>IF(B316="","",PRIX!B337*$Q$6+$R$6*PRIX!C337+PRIX!D337*$S$6+$T$6*PRIX!E337+PRIX!F337*$U$6+PRIX!G337*$V$6+$W$6*PRIX!H337+PRIX!I337*$X$6)</f>
        <v/>
      </c>
      <c r="G316" s="243" t="str">
        <f>IF(B316="","",'Historique détail'!U336)</f>
        <v/>
      </c>
      <c r="H316" s="244" t="str">
        <f t="shared" si="3"/>
        <v/>
      </c>
      <c r="I316" s="266" t="str">
        <f t="shared" si="4"/>
        <v/>
      </c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17"/>
      <c r="AE316" s="217"/>
      <c r="AF316" s="217"/>
      <c r="AG316" s="217"/>
      <c r="AH316" s="217"/>
      <c r="AI316" s="217"/>
      <c r="AJ316" s="217"/>
      <c r="AK316" s="217"/>
      <c r="AL316" s="217"/>
      <c r="AM316" s="149"/>
    </row>
    <row r="317" ht="22.5" customHeight="1">
      <c r="A317" s="217"/>
      <c r="B317" s="241" t="str">
        <f>IF(ARBITRAGES!E338=0,"",ARBITRAGES!E338)</f>
        <v/>
      </c>
      <c r="C317" s="231" t="str">
        <f t="shared" si="11"/>
        <v/>
      </c>
      <c r="D317" s="264" t="str">
        <f>IF(F317="","",PRIX!B338)</f>
        <v/>
      </c>
      <c r="E317" s="264" t="str">
        <f>IF(F317="","",($F$4/PRIX!$B$3)*PRIX!B316)</f>
        <v/>
      </c>
      <c r="F317" s="242" t="str">
        <f>IF(B317="","",PRIX!B338*$Q$6+$R$6*PRIX!C338+PRIX!D338*$S$6+$T$6*PRIX!E338+PRIX!F338*$U$6+PRIX!G338*$V$6+$W$6*PRIX!H338+PRIX!I338*$X$6)</f>
        <v/>
      </c>
      <c r="G317" s="243" t="str">
        <f>IF(B317="","",'Historique détail'!U337)</f>
        <v/>
      </c>
      <c r="H317" s="244" t="str">
        <f t="shared" si="3"/>
        <v/>
      </c>
      <c r="I317" s="266" t="str">
        <f t="shared" si="4"/>
        <v/>
      </c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17"/>
      <c r="AD317" s="217"/>
      <c r="AE317" s="217"/>
      <c r="AF317" s="217"/>
      <c r="AG317" s="217"/>
      <c r="AH317" s="217"/>
      <c r="AI317" s="217"/>
      <c r="AJ317" s="217"/>
      <c r="AK317" s="217"/>
      <c r="AL317" s="217"/>
      <c r="AM317" s="149"/>
    </row>
    <row r="318" ht="22.5" customHeight="1">
      <c r="A318" s="217"/>
      <c r="B318" s="241" t="str">
        <f>IF(ARBITRAGES!E339=0,"",ARBITRAGES!E339)</f>
        <v/>
      </c>
      <c r="C318" s="231" t="str">
        <f t="shared" si="11"/>
        <v/>
      </c>
      <c r="D318" s="264" t="str">
        <f>IF(F318="","",PRIX!B339)</f>
        <v/>
      </c>
      <c r="E318" s="264" t="str">
        <f>IF(F318="","",($F$4/PRIX!$B$3)*PRIX!B317)</f>
        <v/>
      </c>
      <c r="F318" s="242" t="str">
        <f>IF(B318="","",PRIX!B339*$Q$6+$R$6*PRIX!C339+PRIX!D339*$S$6+$T$6*PRIX!E339+PRIX!F339*$U$6+PRIX!G339*$V$6+$W$6*PRIX!H339+PRIX!I339*$X$6)</f>
        <v/>
      </c>
      <c r="G318" s="243" t="str">
        <f>IF(B318="","",'Historique détail'!U338)</f>
        <v/>
      </c>
      <c r="H318" s="244" t="str">
        <f t="shared" si="3"/>
        <v/>
      </c>
      <c r="I318" s="266" t="str">
        <f t="shared" si="4"/>
        <v/>
      </c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17"/>
      <c r="AD318" s="217"/>
      <c r="AE318" s="217"/>
      <c r="AF318" s="217"/>
      <c r="AG318" s="217"/>
      <c r="AH318" s="217"/>
      <c r="AI318" s="217"/>
      <c r="AJ318" s="217"/>
      <c r="AK318" s="217"/>
      <c r="AL318" s="217"/>
      <c r="AM318" s="149"/>
    </row>
    <row r="319" ht="22.5" customHeight="1">
      <c r="A319" s="217"/>
      <c r="B319" s="241" t="str">
        <f>IF(ARBITRAGES!E340=0,"",ARBITRAGES!E340)</f>
        <v/>
      </c>
      <c r="C319" s="231" t="str">
        <f t="shared" si="11"/>
        <v/>
      </c>
      <c r="D319" s="264" t="str">
        <f>IF(F319="","",PRIX!B340)</f>
        <v/>
      </c>
      <c r="E319" s="264" t="str">
        <f>IF(F319="","",($F$4/PRIX!$B$3)*PRIX!B318)</f>
        <v/>
      </c>
      <c r="F319" s="242" t="str">
        <f>IF(B319="","",PRIX!B340*$Q$6+$R$6*PRIX!C340+PRIX!D340*$S$6+$T$6*PRIX!E340+PRIX!F340*$U$6+PRIX!G340*$V$6+$W$6*PRIX!H340+PRIX!I340*$X$6)</f>
        <v/>
      </c>
      <c r="G319" s="243" t="str">
        <f>IF(B319="","",'Historique détail'!U339)</f>
        <v/>
      </c>
      <c r="H319" s="244" t="str">
        <f t="shared" si="3"/>
        <v/>
      </c>
      <c r="I319" s="266" t="str">
        <f t="shared" si="4"/>
        <v/>
      </c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17"/>
      <c r="AD319" s="217"/>
      <c r="AE319" s="217"/>
      <c r="AF319" s="217"/>
      <c r="AG319" s="217"/>
      <c r="AH319" s="217"/>
      <c r="AI319" s="217"/>
      <c r="AJ319" s="217"/>
      <c r="AK319" s="217"/>
      <c r="AL319" s="217"/>
      <c r="AM319" s="149"/>
    </row>
    <row r="320" ht="22.5" customHeight="1">
      <c r="A320" s="217"/>
      <c r="B320" s="241" t="str">
        <f>IF(ARBITRAGES!E341=0,"",ARBITRAGES!E341)</f>
        <v/>
      </c>
      <c r="C320" s="231" t="str">
        <f t="shared" si="11"/>
        <v/>
      </c>
      <c r="D320" s="264" t="str">
        <f>IF(F320="","",PRIX!B341)</f>
        <v/>
      </c>
      <c r="E320" s="264" t="str">
        <f>IF(F320="","",($F$4/PRIX!$B$3)*PRIX!B319)</f>
        <v/>
      </c>
      <c r="F320" s="242" t="str">
        <f>IF(B320="","",PRIX!B341*$Q$6+$R$6*PRIX!C341+PRIX!D341*$S$6+$T$6*PRIX!E341+PRIX!F341*$U$6+PRIX!G341*$V$6+$W$6*PRIX!H341+PRIX!I341*$X$6)</f>
        <v/>
      </c>
      <c r="G320" s="243" t="str">
        <f>IF(B320="","",'Historique détail'!U340)</f>
        <v/>
      </c>
      <c r="H320" s="244" t="str">
        <f t="shared" si="3"/>
        <v/>
      </c>
      <c r="I320" s="266" t="str">
        <f t="shared" si="4"/>
        <v/>
      </c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17"/>
      <c r="AD320" s="217"/>
      <c r="AE320" s="217"/>
      <c r="AF320" s="217"/>
      <c r="AG320" s="217"/>
      <c r="AH320" s="217"/>
      <c r="AI320" s="217"/>
      <c r="AJ320" s="217"/>
      <c r="AK320" s="217"/>
      <c r="AL320" s="217"/>
      <c r="AM320" s="149"/>
    </row>
    <row r="321" ht="22.5" customHeight="1">
      <c r="A321" s="217"/>
      <c r="B321" s="241" t="str">
        <f>IF(ARBITRAGES!E342=0,"",ARBITRAGES!E342)</f>
        <v/>
      </c>
      <c r="C321" s="231" t="str">
        <f t="shared" si="11"/>
        <v/>
      </c>
      <c r="D321" s="264" t="str">
        <f>IF(F321="","",PRIX!B342)</f>
        <v/>
      </c>
      <c r="E321" s="264" t="str">
        <f>IF(F321="","",($F$4/PRIX!$B$3)*PRIX!B320)</f>
        <v/>
      </c>
      <c r="F321" s="242" t="str">
        <f>IF(B321="","",PRIX!B342*$Q$6+$R$6*PRIX!C342+PRIX!D342*$S$6+$T$6*PRIX!E342+PRIX!F342*$U$6+PRIX!G342*$V$6+$W$6*PRIX!H342+PRIX!I342*$X$6)</f>
        <v/>
      </c>
      <c r="G321" s="243" t="str">
        <f>IF(B321="","",'Historique détail'!U341)</f>
        <v/>
      </c>
      <c r="H321" s="244" t="str">
        <f t="shared" si="3"/>
        <v/>
      </c>
      <c r="I321" s="266" t="str">
        <f t="shared" si="4"/>
        <v/>
      </c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  <c r="AE321" s="217"/>
      <c r="AF321" s="217"/>
      <c r="AG321" s="217"/>
      <c r="AH321" s="217"/>
      <c r="AI321" s="217"/>
      <c r="AJ321" s="217"/>
      <c r="AK321" s="217"/>
      <c r="AL321" s="217"/>
      <c r="AM321" s="149"/>
    </row>
    <row r="322" ht="22.5" customHeight="1">
      <c r="A322" s="217"/>
      <c r="B322" s="241" t="str">
        <f>IF(ARBITRAGES!E343=0,"",ARBITRAGES!E343)</f>
        <v/>
      </c>
      <c r="C322" s="231" t="str">
        <f t="shared" si="11"/>
        <v/>
      </c>
      <c r="D322" s="264" t="str">
        <f>IF(F322="","",PRIX!B343)</f>
        <v/>
      </c>
      <c r="E322" s="264" t="str">
        <f>IF(F322="","",($F$4/PRIX!$B$3)*PRIX!B321)</f>
        <v/>
      </c>
      <c r="F322" s="242" t="str">
        <f>IF(B322="","",PRIX!B343*$Q$6+$R$6*PRIX!C343+PRIX!D343*$S$6+$T$6*PRIX!E343+PRIX!F343*$U$6+PRIX!G343*$V$6+$W$6*PRIX!H343+PRIX!I343*$X$6)</f>
        <v/>
      </c>
      <c r="G322" s="243" t="str">
        <f>IF(B322="","",'Historique détail'!U342)</f>
        <v/>
      </c>
      <c r="H322" s="244" t="str">
        <f t="shared" si="3"/>
        <v/>
      </c>
      <c r="I322" s="266" t="str">
        <f t="shared" si="4"/>
        <v/>
      </c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17"/>
      <c r="AD322" s="217"/>
      <c r="AE322" s="217"/>
      <c r="AF322" s="217"/>
      <c r="AG322" s="217"/>
      <c r="AH322" s="217"/>
      <c r="AI322" s="217"/>
      <c r="AJ322" s="217"/>
      <c r="AK322" s="217"/>
      <c r="AL322" s="217"/>
      <c r="AM322" s="149"/>
    </row>
    <row r="323" ht="22.5" customHeight="1">
      <c r="A323" s="217"/>
      <c r="B323" s="241" t="str">
        <f>IF(ARBITRAGES!E344=0,"",ARBITRAGES!E344)</f>
        <v/>
      </c>
      <c r="C323" s="231" t="str">
        <f t="shared" si="11"/>
        <v/>
      </c>
      <c r="D323" s="264" t="str">
        <f>IF(F323="","",PRIX!B344)</f>
        <v/>
      </c>
      <c r="E323" s="264" t="str">
        <f>IF(F323="","",($F$4/PRIX!$B$3)*PRIX!B322)</f>
        <v/>
      </c>
      <c r="F323" s="242" t="str">
        <f>IF(B323="","",PRIX!B344*$Q$6+$R$6*PRIX!C344+PRIX!D344*$S$6+$T$6*PRIX!E344+PRIX!F344*$U$6+PRIX!G344*$V$6+$W$6*PRIX!H344+PRIX!I344*$X$6)</f>
        <v/>
      </c>
      <c r="G323" s="243" t="str">
        <f>IF(B323="","",'Historique détail'!U343)</f>
        <v/>
      </c>
      <c r="H323" s="244" t="str">
        <f t="shared" si="3"/>
        <v/>
      </c>
      <c r="I323" s="266" t="str">
        <f t="shared" si="4"/>
        <v/>
      </c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17"/>
      <c r="AD323" s="217"/>
      <c r="AE323" s="217"/>
      <c r="AF323" s="217"/>
      <c r="AG323" s="217"/>
      <c r="AH323" s="217"/>
      <c r="AI323" s="217"/>
      <c r="AJ323" s="217"/>
      <c r="AK323" s="217"/>
      <c r="AL323" s="217"/>
      <c r="AM323" s="149"/>
    </row>
    <row r="324" ht="22.5" customHeight="1">
      <c r="A324" s="217"/>
      <c r="B324" s="241" t="str">
        <f>IF(ARBITRAGES!E345=0,"",ARBITRAGES!E345)</f>
        <v/>
      </c>
      <c r="C324" s="231" t="str">
        <f t="shared" si="11"/>
        <v/>
      </c>
      <c r="D324" s="264" t="str">
        <f>IF(F324="","",PRIX!B345)</f>
        <v/>
      </c>
      <c r="E324" s="264" t="str">
        <f>IF(F324="","",($F$4/PRIX!$B$3)*PRIX!B323)</f>
        <v/>
      </c>
      <c r="F324" s="242" t="str">
        <f>IF(B324="","",PRIX!B345*$Q$6+$R$6*PRIX!C345+PRIX!D345*$S$6+$T$6*PRIX!E345+PRIX!F345*$U$6+PRIX!G345*$V$6+$W$6*PRIX!H345+PRIX!I345*$X$6)</f>
        <v/>
      </c>
      <c r="G324" s="243" t="str">
        <f>IF(B324="","",'Historique détail'!U344)</f>
        <v/>
      </c>
      <c r="H324" s="244" t="str">
        <f t="shared" si="3"/>
        <v/>
      </c>
      <c r="I324" s="266" t="str">
        <f t="shared" si="4"/>
        <v/>
      </c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17"/>
      <c r="AD324" s="217"/>
      <c r="AE324" s="217"/>
      <c r="AF324" s="217"/>
      <c r="AG324" s="217"/>
      <c r="AH324" s="217"/>
      <c r="AI324" s="217"/>
      <c r="AJ324" s="217"/>
      <c r="AK324" s="217"/>
      <c r="AL324" s="217"/>
      <c r="AM324" s="149"/>
    </row>
    <row r="325" ht="22.5" customHeight="1">
      <c r="A325" s="217"/>
      <c r="B325" s="241" t="str">
        <f>IF(ARBITRAGES!E346=0,"",ARBITRAGES!E346)</f>
        <v/>
      </c>
      <c r="C325" s="231" t="str">
        <f t="shared" si="11"/>
        <v/>
      </c>
      <c r="D325" s="264" t="str">
        <f>IF(F325="","",PRIX!B346)</f>
        <v/>
      </c>
      <c r="E325" s="264" t="str">
        <f>IF(F325="","",($F$4/PRIX!$B$3)*PRIX!B324)</f>
        <v/>
      </c>
      <c r="F325" s="242" t="str">
        <f>IF(B325="","",PRIX!B346*$Q$6+$R$6*PRIX!C346+PRIX!D346*$S$6+$T$6*PRIX!E346+PRIX!F346*$U$6+PRIX!G346*$V$6+$W$6*PRIX!H346+PRIX!I346*$X$6)</f>
        <v/>
      </c>
      <c r="G325" s="243" t="str">
        <f>IF(B325="","",'Historique détail'!U345)</f>
        <v/>
      </c>
      <c r="H325" s="244" t="str">
        <f t="shared" si="3"/>
        <v/>
      </c>
      <c r="I325" s="266" t="str">
        <f t="shared" si="4"/>
        <v/>
      </c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17"/>
      <c r="AD325" s="217"/>
      <c r="AE325" s="217"/>
      <c r="AF325" s="217"/>
      <c r="AG325" s="217"/>
      <c r="AH325" s="217"/>
      <c r="AI325" s="217"/>
      <c r="AJ325" s="217"/>
      <c r="AK325" s="217"/>
      <c r="AL325" s="217"/>
      <c r="AM325" s="149"/>
    </row>
    <row r="326" ht="22.5" customHeight="1">
      <c r="A326" s="217"/>
      <c r="B326" s="241" t="str">
        <f>IF(ARBITRAGES!E347=0,"",ARBITRAGES!E347)</f>
        <v/>
      </c>
      <c r="C326" s="231" t="str">
        <f t="shared" si="11"/>
        <v/>
      </c>
      <c r="D326" s="264" t="str">
        <f>IF(F326="","",PRIX!B347)</f>
        <v/>
      </c>
      <c r="E326" s="264" t="str">
        <f>IF(F326="","",($F$4/PRIX!$B$3)*PRIX!B325)</f>
        <v/>
      </c>
      <c r="F326" s="242" t="str">
        <f>IF(B326="","",PRIX!B347*$Q$6+$R$6*PRIX!C347+PRIX!D347*$S$6+$T$6*PRIX!E347+PRIX!F347*$U$6+PRIX!G347*$V$6+$W$6*PRIX!H347+PRIX!I347*$X$6)</f>
        <v/>
      </c>
      <c r="G326" s="243" t="str">
        <f>IF(B326="","",'Historique détail'!U346)</f>
        <v/>
      </c>
      <c r="H326" s="244" t="str">
        <f t="shared" si="3"/>
        <v/>
      </c>
      <c r="I326" s="266" t="str">
        <f t="shared" si="4"/>
        <v/>
      </c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17"/>
      <c r="AD326" s="217"/>
      <c r="AE326" s="217"/>
      <c r="AF326" s="217"/>
      <c r="AG326" s="217"/>
      <c r="AH326" s="217"/>
      <c r="AI326" s="217"/>
      <c r="AJ326" s="217"/>
      <c r="AK326" s="217"/>
      <c r="AL326" s="217"/>
      <c r="AM326" s="149"/>
    </row>
    <row r="327" ht="22.5" customHeight="1">
      <c r="A327" s="217"/>
      <c r="B327" s="241" t="str">
        <f>IF(ARBITRAGES!E348=0,"",ARBITRAGES!E348)</f>
        <v/>
      </c>
      <c r="C327" s="231" t="str">
        <f t="shared" si="11"/>
        <v/>
      </c>
      <c r="D327" s="264" t="str">
        <f>IF(F327="","",PRIX!B348)</f>
        <v/>
      </c>
      <c r="E327" s="264" t="str">
        <f>IF(F327="","",($F$4/PRIX!$B$3)*PRIX!B326)</f>
        <v/>
      </c>
      <c r="F327" s="242" t="str">
        <f>IF(B327="","",PRIX!B348*$Q$6+$R$6*PRIX!C348+PRIX!D348*$S$6+$T$6*PRIX!E348+PRIX!F348*$U$6+PRIX!G348*$V$6+$W$6*PRIX!H348+PRIX!I348*$X$6)</f>
        <v/>
      </c>
      <c r="G327" s="243" t="str">
        <f>IF(B327="","",'Historique détail'!U347)</f>
        <v/>
      </c>
      <c r="H327" s="244" t="str">
        <f t="shared" si="3"/>
        <v/>
      </c>
      <c r="I327" s="266" t="str">
        <f t="shared" si="4"/>
        <v/>
      </c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17"/>
      <c r="AD327" s="217"/>
      <c r="AE327" s="217"/>
      <c r="AF327" s="217"/>
      <c r="AG327" s="217"/>
      <c r="AH327" s="217"/>
      <c r="AI327" s="217"/>
      <c r="AJ327" s="217"/>
      <c r="AK327" s="217"/>
      <c r="AL327" s="217"/>
      <c r="AM327" s="149"/>
    </row>
    <row r="328" ht="22.5" customHeight="1">
      <c r="A328" s="217"/>
      <c r="B328" s="241" t="str">
        <f>IF(ARBITRAGES!E349=0,"",ARBITRAGES!E349)</f>
        <v/>
      </c>
      <c r="C328" s="231" t="str">
        <f t="shared" si="11"/>
        <v/>
      </c>
      <c r="D328" s="264" t="str">
        <f>IF(F328="","",PRIX!B349)</f>
        <v/>
      </c>
      <c r="E328" s="264" t="str">
        <f>IF(F328="","",($F$4/PRIX!$B$3)*PRIX!B327)</f>
        <v/>
      </c>
      <c r="F328" s="242" t="str">
        <f>IF(B328="","",PRIX!B349*$Q$6+$R$6*PRIX!C349+PRIX!D349*$S$6+$T$6*PRIX!E349+PRIX!F349*$U$6+PRIX!G349*$V$6+$W$6*PRIX!H349+PRIX!I349*$X$6)</f>
        <v/>
      </c>
      <c r="G328" s="243" t="str">
        <f>IF(B328="","",'Historique détail'!U348)</f>
        <v/>
      </c>
      <c r="H328" s="244" t="str">
        <f t="shared" si="3"/>
        <v/>
      </c>
      <c r="I328" s="266" t="str">
        <f t="shared" si="4"/>
        <v/>
      </c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17"/>
      <c r="AD328" s="217"/>
      <c r="AE328" s="217"/>
      <c r="AF328" s="217"/>
      <c r="AG328" s="217"/>
      <c r="AH328" s="217"/>
      <c r="AI328" s="217"/>
      <c r="AJ328" s="217"/>
      <c r="AK328" s="217"/>
      <c r="AL328" s="217"/>
      <c r="AM328" s="149"/>
    </row>
    <row r="329" ht="22.5" customHeight="1">
      <c r="A329" s="217"/>
      <c r="B329" s="241" t="str">
        <f>IF(ARBITRAGES!E350=0,"",ARBITRAGES!E350)</f>
        <v/>
      </c>
      <c r="C329" s="231" t="str">
        <f t="shared" si="11"/>
        <v/>
      </c>
      <c r="D329" s="264" t="str">
        <f>IF(F329="","",PRIX!B350)</f>
        <v/>
      </c>
      <c r="E329" s="264" t="str">
        <f>IF(F329="","",($F$4/PRIX!$B$3)*PRIX!B328)</f>
        <v/>
      </c>
      <c r="F329" s="242" t="str">
        <f>IF(B329="","",PRIX!B350*$Q$6+$R$6*PRIX!C350+PRIX!D350*$S$6+$T$6*PRIX!E350+PRIX!F350*$U$6+PRIX!G350*$V$6+$W$6*PRIX!H350+PRIX!I350*$X$6)</f>
        <v/>
      </c>
      <c r="G329" s="243" t="str">
        <f>IF(B329="","",'Historique détail'!U349)</f>
        <v/>
      </c>
      <c r="H329" s="244" t="str">
        <f t="shared" si="3"/>
        <v/>
      </c>
      <c r="I329" s="266" t="str">
        <f t="shared" si="4"/>
        <v/>
      </c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17"/>
      <c r="AD329" s="217"/>
      <c r="AE329" s="217"/>
      <c r="AF329" s="217"/>
      <c r="AG329" s="217"/>
      <c r="AH329" s="217"/>
      <c r="AI329" s="217"/>
      <c r="AJ329" s="217"/>
      <c r="AK329" s="217"/>
      <c r="AL329" s="217"/>
      <c r="AM329" s="149"/>
    </row>
    <row r="330" ht="22.5" customHeight="1">
      <c r="A330" s="217"/>
      <c r="B330" s="241" t="str">
        <f>IF(ARBITRAGES!E351=0,"",ARBITRAGES!E351)</f>
        <v/>
      </c>
      <c r="C330" s="231" t="str">
        <f t="shared" si="11"/>
        <v/>
      </c>
      <c r="D330" s="264" t="str">
        <f>IF(F330="","",PRIX!B351)</f>
        <v/>
      </c>
      <c r="E330" s="264" t="str">
        <f>IF(F330="","",($F$4/PRIX!$B$3)*PRIX!B329)</f>
        <v/>
      </c>
      <c r="F330" s="242" t="str">
        <f>IF(B330="","",PRIX!B351*$Q$6+$R$6*PRIX!C351+PRIX!D351*$S$6+$T$6*PRIX!E351+PRIX!F351*$U$6+PRIX!G351*$V$6+$W$6*PRIX!H351+PRIX!I351*$X$6)</f>
        <v/>
      </c>
      <c r="G330" s="243" t="str">
        <f>IF(B330="","",'Historique détail'!U350)</f>
        <v/>
      </c>
      <c r="H330" s="244" t="str">
        <f t="shared" si="3"/>
        <v/>
      </c>
      <c r="I330" s="266" t="str">
        <f t="shared" si="4"/>
        <v/>
      </c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17"/>
      <c r="AD330" s="217"/>
      <c r="AE330" s="217"/>
      <c r="AF330" s="217"/>
      <c r="AG330" s="217"/>
      <c r="AH330" s="217"/>
      <c r="AI330" s="217"/>
      <c r="AJ330" s="217"/>
      <c r="AK330" s="217"/>
      <c r="AL330" s="217"/>
      <c r="AM330" s="149"/>
    </row>
    <row r="331" ht="22.5" customHeight="1">
      <c r="A331" s="217"/>
      <c r="B331" s="241" t="str">
        <f>IF(ARBITRAGES!E352=0,"",ARBITRAGES!E352)</f>
        <v/>
      </c>
      <c r="C331" s="231" t="str">
        <f t="shared" si="11"/>
        <v/>
      </c>
      <c r="D331" s="264" t="str">
        <f>IF(F331="","",PRIX!B352)</f>
        <v/>
      </c>
      <c r="E331" s="264" t="str">
        <f>IF(F331="","",($F$4/PRIX!$B$3)*PRIX!B330)</f>
        <v/>
      </c>
      <c r="F331" s="242" t="str">
        <f>IF(B331="","",PRIX!B352*$Q$6+$R$6*PRIX!C352+PRIX!D352*$S$6+$T$6*PRIX!E352+PRIX!F352*$U$6+PRIX!G352*$V$6+$W$6*PRIX!H352+PRIX!I352*$X$6)</f>
        <v/>
      </c>
      <c r="G331" s="243" t="str">
        <f>IF(B331="","",'Historique détail'!U351)</f>
        <v/>
      </c>
      <c r="H331" s="244" t="str">
        <f t="shared" si="3"/>
        <v/>
      </c>
      <c r="I331" s="266" t="str">
        <f t="shared" si="4"/>
        <v/>
      </c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17"/>
      <c r="AD331" s="217"/>
      <c r="AE331" s="217"/>
      <c r="AF331" s="217"/>
      <c r="AG331" s="217"/>
      <c r="AH331" s="217"/>
      <c r="AI331" s="217"/>
      <c r="AJ331" s="217"/>
      <c r="AK331" s="217"/>
      <c r="AL331" s="217"/>
      <c r="AM331" s="149"/>
    </row>
    <row r="332" ht="22.5" customHeight="1">
      <c r="A332" s="217"/>
      <c r="B332" s="241" t="str">
        <f>IF(ARBITRAGES!E353=0,"",ARBITRAGES!E353)</f>
        <v/>
      </c>
      <c r="C332" s="231" t="str">
        <f t="shared" si="11"/>
        <v/>
      </c>
      <c r="D332" s="264" t="str">
        <f>IF(F332="","",PRIX!B353)</f>
        <v/>
      </c>
      <c r="E332" s="264" t="str">
        <f>IF(F332="","",($F$4/PRIX!$B$3)*PRIX!B331)</f>
        <v/>
      </c>
      <c r="F332" s="242" t="str">
        <f>IF(B332="","",PRIX!B353*$Q$6+$R$6*PRIX!C353+PRIX!D353*$S$6+$T$6*PRIX!E353+PRIX!F353*$U$6+PRIX!G353*$V$6+$W$6*PRIX!H353+PRIX!I353*$X$6)</f>
        <v/>
      </c>
      <c r="G332" s="243" t="str">
        <f>IF(B332="","",'Historique détail'!U352)</f>
        <v/>
      </c>
      <c r="H332" s="244" t="str">
        <f t="shared" si="3"/>
        <v/>
      </c>
      <c r="I332" s="266" t="str">
        <f t="shared" si="4"/>
        <v/>
      </c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17"/>
      <c r="AD332" s="217"/>
      <c r="AE332" s="217"/>
      <c r="AF332" s="217"/>
      <c r="AG332" s="217"/>
      <c r="AH332" s="217"/>
      <c r="AI332" s="217"/>
      <c r="AJ332" s="217"/>
      <c r="AK332" s="217"/>
      <c r="AL332" s="217"/>
      <c r="AM332" s="149"/>
    </row>
    <row r="333" ht="22.5" customHeight="1">
      <c r="A333" s="217"/>
      <c r="B333" s="241" t="str">
        <f>IF(ARBITRAGES!E354=0,"",ARBITRAGES!E354)</f>
        <v/>
      </c>
      <c r="C333" s="231" t="str">
        <f t="shared" si="11"/>
        <v/>
      </c>
      <c r="D333" s="264" t="str">
        <f>IF(F333="","",PRIX!B354)</f>
        <v/>
      </c>
      <c r="E333" s="264" t="str">
        <f>IF(F333="","",($F$4/PRIX!$B$3)*PRIX!B332)</f>
        <v/>
      </c>
      <c r="F333" s="242" t="str">
        <f>IF(B333="","",PRIX!B354*$Q$6+$R$6*PRIX!C354+PRIX!D354*$S$6+$T$6*PRIX!E354+PRIX!F354*$U$6+PRIX!G354*$V$6+$W$6*PRIX!H354+PRIX!I354*$X$6)</f>
        <v/>
      </c>
      <c r="G333" s="243" t="str">
        <f>IF(B333="","",'Historique détail'!U353)</f>
        <v/>
      </c>
      <c r="H333" s="244" t="str">
        <f t="shared" si="3"/>
        <v/>
      </c>
      <c r="I333" s="266" t="str">
        <f t="shared" si="4"/>
        <v/>
      </c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17"/>
      <c r="AD333" s="217"/>
      <c r="AE333" s="217"/>
      <c r="AF333" s="217"/>
      <c r="AG333" s="217"/>
      <c r="AH333" s="217"/>
      <c r="AI333" s="217"/>
      <c r="AJ333" s="217"/>
      <c r="AK333" s="217"/>
      <c r="AL333" s="217"/>
      <c r="AM333" s="149"/>
    </row>
    <row r="334" ht="22.5" customHeight="1">
      <c r="A334" s="217"/>
      <c r="B334" s="241" t="str">
        <f>IF(ARBITRAGES!E355=0,"",ARBITRAGES!E355)</f>
        <v/>
      </c>
      <c r="C334" s="231" t="str">
        <f t="shared" si="11"/>
        <v/>
      </c>
      <c r="D334" s="264" t="str">
        <f>IF(F334="","",PRIX!B355)</f>
        <v/>
      </c>
      <c r="E334" s="264" t="str">
        <f>IF(F334="","",($F$4/PRIX!$B$3)*PRIX!B333)</f>
        <v/>
      </c>
      <c r="F334" s="242" t="str">
        <f>IF(B334="","",PRIX!B355*$Q$6+$R$6*PRIX!C355+PRIX!D355*$S$6+$T$6*PRIX!E355+PRIX!F355*$U$6+PRIX!G355*$V$6+$W$6*PRIX!H355+PRIX!I355*$X$6)</f>
        <v/>
      </c>
      <c r="G334" s="243" t="str">
        <f>IF(B334="","",'Historique détail'!U354)</f>
        <v/>
      </c>
      <c r="H334" s="244" t="str">
        <f t="shared" si="3"/>
        <v/>
      </c>
      <c r="I334" s="266" t="str">
        <f t="shared" si="4"/>
        <v/>
      </c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  <c r="AD334" s="217"/>
      <c r="AE334" s="217"/>
      <c r="AF334" s="217"/>
      <c r="AG334" s="217"/>
      <c r="AH334" s="217"/>
      <c r="AI334" s="217"/>
      <c r="AJ334" s="217"/>
      <c r="AK334" s="217"/>
      <c r="AL334" s="217"/>
      <c r="AM334" s="149"/>
    </row>
    <row r="335" ht="22.5" customHeight="1">
      <c r="A335" s="217"/>
      <c r="B335" s="241" t="str">
        <f>IF(ARBITRAGES!E356=0,"",ARBITRAGES!E356)</f>
        <v/>
      </c>
      <c r="C335" s="231" t="str">
        <f t="shared" si="11"/>
        <v/>
      </c>
      <c r="D335" s="264" t="str">
        <f>IF(F335="","",PRIX!B356)</f>
        <v/>
      </c>
      <c r="E335" s="264" t="str">
        <f>IF(F335="","",($F$4/PRIX!$B$3)*PRIX!B334)</f>
        <v/>
      </c>
      <c r="F335" s="242" t="str">
        <f>IF(B335="","",PRIX!B356*$Q$6+$R$6*PRIX!C356+PRIX!D356*$S$6+$T$6*PRIX!E356+PRIX!F356*$U$6+PRIX!G356*$V$6+$W$6*PRIX!H356+PRIX!I356*$X$6)</f>
        <v/>
      </c>
      <c r="G335" s="243" t="str">
        <f>IF(B335="","",'Historique détail'!U355)</f>
        <v/>
      </c>
      <c r="H335" s="244" t="str">
        <f t="shared" si="3"/>
        <v/>
      </c>
      <c r="I335" s="266" t="str">
        <f t="shared" si="4"/>
        <v/>
      </c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17"/>
      <c r="AD335" s="217"/>
      <c r="AE335" s="217"/>
      <c r="AF335" s="217"/>
      <c r="AG335" s="217"/>
      <c r="AH335" s="217"/>
      <c r="AI335" s="217"/>
      <c r="AJ335" s="217"/>
      <c r="AK335" s="217"/>
      <c r="AL335" s="217"/>
      <c r="AM335" s="149"/>
    </row>
    <row r="336" ht="22.5" customHeight="1">
      <c r="A336" s="217"/>
      <c r="B336" s="241" t="str">
        <f>IF(ARBITRAGES!E357=0,"",ARBITRAGES!E357)</f>
        <v/>
      </c>
      <c r="C336" s="231" t="str">
        <f t="shared" si="11"/>
        <v/>
      </c>
      <c r="D336" s="264" t="str">
        <f>IF(F336="","",PRIX!B357)</f>
        <v/>
      </c>
      <c r="E336" s="264" t="str">
        <f>IF(F336="","",($F$4/PRIX!$B$3)*PRIX!B335)</f>
        <v/>
      </c>
      <c r="F336" s="242" t="str">
        <f>IF(B336="","",PRIX!B357*$Q$6+$R$6*PRIX!C357+PRIX!D357*$S$6+$T$6*PRIX!E357+PRIX!F357*$U$6+PRIX!G357*$V$6+$W$6*PRIX!H357+PRIX!I357*$X$6)</f>
        <v/>
      </c>
      <c r="G336" s="243" t="str">
        <f>IF(B336="","",'Historique détail'!U356)</f>
        <v/>
      </c>
      <c r="H336" s="244" t="str">
        <f t="shared" si="3"/>
        <v/>
      </c>
      <c r="I336" s="266" t="str">
        <f t="shared" si="4"/>
        <v/>
      </c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17"/>
      <c r="AD336" s="217"/>
      <c r="AE336" s="217"/>
      <c r="AF336" s="217"/>
      <c r="AG336" s="217"/>
      <c r="AH336" s="217"/>
      <c r="AI336" s="217"/>
      <c r="AJ336" s="217"/>
      <c r="AK336" s="217"/>
      <c r="AL336" s="217"/>
      <c r="AM336" s="149"/>
    </row>
    <row r="337" ht="22.5" customHeight="1">
      <c r="A337" s="217"/>
      <c r="B337" s="241" t="str">
        <f>IF(ARBITRAGES!E358=0,"",ARBITRAGES!E358)</f>
        <v/>
      </c>
      <c r="C337" s="231" t="str">
        <f t="shared" si="11"/>
        <v/>
      </c>
      <c r="D337" s="264" t="str">
        <f>IF(F337="","",PRIX!B358)</f>
        <v/>
      </c>
      <c r="E337" s="264" t="str">
        <f>IF(F337="","",($F$4/PRIX!$B$3)*PRIX!B336)</f>
        <v/>
      </c>
      <c r="F337" s="242" t="str">
        <f>IF(B337="","",PRIX!B358*$Q$6+$R$6*PRIX!C358+PRIX!D358*$S$6+$T$6*PRIX!E358+PRIX!F358*$U$6+PRIX!G358*$V$6+$W$6*PRIX!H358+PRIX!I358*$X$6)</f>
        <v/>
      </c>
      <c r="G337" s="243" t="str">
        <f>IF(B337="","",'Historique détail'!U357)</f>
        <v/>
      </c>
      <c r="H337" s="244" t="str">
        <f t="shared" si="3"/>
        <v/>
      </c>
      <c r="I337" s="266" t="str">
        <f t="shared" si="4"/>
        <v/>
      </c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17"/>
      <c r="AD337" s="217"/>
      <c r="AE337" s="217"/>
      <c r="AF337" s="217"/>
      <c r="AG337" s="217"/>
      <c r="AH337" s="217"/>
      <c r="AI337" s="217"/>
      <c r="AJ337" s="217"/>
      <c r="AK337" s="217"/>
      <c r="AL337" s="217"/>
      <c r="AM337" s="149"/>
    </row>
    <row r="338" ht="22.5" customHeight="1">
      <c r="A338" s="217"/>
      <c r="B338" s="241" t="str">
        <f>IF(ARBITRAGES!E359=0,"",ARBITRAGES!E359)</f>
        <v/>
      </c>
      <c r="C338" s="231" t="str">
        <f t="shared" si="11"/>
        <v/>
      </c>
      <c r="D338" s="264" t="str">
        <f>IF(F338="","",PRIX!B359)</f>
        <v/>
      </c>
      <c r="E338" s="264" t="str">
        <f>IF(F338="","",($F$4/PRIX!$B$3)*PRIX!B337)</f>
        <v/>
      </c>
      <c r="F338" s="242" t="str">
        <f>IF(B338="","",PRIX!B359*$Q$6+$R$6*PRIX!C359+PRIX!D359*$S$6+$T$6*PRIX!E359+PRIX!F359*$U$6+PRIX!G359*$V$6+$W$6*PRIX!H359+PRIX!I359*$X$6)</f>
        <v/>
      </c>
      <c r="G338" s="243" t="str">
        <f>IF(B338="","",'Historique détail'!U358)</f>
        <v/>
      </c>
      <c r="H338" s="244" t="str">
        <f t="shared" si="3"/>
        <v/>
      </c>
      <c r="I338" s="266" t="str">
        <f t="shared" si="4"/>
        <v/>
      </c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17"/>
      <c r="AD338" s="217"/>
      <c r="AE338" s="217"/>
      <c r="AF338" s="217"/>
      <c r="AG338" s="217"/>
      <c r="AH338" s="217"/>
      <c r="AI338" s="217"/>
      <c r="AJ338" s="217"/>
      <c r="AK338" s="217"/>
      <c r="AL338" s="217"/>
      <c r="AM338" s="149"/>
    </row>
    <row r="339" ht="22.5" customHeight="1">
      <c r="A339" s="217"/>
      <c r="B339" s="241" t="str">
        <f>IF(ARBITRAGES!E360=0,"",ARBITRAGES!E360)</f>
        <v/>
      </c>
      <c r="C339" s="231" t="str">
        <f t="shared" si="11"/>
        <v/>
      </c>
      <c r="D339" s="264" t="str">
        <f>IF(F339="","",PRIX!B360)</f>
        <v/>
      </c>
      <c r="E339" s="264" t="str">
        <f>IF(F339="","",($F$4/PRIX!$B$3)*PRIX!B338)</f>
        <v/>
      </c>
      <c r="F339" s="242" t="str">
        <f>IF(B339="","",PRIX!B360*$Q$6+$R$6*PRIX!C360+PRIX!D360*$S$6+$T$6*PRIX!E360+PRIX!F360*$U$6+PRIX!G360*$V$6+$W$6*PRIX!H360+PRIX!I360*$X$6)</f>
        <v/>
      </c>
      <c r="G339" s="243" t="str">
        <f>IF(B339="","",'Historique détail'!U359)</f>
        <v/>
      </c>
      <c r="H339" s="244" t="str">
        <f t="shared" si="3"/>
        <v/>
      </c>
      <c r="I339" s="266" t="str">
        <f t="shared" si="4"/>
        <v/>
      </c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17"/>
      <c r="AD339" s="217"/>
      <c r="AE339" s="217"/>
      <c r="AF339" s="217"/>
      <c r="AG339" s="217"/>
      <c r="AH339" s="217"/>
      <c r="AI339" s="217"/>
      <c r="AJ339" s="217"/>
      <c r="AK339" s="217"/>
      <c r="AL339" s="217"/>
      <c r="AM339" s="149"/>
    </row>
    <row r="340" ht="22.5" customHeight="1">
      <c r="A340" s="217"/>
      <c r="B340" s="241"/>
      <c r="C340" s="231" t="str">
        <f t="shared" si="11"/>
        <v/>
      </c>
      <c r="D340" s="264" t="str">
        <f>IF(F340="","",PRIX!B361)</f>
        <v/>
      </c>
      <c r="E340" s="264" t="str">
        <f>IF(F340="","",($F$4/PRIX!$B$3)*PRIX!B339)</f>
        <v/>
      </c>
      <c r="F340" s="242"/>
      <c r="G340" s="243" t="str">
        <f>IF(B340="","",'Historique détail'!U360)</f>
        <v/>
      </c>
      <c r="H340" s="244"/>
      <c r="I340" s="245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17"/>
      <c r="AD340" s="217"/>
      <c r="AE340" s="217"/>
      <c r="AF340" s="217"/>
      <c r="AG340" s="217"/>
      <c r="AH340" s="217"/>
      <c r="AI340" s="217"/>
      <c r="AJ340" s="217"/>
      <c r="AK340" s="217"/>
      <c r="AL340" s="217"/>
      <c r="AM340" s="149"/>
    </row>
    <row r="341" ht="22.5" customHeight="1">
      <c r="A341" s="217"/>
      <c r="B341" s="241"/>
      <c r="C341" s="231" t="str">
        <f t="shared" si="11"/>
        <v/>
      </c>
      <c r="D341" s="264" t="str">
        <f>IF(F341="","",PRIX!B362)</f>
        <v/>
      </c>
      <c r="E341" s="264" t="str">
        <f>IF(F341="","",($F$4/PRIX!$B$3)*PRIX!B340)</f>
        <v/>
      </c>
      <c r="F341" s="242"/>
      <c r="G341" s="243" t="str">
        <f>IF(B341="","",'Historique détail'!U361)</f>
        <v/>
      </c>
      <c r="H341" s="244"/>
      <c r="I341" s="245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17"/>
      <c r="AD341" s="217"/>
      <c r="AE341" s="217"/>
      <c r="AF341" s="217"/>
      <c r="AG341" s="217"/>
      <c r="AH341" s="217"/>
      <c r="AI341" s="217"/>
      <c r="AJ341" s="217"/>
      <c r="AK341" s="217"/>
      <c r="AL341" s="217"/>
      <c r="AM341" s="149"/>
    </row>
    <row r="342" ht="22.5" customHeight="1">
      <c r="A342" s="217"/>
      <c r="B342" s="241"/>
      <c r="C342" s="231" t="str">
        <f t="shared" si="11"/>
        <v/>
      </c>
      <c r="D342" s="264" t="str">
        <f>IF(F342="","",PRIX!B363)</f>
        <v/>
      </c>
      <c r="E342" s="264" t="str">
        <f>IF(F342="","",($F$4/PRIX!$B$3)*PRIX!B341)</f>
        <v/>
      </c>
      <c r="F342" s="242"/>
      <c r="G342" s="243" t="str">
        <f>IF(B342="","",'Historique détail'!U362)</f>
        <v/>
      </c>
      <c r="H342" s="244"/>
      <c r="I342" s="245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17"/>
      <c r="AD342" s="217"/>
      <c r="AE342" s="217"/>
      <c r="AF342" s="217"/>
      <c r="AG342" s="217"/>
      <c r="AH342" s="217"/>
      <c r="AI342" s="217"/>
      <c r="AJ342" s="217"/>
      <c r="AK342" s="217"/>
      <c r="AL342" s="217"/>
      <c r="AM342" s="149"/>
    </row>
    <row r="343" ht="22.5" customHeight="1">
      <c r="A343" s="217"/>
      <c r="B343" s="241"/>
      <c r="C343" s="231" t="str">
        <f t="shared" si="11"/>
        <v/>
      </c>
      <c r="D343" s="264" t="str">
        <f>IF(F343="","",PRIX!B364)</f>
        <v/>
      </c>
      <c r="E343" s="264" t="str">
        <f>IF(F343="","",($F$4/PRIX!$B$3)*PRIX!B342)</f>
        <v/>
      </c>
      <c r="F343" s="242"/>
      <c r="G343" s="243" t="str">
        <f>IF(B343="","",'Historique détail'!U363)</f>
        <v/>
      </c>
      <c r="H343" s="244"/>
      <c r="I343" s="245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17"/>
      <c r="AD343" s="217"/>
      <c r="AE343" s="217"/>
      <c r="AF343" s="217"/>
      <c r="AG343" s="217"/>
      <c r="AH343" s="217"/>
      <c r="AI343" s="217"/>
      <c r="AJ343" s="217"/>
      <c r="AK343" s="217"/>
      <c r="AL343" s="217"/>
      <c r="AM343" s="149"/>
    </row>
    <row r="344" ht="22.5" customHeight="1">
      <c r="A344" s="217"/>
      <c r="B344" s="241"/>
      <c r="C344" s="231" t="str">
        <f t="shared" si="11"/>
        <v/>
      </c>
      <c r="D344" s="264" t="str">
        <f>IF(F344="","",PRIX!B365)</f>
        <v/>
      </c>
      <c r="E344" s="264" t="str">
        <f>IF(F344="","",($F$4/PRIX!$B$3)*PRIX!B343)</f>
        <v/>
      </c>
      <c r="F344" s="242"/>
      <c r="G344" s="243" t="str">
        <f>IF(B344="","",'Historique détail'!U364)</f>
        <v/>
      </c>
      <c r="H344" s="244"/>
      <c r="I344" s="245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17"/>
      <c r="AD344" s="217"/>
      <c r="AE344" s="217"/>
      <c r="AF344" s="217"/>
      <c r="AG344" s="217"/>
      <c r="AH344" s="217"/>
      <c r="AI344" s="217"/>
      <c r="AJ344" s="217"/>
      <c r="AK344" s="217"/>
      <c r="AL344" s="217"/>
      <c r="AM344" s="149"/>
    </row>
    <row r="345" ht="22.5" customHeight="1">
      <c r="A345" s="217"/>
      <c r="B345" s="241"/>
      <c r="C345" s="231" t="str">
        <f t="shared" si="11"/>
        <v/>
      </c>
      <c r="D345" s="264" t="str">
        <f>IF(F345="","",PRIX!B366)</f>
        <v/>
      </c>
      <c r="E345" s="264" t="str">
        <f>IF(F345="","",($F$4/PRIX!$B$3)*PRIX!B344)</f>
        <v/>
      </c>
      <c r="F345" s="242"/>
      <c r="G345" s="243" t="str">
        <f>IF(B345="","",'Historique détail'!U365)</f>
        <v/>
      </c>
      <c r="H345" s="244"/>
      <c r="I345" s="245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17"/>
      <c r="AD345" s="217"/>
      <c r="AE345" s="217"/>
      <c r="AF345" s="217"/>
      <c r="AG345" s="217"/>
      <c r="AH345" s="217"/>
      <c r="AI345" s="217"/>
      <c r="AJ345" s="217"/>
      <c r="AK345" s="217"/>
      <c r="AL345" s="217"/>
      <c r="AM345" s="149"/>
    </row>
    <row r="346" ht="22.5" customHeight="1">
      <c r="A346" s="217"/>
      <c r="B346" s="241"/>
      <c r="C346" s="231" t="str">
        <f t="shared" si="11"/>
        <v/>
      </c>
      <c r="D346" s="264" t="str">
        <f>IF(F346="","",PRIX!B367)</f>
        <v/>
      </c>
      <c r="E346" s="264" t="str">
        <f>IF(F346="","",($F$4/PRIX!$B$3)*PRIX!B345)</f>
        <v/>
      </c>
      <c r="F346" s="242"/>
      <c r="G346" s="243" t="str">
        <f>IF(B346="","",'Historique détail'!U366)</f>
        <v/>
      </c>
      <c r="H346" s="244"/>
      <c r="I346" s="245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17"/>
      <c r="AD346" s="217"/>
      <c r="AE346" s="217"/>
      <c r="AF346" s="217"/>
      <c r="AG346" s="217"/>
      <c r="AH346" s="217"/>
      <c r="AI346" s="217"/>
      <c r="AJ346" s="217"/>
      <c r="AK346" s="217"/>
      <c r="AL346" s="217"/>
      <c r="AM346" s="149"/>
    </row>
    <row r="347" ht="22.5" customHeight="1">
      <c r="A347" s="217"/>
      <c r="B347" s="241"/>
      <c r="C347" s="231" t="str">
        <f t="shared" si="11"/>
        <v/>
      </c>
      <c r="D347" s="264" t="str">
        <f>IF(F347="","",PRIX!B368)</f>
        <v/>
      </c>
      <c r="E347" s="264" t="str">
        <f>IF(F347="","",($F$4/PRIX!$B$3)*PRIX!B346)</f>
        <v/>
      </c>
      <c r="F347" s="242"/>
      <c r="G347" s="243" t="str">
        <f>IF(B347="","",'Historique détail'!U367)</f>
        <v/>
      </c>
      <c r="H347" s="244"/>
      <c r="I347" s="245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17"/>
      <c r="AD347" s="217"/>
      <c r="AE347" s="217"/>
      <c r="AF347" s="217"/>
      <c r="AG347" s="217"/>
      <c r="AH347" s="217"/>
      <c r="AI347" s="217"/>
      <c r="AJ347" s="217"/>
      <c r="AK347" s="217"/>
      <c r="AL347" s="217"/>
      <c r="AM347" s="149"/>
    </row>
    <row r="348" ht="22.5" customHeight="1">
      <c r="A348" s="217"/>
      <c r="B348" s="241"/>
      <c r="C348" s="231" t="str">
        <f t="shared" si="11"/>
        <v/>
      </c>
      <c r="D348" s="264" t="str">
        <f>IF(F348="","",PRIX!B369)</f>
        <v/>
      </c>
      <c r="E348" s="264" t="str">
        <f>IF(F348="","",($F$4/PRIX!$B$3)*PRIX!B347)</f>
        <v/>
      </c>
      <c r="F348" s="242"/>
      <c r="G348" s="243" t="str">
        <f>IF(B348="","",'Historique détail'!U368)</f>
        <v/>
      </c>
      <c r="H348" s="244"/>
      <c r="I348" s="245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17"/>
      <c r="AD348" s="217"/>
      <c r="AE348" s="217"/>
      <c r="AF348" s="217"/>
      <c r="AG348" s="217"/>
      <c r="AH348" s="217"/>
      <c r="AI348" s="217"/>
      <c r="AJ348" s="217"/>
      <c r="AK348" s="217"/>
      <c r="AL348" s="217"/>
      <c r="AM348" s="149"/>
    </row>
    <row r="349" ht="22.5" customHeight="1">
      <c r="A349" s="217"/>
      <c r="B349" s="241"/>
      <c r="C349" s="231" t="str">
        <f t="shared" si="11"/>
        <v/>
      </c>
      <c r="D349" s="264" t="str">
        <f>IF(F349="","",PRIX!B370)</f>
        <v/>
      </c>
      <c r="E349" s="264" t="str">
        <f>IF(F349="","",($F$4/PRIX!$B$3)*PRIX!B348)</f>
        <v/>
      </c>
      <c r="F349" s="242"/>
      <c r="G349" s="243" t="str">
        <f>IF(B349="","",'Historique détail'!U369)</f>
        <v/>
      </c>
      <c r="H349" s="244"/>
      <c r="I349" s="245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17"/>
      <c r="AD349" s="217"/>
      <c r="AE349" s="217"/>
      <c r="AF349" s="217"/>
      <c r="AG349" s="217"/>
      <c r="AH349" s="217"/>
      <c r="AI349" s="217"/>
      <c r="AJ349" s="217"/>
      <c r="AK349" s="217"/>
      <c r="AL349" s="217"/>
      <c r="AM349" s="149"/>
    </row>
    <row r="350" ht="22.5" customHeight="1">
      <c r="A350" s="217"/>
      <c r="B350" s="241"/>
      <c r="C350" s="231" t="str">
        <f t="shared" si="11"/>
        <v/>
      </c>
      <c r="D350" s="264" t="str">
        <f>IF(F350="","",PRIX!B371)</f>
        <v/>
      </c>
      <c r="E350" s="264" t="str">
        <f>IF(F350="","",($F$4/PRIX!$B$3)*PRIX!B349)</f>
        <v/>
      </c>
      <c r="F350" s="242"/>
      <c r="G350" s="243" t="str">
        <f>IF(B350="","",'Historique détail'!U370)</f>
        <v/>
      </c>
      <c r="H350" s="244"/>
      <c r="I350" s="245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17"/>
      <c r="AD350" s="217"/>
      <c r="AE350" s="217"/>
      <c r="AF350" s="217"/>
      <c r="AG350" s="217"/>
      <c r="AH350" s="217"/>
      <c r="AI350" s="217"/>
      <c r="AJ350" s="217"/>
      <c r="AK350" s="217"/>
      <c r="AL350" s="217"/>
      <c r="AM350" s="149"/>
    </row>
    <row r="351" ht="22.5" customHeight="1">
      <c r="A351" s="217"/>
      <c r="B351" s="241"/>
      <c r="C351" s="231" t="str">
        <f t="shared" si="11"/>
        <v/>
      </c>
      <c r="D351" s="264" t="str">
        <f>IF(F351="","",PRIX!B372)</f>
        <v/>
      </c>
      <c r="E351" s="264" t="str">
        <f>IF(F351="","",($F$4/PRIX!$B$3)*PRIX!B350)</f>
        <v/>
      </c>
      <c r="F351" s="242"/>
      <c r="G351" s="243" t="str">
        <f>IF(B351="","",'Historique détail'!U371)</f>
        <v/>
      </c>
      <c r="H351" s="244"/>
      <c r="I351" s="245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17"/>
      <c r="AD351" s="217"/>
      <c r="AE351" s="217"/>
      <c r="AF351" s="217"/>
      <c r="AG351" s="217"/>
      <c r="AH351" s="217"/>
      <c r="AI351" s="217"/>
      <c r="AJ351" s="217"/>
      <c r="AK351" s="217"/>
      <c r="AL351" s="217"/>
      <c r="AM351" s="149"/>
    </row>
    <row r="352" ht="22.5" customHeight="1">
      <c r="A352" s="217"/>
      <c r="B352" s="241"/>
      <c r="C352" s="231" t="str">
        <f t="shared" si="11"/>
        <v/>
      </c>
      <c r="D352" s="264" t="str">
        <f>IF(F352="","",PRIX!B373)</f>
        <v/>
      </c>
      <c r="E352" s="264" t="str">
        <f>IF(F352="","",($F$4/PRIX!$B$3)*PRIX!B351)</f>
        <v/>
      </c>
      <c r="F352" s="242"/>
      <c r="G352" s="243" t="str">
        <f>IF(B352="","",'Historique détail'!U372)</f>
        <v/>
      </c>
      <c r="H352" s="244"/>
      <c r="I352" s="245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17"/>
      <c r="AD352" s="217"/>
      <c r="AE352" s="217"/>
      <c r="AF352" s="217"/>
      <c r="AG352" s="217"/>
      <c r="AH352" s="217"/>
      <c r="AI352" s="217"/>
      <c r="AJ352" s="217"/>
      <c r="AK352" s="217"/>
      <c r="AL352" s="217"/>
      <c r="AM352" s="149"/>
    </row>
    <row r="353" ht="22.5" customHeight="1">
      <c r="A353" s="217"/>
      <c r="B353" s="241"/>
      <c r="C353" s="231" t="str">
        <f t="shared" si="11"/>
        <v/>
      </c>
      <c r="D353" s="264" t="str">
        <f>IF(F353="","",PRIX!B374)</f>
        <v/>
      </c>
      <c r="E353" s="264" t="str">
        <f>IF(F353="","",($F$4/PRIX!$B$3)*PRIX!B352)</f>
        <v/>
      </c>
      <c r="F353" s="242"/>
      <c r="G353" s="243" t="str">
        <f>IF(B353="","",'Historique détail'!U373)</f>
        <v/>
      </c>
      <c r="H353" s="244"/>
      <c r="I353" s="245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17"/>
      <c r="AD353" s="217"/>
      <c r="AE353" s="217"/>
      <c r="AF353" s="217"/>
      <c r="AG353" s="217"/>
      <c r="AH353" s="217"/>
      <c r="AI353" s="217"/>
      <c r="AJ353" s="217"/>
      <c r="AK353" s="217"/>
      <c r="AL353" s="217"/>
      <c r="AM353" s="149"/>
    </row>
    <row r="354" ht="22.5" customHeight="1">
      <c r="A354" s="217"/>
      <c r="B354" s="241"/>
      <c r="C354" s="231" t="str">
        <f t="shared" si="11"/>
        <v/>
      </c>
      <c r="D354" s="264" t="str">
        <f>IF(F354="","",PRIX!B375)</f>
        <v/>
      </c>
      <c r="E354" s="264" t="str">
        <f>IF(F354="","",($F$4/PRIX!$B$3)*PRIX!B353)</f>
        <v/>
      </c>
      <c r="F354" s="242"/>
      <c r="G354" s="243" t="str">
        <f>IF(B354="","",'Historique détail'!U374)</f>
        <v/>
      </c>
      <c r="H354" s="244"/>
      <c r="I354" s="245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17"/>
      <c r="AD354" s="217"/>
      <c r="AE354" s="217"/>
      <c r="AF354" s="217"/>
      <c r="AG354" s="217"/>
      <c r="AH354" s="217"/>
      <c r="AI354" s="217"/>
      <c r="AJ354" s="217"/>
      <c r="AK354" s="217"/>
      <c r="AL354" s="217"/>
      <c r="AM354" s="149"/>
    </row>
    <row r="355" ht="22.5" customHeight="1">
      <c r="A355" s="217"/>
      <c r="B355" s="241"/>
      <c r="C355" s="231" t="str">
        <f t="shared" si="11"/>
        <v/>
      </c>
      <c r="D355" s="264" t="str">
        <f>IF(F355="","",PRIX!B376)</f>
        <v/>
      </c>
      <c r="E355" s="264" t="str">
        <f>IF(F355="","",($F$4/PRIX!$B$3)*PRIX!B354)</f>
        <v/>
      </c>
      <c r="F355" s="242"/>
      <c r="G355" s="243" t="str">
        <f>IF(B355="","",'Historique détail'!U375)</f>
        <v/>
      </c>
      <c r="H355" s="244"/>
      <c r="I355" s="245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17"/>
      <c r="AD355" s="217"/>
      <c r="AE355" s="217"/>
      <c r="AF355" s="217"/>
      <c r="AG355" s="217"/>
      <c r="AH355" s="217"/>
      <c r="AI355" s="217"/>
      <c r="AJ355" s="217"/>
      <c r="AK355" s="217"/>
      <c r="AL355" s="217"/>
      <c r="AM355" s="149"/>
    </row>
    <row r="356" ht="22.5" customHeight="1">
      <c r="A356" s="217"/>
      <c r="B356" s="241"/>
      <c r="C356" s="231" t="str">
        <f t="shared" si="11"/>
        <v/>
      </c>
      <c r="D356" s="264" t="str">
        <f>IF(F356="","",PRIX!B377)</f>
        <v/>
      </c>
      <c r="E356" s="264" t="str">
        <f>IF(F356="","",($F$4/PRIX!$B$3)*PRIX!B355)</f>
        <v/>
      </c>
      <c r="F356" s="242"/>
      <c r="G356" s="243" t="str">
        <f>IF(B356="","",'Historique détail'!U376)</f>
        <v/>
      </c>
      <c r="H356" s="244"/>
      <c r="I356" s="245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17"/>
      <c r="AD356" s="217"/>
      <c r="AE356" s="217"/>
      <c r="AF356" s="217"/>
      <c r="AG356" s="217"/>
      <c r="AH356" s="217"/>
      <c r="AI356" s="217"/>
      <c r="AJ356" s="217"/>
      <c r="AK356" s="217"/>
      <c r="AL356" s="217"/>
      <c r="AM356" s="149"/>
    </row>
    <row r="357" ht="22.5" customHeight="1">
      <c r="A357" s="217"/>
      <c r="B357" s="241"/>
      <c r="C357" s="231" t="str">
        <f t="shared" si="11"/>
        <v/>
      </c>
      <c r="D357" s="264" t="str">
        <f>IF(F357="","",PRIX!B378)</f>
        <v/>
      </c>
      <c r="E357" s="264" t="str">
        <f>IF(F357="","",($F$4/PRIX!$B$3)*PRIX!B356)</f>
        <v/>
      </c>
      <c r="F357" s="242"/>
      <c r="G357" s="243" t="str">
        <f>IF(B357="","",'Historique détail'!U377)</f>
        <v/>
      </c>
      <c r="H357" s="244"/>
      <c r="I357" s="245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17"/>
      <c r="AD357" s="217"/>
      <c r="AE357" s="217"/>
      <c r="AF357" s="217"/>
      <c r="AG357" s="217"/>
      <c r="AH357" s="217"/>
      <c r="AI357" s="217"/>
      <c r="AJ357" s="217"/>
      <c r="AK357" s="217"/>
      <c r="AL357" s="217"/>
      <c r="AM357" s="149"/>
    </row>
    <row r="358" ht="22.5" customHeight="1">
      <c r="A358" s="217"/>
      <c r="B358" s="241"/>
      <c r="C358" s="231" t="str">
        <f t="shared" si="11"/>
        <v/>
      </c>
      <c r="D358" s="264" t="str">
        <f>IF(F358="","",PRIX!B379)</f>
        <v/>
      </c>
      <c r="E358" s="264" t="str">
        <f>IF(F358="","",($F$4/PRIX!$B$3)*PRIX!B357)</f>
        <v/>
      </c>
      <c r="F358" s="242"/>
      <c r="G358" s="243" t="str">
        <f>IF(B358="","",'Historique détail'!U378)</f>
        <v/>
      </c>
      <c r="H358" s="244"/>
      <c r="I358" s="245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17"/>
      <c r="AD358" s="217"/>
      <c r="AE358" s="217"/>
      <c r="AF358" s="217"/>
      <c r="AG358" s="217"/>
      <c r="AH358" s="217"/>
      <c r="AI358" s="217"/>
      <c r="AJ358" s="217"/>
      <c r="AK358" s="217"/>
      <c r="AL358" s="217"/>
      <c r="AM358" s="149"/>
    </row>
    <row r="359" ht="22.5" customHeight="1">
      <c r="A359" s="217"/>
      <c r="B359" s="241"/>
      <c r="C359" s="231" t="str">
        <f t="shared" si="11"/>
        <v/>
      </c>
      <c r="D359" s="264" t="str">
        <f>IF(F359="","",PRIX!B380)</f>
        <v/>
      </c>
      <c r="E359" s="264" t="str">
        <f>IF(F359="","",($F$4/PRIX!$B$3)*PRIX!B358)</f>
        <v/>
      </c>
      <c r="F359" s="242"/>
      <c r="G359" s="243" t="str">
        <f>IF(B359="","",'Historique détail'!U379)</f>
        <v/>
      </c>
      <c r="H359" s="244"/>
      <c r="I359" s="245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17"/>
      <c r="AD359" s="217"/>
      <c r="AE359" s="217"/>
      <c r="AF359" s="217"/>
      <c r="AG359" s="217"/>
      <c r="AH359" s="217"/>
      <c r="AI359" s="217"/>
      <c r="AJ359" s="217"/>
      <c r="AK359" s="217"/>
      <c r="AL359" s="217"/>
      <c r="AM359" s="149"/>
    </row>
    <row r="360" ht="22.5" customHeight="1">
      <c r="A360" s="217"/>
      <c r="B360" s="241"/>
      <c r="C360" s="231" t="str">
        <f t="shared" si="11"/>
        <v/>
      </c>
      <c r="D360" s="264" t="str">
        <f>IF(F360="","",PRIX!B381)</f>
        <v/>
      </c>
      <c r="E360" s="264" t="str">
        <f>IF(F360="","",($F$4/PRIX!$B$3)*PRIX!B359)</f>
        <v/>
      </c>
      <c r="F360" s="242"/>
      <c r="G360" s="243" t="str">
        <f>IF(B360="","",'Historique détail'!U380)</f>
        <v/>
      </c>
      <c r="H360" s="244"/>
      <c r="I360" s="245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17"/>
      <c r="AD360" s="217"/>
      <c r="AE360" s="217"/>
      <c r="AF360" s="217"/>
      <c r="AG360" s="217"/>
      <c r="AH360" s="217"/>
      <c r="AI360" s="217"/>
      <c r="AJ360" s="217"/>
      <c r="AK360" s="217"/>
      <c r="AL360" s="217"/>
      <c r="AM360" s="149"/>
    </row>
    <row r="361" ht="22.5" customHeight="1">
      <c r="A361" s="217"/>
      <c r="B361" s="241"/>
      <c r="C361" s="231" t="str">
        <f t="shared" si="11"/>
        <v/>
      </c>
      <c r="D361" s="264" t="str">
        <f>IF(F361="","",PRIX!B382)</f>
        <v/>
      </c>
      <c r="E361" s="264" t="str">
        <f>IF(F361="","",($F$4/PRIX!$B$3)*PRIX!B360)</f>
        <v/>
      </c>
      <c r="F361" s="242"/>
      <c r="G361" s="243" t="str">
        <f>IF(B361="","",'Historique détail'!U381)</f>
        <v/>
      </c>
      <c r="H361" s="244"/>
      <c r="I361" s="245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17"/>
      <c r="AD361" s="217"/>
      <c r="AE361" s="217"/>
      <c r="AF361" s="217"/>
      <c r="AG361" s="217"/>
      <c r="AH361" s="217"/>
      <c r="AI361" s="217"/>
      <c r="AJ361" s="217"/>
      <c r="AK361" s="217"/>
      <c r="AL361" s="217"/>
      <c r="AM361" s="149"/>
    </row>
    <row r="362" ht="22.5" customHeight="1">
      <c r="A362" s="217"/>
      <c r="B362" s="241"/>
      <c r="C362" s="231" t="str">
        <f t="shared" si="11"/>
        <v/>
      </c>
      <c r="D362" s="264" t="str">
        <f>IF(F362="","",PRIX!B383)</f>
        <v/>
      </c>
      <c r="E362" s="264" t="str">
        <f>IF(F362="","",($F$4/PRIX!$B$3)*PRIX!B361)</f>
        <v/>
      </c>
      <c r="F362" s="242"/>
      <c r="G362" s="243" t="str">
        <f>IF(B362="","",'Historique détail'!U382)</f>
        <v/>
      </c>
      <c r="H362" s="244"/>
      <c r="I362" s="245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17"/>
      <c r="AD362" s="217"/>
      <c r="AE362" s="217"/>
      <c r="AF362" s="217"/>
      <c r="AG362" s="217"/>
      <c r="AH362" s="217"/>
      <c r="AI362" s="217"/>
      <c r="AJ362" s="217"/>
      <c r="AK362" s="217"/>
      <c r="AL362" s="217"/>
      <c r="AM362" s="149"/>
    </row>
    <row r="363" ht="22.5" customHeight="1">
      <c r="A363" s="217"/>
      <c r="B363" s="241"/>
      <c r="C363" s="231" t="str">
        <f t="shared" si="11"/>
        <v/>
      </c>
      <c r="D363" s="264" t="str">
        <f>IF(F363="","",PRIX!B384)</f>
        <v/>
      </c>
      <c r="E363" s="264" t="str">
        <f>IF(F363="","",($F$4/PRIX!$B$3)*PRIX!B362)</f>
        <v/>
      </c>
      <c r="F363" s="242"/>
      <c r="G363" s="243" t="str">
        <f>IF(B363="","",'Historique détail'!U383)</f>
        <v/>
      </c>
      <c r="H363" s="244"/>
      <c r="I363" s="245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17"/>
      <c r="AD363" s="217"/>
      <c r="AE363" s="217"/>
      <c r="AF363" s="217"/>
      <c r="AG363" s="217"/>
      <c r="AH363" s="217"/>
      <c r="AI363" s="217"/>
      <c r="AJ363" s="217"/>
      <c r="AK363" s="217"/>
      <c r="AL363" s="217"/>
      <c r="AM363" s="149"/>
    </row>
    <row r="364" ht="22.5" customHeight="1">
      <c r="A364" s="217"/>
      <c r="B364" s="241"/>
      <c r="C364" s="231" t="str">
        <f t="shared" si="11"/>
        <v/>
      </c>
      <c r="D364" s="264" t="str">
        <f>IF(F364="","",PRIX!B385)</f>
        <v/>
      </c>
      <c r="E364" s="264" t="str">
        <f>IF(F364="","",($F$4/PRIX!$B$3)*PRIX!B363)</f>
        <v/>
      </c>
      <c r="F364" s="242"/>
      <c r="G364" s="243" t="str">
        <f>IF(B364="","",'Historique détail'!U384)</f>
        <v/>
      </c>
      <c r="H364" s="244"/>
      <c r="I364" s="245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17"/>
      <c r="AD364" s="217"/>
      <c r="AE364" s="217"/>
      <c r="AF364" s="217"/>
      <c r="AG364" s="217"/>
      <c r="AH364" s="217"/>
      <c r="AI364" s="217"/>
      <c r="AJ364" s="217"/>
      <c r="AK364" s="217"/>
      <c r="AL364" s="217"/>
      <c r="AM364" s="149"/>
    </row>
    <row r="365" ht="22.5" customHeight="1">
      <c r="A365" s="217"/>
      <c r="B365" s="241"/>
      <c r="C365" s="231" t="str">
        <f t="shared" si="11"/>
        <v/>
      </c>
      <c r="D365" s="264" t="str">
        <f>IF(F365="","",PRIX!B386)</f>
        <v/>
      </c>
      <c r="E365" s="264" t="str">
        <f>IF(F365="","",($F$4/PRIX!$B$3)*PRIX!B364)</f>
        <v/>
      </c>
      <c r="F365" s="242"/>
      <c r="G365" s="243" t="str">
        <f>IF(B365="","",'Historique détail'!U385)</f>
        <v/>
      </c>
      <c r="H365" s="244"/>
      <c r="I365" s="245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17"/>
      <c r="AD365" s="217"/>
      <c r="AE365" s="217"/>
      <c r="AF365" s="217"/>
      <c r="AG365" s="217"/>
      <c r="AH365" s="217"/>
      <c r="AI365" s="217"/>
      <c r="AJ365" s="217"/>
      <c r="AK365" s="217"/>
      <c r="AL365" s="217"/>
      <c r="AM365" s="149"/>
    </row>
    <row r="366" ht="22.5" customHeight="1">
      <c r="A366" s="217"/>
      <c r="B366" s="241"/>
      <c r="C366" s="231" t="str">
        <f t="shared" si="11"/>
        <v/>
      </c>
      <c r="D366" s="264" t="str">
        <f>IF(F366="","",PRIX!B387)</f>
        <v/>
      </c>
      <c r="E366" s="264" t="str">
        <f>IF(F366="","",($F$4/PRIX!$B$3)*PRIX!B365)</f>
        <v/>
      </c>
      <c r="F366" s="242"/>
      <c r="G366" s="243" t="str">
        <f>IF(B366="","",'Historique détail'!U386)</f>
        <v/>
      </c>
      <c r="H366" s="244"/>
      <c r="I366" s="245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17"/>
      <c r="AD366" s="217"/>
      <c r="AE366" s="217"/>
      <c r="AF366" s="217"/>
      <c r="AG366" s="217"/>
      <c r="AH366" s="217"/>
      <c r="AI366" s="217"/>
      <c r="AJ366" s="217"/>
      <c r="AK366" s="217"/>
      <c r="AL366" s="217"/>
      <c r="AM366" s="149"/>
    </row>
    <row r="367" ht="22.5" customHeight="1">
      <c r="A367" s="217"/>
      <c r="B367" s="241"/>
      <c r="C367" s="231" t="str">
        <f t="shared" si="11"/>
        <v/>
      </c>
      <c r="D367" s="264" t="str">
        <f>IF(F367="","",PRIX!B388)</f>
        <v/>
      </c>
      <c r="E367" s="264" t="str">
        <f>IF(F367="","",($F$4/PRIX!$B$3)*PRIX!B366)</f>
        <v/>
      </c>
      <c r="F367" s="242"/>
      <c r="G367" s="243" t="str">
        <f>IF(B367="","",'Historique détail'!U387)</f>
        <v/>
      </c>
      <c r="H367" s="244"/>
      <c r="I367" s="245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17"/>
      <c r="AD367" s="217"/>
      <c r="AE367" s="217"/>
      <c r="AF367" s="217"/>
      <c r="AG367" s="217"/>
      <c r="AH367" s="217"/>
      <c r="AI367" s="217"/>
      <c r="AJ367" s="217"/>
      <c r="AK367" s="217"/>
      <c r="AL367" s="217"/>
      <c r="AM367" s="149"/>
    </row>
    <row r="368" ht="22.5" customHeight="1">
      <c r="A368" s="217"/>
      <c r="B368" s="241"/>
      <c r="C368" s="231" t="str">
        <f t="shared" si="11"/>
        <v/>
      </c>
      <c r="D368" s="264" t="str">
        <f>IF(F368="","",PRIX!B389)</f>
        <v/>
      </c>
      <c r="E368" s="264" t="str">
        <f>IF(F368="","",($F$4/PRIX!$B$3)*PRIX!B367)</f>
        <v/>
      </c>
      <c r="F368" s="242"/>
      <c r="G368" s="243" t="str">
        <f>IF(B368="","",'Historique détail'!U388)</f>
        <v/>
      </c>
      <c r="H368" s="244"/>
      <c r="I368" s="245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17"/>
      <c r="AD368" s="217"/>
      <c r="AE368" s="217"/>
      <c r="AF368" s="217"/>
      <c r="AG368" s="217"/>
      <c r="AH368" s="217"/>
      <c r="AI368" s="217"/>
      <c r="AJ368" s="217"/>
      <c r="AK368" s="217"/>
      <c r="AL368" s="217"/>
      <c r="AM368" s="149"/>
    </row>
    <row r="369" ht="22.5" customHeight="1">
      <c r="A369" s="217"/>
      <c r="B369" s="241"/>
      <c r="C369" s="231" t="str">
        <f t="shared" si="11"/>
        <v/>
      </c>
      <c r="D369" s="264" t="str">
        <f>IF(F369="","",PRIX!B390)</f>
        <v/>
      </c>
      <c r="E369" s="264" t="str">
        <f>IF(F369="","",($F$4/PRIX!$B$3)*PRIX!B368)</f>
        <v/>
      </c>
      <c r="F369" s="242"/>
      <c r="G369" s="243" t="str">
        <f>IF(B369="","",'Historique détail'!U389)</f>
        <v/>
      </c>
      <c r="H369" s="244"/>
      <c r="I369" s="245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17"/>
      <c r="AD369" s="217"/>
      <c r="AE369" s="217"/>
      <c r="AF369" s="217"/>
      <c r="AG369" s="217"/>
      <c r="AH369" s="217"/>
      <c r="AI369" s="217"/>
      <c r="AJ369" s="217"/>
      <c r="AK369" s="217"/>
      <c r="AL369" s="217"/>
      <c r="AM369" s="149"/>
    </row>
    <row r="370" ht="22.5" customHeight="1">
      <c r="A370" s="217"/>
      <c r="B370" s="241"/>
      <c r="C370" s="231" t="str">
        <f t="shared" si="11"/>
        <v/>
      </c>
      <c r="D370" s="264" t="str">
        <f>IF(F370="","",PRIX!B391)</f>
        <v/>
      </c>
      <c r="E370" s="264" t="str">
        <f>IF(F370="","",($F$4/PRIX!$B$3)*PRIX!B369)</f>
        <v/>
      </c>
      <c r="F370" s="242"/>
      <c r="G370" s="243" t="str">
        <f>IF(B370="","",'Historique détail'!U390)</f>
        <v/>
      </c>
      <c r="H370" s="244"/>
      <c r="I370" s="245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17"/>
      <c r="AD370" s="217"/>
      <c r="AE370" s="217"/>
      <c r="AF370" s="217"/>
      <c r="AG370" s="217"/>
      <c r="AH370" s="217"/>
      <c r="AI370" s="217"/>
      <c r="AJ370" s="217"/>
      <c r="AK370" s="217"/>
      <c r="AL370" s="217"/>
      <c r="AM370" s="149"/>
    </row>
    <row r="371" ht="22.5" customHeight="1">
      <c r="A371" s="217"/>
      <c r="B371" s="241"/>
      <c r="C371" s="231" t="str">
        <f t="shared" si="11"/>
        <v/>
      </c>
      <c r="D371" s="264" t="str">
        <f>IF(F371="","",PRIX!B392)</f>
        <v/>
      </c>
      <c r="E371" s="264" t="str">
        <f>IF(F371="","",($F$4/PRIX!$B$3)*PRIX!B370)</f>
        <v/>
      </c>
      <c r="F371" s="242"/>
      <c r="G371" s="243" t="str">
        <f>IF(B371="","",'Historique détail'!U391)</f>
        <v/>
      </c>
      <c r="H371" s="244"/>
      <c r="I371" s="245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17"/>
      <c r="AD371" s="217"/>
      <c r="AE371" s="217"/>
      <c r="AF371" s="217"/>
      <c r="AG371" s="217"/>
      <c r="AH371" s="217"/>
      <c r="AI371" s="217"/>
      <c r="AJ371" s="217"/>
      <c r="AK371" s="217"/>
      <c r="AL371" s="217"/>
      <c r="AM371" s="149"/>
    </row>
    <row r="372" ht="22.5" customHeight="1">
      <c r="A372" s="217"/>
      <c r="B372" s="241"/>
      <c r="C372" s="231" t="str">
        <f t="shared" si="11"/>
        <v/>
      </c>
      <c r="D372" s="264" t="str">
        <f>IF(F372="","",PRIX!B393)</f>
        <v/>
      </c>
      <c r="E372" s="264" t="str">
        <f>IF(F372="","",($F$4/PRIX!$B$3)*PRIX!B371)</f>
        <v/>
      </c>
      <c r="F372" s="242"/>
      <c r="G372" s="243" t="str">
        <f>IF(B372="","",'Historique détail'!U392)</f>
        <v/>
      </c>
      <c r="H372" s="244"/>
      <c r="I372" s="245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17"/>
      <c r="AD372" s="217"/>
      <c r="AE372" s="217"/>
      <c r="AF372" s="217"/>
      <c r="AG372" s="217"/>
      <c r="AH372" s="217"/>
      <c r="AI372" s="217"/>
      <c r="AJ372" s="217"/>
      <c r="AK372" s="217"/>
      <c r="AL372" s="217"/>
      <c r="AM372" s="149"/>
    </row>
    <row r="373" ht="22.5" customHeight="1">
      <c r="A373" s="217"/>
      <c r="B373" s="241"/>
      <c r="C373" s="231" t="str">
        <f t="shared" si="11"/>
        <v/>
      </c>
      <c r="D373" s="264" t="str">
        <f>IF(F373="","",PRIX!B394)</f>
        <v/>
      </c>
      <c r="E373" s="264" t="str">
        <f>IF(F373="","",($F$4/PRIX!$B$3)*PRIX!B372)</f>
        <v/>
      </c>
      <c r="F373" s="242"/>
      <c r="G373" s="243" t="str">
        <f>IF(B373="","",'Historique détail'!U393)</f>
        <v/>
      </c>
      <c r="H373" s="244"/>
      <c r="I373" s="245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17"/>
      <c r="AD373" s="217"/>
      <c r="AE373" s="217"/>
      <c r="AF373" s="217"/>
      <c r="AG373" s="217"/>
      <c r="AH373" s="217"/>
      <c r="AI373" s="217"/>
      <c r="AJ373" s="217"/>
      <c r="AK373" s="217"/>
      <c r="AL373" s="217"/>
      <c r="AM373" s="149"/>
    </row>
    <row r="374" ht="22.5" customHeight="1">
      <c r="A374" s="217"/>
      <c r="B374" s="241"/>
      <c r="C374" s="231" t="str">
        <f t="shared" si="11"/>
        <v/>
      </c>
      <c r="D374" s="264" t="str">
        <f>IF(F374="","",PRIX!B395)</f>
        <v/>
      </c>
      <c r="E374" s="264" t="str">
        <f>IF(F374="","",($F$4/PRIX!$B$3)*PRIX!B373)</f>
        <v/>
      </c>
      <c r="F374" s="242"/>
      <c r="G374" s="243" t="str">
        <f>IF(B374="","",'Historique détail'!U394)</f>
        <v/>
      </c>
      <c r="H374" s="244"/>
      <c r="I374" s="245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17"/>
      <c r="AD374" s="217"/>
      <c r="AE374" s="217"/>
      <c r="AF374" s="217"/>
      <c r="AG374" s="217"/>
      <c r="AH374" s="217"/>
      <c r="AI374" s="217"/>
      <c r="AJ374" s="217"/>
      <c r="AK374" s="217"/>
      <c r="AL374" s="217"/>
      <c r="AM374" s="149"/>
    </row>
    <row r="375" ht="22.5" customHeight="1">
      <c r="A375" s="217"/>
      <c r="B375" s="241"/>
      <c r="C375" s="231" t="str">
        <f t="shared" si="11"/>
        <v/>
      </c>
      <c r="D375" s="264" t="str">
        <f>IF(F375="","",PRIX!B396)</f>
        <v/>
      </c>
      <c r="E375" s="264" t="str">
        <f>IF(F375="","",($F$4/PRIX!$B$3)*PRIX!B374)</f>
        <v/>
      </c>
      <c r="F375" s="242"/>
      <c r="G375" s="243" t="str">
        <f>IF(B375="","",'Historique détail'!U395)</f>
        <v/>
      </c>
      <c r="H375" s="244"/>
      <c r="I375" s="245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17"/>
      <c r="AD375" s="217"/>
      <c r="AE375" s="217"/>
      <c r="AF375" s="217"/>
      <c r="AG375" s="217"/>
      <c r="AH375" s="217"/>
      <c r="AI375" s="217"/>
      <c r="AJ375" s="217"/>
      <c r="AK375" s="217"/>
      <c r="AL375" s="217"/>
      <c r="AM375" s="149"/>
    </row>
    <row r="376" ht="22.5" customHeight="1">
      <c r="A376" s="217"/>
      <c r="B376" s="241"/>
      <c r="C376" s="231" t="str">
        <f t="shared" si="11"/>
        <v/>
      </c>
      <c r="D376" s="264" t="str">
        <f>IF(F376="","",PRIX!B397)</f>
        <v/>
      </c>
      <c r="E376" s="264" t="str">
        <f>IF(F376="","",($F$4/PRIX!$B$3)*PRIX!B375)</f>
        <v/>
      </c>
      <c r="F376" s="242"/>
      <c r="G376" s="243" t="str">
        <f>IF(B376="","",'Historique détail'!U396)</f>
        <v/>
      </c>
      <c r="H376" s="244"/>
      <c r="I376" s="245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17"/>
      <c r="AD376" s="217"/>
      <c r="AE376" s="217"/>
      <c r="AF376" s="217"/>
      <c r="AG376" s="217"/>
      <c r="AH376" s="217"/>
      <c r="AI376" s="217"/>
      <c r="AJ376" s="217"/>
      <c r="AK376" s="217"/>
      <c r="AL376" s="217"/>
      <c r="AM376" s="149"/>
    </row>
    <row r="377" ht="22.5" customHeight="1">
      <c r="A377" s="217"/>
      <c r="B377" s="241"/>
      <c r="C377" s="231" t="str">
        <f t="shared" si="11"/>
        <v/>
      </c>
      <c r="D377" s="264" t="str">
        <f>IF(F377="","",PRIX!B398)</f>
        <v/>
      </c>
      <c r="E377" s="264" t="str">
        <f>IF(F377="","",($F$4/PRIX!$B$3)*PRIX!B376)</f>
        <v/>
      </c>
      <c r="F377" s="242"/>
      <c r="G377" s="243" t="str">
        <f>IF(B377="","",'Historique détail'!U397)</f>
        <v/>
      </c>
      <c r="H377" s="244"/>
      <c r="I377" s="245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17"/>
      <c r="AD377" s="217"/>
      <c r="AE377" s="217"/>
      <c r="AF377" s="217"/>
      <c r="AG377" s="217"/>
      <c r="AH377" s="217"/>
      <c r="AI377" s="217"/>
      <c r="AJ377" s="217"/>
      <c r="AK377" s="217"/>
      <c r="AL377" s="217"/>
      <c r="AM377" s="149"/>
    </row>
    <row r="378" ht="22.5" customHeight="1">
      <c r="A378" s="217"/>
      <c r="B378" s="241"/>
      <c r="C378" s="231" t="str">
        <f t="shared" si="11"/>
        <v/>
      </c>
      <c r="D378" s="264" t="str">
        <f>IF(F378="","",PRIX!B399)</f>
        <v/>
      </c>
      <c r="E378" s="264" t="str">
        <f>IF(F378="","",($F$4/PRIX!$B$3)*PRIX!B377)</f>
        <v/>
      </c>
      <c r="F378" s="242"/>
      <c r="G378" s="243" t="str">
        <f>IF(B378="","",'Historique détail'!U398)</f>
        <v/>
      </c>
      <c r="H378" s="244"/>
      <c r="I378" s="245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17"/>
      <c r="AD378" s="217"/>
      <c r="AE378" s="217"/>
      <c r="AF378" s="217"/>
      <c r="AG378" s="217"/>
      <c r="AH378" s="217"/>
      <c r="AI378" s="217"/>
      <c r="AJ378" s="217"/>
      <c r="AK378" s="217"/>
      <c r="AL378" s="217"/>
      <c r="AM378" s="149"/>
    </row>
    <row r="379" ht="22.5" customHeight="1">
      <c r="A379" s="217"/>
      <c r="B379" s="241"/>
      <c r="C379" s="231" t="str">
        <f t="shared" si="11"/>
        <v/>
      </c>
      <c r="D379" s="264" t="str">
        <f>IF(F379="","",PRIX!B400)</f>
        <v/>
      </c>
      <c r="E379" s="264" t="str">
        <f>IF(F379="","",($F$4/PRIX!$B$3)*PRIX!B378)</f>
        <v/>
      </c>
      <c r="F379" s="242"/>
      <c r="G379" s="243"/>
      <c r="H379" s="244"/>
      <c r="I379" s="245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17"/>
      <c r="AD379" s="217"/>
      <c r="AE379" s="217"/>
      <c r="AF379" s="217"/>
      <c r="AG379" s="217"/>
      <c r="AH379" s="217"/>
      <c r="AI379" s="217"/>
      <c r="AJ379" s="217"/>
      <c r="AK379" s="217"/>
      <c r="AL379" s="217"/>
      <c r="AM379" s="149"/>
    </row>
    <row r="380" ht="22.5" customHeight="1">
      <c r="A380" s="217"/>
      <c r="B380" s="241"/>
      <c r="C380" s="231" t="str">
        <f t="shared" si="11"/>
        <v/>
      </c>
      <c r="D380" s="264" t="str">
        <f>IF(F380="","",PRIX!B401)</f>
        <v/>
      </c>
      <c r="E380" s="264" t="str">
        <f>IF(F380="","",($F$4/PRIX!$B$3)*PRIX!B379)</f>
        <v/>
      </c>
      <c r="F380" s="242"/>
      <c r="G380" s="243"/>
      <c r="H380" s="244"/>
      <c r="I380" s="245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17"/>
      <c r="AD380" s="217"/>
      <c r="AE380" s="217"/>
      <c r="AF380" s="217"/>
      <c r="AG380" s="217"/>
      <c r="AH380" s="217"/>
      <c r="AI380" s="217"/>
      <c r="AJ380" s="217"/>
      <c r="AK380" s="217"/>
      <c r="AL380" s="217"/>
      <c r="AM380" s="149"/>
    </row>
    <row r="381" ht="22.5" customHeight="1">
      <c r="A381" s="217"/>
      <c r="B381" s="241"/>
      <c r="C381" s="231" t="str">
        <f t="shared" si="11"/>
        <v/>
      </c>
      <c r="D381" s="264" t="str">
        <f>IF(F381="","",PRIX!B402)</f>
        <v/>
      </c>
      <c r="E381" s="264" t="str">
        <f>IF(F381="","",($F$4/PRIX!$B$3)*PRIX!B380)</f>
        <v/>
      </c>
      <c r="F381" s="242"/>
      <c r="G381" s="243"/>
      <c r="H381" s="244"/>
      <c r="I381" s="245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17"/>
      <c r="AD381" s="217"/>
      <c r="AE381" s="217"/>
      <c r="AF381" s="217"/>
      <c r="AG381" s="217"/>
      <c r="AH381" s="217"/>
      <c r="AI381" s="217"/>
      <c r="AJ381" s="217"/>
      <c r="AK381" s="217"/>
      <c r="AL381" s="217"/>
      <c r="AM381" s="149"/>
    </row>
    <row r="382" ht="22.5" customHeight="1">
      <c r="A382" s="217"/>
      <c r="B382" s="241"/>
      <c r="C382" s="231" t="str">
        <f t="shared" si="11"/>
        <v/>
      </c>
      <c r="D382" s="264" t="str">
        <f>IF(F382="","",PRIX!B403)</f>
        <v/>
      </c>
      <c r="E382" s="264" t="str">
        <f>IF(F382="","",($F$4/PRIX!$B$3)*PRIX!B381)</f>
        <v/>
      </c>
      <c r="F382" s="242"/>
      <c r="G382" s="243"/>
      <c r="H382" s="244"/>
      <c r="I382" s="245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17"/>
      <c r="AD382" s="217"/>
      <c r="AE382" s="217"/>
      <c r="AF382" s="217"/>
      <c r="AG382" s="217"/>
      <c r="AH382" s="217"/>
      <c r="AI382" s="217"/>
      <c r="AJ382" s="217"/>
      <c r="AK382" s="217"/>
      <c r="AL382" s="217"/>
      <c r="AM382" s="149"/>
    </row>
    <row r="383" ht="22.5" customHeight="1">
      <c r="A383" s="217"/>
      <c r="B383" s="241"/>
      <c r="C383" s="231" t="str">
        <f t="shared" si="11"/>
        <v/>
      </c>
      <c r="D383" s="264" t="str">
        <f>IF(F383="","",PRIX!B404)</f>
        <v/>
      </c>
      <c r="E383" s="264" t="str">
        <f>IF(F383="","",($F$4/PRIX!$B$3)*PRIX!B382)</f>
        <v/>
      </c>
      <c r="F383" s="242"/>
      <c r="G383" s="243"/>
      <c r="H383" s="244"/>
      <c r="I383" s="245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17"/>
      <c r="AD383" s="217"/>
      <c r="AE383" s="217"/>
      <c r="AF383" s="217"/>
      <c r="AG383" s="217"/>
      <c r="AH383" s="217"/>
      <c r="AI383" s="217"/>
      <c r="AJ383" s="217"/>
      <c r="AK383" s="217"/>
      <c r="AL383" s="217"/>
      <c r="AM383" s="149"/>
    </row>
    <row r="384" ht="22.5" customHeight="1">
      <c r="A384" s="217"/>
      <c r="B384" s="241"/>
      <c r="C384" s="231" t="str">
        <f t="shared" si="11"/>
        <v/>
      </c>
      <c r="D384" s="264" t="str">
        <f>IF(F384="","",PRIX!B405)</f>
        <v/>
      </c>
      <c r="E384" s="264" t="str">
        <f>IF(F384="","",($F$4/PRIX!$B$3)*PRIX!B383)</f>
        <v/>
      </c>
      <c r="F384" s="242"/>
      <c r="G384" s="243"/>
      <c r="H384" s="244"/>
      <c r="I384" s="245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17"/>
      <c r="AD384" s="217"/>
      <c r="AE384" s="217"/>
      <c r="AF384" s="217"/>
      <c r="AG384" s="217"/>
      <c r="AH384" s="217"/>
      <c r="AI384" s="217"/>
      <c r="AJ384" s="217"/>
      <c r="AK384" s="217"/>
      <c r="AL384" s="217"/>
      <c r="AM384" s="149"/>
    </row>
    <row r="385" ht="22.5" customHeight="1">
      <c r="A385" s="217"/>
      <c r="B385" s="241"/>
      <c r="C385" s="231" t="str">
        <f t="shared" si="11"/>
        <v/>
      </c>
      <c r="D385" s="264" t="str">
        <f>IF(F385="","",PRIX!B406)</f>
        <v/>
      </c>
      <c r="E385" s="264" t="str">
        <f>IF(F385="","",($F$4/PRIX!$B$3)*PRIX!B384)</f>
        <v/>
      </c>
      <c r="F385" s="242"/>
      <c r="G385" s="243"/>
      <c r="H385" s="244"/>
      <c r="I385" s="245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17"/>
      <c r="AD385" s="217"/>
      <c r="AE385" s="217"/>
      <c r="AF385" s="217"/>
      <c r="AG385" s="217"/>
      <c r="AH385" s="217"/>
      <c r="AI385" s="217"/>
      <c r="AJ385" s="217"/>
      <c r="AK385" s="217"/>
      <c r="AL385" s="217"/>
      <c r="AM385" s="149"/>
    </row>
    <row r="386" ht="22.5" customHeight="1">
      <c r="A386" s="217"/>
      <c r="B386" s="241"/>
      <c r="C386" s="231" t="str">
        <f t="shared" si="11"/>
        <v/>
      </c>
      <c r="D386" s="264" t="str">
        <f>IF(F386="","",PRIX!B407)</f>
        <v/>
      </c>
      <c r="E386" s="264" t="str">
        <f>IF(F386="","",($F$4/PRIX!$B$3)*PRIX!B385)</f>
        <v/>
      </c>
      <c r="F386" s="242"/>
      <c r="G386" s="243"/>
      <c r="H386" s="244"/>
      <c r="I386" s="245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17"/>
      <c r="AD386" s="217"/>
      <c r="AE386" s="217"/>
      <c r="AF386" s="217"/>
      <c r="AG386" s="217"/>
      <c r="AH386" s="217"/>
      <c r="AI386" s="217"/>
      <c r="AJ386" s="217"/>
      <c r="AK386" s="217"/>
      <c r="AL386" s="217"/>
      <c r="AM386" s="149"/>
    </row>
    <row r="387" ht="22.5" customHeight="1">
      <c r="A387" s="217"/>
      <c r="B387" s="241"/>
      <c r="C387" s="231" t="str">
        <f t="shared" si="11"/>
        <v/>
      </c>
      <c r="D387" s="264" t="str">
        <f>IF(F387="","",PRIX!B408)</f>
        <v/>
      </c>
      <c r="E387" s="264" t="str">
        <f>IF(F387="","",($F$4/PRIX!$B$3)*PRIX!B386)</f>
        <v/>
      </c>
      <c r="F387" s="242"/>
      <c r="G387" s="243"/>
      <c r="H387" s="244"/>
      <c r="I387" s="245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17"/>
      <c r="AD387" s="217"/>
      <c r="AE387" s="217"/>
      <c r="AF387" s="217"/>
      <c r="AG387" s="217"/>
      <c r="AH387" s="217"/>
      <c r="AI387" s="217"/>
      <c r="AJ387" s="217"/>
      <c r="AK387" s="217"/>
      <c r="AL387" s="217"/>
      <c r="AM387" s="149"/>
    </row>
    <row r="388" ht="22.5" customHeight="1">
      <c r="A388" s="217"/>
      <c r="B388" s="241"/>
      <c r="C388" s="231" t="str">
        <f t="shared" si="11"/>
        <v/>
      </c>
      <c r="D388" s="264" t="str">
        <f>IF(F388="","",PRIX!B409)</f>
        <v/>
      </c>
      <c r="E388" s="264" t="str">
        <f>IF(F388="","",($F$4/PRIX!$B$3)*PRIX!B387)</f>
        <v/>
      </c>
      <c r="F388" s="242"/>
      <c r="G388" s="243"/>
      <c r="H388" s="244"/>
      <c r="I388" s="245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17"/>
      <c r="AD388" s="217"/>
      <c r="AE388" s="217"/>
      <c r="AF388" s="217"/>
      <c r="AG388" s="217"/>
      <c r="AH388" s="217"/>
      <c r="AI388" s="217"/>
      <c r="AJ388" s="217"/>
      <c r="AK388" s="217"/>
      <c r="AL388" s="217"/>
      <c r="AM388" s="149"/>
    </row>
    <row r="389" ht="22.5" customHeight="1">
      <c r="A389" s="217"/>
      <c r="B389" s="241"/>
      <c r="C389" s="231" t="str">
        <f t="shared" si="11"/>
        <v/>
      </c>
      <c r="D389" s="264" t="str">
        <f>IF(F389="","",PRIX!B410)</f>
        <v/>
      </c>
      <c r="E389" s="264" t="str">
        <f>IF(F389="","",($F$4/PRIX!$B$3)*PRIX!B388)</f>
        <v/>
      </c>
      <c r="F389" s="242"/>
      <c r="G389" s="243"/>
      <c r="H389" s="244"/>
      <c r="I389" s="245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17"/>
      <c r="AD389" s="217"/>
      <c r="AE389" s="217"/>
      <c r="AF389" s="217"/>
      <c r="AG389" s="217"/>
      <c r="AH389" s="217"/>
      <c r="AI389" s="217"/>
      <c r="AJ389" s="217"/>
      <c r="AK389" s="217"/>
      <c r="AL389" s="217"/>
      <c r="AM389" s="149"/>
    </row>
    <row r="390" ht="22.5" customHeight="1">
      <c r="A390" s="217"/>
      <c r="B390" s="241"/>
      <c r="C390" s="231" t="str">
        <f t="shared" si="11"/>
        <v/>
      </c>
      <c r="D390" s="264" t="str">
        <f>IF(F390="","",PRIX!B411)</f>
        <v/>
      </c>
      <c r="E390" s="264" t="str">
        <f>IF(F390="","",($F$4/PRIX!$B$3)*PRIX!B389)</f>
        <v/>
      </c>
      <c r="F390" s="242"/>
      <c r="G390" s="243"/>
      <c r="H390" s="244"/>
      <c r="I390" s="245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17"/>
      <c r="AD390" s="217"/>
      <c r="AE390" s="217"/>
      <c r="AF390" s="217"/>
      <c r="AG390" s="217"/>
      <c r="AH390" s="217"/>
      <c r="AI390" s="217"/>
      <c r="AJ390" s="217"/>
      <c r="AK390" s="217"/>
      <c r="AL390" s="217"/>
      <c r="AM390" s="149"/>
    </row>
    <row r="391" ht="22.5" customHeight="1">
      <c r="A391" s="217"/>
      <c r="B391" s="241"/>
      <c r="C391" s="231" t="str">
        <f t="shared" si="11"/>
        <v/>
      </c>
      <c r="D391" s="264" t="str">
        <f>IF(F391="","",PRIX!B412)</f>
        <v/>
      </c>
      <c r="E391" s="264" t="str">
        <f>IF(F391="","",($F$4/PRIX!$B$3)*PRIX!B390)</f>
        <v/>
      </c>
      <c r="F391" s="242"/>
      <c r="G391" s="243"/>
      <c r="H391" s="244"/>
      <c r="I391" s="245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17"/>
      <c r="AD391" s="217"/>
      <c r="AE391" s="217"/>
      <c r="AF391" s="217"/>
      <c r="AG391" s="217"/>
      <c r="AH391" s="217"/>
      <c r="AI391" s="217"/>
      <c r="AJ391" s="217"/>
      <c r="AK391" s="217"/>
      <c r="AL391" s="217"/>
      <c r="AM391" s="149"/>
    </row>
    <row r="392" ht="22.5" customHeight="1">
      <c r="A392" s="217"/>
      <c r="B392" s="241"/>
      <c r="C392" s="231" t="str">
        <f t="shared" si="11"/>
        <v/>
      </c>
      <c r="D392" s="264" t="str">
        <f>IF(F392="","",PRIX!B413)</f>
        <v/>
      </c>
      <c r="E392" s="264" t="str">
        <f>IF(F392="","",($F$4/PRIX!$B$3)*PRIX!B391)</f>
        <v/>
      </c>
      <c r="F392" s="242"/>
      <c r="G392" s="243"/>
      <c r="H392" s="244"/>
      <c r="I392" s="245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17"/>
      <c r="AD392" s="217"/>
      <c r="AE392" s="217"/>
      <c r="AF392" s="217"/>
      <c r="AG392" s="217"/>
      <c r="AH392" s="217"/>
      <c r="AI392" s="217"/>
      <c r="AJ392" s="217"/>
      <c r="AK392" s="217"/>
      <c r="AL392" s="217"/>
      <c r="AM392" s="149"/>
    </row>
    <row r="393" ht="22.5" customHeight="1">
      <c r="A393" s="217"/>
      <c r="B393" s="241"/>
      <c r="C393" s="231" t="str">
        <f t="shared" si="11"/>
        <v/>
      </c>
      <c r="D393" s="264" t="str">
        <f>IF(F393="","",PRIX!B414)</f>
        <v/>
      </c>
      <c r="E393" s="264" t="str">
        <f>IF(F393="","",($F$4/PRIX!$B$3)*PRIX!B392)</f>
        <v/>
      </c>
      <c r="F393" s="242"/>
      <c r="G393" s="243"/>
      <c r="H393" s="244"/>
      <c r="I393" s="245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17"/>
      <c r="AD393" s="217"/>
      <c r="AE393" s="217"/>
      <c r="AF393" s="217"/>
      <c r="AG393" s="217"/>
      <c r="AH393" s="217"/>
      <c r="AI393" s="217"/>
      <c r="AJ393" s="217"/>
      <c r="AK393" s="217"/>
      <c r="AL393" s="217"/>
      <c r="AM393" s="149"/>
    </row>
    <row r="394" ht="22.5" customHeight="1">
      <c r="A394" s="217"/>
      <c r="B394" s="241"/>
      <c r="C394" s="231" t="str">
        <f t="shared" si="11"/>
        <v/>
      </c>
      <c r="D394" s="264" t="str">
        <f>IF(F394="","",PRIX!B415)</f>
        <v/>
      </c>
      <c r="E394" s="264" t="str">
        <f>IF(F394="","",($F$4/PRIX!$B$3)*PRIX!B393)</f>
        <v/>
      </c>
      <c r="F394" s="242"/>
      <c r="G394" s="243"/>
      <c r="H394" s="244"/>
      <c r="I394" s="245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17"/>
      <c r="AD394" s="217"/>
      <c r="AE394" s="217"/>
      <c r="AF394" s="217"/>
      <c r="AG394" s="217"/>
      <c r="AH394" s="217"/>
      <c r="AI394" s="217"/>
      <c r="AJ394" s="217"/>
      <c r="AK394" s="217"/>
      <c r="AL394" s="217"/>
      <c r="AM394" s="149"/>
    </row>
    <row r="395" ht="22.5" customHeight="1">
      <c r="A395" s="217"/>
      <c r="B395" s="241"/>
      <c r="C395" s="231" t="str">
        <f t="shared" si="11"/>
        <v/>
      </c>
      <c r="D395" s="264" t="str">
        <f>IF(F395="","",PRIX!B416)</f>
        <v/>
      </c>
      <c r="E395" s="264" t="str">
        <f>IF(F395="","",($F$4/PRIX!$B$3)*PRIX!B394)</f>
        <v/>
      </c>
      <c r="F395" s="242"/>
      <c r="G395" s="243"/>
      <c r="H395" s="244"/>
      <c r="I395" s="245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17"/>
      <c r="AD395" s="217"/>
      <c r="AE395" s="217"/>
      <c r="AF395" s="217"/>
      <c r="AG395" s="217"/>
      <c r="AH395" s="217"/>
      <c r="AI395" s="217"/>
      <c r="AJ395" s="217"/>
      <c r="AK395" s="217"/>
      <c r="AL395" s="217"/>
      <c r="AM395" s="149"/>
    </row>
    <row r="396" ht="22.5" customHeight="1">
      <c r="A396" s="217"/>
      <c r="B396" s="241"/>
      <c r="C396" s="231" t="str">
        <f t="shared" si="11"/>
        <v/>
      </c>
      <c r="D396" s="264" t="str">
        <f>IF(F396="","",PRIX!B417)</f>
        <v/>
      </c>
      <c r="E396" s="264"/>
      <c r="F396" s="242"/>
      <c r="G396" s="243"/>
      <c r="H396" s="244"/>
      <c r="I396" s="245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17"/>
      <c r="AD396" s="217"/>
      <c r="AE396" s="217"/>
      <c r="AF396" s="217"/>
      <c r="AG396" s="217"/>
      <c r="AH396" s="217"/>
      <c r="AI396" s="217"/>
      <c r="AJ396" s="217"/>
      <c r="AK396" s="217"/>
      <c r="AL396" s="217"/>
      <c r="AM396" s="149"/>
    </row>
    <row r="397" ht="22.5" customHeight="1">
      <c r="A397" s="217"/>
      <c r="B397" s="241"/>
      <c r="C397" s="231" t="str">
        <f t="shared" si="11"/>
        <v/>
      </c>
      <c r="D397" s="264" t="str">
        <f>IF(F397="","",PRIX!B418)</f>
        <v/>
      </c>
      <c r="E397" s="264"/>
      <c r="F397" s="242"/>
      <c r="G397" s="243"/>
      <c r="H397" s="244"/>
      <c r="I397" s="245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17"/>
      <c r="AD397" s="217"/>
      <c r="AE397" s="217"/>
      <c r="AF397" s="217"/>
      <c r="AG397" s="217"/>
      <c r="AH397" s="217"/>
      <c r="AI397" s="217"/>
      <c r="AJ397" s="217"/>
      <c r="AK397" s="217"/>
      <c r="AL397" s="217"/>
      <c r="AM397" s="149"/>
    </row>
    <row r="398" ht="22.5" customHeight="1">
      <c r="A398" s="217"/>
      <c r="B398" s="241"/>
      <c r="C398" s="231" t="str">
        <f t="shared" si="11"/>
        <v/>
      </c>
      <c r="D398" s="264" t="str">
        <f>IF(F398="","",PRIX!B419)</f>
        <v/>
      </c>
      <c r="E398" s="264"/>
      <c r="F398" s="242"/>
      <c r="G398" s="243"/>
      <c r="H398" s="244"/>
      <c r="I398" s="245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17"/>
      <c r="AD398" s="217"/>
      <c r="AE398" s="217"/>
      <c r="AF398" s="217"/>
      <c r="AG398" s="217"/>
      <c r="AH398" s="217"/>
      <c r="AI398" s="217"/>
      <c r="AJ398" s="217"/>
      <c r="AK398" s="217"/>
      <c r="AL398" s="217"/>
      <c r="AM398" s="149"/>
    </row>
    <row r="399" ht="22.5" customHeight="1">
      <c r="A399" s="217"/>
      <c r="B399" s="241"/>
      <c r="C399" s="231" t="str">
        <f t="shared" si="11"/>
        <v/>
      </c>
      <c r="D399" s="264" t="str">
        <f>IF(F399="","",PRIX!B420)</f>
        <v/>
      </c>
      <c r="E399" s="264"/>
      <c r="F399" s="242"/>
      <c r="G399" s="243"/>
      <c r="H399" s="244"/>
      <c r="I399" s="245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17"/>
      <c r="AD399" s="217"/>
      <c r="AE399" s="217"/>
      <c r="AF399" s="217"/>
      <c r="AG399" s="217"/>
      <c r="AH399" s="217"/>
      <c r="AI399" s="217"/>
      <c r="AJ399" s="217"/>
      <c r="AK399" s="217"/>
      <c r="AL399" s="217"/>
      <c r="AM399" s="149"/>
    </row>
    <row r="400" ht="22.5" customHeight="1">
      <c r="A400" s="217"/>
      <c r="B400" s="241"/>
      <c r="C400" s="231" t="str">
        <f t="shared" si="11"/>
        <v/>
      </c>
      <c r="D400" s="264" t="str">
        <f>IF(F400="","",PRIX!B421)</f>
        <v/>
      </c>
      <c r="E400" s="264"/>
      <c r="F400" s="242"/>
      <c r="G400" s="243"/>
      <c r="H400" s="244"/>
      <c r="I400" s="245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17"/>
      <c r="AD400" s="217"/>
      <c r="AE400" s="217"/>
      <c r="AF400" s="217"/>
      <c r="AG400" s="217"/>
      <c r="AH400" s="217"/>
      <c r="AI400" s="217"/>
      <c r="AJ400" s="217"/>
      <c r="AK400" s="217"/>
      <c r="AL400" s="217"/>
      <c r="AM400" s="149"/>
    </row>
    <row r="401" ht="22.5" customHeight="1">
      <c r="A401" s="217"/>
      <c r="B401" s="241"/>
      <c r="C401" s="231" t="str">
        <f t="shared" si="11"/>
        <v/>
      </c>
      <c r="D401" s="264" t="str">
        <f>IF(F401="","",PRIX!B422)</f>
        <v/>
      </c>
      <c r="E401" s="264"/>
      <c r="F401" s="242"/>
      <c r="G401" s="243"/>
      <c r="H401" s="244"/>
      <c r="I401" s="245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17"/>
      <c r="AD401" s="217"/>
      <c r="AE401" s="217"/>
      <c r="AF401" s="217"/>
      <c r="AG401" s="217"/>
      <c r="AH401" s="217"/>
      <c r="AI401" s="217"/>
      <c r="AJ401" s="217"/>
      <c r="AK401" s="217"/>
      <c r="AL401" s="217"/>
      <c r="AM401" s="149"/>
    </row>
    <row r="402" ht="22.5" customHeight="1">
      <c r="A402" s="217"/>
      <c r="B402" s="241"/>
      <c r="C402" s="231" t="str">
        <f t="shared" si="11"/>
        <v/>
      </c>
      <c r="D402" s="264" t="str">
        <f>IF(F402="","",PRIX!B423)</f>
        <v/>
      </c>
      <c r="E402" s="264"/>
      <c r="F402" s="242"/>
      <c r="G402" s="243"/>
      <c r="H402" s="244"/>
      <c r="I402" s="245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17"/>
      <c r="AD402" s="217"/>
      <c r="AE402" s="217"/>
      <c r="AF402" s="217"/>
      <c r="AG402" s="217"/>
      <c r="AH402" s="217"/>
      <c r="AI402" s="217"/>
      <c r="AJ402" s="217"/>
      <c r="AK402" s="217"/>
      <c r="AL402" s="217"/>
      <c r="AM402" s="149"/>
    </row>
    <row r="403">
      <c r="A403" s="217"/>
      <c r="B403" s="241"/>
      <c r="C403" s="247"/>
      <c r="D403" s="264" t="str">
        <f>IF(F403="","",PRIX!B424)</f>
        <v/>
      </c>
      <c r="E403" s="264"/>
      <c r="F403" s="247"/>
      <c r="G403" s="242"/>
      <c r="H403" s="243"/>
      <c r="I403" s="244"/>
      <c r="J403" s="245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17"/>
      <c r="AD403" s="217"/>
      <c r="AE403" s="217"/>
      <c r="AF403" s="217"/>
      <c r="AG403" s="217"/>
      <c r="AH403" s="217"/>
      <c r="AI403" s="217"/>
      <c r="AJ403" s="217"/>
      <c r="AK403" s="217"/>
      <c r="AL403" s="217"/>
      <c r="AM403" s="217"/>
    </row>
    <row r="404">
      <c r="A404" s="217"/>
      <c r="B404" s="241"/>
      <c r="C404" s="247"/>
      <c r="D404" s="264" t="str">
        <f>IF(F404="","",PRIX!B425)</f>
        <v/>
      </c>
      <c r="E404" s="264"/>
      <c r="F404" s="247"/>
      <c r="G404" s="242"/>
      <c r="H404" s="243"/>
      <c r="I404" s="244"/>
      <c r="J404" s="245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17"/>
      <c r="AD404" s="217"/>
      <c r="AE404" s="217"/>
      <c r="AF404" s="217"/>
      <c r="AG404" s="217"/>
      <c r="AH404" s="217"/>
      <c r="AI404" s="217"/>
      <c r="AJ404" s="217"/>
      <c r="AK404" s="217"/>
      <c r="AL404" s="217"/>
      <c r="AM404" s="217"/>
    </row>
    <row r="405">
      <c r="A405" s="217"/>
      <c r="B405" s="241"/>
      <c r="C405" s="247"/>
      <c r="D405" s="264" t="str">
        <f>IF(F405="","",PRIX!B426)</f>
        <v/>
      </c>
      <c r="E405" s="264"/>
      <c r="F405" s="247"/>
      <c r="G405" s="242"/>
      <c r="H405" s="243"/>
      <c r="I405" s="244"/>
      <c r="J405" s="245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17"/>
      <c r="AD405" s="217"/>
      <c r="AE405" s="217"/>
      <c r="AF405" s="217"/>
      <c r="AG405" s="217"/>
      <c r="AH405" s="217"/>
      <c r="AI405" s="217"/>
      <c r="AJ405" s="217"/>
      <c r="AK405" s="217"/>
      <c r="AL405" s="217"/>
      <c r="AM405" s="217"/>
    </row>
    <row r="406">
      <c r="A406" s="217"/>
      <c r="B406" s="241"/>
      <c r="C406" s="247"/>
      <c r="D406" s="264" t="str">
        <f>IF(F406="","",PRIX!B427)</f>
        <v/>
      </c>
      <c r="E406" s="264"/>
      <c r="F406" s="247"/>
      <c r="G406" s="242"/>
      <c r="H406" s="243"/>
      <c r="I406" s="244"/>
      <c r="J406" s="245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17"/>
      <c r="AD406" s="217"/>
      <c r="AE406" s="217"/>
      <c r="AF406" s="217"/>
      <c r="AG406" s="217"/>
      <c r="AH406" s="217"/>
      <c r="AI406" s="217"/>
      <c r="AJ406" s="217"/>
      <c r="AK406" s="217"/>
      <c r="AL406" s="217"/>
      <c r="AM406" s="217"/>
    </row>
    <row r="407">
      <c r="A407" s="217"/>
      <c r="B407" s="241"/>
      <c r="C407" s="247"/>
      <c r="D407" s="264" t="str">
        <f>IF(F407="","",PRIX!B428)</f>
        <v/>
      </c>
      <c r="E407" s="264"/>
      <c r="F407" s="247"/>
      <c r="G407" s="242"/>
      <c r="H407" s="243"/>
      <c r="I407" s="244"/>
      <c r="J407" s="245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17"/>
      <c r="AD407" s="217"/>
      <c r="AE407" s="217"/>
      <c r="AF407" s="217"/>
      <c r="AG407" s="217"/>
      <c r="AH407" s="217"/>
      <c r="AI407" s="217"/>
      <c r="AJ407" s="217"/>
      <c r="AK407" s="217"/>
      <c r="AL407" s="217"/>
      <c r="AM407" s="217"/>
    </row>
    <row r="408">
      <c r="A408" s="217"/>
      <c r="B408" s="241"/>
      <c r="C408" s="247"/>
      <c r="D408" s="264" t="str">
        <f>IF(F408="","",PRIX!B429)</f>
        <v/>
      </c>
      <c r="E408" s="264"/>
      <c r="F408" s="247"/>
      <c r="G408" s="242"/>
      <c r="H408" s="243"/>
      <c r="I408" s="244"/>
      <c r="J408" s="245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17"/>
      <c r="AD408" s="217"/>
      <c r="AE408" s="217"/>
      <c r="AF408" s="217"/>
      <c r="AG408" s="217"/>
      <c r="AH408" s="217"/>
      <c r="AI408" s="217"/>
      <c r="AJ408" s="217"/>
      <c r="AK408" s="217"/>
      <c r="AL408" s="217"/>
      <c r="AM408" s="217"/>
    </row>
    <row r="409">
      <c r="A409" s="217"/>
      <c r="B409" s="241"/>
      <c r="C409" s="247"/>
      <c r="D409" s="264" t="str">
        <f>IF(F409="","",PRIX!B430)</f>
        <v/>
      </c>
      <c r="E409" s="264"/>
      <c r="F409" s="247"/>
      <c r="G409" s="242"/>
      <c r="H409" s="243"/>
      <c r="I409" s="244"/>
      <c r="J409" s="245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17"/>
      <c r="AD409" s="217"/>
      <c r="AE409" s="217"/>
      <c r="AF409" s="217"/>
      <c r="AG409" s="217"/>
      <c r="AH409" s="217"/>
      <c r="AI409" s="217"/>
      <c r="AJ409" s="217"/>
      <c r="AK409" s="217"/>
      <c r="AL409" s="217"/>
      <c r="AM409" s="217"/>
    </row>
    <row r="410">
      <c r="A410" s="217"/>
      <c r="B410" s="241"/>
      <c r="C410" s="247"/>
      <c r="D410" s="264" t="str">
        <f>IF(F410="","",PRIX!B431)</f>
        <v/>
      </c>
      <c r="E410" s="264"/>
      <c r="F410" s="247"/>
      <c r="G410" s="242"/>
      <c r="H410" s="243"/>
      <c r="I410" s="244"/>
      <c r="J410" s="245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17"/>
      <c r="AD410" s="217"/>
      <c r="AE410" s="217"/>
      <c r="AF410" s="217"/>
      <c r="AG410" s="217"/>
      <c r="AH410" s="217"/>
      <c r="AI410" s="217"/>
      <c r="AJ410" s="217"/>
      <c r="AK410" s="217"/>
      <c r="AL410" s="217"/>
      <c r="AM410" s="217"/>
    </row>
    <row r="411">
      <c r="A411" s="217"/>
      <c r="B411" s="241"/>
      <c r="C411" s="247"/>
      <c r="D411" s="264" t="str">
        <f>IF(F411="","",PRIX!B432)</f>
        <v/>
      </c>
      <c r="E411" s="264"/>
      <c r="F411" s="247"/>
      <c r="G411" s="242"/>
      <c r="H411" s="243"/>
      <c r="I411" s="244"/>
      <c r="J411" s="245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17"/>
      <c r="AD411" s="217"/>
      <c r="AE411" s="217"/>
      <c r="AF411" s="217"/>
      <c r="AG411" s="217"/>
      <c r="AH411" s="217"/>
      <c r="AI411" s="217"/>
      <c r="AJ411" s="217"/>
      <c r="AK411" s="217"/>
      <c r="AL411" s="217"/>
      <c r="AM411" s="217"/>
    </row>
    <row r="412">
      <c r="A412" s="217"/>
      <c r="B412" s="241"/>
      <c r="C412" s="247"/>
      <c r="D412" s="264" t="str">
        <f>IF(F412="","",PRIX!B433)</f>
        <v/>
      </c>
      <c r="E412" s="264"/>
      <c r="F412" s="247"/>
      <c r="G412" s="242"/>
      <c r="H412" s="243"/>
      <c r="I412" s="244"/>
      <c r="J412" s="245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17"/>
      <c r="AD412" s="217"/>
      <c r="AE412" s="217"/>
      <c r="AF412" s="217"/>
      <c r="AG412" s="217"/>
      <c r="AH412" s="217"/>
      <c r="AI412" s="217"/>
      <c r="AJ412" s="217"/>
      <c r="AK412" s="217"/>
      <c r="AL412" s="217"/>
      <c r="AM412" s="217"/>
    </row>
    <row r="413">
      <c r="A413" s="217"/>
      <c r="B413" s="241"/>
      <c r="C413" s="247"/>
      <c r="D413" s="264"/>
      <c r="E413" s="264"/>
      <c r="F413" s="247"/>
      <c r="G413" s="242"/>
      <c r="H413" s="243"/>
      <c r="I413" s="244"/>
      <c r="J413" s="245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17"/>
      <c r="AD413" s="217"/>
      <c r="AE413" s="217"/>
      <c r="AF413" s="217"/>
      <c r="AG413" s="217"/>
      <c r="AH413" s="217"/>
      <c r="AI413" s="217"/>
      <c r="AJ413" s="217"/>
      <c r="AK413" s="217"/>
      <c r="AL413" s="217"/>
      <c r="AM413" s="217"/>
    </row>
    <row r="414">
      <c r="A414" s="217"/>
      <c r="B414" s="241"/>
      <c r="C414" s="247"/>
      <c r="D414" s="264"/>
      <c r="E414" s="264"/>
      <c r="F414" s="247"/>
      <c r="G414" s="242"/>
      <c r="H414" s="243"/>
      <c r="I414" s="244"/>
      <c r="J414" s="245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17"/>
      <c r="AD414" s="217"/>
      <c r="AE414" s="217"/>
      <c r="AF414" s="217"/>
      <c r="AG414" s="217"/>
      <c r="AH414" s="217"/>
      <c r="AI414" s="217"/>
      <c r="AJ414" s="217"/>
      <c r="AK414" s="217"/>
      <c r="AL414" s="217"/>
      <c r="AM414" s="217"/>
    </row>
    <row r="415">
      <c r="A415" s="217"/>
      <c r="B415" s="241"/>
      <c r="C415" s="247"/>
      <c r="D415" s="264"/>
      <c r="E415" s="264"/>
      <c r="F415" s="247"/>
      <c r="G415" s="242"/>
      <c r="H415" s="243"/>
      <c r="I415" s="244"/>
      <c r="J415" s="245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17"/>
      <c r="AD415" s="217"/>
      <c r="AE415" s="217"/>
      <c r="AF415" s="217"/>
      <c r="AG415" s="217"/>
      <c r="AH415" s="217"/>
      <c r="AI415" s="217"/>
      <c r="AJ415" s="217"/>
      <c r="AK415" s="217"/>
      <c r="AL415" s="217"/>
      <c r="AM415" s="217"/>
    </row>
    <row r="416">
      <c r="A416" s="217"/>
      <c r="B416" s="241"/>
      <c r="C416" s="247"/>
      <c r="D416" s="264"/>
      <c r="E416" s="264"/>
      <c r="F416" s="247"/>
      <c r="G416" s="242"/>
      <c r="H416" s="243"/>
      <c r="I416" s="244"/>
      <c r="J416" s="245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17"/>
      <c r="AD416" s="217"/>
      <c r="AE416" s="217"/>
      <c r="AF416" s="217"/>
      <c r="AG416" s="217"/>
      <c r="AH416" s="217"/>
      <c r="AI416" s="217"/>
      <c r="AJ416" s="217"/>
      <c r="AK416" s="217"/>
      <c r="AL416" s="217"/>
      <c r="AM416" s="217"/>
    </row>
    <row r="417">
      <c r="A417" s="217"/>
      <c r="B417" s="241"/>
      <c r="C417" s="247"/>
      <c r="D417" s="264"/>
      <c r="E417" s="264"/>
      <c r="F417" s="247"/>
      <c r="G417" s="242"/>
      <c r="H417" s="243"/>
      <c r="I417" s="244"/>
      <c r="J417" s="245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17"/>
      <c r="AD417" s="217"/>
      <c r="AE417" s="217"/>
      <c r="AF417" s="217"/>
      <c r="AG417" s="217"/>
      <c r="AH417" s="217"/>
      <c r="AI417" s="217"/>
      <c r="AJ417" s="217"/>
      <c r="AK417" s="217"/>
      <c r="AL417" s="217"/>
      <c r="AM417" s="217"/>
    </row>
    <row r="418">
      <c r="A418" s="217"/>
      <c r="B418" s="241"/>
      <c r="C418" s="247"/>
      <c r="D418" s="264"/>
      <c r="E418" s="264"/>
      <c r="F418" s="247"/>
      <c r="G418" s="242"/>
      <c r="H418" s="243"/>
      <c r="I418" s="244"/>
      <c r="J418" s="245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17"/>
      <c r="AD418" s="217"/>
      <c r="AE418" s="217"/>
      <c r="AF418" s="217"/>
      <c r="AG418" s="217"/>
      <c r="AH418" s="217"/>
      <c r="AI418" s="217"/>
      <c r="AJ418" s="217"/>
      <c r="AK418" s="217"/>
      <c r="AL418" s="217"/>
      <c r="AM418" s="217"/>
    </row>
    <row r="419">
      <c r="A419" s="217"/>
      <c r="B419" s="241"/>
      <c r="C419" s="247"/>
      <c r="D419" s="264"/>
      <c r="E419" s="264"/>
      <c r="F419" s="247"/>
      <c r="G419" s="242"/>
      <c r="H419" s="243"/>
      <c r="I419" s="244"/>
      <c r="J419" s="245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17"/>
      <c r="AD419" s="217"/>
      <c r="AE419" s="217"/>
      <c r="AF419" s="217"/>
      <c r="AG419" s="217"/>
      <c r="AH419" s="217"/>
      <c r="AI419" s="217"/>
      <c r="AJ419" s="217"/>
      <c r="AK419" s="217"/>
      <c r="AL419" s="217"/>
      <c r="AM419" s="217"/>
    </row>
    <row r="420">
      <c r="A420" s="217"/>
      <c r="B420" s="241"/>
      <c r="C420" s="247"/>
      <c r="D420" s="264"/>
      <c r="E420" s="264"/>
      <c r="F420" s="247"/>
      <c r="G420" s="242"/>
      <c r="H420" s="243"/>
      <c r="I420" s="244"/>
      <c r="J420" s="245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17"/>
      <c r="AD420" s="217"/>
      <c r="AE420" s="217"/>
      <c r="AF420" s="217"/>
      <c r="AG420" s="217"/>
      <c r="AH420" s="217"/>
      <c r="AI420" s="217"/>
      <c r="AJ420" s="217"/>
      <c r="AK420" s="217"/>
      <c r="AL420" s="217"/>
      <c r="AM420" s="217"/>
    </row>
    <row r="421">
      <c r="A421" s="217"/>
      <c r="B421" s="241"/>
      <c r="C421" s="247"/>
      <c r="D421" s="264"/>
      <c r="E421" s="264"/>
      <c r="F421" s="247"/>
      <c r="G421" s="242"/>
      <c r="H421" s="243"/>
      <c r="I421" s="244"/>
      <c r="J421" s="245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17"/>
      <c r="AD421" s="217"/>
      <c r="AE421" s="217"/>
      <c r="AF421" s="217"/>
      <c r="AG421" s="217"/>
      <c r="AH421" s="217"/>
      <c r="AI421" s="217"/>
      <c r="AJ421" s="217"/>
      <c r="AK421" s="217"/>
      <c r="AL421" s="217"/>
      <c r="AM421" s="217"/>
    </row>
    <row r="422">
      <c r="A422" s="217"/>
      <c r="B422" s="241"/>
      <c r="C422" s="247"/>
      <c r="D422" s="264"/>
      <c r="E422" s="264"/>
      <c r="F422" s="247"/>
      <c r="G422" s="242"/>
      <c r="H422" s="243"/>
      <c r="I422" s="244"/>
      <c r="J422" s="245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17"/>
      <c r="AD422" s="217"/>
      <c r="AE422" s="217"/>
      <c r="AF422" s="217"/>
      <c r="AG422" s="217"/>
      <c r="AH422" s="217"/>
      <c r="AI422" s="217"/>
      <c r="AJ422" s="217"/>
      <c r="AK422" s="217"/>
      <c r="AL422" s="217"/>
      <c r="AM422" s="217"/>
    </row>
    <row r="423">
      <c r="A423" s="217"/>
      <c r="B423" s="241"/>
      <c r="C423" s="247"/>
      <c r="D423" s="264"/>
      <c r="E423" s="264"/>
      <c r="F423" s="247"/>
      <c r="G423" s="242"/>
      <c r="H423" s="243"/>
      <c r="I423" s="244"/>
      <c r="J423" s="245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17"/>
      <c r="AD423" s="217"/>
      <c r="AE423" s="217"/>
      <c r="AF423" s="217"/>
      <c r="AG423" s="217"/>
      <c r="AH423" s="217"/>
      <c r="AI423" s="217"/>
      <c r="AJ423" s="217"/>
      <c r="AK423" s="217"/>
      <c r="AL423" s="217"/>
      <c r="AM423" s="217"/>
    </row>
    <row r="424">
      <c r="A424" s="217"/>
      <c r="B424" s="241"/>
      <c r="C424" s="247"/>
      <c r="D424" s="264"/>
      <c r="E424" s="264"/>
      <c r="F424" s="247"/>
      <c r="G424" s="242"/>
      <c r="H424" s="243"/>
      <c r="I424" s="244"/>
      <c r="J424" s="245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17"/>
      <c r="AD424" s="217"/>
      <c r="AE424" s="217"/>
      <c r="AF424" s="217"/>
      <c r="AG424" s="217"/>
      <c r="AH424" s="217"/>
      <c r="AI424" s="217"/>
      <c r="AJ424" s="217"/>
      <c r="AK424" s="217"/>
      <c r="AL424" s="217"/>
      <c r="AM424" s="217"/>
    </row>
    <row r="425">
      <c r="A425" s="217"/>
      <c r="B425" s="241"/>
      <c r="C425" s="247"/>
      <c r="D425" s="247"/>
      <c r="E425" s="247"/>
      <c r="F425" s="247"/>
      <c r="G425" s="242"/>
      <c r="H425" s="243"/>
      <c r="I425" s="244"/>
      <c r="J425" s="245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17"/>
      <c r="AD425" s="217"/>
      <c r="AE425" s="217"/>
      <c r="AF425" s="217"/>
      <c r="AG425" s="217"/>
      <c r="AH425" s="217"/>
      <c r="AI425" s="217"/>
      <c r="AJ425" s="217"/>
      <c r="AK425" s="217"/>
      <c r="AL425" s="217"/>
      <c r="AM425" s="217"/>
    </row>
    <row r="426">
      <c r="A426" s="217"/>
      <c r="B426" s="241"/>
      <c r="C426" s="247"/>
      <c r="D426" s="247"/>
      <c r="E426" s="247"/>
      <c r="F426" s="247"/>
      <c r="G426" s="242"/>
      <c r="H426" s="243"/>
      <c r="I426" s="244"/>
      <c r="J426" s="245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17"/>
      <c r="AD426" s="217"/>
      <c r="AE426" s="217"/>
      <c r="AF426" s="217"/>
      <c r="AG426" s="217"/>
      <c r="AH426" s="217"/>
      <c r="AI426" s="217"/>
      <c r="AJ426" s="217"/>
      <c r="AK426" s="217"/>
      <c r="AL426" s="217"/>
      <c r="AM426" s="217"/>
    </row>
    <row r="427">
      <c r="A427" s="217"/>
      <c r="B427" s="241"/>
      <c r="C427" s="247"/>
      <c r="D427" s="247"/>
      <c r="E427" s="247"/>
      <c r="F427" s="247"/>
      <c r="G427" s="242"/>
      <c r="H427" s="243"/>
      <c r="I427" s="244"/>
      <c r="J427" s="245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17"/>
      <c r="AD427" s="217"/>
      <c r="AE427" s="217"/>
      <c r="AF427" s="217"/>
      <c r="AG427" s="217"/>
      <c r="AH427" s="217"/>
      <c r="AI427" s="217"/>
      <c r="AJ427" s="217"/>
      <c r="AK427" s="217"/>
      <c r="AL427" s="217"/>
      <c r="AM427" s="217"/>
    </row>
    <row r="428">
      <c r="A428" s="217"/>
      <c r="B428" s="241"/>
      <c r="C428" s="247"/>
      <c r="D428" s="247"/>
      <c r="E428" s="247"/>
      <c r="F428" s="247"/>
      <c r="G428" s="242"/>
      <c r="H428" s="243"/>
      <c r="I428" s="244"/>
      <c r="J428" s="245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17"/>
      <c r="AD428" s="217"/>
      <c r="AE428" s="217"/>
      <c r="AF428" s="217"/>
      <c r="AG428" s="217"/>
      <c r="AH428" s="217"/>
      <c r="AI428" s="217"/>
      <c r="AJ428" s="217"/>
      <c r="AK428" s="217"/>
      <c r="AL428" s="217"/>
      <c r="AM428" s="217"/>
    </row>
    <row r="429">
      <c r="A429" s="217"/>
      <c r="B429" s="241"/>
      <c r="C429" s="247"/>
      <c r="D429" s="247"/>
      <c r="E429" s="247"/>
      <c r="F429" s="247"/>
      <c r="G429" s="242"/>
      <c r="H429" s="243"/>
      <c r="I429" s="244"/>
      <c r="J429" s="245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7"/>
      <c r="AD429" s="217"/>
      <c r="AE429" s="217"/>
      <c r="AF429" s="217"/>
      <c r="AG429" s="217"/>
      <c r="AH429" s="217"/>
      <c r="AI429" s="217"/>
      <c r="AJ429" s="217"/>
      <c r="AK429" s="217"/>
      <c r="AL429" s="217"/>
      <c r="AM429" s="217"/>
    </row>
    <row r="430">
      <c r="A430" s="217"/>
      <c r="B430" s="241"/>
      <c r="C430" s="247"/>
      <c r="D430" s="247"/>
      <c r="E430" s="247"/>
      <c r="F430" s="247"/>
      <c r="G430" s="242"/>
      <c r="H430" s="243"/>
      <c r="I430" s="244"/>
      <c r="J430" s="245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17"/>
      <c r="AD430" s="217"/>
      <c r="AE430" s="217"/>
      <c r="AF430" s="217"/>
      <c r="AG430" s="217"/>
      <c r="AH430" s="217"/>
      <c r="AI430" s="217"/>
      <c r="AJ430" s="217"/>
      <c r="AK430" s="217"/>
      <c r="AL430" s="217"/>
      <c r="AM430" s="217"/>
    </row>
    <row r="431">
      <c r="A431" s="217"/>
      <c r="B431" s="241"/>
      <c r="C431" s="247"/>
      <c r="D431" s="247"/>
      <c r="E431" s="247"/>
      <c r="F431" s="247"/>
      <c r="G431" s="242"/>
      <c r="H431" s="243"/>
      <c r="I431" s="244"/>
      <c r="J431" s="245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17"/>
      <c r="AD431" s="217"/>
      <c r="AE431" s="217"/>
      <c r="AF431" s="217"/>
      <c r="AG431" s="217"/>
      <c r="AH431" s="217"/>
      <c r="AI431" s="217"/>
      <c r="AJ431" s="217"/>
      <c r="AK431" s="217"/>
      <c r="AL431" s="217"/>
      <c r="AM431" s="217"/>
    </row>
    <row r="432">
      <c r="A432" s="217"/>
      <c r="B432" s="241"/>
      <c r="C432" s="247"/>
      <c r="D432" s="247"/>
      <c r="E432" s="247"/>
      <c r="F432" s="247"/>
      <c r="G432" s="242"/>
      <c r="H432" s="243"/>
      <c r="I432" s="244"/>
      <c r="J432" s="245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17"/>
      <c r="AD432" s="217"/>
      <c r="AE432" s="217"/>
      <c r="AF432" s="217"/>
      <c r="AG432" s="217"/>
      <c r="AH432" s="217"/>
      <c r="AI432" s="217"/>
      <c r="AJ432" s="217"/>
      <c r="AK432" s="217"/>
      <c r="AL432" s="217"/>
      <c r="AM432" s="217"/>
    </row>
    <row r="433">
      <c r="A433" s="217"/>
      <c r="B433" s="241"/>
      <c r="C433" s="247"/>
      <c r="D433" s="247"/>
      <c r="E433" s="247"/>
      <c r="F433" s="247"/>
      <c r="G433" s="242"/>
      <c r="H433" s="243"/>
      <c r="I433" s="244"/>
      <c r="J433" s="245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17"/>
      <c r="AD433" s="217"/>
      <c r="AE433" s="217"/>
      <c r="AF433" s="217"/>
      <c r="AG433" s="217"/>
      <c r="AH433" s="217"/>
      <c r="AI433" s="217"/>
      <c r="AJ433" s="217"/>
      <c r="AK433" s="217"/>
      <c r="AL433" s="217"/>
      <c r="AM433" s="217"/>
    </row>
    <row r="434">
      <c r="A434" s="217"/>
      <c r="B434" s="241"/>
      <c r="C434" s="247"/>
      <c r="D434" s="247"/>
      <c r="E434" s="247"/>
      <c r="F434" s="247"/>
      <c r="G434" s="242"/>
      <c r="H434" s="243"/>
      <c r="I434" s="244"/>
      <c r="J434" s="245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17"/>
      <c r="AD434" s="217"/>
      <c r="AE434" s="217"/>
      <c r="AF434" s="217"/>
      <c r="AG434" s="217"/>
      <c r="AH434" s="217"/>
      <c r="AI434" s="217"/>
      <c r="AJ434" s="217"/>
      <c r="AK434" s="217"/>
      <c r="AL434" s="217"/>
      <c r="AM434" s="217"/>
    </row>
    <row r="435">
      <c r="A435" s="217"/>
      <c r="B435" s="241"/>
      <c r="C435" s="247"/>
      <c r="D435" s="247"/>
      <c r="E435" s="247"/>
      <c r="F435" s="247"/>
      <c r="G435" s="242"/>
      <c r="H435" s="243"/>
      <c r="I435" s="244"/>
      <c r="J435" s="245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17"/>
      <c r="AD435" s="217"/>
      <c r="AE435" s="217"/>
      <c r="AF435" s="217"/>
      <c r="AG435" s="217"/>
      <c r="AH435" s="217"/>
      <c r="AI435" s="217"/>
      <c r="AJ435" s="217"/>
      <c r="AK435" s="217"/>
      <c r="AL435" s="217"/>
      <c r="AM435" s="217"/>
    </row>
    <row r="436">
      <c r="A436" s="217"/>
      <c r="B436" s="241"/>
      <c r="C436" s="247"/>
      <c r="D436" s="247"/>
      <c r="E436" s="247"/>
      <c r="F436" s="247"/>
      <c r="G436" s="242"/>
      <c r="H436" s="243"/>
      <c r="I436" s="244"/>
      <c r="J436" s="245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17"/>
      <c r="AD436" s="217"/>
      <c r="AE436" s="217"/>
      <c r="AF436" s="217"/>
      <c r="AG436" s="217"/>
      <c r="AH436" s="217"/>
      <c r="AI436" s="217"/>
      <c r="AJ436" s="217"/>
      <c r="AK436" s="217"/>
      <c r="AL436" s="217"/>
      <c r="AM436" s="217"/>
    </row>
    <row r="437">
      <c r="A437" s="217"/>
      <c r="B437" s="241"/>
      <c r="C437" s="247"/>
      <c r="D437" s="247"/>
      <c r="E437" s="247"/>
      <c r="F437" s="247"/>
      <c r="G437" s="242"/>
      <c r="H437" s="243"/>
      <c r="I437" s="244"/>
      <c r="J437" s="245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17"/>
      <c r="AD437" s="217"/>
      <c r="AE437" s="217"/>
      <c r="AF437" s="217"/>
      <c r="AG437" s="217"/>
      <c r="AH437" s="217"/>
      <c r="AI437" s="217"/>
      <c r="AJ437" s="217"/>
      <c r="AK437" s="217"/>
      <c r="AL437" s="217"/>
      <c r="AM437" s="217"/>
    </row>
    <row r="438">
      <c r="A438" s="217"/>
      <c r="B438" s="241"/>
      <c r="C438" s="247"/>
      <c r="D438" s="247"/>
      <c r="E438" s="247"/>
      <c r="F438" s="247"/>
      <c r="G438" s="242"/>
      <c r="H438" s="243"/>
      <c r="I438" s="244"/>
      <c r="J438" s="245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17"/>
      <c r="AD438" s="217"/>
      <c r="AE438" s="217"/>
      <c r="AF438" s="217"/>
      <c r="AG438" s="217"/>
      <c r="AH438" s="217"/>
      <c r="AI438" s="217"/>
      <c r="AJ438" s="217"/>
      <c r="AK438" s="217"/>
      <c r="AL438" s="217"/>
      <c r="AM438" s="217"/>
    </row>
    <row r="439">
      <c r="A439" s="217"/>
      <c r="B439" s="241"/>
      <c r="C439" s="247"/>
      <c r="D439" s="247"/>
      <c r="E439" s="247"/>
      <c r="F439" s="247"/>
      <c r="G439" s="242"/>
      <c r="H439" s="243"/>
      <c r="I439" s="244"/>
      <c r="J439" s="245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17"/>
      <c r="AD439" s="217"/>
      <c r="AE439" s="217"/>
      <c r="AF439" s="217"/>
      <c r="AG439" s="217"/>
      <c r="AH439" s="217"/>
      <c r="AI439" s="217"/>
      <c r="AJ439" s="217"/>
      <c r="AK439" s="217"/>
      <c r="AL439" s="217"/>
      <c r="AM439" s="217"/>
    </row>
    <row r="440">
      <c r="A440" s="217"/>
      <c r="B440" s="241"/>
      <c r="C440" s="247"/>
      <c r="D440" s="247"/>
      <c r="E440" s="247"/>
      <c r="F440" s="247"/>
      <c r="G440" s="242"/>
      <c r="H440" s="243"/>
      <c r="I440" s="244"/>
      <c r="J440" s="245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17"/>
      <c r="AD440" s="217"/>
      <c r="AE440" s="217"/>
      <c r="AF440" s="217"/>
      <c r="AG440" s="217"/>
      <c r="AH440" s="217"/>
      <c r="AI440" s="217"/>
      <c r="AJ440" s="217"/>
      <c r="AK440" s="217"/>
      <c r="AL440" s="217"/>
      <c r="AM440" s="217"/>
    </row>
    <row r="441">
      <c r="A441" s="217"/>
      <c r="B441" s="241"/>
      <c r="C441" s="247"/>
      <c r="D441" s="247"/>
      <c r="E441" s="247"/>
      <c r="F441" s="247"/>
      <c r="G441" s="242"/>
      <c r="H441" s="243"/>
      <c r="I441" s="244"/>
      <c r="J441" s="245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17"/>
      <c r="AD441" s="217"/>
      <c r="AE441" s="217"/>
      <c r="AF441" s="217"/>
      <c r="AG441" s="217"/>
      <c r="AH441" s="217"/>
      <c r="AI441" s="217"/>
      <c r="AJ441" s="217"/>
      <c r="AK441" s="217"/>
      <c r="AL441" s="217"/>
      <c r="AM441" s="217"/>
    </row>
    <row r="442">
      <c r="A442" s="217"/>
      <c r="B442" s="241"/>
      <c r="C442" s="247"/>
      <c r="D442" s="247"/>
      <c r="E442" s="247"/>
      <c r="F442" s="247"/>
      <c r="G442" s="242"/>
      <c r="H442" s="243"/>
      <c r="I442" s="244"/>
      <c r="J442" s="245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17"/>
      <c r="AD442" s="217"/>
      <c r="AE442" s="217"/>
      <c r="AF442" s="217"/>
      <c r="AG442" s="217"/>
      <c r="AH442" s="217"/>
      <c r="AI442" s="217"/>
      <c r="AJ442" s="217"/>
      <c r="AK442" s="217"/>
      <c r="AL442" s="217"/>
      <c r="AM442" s="217"/>
    </row>
    <row r="443">
      <c r="A443" s="217"/>
      <c r="B443" s="241"/>
      <c r="C443" s="247"/>
      <c r="D443" s="247"/>
      <c r="E443" s="247"/>
      <c r="F443" s="247"/>
      <c r="G443" s="242"/>
      <c r="H443" s="243"/>
      <c r="I443" s="244"/>
      <c r="J443" s="245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17"/>
      <c r="AD443" s="217"/>
      <c r="AE443" s="217"/>
      <c r="AF443" s="217"/>
      <c r="AG443" s="217"/>
      <c r="AH443" s="217"/>
      <c r="AI443" s="217"/>
      <c r="AJ443" s="217"/>
      <c r="AK443" s="217"/>
      <c r="AL443" s="217"/>
      <c r="AM443" s="217"/>
    </row>
    <row r="444">
      <c r="A444" s="217"/>
      <c r="B444" s="241"/>
      <c r="C444" s="247"/>
      <c r="D444" s="247"/>
      <c r="E444" s="247"/>
      <c r="F444" s="247"/>
      <c r="G444" s="242"/>
      <c r="H444" s="243"/>
      <c r="I444" s="244"/>
      <c r="J444" s="245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17"/>
      <c r="AD444" s="217"/>
      <c r="AE444" s="217"/>
      <c r="AF444" s="217"/>
      <c r="AG444" s="217"/>
      <c r="AH444" s="217"/>
      <c r="AI444" s="217"/>
      <c r="AJ444" s="217"/>
      <c r="AK444" s="217"/>
      <c r="AL444" s="217"/>
      <c r="AM444" s="217"/>
    </row>
    <row r="445">
      <c r="A445" s="217"/>
      <c r="B445" s="241"/>
      <c r="C445" s="247"/>
      <c r="D445" s="247"/>
      <c r="E445" s="247"/>
      <c r="F445" s="247"/>
      <c r="G445" s="242"/>
      <c r="H445" s="243"/>
      <c r="I445" s="244"/>
      <c r="J445" s="245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17"/>
      <c r="AD445" s="217"/>
      <c r="AE445" s="217"/>
      <c r="AF445" s="217"/>
      <c r="AG445" s="217"/>
      <c r="AH445" s="217"/>
      <c r="AI445" s="217"/>
      <c r="AJ445" s="217"/>
      <c r="AK445" s="217"/>
      <c r="AL445" s="217"/>
      <c r="AM445" s="217"/>
    </row>
    <row r="446">
      <c r="A446" s="217"/>
      <c r="B446" s="241"/>
      <c r="C446" s="247"/>
      <c r="D446" s="247"/>
      <c r="E446" s="247"/>
      <c r="F446" s="247"/>
      <c r="G446" s="242"/>
      <c r="H446" s="243"/>
      <c r="I446" s="244"/>
      <c r="J446" s="245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17"/>
      <c r="AD446" s="217"/>
      <c r="AE446" s="217"/>
      <c r="AF446" s="217"/>
      <c r="AG446" s="217"/>
      <c r="AH446" s="217"/>
      <c r="AI446" s="217"/>
      <c r="AJ446" s="217"/>
      <c r="AK446" s="217"/>
      <c r="AL446" s="217"/>
      <c r="AM446" s="217"/>
    </row>
    <row r="447">
      <c r="A447" s="217"/>
      <c r="B447" s="241"/>
      <c r="C447" s="247"/>
      <c r="D447" s="247"/>
      <c r="E447" s="247"/>
      <c r="F447" s="247"/>
      <c r="G447" s="242"/>
      <c r="H447" s="243"/>
      <c r="I447" s="244"/>
      <c r="J447" s="245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17"/>
      <c r="AD447" s="217"/>
      <c r="AE447" s="217"/>
      <c r="AF447" s="217"/>
      <c r="AG447" s="217"/>
      <c r="AH447" s="217"/>
      <c r="AI447" s="217"/>
      <c r="AJ447" s="217"/>
      <c r="AK447" s="217"/>
      <c r="AL447" s="217"/>
      <c r="AM447" s="217"/>
    </row>
    <row r="448">
      <c r="A448" s="217"/>
      <c r="B448" s="241"/>
      <c r="C448" s="247"/>
      <c r="D448" s="247"/>
      <c r="E448" s="247"/>
      <c r="F448" s="247"/>
      <c r="G448" s="242"/>
      <c r="H448" s="243"/>
      <c r="I448" s="244"/>
      <c r="J448" s="245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17"/>
      <c r="AD448" s="217"/>
      <c r="AE448" s="217"/>
      <c r="AF448" s="217"/>
      <c r="AG448" s="217"/>
      <c r="AH448" s="217"/>
      <c r="AI448" s="217"/>
      <c r="AJ448" s="217"/>
      <c r="AK448" s="217"/>
      <c r="AL448" s="217"/>
      <c r="AM448" s="217"/>
    </row>
    <row r="449">
      <c r="A449" s="217"/>
      <c r="B449" s="241"/>
      <c r="C449" s="247"/>
      <c r="D449" s="247"/>
      <c r="E449" s="247"/>
      <c r="F449" s="247"/>
      <c r="G449" s="242"/>
      <c r="H449" s="243"/>
      <c r="I449" s="244"/>
      <c r="J449" s="245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17"/>
      <c r="AD449" s="217"/>
      <c r="AE449" s="217"/>
      <c r="AF449" s="217"/>
      <c r="AG449" s="217"/>
      <c r="AH449" s="217"/>
      <c r="AI449" s="217"/>
      <c r="AJ449" s="217"/>
      <c r="AK449" s="217"/>
      <c r="AL449" s="217"/>
      <c r="AM449" s="217"/>
    </row>
    <row r="450">
      <c r="A450" s="217"/>
      <c r="B450" s="241"/>
      <c r="C450" s="247"/>
      <c r="D450" s="247"/>
      <c r="E450" s="247"/>
      <c r="F450" s="247"/>
      <c r="G450" s="242"/>
      <c r="H450" s="243"/>
      <c r="I450" s="244"/>
      <c r="J450" s="245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17"/>
      <c r="AD450" s="217"/>
      <c r="AE450" s="217"/>
      <c r="AF450" s="217"/>
      <c r="AG450" s="217"/>
      <c r="AH450" s="217"/>
      <c r="AI450" s="217"/>
      <c r="AJ450" s="217"/>
      <c r="AK450" s="217"/>
      <c r="AL450" s="217"/>
      <c r="AM450" s="217"/>
    </row>
    <row r="451">
      <c r="A451" s="217"/>
      <c r="B451" s="241"/>
      <c r="C451" s="247"/>
      <c r="D451" s="247"/>
      <c r="E451" s="247"/>
      <c r="F451" s="247"/>
      <c r="G451" s="242"/>
      <c r="H451" s="243"/>
      <c r="I451" s="244"/>
      <c r="J451" s="245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17"/>
      <c r="AD451" s="217"/>
      <c r="AE451" s="217"/>
      <c r="AF451" s="217"/>
      <c r="AG451" s="217"/>
      <c r="AH451" s="217"/>
      <c r="AI451" s="217"/>
      <c r="AJ451" s="217"/>
      <c r="AK451" s="217"/>
      <c r="AL451" s="217"/>
      <c r="AM451" s="217"/>
    </row>
    <row r="452">
      <c r="A452" s="217"/>
      <c r="B452" s="241"/>
      <c r="C452" s="247"/>
      <c r="D452" s="247"/>
      <c r="E452" s="247"/>
      <c r="F452" s="247"/>
      <c r="G452" s="242"/>
      <c r="H452" s="243"/>
      <c r="I452" s="244"/>
      <c r="J452" s="245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17"/>
      <c r="AD452" s="217"/>
      <c r="AE452" s="217"/>
      <c r="AF452" s="217"/>
      <c r="AG452" s="217"/>
      <c r="AH452" s="217"/>
      <c r="AI452" s="217"/>
      <c r="AJ452" s="217"/>
      <c r="AK452" s="217"/>
      <c r="AL452" s="217"/>
      <c r="AM452" s="217"/>
    </row>
    <row r="453">
      <c r="A453" s="217"/>
      <c r="B453" s="241"/>
      <c r="C453" s="247"/>
      <c r="D453" s="247"/>
      <c r="E453" s="247"/>
      <c r="F453" s="247"/>
      <c r="G453" s="242"/>
      <c r="H453" s="243"/>
      <c r="I453" s="244"/>
      <c r="J453" s="245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17"/>
      <c r="AD453" s="217"/>
      <c r="AE453" s="217"/>
      <c r="AF453" s="217"/>
      <c r="AG453" s="217"/>
      <c r="AH453" s="217"/>
      <c r="AI453" s="217"/>
      <c r="AJ453" s="217"/>
      <c r="AK453" s="217"/>
      <c r="AL453" s="217"/>
      <c r="AM453" s="217"/>
    </row>
    <row r="454">
      <c r="A454" s="217"/>
      <c r="B454" s="241"/>
      <c r="C454" s="247"/>
      <c r="D454" s="247"/>
      <c r="E454" s="247"/>
      <c r="F454" s="247"/>
      <c r="G454" s="242"/>
      <c r="H454" s="243"/>
      <c r="I454" s="244"/>
      <c r="J454" s="245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17"/>
      <c r="AD454" s="217"/>
      <c r="AE454" s="217"/>
      <c r="AF454" s="217"/>
      <c r="AG454" s="217"/>
      <c r="AH454" s="217"/>
      <c r="AI454" s="217"/>
      <c r="AJ454" s="217"/>
      <c r="AK454" s="217"/>
      <c r="AL454" s="217"/>
      <c r="AM454" s="217"/>
    </row>
    <row r="455">
      <c r="A455" s="217"/>
      <c r="B455" s="241"/>
      <c r="C455" s="247"/>
      <c r="D455" s="247"/>
      <c r="E455" s="247"/>
      <c r="F455" s="247"/>
      <c r="G455" s="242"/>
      <c r="H455" s="243"/>
      <c r="I455" s="244"/>
      <c r="J455" s="245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17"/>
      <c r="AD455" s="217"/>
      <c r="AE455" s="217"/>
      <c r="AF455" s="217"/>
      <c r="AG455" s="217"/>
      <c r="AH455" s="217"/>
      <c r="AI455" s="217"/>
      <c r="AJ455" s="217"/>
      <c r="AK455" s="217"/>
      <c r="AL455" s="217"/>
      <c r="AM455" s="217"/>
    </row>
    <row r="456">
      <c r="A456" s="217"/>
      <c r="B456" s="241"/>
      <c r="C456" s="247"/>
      <c r="D456" s="247"/>
      <c r="E456" s="247"/>
      <c r="F456" s="247"/>
      <c r="G456" s="242"/>
      <c r="H456" s="243"/>
      <c r="I456" s="244"/>
      <c r="J456" s="245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17"/>
      <c r="AD456" s="217"/>
      <c r="AE456" s="217"/>
      <c r="AF456" s="217"/>
      <c r="AG456" s="217"/>
      <c r="AH456" s="217"/>
      <c r="AI456" s="217"/>
      <c r="AJ456" s="217"/>
      <c r="AK456" s="217"/>
      <c r="AL456" s="217"/>
      <c r="AM456" s="217"/>
    </row>
    <row r="457">
      <c r="A457" s="217"/>
      <c r="B457" s="241"/>
      <c r="C457" s="247"/>
      <c r="D457" s="247"/>
      <c r="E457" s="247"/>
      <c r="F457" s="247"/>
      <c r="G457" s="242"/>
      <c r="H457" s="243"/>
      <c r="I457" s="244"/>
      <c r="J457" s="245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17"/>
      <c r="AD457" s="217"/>
      <c r="AE457" s="217"/>
      <c r="AF457" s="217"/>
      <c r="AG457" s="217"/>
      <c r="AH457" s="217"/>
      <c r="AI457" s="217"/>
      <c r="AJ457" s="217"/>
      <c r="AK457" s="217"/>
      <c r="AL457" s="217"/>
      <c r="AM457" s="217"/>
    </row>
    <row r="458">
      <c r="A458" s="217"/>
      <c r="B458" s="241"/>
      <c r="C458" s="247"/>
      <c r="D458" s="247"/>
      <c r="E458" s="247"/>
      <c r="F458" s="247"/>
      <c r="G458" s="242"/>
      <c r="H458" s="243"/>
      <c r="I458" s="244"/>
      <c r="J458" s="245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17"/>
      <c r="AD458" s="217"/>
      <c r="AE458" s="217"/>
      <c r="AF458" s="217"/>
      <c r="AG458" s="217"/>
      <c r="AH458" s="217"/>
      <c r="AI458" s="217"/>
      <c r="AJ458" s="217"/>
      <c r="AK458" s="217"/>
      <c r="AL458" s="217"/>
      <c r="AM458" s="217"/>
    </row>
    <row r="459">
      <c r="A459" s="217"/>
      <c r="B459" s="241"/>
      <c r="C459" s="247"/>
      <c r="D459" s="247"/>
      <c r="E459" s="247"/>
      <c r="F459" s="247"/>
      <c r="G459" s="242"/>
      <c r="H459" s="243"/>
      <c r="I459" s="244"/>
      <c r="J459" s="245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17"/>
      <c r="AD459" s="217"/>
      <c r="AE459" s="217"/>
      <c r="AF459" s="217"/>
      <c r="AG459" s="217"/>
      <c r="AH459" s="217"/>
      <c r="AI459" s="217"/>
      <c r="AJ459" s="217"/>
      <c r="AK459" s="217"/>
      <c r="AL459" s="217"/>
      <c r="AM459" s="217"/>
    </row>
    <row r="460">
      <c r="A460" s="217"/>
      <c r="B460" s="241"/>
      <c r="C460" s="247"/>
      <c r="D460" s="247"/>
      <c r="E460" s="247"/>
      <c r="F460" s="247"/>
      <c r="G460" s="242"/>
      <c r="H460" s="243"/>
      <c r="I460" s="244"/>
      <c r="J460" s="245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  <c r="AE460" s="217"/>
      <c r="AF460" s="217"/>
      <c r="AG460" s="217"/>
      <c r="AH460" s="217"/>
      <c r="AI460" s="217"/>
      <c r="AJ460" s="217"/>
      <c r="AK460" s="217"/>
      <c r="AL460" s="217"/>
      <c r="AM460" s="217"/>
    </row>
    <row r="461">
      <c r="A461" s="217"/>
      <c r="B461" s="241"/>
      <c r="C461" s="247"/>
      <c r="D461" s="247"/>
      <c r="E461" s="247"/>
      <c r="F461" s="247"/>
      <c r="G461" s="242"/>
      <c r="H461" s="243"/>
      <c r="I461" s="244"/>
      <c r="J461" s="245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17"/>
      <c r="AD461" s="217"/>
      <c r="AE461" s="217"/>
      <c r="AF461" s="217"/>
      <c r="AG461" s="217"/>
      <c r="AH461" s="217"/>
      <c r="AI461" s="217"/>
      <c r="AJ461" s="217"/>
      <c r="AK461" s="217"/>
      <c r="AL461" s="217"/>
      <c r="AM461" s="217"/>
    </row>
    <row r="462">
      <c r="A462" s="217"/>
      <c r="B462" s="241"/>
      <c r="C462" s="247"/>
      <c r="D462" s="247"/>
      <c r="E462" s="247"/>
      <c r="F462" s="247"/>
      <c r="G462" s="242"/>
      <c r="H462" s="243"/>
      <c r="I462" s="244"/>
      <c r="J462" s="245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17"/>
      <c r="AD462" s="217"/>
      <c r="AE462" s="217"/>
      <c r="AF462" s="217"/>
      <c r="AG462" s="217"/>
      <c r="AH462" s="217"/>
      <c r="AI462" s="217"/>
      <c r="AJ462" s="217"/>
      <c r="AK462" s="217"/>
      <c r="AL462" s="217"/>
      <c r="AM462" s="217"/>
    </row>
    <row r="463">
      <c r="A463" s="217"/>
      <c r="B463" s="241"/>
      <c r="C463" s="247"/>
      <c r="D463" s="247"/>
      <c r="E463" s="247"/>
      <c r="F463" s="247"/>
      <c r="G463" s="242"/>
      <c r="H463" s="243"/>
      <c r="I463" s="244"/>
      <c r="J463" s="245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17"/>
      <c r="AD463" s="217"/>
      <c r="AE463" s="217"/>
      <c r="AF463" s="217"/>
      <c r="AG463" s="217"/>
      <c r="AH463" s="217"/>
      <c r="AI463" s="217"/>
      <c r="AJ463" s="217"/>
      <c r="AK463" s="217"/>
      <c r="AL463" s="217"/>
      <c r="AM463" s="217"/>
    </row>
    <row r="464">
      <c r="A464" s="217"/>
      <c r="B464" s="241"/>
      <c r="C464" s="247"/>
      <c r="D464" s="247"/>
      <c r="E464" s="247"/>
      <c r="F464" s="247"/>
      <c r="G464" s="242"/>
      <c r="H464" s="243"/>
      <c r="I464" s="244"/>
      <c r="J464" s="245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17"/>
      <c r="AD464" s="217"/>
      <c r="AE464" s="217"/>
      <c r="AF464" s="217"/>
      <c r="AG464" s="217"/>
      <c r="AH464" s="217"/>
      <c r="AI464" s="217"/>
      <c r="AJ464" s="217"/>
      <c r="AK464" s="217"/>
      <c r="AL464" s="217"/>
      <c r="AM464" s="217"/>
    </row>
    <row r="465">
      <c r="A465" s="217"/>
      <c r="B465" s="241"/>
      <c r="C465" s="247"/>
      <c r="D465" s="247"/>
      <c r="E465" s="247"/>
      <c r="F465" s="247"/>
      <c r="G465" s="242"/>
      <c r="H465" s="243"/>
      <c r="I465" s="244"/>
      <c r="J465" s="245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17"/>
      <c r="AD465" s="217"/>
      <c r="AE465" s="217"/>
      <c r="AF465" s="217"/>
      <c r="AG465" s="217"/>
      <c r="AH465" s="217"/>
      <c r="AI465" s="217"/>
      <c r="AJ465" s="217"/>
      <c r="AK465" s="217"/>
      <c r="AL465" s="217"/>
      <c r="AM465" s="217"/>
    </row>
    <row r="466">
      <c r="A466" s="217"/>
      <c r="B466" s="241"/>
      <c r="C466" s="247"/>
      <c r="D466" s="247"/>
      <c r="E466" s="247"/>
      <c r="F466" s="247"/>
      <c r="G466" s="242"/>
      <c r="H466" s="243"/>
      <c r="I466" s="244"/>
      <c r="J466" s="245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17"/>
      <c r="AD466" s="217"/>
      <c r="AE466" s="217"/>
      <c r="AF466" s="217"/>
      <c r="AG466" s="217"/>
      <c r="AH466" s="217"/>
      <c r="AI466" s="217"/>
      <c r="AJ466" s="217"/>
      <c r="AK466" s="217"/>
      <c r="AL466" s="217"/>
      <c r="AM466" s="217"/>
    </row>
    <row r="467">
      <c r="A467" s="217"/>
      <c r="B467" s="241"/>
      <c r="C467" s="247"/>
      <c r="D467" s="247"/>
      <c r="E467" s="247"/>
      <c r="F467" s="247"/>
      <c r="G467" s="242"/>
      <c r="H467" s="243"/>
      <c r="I467" s="244"/>
      <c r="J467" s="245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17"/>
      <c r="AD467" s="217"/>
      <c r="AE467" s="217"/>
      <c r="AF467" s="217"/>
      <c r="AG467" s="217"/>
      <c r="AH467" s="217"/>
      <c r="AI467" s="217"/>
      <c r="AJ467" s="217"/>
      <c r="AK467" s="217"/>
      <c r="AL467" s="217"/>
      <c r="AM467" s="217"/>
    </row>
    <row r="468">
      <c r="A468" s="217"/>
      <c r="B468" s="241"/>
      <c r="C468" s="247"/>
      <c r="D468" s="247"/>
      <c r="E468" s="247"/>
      <c r="F468" s="247"/>
      <c r="G468" s="242"/>
      <c r="H468" s="243"/>
      <c r="I468" s="244"/>
      <c r="J468" s="245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17"/>
      <c r="AD468" s="217"/>
      <c r="AE468" s="217"/>
      <c r="AF468" s="217"/>
      <c r="AG468" s="217"/>
      <c r="AH468" s="217"/>
      <c r="AI468" s="217"/>
      <c r="AJ468" s="217"/>
      <c r="AK468" s="217"/>
      <c r="AL468" s="217"/>
      <c r="AM468" s="217"/>
    </row>
    <row r="469">
      <c r="A469" s="217"/>
      <c r="B469" s="241"/>
      <c r="C469" s="247"/>
      <c r="D469" s="247"/>
      <c r="E469" s="247"/>
      <c r="F469" s="247"/>
      <c r="G469" s="242"/>
      <c r="H469" s="243"/>
      <c r="I469" s="244"/>
      <c r="J469" s="245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17"/>
      <c r="AD469" s="217"/>
      <c r="AE469" s="217"/>
      <c r="AF469" s="217"/>
      <c r="AG469" s="217"/>
      <c r="AH469" s="217"/>
      <c r="AI469" s="217"/>
      <c r="AJ469" s="217"/>
      <c r="AK469" s="217"/>
      <c r="AL469" s="217"/>
      <c r="AM469" s="217"/>
    </row>
    <row r="470">
      <c r="A470" s="217"/>
      <c r="B470" s="241"/>
      <c r="C470" s="247"/>
      <c r="D470" s="247"/>
      <c r="E470" s="247"/>
      <c r="F470" s="247"/>
      <c r="G470" s="242"/>
      <c r="H470" s="243"/>
      <c r="I470" s="244"/>
      <c r="J470" s="245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17"/>
      <c r="AD470" s="217"/>
      <c r="AE470" s="217"/>
      <c r="AF470" s="217"/>
      <c r="AG470" s="217"/>
      <c r="AH470" s="217"/>
      <c r="AI470" s="217"/>
      <c r="AJ470" s="217"/>
      <c r="AK470" s="217"/>
      <c r="AL470" s="217"/>
      <c r="AM470" s="217"/>
    </row>
    <row r="471">
      <c r="A471" s="217"/>
      <c r="B471" s="241"/>
      <c r="C471" s="247"/>
      <c r="D471" s="247"/>
      <c r="E471" s="247"/>
      <c r="F471" s="247"/>
      <c r="G471" s="242"/>
      <c r="H471" s="243"/>
      <c r="I471" s="244"/>
      <c r="J471" s="245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17"/>
      <c r="AD471" s="217"/>
      <c r="AE471" s="217"/>
      <c r="AF471" s="217"/>
      <c r="AG471" s="217"/>
      <c r="AH471" s="217"/>
      <c r="AI471" s="217"/>
      <c r="AJ471" s="217"/>
      <c r="AK471" s="217"/>
      <c r="AL471" s="217"/>
      <c r="AM471" s="217"/>
    </row>
    <row r="472">
      <c r="A472" s="217"/>
      <c r="B472" s="241"/>
      <c r="C472" s="247"/>
      <c r="D472" s="247"/>
      <c r="E472" s="247"/>
      <c r="F472" s="247"/>
      <c r="G472" s="242"/>
      <c r="H472" s="243"/>
      <c r="I472" s="244"/>
      <c r="J472" s="245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17"/>
      <c r="AD472" s="217"/>
      <c r="AE472" s="217"/>
      <c r="AF472" s="217"/>
      <c r="AG472" s="217"/>
      <c r="AH472" s="217"/>
      <c r="AI472" s="217"/>
      <c r="AJ472" s="217"/>
      <c r="AK472" s="217"/>
      <c r="AL472" s="217"/>
      <c r="AM472" s="217"/>
    </row>
    <row r="473">
      <c r="A473" s="217"/>
      <c r="B473" s="241"/>
      <c r="C473" s="247"/>
      <c r="D473" s="247"/>
      <c r="E473" s="247"/>
      <c r="F473" s="247"/>
      <c r="G473" s="242"/>
      <c r="H473" s="243"/>
      <c r="I473" s="244"/>
      <c r="J473" s="245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7"/>
      <c r="AE473" s="217"/>
      <c r="AF473" s="217"/>
      <c r="AG473" s="217"/>
      <c r="AH473" s="217"/>
      <c r="AI473" s="217"/>
      <c r="AJ473" s="217"/>
      <c r="AK473" s="217"/>
      <c r="AL473" s="217"/>
      <c r="AM473" s="217"/>
    </row>
    <row r="474">
      <c r="A474" s="217"/>
      <c r="B474" s="241"/>
      <c r="C474" s="247"/>
      <c r="D474" s="247"/>
      <c r="E474" s="247"/>
      <c r="F474" s="247"/>
      <c r="G474" s="242"/>
      <c r="H474" s="243"/>
      <c r="I474" s="244"/>
      <c r="J474" s="245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17"/>
      <c r="AD474" s="217"/>
      <c r="AE474" s="217"/>
      <c r="AF474" s="217"/>
      <c r="AG474" s="217"/>
      <c r="AH474" s="217"/>
      <c r="AI474" s="217"/>
      <c r="AJ474" s="217"/>
      <c r="AK474" s="217"/>
      <c r="AL474" s="217"/>
      <c r="AM474" s="217"/>
    </row>
    <row r="475">
      <c r="A475" s="217"/>
      <c r="B475" s="241"/>
      <c r="C475" s="247"/>
      <c r="D475" s="247"/>
      <c r="E475" s="247"/>
      <c r="F475" s="247"/>
      <c r="G475" s="242"/>
      <c r="H475" s="243"/>
      <c r="I475" s="244"/>
      <c r="J475" s="245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17"/>
      <c r="AD475" s="217"/>
      <c r="AE475" s="217"/>
      <c r="AF475" s="217"/>
      <c r="AG475" s="217"/>
      <c r="AH475" s="217"/>
      <c r="AI475" s="217"/>
      <c r="AJ475" s="217"/>
      <c r="AK475" s="217"/>
      <c r="AL475" s="217"/>
      <c r="AM475" s="217"/>
    </row>
    <row r="476">
      <c r="A476" s="217"/>
      <c r="B476" s="241"/>
      <c r="C476" s="247"/>
      <c r="D476" s="247"/>
      <c r="E476" s="247"/>
      <c r="F476" s="247"/>
      <c r="G476" s="242"/>
      <c r="H476" s="243"/>
      <c r="I476" s="244"/>
      <c r="J476" s="245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17"/>
      <c r="AD476" s="217"/>
      <c r="AE476" s="217"/>
      <c r="AF476" s="217"/>
      <c r="AG476" s="217"/>
      <c r="AH476" s="217"/>
      <c r="AI476" s="217"/>
      <c r="AJ476" s="217"/>
      <c r="AK476" s="217"/>
      <c r="AL476" s="217"/>
      <c r="AM476" s="217"/>
    </row>
    <row r="477">
      <c r="A477" s="217"/>
      <c r="B477" s="241"/>
      <c r="C477" s="247"/>
      <c r="D477" s="247"/>
      <c r="E477" s="247"/>
      <c r="F477" s="247"/>
      <c r="G477" s="242"/>
      <c r="H477" s="243"/>
      <c r="I477" s="244"/>
      <c r="J477" s="245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17"/>
      <c r="AD477" s="217"/>
      <c r="AE477" s="217"/>
      <c r="AF477" s="217"/>
      <c r="AG477" s="217"/>
      <c r="AH477" s="217"/>
      <c r="AI477" s="217"/>
      <c r="AJ477" s="217"/>
      <c r="AK477" s="217"/>
      <c r="AL477" s="217"/>
      <c r="AM477" s="217"/>
    </row>
    <row r="478">
      <c r="A478" s="217"/>
      <c r="B478" s="241"/>
      <c r="C478" s="247"/>
      <c r="D478" s="247"/>
      <c r="E478" s="247"/>
      <c r="F478" s="247"/>
      <c r="G478" s="242"/>
      <c r="H478" s="243"/>
      <c r="I478" s="244"/>
      <c r="J478" s="245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17"/>
      <c r="AD478" s="217"/>
      <c r="AE478" s="217"/>
      <c r="AF478" s="217"/>
      <c r="AG478" s="217"/>
      <c r="AH478" s="217"/>
      <c r="AI478" s="217"/>
      <c r="AJ478" s="217"/>
      <c r="AK478" s="217"/>
      <c r="AL478" s="217"/>
      <c r="AM478" s="217"/>
    </row>
    <row r="479">
      <c r="A479" s="217"/>
      <c r="B479" s="241"/>
      <c r="C479" s="247"/>
      <c r="D479" s="247"/>
      <c r="E479" s="247"/>
      <c r="F479" s="247"/>
      <c r="G479" s="242"/>
      <c r="H479" s="243"/>
      <c r="I479" s="244"/>
      <c r="J479" s="245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17"/>
      <c r="AD479" s="217"/>
      <c r="AE479" s="217"/>
      <c r="AF479" s="217"/>
      <c r="AG479" s="217"/>
      <c r="AH479" s="217"/>
      <c r="AI479" s="217"/>
      <c r="AJ479" s="217"/>
      <c r="AK479" s="217"/>
      <c r="AL479" s="217"/>
      <c r="AM479" s="217"/>
    </row>
    <row r="480">
      <c r="A480" s="217"/>
      <c r="B480" s="241"/>
      <c r="C480" s="247"/>
      <c r="D480" s="247"/>
      <c r="E480" s="247"/>
      <c r="F480" s="247"/>
      <c r="G480" s="242"/>
      <c r="H480" s="243"/>
      <c r="I480" s="244"/>
      <c r="J480" s="245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  <c r="AE480" s="217"/>
      <c r="AF480" s="217"/>
      <c r="AG480" s="217"/>
      <c r="AH480" s="217"/>
      <c r="AI480" s="217"/>
      <c r="AJ480" s="217"/>
      <c r="AK480" s="217"/>
      <c r="AL480" s="217"/>
      <c r="AM480" s="217"/>
    </row>
    <row r="481">
      <c r="A481" s="217"/>
      <c r="B481" s="241"/>
      <c r="C481" s="247"/>
      <c r="D481" s="247"/>
      <c r="E481" s="247"/>
      <c r="F481" s="247"/>
      <c r="G481" s="242"/>
      <c r="H481" s="243"/>
      <c r="I481" s="244"/>
      <c r="J481" s="245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17"/>
      <c r="AD481" s="217"/>
      <c r="AE481" s="217"/>
      <c r="AF481" s="217"/>
      <c r="AG481" s="217"/>
      <c r="AH481" s="217"/>
      <c r="AI481" s="217"/>
      <c r="AJ481" s="217"/>
      <c r="AK481" s="217"/>
      <c r="AL481" s="217"/>
      <c r="AM481" s="217"/>
    </row>
    <row r="482">
      <c r="A482" s="217"/>
      <c r="B482" s="241"/>
      <c r="C482" s="247"/>
      <c r="D482" s="247"/>
      <c r="E482" s="247"/>
      <c r="F482" s="247"/>
      <c r="G482" s="242"/>
      <c r="H482" s="243"/>
      <c r="I482" s="244"/>
      <c r="J482" s="245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17"/>
      <c r="AD482" s="217"/>
      <c r="AE482" s="217"/>
      <c r="AF482" s="217"/>
      <c r="AG482" s="217"/>
      <c r="AH482" s="217"/>
      <c r="AI482" s="217"/>
      <c r="AJ482" s="217"/>
      <c r="AK482" s="217"/>
      <c r="AL482" s="217"/>
      <c r="AM482" s="217"/>
    </row>
    <row r="483">
      <c r="A483" s="217"/>
      <c r="B483" s="241"/>
      <c r="C483" s="247"/>
      <c r="D483" s="247"/>
      <c r="E483" s="247"/>
      <c r="F483" s="247"/>
      <c r="G483" s="242"/>
      <c r="H483" s="243"/>
      <c r="I483" s="244"/>
      <c r="J483" s="245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  <c r="AE483" s="217"/>
      <c r="AF483" s="217"/>
      <c r="AG483" s="217"/>
      <c r="AH483" s="217"/>
      <c r="AI483" s="217"/>
      <c r="AJ483" s="217"/>
      <c r="AK483" s="217"/>
      <c r="AL483" s="217"/>
      <c r="AM483" s="217"/>
    </row>
    <row r="484">
      <c r="A484" s="217"/>
      <c r="B484" s="241"/>
      <c r="C484" s="247"/>
      <c r="D484" s="247"/>
      <c r="E484" s="247"/>
      <c r="F484" s="247"/>
      <c r="G484" s="242"/>
      <c r="H484" s="243"/>
      <c r="I484" s="244"/>
      <c r="J484" s="245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  <c r="AE484" s="217"/>
      <c r="AF484" s="217"/>
      <c r="AG484" s="217"/>
      <c r="AH484" s="217"/>
      <c r="AI484" s="217"/>
      <c r="AJ484" s="217"/>
      <c r="AK484" s="217"/>
      <c r="AL484" s="217"/>
      <c r="AM484" s="217"/>
    </row>
    <row r="485">
      <c r="A485" s="217"/>
      <c r="B485" s="241"/>
      <c r="C485" s="247"/>
      <c r="D485" s="247"/>
      <c r="E485" s="247"/>
      <c r="F485" s="247"/>
      <c r="G485" s="242"/>
      <c r="H485" s="243"/>
      <c r="I485" s="244"/>
      <c r="J485" s="245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17"/>
      <c r="AD485" s="217"/>
      <c r="AE485" s="217"/>
      <c r="AF485" s="217"/>
      <c r="AG485" s="217"/>
      <c r="AH485" s="217"/>
      <c r="AI485" s="217"/>
      <c r="AJ485" s="217"/>
      <c r="AK485" s="217"/>
      <c r="AL485" s="217"/>
      <c r="AM485" s="217"/>
    </row>
    <row r="486">
      <c r="A486" s="217"/>
      <c r="B486" s="241"/>
      <c r="C486" s="247"/>
      <c r="D486" s="247"/>
      <c r="E486" s="247"/>
      <c r="F486" s="247"/>
      <c r="G486" s="242"/>
      <c r="H486" s="243"/>
      <c r="I486" s="244"/>
      <c r="J486" s="245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17"/>
      <c r="AD486" s="217"/>
      <c r="AE486" s="217"/>
      <c r="AF486" s="217"/>
      <c r="AG486" s="217"/>
      <c r="AH486" s="217"/>
      <c r="AI486" s="217"/>
      <c r="AJ486" s="217"/>
      <c r="AK486" s="217"/>
      <c r="AL486" s="217"/>
      <c r="AM486" s="217"/>
    </row>
    <row r="487">
      <c r="A487" s="217"/>
      <c r="B487" s="241"/>
      <c r="C487" s="247"/>
      <c r="D487" s="247"/>
      <c r="E487" s="247"/>
      <c r="F487" s="247"/>
      <c r="G487" s="242"/>
      <c r="H487" s="243"/>
      <c r="I487" s="244"/>
      <c r="J487" s="245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  <c r="AE487" s="217"/>
      <c r="AF487" s="217"/>
      <c r="AG487" s="217"/>
      <c r="AH487" s="217"/>
      <c r="AI487" s="217"/>
      <c r="AJ487" s="217"/>
      <c r="AK487" s="217"/>
      <c r="AL487" s="217"/>
      <c r="AM487" s="217"/>
    </row>
    <row r="488">
      <c r="A488" s="217"/>
      <c r="B488" s="241"/>
      <c r="C488" s="247"/>
      <c r="D488" s="247"/>
      <c r="E488" s="247"/>
      <c r="F488" s="247"/>
      <c r="G488" s="242"/>
      <c r="H488" s="243"/>
      <c r="I488" s="244"/>
      <c r="J488" s="245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  <c r="AE488" s="217"/>
      <c r="AF488" s="217"/>
      <c r="AG488" s="217"/>
      <c r="AH488" s="217"/>
      <c r="AI488" s="217"/>
      <c r="AJ488" s="217"/>
      <c r="AK488" s="217"/>
      <c r="AL488" s="217"/>
      <c r="AM488" s="217"/>
    </row>
    <row r="489">
      <c r="A489" s="217"/>
      <c r="B489" s="241"/>
      <c r="C489" s="247"/>
      <c r="D489" s="247"/>
      <c r="E489" s="247"/>
      <c r="F489" s="247"/>
      <c r="G489" s="242"/>
      <c r="H489" s="243"/>
      <c r="I489" s="244"/>
      <c r="J489" s="245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/>
      <c r="AE489" s="217"/>
      <c r="AF489" s="217"/>
      <c r="AG489" s="217"/>
      <c r="AH489" s="217"/>
      <c r="AI489" s="217"/>
      <c r="AJ489" s="217"/>
      <c r="AK489" s="217"/>
      <c r="AL489" s="217"/>
      <c r="AM489" s="217"/>
    </row>
    <row r="490">
      <c r="A490" s="217"/>
      <c r="B490" s="241"/>
      <c r="C490" s="247"/>
      <c r="D490" s="247"/>
      <c r="E490" s="247"/>
      <c r="F490" s="247"/>
      <c r="G490" s="242"/>
      <c r="H490" s="243"/>
      <c r="I490" s="244"/>
      <c r="J490" s="245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17"/>
      <c r="AD490" s="217"/>
      <c r="AE490" s="217"/>
      <c r="AF490" s="217"/>
      <c r="AG490" s="217"/>
      <c r="AH490" s="217"/>
      <c r="AI490" s="217"/>
      <c r="AJ490" s="217"/>
      <c r="AK490" s="217"/>
      <c r="AL490" s="217"/>
      <c r="AM490" s="217"/>
    </row>
    <row r="491">
      <c r="A491" s="217"/>
      <c r="B491" s="241"/>
      <c r="C491" s="247"/>
      <c r="D491" s="247"/>
      <c r="E491" s="247"/>
      <c r="F491" s="247"/>
      <c r="G491" s="242"/>
      <c r="H491" s="243"/>
      <c r="I491" s="244"/>
      <c r="J491" s="245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7"/>
      <c r="AE491" s="217"/>
      <c r="AF491" s="217"/>
      <c r="AG491" s="217"/>
      <c r="AH491" s="217"/>
      <c r="AI491" s="217"/>
      <c r="AJ491" s="217"/>
      <c r="AK491" s="217"/>
      <c r="AL491" s="217"/>
      <c r="AM491" s="217"/>
    </row>
    <row r="492">
      <c r="A492" s="217"/>
      <c r="B492" s="241"/>
      <c r="C492" s="247"/>
      <c r="D492" s="247"/>
      <c r="E492" s="247"/>
      <c r="F492" s="247"/>
      <c r="G492" s="242"/>
      <c r="H492" s="243"/>
      <c r="I492" s="244"/>
      <c r="J492" s="245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17"/>
      <c r="AD492" s="217"/>
      <c r="AE492" s="217"/>
      <c r="AF492" s="217"/>
      <c r="AG492" s="217"/>
      <c r="AH492" s="217"/>
      <c r="AI492" s="217"/>
      <c r="AJ492" s="217"/>
      <c r="AK492" s="217"/>
      <c r="AL492" s="217"/>
      <c r="AM492" s="217"/>
    </row>
    <row r="493">
      <c r="A493" s="217"/>
      <c r="B493" s="241"/>
      <c r="C493" s="247"/>
      <c r="D493" s="247"/>
      <c r="E493" s="247"/>
      <c r="F493" s="247"/>
      <c r="G493" s="242"/>
      <c r="H493" s="243"/>
      <c r="I493" s="244"/>
      <c r="J493" s="245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17"/>
      <c r="AD493" s="217"/>
      <c r="AE493" s="217"/>
      <c r="AF493" s="217"/>
      <c r="AG493" s="217"/>
      <c r="AH493" s="217"/>
      <c r="AI493" s="217"/>
      <c r="AJ493" s="217"/>
      <c r="AK493" s="217"/>
      <c r="AL493" s="217"/>
      <c r="AM493" s="217"/>
    </row>
    <row r="494">
      <c r="A494" s="217"/>
      <c r="B494" s="241"/>
      <c r="C494" s="247"/>
      <c r="D494" s="247"/>
      <c r="E494" s="247"/>
      <c r="F494" s="247"/>
      <c r="G494" s="242"/>
      <c r="H494" s="243"/>
      <c r="I494" s="244"/>
      <c r="J494" s="245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17"/>
      <c r="AD494" s="217"/>
      <c r="AE494" s="217"/>
      <c r="AF494" s="217"/>
      <c r="AG494" s="217"/>
      <c r="AH494" s="217"/>
      <c r="AI494" s="217"/>
      <c r="AJ494" s="217"/>
      <c r="AK494" s="217"/>
      <c r="AL494" s="217"/>
      <c r="AM494" s="217"/>
    </row>
    <row r="495">
      <c r="A495" s="217"/>
      <c r="B495" s="241"/>
      <c r="C495" s="247"/>
      <c r="D495" s="247"/>
      <c r="E495" s="247"/>
      <c r="F495" s="247"/>
      <c r="G495" s="242"/>
      <c r="H495" s="243"/>
      <c r="I495" s="244"/>
      <c r="J495" s="245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17"/>
      <c r="AD495" s="217"/>
      <c r="AE495" s="217"/>
      <c r="AF495" s="217"/>
      <c r="AG495" s="217"/>
      <c r="AH495" s="217"/>
      <c r="AI495" s="217"/>
      <c r="AJ495" s="217"/>
      <c r="AK495" s="217"/>
      <c r="AL495" s="217"/>
      <c r="AM495" s="217"/>
    </row>
    <row r="496">
      <c r="A496" s="217"/>
      <c r="B496" s="241"/>
      <c r="C496" s="247"/>
      <c r="D496" s="247"/>
      <c r="E496" s="247"/>
      <c r="F496" s="247"/>
      <c r="G496" s="242"/>
      <c r="H496" s="243"/>
      <c r="I496" s="244"/>
      <c r="J496" s="245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17"/>
      <c r="AD496" s="217"/>
      <c r="AE496" s="217"/>
      <c r="AF496" s="217"/>
      <c r="AG496" s="217"/>
      <c r="AH496" s="217"/>
      <c r="AI496" s="217"/>
      <c r="AJ496" s="217"/>
      <c r="AK496" s="217"/>
      <c r="AL496" s="217"/>
      <c r="AM496" s="217"/>
    </row>
    <row r="497">
      <c r="A497" s="217"/>
      <c r="B497" s="241"/>
      <c r="C497" s="247"/>
      <c r="D497" s="247"/>
      <c r="E497" s="247"/>
      <c r="F497" s="247"/>
      <c r="G497" s="242"/>
      <c r="H497" s="243"/>
      <c r="I497" s="244"/>
      <c r="J497" s="245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17"/>
      <c r="AD497" s="217"/>
      <c r="AE497" s="217"/>
      <c r="AF497" s="217"/>
      <c r="AG497" s="217"/>
      <c r="AH497" s="217"/>
      <c r="AI497" s="217"/>
      <c r="AJ497" s="217"/>
      <c r="AK497" s="217"/>
      <c r="AL497" s="217"/>
      <c r="AM497" s="217"/>
    </row>
    <row r="498">
      <c r="A498" s="217"/>
      <c r="B498" s="241"/>
      <c r="C498" s="247"/>
      <c r="D498" s="247"/>
      <c r="E498" s="247"/>
      <c r="F498" s="247"/>
      <c r="G498" s="242"/>
      <c r="H498" s="243"/>
      <c r="I498" s="244"/>
      <c r="J498" s="245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17"/>
      <c r="AD498" s="217"/>
      <c r="AE498" s="217"/>
      <c r="AF498" s="217"/>
      <c r="AG498" s="217"/>
      <c r="AH498" s="217"/>
      <c r="AI498" s="217"/>
      <c r="AJ498" s="217"/>
      <c r="AK498" s="217"/>
      <c r="AL498" s="217"/>
      <c r="AM498" s="217"/>
    </row>
    <row r="499">
      <c r="A499" s="217"/>
      <c r="B499" s="241"/>
      <c r="C499" s="247"/>
      <c r="D499" s="247"/>
      <c r="E499" s="247"/>
      <c r="F499" s="247"/>
      <c r="G499" s="242"/>
      <c r="H499" s="243"/>
      <c r="I499" s="244"/>
      <c r="J499" s="245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17"/>
      <c r="AD499" s="217"/>
      <c r="AE499" s="217"/>
      <c r="AF499" s="217"/>
      <c r="AG499" s="217"/>
      <c r="AH499" s="217"/>
      <c r="AI499" s="217"/>
      <c r="AJ499" s="217"/>
      <c r="AK499" s="217"/>
      <c r="AL499" s="217"/>
      <c r="AM499" s="217"/>
    </row>
    <row r="500">
      <c r="A500" s="217"/>
      <c r="B500" s="241"/>
      <c r="C500" s="247"/>
      <c r="D500" s="247"/>
      <c r="E500" s="247"/>
      <c r="F500" s="247"/>
      <c r="G500" s="242"/>
      <c r="H500" s="243"/>
      <c r="I500" s="244"/>
      <c r="J500" s="245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17"/>
      <c r="AD500" s="217"/>
      <c r="AE500" s="217"/>
      <c r="AF500" s="217"/>
      <c r="AG500" s="217"/>
      <c r="AH500" s="217"/>
      <c r="AI500" s="217"/>
      <c r="AJ500" s="217"/>
      <c r="AK500" s="217"/>
      <c r="AL500" s="217"/>
      <c r="AM500" s="217"/>
    </row>
    <row r="501">
      <c r="A501" s="217"/>
      <c r="B501" s="241"/>
      <c r="C501" s="247"/>
      <c r="D501" s="247"/>
      <c r="E501" s="247"/>
      <c r="F501" s="247"/>
      <c r="G501" s="242"/>
      <c r="H501" s="243"/>
      <c r="I501" s="244"/>
      <c r="J501" s="245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17"/>
      <c r="AD501" s="217"/>
      <c r="AE501" s="217"/>
      <c r="AF501" s="217"/>
      <c r="AG501" s="217"/>
      <c r="AH501" s="217"/>
      <c r="AI501" s="217"/>
      <c r="AJ501" s="217"/>
      <c r="AK501" s="217"/>
      <c r="AL501" s="217"/>
      <c r="AM501" s="217"/>
    </row>
    <row r="502">
      <c r="A502" s="217"/>
      <c r="B502" s="241"/>
      <c r="C502" s="247"/>
      <c r="D502" s="247"/>
      <c r="E502" s="247"/>
      <c r="F502" s="247"/>
      <c r="G502" s="242"/>
      <c r="H502" s="243"/>
      <c r="I502" s="244"/>
      <c r="J502" s="245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17"/>
      <c r="AD502" s="217"/>
      <c r="AE502" s="217"/>
      <c r="AF502" s="217"/>
      <c r="AG502" s="217"/>
      <c r="AH502" s="217"/>
      <c r="AI502" s="217"/>
      <c r="AJ502" s="217"/>
      <c r="AK502" s="217"/>
      <c r="AL502" s="217"/>
      <c r="AM502" s="217"/>
    </row>
    <row r="503">
      <c r="A503" s="217"/>
      <c r="B503" s="241"/>
      <c r="C503" s="247"/>
      <c r="D503" s="247"/>
      <c r="E503" s="247"/>
      <c r="F503" s="247"/>
      <c r="G503" s="242"/>
      <c r="H503" s="243"/>
      <c r="I503" s="244"/>
      <c r="J503" s="245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17"/>
      <c r="AD503" s="217"/>
      <c r="AE503" s="217"/>
      <c r="AF503" s="217"/>
      <c r="AG503" s="217"/>
      <c r="AH503" s="217"/>
      <c r="AI503" s="217"/>
      <c r="AJ503" s="217"/>
      <c r="AK503" s="217"/>
      <c r="AL503" s="217"/>
      <c r="AM503" s="217"/>
    </row>
    <row r="504">
      <c r="A504" s="217"/>
      <c r="B504" s="241"/>
      <c r="C504" s="247"/>
      <c r="D504" s="247"/>
      <c r="E504" s="247"/>
      <c r="F504" s="247"/>
      <c r="G504" s="242"/>
      <c r="H504" s="243"/>
      <c r="I504" s="244"/>
      <c r="J504" s="245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17"/>
      <c r="AD504" s="217"/>
      <c r="AE504" s="217"/>
      <c r="AF504" s="217"/>
      <c r="AG504" s="217"/>
      <c r="AH504" s="217"/>
      <c r="AI504" s="217"/>
      <c r="AJ504" s="217"/>
      <c r="AK504" s="217"/>
      <c r="AL504" s="217"/>
      <c r="AM504" s="217"/>
    </row>
    <row r="505">
      <c r="A505" s="217"/>
      <c r="B505" s="241"/>
      <c r="C505" s="247"/>
      <c r="D505" s="247"/>
      <c r="E505" s="247"/>
      <c r="F505" s="247"/>
      <c r="G505" s="242"/>
      <c r="H505" s="243"/>
      <c r="I505" s="244"/>
      <c r="J505" s="245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7"/>
      <c r="AE505" s="217"/>
      <c r="AF505" s="217"/>
      <c r="AG505" s="217"/>
      <c r="AH505" s="217"/>
      <c r="AI505" s="217"/>
      <c r="AJ505" s="217"/>
      <c r="AK505" s="217"/>
      <c r="AL505" s="217"/>
      <c r="AM505" s="217"/>
    </row>
    <row r="506">
      <c r="A506" s="217"/>
      <c r="B506" s="241"/>
      <c r="C506" s="247"/>
      <c r="D506" s="247"/>
      <c r="E506" s="247"/>
      <c r="F506" s="247"/>
      <c r="G506" s="242"/>
      <c r="H506" s="243"/>
      <c r="I506" s="244"/>
      <c r="J506" s="245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17"/>
      <c r="AD506" s="217"/>
      <c r="AE506" s="217"/>
      <c r="AF506" s="217"/>
      <c r="AG506" s="217"/>
      <c r="AH506" s="217"/>
      <c r="AI506" s="217"/>
      <c r="AJ506" s="217"/>
      <c r="AK506" s="217"/>
      <c r="AL506" s="217"/>
      <c r="AM506" s="217"/>
    </row>
    <row r="507">
      <c r="A507" s="217"/>
      <c r="B507" s="241"/>
      <c r="C507" s="247"/>
      <c r="D507" s="247"/>
      <c r="E507" s="247"/>
      <c r="F507" s="247"/>
      <c r="G507" s="242"/>
      <c r="H507" s="243"/>
      <c r="I507" s="244"/>
      <c r="J507" s="245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17"/>
      <c r="AD507" s="217"/>
      <c r="AE507" s="217"/>
      <c r="AF507" s="217"/>
      <c r="AG507" s="217"/>
      <c r="AH507" s="217"/>
      <c r="AI507" s="217"/>
      <c r="AJ507" s="217"/>
      <c r="AK507" s="217"/>
      <c r="AL507" s="217"/>
      <c r="AM507" s="217"/>
    </row>
    <row r="508">
      <c r="A508" s="217"/>
      <c r="B508" s="241"/>
      <c r="C508" s="247"/>
      <c r="D508" s="247"/>
      <c r="E508" s="247"/>
      <c r="F508" s="247"/>
      <c r="G508" s="242"/>
      <c r="H508" s="243"/>
      <c r="I508" s="244"/>
      <c r="J508" s="245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17"/>
      <c r="AD508" s="217"/>
      <c r="AE508" s="217"/>
      <c r="AF508" s="217"/>
      <c r="AG508" s="217"/>
      <c r="AH508" s="217"/>
      <c r="AI508" s="217"/>
      <c r="AJ508" s="217"/>
      <c r="AK508" s="217"/>
      <c r="AL508" s="217"/>
      <c r="AM508" s="217"/>
    </row>
    <row r="509">
      <c r="A509" s="217"/>
      <c r="B509" s="241"/>
      <c r="C509" s="247"/>
      <c r="D509" s="247"/>
      <c r="E509" s="247"/>
      <c r="F509" s="247"/>
      <c r="G509" s="242"/>
      <c r="H509" s="243"/>
      <c r="I509" s="244"/>
      <c r="J509" s="245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17"/>
      <c r="AD509" s="217"/>
      <c r="AE509" s="217"/>
      <c r="AF509" s="217"/>
      <c r="AG509" s="217"/>
      <c r="AH509" s="217"/>
      <c r="AI509" s="217"/>
      <c r="AJ509" s="217"/>
      <c r="AK509" s="217"/>
      <c r="AL509" s="217"/>
      <c r="AM509" s="217"/>
    </row>
    <row r="510">
      <c r="A510" s="217"/>
      <c r="B510" s="241"/>
      <c r="C510" s="247"/>
      <c r="D510" s="247"/>
      <c r="E510" s="247"/>
      <c r="F510" s="247"/>
      <c r="G510" s="242"/>
      <c r="H510" s="243"/>
      <c r="I510" s="244"/>
      <c r="J510" s="245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17"/>
      <c r="AD510" s="217"/>
      <c r="AE510" s="217"/>
      <c r="AF510" s="217"/>
      <c r="AG510" s="217"/>
      <c r="AH510" s="217"/>
      <c r="AI510" s="217"/>
      <c r="AJ510" s="217"/>
      <c r="AK510" s="217"/>
      <c r="AL510" s="217"/>
      <c r="AM510" s="217"/>
    </row>
    <row r="511">
      <c r="A511" s="217"/>
      <c r="B511" s="241"/>
      <c r="C511" s="247"/>
      <c r="D511" s="247"/>
      <c r="E511" s="247"/>
      <c r="F511" s="247"/>
      <c r="G511" s="242"/>
      <c r="H511" s="243"/>
      <c r="I511" s="244"/>
      <c r="J511" s="245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17"/>
      <c r="AD511" s="217"/>
      <c r="AE511" s="217"/>
      <c r="AF511" s="217"/>
      <c r="AG511" s="217"/>
      <c r="AH511" s="217"/>
      <c r="AI511" s="217"/>
      <c r="AJ511" s="217"/>
      <c r="AK511" s="217"/>
      <c r="AL511" s="217"/>
      <c r="AM511" s="217"/>
    </row>
    <row r="512">
      <c r="A512" s="217"/>
      <c r="B512" s="241"/>
      <c r="C512" s="247"/>
      <c r="D512" s="247"/>
      <c r="E512" s="247"/>
      <c r="F512" s="247"/>
      <c r="G512" s="242"/>
      <c r="H512" s="243"/>
      <c r="I512" s="244"/>
      <c r="J512" s="245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17"/>
      <c r="AD512" s="217"/>
      <c r="AE512" s="217"/>
      <c r="AF512" s="217"/>
      <c r="AG512" s="217"/>
      <c r="AH512" s="217"/>
      <c r="AI512" s="217"/>
      <c r="AJ512" s="217"/>
      <c r="AK512" s="217"/>
      <c r="AL512" s="217"/>
      <c r="AM512" s="217"/>
    </row>
    <row r="513">
      <c r="A513" s="217"/>
      <c r="B513" s="241"/>
      <c r="C513" s="247"/>
      <c r="D513" s="247"/>
      <c r="E513" s="247"/>
      <c r="F513" s="247"/>
      <c r="G513" s="242"/>
      <c r="H513" s="243"/>
      <c r="I513" s="244"/>
      <c r="J513" s="245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17"/>
      <c r="AD513" s="217"/>
      <c r="AE513" s="217"/>
      <c r="AF513" s="217"/>
      <c r="AG513" s="217"/>
      <c r="AH513" s="217"/>
      <c r="AI513" s="217"/>
      <c r="AJ513" s="217"/>
      <c r="AK513" s="217"/>
      <c r="AL513" s="217"/>
      <c r="AM513" s="217"/>
    </row>
    <row r="514">
      <c r="A514" s="217"/>
      <c r="B514" s="241"/>
      <c r="C514" s="247"/>
      <c r="D514" s="247"/>
      <c r="E514" s="247"/>
      <c r="F514" s="247"/>
      <c r="G514" s="242"/>
      <c r="H514" s="243"/>
      <c r="I514" s="244"/>
      <c r="J514" s="245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17"/>
      <c r="AD514" s="217"/>
      <c r="AE514" s="217"/>
      <c r="AF514" s="217"/>
      <c r="AG514" s="217"/>
      <c r="AH514" s="217"/>
      <c r="AI514" s="217"/>
      <c r="AJ514" s="217"/>
      <c r="AK514" s="217"/>
      <c r="AL514" s="217"/>
      <c r="AM514" s="217"/>
    </row>
    <row r="515">
      <c r="A515" s="217"/>
      <c r="B515" s="241"/>
      <c r="C515" s="247"/>
      <c r="D515" s="247"/>
      <c r="E515" s="247"/>
      <c r="F515" s="247"/>
      <c r="G515" s="242"/>
      <c r="H515" s="243"/>
      <c r="I515" s="244"/>
      <c r="J515" s="245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17"/>
      <c r="AD515" s="217"/>
      <c r="AE515" s="217"/>
      <c r="AF515" s="217"/>
      <c r="AG515" s="217"/>
      <c r="AH515" s="217"/>
      <c r="AI515" s="217"/>
      <c r="AJ515" s="217"/>
      <c r="AK515" s="217"/>
      <c r="AL515" s="217"/>
      <c r="AM515" s="217"/>
    </row>
    <row r="516">
      <c r="A516" s="217"/>
      <c r="B516" s="241"/>
      <c r="C516" s="247"/>
      <c r="D516" s="247"/>
      <c r="E516" s="247"/>
      <c r="F516" s="247"/>
      <c r="G516" s="242"/>
      <c r="H516" s="243"/>
      <c r="I516" s="244"/>
      <c r="J516" s="245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17"/>
      <c r="AD516" s="217"/>
      <c r="AE516" s="217"/>
      <c r="AF516" s="217"/>
      <c r="AG516" s="217"/>
      <c r="AH516" s="217"/>
      <c r="AI516" s="217"/>
      <c r="AJ516" s="217"/>
      <c r="AK516" s="217"/>
      <c r="AL516" s="217"/>
      <c r="AM516" s="217"/>
    </row>
    <row r="517">
      <c r="A517" s="217"/>
      <c r="B517" s="241"/>
      <c r="C517" s="247"/>
      <c r="D517" s="247"/>
      <c r="E517" s="247"/>
      <c r="F517" s="247"/>
      <c r="G517" s="242"/>
      <c r="H517" s="243"/>
      <c r="I517" s="244"/>
      <c r="J517" s="245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17"/>
      <c r="AD517" s="217"/>
      <c r="AE517" s="217"/>
      <c r="AF517" s="217"/>
      <c r="AG517" s="217"/>
      <c r="AH517" s="217"/>
      <c r="AI517" s="217"/>
      <c r="AJ517" s="217"/>
      <c r="AK517" s="217"/>
      <c r="AL517" s="217"/>
      <c r="AM517" s="217"/>
    </row>
    <row r="518">
      <c r="A518" s="217"/>
      <c r="B518" s="241"/>
      <c r="C518" s="247"/>
      <c r="D518" s="247"/>
      <c r="E518" s="247"/>
      <c r="F518" s="247"/>
      <c r="G518" s="242"/>
      <c r="H518" s="243"/>
      <c r="I518" s="244"/>
      <c r="J518" s="245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17"/>
      <c r="AD518" s="217"/>
      <c r="AE518" s="217"/>
      <c r="AF518" s="217"/>
      <c r="AG518" s="217"/>
      <c r="AH518" s="217"/>
      <c r="AI518" s="217"/>
      <c r="AJ518" s="217"/>
      <c r="AK518" s="217"/>
      <c r="AL518" s="217"/>
      <c r="AM518" s="217"/>
    </row>
    <row r="519">
      <c r="A519" s="217"/>
      <c r="B519" s="241"/>
      <c r="C519" s="247"/>
      <c r="D519" s="247"/>
      <c r="E519" s="247"/>
      <c r="F519" s="247"/>
      <c r="G519" s="242"/>
      <c r="H519" s="243"/>
      <c r="I519" s="244"/>
      <c r="J519" s="245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17"/>
      <c r="AD519" s="217"/>
      <c r="AE519" s="217"/>
      <c r="AF519" s="217"/>
      <c r="AG519" s="217"/>
      <c r="AH519" s="217"/>
      <c r="AI519" s="217"/>
      <c r="AJ519" s="217"/>
      <c r="AK519" s="217"/>
      <c r="AL519" s="217"/>
      <c r="AM519" s="217"/>
    </row>
    <row r="520">
      <c r="A520" s="217"/>
      <c r="B520" s="241"/>
      <c r="C520" s="247"/>
      <c r="D520" s="247"/>
      <c r="E520" s="247"/>
      <c r="F520" s="247"/>
      <c r="G520" s="242"/>
      <c r="H520" s="243"/>
      <c r="I520" s="244"/>
      <c r="J520" s="245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17"/>
      <c r="AD520" s="217"/>
      <c r="AE520" s="217"/>
      <c r="AF520" s="217"/>
      <c r="AG520" s="217"/>
      <c r="AH520" s="217"/>
      <c r="AI520" s="217"/>
      <c r="AJ520" s="217"/>
      <c r="AK520" s="217"/>
      <c r="AL520" s="217"/>
      <c r="AM520" s="217"/>
    </row>
    <row r="521">
      <c r="A521" s="217"/>
      <c r="B521" s="241"/>
      <c r="C521" s="247"/>
      <c r="D521" s="247"/>
      <c r="E521" s="247"/>
      <c r="F521" s="247"/>
      <c r="G521" s="242"/>
      <c r="H521" s="243"/>
      <c r="I521" s="244"/>
      <c r="J521" s="245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17"/>
      <c r="AD521" s="217"/>
      <c r="AE521" s="217"/>
      <c r="AF521" s="217"/>
      <c r="AG521" s="217"/>
      <c r="AH521" s="217"/>
      <c r="AI521" s="217"/>
      <c r="AJ521" s="217"/>
      <c r="AK521" s="217"/>
      <c r="AL521" s="217"/>
      <c r="AM521" s="217"/>
    </row>
    <row r="522">
      <c r="A522" s="217"/>
      <c r="B522" s="241"/>
      <c r="C522" s="247"/>
      <c r="D522" s="247"/>
      <c r="E522" s="247"/>
      <c r="F522" s="247"/>
      <c r="G522" s="242"/>
      <c r="H522" s="243"/>
      <c r="I522" s="244"/>
      <c r="J522" s="245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17"/>
      <c r="AD522" s="217"/>
      <c r="AE522" s="217"/>
      <c r="AF522" s="217"/>
      <c r="AG522" s="217"/>
      <c r="AH522" s="217"/>
      <c r="AI522" s="217"/>
      <c r="AJ522" s="217"/>
      <c r="AK522" s="217"/>
      <c r="AL522" s="217"/>
      <c r="AM522" s="217"/>
    </row>
    <row r="523">
      <c r="A523" s="217"/>
      <c r="B523" s="241"/>
      <c r="C523" s="247"/>
      <c r="D523" s="247"/>
      <c r="E523" s="247"/>
      <c r="F523" s="247"/>
      <c r="G523" s="242"/>
      <c r="H523" s="243"/>
      <c r="I523" s="244"/>
      <c r="J523" s="245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17"/>
      <c r="AD523" s="217"/>
      <c r="AE523" s="217"/>
      <c r="AF523" s="217"/>
      <c r="AG523" s="217"/>
      <c r="AH523" s="217"/>
      <c r="AI523" s="217"/>
      <c r="AJ523" s="217"/>
      <c r="AK523" s="217"/>
      <c r="AL523" s="217"/>
      <c r="AM523" s="217"/>
    </row>
    <row r="524">
      <c r="A524" s="217"/>
      <c r="B524" s="241"/>
      <c r="C524" s="247"/>
      <c r="D524" s="247"/>
      <c r="E524" s="247"/>
      <c r="F524" s="247"/>
      <c r="G524" s="242"/>
      <c r="H524" s="243"/>
      <c r="I524" s="244"/>
      <c r="J524" s="245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17"/>
      <c r="AD524" s="217"/>
      <c r="AE524" s="217"/>
      <c r="AF524" s="217"/>
      <c r="AG524" s="217"/>
      <c r="AH524" s="217"/>
      <c r="AI524" s="217"/>
      <c r="AJ524" s="217"/>
      <c r="AK524" s="217"/>
      <c r="AL524" s="217"/>
      <c r="AM524" s="217"/>
    </row>
    <row r="525">
      <c r="A525" s="217"/>
      <c r="B525" s="241"/>
      <c r="C525" s="247"/>
      <c r="D525" s="247"/>
      <c r="E525" s="247"/>
      <c r="F525" s="247"/>
      <c r="G525" s="242"/>
      <c r="H525" s="243"/>
      <c r="I525" s="244"/>
      <c r="J525" s="245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17"/>
      <c r="AD525" s="217"/>
      <c r="AE525" s="217"/>
      <c r="AF525" s="217"/>
      <c r="AG525" s="217"/>
      <c r="AH525" s="217"/>
      <c r="AI525" s="217"/>
      <c r="AJ525" s="217"/>
      <c r="AK525" s="217"/>
      <c r="AL525" s="217"/>
      <c r="AM525" s="217"/>
    </row>
    <row r="526">
      <c r="A526" s="217"/>
      <c r="B526" s="241"/>
      <c r="C526" s="247"/>
      <c r="D526" s="247"/>
      <c r="E526" s="247"/>
      <c r="F526" s="247"/>
      <c r="G526" s="242"/>
      <c r="H526" s="243"/>
      <c r="I526" s="244"/>
      <c r="J526" s="245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  <c r="AE526" s="217"/>
      <c r="AF526" s="217"/>
      <c r="AG526" s="217"/>
      <c r="AH526" s="217"/>
      <c r="AI526" s="217"/>
      <c r="AJ526" s="217"/>
      <c r="AK526" s="217"/>
      <c r="AL526" s="217"/>
      <c r="AM526" s="217"/>
    </row>
    <row r="527">
      <c r="A527" s="217"/>
      <c r="B527" s="241"/>
      <c r="C527" s="247"/>
      <c r="D527" s="247"/>
      <c r="E527" s="247"/>
      <c r="F527" s="247"/>
      <c r="G527" s="242"/>
      <c r="H527" s="243"/>
      <c r="I527" s="244"/>
      <c r="J527" s="245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  <c r="AE527" s="217"/>
      <c r="AF527" s="217"/>
      <c r="AG527" s="217"/>
      <c r="AH527" s="217"/>
      <c r="AI527" s="217"/>
      <c r="AJ527" s="217"/>
      <c r="AK527" s="217"/>
      <c r="AL527" s="217"/>
      <c r="AM527" s="217"/>
    </row>
    <row r="528">
      <c r="A528" s="217"/>
      <c r="B528" s="241"/>
      <c r="C528" s="247"/>
      <c r="D528" s="247"/>
      <c r="E528" s="247"/>
      <c r="F528" s="247"/>
      <c r="G528" s="242"/>
      <c r="H528" s="243"/>
      <c r="I528" s="244"/>
      <c r="J528" s="245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  <c r="AE528" s="217"/>
      <c r="AF528" s="217"/>
      <c r="AG528" s="217"/>
      <c r="AH528" s="217"/>
      <c r="AI528" s="217"/>
      <c r="AJ528" s="217"/>
      <c r="AK528" s="217"/>
      <c r="AL528" s="217"/>
      <c r="AM528" s="217"/>
    </row>
    <row r="529">
      <c r="A529" s="217"/>
      <c r="B529" s="241"/>
      <c r="C529" s="247"/>
      <c r="D529" s="247"/>
      <c r="E529" s="247"/>
      <c r="F529" s="247"/>
      <c r="G529" s="242"/>
      <c r="H529" s="243"/>
      <c r="I529" s="244"/>
      <c r="J529" s="245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17"/>
      <c r="AD529" s="217"/>
      <c r="AE529" s="217"/>
      <c r="AF529" s="217"/>
      <c r="AG529" s="217"/>
      <c r="AH529" s="217"/>
      <c r="AI529" s="217"/>
      <c r="AJ529" s="217"/>
      <c r="AK529" s="217"/>
      <c r="AL529" s="217"/>
      <c r="AM529" s="217"/>
    </row>
    <row r="530">
      <c r="A530" s="217"/>
      <c r="B530" s="241"/>
      <c r="C530" s="247"/>
      <c r="D530" s="247"/>
      <c r="E530" s="247"/>
      <c r="F530" s="247"/>
      <c r="G530" s="242"/>
      <c r="H530" s="243"/>
      <c r="I530" s="244"/>
      <c r="J530" s="245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  <c r="AE530" s="217"/>
      <c r="AF530" s="217"/>
      <c r="AG530" s="217"/>
      <c r="AH530" s="217"/>
      <c r="AI530" s="217"/>
      <c r="AJ530" s="217"/>
      <c r="AK530" s="217"/>
      <c r="AL530" s="217"/>
      <c r="AM530" s="217"/>
    </row>
    <row r="531">
      <c r="A531" s="217"/>
      <c r="B531" s="241"/>
      <c r="C531" s="247"/>
      <c r="D531" s="247"/>
      <c r="E531" s="247"/>
      <c r="F531" s="247"/>
      <c r="G531" s="242"/>
      <c r="H531" s="243"/>
      <c r="I531" s="244"/>
      <c r="J531" s="245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17"/>
      <c r="AD531" s="217"/>
      <c r="AE531" s="217"/>
      <c r="AF531" s="217"/>
      <c r="AG531" s="217"/>
      <c r="AH531" s="217"/>
      <c r="AI531" s="217"/>
      <c r="AJ531" s="217"/>
      <c r="AK531" s="217"/>
      <c r="AL531" s="217"/>
      <c r="AM531" s="217"/>
    </row>
    <row r="532">
      <c r="A532" s="217"/>
      <c r="B532" s="241"/>
      <c r="C532" s="247"/>
      <c r="D532" s="247"/>
      <c r="E532" s="247"/>
      <c r="F532" s="247"/>
      <c r="G532" s="242"/>
      <c r="H532" s="243"/>
      <c r="I532" s="244"/>
      <c r="J532" s="245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17"/>
      <c r="AD532" s="217"/>
      <c r="AE532" s="217"/>
      <c r="AF532" s="217"/>
      <c r="AG532" s="217"/>
      <c r="AH532" s="217"/>
      <c r="AI532" s="217"/>
      <c r="AJ532" s="217"/>
      <c r="AK532" s="217"/>
      <c r="AL532" s="217"/>
      <c r="AM532" s="217"/>
    </row>
    <row r="533">
      <c r="A533" s="217"/>
      <c r="B533" s="241"/>
      <c r="C533" s="247"/>
      <c r="D533" s="247"/>
      <c r="E533" s="247"/>
      <c r="F533" s="247"/>
      <c r="G533" s="242"/>
      <c r="H533" s="243"/>
      <c r="I533" s="244"/>
      <c r="J533" s="245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17"/>
      <c r="AD533" s="217"/>
      <c r="AE533" s="217"/>
      <c r="AF533" s="217"/>
      <c r="AG533" s="217"/>
      <c r="AH533" s="217"/>
      <c r="AI533" s="217"/>
      <c r="AJ533" s="217"/>
      <c r="AK533" s="217"/>
      <c r="AL533" s="217"/>
      <c r="AM533" s="217"/>
    </row>
    <row r="534">
      <c r="A534" s="217"/>
      <c r="B534" s="241"/>
      <c r="C534" s="247"/>
      <c r="D534" s="247"/>
      <c r="E534" s="247"/>
      <c r="F534" s="247"/>
      <c r="G534" s="242"/>
      <c r="H534" s="243"/>
      <c r="I534" s="244"/>
      <c r="J534" s="245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17"/>
      <c r="AD534" s="217"/>
      <c r="AE534" s="217"/>
      <c r="AF534" s="217"/>
      <c r="AG534" s="217"/>
      <c r="AH534" s="217"/>
      <c r="AI534" s="217"/>
      <c r="AJ534" s="217"/>
      <c r="AK534" s="217"/>
      <c r="AL534" s="217"/>
      <c r="AM534" s="217"/>
    </row>
    <row r="535">
      <c r="A535" s="217"/>
      <c r="B535" s="241"/>
      <c r="C535" s="247"/>
      <c r="D535" s="247"/>
      <c r="E535" s="247"/>
      <c r="F535" s="247"/>
      <c r="G535" s="242"/>
      <c r="H535" s="243"/>
      <c r="I535" s="244"/>
      <c r="J535" s="245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17"/>
      <c r="AD535" s="217"/>
      <c r="AE535" s="217"/>
      <c r="AF535" s="217"/>
      <c r="AG535" s="217"/>
      <c r="AH535" s="217"/>
      <c r="AI535" s="217"/>
      <c r="AJ535" s="217"/>
      <c r="AK535" s="217"/>
      <c r="AL535" s="217"/>
      <c r="AM535" s="217"/>
    </row>
    <row r="536">
      <c r="A536" s="217"/>
      <c r="B536" s="241"/>
      <c r="C536" s="247"/>
      <c r="D536" s="247"/>
      <c r="E536" s="247"/>
      <c r="F536" s="247"/>
      <c r="G536" s="242"/>
      <c r="H536" s="243"/>
      <c r="I536" s="244"/>
      <c r="J536" s="245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17"/>
      <c r="AD536" s="217"/>
      <c r="AE536" s="217"/>
      <c r="AF536" s="217"/>
      <c r="AG536" s="217"/>
      <c r="AH536" s="217"/>
      <c r="AI536" s="217"/>
      <c r="AJ536" s="217"/>
      <c r="AK536" s="217"/>
      <c r="AL536" s="217"/>
      <c r="AM536" s="217"/>
    </row>
    <row r="537">
      <c r="A537" s="217"/>
      <c r="B537" s="241"/>
      <c r="C537" s="247"/>
      <c r="D537" s="247"/>
      <c r="E537" s="247"/>
      <c r="F537" s="247"/>
      <c r="G537" s="242"/>
      <c r="H537" s="243"/>
      <c r="I537" s="244"/>
      <c r="J537" s="245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17"/>
      <c r="AD537" s="217"/>
      <c r="AE537" s="217"/>
      <c r="AF537" s="217"/>
      <c r="AG537" s="217"/>
      <c r="AH537" s="217"/>
      <c r="AI537" s="217"/>
      <c r="AJ537" s="217"/>
      <c r="AK537" s="217"/>
      <c r="AL537" s="217"/>
      <c r="AM537" s="217"/>
    </row>
    <row r="538">
      <c r="A538" s="217"/>
      <c r="B538" s="241"/>
      <c r="C538" s="247"/>
      <c r="D538" s="247"/>
      <c r="E538" s="247"/>
      <c r="F538" s="247"/>
      <c r="G538" s="242"/>
      <c r="H538" s="243"/>
      <c r="I538" s="244"/>
      <c r="J538" s="245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17"/>
      <c r="AD538" s="217"/>
      <c r="AE538" s="217"/>
      <c r="AF538" s="217"/>
      <c r="AG538" s="217"/>
      <c r="AH538" s="217"/>
      <c r="AI538" s="217"/>
      <c r="AJ538" s="217"/>
      <c r="AK538" s="217"/>
      <c r="AL538" s="217"/>
      <c r="AM538" s="217"/>
    </row>
    <row r="539">
      <c r="A539" s="217"/>
      <c r="B539" s="241"/>
      <c r="C539" s="247"/>
      <c r="D539" s="247"/>
      <c r="E539" s="247"/>
      <c r="F539" s="247"/>
      <c r="G539" s="242"/>
      <c r="H539" s="243"/>
      <c r="I539" s="244"/>
      <c r="J539" s="245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17"/>
      <c r="AD539" s="217"/>
      <c r="AE539" s="217"/>
      <c r="AF539" s="217"/>
      <c r="AG539" s="217"/>
      <c r="AH539" s="217"/>
      <c r="AI539" s="217"/>
      <c r="AJ539" s="217"/>
      <c r="AK539" s="217"/>
      <c r="AL539" s="217"/>
      <c r="AM539" s="217"/>
    </row>
    <row r="540">
      <c r="A540" s="217"/>
      <c r="B540" s="241"/>
      <c r="C540" s="247"/>
      <c r="D540" s="247"/>
      <c r="E540" s="247"/>
      <c r="F540" s="247"/>
      <c r="G540" s="242"/>
      <c r="H540" s="243"/>
      <c r="I540" s="244"/>
      <c r="J540" s="245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17"/>
      <c r="AD540" s="217"/>
      <c r="AE540" s="217"/>
      <c r="AF540" s="217"/>
      <c r="AG540" s="217"/>
      <c r="AH540" s="217"/>
      <c r="AI540" s="217"/>
      <c r="AJ540" s="217"/>
      <c r="AK540" s="217"/>
      <c r="AL540" s="217"/>
      <c r="AM540" s="217"/>
    </row>
    <row r="541">
      <c r="A541" s="217"/>
      <c r="B541" s="241"/>
      <c r="C541" s="247"/>
      <c r="D541" s="247"/>
      <c r="E541" s="247"/>
      <c r="F541" s="247"/>
      <c r="G541" s="242"/>
      <c r="H541" s="243"/>
      <c r="I541" s="244"/>
      <c r="J541" s="245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17"/>
      <c r="AD541" s="217"/>
      <c r="AE541" s="217"/>
      <c r="AF541" s="217"/>
      <c r="AG541" s="217"/>
      <c r="AH541" s="217"/>
      <c r="AI541" s="217"/>
      <c r="AJ541" s="217"/>
      <c r="AK541" s="217"/>
      <c r="AL541" s="217"/>
      <c r="AM541" s="217"/>
    </row>
    <row r="542">
      <c r="A542" s="217"/>
      <c r="B542" s="241"/>
      <c r="C542" s="247"/>
      <c r="D542" s="247"/>
      <c r="E542" s="247"/>
      <c r="F542" s="247"/>
      <c r="G542" s="242"/>
      <c r="H542" s="243"/>
      <c r="I542" s="244"/>
      <c r="J542" s="245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17"/>
      <c r="AD542" s="217"/>
      <c r="AE542" s="217"/>
      <c r="AF542" s="217"/>
      <c r="AG542" s="217"/>
      <c r="AH542" s="217"/>
      <c r="AI542" s="217"/>
      <c r="AJ542" s="217"/>
      <c r="AK542" s="217"/>
      <c r="AL542" s="217"/>
      <c r="AM542" s="217"/>
    </row>
    <row r="543">
      <c r="A543" s="217"/>
      <c r="B543" s="241"/>
      <c r="C543" s="247"/>
      <c r="D543" s="247"/>
      <c r="E543" s="247"/>
      <c r="F543" s="247"/>
      <c r="G543" s="242"/>
      <c r="H543" s="243"/>
      <c r="I543" s="244"/>
      <c r="J543" s="245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17"/>
      <c r="AD543" s="217"/>
      <c r="AE543" s="217"/>
      <c r="AF543" s="217"/>
      <c r="AG543" s="217"/>
      <c r="AH543" s="217"/>
      <c r="AI543" s="217"/>
      <c r="AJ543" s="217"/>
      <c r="AK543" s="217"/>
      <c r="AL543" s="217"/>
      <c r="AM543" s="217"/>
    </row>
    <row r="544">
      <c r="A544" s="217"/>
      <c r="B544" s="241"/>
      <c r="C544" s="247"/>
      <c r="D544" s="247"/>
      <c r="E544" s="247"/>
      <c r="F544" s="247"/>
      <c r="G544" s="242"/>
      <c r="H544" s="243"/>
      <c r="I544" s="244"/>
      <c r="J544" s="245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17"/>
      <c r="AD544" s="217"/>
      <c r="AE544" s="217"/>
      <c r="AF544" s="217"/>
      <c r="AG544" s="217"/>
      <c r="AH544" s="217"/>
      <c r="AI544" s="217"/>
      <c r="AJ544" s="217"/>
      <c r="AK544" s="217"/>
      <c r="AL544" s="217"/>
      <c r="AM544" s="217"/>
    </row>
    <row r="545">
      <c r="A545" s="217"/>
      <c r="B545" s="241"/>
      <c r="C545" s="247"/>
      <c r="D545" s="247"/>
      <c r="E545" s="247"/>
      <c r="F545" s="247"/>
      <c r="G545" s="242"/>
      <c r="H545" s="243"/>
      <c r="I545" s="244"/>
      <c r="J545" s="245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17"/>
      <c r="AD545" s="217"/>
      <c r="AE545" s="217"/>
      <c r="AF545" s="217"/>
      <c r="AG545" s="217"/>
      <c r="AH545" s="217"/>
      <c r="AI545" s="217"/>
      <c r="AJ545" s="217"/>
      <c r="AK545" s="217"/>
      <c r="AL545" s="217"/>
      <c r="AM545" s="217"/>
    </row>
    <row r="546">
      <c r="A546" s="217"/>
      <c r="B546" s="241"/>
      <c r="C546" s="247"/>
      <c r="D546" s="247"/>
      <c r="E546" s="247"/>
      <c r="F546" s="247"/>
      <c r="G546" s="242"/>
      <c r="H546" s="243"/>
      <c r="I546" s="244"/>
      <c r="J546" s="245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  <c r="AE546" s="217"/>
      <c r="AF546" s="217"/>
      <c r="AG546" s="217"/>
      <c r="AH546" s="217"/>
      <c r="AI546" s="217"/>
      <c r="AJ546" s="217"/>
      <c r="AK546" s="217"/>
      <c r="AL546" s="217"/>
      <c r="AM546" s="217"/>
    </row>
    <row r="547">
      <c r="A547" s="217"/>
      <c r="B547" s="241"/>
      <c r="C547" s="247"/>
      <c r="D547" s="247"/>
      <c r="E547" s="247"/>
      <c r="F547" s="247"/>
      <c r="G547" s="242"/>
      <c r="H547" s="243"/>
      <c r="I547" s="244"/>
      <c r="J547" s="245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17"/>
      <c r="AD547" s="217"/>
      <c r="AE547" s="217"/>
      <c r="AF547" s="217"/>
      <c r="AG547" s="217"/>
      <c r="AH547" s="217"/>
      <c r="AI547" s="217"/>
      <c r="AJ547" s="217"/>
      <c r="AK547" s="217"/>
      <c r="AL547" s="217"/>
      <c r="AM547" s="217"/>
    </row>
    <row r="548">
      <c r="A548" s="217"/>
      <c r="B548" s="241"/>
      <c r="C548" s="247"/>
      <c r="D548" s="247"/>
      <c r="E548" s="247"/>
      <c r="F548" s="247"/>
      <c r="G548" s="242"/>
      <c r="H548" s="243"/>
      <c r="I548" s="244"/>
      <c r="J548" s="245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17"/>
      <c r="AD548" s="217"/>
      <c r="AE548" s="217"/>
      <c r="AF548" s="217"/>
      <c r="AG548" s="217"/>
      <c r="AH548" s="217"/>
      <c r="AI548" s="217"/>
      <c r="AJ548" s="217"/>
      <c r="AK548" s="217"/>
      <c r="AL548" s="217"/>
      <c r="AM548" s="217"/>
    </row>
    <row r="549">
      <c r="A549" s="217"/>
      <c r="B549" s="241"/>
      <c r="C549" s="247"/>
      <c r="D549" s="247"/>
      <c r="E549" s="247"/>
      <c r="F549" s="247"/>
      <c r="G549" s="242"/>
      <c r="H549" s="243"/>
      <c r="I549" s="244"/>
      <c r="J549" s="245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17"/>
      <c r="AD549" s="217"/>
      <c r="AE549" s="217"/>
      <c r="AF549" s="217"/>
      <c r="AG549" s="217"/>
      <c r="AH549" s="217"/>
      <c r="AI549" s="217"/>
      <c r="AJ549" s="217"/>
      <c r="AK549" s="217"/>
      <c r="AL549" s="217"/>
      <c r="AM549" s="217"/>
    </row>
    <row r="550">
      <c r="A550" s="217"/>
      <c r="B550" s="241"/>
      <c r="C550" s="247"/>
      <c r="D550" s="247"/>
      <c r="E550" s="247"/>
      <c r="F550" s="247"/>
      <c r="G550" s="242"/>
      <c r="H550" s="243"/>
      <c r="I550" s="244"/>
      <c r="J550" s="245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17"/>
      <c r="AD550" s="217"/>
      <c r="AE550" s="217"/>
      <c r="AF550" s="217"/>
      <c r="AG550" s="217"/>
      <c r="AH550" s="217"/>
      <c r="AI550" s="217"/>
      <c r="AJ550" s="217"/>
      <c r="AK550" s="217"/>
      <c r="AL550" s="217"/>
      <c r="AM550" s="217"/>
    </row>
    <row r="551">
      <c r="A551" s="217"/>
      <c r="B551" s="241"/>
      <c r="C551" s="247"/>
      <c r="D551" s="247"/>
      <c r="E551" s="247"/>
      <c r="F551" s="247"/>
      <c r="G551" s="242"/>
      <c r="H551" s="243"/>
      <c r="I551" s="244"/>
      <c r="J551" s="245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17"/>
      <c r="AD551" s="217"/>
      <c r="AE551" s="217"/>
      <c r="AF551" s="217"/>
      <c r="AG551" s="217"/>
      <c r="AH551" s="217"/>
      <c r="AI551" s="217"/>
      <c r="AJ551" s="217"/>
      <c r="AK551" s="217"/>
      <c r="AL551" s="217"/>
      <c r="AM551" s="217"/>
    </row>
    <row r="552">
      <c r="A552" s="217"/>
      <c r="B552" s="241"/>
      <c r="C552" s="247"/>
      <c r="D552" s="247"/>
      <c r="E552" s="247"/>
      <c r="F552" s="247"/>
      <c r="G552" s="242"/>
      <c r="H552" s="243"/>
      <c r="I552" s="244"/>
      <c r="J552" s="245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17"/>
      <c r="AD552" s="217"/>
      <c r="AE552" s="217"/>
      <c r="AF552" s="217"/>
      <c r="AG552" s="217"/>
      <c r="AH552" s="217"/>
      <c r="AI552" s="217"/>
      <c r="AJ552" s="217"/>
      <c r="AK552" s="217"/>
      <c r="AL552" s="217"/>
      <c r="AM552" s="217"/>
    </row>
    <row r="553">
      <c r="A553" s="217"/>
      <c r="B553" s="241"/>
      <c r="C553" s="247"/>
      <c r="D553" s="247"/>
      <c r="E553" s="247"/>
      <c r="F553" s="247"/>
      <c r="G553" s="242"/>
      <c r="H553" s="243"/>
      <c r="I553" s="244"/>
      <c r="J553" s="245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  <c r="AE553" s="217"/>
      <c r="AF553" s="217"/>
      <c r="AG553" s="217"/>
      <c r="AH553" s="217"/>
      <c r="AI553" s="217"/>
      <c r="AJ553" s="217"/>
      <c r="AK553" s="217"/>
      <c r="AL553" s="217"/>
      <c r="AM553" s="217"/>
    </row>
    <row r="554">
      <c r="A554" s="217"/>
      <c r="B554" s="241"/>
      <c r="C554" s="247"/>
      <c r="D554" s="247"/>
      <c r="E554" s="247"/>
      <c r="F554" s="247"/>
      <c r="G554" s="242"/>
      <c r="H554" s="243"/>
      <c r="I554" s="244"/>
      <c r="J554" s="245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17"/>
      <c r="AD554" s="217"/>
      <c r="AE554" s="217"/>
      <c r="AF554" s="217"/>
      <c r="AG554" s="217"/>
      <c r="AH554" s="217"/>
      <c r="AI554" s="217"/>
      <c r="AJ554" s="217"/>
      <c r="AK554" s="217"/>
      <c r="AL554" s="217"/>
      <c r="AM554" s="217"/>
    </row>
    <row r="555">
      <c r="A555" s="217"/>
      <c r="B555" s="241"/>
      <c r="C555" s="247"/>
      <c r="D555" s="247"/>
      <c r="E555" s="247"/>
      <c r="F555" s="247"/>
      <c r="G555" s="242"/>
      <c r="H555" s="243"/>
      <c r="I555" s="244"/>
      <c r="J555" s="245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17"/>
      <c r="AD555" s="217"/>
      <c r="AE555" s="217"/>
      <c r="AF555" s="217"/>
      <c r="AG555" s="217"/>
      <c r="AH555" s="217"/>
      <c r="AI555" s="217"/>
      <c r="AJ555" s="217"/>
      <c r="AK555" s="217"/>
      <c r="AL555" s="217"/>
      <c r="AM555" s="217"/>
    </row>
    <row r="556">
      <c r="A556" s="217"/>
      <c r="B556" s="241"/>
      <c r="C556" s="247"/>
      <c r="D556" s="247"/>
      <c r="E556" s="247"/>
      <c r="F556" s="247"/>
      <c r="G556" s="242"/>
      <c r="H556" s="243"/>
      <c r="I556" s="244"/>
      <c r="J556" s="245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17"/>
      <c r="AD556" s="217"/>
      <c r="AE556" s="217"/>
      <c r="AF556" s="217"/>
      <c r="AG556" s="217"/>
      <c r="AH556" s="217"/>
      <c r="AI556" s="217"/>
      <c r="AJ556" s="217"/>
      <c r="AK556" s="217"/>
      <c r="AL556" s="217"/>
      <c r="AM556" s="217"/>
    </row>
    <row r="557">
      <c r="A557" s="217"/>
      <c r="B557" s="241"/>
      <c r="C557" s="247"/>
      <c r="D557" s="247"/>
      <c r="E557" s="247"/>
      <c r="F557" s="247"/>
      <c r="G557" s="242"/>
      <c r="H557" s="243"/>
      <c r="I557" s="244"/>
      <c r="J557" s="245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17"/>
      <c r="AD557" s="217"/>
      <c r="AE557" s="217"/>
      <c r="AF557" s="217"/>
      <c r="AG557" s="217"/>
      <c r="AH557" s="217"/>
      <c r="AI557" s="217"/>
      <c r="AJ557" s="217"/>
      <c r="AK557" s="217"/>
      <c r="AL557" s="217"/>
      <c r="AM557" s="217"/>
    </row>
    <row r="558">
      <c r="A558" s="217"/>
      <c r="B558" s="241"/>
      <c r="C558" s="247"/>
      <c r="D558" s="247"/>
      <c r="E558" s="247"/>
      <c r="F558" s="247"/>
      <c r="G558" s="242"/>
      <c r="H558" s="243"/>
      <c r="I558" s="244"/>
      <c r="J558" s="245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17"/>
      <c r="AD558" s="217"/>
      <c r="AE558" s="217"/>
      <c r="AF558" s="217"/>
      <c r="AG558" s="217"/>
      <c r="AH558" s="217"/>
      <c r="AI558" s="217"/>
      <c r="AJ558" s="217"/>
      <c r="AK558" s="217"/>
      <c r="AL558" s="217"/>
      <c r="AM558" s="217"/>
    </row>
    <row r="559">
      <c r="A559" s="217"/>
      <c r="B559" s="241"/>
      <c r="C559" s="247"/>
      <c r="D559" s="247"/>
      <c r="E559" s="247"/>
      <c r="F559" s="247"/>
      <c r="G559" s="242"/>
      <c r="H559" s="243"/>
      <c r="I559" s="244"/>
      <c r="J559" s="245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17"/>
      <c r="AD559" s="217"/>
      <c r="AE559" s="217"/>
      <c r="AF559" s="217"/>
      <c r="AG559" s="217"/>
      <c r="AH559" s="217"/>
      <c r="AI559" s="217"/>
      <c r="AJ559" s="217"/>
      <c r="AK559" s="217"/>
      <c r="AL559" s="217"/>
      <c r="AM559" s="217"/>
    </row>
    <row r="560">
      <c r="A560" s="217"/>
      <c r="B560" s="241"/>
      <c r="C560" s="247"/>
      <c r="D560" s="247"/>
      <c r="E560" s="247"/>
      <c r="F560" s="247"/>
      <c r="G560" s="242"/>
      <c r="H560" s="243"/>
      <c r="I560" s="244"/>
      <c r="J560" s="245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  <c r="AE560" s="217"/>
      <c r="AF560" s="217"/>
      <c r="AG560" s="217"/>
      <c r="AH560" s="217"/>
      <c r="AI560" s="217"/>
      <c r="AJ560" s="217"/>
      <c r="AK560" s="217"/>
      <c r="AL560" s="217"/>
      <c r="AM560" s="217"/>
    </row>
    <row r="561">
      <c r="A561" s="217"/>
      <c r="B561" s="241"/>
      <c r="C561" s="247"/>
      <c r="D561" s="247"/>
      <c r="E561" s="247"/>
      <c r="F561" s="247"/>
      <c r="G561" s="242"/>
      <c r="H561" s="243"/>
      <c r="I561" s="244"/>
      <c r="J561" s="245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  <c r="AE561" s="217"/>
      <c r="AF561" s="217"/>
      <c r="AG561" s="217"/>
      <c r="AH561" s="217"/>
      <c r="AI561" s="217"/>
      <c r="AJ561" s="217"/>
      <c r="AK561" s="217"/>
      <c r="AL561" s="217"/>
      <c r="AM561" s="217"/>
    </row>
    <row r="562">
      <c r="A562" s="217"/>
      <c r="B562" s="241"/>
      <c r="C562" s="247"/>
      <c r="D562" s="247"/>
      <c r="E562" s="247"/>
      <c r="F562" s="247"/>
      <c r="G562" s="242"/>
      <c r="H562" s="243"/>
      <c r="I562" s="244"/>
      <c r="J562" s="245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17"/>
      <c r="AD562" s="217"/>
      <c r="AE562" s="217"/>
      <c r="AF562" s="217"/>
      <c r="AG562" s="217"/>
      <c r="AH562" s="217"/>
      <c r="AI562" s="217"/>
      <c r="AJ562" s="217"/>
      <c r="AK562" s="217"/>
      <c r="AL562" s="217"/>
      <c r="AM562" s="217"/>
    </row>
    <row r="563">
      <c r="A563" s="217"/>
      <c r="B563" s="241"/>
      <c r="C563" s="247"/>
      <c r="D563" s="247"/>
      <c r="E563" s="247"/>
      <c r="F563" s="247"/>
      <c r="G563" s="242"/>
      <c r="H563" s="243"/>
      <c r="I563" s="244"/>
      <c r="J563" s="245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17"/>
      <c r="AD563" s="217"/>
      <c r="AE563" s="217"/>
      <c r="AF563" s="217"/>
      <c r="AG563" s="217"/>
      <c r="AH563" s="217"/>
      <c r="AI563" s="217"/>
      <c r="AJ563" s="217"/>
      <c r="AK563" s="217"/>
      <c r="AL563" s="217"/>
      <c r="AM563" s="217"/>
    </row>
    <row r="564">
      <c r="A564" s="217"/>
      <c r="B564" s="241"/>
      <c r="C564" s="247"/>
      <c r="D564" s="247"/>
      <c r="E564" s="247"/>
      <c r="F564" s="247"/>
      <c r="G564" s="242"/>
      <c r="H564" s="243"/>
      <c r="I564" s="244"/>
      <c r="J564" s="245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17"/>
      <c r="AD564" s="217"/>
      <c r="AE564" s="217"/>
      <c r="AF564" s="217"/>
      <c r="AG564" s="217"/>
      <c r="AH564" s="217"/>
      <c r="AI564" s="217"/>
      <c r="AJ564" s="217"/>
      <c r="AK564" s="217"/>
      <c r="AL564" s="217"/>
      <c r="AM564" s="217"/>
    </row>
    <row r="565">
      <c r="A565" s="217"/>
      <c r="B565" s="241"/>
      <c r="C565" s="247"/>
      <c r="D565" s="247"/>
      <c r="E565" s="247"/>
      <c r="F565" s="247"/>
      <c r="G565" s="242"/>
      <c r="H565" s="243"/>
      <c r="I565" s="244"/>
      <c r="J565" s="245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17"/>
      <c r="AD565" s="217"/>
      <c r="AE565" s="217"/>
      <c r="AF565" s="217"/>
      <c r="AG565" s="217"/>
      <c r="AH565" s="217"/>
      <c r="AI565" s="217"/>
      <c r="AJ565" s="217"/>
      <c r="AK565" s="217"/>
      <c r="AL565" s="217"/>
      <c r="AM565" s="217"/>
    </row>
    <row r="566">
      <c r="A566" s="217"/>
      <c r="B566" s="241"/>
      <c r="C566" s="247"/>
      <c r="D566" s="247"/>
      <c r="E566" s="247"/>
      <c r="F566" s="247"/>
      <c r="G566" s="242"/>
      <c r="H566" s="243"/>
      <c r="I566" s="244"/>
      <c r="J566" s="245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17"/>
      <c r="AD566" s="217"/>
      <c r="AE566" s="217"/>
      <c r="AF566" s="217"/>
      <c r="AG566" s="217"/>
      <c r="AH566" s="217"/>
      <c r="AI566" s="217"/>
      <c r="AJ566" s="217"/>
      <c r="AK566" s="217"/>
      <c r="AL566" s="217"/>
      <c r="AM566" s="217"/>
    </row>
    <row r="567">
      <c r="A567" s="217"/>
      <c r="B567" s="241"/>
      <c r="C567" s="247"/>
      <c r="D567" s="247"/>
      <c r="E567" s="247"/>
      <c r="F567" s="247"/>
      <c r="G567" s="242"/>
      <c r="H567" s="243"/>
      <c r="I567" s="244"/>
      <c r="J567" s="245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17"/>
      <c r="AD567" s="217"/>
      <c r="AE567" s="217"/>
      <c r="AF567" s="217"/>
      <c r="AG567" s="217"/>
      <c r="AH567" s="217"/>
      <c r="AI567" s="217"/>
      <c r="AJ567" s="217"/>
      <c r="AK567" s="217"/>
      <c r="AL567" s="217"/>
      <c r="AM567" s="217"/>
    </row>
    <row r="568">
      <c r="A568" s="217"/>
      <c r="B568" s="241"/>
      <c r="C568" s="247"/>
      <c r="D568" s="247"/>
      <c r="E568" s="247"/>
      <c r="F568" s="247"/>
      <c r="G568" s="242"/>
      <c r="H568" s="243"/>
      <c r="I568" s="244"/>
      <c r="J568" s="245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17"/>
      <c r="AD568" s="217"/>
      <c r="AE568" s="217"/>
      <c r="AF568" s="217"/>
      <c r="AG568" s="217"/>
      <c r="AH568" s="217"/>
      <c r="AI568" s="217"/>
      <c r="AJ568" s="217"/>
      <c r="AK568" s="217"/>
      <c r="AL568" s="217"/>
      <c r="AM568" s="217"/>
    </row>
    <row r="569">
      <c r="A569" s="217"/>
      <c r="B569" s="241"/>
      <c r="C569" s="247"/>
      <c r="D569" s="247"/>
      <c r="E569" s="247"/>
      <c r="F569" s="247"/>
      <c r="G569" s="242"/>
      <c r="H569" s="243"/>
      <c r="I569" s="244"/>
      <c r="J569" s="245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17"/>
      <c r="AD569" s="217"/>
      <c r="AE569" s="217"/>
      <c r="AF569" s="217"/>
      <c r="AG569" s="217"/>
      <c r="AH569" s="217"/>
      <c r="AI569" s="217"/>
      <c r="AJ569" s="217"/>
      <c r="AK569" s="217"/>
      <c r="AL569" s="217"/>
      <c r="AM569" s="217"/>
    </row>
    <row r="570">
      <c r="A570" s="217"/>
      <c r="B570" s="241"/>
      <c r="C570" s="247"/>
      <c r="D570" s="247"/>
      <c r="E570" s="247"/>
      <c r="F570" s="247"/>
      <c r="G570" s="242"/>
      <c r="H570" s="243"/>
      <c r="I570" s="244"/>
      <c r="J570" s="245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17"/>
      <c r="AD570" s="217"/>
      <c r="AE570" s="217"/>
      <c r="AF570" s="217"/>
      <c r="AG570" s="217"/>
      <c r="AH570" s="217"/>
      <c r="AI570" s="217"/>
      <c r="AJ570" s="217"/>
      <c r="AK570" s="217"/>
      <c r="AL570" s="217"/>
      <c r="AM570" s="217"/>
    </row>
    <row r="571">
      <c r="A571" s="217"/>
      <c r="B571" s="241"/>
      <c r="C571" s="247"/>
      <c r="D571" s="247"/>
      <c r="E571" s="247"/>
      <c r="F571" s="247"/>
      <c r="G571" s="242"/>
      <c r="H571" s="243"/>
      <c r="I571" s="244"/>
      <c r="J571" s="245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17"/>
      <c r="AD571" s="217"/>
      <c r="AE571" s="217"/>
      <c r="AF571" s="217"/>
      <c r="AG571" s="217"/>
      <c r="AH571" s="217"/>
      <c r="AI571" s="217"/>
      <c r="AJ571" s="217"/>
      <c r="AK571" s="217"/>
      <c r="AL571" s="217"/>
      <c r="AM571" s="217"/>
    </row>
    <row r="572">
      <c r="A572" s="217"/>
      <c r="B572" s="241"/>
      <c r="C572" s="247"/>
      <c r="D572" s="247"/>
      <c r="E572" s="247"/>
      <c r="F572" s="247"/>
      <c r="G572" s="242"/>
      <c r="H572" s="243"/>
      <c r="I572" s="244"/>
      <c r="J572" s="245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17"/>
      <c r="AD572" s="217"/>
      <c r="AE572" s="217"/>
      <c r="AF572" s="217"/>
      <c r="AG572" s="217"/>
      <c r="AH572" s="217"/>
      <c r="AI572" s="217"/>
      <c r="AJ572" s="217"/>
      <c r="AK572" s="217"/>
      <c r="AL572" s="217"/>
      <c r="AM572" s="217"/>
    </row>
    <row r="573">
      <c r="A573" s="217"/>
      <c r="B573" s="241"/>
      <c r="C573" s="247"/>
      <c r="D573" s="247"/>
      <c r="E573" s="247"/>
      <c r="F573" s="247"/>
      <c r="G573" s="242"/>
      <c r="H573" s="243"/>
      <c r="I573" s="244"/>
      <c r="J573" s="245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17"/>
      <c r="AD573" s="217"/>
      <c r="AE573" s="217"/>
      <c r="AF573" s="217"/>
      <c r="AG573" s="217"/>
      <c r="AH573" s="217"/>
      <c r="AI573" s="217"/>
      <c r="AJ573" s="217"/>
      <c r="AK573" s="217"/>
      <c r="AL573" s="217"/>
      <c r="AM573" s="217"/>
    </row>
    <row r="574">
      <c r="A574" s="217"/>
      <c r="B574" s="241"/>
      <c r="C574" s="247"/>
      <c r="D574" s="247"/>
      <c r="E574" s="247"/>
      <c r="F574" s="247"/>
      <c r="G574" s="242"/>
      <c r="H574" s="243"/>
      <c r="I574" s="244"/>
      <c r="J574" s="245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17"/>
      <c r="AD574" s="217"/>
      <c r="AE574" s="217"/>
      <c r="AF574" s="217"/>
      <c r="AG574" s="217"/>
      <c r="AH574" s="217"/>
      <c r="AI574" s="217"/>
      <c r="AJ574" s="217"/>
      <c r="AK574" s="217"/>
      <c r="AL574" s="217"/>
      <c r="AM574" s="217"/>
    </row>
    <row r="575">
      <c r="A575" s="217"/>
      <c r="B575" s="241"/>
      <c r="C575" s="247"/>
      <c r="D575" s="247"/>
      <c r="E575" s="247"/>
      <c r="F575" s="247"/>
      <c r="G575" s="242"/>
      <c r="H575" s="243"/>
      <c r="I575" s="244"/>
      <c r="J575" s="245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17"/>
      <c r="AD575" s="217"/>
      <c r="AE575" s="217"/>
      <c r="AF575" s="217"/>
      <c r="AG575" s="217"/>
      <c r="AH575" s="217"/>
      <c r="AI575" s="217"/>
      <c r="AJ575" s="217"/>
      <c r="AK575" s="217"/>
      <c r="AL575" s="217"/>
      <c r="AM575" s="217"/>
    </row>
    <row r="576">
      <c r="A576" s="217"/>
      <c r="B576" s="241"/>
      <c r="C576" s="247"/>
      <c r="D576" s="247"/>
      <c r="E576" s="247"/>
      <c r="F576" s="247"/>
      <c r="G576" s="242"/>
      <c r="H576" s="243"/>
      <c r="I576" s="244"/>
      <c r="J576" s="245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17"/>
      <c r="AD576" s="217"/>
      <c r="AE576" s="217"/>
      <c r="AF576" s="217"/>
      <c r="AG576" s="217"/>
      <c r="AH576" s="217"/>
      <c r="AI576" s="217"/>
      <c r="AJ576" s="217"/>
      <c r="AK576" s="217"/>
      <c r="AL576" s="217"/>
      <c r="AM576" s="217"/>
    </row>
    <row r="577">
      <c r="A577" s="217"/>
      <c r="B577" s="241"/>
      <c r="C577" s="247"/>
      <c r="D577" s="247"/>
      <c r="E577" s="247"/>
      <c r="F577" s="247"/>
      <c r="G577" s="242"/>
      <c r="H577" s="243"/>
      <c r="I577" s="244"/>
      <c r="J577" s="245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17"/>
      <c r="AD577" s="217"/>
      <c r="AE577" s="217"/>
      <c r="AF577" s="217"/>
      <c r="AG577" s="217"/>
      <c r="AH577" s="217"/>
      <c r="AI577" s="217"/>
      <c r="AJ577" s="217"/>
      <c r="AK577" s="217"/>
      <c r="AL577" s="217"/>
      <c r="AM577" s="217"/>
    </row>
    <row r="578">
      <c r="A578" s="217"/>
      <c r="B578" s="241"/>
      <c r="C578" s="247"/>
      <c r="D578" s="247"/>
      <c r="E578" s="247"/>
      <c r="F578" s="247"/>
      <c r="G578" s="242"/>
      <c r="H578" s="243"/>
      <c r="I578" s="244"/>
      <c r="J578" s="245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17"/>
      <c r="AD578" s="217"/>
      <c r="AE578" s="217"/>
      <c r="AF578" s="217"/>
      <c r="AG578" s="217"/>
      <c r="AH578" s="217"/>
      <c r="AI578" s="217"/>
      <c r="AJ578" s="217"/>
      <c r="AK578" s="217"/>
      <c r="AL578" s="217"/>
      <c r="AM578" s="217"/>
    </row>
    <row r="579">
      <c r="A579" s="217"/>
      <c r="B579" s="241"/>
      <c r="C579" s="247"/>
      <c r="D579" s="247"/>
      <c r="E579" s="247"/>
      <c r="F579" s="247"/>
      <c r="G579" s="242"/>
      <c r="H579" s="243"/>
      <c r="I579" s="244"/>
      <c r="J579" s="245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17"/>
      <c r="AD579" s="217"/>
      <c r="AE579" s="217"/>
      <c r="AF579" s="217"/>
      <c r="AG579" s="217"/>
      <c r="AH579" s="217"/>
      <c r="AI579" s="217"/>
      <c r="AJ579" s="217"/>
      <c r="AK579" s="217"/>
      <c r="AL579" s="217"/>
      <c r="AM579" s="217"/>
    </row>
    <row r="580">
      <c r="A580" s="217"/>
      <c r="B580" s="241"/>
      <c r="C580" s="247"/>
      <c r="D580" s="247"/>
      <c r="E580" s="247"/>
      <c r="F580" s="247"/>
      <c r="G580" s="242"/>
      <c r="H580" s="243"/>
      <c r="I580" s="244"/>
      <c r="J580" s="245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17"/>
      <c r="AD580" s="217"/>
      <c r="AE580" s="217"/>
      <c r="AF580" s="217"/>
      <c r="AG580" s="217"/>
      <c r="AH580" s="217"/>
      <c r="AI580" s="217"/>
      <c r="AJ580" s="217"/>
      <c r="AK580" s="217"/>
      <c r="AL580" s="217"/>
      <c r="AM580" s="217"/>
    </row>
    <row r="581">
      <c r="A581" s="217"/>
      <c r="B581" s="241"/>
      <c r="C581" s="247"/>
      <c r="D581" s="247"/>
      <c r="E581" s="247"/>
      <c r="F581" s="247"/>
      <c r="G581" s="242"/>
      <c r="H581" s="243"/>
      <c r="I581" s="244"/>
      <c r="J581" s="245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17"/>
      <c r="AD581" s="217"/>
      <c r="AE581" s="217"/>
      <c r="AF581" s="217"/>
      <c r="AG581" s="217"/>
      <c r="AH581" s="217"/>
      <c r="AI581" s="217"/>
      <c r="AJ581" s="217"/>
      <c r="AK581" s="217"/>
      <c r="AL581" s="217"/>
      <c r="AM581" s="217"/>
    </row>
    <row r="582">
      <c r="A582" s="217"/>
      <c r="B582" s="241"/>
      <c r="C582" s="247"/>
      <c r="D582" s="247"/>
      <c r="E582" s="247"/>
      <c r="F582" s="247"/>
      <c r="G582" s="242"/>
      <c r="H582" s="243"/>
      <c r="I582" s="244"/>
      <c r="J582" s="245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17"/>
      <c r="AD582" s="217"/>
      <c r="AE582" s="217"/>
      <c r="AF582" s="217"/>
      <c r="AG582" s="217"/>
      <c r="AH582" s="217"/>
      <c r="AI582" s="217"/>
      <c r="AJ582" s="217"/>
      <c r="AK582" s="217"/>
      <c r="AL582" s="217"/>
      <c r="AM582" s="217"/>
    </row>
    <row r="583">
      <c r="A583" s="217"/>
      <c r="B583" s="241"/>
      <c r="C583" s="247"/>
      <c r="D583" s="247"/>
      <c r="E583" s="247"/>
      <c r="F583" s="247"/>
      <c r="G583" s="242"/>
      <c r="H583" s="243"/>
      <c r="I583" s="244"/>
      <c r="J583" s="245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17"/>
      <c r="AD583" s="217"/>
      <c r="AE583" s="217"/>
      <c r="AF583" s="217"/>
      <c r="AG583" s="217"/>
      <c r="AH583" s="217"/>
      <c r="AI583" s="217"/>
      <c r="AJ583" s="217"/>
      <c r="AK583" s="217"/>
      <c r="AL583" s="217"/>
      <c r="AM583" s="217"/>
    </row>
    <row r="584">
      <c r="A584" s="217"/>
      <c r="B584" s="241"/>
      <c r="C584" s="247"/>
      <c r="D584" s="247"/>
      <c r="E584" s="247"/>
      <c r="F584" s="247"/>
      <c r="G584" s="242"/>
      <c r="H584" s="243"/>
      <c r="I584" s="244"/>
      <c r="J584" s="245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17"/>
      <c r="AD584" s="217"/>
      <c r="AE584" s="217"/>
      <c r="AF584" s="217"/>
      <c r="AG584" s="217"/>
      <c r="AH584" s="217"/>
      <c r="AI584" s="217"/>
      <c r="AJ584" s="217"/>
      <c r="AK584" s="217"/>
      <c r="AL584" s="217"/>
      <c r="AM584" s="217"/>
    </row>
    <row r="585">
      <c r="A585" s="217"/>
      <c r="B585" s="241"/>
      <c r="C585" s="247"/>
      <c r="D585" s="247"/>
      <c r="E585" s="247"/>
      <c r="F585" s="247"/>
      <c r="G585" s="242"/>
      <c r="H585" s="243"/>
      <c r="I585" s="244"/>
      <c r="J585" s="245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17"/>
      <c r="AD585" s="217"/>
      <c r="AE585" s="217"/>
      <c r="AF585" s="217"/>
      <c r="AG585" s="217"/>
      <c r="AH585" s="217"/>
      <c r="AI585" s="217"/>
      <c r="AJ585" s="217"/>
      <c r="AK585" s="217"/>
      <c r="AL585" s="217"/>
      <c r="AM585" s="217"/>
    </row>
    <row r="586">
      <c r="A586" s="217"/>
      <c r="B586" s="241"/>
      <c r="C586" s="247"/>
      <c r="D586" s="247"/>
      <c r="E586" s="247"/>
      <c r="F586" s="247"/>
      <c r="G586" s="242"/>
      <c r="H586" s="243"/>
      <c r="I586" s="244"/>
      <c r="J586" s="245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17"/>
      <c r="AD586" s="217"/>
      <c r="AE586" s="217"/>
      <c r="AF586" s="217"/>
      <c r="AG586" s="217"/>
      <c r="AH586" s="217"/>
      <c r="AI586" s="217"/>
      <c r="AJ586" s="217"/>
      <c r="AK586" s="217"/>
      <c r="AL586" s="217"/>
      <c r="AM586" s="217"/>
    </row>
    <row r="587">
      <c r="A587" s="217"/>
      <c r="B587" s="241"/>
      <c r="C587" s="247"/>
      <c r="D587" s="247"/>
      <c r="E587" s="247"/>
      <c r="F587" s="247"/>
      <c r="G587" s="242"/>
      <c r="H587" s="243"/>
      <c r="I587" s="244"/>
      <c r="J587" s="245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17"/>
      <c r="AD587" s="217"/>
      <c r="AE587" s="217"/>
      <c r="AF587" s="217"/>
      <c r="AG587" s="217"/>
      <c r="AH587" s="217"/>
      <c r="AI587" s="217"/>
      <c r="AJ587" s="217"/>
      <c r="AK587" s="217"/>
      <c r="AL587" s="217"/>
      <c r="AM587" s="217"/>
    </row>
    <row r="588">
      <c r="A588" s="217"/>
      <c r="B588" s="241"/>
      <c r="C588" s="247"/>
      <c r="D588" s="247"/>
      <c r="E588" s="247"/>
      <c r="F588" s="247"/>
      <c r="G588" s="242"/>
      <c r="H588" s="243"/>
      <c r="I588" s="244"/>
      <c r="J588" s="245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17"/>
      <c r="AD588" s="217"/>
      <c r="AE588" s="217"/>
      <c r="AF588" s="217"/>
      <c r="AG588" s="217"/>
      <c r="AH588" s="217"/>
      <c r="AI588" s="217"/>
      <c r="AJ588" s="217"/>
      <c r="AK588" s="217"/>
      <c r="AL588" s="217"/>
      <c r="AM588" s="217"/>
    </row>
    <row r="589">
      <c r="A589" s="217"/>
      <c r="B589" s="241"/>
      <c r="C589" s="247"/>
      <c r="D589" s="247"/>
      <c r="E589" s="247"/>
      <c r="F589" s="247"/>
      <c r="G589" s="242"/>
      <c r="H589" s="243"/>
      <c r="I589" s="244"/>
      <c r="J589" s="245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7"/>
      <c r="AD589" s="217"/>
      <c r="AE589" s="217"/>
      <c r="AF589" s="217"/>
      <c r="AG589" s="217"/>
      <c r="AH589" s="217"/>
      <c r="AI589" s="217"/>
      <c r="AJ589" s="217"/>
      <c r="AK589" s="217"/>
      <c r="AL589" s="217"/>
      <c r="AM589" s="217"/>
    </row>
    <row r="590">
      <c r="A590" s="217"/>
      <c r="B590" s="241"/>
      <c r="C590" s="247"/>
      <c r="D590" s="247"/>
      <c r="E590" s="247"/>
      <c r="F590" s="247"/>
      <c r="G590" s="242"/>
      <c r="H590" s="243"/>
      <c r="I590" s="244"/>
      <c r="J590" s="245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17"/>
      <c r="AD590" s="217"/>
      <c r="AE590" s="217"/>
      <c r="AF590" s="217"/>
      <c r="AG590" s="217"/>
      <c r="AH590" s="217"/>
      <c r="AI590" s="217"/>
      <c r="AJ590" s="217"/>
      <c r="AK590" s="217"/>
      <c r="AL590" s="217"/>
      <c r="AM590" s="217"/>
    </row>
    <row r="591">
      <c r="A591" s="217"/>
      <c r="B591" s="241"/>
      <c r="C591" s="247"/>
      <c r="D591" s="247"/>
      <c r="E591" s="247"/>
      <c r="F591" s="247"/>
      <c r="G591" s="242"/>
      <c r="H591" s="243"/>
      <c r="I591" s="244"/>
      <c r="J591" s="245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17"/>
      <c r="AD591" s="217"/>
      <c r="AE591" s="217"/>
      <c r="AF591" s="217"/>
      <c r="AG591" s="217"/>
      <c r="AH591" s="217"/>
      <c r="AI591" s="217"/>
      <c r="AJ591" s="217"/>
      <c r="AK591" s="217"/>
      <c r="AL591" s="217"/>
      <c r="AM591" s="217"/>
    </row>
    <row r="592">
      <c r="A592" s="217"/>
      <c r="B592" s="241"/>
      <c r="C592" s="247"/>
      <c r="D592" s="247"/>
      <c r="E592" s="247"/>
      <c r="F592" s="247"/>
      <c r="G592" s="242"/>
      <c r="H592" s="243"/>
      <c r="I592" s="244"/>
      <c r="J592" s="245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17"/>
      <c r="AD592" s="217"/>
      <c r="AE592" s="217"/>
      <c r="AF592" s="217"/>
      <c r="AG592" s="217"/>
      <c r="AH592" s="217"/>
      <c r="AI592" s="217"/>
      <c r="AJ592" s="217"/>
      <c r="AK592" s="217"/>
      <c r="AL592" s="217"/>
      <c r="AM592" s="217"/>
    </row>
    <row r="593">
      <c r="A593" s="217"/>
      <c r="B593" s="241"/>
      <c r="C593" s="247"/>
      <c r="D593" s="247"/>
      <c r="E593" s="247"/>
      <c r="F593" s="247"/>
      <c r="G593" s="242"/>
      <c r="H593" s="243"/>
      <c r="I593" s="244"/>
      <c r="J593" s="245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17"/>
      <c r="AD593" s="217"/>
      <c r="AE593" s="217"/>
      <c r="AF593" s="217"/>
      <c r="AG593" s="217"/>
      <c r="AH593" s="217"/>
      <c r="AI593" s="217"/>
      <c r="AJ593" s="217"/>
      <c r="AK593" s="217"/>
      <c r="AL593" s="217"/>
      <c r="AM593" s="217"/>
    </row>
    <row r="594">
      <c r="A594" s="217"/>
      <c r="B594" s="241"/>
      <c r="C594" s="247"/>
      <c r="D594" s="247"/>
      <c r="E594" s="247"/>
      <c r="F594" s="247"/>
      <c r="G594" s="242"/>
      <c r="H594" s="243"/>
      <c r="I594" s="244"/>
      <c r="J594" s="245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17"/>
      <c r="AD594" s="217"/>
      <c r="AE594" s="217"/>
      <c r="AF594" s="217"/>
      <c r="AG594" s="217"/>
      <c r="AH594" s="217"/>
      <c r="AI594" s="217"/>
      <c r="AJ594" s="217"/>
      <c r="AK594" s="217"/>
      <c r="AL594" s="217"/>
      <c r="AM594" s="217"/>
    </row>
    <row r="595">
      <c r="A595" s="217"/>
      <c r="B595" s="241"/>
      <c r="C595" s="247"/>
      <c r="D595" s="247"/>
      <c r="E595" s="247"/>
      <c r="F595" s="247"/>
      <c r="G595" s="242"/>
      <c r="H595" s="243"/>
      <c r="I595" s="244"/>
      <c r="J595" s="245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17"/>
      <c r="AD595" s="217"/>
      <c r="AE595" s="217"/>
      <c r="AF595" s="217"/>
      <c r="AG595" s="217"/>
      <c r="AH595" s="217"/>
      <c r="AI595" s="217"/>
      <c r="AJ595" s="217"/>
      <c r="AK595" s="217"/>
      <c r="AL595" s="217"/>
      <c r="AM595" s="217"/>
    </row>
    <row r="596">
      <c r="A596" s="217"/>
      <c r="B596" s="241"/>
      <c r="C596" s="247"/>
      <c r="D596" s="247"/>
      <c r="E596" s="247"/>
      <c r="F596" s="247"/>
      <c r="G596" s="242"/>
      <c r="H596" s="243"/>
      <c r="I596" s="244"/>
      <c r="J596" s="245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17"/>
      <c r="AD596" s="217"/>
      <c r="AE596" s="217"/>
      <c r="AF596" s="217"/>
      <c r="AG596" s="217"/>
      <c r="AH596" s="217"/>
      <c r="AI596" s="217"/>
      <c r="AJ596" s="217"/>
      <c r="AK596" s="217"/>
      <c r="AL596" s="217"/>
      <c r="AM596" s="217"/>
    </row>
    <row r="597">
      <c r="A597" s="217"/>
      <c r="B597" s="241"/>
      <c r="C597" s="247"/>
      <c r="D597" s="247"/>
      <c r="E597" s="247"/>
      <c r="F597" s="247"/>
      <c r="G597" s="242"/>
      <c r="H597" s="243"/>
      <c r="I597" s="244"/>
      <c r="J597" s="245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17"/>
      <c r="AD597" s="217"/>
      <c r="AE597" s="217"/>
      <c r="AF597" s="217"/>
      <c r="AG597" s="217"/>
      <c r="AH597" s="217"/>
      <c r="AI597" s="217"/>
      <c r="AJ597" s="217"/>
      <c r="AK597" s="217"/>
      <c r="AL597" s="217"/>
      <c r="AM597" s="217"/>
    </row>
    <row r="598">
      <c r="A598" s="217"/>
      <c r="B598" s="241"/>
      <c r="C598" s="247"/>
      <c r="D598" s="247"/>
      <c r="E598" s="247"/>
      <c r="F598" s="247"/>
      <c r="G598" s="242"/>
      <c r="H598" s="243"/>
      <c r="I598" s="244"/>
      <c r="J598" s="245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17"/>
      <c r="AD598" s="217"/>
      <c r="AE598" s="217"/>
      <c r="AF598" s="217"/>
      <c r="AG598" s="217"/>
      <c r="AH598" s="217"/>
      <c r="AI598" s="217"/>
      <c r="AJ598" s="217"/>
      <c r="AK598" s="217"/>
      <c r="AL598" s="217"/>
      <c r="AM598" s="217"/>
    </row>
    <row r="599">
      <c r="A599" s="217"/>
      <c r="B599" s="241"/>
      <c r="C599" s="247"/>
      <c r="D599" s="247"/>
      <c r="E599" s="247"/>
      <c r="F599" s="247"/>
      <c r="G599" s="242"/>
      <c r="H599" s="243"/>
      <c r="I599" s="244"/>
      <c r="J599" s="245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17"/>
      <c r="AD599" s="217"/>
      <c r="AE599" s="217"/>
      <c r="AF599" s="217"/>
      <c r="AG599" s="217"/>
      <c r="AH599" s="217"/>
      <c r="AI599" s="217"/>
      <c r="AJ599" s="217"/>
      <c r="AK599" s="217"/>
      <c r="AL599" s="217"/>
      <c r="AM599" s="217"/>
    </row>
    <row r="600">
      <c r="A600" s="217"/>
      <c r="B600" s="241"/>
      <c r="C600" s="247"/>
      <c r="D600" s="247"/>
      <c r="E600" s="247"/>
      <c r="F600" s="247"/>
      <c r="G600" s="242"/>
      <c r="H600" s="243"/>
      <c r="I600" s="244"/>
      <c r="J600" s="245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17"/>
      <c r="AD600" s="217"/>
      <c r="AE600" s="217"/>
      <c r="AF600" s="217"/>
      <c r="AG600" s="217"/>
      <c r="AH600" s="217"/>
      <c r="AI600" s="217"/>
      <c r="AJ600" s="217"/>
      <c r="AK600" s="217"/>
      <c r="AL600" s="217"/>
      <c r="AM600" s="217"/>
    </row>
    <row r="601">
      <c r="A601" s="217"/>
      <c r="B601" s="241"/>
      <c r="C601" s="247"/>
      <c r="D601" s="247"/>
      <c r="E601" s="247"/>
      <c r="F601" s="247"/>
      <c r="G601" s="242"/>
      <c r="H601" s="243"/>
      <c r="I601" s="244"/>
      <c r="J601" s="245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17"/>
      <c r="AD601" s="217"/>
      <c r="AE601" s="217"/>
      <c r="AF601" s="217"/>
      <c r="AG601" s="217"/>
      <c r="AH601" s="217"/>
      <c r="AI601" s="217"/>
      <c r="AJ601" s="217"/>
      <c r="AK601" s="217"/>
      <c r="AL601" s="217"/>
      <c r="AM601" s="217"/>
    </row>
    <row r="602">
      <c r="A602" s="217"/>
      <c r="B602" s="241"/>
      <c r="C602" s="247"/>
      <c r="D602" s="247"/>
      <c r="E602" s="247"/>
      <c r="F602" s="247"/>
      <c r="G602" s="242"/>
      <c r="H602" s="243"/>
      <c r="I602" s="244"/>
      <c r="J602" s="245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17"/>
      <c r="AD602" s="217"/>
      <c r="AE602" s="217"/>
      <c r="AF602" s="217"/>
      <c r="AG602" s="217"/>
      <c r="AH602" s="217"/>
      <c r="AI602" s="217"/>
      <c r="AJ602" s="217"/>
      <c r="AK602" s="217"/>
      <c r="AL602" s="217"/>
      <c r="AM602" s="217"/>
    </row>
    <row r="603">
      <c r="A603" s="217"/>
      <c r="B603" s="241"/>
      <c r="C603" s="247"/>
      <c r="D603" s="247"/>
      <c r="E603" s="247"/>
      <c r="F603" s="247"/>
      <c r="G603" s="242"/>
      <c r="H603" s="243"/>
      <c r="I603" s="244"/>
      <c r="J603" s="245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17"/>
      <c r="AD603" s="217"/>
      <c r="AE603" s="217"/>
      <c r="AF603" s="217"/>
      <c r="AG603" s="217"/>
      <c r="AH603" s="217"/>
      <c r="AI603" s="217"/>
      <c r="AJ603" s="217"/>
      <c r="AK603" s="217"/>
      <c r="AL603" s="217"/>
      <c r="AM603" s="217"/>
    </row>
    <row r="604">
      <c r="A604" s="217"/>
      <c r="B604" s="241"/>
      <c r="C604" s="247"/>
      <c r="D604" s="247"/>
      <c r="E604" s="247"/>
      <c r="F604" s="247"/>
      <c r="G604" s="242"/>
      <c r="H604" s="243"/>
      <c r="I604" s="244"/>
      <c r="J604" s="245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17"/>
      <c r="AD604" s="217"/>
      <c r="AE604" s="217"/>
      <c r="AF604" s="217"/>
      <c r="AG604" s="217"/>
      <c r="AH604" s="217"/>
      <c r="AI604" s="217"/>
      <c r="AJ604" s="217"/>
      <c r="AK604" s="217"/>
      <c r="AL604" s="217"/>
      <c r="AM604" s="217"/>
    </row>
    <row r="605">
      <c r="A605" s="217"/>
      <c r="B605" s="241"/>
      <c r="C605" s="247"/>
      <c r="D605" s="247"/>
      <c r="E605" s="247"/>
      <c r="F605" s="247"/>
      <c r="G605" s="242"/>
      <c r="H605" s="243"/>
      <c r="I605" s="244"/>
      <c r="J605" s="245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17"/>
      <c r="AD605" s="217"/>
      <c r="AE605" s="217"/>
      <c r="AF605" s="217"/>
      <c r="AG605" s="217"/>
      <c r="AH605" s="217"/>
      <c r="AI605" s="217"/>
      <c r="AJ605" s="217"/>
      <c r="AK605" s="217"/>
      <c r="AL605" s="217"/>
      <c r="AM605" s="217"/>
    </row>
    <row r="606">
      <c r="A606" s="217"/>
      <c r="B606" s="241"/>
      <c r="C606" s="247"/>
      <c r="D606" s="247"/>
      <c r="E606" s="247"/>
      <c r="F606" s="247"/>
      <c r="G606" s="242"/>
      <c r="H606" s="243"/>
      <c r="I606" s="244"/>
      <c r="J606" s="245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17"/>
      <c r="AD606" s="217"/>
      <c r="AE606" s="217"/>
      <c r="AF606" s="217"/>
      <c r="AG606" s="217"/>
      <c r="AH606" s="217"/>
      <c r="AI606" s="217"/>
      <c r="AJ606" s="217"/>
      <c r="AK606" s="217"/>
      <c r="AL606" s="217"/>
      <c r="AM606" s="217"/>
    </row>
    <row r="607">
      <c r="A607" s="217"/>
      <c r="B607" s="241"/>
      <c r="C607" s="247"/>
      <c r="D607" s="247"/>
      <c r="E607" s="247"/>
      <c r="F607" s="247"/>
      <c r="G607" s="242"/>
      <c r="H607" s="243"/>
      <c r="I607" s="244"/>
      <c r="J607" s="245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17"/>
      <c r="AD607" s="217"/>
      <c r="AE607" s="217"/>
      <c r="AF607" s="217"/>
      <c r="AG607" s="217"/>
      <c r="AH607" s="217"/>
      <c r="AI607" s="217"/>
      <c r="AJ607" s="217"/>
      <c r="AK607" s="217"/>
      <c r="AL607" s="217"/>
      <c r="AM607" s="217"/>
    </row>
    <row r="608">
      <c r="A608" s="217"/>
      <c r="B608" s="241"/>
      <c r="C608" s="247"/>
      <c r="D608" s="247"/>
      <c r="E608" s="247"/>
      <c r="F608" s="247"/>
      <c r="G608" s="242"/>
      <c r="H608" s="243"/>
      <c r="I608" s="244"/>
      <c r="J608" s="245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17"/>
      <c r="AD608" s="217"/>
      <c r="AE608" s="217"/>
      <c r="AF608" s="217"/>
      <c r="AG608" s="217"/>
      <c r="AH608" s="217"/>
      <c r="AI608" s="217"/>
      <c r="AJ608" s="217"/>
      <c r="AK608" s="217"/>
      <c r="AL608" s="217"/>
      <c r="AM608" s="217"/>
    </row>
    <row r="609">
      <c r="A609" s="217"/>
      <c r="B609" s="241"/>
      <c r="C609" s="247"/>
      <c r="D609" s="247"/>
      <c r="E609" s="247"/>
      <c r="F609" s="247"/>
      <c r="G609" s="242"/>
      <c r="H609" s="243"/>
      <c r="I609" s="244"/>
      <c r="J609" s="245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17"/>
      <c r="AD609" s="217"/>
      <c r="AE609" s="217"/>
      <c r="AF609" s="217"/>
      <c r="AG609" s="217"/>
      <c r="AH609" s="217"/>
      <c r="AI609" s="217"/>
      <c r="AJ609" s="217"/>
      <c r="AK609" s="217"/>
      <c r="AL609" s="217"/>
      <c r="AM609" s="217"/>
    </row>
    <row r="610">
      <c r="A610" s="217"/>
      <c r="B610" s="241"/>
      <c r="C610" s="247"/>
      <c r="D610" s="247"/>
      <c r="E610" s="247"/>
      <c r="F610" s="247"/>
      <c r="G610" s="242"/>
      <c r="H610" s="243"/>
      <c r="I610" s="244"/>
      <c r="J610" s="245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17"/>
      <c r="AD610" s="217"/>
      <c r="AE610" s="217"/>
      <c r="AF610" s="217"/>
      <c r="AG610" s="217"/>
      <c r="AH610" s="217"/>
      <c r="AI610" s="217"/>
      <c r="AJ610" s="217"/>
      <c r="AK610" s="217"/>
      <c r="AL610" s="217"/>
      <c r="AM610" s="217"/>
    </row>
    <row r="611">
      <c r="A611" s="217"/>
      <c r="B611" s="241"/>
      <c r="C611" s="247"/>
      <c r="D611" s="247"/>
      <c r="E611" s="247"/>
      <c r="F611" s="247"/>
      <c r="G611" s="242"/>
      <c r="H611" s="243"/>
      <c r="I611" s="244"/>
      <c r="J611" s="245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17"/>
      <c r="AD611" s="217"/>
      <c r="AE611" s="217"/>
      <c r="AF611" s="217"/>
      <c r="AG611" s="217"/>
      <c r="AH611" s="217"/>
      <c r="AI611" s="217"/>
      <c r="AJ611" s="217"/>
      <c r="AK611" s="217"/>
      <c r="AL611" s="217"/>
      <c r="AM611" s="217"/>
    </row>
    <row r="612">
      <c r="A612" s="217"/>
      <c r="B612" s="241"/>
      <c r="C612" s="247"/>
      <c r="D612" s="247"/>
      <c r="E612" s="247"/>
      <c r="F612" s="247"/>
      <c r="G612" s="242"/>
      <c r="H612" s="243"/>
      <c r="I612" s="244"/>
      <c r="J612" s="245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17"/>
      <c r="AD612" s="217"/>
      <c r="AE612" s="217"/>
      <c r="AF612" s="217"/>
      <c r="AG612" s="217"/>
      <c r="AH612" s="217"/>
      <c r="AI612" s="217"/>
      <c r="AJ612" s="217"/>
      <c r="AK612" s="217"/>
      <c r="AL612" s="217"/>
      <c r="AM612" s="217"/>
    </row>
    <row r="613">
      <c r="A613" s="217"/>
      <c r="B613" s="241"/>
      <c r="C613" s="247"/>
      <c r="D613" s="247"/>
      <c r="E613" s="247"/>
      <c r="F613" s="247"/>
      <c r="G613" s="242"/>
      <c r="H613" s="243"/>
      <c r="I613" s="244"/>
      <c r="J613" s="245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17"/>
      <c r="AD613" s="217"/>
      <c r="AE613" s="217"/>
      <c r="AF613" s="217"/>
      <c r="AG613" s="217"/>
      <c r="AH613" s="217"/>
      <c r="AI613" s="217"/>
      <c r="AJ613" s="217"/>
      <c r="AK613" s="217"/>
      <c r="AL613" s="217"/>
      <c r="AM613" s="217"/>
    </row>
    <row r="614">
      <c r="A614" s="217"/>
      <c r="B614" s="241"/>
      <c r="C614" s="247"/>
      <c r="D614" s="247"/>
      <c r="E614" s="247"/>
      <c r="F614" s="247"/>
      <c r="G614" s="242"/>
      <c r="H614" s="243"/>
      <c r="I614" s="244"/>
      <c r="J614" s="245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17"/>
      <c r="AD614" s="217"/>
      <c r="AE614" s="217"/>
      <c r="AF614" s="217"/>
      <c r="AG614" s="217"/>
      <c r="AH614" s="217"/>
      <c r="AI614" s="217"/>
      <c r="AJ614" s="217"/>
      <c r="AK614" s="217"/>
      <c r="AL614" s="217"/>
      <c r="AM614" s="217"/>
    </row>
    <row r="615">
      <c r="A615" s="217"/>
      <c r="B615" s="241"/>
      <c r="C615" s="247"/>
      <c r="D615" s="247"/>
      <c r="E615" s="247"/>
      <c r="F615" s="247"/>
      <c r="G615" s="242"/>
      <c r="H615" s="243"/>
      <c r="I615" s="244"/>
      <c r="J615" s="245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17"/>
      <c r="AD615" s="217"/>
      <c r="AE615" s="217"/>
      <c r="AF615" s="217"/>
      <c r="AG615" s="217"/>
      <c r="AH615" s="217"/>
      <c r="AI615" s="217"/>
      <c r="AJ615" s="217"/>
      <c r="AK615" s="217"/>
      <c r="AL615" s="217"/>
      <c r="AM615" s="217"/>
    </row>
    <row r="616">
      <c r="A616" s="217"/>
      <c r="B616" s="241"/>
      <c r="C616" s="247"/>
      <c r="D616" s="247"/>
      <c r="E616" s="247"/>
      <c r="F616" s="247"/>
      <c r="G616" s="242"/>
      <c r="H616" s="243"/>
      <c r="I616" s="244"/>
      <c r="J616" s="245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17"/>
      <c r="AD616" s="217"/>
      <c r="AE616" s="217"/>
      <c r="AF616" s="217"/>
      <c r="AG616" s="217"/>
      <c r="AH616" s="217"/>
      <c r="AI616" s="217"/>
      <c r="AJ616" s="217"/>
      <c r="AK616" s="217"/>
      <c r="AL616" s="217"/>
      <c r="AM616" s="217"/>
    </row>
    <row r="617">
      <c r="A617" s="217"/>
      <c r="B617" s="241"/>
      <c r="C617" s="247"/>
      <c r="D617" s="247"/>
      <c r="E617" s="247"/>
      <c r="F617" s="247"/>
      <c r="G617" s="242"/>
      <c r="H617" s="243"/>
      <c r="I617" s="244"/>
      <c r="J617" s="245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17"/>
      <c r="AD617" s="217"/>
      <c r="AE617" s="217"/>
      <c r="AF617" s="217"/>
      <c r="AG617" s="217"/>
      <c r="AH617" s="217"/>
      <c r="AI617" s="217"/>
      <c r="AJ617" s="217"/>
      <c r="AK617" s="217"/>
      <c r="AL617" s="217"/>
      <c r="AM617" s="217"/>
    </row>
    <row r="618">
      <c r="A618" s="217"/>
      <c r="B618" s="241"/>
      <c r="C618" s="247"/>
      <c r="D618" s="247"/>
      <c r="E618" s="247"/>
      <c r="F618" s="247"/>
      <c r="G618" s="242"/>
      <c r="H618" s="243"/>
      <c r="I618" s="244"/>
      <c r="J618" s="245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17"/>
      <c r="AD618" s="217"/>
      <c r="AE618" s="217"/>
      <c r="AF618" s="217"/>
      <c r="AG618" s="217"/>
      <c r="AH618" s="217"/>
      <c r="AI618" s="217"/>
      <c r="AJ618" s="217"/>
      <c r="AK618" s="217"/>
      <c r="AL618" s="217"/>
      <c r="AM618" s="217"/>
    </row>
    <row r="619">
      <c r="A619" s="217"/>
      <c r="B619" s="241"/>
      <c r="C619" s="247"/>
      <c r="D619" s="247"/>
      <c r="E619" s="247"/>
      <c r="F619" s="247"/>
      <c r="G619" s="242"/>
      <c r="H619" s="243"/>
      <c r="I619" s="244"/>
      <c r="J619" s="245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17"/>
      <c r="AD619" s="217"/>
      <c r="AE619" s="217"/>
      <c r="AF619" s="217"/>
      <c r="AG619" s="217"/>
      <c r="AH619" s="217"/>
      <c r="AI619" s="217"/>
      <c r="AJ619" s="217"/>
      <c r="AK619" s="217"/>
      <c r="AL619" s="217"/>
      <c r="AM619" s="217"/>
    </row>
    <row r="620">
      <c r="A620" s="217"/>
      <c r="B620" s="241"/>
      <c r="C620" s="247"/>
      <c r="D620" s="247"/>
      <c r="E620" s="247"/>
      <c r="F620" s="247"/>
      <c r="G620" s="242"/>
      <c r="H620" s="243"/>
      <c r="I620" s="244"/>
      <c r="J620" s="245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17"/>
      <c r="AD620" s="217"/>
      <c r="AE620" s="217"/>
      <c r="AF620" s="217"/>
      <c r="AG620" s="217"/>
      <c r="AH620" s="217"/>
      <c r="AI620" s="217"/>
      <c r="AJ620" s="217"/>
      <c r="AK620" s="217"/>
      <c r="AL620" s="217"/>
      <c r="AM620" s="217"/>
    </row>
    <row r="621">
      <c r="A621" s="217"/>
      <c r="B621" s="241"/>
      <c r="C621" s="247"/>
      <c r="D621" s="247"/>
      <c r="E621" s="247"/>
      <c r="F621" s="247"/>
      <c r="G621" s="242"/>
      <c r="H621" s="243"/>
      <c r="I621" s="244"/>
      <c r="J621" s="245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17"/>
      <c r="AD621" s="217"/>
      <c r="AE621" s="217"/>
      <c r="AF621" s="217"/>
      <c r="AG621" s="217"/>
      <c r="AH621" s="217"/>
      <c r="AI621" s="217"/>
      <c r="AJ621" s="217"/>
      <c r="AK621" s="217"/>
      <c r="AL621" s="217"/>
      <c r="AM621" s="217"/>
    </row>
    <row r="622">
      <c r="A622" s="217"/>
      <c r="B622" s="241"/>
      <c r="C622" s="247"/>
      <c r="D622" s="247"/>
      <c r="E622" s="247"/>
      <c r="F622" s="247"/>
      <c r="G622" s="242"/>
      <c r="H622" s="243"/>
      <c r="I622" s="244"/>
      <c r="J622" s="245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17"/>
      <c r="AD622" s="217"/>
      <c r="AE622" s="217"/>
      <c r="AF622" s="217"/>
      <c r="AG622" s="217"/>
      <c r="AH622" s="217"/>
      <c r="AI622" s="217"/>
      <c r="AJ622" s="217"/>
      <c r="AK622" s="217"/>
      <c r="AL622" s="217"/>
      <c r="AM622" s="217"/>
    </row>
    <row r="623">
      <c r="A623" s="217"/>
      <c r="B623" s="241"/>
      <c r="C623" s="247"/>
      <c r="D623" s="247"/>
      <c r="E623" s="247"/>
      <c r="F623" s="247"/>
      <c r="G623" s="242"/>
      <c r="H623" s="243"/>
      <c r="I623" s="244"/>
      <c r="J623" s="245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17"/>
      <c r="AD623" s="217"/>
      <c r="AE623" s="217"/>
      <c r="AF623" s="217"/>
      <c r="AG623" s="217"/>
      <c r="AH623" s="217"/>
      <c r="AI623" s="217"/>
      <c r="AJ623" s="217"/>
      <c r="AK623" s="217"/>
      <c r="AL623" s="217"/>
      <c r="AM623" s="217"/>
    </row>
    <row r="624">
      <c r="A624" s="217"/>
      <c r="B624" s="241"/>
      <c r="C624" s="247"/>
      <c r="D624" s="247"/>
      <c r="E624" s="247"/>
      <c r="F624" s="247"/>
      <c r="G624" s="242"/>
      <c r="H624" s="243"/>
      <c r="I624" s="244"/>
      <c r="J624" s="245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17"/>
      <c r="AD624" s="217"/>
      <c r="AE624" s="217"/>
      <c r="AF624" s="217"/>
      <c r="AG624" s="217"/>
      <c r="AH624" s="217"/>
      <c r="AI624" s="217"/>
      <c r="AJ624" s="217"/>
      <c r="AK624" s="217"/>
      <c r="AL624" s="217"/>
      <c r="AM624" s="217"/>
    </row>
    <row r="625">
      <c r="A625" s="217"/>
      <c r="B625" s="241"/>
      <c r="C625" s="247"/>
      <c r="D625" s="247"/>
      <c r="E625" s="247"/>
      <c r="F625" s="247"/>
      <c r="G625" s="242"/>
      <c r="H625" s="243"/>
      <c r="I625" s="244"/>
      <c r="J625" s="245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17"/>
      <c r="AD625" s="217"/>
      <c r="AE625" s="217"/>
      <c r="AF625" s="217"/>
      <c r="AG625" s="217"/>
      <c r="AH625" s="217"/>
      <c r="AI625" s="217"/>
      <c r="AJ625" s="217"/>
      <c r="AK625" s="217"/>
      <c r="AL625" s="217"/>
      <c r="AM625" s="217"/>
    </row>
    <row r="626">
      <c r="A626" s="217"/>
      <c r="B626" s="241"/>
      <c r="C626" s="247"/>
      <c r="D626" s="247"/>
      <c r="E626" s="247"/>
      <c r="F626" s="247"/>
      <c r="G626" s="242"/>
      <c r="H626" s="243"/>
      <c r="I626" s="244"/>
      <c r="J626" s="245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17"/>
      <c r="AD626" s="217"/>
      <c r="AE626" s="217"/>
      <c r="AF626" s="217"/>
      <c r="AG626" s="217"/>
      <c r="AH626" s="217"/>
      <c r="AI626" s="217"/>
      <c r="AJ626" s="217"/>
      <c r="AK626" s="217"/>
      <c r="AL626" s="217"/>
      <c r="AM626" s="217"/>
    </row>
    <row r="627">
      <c r="A627" s="217"/>
      <c r="B627" s="241"/>
      <c r="C627" s="247"/>
      <c r="D627" s="247"/>
      <c r="E627" s="247"/>
      <c r="F627" s="247"/>
      <c r="G627" s="242"/>
      <c r="H627" s="243"/>
      <c r="I627" s="244"/>
      <c r="J627" s="245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17"/>
      <c r="AD627" s="217"/>
      <c r="AE627" s="217"/>
      <c r="AF627" s="217"/>
      <c r="AG627" s="217"/>
      <c r="AH627" s="217"/>
      <c r="AI627" s="217"/>
      <c r="AJ627" s="217"/>
      <c r="AK627" s="217"/>
      <c r="AL627" s="217"/>
      <c r="AM627" s="217"/>
    </row>
    <row r="628">
      <c r="A628" s="217"/>
      <c r="B628" s="241"/>
      <c r="C628" s="247"/>
      <c r="D628" s="247"/>
      <c r="E628" s="247"/>
      <c r="F628" s="247"/>
      <c r="G628" s="242"/>
      <c r="H628" s="243"/>
      <c r="I628" s="244"/>
      <c r="J628" s="245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17"/>
      <c r="AD628" s="217"/>
      <c r="AE628" s="217"/>
      <c r="AF628" s="217"/>
      <c r="AG628" s="217"/>
      <c r="AH628" s="217"/>
      <c r="AI628" s="217"/>
      <c r="AJ628" s="217"/>
      <c r="AK628" s="217"/>
      <c r="AL628" s="217"/>
      <c r="AM628" s="217"/>
    </row>
    <row r="629">
      <c r="A629" s="217"/>
      <c r="B629" s="241"/>
      <c r="C629" s="247"/>
      <c r="D629" s="247"/>
      <c r="E629" s="247"/>
      <c r="F629" s="247"/>
      <c r="G629" s="242"/>
      <c r="H629" s="243"/>
      <c r="I629" s="244"/>
      <c r="J629" s="245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17"/>
      <c r="AD629" s="217"/>
      <c r="AE629" s="217"/>
      <c r="AF629" s="217"/>
      <c r="AG629" s="217"/>
      <c r="AH629" s="217"/>
      <c r="AI629" s="217"/>
      <c r="AJ629" s="217"/>
      <c r="AK629" s="217"/>
      <c r="AL629" s="217"/>
      <c r="AM629" s="217"/>
    </row>
    <row r="630">
      <c r="A630" s="217"/>
      <c r="B630" s="241"/>
      <c r="C630" s="247"/>
      <c r="D630" s="247"/>
      <c r="E630" s="247"/>
      <c r="F630" s="247"/>
      <c r="G630" s="242"/>
      <c r="H630" s="243"/>
      <c r="I630" s="244"/>
      <c r="J630" s="245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17"/>
      <c r="AD630" s="217"/>
      <c r="AE630" s="217"/>
      <c r="AF630" s="217"/>
      <c r="AG630" s="217"/>
      <c r="AH630" s="217"/>
      <c r="AI630" s="217"/>
      <c r="AJ630" s="217"/>
      <c r="AK630" s="217"/>
      <c r="AL630" s="217"/>
      <c r="AM630" s="217"/>
    </row>
    <row r="631">
      <c r="A631" s="217"/>
      <c r="B631" s="241"/>
      <c r="C631" s="247"/>
      <c r="D631" s="247"/>
      <c r="E631" s="247"/>
      <c r="F631" s="247"/>
      <c r="G631" s="242"/>
      <c r="H631" s="243"/>
      <c r="I631" s="244"/>
      <c r="J631" s="245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17"/>
      <c r="AD631" s="217"/>
      <c r="AE631" s="217"/>
      <c r="AF631" s="217"/>
      <c r="AG631" s="217"/>
      <c r="AH631" s="217"/>
      <c r="AI631" s="217"/>
      <c r="AJ631" s="217"/>
      <c r="AK631" s="217"/>
      <c r="AL631" s="217"/>
      <c r="AM631" s="217"/>
    </row>
    <row r="632">
      <c r="A632" s="217"/>
      <c r="B632" s="241"/>
      <c r="C632" s="247"/>
      <c r="D632" s="247"/>
      <c r="E632" s="247"/>
      <c r="F632" s="247"/>
      <c r="G632" s="242"/>
      <c r="H632" s="243"/>
      <c r="I632" s="244"/>
      <c r="J632" s="245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17"/>
      <c r="AD632" s="217"/>
      <c r="AE632" s="217"/>
      <c r="AF632" s="217"/>
      <c r="AG632" s="217"/>
      <c r="AH632" s="217"/>
      <c r="AI632" s="217"/>
      <c r="AJ632" s="217"/>
      <c r="AK632" s="217"/>
      <c r="AL632" s="217"/>
      <c r="AM632" s="217"/>
    </row>
    <row r="633">
      <c r="A633" s="217"/>
      <c r="B633" s="241"/>
      <c r="C633" s="247"/>
      <c r="D633" s="247"/>
      <c r="E633" s="247"/>
      <c r="F633" s="247"/>
      <c r="G633" s="242"/>
      <c r="H633" s="243"/>
      <c r="I633" s="244"/>
      <c r="J633" s="245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17"/>
      <c r="AD633" s="217"/>
      <c r="AE633" s="217"/>
      <c r="AF633" s="217"/>
      <c r="AG633" s="217"/>
      <c r="AH633" s="217"/>
      <c r="AI633" s="217"/>
      <c r="AJ633" s="217"/>
      <c r="AK633" s="217"/>
      <c r="AL633" s="217"/>
      <c r="AM633" s="217"/>
    </row>
    <row r="634">
      <c r="A634" s="217"/>
      <c r="B634" s="241"/>
      <c r="C634" s="247"/>
      <c r="D634" s="247"/>
      <c r="E634" s="247"/>
      <c r="F634" s="247"/>
      <c r="G634" s="242"/>
      <c r="H634" s="243"/>
      <c r="I634" s="244"/>
      <c r="J634" s="245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17"/>
      <c r="AD634" s="217"/>
      <c r="AE634" s="217"/>
      <c r="AF634" s="217"/>
      <c r="AG634" s="217"/>
      <c r="AH634" s="217"/>
      <c r="AI634" s="217"/>
      <c r="AJ634" s="217"/>
      <c r="AK634" s="217"/>
      <c r="AL634" s="217"/>
      <c r="AM634" s="217"/>
    </row>
    <row r="635">
      <c r="A635" s="217"/>
      <c r="B635" s="241"/>
      <c r="C635" s="247"/>
      <c r="D635" s="247"/>
      <c r="E635" s="247"/>
      <c r="F635" s="247"/>
      <c r="G635" s="242"/>
      <c r="H635" s="243"/>
      <c r="I635" s="244"/>
      <c r="J635" s="245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17"/>
      <c r="AD635" s="217"/>
      <c r="AE635" s="217"/>
      <c r="AF635" s="217"/>
      <c r="AG635" s="217"/>
      <c r="AH635" s="217"/>
      <c r="AI635" s="217"/>
      <c r="AJ635" s="217"/>
      <c r="AK635" s="217"/>
      <c r="AL635" s="217"/>
      <c r="AM635" s="217"/>
    </row>
    <row r="636">
      <c r="A636" s="217"/>
      <c r="B636" s="241"/>
      <c r="C636" s="247"/>
      <c r="D636" s="247"/>
      <c r="E636" s="247"/>
      <c r="F636" s="247"/>
      <c r="G636" s="242"/>
      <c r="H636" s="243"/>
      <c r="I636" s="244"/>
      <c r="J636" s="245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17"/>
      <c r="AD636" s="217"/>
      <c r="AE636" s="217"/>
      <c r="AF636" s="217"/>
      <c r="AG636" s="217"/>
      <c r="AH636" s="217"/>
      <c r="AI636" s="217"/>
      <c r="AJ636" s="217"/>
      <c r="AK636" s="217"/>
      <c r="AL636" s="217"/>
      <c r="AM636" s="217"/>
    </row>
    <row r="637">
      <c r="A637" s="217"/>
      <c r="B637" s="241"/>
      <c r="C637" s="247"/>
      <c r="D637" s="247"/>
      <c r="E637" s="247"/>
      <c r="F637" s="247"/>
      <c r="G637" s="242"/>
      <c r="H637" s="243"/>
      <c r="I637" s="244"/>
      <c r="J637" s="245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17"/>
      <c r="AD637" s="217"/>
      <c r="AE637" s="217"/>
      <c r="AF637" s="217"/>
      <c r="AG637" s="217"/>
      <c r="AH637" s="217"/>
      <c r="AI637" s="217"/>
      <c r="AJ637" s="217"/>
      <c r="AK637" s="217"/>
      <c r="AL637" s="217"/>
      <c r="AM637" s="217"/>
    </row>
    <row r="638">
      <c r="A638" s="217"/>
      <c r="B638" s="241"/>
      <c r="C638" s="247"/>
      <c r="D638" s="247"/>
      <c r="E638" s="247"/>
      <c r="F638" s="247"/>
      <c r="G638" s="242"/>
      <c r="H638" s="243"/>
      <c r="I638" s="244"/>
      <c r="J638" s="245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17"/>
      <c r="AD638" s="217"/>
      <c r="AE638" s="217"/>
      <c r="AF638" s="217"/>
      <c r="AG638" s="217"/>
      <c r="AH638" s="217"/>
      <c r="AI638" s="217"/>
      <c r="AJ638" s="217"/>
      <c r="AK638" s="217"/>
      <c r="AL638" s="217"/>
      <c r="AM638" s="217"/>
    </row>
    <row r="639">
      <c r="A639" s="217"/>
      <c r="B639" s="241"/>
      <c r="C639" s="247"/>
      <c r="D639" s="247"/>
      <c r="E639" s="247"/>
      <c r="F639" s="247"/>
      <c r="G639" s="242"/>
      <c r="H639" s="243"/>
      <c r="I639" s="244"/>
      <c r="J639" s="245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17"/>
      <c r="AD639" s="217"/>
      <c r="AE639" s="217"/>
      <c r="AF639" s="217"/>
      <c r="AG639" s="217"/>
      <c r="AH639" s="217"/>
      <c r="AI639" s="217"/>
      <c r="AJ639" s="217"/>
      <c r="AK639" s="217"/>
      <c r="AL639" s="217"/>
      <c r="AM639" s="217"/>
    </row>
    <row r="640">
      <c r="A640" s="217"/>
      <c r="B640" s="241"/>
      <c r="C640" s="247"/>
      <c r="D640" s="247"/>
      <c r="E640" s="247"/>
      <c r="F640" s="247"/>
      <c r="G640" s="242"/>
      <c r="H640" s="243"/>
      <c r="I640" s="244"/>
      <c r="J640" s="245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17"/>
      <c r="AD640" s="217"/>
      <c r="AE640" s="217"/>
      <c r="AF640" s="217"/>
      <c r="AG640" s="217"/>
      <c r="AH640" s="217"/>
      <c r="AI640" s="217"/>
      <c r="AJ640" s="217"/>
      <c r="AK640" s="217"/>
      <c r="AL640" s="217"/>
      <c r="AM640" s="217"/>
    </row>
    <row r="641">
      <c r="A641" s="217"/>
      <c r="B641" s="241"/>
      <c r="C641" s="247"/>
      <c r="D641" s="247"/>
      <c r="E641" s="247"/>
      <c r="F641" s="247"/>
      <c r="G641" s="242"/>
      <c r="H641" s="243"/>
      <c r="I641" s="244"/>
      <c r="J641" s="245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17"/>
      <c r="AD641" s="217"/>
      <c r="AE641" s="217"/>
      <c r="AF641" s="217"/>
      <c r="AG641" s="217"/>
      <c r="AH641" s="217"/>
      <c r="AI641" s="217"/>
      <c r="AJ641" s="217"/>
      <c r="AK641" s="217"/>
      <c r="AL641" s="217"/>
      <c r="AM641" s="217"/>
    </row>
    <row r="642">
      <c r="A642" s="217"/>
      <c r="B642" s="241"/>
      <c r="C642" s="247"/>
      <c r="D642" s="247"/>
      <c r="E642" s="247"/>
      <c r="F642" s="247"/>
      <c r="G642" s="242"/>
      <c r="H642" s="243"/>
      <c r="I642" s="244"/>
      <c r="J642" s="245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17"/>
      <c r="AD642" s="217"/>
      <c r="AE642" s="217"/>
      <c r="AF642" s="217"/>
      <c r="AG642" s="217"/>
      <c r="AH642" s="217"/>
      <c r="AI642" s="217"/>
      <c r="AJ642" s="217"/>
      <c r="AK642" s="217"/>
      <c r="AL642" s="217"/>
      <c r="AM642" s="217"/>
    </row>
    <row r="643">
      <c r="A643" s="217"/>
      <c r="B643" s="241"/>
      <c r="C643" s="247"/>
      <c r="D643" s="247"/>
      <c r="E643" s="247"/>
      <c r="F643" s="247"/>
      <c r="G643" s="242"/>
      <c r="H643" s="243"/>
      <c r="I643" s="244"/>
      <c r="J643" s="245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17"/>
      <c r="AD643" s="217"/>
      <c r="AE643" s="217"/>
      <c r="AF643" s="217"/>
      <c r="AG643" s="217"/>
      <c r="AH643" s="217"/>
      <c r="AI643" s="217"/>
      <c r="AJ643" s="217"/>
      <c r="AK643" s="217"/>
      <c r="AL643" s="217"/>
      <c r="AM643" s="217"/>
    </row>
    <row r="644">
      <c r="A644" s="217"/>
      <c r="B644" s="241"/>
      <c r="C644" s="247"/>
      <c r="D644" s="247"/>
      <c r="E644" s="247"/>
      <c r="F644" s="247"/>
      <c r="G644" s="242"/>
      <c r="H644" s="243"/>
      <c r="I644" s="244"/>
      <c r="J644" s="245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17"/>
      <c r="AD644" s="217"/>
      <c r="AE644" s="217"/>
      <c r="AF644" s="217"/>
      <c r="AG644" s="217"/>
      <c r="AH644" s="217"/>
      <c r="AI644" s="217"/>
      <c r="AJ644" s="217"/>
      <c r="AK644" s="217"/>
      <c r="AL644" s="217"/>
      <c r="AM644" s="217"/>
    </row>
    <row r="645">
      <c r="A645" s="217"/>
      <c r="B645" s="241"/>
      <c r="C645" s="247"/>
      <c r="D645" s="247"/>
      <c r="E645" s="247"/>
      <c r="F645" s="247"/>
      <c r="G645" s="242"/>
      <c r="H645" s="243"/>
      <c r="I645" s="244"/>
      <c r="J645" s="245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17"/>
      <c r="AD645" s="217"/>
      <c r="AE645" s="217"/>
      <c r="AF645" s="217"/>
      <c r="AG645" s="217"/>
      <c r="AH645" s="217"/>
      <c r="AI645" s="217"/>
      <c r="AJ645" s="217"/>
      <c r="AK645" s="217"/>
      <c r="AL645" s="217"/>
      <c r="AM645" s="217"/>
    </row>
    <row r="646">
      <c r="A646" s="217"/>
      <c r="B646" s="241"/>
      <c r="C646" s="247"/>
      <c r="D646" s="247"/>
      <c r="E646" s="247"/>
      <c r="F646" s="247"/>
      <c r="G646" s="242"/>
      <c r="H646" s="243"/>
      <c r="I646" s="244"/>
      <c r="J646" s="245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17"/>
      <c r="AD646" s="217"/>
      <c r="AE646" s="217"/>
      <c r="AF646" s="217"/>
      <c r="AG646" s="217"/>
      <c r="AH646" s="217"/>
      <c r="AI646" s="217"/>
      <c r="AJ646" s="217"/>
      <c r="AK646" s="217"/>
      <c r="AL646" s="217"/>
      <c r="AM646" s="217"/>
    </row>
    <row r="647">
      <c r="A647" s="217"/>
      <c r="B647" s="241"/>
      <c r="C647" s="247"/>
      <c r="D647" s="247"/>
      <c r="E647" s="247"/>
      <c r="F647" s="247"/>
      <c r="G647" s="242"/>
      <c r="H647" s="243"/>
      <c r="I647" s="244"/>
      <c r="J647" s="245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17"/>
      <c r="AD647" s="217"/>
      <c r="AE647" s="217"/>
      <c r="AF647" s="217"/>
      <c r="AG647" s="217"/>
      <c r="AH647" s="217"/>
      <c r="AI647" s="217"/>
      <c r="AJ647" s="217"/>
      <c r="AK647" s="217"/>
      <c r="AL647" s="217"/>
      <c r="AM647" s="217"/>
    </row>
    <row r="648">
      <c r="A648" s="217"/>
      <c r="B648" s="241"/>
      <c r="C648" s="247"/>
      <c r="D648" s="247"/>
      <c r="E648" s="247"/>
      <c r="F648" s="247"/>
      <c r="G648" s="242"/>
      <c r="H648" s="243"/>
      <c r="I648" s="244"/>
      <c r="J648" s="245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17"/>
      <c r="AD648" s="217"/>
      <c r="AE648" s="217"/>
      <c r="AF648" s="217"/>
      <c r="AG648" s="217"/>
      <c r="AH648" s="217"/>
      <c r="AI648" s="217"/>
      <c r="AJ648" s="217"/>
      <c r="AK648" s="217"/>
      <c r="AL648" s="217"/>
      <c r="AM648" s="217"/>
    </row>
    <row r="649">
      <c r="A649" s="217"/>
      <c r="B649" s="241"/>
      <c r="C649" s="247"/>
      <c r="D649" s="247"/>
      <c r="E649" s="247"/>
      <c r="F649" s="247"/>
      <c r="G649" s="242"/>
      <c r="H649" s="243"/>
      <c r="I649" s="244"/>
      <c r="J649" s="245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17"/>
      <c r="AD649" s="217"/>
      <c r="AE649" s="217"/>
      <c r="AF649" s="217"/>
      <c r="AG649" s="217"/>
      <c r="AH649" s="217"/>
      <c r="AI649" s="217"/>
      <c r="AJ649" s="217"/>
      <c r="AK649" s="217"/>
      <c r="AL649" s="217"/>
      <c r="AM649" s="217"/>
    </row>
    <row r="650">
      <c r="A650" s="217"/>
      <c r="B650" s="241"/>
      <c r="C650" s="247"/>
      <c r="D650" s="247"/>
      <c r="E650" s="247"/>
      <c r="F650" s="247"/>
      <c r="G650" s="242"/>
      <c r="H650" s="243"/>
      <c r="I650" s="244"/>
      <c r="J650" s="245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17"/>
      <c r="AD650" s="217"/>
      <c r="AE650" s="217"/>
      <c r="AF650" s="217"/>
      <c r="AG650" s="217"/>
      <c r="AH650" s="217"/>
      <c r="AI650" s="217"/>
      <c r="AJ650" s="217"/>
      <c r="AK650" s="217"/>
      <c r="AL650" s="217"/>
      <c r="AM650" s="217"/>
    </row>
    <row r="651">
      <c r="A651" s="217"/>
      <c r="B651" s="241"/>
      <c r="C651" s="247"/>
      <c r="D651" s="247"/>
      <c r="E651" s="247"/>
      <c r="F651" s="247"/>
      <c r="G651" s="242"/>
      <c r="H651" s="243"/>
      <c r="I651" s="244"/>
      <c r="J651" s="245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17"/>
      <c r="AD651" s="217"/>
      <c r="AE651" s="217"/>
      <c r="AF651" s="217"/>
      <c r="AG651" s="217"/>
      <c r="AH651" s="217"/>
      <c r="AI651" s="217"/>
      <c r="AJ651" s="217"/>
      <c r="AK651" s="217"/>
      <c r="AL651" s="217"/>
      <c r="AM651" s="217"/>
    </row>
    <row r="652">
      <c r="A652" s="217"/>
      <c r="B652" s="241"/>
      <c r="C652" s="247"/>
      <c r="D652" s="247"/>
      <c r="E652" s="247"/>
      <c r="F652" s="247"/>
      <c r="G652" s="242"/>
      <c r="H652" s="243"/>
      <c r="I652" s="244"/>
      <c r="J652" s="245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17"/>
      <c r="AD652" s="217"/>
      <c r="AE652" s="217"/>
      <c r="AF652" s="217"/>
      <c r="AG652" s="217"/>
      <c r="AH652" s="217"/>
      <c r="AI652" s="217"/>
      <c r="AJ652" s="217"/>
      <c r="AK652" s="217"/>
      <c r="AL652" s="217"/>
      <c r="AM652" s="217"/>
    </row>
    <row r="653">
      <c r="A653" s="217"/>
      <c r="B653" s="241"/>
      <c r="C653" s="247"/>
      <c r="D653" s="247"/>
      <c r="E653" s="247"/>
      <c r="F653" s="247"/>
      <c r="G653" s="242"/>
      <c r="H653" s="243"/>
      <c r="I653" s="244"/>
      <c r="J653" s="245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17"/>
      <c r="AD653" s="217"/>
      <c r="AE653" s="217"/>
      <c r="AF653" s="217"/>
      <c r="AG653" s="217"/>
      <c r="AH653" s="217"/>
      <c r="AI653" s="217"/>
      <c r="AJ653" s="217"/>
      <c r="AK653" s="217"/>
      <c r="AL653" s="217"/>
      <c r="AM653" s="217"/>
    </row>
    <row r="654">
      <c r="A654" s="217"/>
      <c r="B654" s="241"/>
      <c r="C654" s="247"/>
      <c r="D654" s="247"/>
      <c r="E654" s="247"/>
      <c r="F654" s="247"/>
      <c r="G654" s="242"/>
      <c r="H654" s="243"/>
      <c r="I654" s="244"/>
      <c r="J654" s="245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17"/>
      <c r="AD654" s="217"/>
      <c r="AE654" s="217"/>
      <c r="AF654" s="217"/>
      <c r="AG654" s="217"/>
      <c r="AH654" s="217"/>
      <c r="AI654" s="217"/>
      <c r="AJ654" s="217"/>
      <c r="AK654" s="217"/>
      <c r="AL654" s="217"/>
      <c r="AM654" s="217"/>
    </row>
    <row r="655">
      <c r="A655" s="217"/>
      <c r="B655" s="241"/>
      <c r="C655" s="247"/>
      <c r="D655" s="247"/>
      <c r="E655" s="247"/>
      <c r="F655" s="247"/>
      <c r="G655" s="242"/>
      <c r="H655" s="243"/>
      <c r="I655" s="244"/>
      <c r="J655" s="245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17"/>
      <c r="AD655" s="217"/>
      <c r="AE655" s="217"/>
      <c r="AF655" s="217"/>
      <c r="AG655" s="217"/>
      <c r="AH655" s="217"/>
      <c r="AI655" s="217"/>
      <c r="AJ655" s="217"/>
      <c r="AK655" s="217"/>
      <c r="AL655" s="217"/>
      <c r="AM655" s="217"/>
    </row>
    <row r="656">
      <c r="A656" s="217"/>
      <c r="B656" s="241"/>
      <c r="C656" s="247"/>
      <c r="D656" s="247"/>
      <c r="E656" s="247"/>
      <c r="F656" s="247"/>
      <c r="G656" s="242"/>
      <c r="H656" s="243"/>
      <c r="I656" s="244"/>
      <c r="J656" s="245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17"/>
      <c r="AD656" s="217"/>
      <c r="AE656" s="217"/>
      <c r="AF656" s="217"/>
      <c r="AG656" s="217"/>
      <c r="AH656" s="217"/>
      <c r="AI656" s="217"/>
      <c r="AJ656" s="217"/>
      <c r="AK656" s="217"/>
      <c r="AL656" s="217"/>
      <c r="AM656" s="217"/>
    </row>
    <row r="657">
      <c r="A657" s="217"/>
      <c r="B657" s="241"/>
      <c r="C657" s="247"/>
      <c r="D657" s="247"/>
      <c r="E657" s="247"/>
      <c r="F657" s="247"/>
      <c r="G657" s="242"/>
      <c r="H657" s="243"/>
      <c r="I657" s="244"/>
      <c r="J657" s="245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17"/>
      <c r="AD657" s="217"/>
      <c r="AE657" s="217"/>
      <c r="AF657" s="217"/>
      <c r="AG657" s="217"/>
      <c r="AH657" s="217"/>
      <c r="AI657" s="217"/>
      <c r="AJ657" s="217"/>
      <c r="AK657" s="217"/>
      <c r="AL657" s="217"/>
      <c r="AM657" s="217"/>
    </row>
    <row r="658">
      <c r="A658" s="217"/>
      <c r="B658" s="241"/>
      <c r="C658" s="247"/>
      <c r="D658" s="247"/>
      <c r="E658" s="247"/>
      <c r="F658" s="247"/>
      <c r="G658" s="242"/>
      <c r="H658" s="243"/>
      <c r="I658" s="244"/>
      <c r="J658" s="245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17"/>
      <c r="AD658" s="217"/>
      <c r="AE658" s="217"/>
      <c r="AF658" s="217"/>
      <c r="AG658" s="217"/>
      <c r="AH658" s="217"/>
      <c r="AI658" s="217"/>
      <c r="AJ658" s="217"/>
      <c r="AK658" s="217"/>
      <c r="AL658" s="217"/>
      <c r="AM658" s="217"/>
    </row>
    <row r="659">
      <c r="A659" s="217"/>
      <c r="B659" s="241"/>
      <c r="C659" s="247"/>
      <c r="D659" s="247"/>
      <c r="E659" s="247"/>
      <c r="F659" s="247"/>
      <c r="G659" s="242"/>
      <c r="H659" s="243"/>
      <c r="I659" s="244"/>
      <c r="J659" s="245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17"/>
      <c r="AD659" s="217"/>
      <c r="AE659" s="217"/>
      <c r="AF659" s="217"/>
      <c r="AG659" s="217"/>
      <c r="AH659" s="217"/>
      <c r="AI659" s="217"/>
      <c r="AJ659" s="217"/>
      <c r="AK659" s="217"/>
      <c r="AL659" s="217"/>
      <c r="AM659" s="217"/>
    </row>
    <row r="660">
      <c r="A660" s="217"/>
      <c r="B660" s="241"/>
      <c r="C660" s="247"/>
      <c r="D660" s="247"/>
      <c r="E660" s="247"/>
      <c r="F660" s="247"/>
      <c r="G660" s="242"/>
      <c r="H660" s="243"/>
      <c r="I660" s="244"/>
      <c r="J660" s="245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17"/>
      <c r="AD660" s="217"/>
      <c r="AE660" s="217"/>
      <c r="AF660" s="217"/>
      <c r="AG660" s="217"/>
      <c r="AH660" s="217"/>
      <c r="AI660" s="217"/>
      <c r="AJ660" s="217"/>
      <c r="AK660" s="217"/>
      <c r="AL660" s="217"/>
      <c r="AM660" s="217"/>
    </row>
    <row r="661">
      <c r="A661" s="217"/>
      <c r="B661" s="241"/>
      <c r="C661" s="247"/>
      <c r="D661" s="247"/>
      <c r="E661" s="247"/>
      <c r="F661" s="247"/>
      <c r="G661" s="242"/>
      <c r="H661" s="243"/>
      <c r="I661" s="244"/>
      <c r="J661" s="245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17"/>
      <c r="AD661" s="217"/>
      <c r="AE661" s="217"/>
      <c r="AF661" s="217"/>
      <c r="AG661" s="217"/>
      <c r="AH661" s="217"/>
      <c r="AI661" s="217"/>
      <c r="AJ661" s="217"/>
      <c r="AK661" s="217"/>
      <c r="AL661" s="217"/>
      <c r="AM661" s="217"/>
    </row>
    <row r="662">
      <c r="A662" s="217"/>
      <c r="B662" s="241"/>
      <c r="C662" s="247"/>
      <c r="D662" s="247"/>
      <c r="E662" s="247"/>
      <c r="F662" s="247"/>
      <c r="G662" s="242"/>
      <c r="H662" s="243"/>
      <c r="I662" s="244"/>
      <c r="J662" s="245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17"/>
      <c r="AD662" s="217"/>
      <c r="AE662" s="217"/>
      <c r="AF662" s="217"/>
      <c r="AG662" s="217"/>
      <c r="AH662" s="217"/>
      <c r="AI662" s="217"/>
      <c r="AJ662" s="217"/>
      <c r="AK662" s="217"/>
      <c r="AL662" s="217"/>
      <c r="AM662" s="217"/>
    </row>
    <row r="663">
      <c r="A663" s="217"/>
      <c r="B663" s="241"/>
      <c r="C663" s="247"/>
      <c r="D663" s="247"/>
      <c r="E663" s="247"/>
      <c r="F663" s="247"/>
      <c r="G663" s="242"/>
      <c r="H663" s="243"/>
      <c r="I663" s="244"/>
      <c r="J663" s="245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17"/>
      <c r="AD663" s="217"/>
      <c r="AE663" s="217"/>
      <c r="AF663" s="217"/>
      <c r="AG663" s="217"/>
      <c r="AH663" s="217"/>
      <c r="AI663" s="217"/>
      <c r="AJ663" s="217"/>
      <c r="AK663" s="217"/>
      <c r="AL663" s="217"/>
      <c r="AM663" s="217"/>
    </row>
    <row r="664">
      <c r="A664" s="217"/>
      <c r="B664" s="241"/>
      <c r="C664" s="247"/>
      <c r="D664" s="247"/>
      <c r="E664" s="247"/>
      <c r="F664" s="247"/>
      <c r="G664" s="242"/>
      <c r="H664" s="243"/>
      <c r="I664" s="244"/>
      <c r="J664" s="245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17"/>
      <c r="AD664" s="217"/>
      <c r="AE664" s="217"/>
      <c r="AF664" s="217"/>
      <c r="AG664" s="217"/>
      <c r="AH664" s="217"/>
      <c r="AI664" s="217"/>
      <c r="AJ664" s="217"/>
      <c r="AK664" s="217"/>
      <c r="AL664" s="217"/>
      <c r="AM664" s="217"/>
    </row>
    <row r="665">
      <c r="A665" s="217"/>
      <c r="B665" s="241"/>
      <c r="C665" s="247"/>
      <c r="D665" s="247"/>
      <c r="E665" s="247"/>
      <c r="F665" s="247"/>
      <c r="G665" s="242"/>
      <c r="H665" s="243"/>
      <c r="I665" s="244"/>
      <c r="J665" s="245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17"/>
      <c r="AD665" s="217"/>
      <c r="AE665" s="217"/>
      <c r="AF665" s="217"/>
      <c r="AG665" s="217"/>
      <c r="AH665" s="217"/>
      <c r="AI665" s="217"/>
      <c r="AJ665" s="217"/>
      <c r="AK665" s="217"/>
      <c r="AL665" s="217"/>
      <c r="AM665" s="217"/>
    </row>
    <row r="666">
      <c r="A666" s="217"/>
      <c r="B666" s="241"/>
      <c r="C666" s="247"/>
      <c r="D666" s="247"/>
      <c r="E666" s="247"/>
      <c r="F666" s="247"/>
      <c r="G666" s="242"/>
      <c r="H666" s="243"/>
      <c r="I666" s="244"/>
      <c r="J666" s="245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17"/>
      <c r="AD666" s="217"/>
      <c r="AE666" s="217"/>
      <c r="AF666" s="217"/>
      <c r="AG666" s="217"/>
      <c r="AH666" s="217"/>
      <c r="AI666" s="217"/>
      <c r="AJ666" s="217"/>
      <c r="AK666" s="217"/>
      <c r="AL666" s="217"/>
      <c r="AM666" s="217"/>
    </row>
    <row r="667">
      <c r="A667" s="217"/>
      <c r="B667" s="241"/>
      <c r="C667" s="247"/>
      <c r="D667" s="247"/>
      <c r="E667" s="247"/>
      <c r="F667" s="247"/>
      <c r="G667" s="242"/>
      <c r="H667" s="243"/>
      <c r="I667" s="244"/>
      <c r="J667" s="245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17"/>
      <c r="AD667" s="217"/>
      <c r="AE667" s="217"/>
      <c r="AF667" s="217"/>
      <c r="AG667" s="217"/>
      <c r="AH667" s="217"/>
      <c r="AI667" s="217"/>
      <c r="AJ667" s="217"/>
      <c r="AK667" s="217"/>
      <c r="AL667" s="217"/>
      <c r="AM667" s="217"/>
    </row>
    <row r="668">
      <c r="A668" s="217"/>
      <c r="B668" s="241"/>
      <c r="C668" s="247"/>
      <c r="D668" s="247"/>
      <c r="E668" s="247"/>
      <c r="F668" s="247"/>
      <c r="G668" s="242"/>
      <c r="H668" s="243"/>
      <c r="I668" s="244"/>
      <c r="J668" s="245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17"/>
      <c r="AD668" s="217"/>
      <c r="AE668" s="217"/>
      <c r="AF668" s="217"/>
      <c r="AG668" s="217"/>
      <c r="AH668" s="217"/>
      <c r="AI668" s="217"/>
      <c r="AJ668" s="217"/>
      <c r="AK668" s="217"/>
      <c r="AL668" s="217"/>
      <c r="AM668" s="217"/>
    </row>
    <row r="669">
      <c r="A669" s="217"/>
      <c r="B669" s="241"/>
      <c r="C669" s="247"/>
      <c r="D669" s="247"/>
      <c r="E669" s="247"/>
      <c r="F669" s="247"/>
      <c r="G669" s="242"/>
      <c r="H669" s="243"/>
      <c r="I669" s="244"/>
      <c r="J669" s="245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17"/>
      <c r="AD669" s="217"/>
      <c r="AE669" s="217"/>
      <c r="AF669" s="217"/>
      <c r="AG669" s="217"/>
      <c r="AH669" s="217"/>
      <c r="AI669" s="217"/>
      <c r="AJ669" s="217"/>
      <c r="AK669" s="217"/>
      <c r="AL669" s="217"/>
      <c r="AM669" s="217"/>
    </row>
    <row r="670">
      <c r="A670" s="217"/>
      <c r="B670" s="241"/>
      <c r="C670" s="247"/>
      <c r="D670" s="247"/>
      <c r="E670" s="247"/>
      <c r="F670" s="247"/>
      <c r="G670" s="242"/>
      <c r="H670" s="243"/>
      <c r="I670" s="244"/>
      <c r="J670" s="245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17"/>
      <c r="AD670" s="217"/>
      <c r="AE670" s="217"/>
      <c r="AF670" s="217"/>
      <c r="AG670" s="217"/>
      <c r="AH670" s="217"/>
      <c r="AI670" s="217"/>
      <c r="AJ670" s="217"/>
      <c r="AK670" s="217"/>
      <c r="AL670" s="217"/>
      <c r="AM670" s="217"/>
    </row>
    <row r="671">
      <c r="A671" s="217"/>
      <c r="B671" s="241"/>
      <c r="C671" s="247"/>
      <c r="D671" s="247"/>
      <c r="E671" s="247"/>
      <c r="F671" s="247"/>
      <c r="G671" s="242"/>
      <c r="H671" s="243"/>
      <c r="I671" s="244"/>
      <c r="J671" s="245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17"/>
      <c r="AD671" s="217"/>
      <c r="AE671" s="217"/>
      <c r="AF671" s="217"/>
      <c r="AG671" s="217"/>
      <c r="AH671" s="217"/>
      <c r="AI671" s="217"/>
      <c r="AJ671" s="217"/>
      <c r="AK671" s="217"/>
      <c r="AL671" s="217"/>
      <c r="AM671" s="217"/>
    </row>
    <row r="672">
      <c r="A672" s="217"/>
      <c r="B672" s="241"/>
      <c r="C672" s="247"/>
      <c r="D672" s="247"/>
      <c r="E672" s="247"/>
      <c r="F672" s="247"/>
      <c r="G672" s="242"/>
      <c r="H672" s="243"/>
      <c r="I672" s="244"/>
      <c r="J672" s="245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17"/>
      <c r="AD672" s="217"/>
      <c r="AE672" s="217"/>
      <c r="AF672" s="217"/>
      <c r="AG672" s="217"/>
      <c r="AH672" s="217"/>
      <c r="AI672" s="217"/>
      <c r="AJ672" s="217"/>
      <c r="AK672" s="217"/>
      <c r="AL672" s="217"/>
      <c r="AM672" s="217"/>
    </row>
    <row r="673">
      <c r="A673" s="217"/>
      <c r="B673" s="241"/>
      <c r="C673" s="247"/>
      <c r="D673" s="247"/>
      <c r="E673" s="247"/>
      <c r="F673" s="247"/>
      <c r="G673" s="242"/>
      <c r="H673" s="243"/>
      <c r="I673" s="244"/>
      <c r="J673" s="245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17"/>
      <c r="AD673" s="217"/>
      <c r="AE673" s="217"/>
      <c r="AF673" s="217"/>
      <c r="AG673" s="217"/>
      <c r="AH673" s="217"/>
      <c r="AI673" s="217"/>
      <c r="AJ673" s="217"/>
      <c r="AK673" s="217"/>
      <c r="AL673" s="217"/>
      <c r="AM673" s="217"/>
    </row>
    <row r="674">
      <c r="A674" s="217"/>
      <c r="B674" s="241"/>
      <c r="C674" s="247"/>
      <c r="D674" s="247"/>
      <c r="E674" s="247"/>
      <c r="F674" s="247"/>
      <c r="G674" s="242"/>
      <c r="H674" s="243"/>
      <c r="I674" s="244"/>
      <c r="J674" s="245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17"/>
      <c r="AD674" s="217"/>
      <c r="AE674" s="217"/>
      <c r="AF674" s="217"/>
      <c r="AG674" s="217"/>
      <c r="AH674" s="217"/>
      <c r="AI674" s="217"/>
      <c r="AJ674" s="217"/>
      <c r="AK674" s="217"/>
      <c r="AL674" s="217"/>
      <c r="AM674" s="217"/>
    </row>
    <row r="675">
      <c r="A675" s="217"/>
      <c r="B675" s="241"/>
      <c r="C675" s="247"/>
      <c r="D675" s="247"/>
      <c r="E675" s="247"/>
      <c r="F675" s="247"/>
      <c r="G675" s="242"/>
      <c r="H675" s="243"/>
      <c r="I675" s="244"/>
      <c r="J675" s="245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17"/>
      <c r="AD675" s="217"/>
      <c r="AE675" s="217"/>
      <c r="AF675" s="217"/>
      <c r="AG675" s="217"/>
      <c r="AH675" s="217"/>
      <c r="AI675" s="217"/>
      <c r="AJ675" s="217"/>
      <c r="AK675" s="217"/>
      <c r="AL675" s="217"/>
      <c r="AM675" s="217"/>
    </row>
    <row r="676">
      <c r="A676" s="217"/>
      <c r="B676" s="241"/>
      <c r="C676" s="247"/>
      <c r="D676" s="247"/>
      <c r="E676" s="247"/>
      <c r="F676" s="247"/>
      <c r="G676" s="242"/>
      <c r="H676" s="243"/>
      <c r="I676" s="244"/>
      <c r="J676" s="245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7"/>
      <c r="AE676" s="217"/>
      <c r="AF676" s="217"/>
      <c r="AG676" s="217"/>
      <c r="AH676" s="217"/>
      <c r="AI676" s="217"/>
      <c r="AJ676" s="217"/>
      <c r="AK676" s="217"/>
      <c r="AL676" s="217"/>
      <c r="AM676" s="217"/>
    </row>
    <row r="677">
      <c r="A677" s="217"/>
      <c r="B677" s="241"/>
      <c r="C677" s="247"/>
      <c r="D677" s="247"/>
      <c r="E677" s="247"/>
      <c r="F677" s="247"/>
      <c r="G677" s="242"/>
      <c r="H677" s="243"/>
      <c r="I677" s="244"/>
      <c r="J677" s="245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  <c r="AE677" s="217"/>
      <c r="AF677" s="217"/>
      <c r="AG677" s="217"/>
      <c r="AH677" s="217"/>
      <c r="AI677" s="217"/>
      <c r="AJ677" s="217"/>
      <c r="AK677" s="217"/>
      <c r="AL677" s="217"/>
      <c r="AM677" s="217"/>
    </row>
    <row r="678">
      <c r="A678" s="217"/>
      <c r="B678" s="241"/>
      <c r="C678" s="247"/>
      <c r="D678" s="247"/>
      <c r="E678" s="247"/>
      <c r="F678" s="247"/>
      <c r="G678" s="242"/>
      <c r="H678" s="243"/>
      <c r="I678" s="244"/>
      <c r="J678" s="245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17"/>
      <c r="AD678" s="217"/>
      <c r="AE678" s="217"/>
      <c r="AF678" s="217"/>
      <c r="AG678" s="217"/>
      <c r="AH678" s="217"/>
      <c r="AI678" s="217"/>
      <c r="AJ678" s="217"/>
      <c r="AK678" s="217"/>
      <c r="AL678" s="217"/>
      <c r="AM678" s="217"/>
    </row>
    <row r="679">
      <c r="A679" s="217"/>
      <c r="B679" s="241"/>
      <c r="C679" s="247"/>
      <c r="D679" s="247"/>
      <c r="E679" s="247"/>
      <c r="F679" s="247"/>
      <c r="G679" s="242"/>
      <c r="H679" s="243"/>
      <c r="I679" s="244"/>
      <c r="J679" s="245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17"/>
      <c r="AD679" s="217"/>
      <c r="AE679" s="217"/>
      <c r="AF679" s="217"/>
      <c r="AG679" s="217"/>
      <c r="AH679" s="217"/>
      <c r="AI679" s="217"/>
      <c r="AJ679" s="217"/>
      <c r="AK679" s="217"/>
      <c r="AL679" s="217"/>
      <c r="AM679" s="217"/>
    </row>
    <row r="680">
      <c r="A680" s="217"/>
      <c r="B680" s="241"/>
      <c r="C680" s="247"/>
      <c r="D680" s="247"/>
      <c r="E680" s="247"/>
      <c r="F680" s="247"/>
      <c r="G680" s="242"/>
      <c r="H680" s="243"/>
      <c r="I680" s="244"/>
      <c r="J680" s="245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17"/>
      <c r="AD680" s="217"/>
      <c r="AE680" s="217"/>
      <c r="AF680" s="217"/>
      <c r="AG680" s="217"/>
      <c r="AH680" s="217"/>
      <c r="AI680" s="217"/>
      <c r="AJ680" s="217"/>
      <c r="AK680" s="217"/>
      <c r="AL680" s="217"/>
      <c r="AM680" s="217"/>
    </row>
    <row r="681">
      <c r="A681" s="217"/>
      <c r="B681" s="241"/>
      <c r="C681" s="247"/>
      <c r="D681" s="247"/>
      <c r="E681" s="247"/>
      <c r="F681" s="247"/>
      <c r="G681" s="242"/>
      <c r="H681" s="243"/>
      <c r="I681" s="244"/>
      <c r="J681" s="245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17"/>
      <c r="AD681" s="217"/>
      <c r="AE681" s="217"/>
      <c r="AF681" s="217"/>
      <c r="AG681" s="217"/>
      <c r="AH681" s="217"/>
      <c r="AI681" s="217"/>
      <c r="AJ681" s="217"/>
      <c r="AK681" s="217"/>
      <c r="AL681" s="217"/>
      <c r="AM681" s="217"/>
    </row>
    <row r="682">
      <c r="A682" s="217"/>
      <c r="B682" s="241"/>
      <c r="C682" s="247"/>
      <c r="D682" s="247"/>
      <c r="E682" s="247"/>
      <c r="F682" s="247"/>
      <c r="G682" s="242"/>
      <c r="H682" s="243"/>
      <c r="I682" s="244"/>
      <c r="J682" s="245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17"/>
      <c r="AD682" s="217"/>
      <c r="AE682" s="217"/>
      <c r="AF682" s="217"/>
      <c r="AG682" s="217"/>
      <c r="AH682" s="217"/>
      <c r="AI682" s="217"/>
      <c r="AJ682" s="217"/>
      <c r="AK682" s="217"/>
      <c r="AL682" s="217"/>
      <c r="AM682" s="217"/>
    </row>
    <row r="683">
      <c r="A683" s="217"/>
      <c r="B683" s="241"/>
      <c r="C683" s="247"/>
      <c r="D683" s="247"/>
      <c r="E683" s="247"/>
      <c r="F683" s="247"/>
      <c r="G683" s="242"/>
      <c r="H683" s="243"/>
      <c r="I683" s="244"/>
      <c r="J683" s="245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17"/>
      <c r="AD683" s="217"/>
      <c r="AE683" s="217"/>
      <c r="AF683" s="217"/>
      <c r="AG683" s="217"/>
      <c r="AH683" s="217"/>
      <c r="AI683" s="217"/>
      <c r="AJ683" s="217"/>
      <c r="AK683" s="217"/>
      <c r="AL683" s="217"/>
      <c r="AM683" s="217"/>
    </row>
    <row r="684">
      <c r="A684" s="217"/>
      <c r="B684" s="241"/>
      <c r="C684" s="247"/>
      <c r="D684" s="247"/>
      <c r="E684" s="247"/>
      <c r="F684" s="247"/>
      <c r="G684" s="242"/>
      <c r="H684" s="243"/>
      <c r="I684" s="244"/>
      <c r="J684" s="245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17"/>
      <c r="AD684" s="217"/>
      <c r="AE684" s="217"/>
      <c r="AF684" s="217"/>
      <c r="AG684" s="217"/>
      <c r="AH684" s="217"/>
      <c r="AI684" s="217"/>
      <c r="AJ684" s="217"/>
      <c r="AK684" s="217"/>
      <c r="AL684" s="217"/>
      <c r="AM684" s="217"/>
    </row>
    <row r="685">
      <c r="A685" s="217"/>
      <c r="B685" s="241"/>
      <c r="C685" s="247"/>
      <c r="D685" s="247"/>
      <c r="E685" s="247"/>
      <c r="F685" s="247"/>
      <c r="G685" s="242"/>
      <c r="H685" s="243"/>
      <c r="I685" s="244"/>
      <c r="J685" s="245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17"/>
      <c r="AD685" s="217"/>
      <c r="AE685" s="217"/>
      <c r="AF685" s="217"/>
      <c r="AG685" s="217"/>
      <c r="AH685" s="217"/>
      <c r="AI685" s="217"/>
      <c r="AJ685" s="217"/>
      <c r="AK685" s="217"/>
      <c r="AL685" s="217"/>
      <c r="AM685" s="217"/>
    </row>
    <row r="686">
      <c r="A686" s="217"/>
      <c r="B686" s="241"/>
      <c r="C686" s="247"/>
      <c r="D686" s="247"/>
      <c r="E686" s="247"/>
      <c r="F686" s="247"/>
      <c r="G686" s="242"/>
      <c r="H686" s="243"/>
      <c r="I686" s="244"/>
      <c r="J686" s="245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17"/>
      <c r="AD686" s="217"/>
      <c r="AE686" s="217"/>
      <c r="AF686" s="217"/>
      <c r="AG686" s="217"/>
      <c r="AH686" s="217"/>
      <c r="AI686" s="217"/>
      <c r="AJ686" s="217"/>
      <c r="AK686" s="217"/>
      <c r="AL686" s="217"/>
      <c r="AM686" s="217"/>
    </row>
    <row r="687">
      <c r="A687" s="217"/>
      <c r="B687" s="241"/>
      <c r="C687" s="247"/>
      <c r="D687" s="247"/>
      <c r="E687" s="247"/>
      <c r="F687" s="247"/>
      <c r="G687" s="242"/>
      <c r="H687" s="243"/>
      <c r="I687" s="244"/>
      <c r="J687" s="245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17"/>
      <c r="AD687" s="217"/>
      <c r="AE687" s="217"/>
      <c r="AF687" s="217"/>
      <c r="AG687" s="217"/>
      <c r="AH687" s="217"/>
      <c r="AI687" s="217"/>
      <c r="AJ687" s="217"/>
      <c r="AK687" s="217"/>
      <c r="AL687" s="217"/>
      <c r="AM687" s="217"/>
    </row>
    <row r="688">
      <c r="A688" s="217"/>
      <c r="B688" s="241"/>
      <c r="C688" s="247"/>
      <c r="D688" s="247"/>
      <c r="E688" s="247"/>
      <c r="F688" s="247"/>
      <c r="G688" s="242"/>
      <c r="H688" s="243"/>
      <c r="I688" s="244"/>
      <c r="J688" s="245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17"/>
      <c r="AD688" s="217"/>
      <c r="AE688" s="217"/>
      <c r="AF688" s="217"/>
      <c r="AG688" s="217"/>
      <c r="AH688" s="217"/>
      <c r="AI688" s="217"/>
      <c r="AJ688" s="217"/>
      <c r="AK688" s="217"/>
      <c r="AL688" s="217"/>
      <c r="AM688" s="217"/>
    </row>
    <row r="689">
      <c r="A689" s="217"/>
      <c r="B689" s="241"/>
      <c r="C689" s="247"/>
      <c r="D689" s="247"/>
      <c r="E689" s="247"/>
      <c r="F689" s="247"/>
      <c r="G689" s="242"/>
      <c r="H689" s="243"/>
      <c r="I689" s="244"/>
      <c r="J689" s="245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17"/>
      <c r="AD689" s="217"/>
      <c r="AE689" s="217"/>
      <c r="AF689" s="217"/>
      <c r="AG689" s="217"/>
      <c r="AH689" s="217"/>
      <c r="AI689" s="217"/>
      <c r="AJ689" s="217"/>
      <c r="AK689" s="217"/>
      <c r="AL689" s="217"/>
      <c r="AM689" s="217"/>
    </row>
    <row r="690">
      <c r="A690" s="217"/>
      <c r="B690" s="241"/>
      <c r="C690" s="247"/>
      <c r="D690" s="247"/>
      <c r="E690" s="247"/>
      <c r="F690" s="247"/>
      <c r="G690" s="242"/>
      <c r="H690" s="243"/>
      <c r="I690" s="244"/>
      <c r="J690" s="245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17"/>
      <c r="AD690" s="217"/>
      <c r="AE690" s="217"/>
      <c r="AF690" s="217"/>
      <c r="AG690" s="217"/>
      <c r="AH690" s="217"/>
      <c r="AI690" s="217"/>
      <c r="AJ690" s="217"/>
      <c r="AK690" s="217"/>
      <c r="AL690" s="217"/>
      <c r="AM690" s="217"/>
    </row>
    <row r="691">
      <c r="A691" s="217"/>
      <c r="B691" s="241"/>
      <c r="C691" s="247"/>
      <c r="D691" s="247"/>
      <c r="E691" s="247"/>
      <c r="F691" s="247"/>
      <c r="G691" s="242"/>
      <c r="H691" s="243"/>
      <c r="I691" s="244"/>
      <c r="J691" s="245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17"/>
      <c r="AD691" s="217"/>
      <c r="AE691" s="217"/>
      <c r="AF691" s="217"/>
      <c r="AG691" s="217"/>
      <c r="AH691" s="217"/>
      <c r="AI691" s="217"/>
      <c r="AJ691" s="217"/>
      <c r="AK691" s="217"/>
      <c r="AL691" s="217"/>
      <c r="AM691" s="217"/>
    </row>
    <row r="692">
      <c r="A692" s="217"/>
      <c r="B692" s="241"/>
      <c r="C692" s="247"/>
      <c r="D692" s="247"/>
      <c r="E692" s="247"/>
      <c r="F692" s="247"/>
      <c r="G692" s="242"/>
      <c r="H692" s="243"/>
      <c r="I692" s="244"/>
      <c r="J692" s="245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17"/>
      <c r="AD692" s="217"/>
      <c r="AE692" s="217"/>
      <c r="AF692" s="217"/>
      <c r="AG692" s="217"/>
      <c r="AH692" s="217"/>
      <c r="AI692" s="217"/>
      <c r="AJ692" s="217"/>
      <c r="AK692" s="217"/>
      <c r="AL692" s="217"/>
      <c r="AM692" s="217"/>
    </row>
    <row r="693">
      <c r="A693" s="217"/>
      <c r="B693" s="241"/>
      <c r="C693" s="247"/>
      <c r="D693" s="247"/>
      <c r="E693" s="247"/>
      <c r="F693" s="247"/>
      <c r="G693" s="242"/>
      <c r="H693" s="243"/>
      <c r="I693" s="244"/>
      <c r="J693" s="245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7"/>
      <c r="AE693" s="217"/>
      <c r="AF693" s="217"/>
      <c r="AG693" s="217"/>
      <c r="AH693" s="217"/>
      <c r="AI693" s="217"/>
      <c r="AJ693" s="217"/>
      <c r="AK693" s="217"/>
      <c r="AL693" s="217"/>
      <c r="AM693" s="217"/>
    </row>
    <row r="694">
      <c r="A694" s="217"/>
      <c r="B694" s="241"/>
      <c r="C694" s="247"/>
      <c r="D694" s="247"/>
      <c r="E694" s="247"/>
      <c r="F694" s="247"/>
      <c r="G694" s="242"/>
      <c r="H694" s="243"/>
      <c r="I694" s="244"/>
      <c r="J694" s="245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17"/>
      <c r="AD694" s="217"/>
      <c r="AE694" s="217"/>
      <c r="AF694" s="217"/>
      <c r="AG694" s="217"/>
      <c r="AH694" s="217"/>
      <c r="AI694" s="217"/>
      <c r="AJ694" s="217"/>
      <c r="AK694" s="217"/>
      <c r="AL694" s="217"/>
      <c r="AM694" s="217"/>
    </row>
    <row r="695">
      <c r="A695" s="217"/>
      <c r="B695" s="241"/>
      <c r="C695" s="247"/>
      <c r="D695" s="247"/>
      <c r="E695" s="247"/>
      <c r="F695" s="247"/>
      <c r="G695" s="242"/>
      <c r="H695" s="243"/>
      <c r="I695" s="244"/>
      <c r="J695" s="245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17"/>
      <c r="AD695" s="217"/>
      <c r="AE695" s="217"/>
      <c r="AF695" s="217"/>
      <c r="AG695" s="217"/>
      <c r="AH695" s="217"/>
      <c r="AI695" s="217"/>
      <c r="AJ695" s="217"/>
      <c r="AK695" s="217"/>
      <c r="AL695" s="217"/>
      <c r="AM695" s="217"/>
    </row>
    <row r="696">
      <c r="A696" s="217"/>
      <c r="B696" s="241"/>
      <c r="C696" s="247"/>
      <c r="D696" s="247"/>
      <c r="E696" s="247"/>
      <c r="F696" s="247"/>
      <c r="G696" s="242"/>
      <c r="H696" s="243"/>
      <c r="I696" s="244"/>
      <c r="J696" s="245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17"/>
      <c r="AD696" s="217"/>
      <c r="AE696" s="217"/>
      <c r="AF696" s="217"/>
      <c r="AG696" s="217"/>
      <c r="AH696" s="217"/>
      <c r="AI696" s="217"/>
      <c r="AJ696" s="217"/>
      <c r="AK696" s="217"/>
      <c r="AL696" s="217"/>
      <c r="AM696" s="217"/>
    </row>
    <row r="697">
      <c r="A697" s="217"/>
      <c r="B697" s="241"/>
      <c r="C697" s="247"/>
      <c r="D697" s="247"/>
      <c r="E697" s="247"/>
      <c r="F697" s="247"/>
      <c r="G697" s="242"/>
      <c r="H697" s="243"/>
      <c r="I697" s="244"/>
      <c r="J697" s="245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17"/>
      <c r="AD697" s="217"/>
      <c r="AE697" s="217"/>
      <c r="AF697" s="217"/>
      <c r="AG697" s="217"/>
      <c r="AH697" s="217"/>
      <c r="AI697" s="217"/>
      <c r="AJ697" s="217"/>
      <c r="AK697" s="217"/>
      <c r="AL697" s="217"/>
      <c r="AM697" s="217"/>
    </row>
    <row r="698">
      <c r="A698" s="217"/>
      <c r="B698" s="241"/>
      <c r="C698" s="247"/>
      <c r="D698" s="247"/>
      <c r="E698" s="247"/>
      <c r="F698" s="247"/>
      <c r="G698" s="242"/>
      <c r="H698" s="243"/>
      <c r="I698" s="244"/>
      <c r="J698" s="245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17"/>
      <c r="AD698" s="217"/>
      <c r="AE698" s="217"/>
      <c r="AF698" s="217"/>
      <c r="AG698" s="217"/>
      <c r="AH698" s="217"/>
      <c r="AI698" s="217"/>
      <c r="AJ698" s="217"/>
      <c r="AK698" s="217"/>
      <c r="AL698" s="217"/>
      <c r="AM698" s="217"/>
    </row>
    <row r="699">
      <c r="A699" s="217"/>
      <c r="B699" s="241"/>
      <c r="C699" s="247"/>
      <c r="D699" s="247"/>
      <c r="E699" s="247"/>
      <c r="F699" s="247"/>
      <c r="G699" s="242"/>
      <c r="H699" s="243"/>
      <c r="I699" s="244"/>
      <c r="J699" s="245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17"/>
      <c r="AD699" s="217"/>
      <c r="AE699" s="217"/>
      <c r="AF699" s="217"/>
      <c r="AG699" s="217"/>
      <c r="AH699" s="217"/>
      <c r="AI699" s="217"/>
      <c r="AJ699" s="217"/>
      <c r="AK699" s="217"/>
      <c r="AL699" s="217"/>
      <c r="AM699" s="217"/>
    </row>
    <row r="700">
      <c r="A700" s="217"/>
      <c r="B700" s="241"/>
      <c r="C700" s="247"/>
      <c r="D700" s="247"/>
      <c r="E700" s="247"/>
      <c r="F700" s="247"/>
      <c r="G700" s="242"/>
      <c r="H700" s="243"/>
      <c r="I700" s="244"/>
      <c r="J700" s="245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17"/>
      <c r="AD700" s="217"/>
      <c r="AE700" s="217"/>
      <c r="AF700" s="217"/>
      <c r="AG700" s="217"/>
      <c r="AH700" s="217"/>
      <c r="AI700" s="217"/>
      <c r="AJ700" s="217"/>
      <c r="AK700" s="217"/>
      <c r="AL700" s="217"/>
      <c r="AM700" s="217"/>
    </row>
    <row r="701">
      <c r="A701" s="217"/>
      <c r="B701" s="241"/>
      <c r="C701" s="247"/>
      <c r="D701" s="247"/>
      <c r="E701" s="247"/>
      <c r="F701" s="247"/>
      <c r="G701" s="242"/>
      <c r="H701" s="243"/>
      <c r="I701" s="244"/>
      <c r="J701" s="245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17"/>
      <c r="AD701" s="217"/>
      <c r="AE701" s="217"/>
      <c r="AF701" s="217"/>
      <c r="AG701" s="217"/>
      <c r="AH701" s="217"/>
      <c r="AI701" s="217"/>
      <c r="AJ701" s="217"/>
      <c r="AK701" s="217"/>
      <c r="AL701" s="217"/>
      <c r="AM701" s="217"/>
    </row>
    <row r="702">
      <c r="A702" s="217"/>
      <c r="B702" s="241"/>
      <c r="C702" s="247"/>
      <c r="D702" s="247"/>
      <c r="E702" s="247"/>
      <c r="F702" s="247"/>
      <c r="G702" s="242"/>
      <c r="H702" s="243"/>
      <c r="I702" s="244"/>
      <c r="J702" s="245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17"/>
      <c r="AD702" s="217"/>
      <c r="AE702" s="217"/>
      <c r="AF702" s="217"/>
      <c r="AG702" s="217"/>
      <c r="AH702" s="217"/>
      <c r="AI702" s="217"/>
      <c r="AJ702" s="217"/>
      <c r="AK702" s="217"/>
      <c r="AL702" s="217"/>
      <c r="AM702" s="217"/>
    </row>
    <row r="703">
      <c r="A703" s="217"/>
      <c r="B703" s="241"/>
      <c r="C703" s="247"/>
      <c r="D703" s="247"/>
      <c r="E703" s="247"/>
      <c r="F703" s="247"/>
      <c r="G703" s="242"/>
      <c r="H703" s="243"/>
      <c r="I703" s="244"/>
      <c r="J703" s="245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17"/>
      <c r="AD703" s="217"/>
      <c r="AE703" s="217"/>
      <c r="AF703" s="217"/>
      <c r="AG703" s="217"/>
      <c r="AH703" s="217"/>
      <c r="AI703" s="217"/>
      <c r="AJ703" s="217"/>
      <c r="AK703" s="217"/>
      <c r="AL703" s="217"/>
      <c r="AM703" s="217"/>
    </row>
    <row r="704">
      <c r="A704" s="217"/>
      <c r="B704" s="241"/>
      <c r="C704" s="247"/>
      <c r="D704" s="247"/>
      <c r="E704" s="247"/>
      <c r="F704" s="247"/>
      <c r="G704" s="242"/>
      <c r="H704" s="243"/>
      <c r="I704" s="244"/>
      <c r="J704" s="245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17"/>
      <c r="AD704" s="217"/>
      <c r="AE704" s="217"/>
      <c r="AF704" s="217"/>
      <c r="AG704" s="217"/>
      <c r="AH704" s="217"/>
      <c r="AI704" s="217"/>
      <c r="AJ704" s="217"/>
      <c r="AK704" s="217"/>
      <c r="AL704" s="217"/>
      <c r="AM704" s="217"/>
    </row>
    <row r="705">
      <c r="A705" s="217"/>
      <c r="B705" s="241"/>
      <c r="C705" s="247"/>
      <c r="D705" s="247"/>
      <c r="E705" s="247"/>
      <c r="F705" s="247"/>
      <c r="G705" s="242"/>
      <c r="H705" s="243"/>
      <c r="I705" s="244"/>
      <c r="J705" s="245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17"/>
      <c r="AD705" s="217"/>
      <c r="AE705" s="217"/>
      <c r="AF705" s="217"/>
      <c r="AG705" s="217"/>
      <c r="AH705" s="217"/>
      <c r="AI705" s="217"/>
      <c r="AJ705" s="217"/>
      <c r="AK705" s="217"/>
      <c r="AL705" s="217"/>
      <c r="AM705" s="217"/>
    </row>
    <row r="706">
      <c r="A706" s="217"/>
      <c r="B706" s="241"/>
      <c r="C706" s="247"/>
      <c r="D706" s="247"/>
      <c r="E706" s="247"/>
      <c r="F706" s="247"/>
      <c r="G706" s="242"/>
      <c r="H706" s="243"/>
      <c r="I706" s="244"/>
      <c r="J706" s="245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17"/>
      <c r="AD706" s="217"/>
      <c r="AE706" s="217"/>
      <c r="AF706" s="217"/>
      <c r="AG706" s="217"/>
      <c r="AH706" s="217"/>
      <c r="AI706" s="217"/>
      <c r="AJ706" s="217"/>
      <c r="AK706" s="217"/>
      <c r="AL706" s="217"/>
      <c r="AM706" s="217"/>
    </row>
    <row r="707">
      <c r="A707" s="217"/>
      <c r="B707" s="241"/>
      <c r="C707" s="247"/>
      <c r="D707" s="247"/>
      <c r="E707" s="247"/>
      <c r="F707" s="247"/>
      <c r="G707" s="242"/>
      <c r="H707" s="243"/>
      <c r="I707" s="244"/>
      <c r="J707" s="245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17"/>
      <c r="AD707" s="217"/>
      <c r="AE707" s="217"/>
      <c r="AF707" s="217"/>
      <c r="AG707" s="217"/>
      <c r="AH707" s="217"/>
      <c r="AI707" s="217"/>
      <c r="AJ707" s="217"/>
      <c r="AK707" s="217"/>
      <c r="AL707" s="217"/>
      <c r="AM707" s="217"/>
    </row>
    <row r="708">
      <c r="A708" s="217"/>
      <c r="B708" s="241"/>
      <c r="C708" s="247"/>
      <c r="D708" s="247"/>
      <c r="E708" s="247"/>
      <c r="F708" s="247"/>
      <c r="G708" s="242"/>
      <c r="H708" s="243"/>
      <c r="I708" s="244"/>
      <c r="J708" s="245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17"/>
      <c r="AD708" s="217"/>
      <c r="AE708" s="217"/>
      <c r="AF708" s="217"/>
      <c r="AG708" s="217"/>
      <c r="AH708" s="217"/>
      <c r="AI708" s="217"/>
      <c r="AJ708" s="217"/>
      <c r="AK708" s="217"/>
      <c r="AL708" s="217"/>
      <c r="AM708" s="217"/>
    </row>
    <row r="709">
      <c r="A709" s="217"/>
      <c r="B709" s="241"/>
      <c r="C709" s="247"/>
      <c r="D709" s="247"/>
      <c r="E709" s="247"/>
      <c r="F709" s="247"/>
      <c r="G709" s="242"/>
      <c r="H709" s="243"/>
      <c r="I709" s="244"/>
      <c r="J709" s="245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17"/>
      <c r="AD709" s="217"/>
      <c r="AE709" s="217"/>
      <c r="AF709" s="217"/>
      <c r="AG709" s="217"/>
      <c r="AH709" s="217"/>
      <c r="AI709" s="217"/>
      <c r="AJ709" s="217"/>
      <c r="AK709" s="217"/>
      <c r="AL709" s="217"/>
      <c r="AM709" s="217"/>
    </row>
    <row r="710">
      <c r="A710" s="217"/>
      <c r="B710" s="241"/>
      <c r="C710" s="247"/>
      <c r="D710" s="247"/>
      <c r="E710" s="247"/>
      <c r="F710" s="247"/>
      <c r="G710" s="242"/>
      <c r="H710" s="243"/>
      <c r="I710" s="244"/>
      <c r="J710" s="245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17"/>
      <c r="AD710" s="217"/>
      <c r="AE710" s="217"/>
      <c r="AF710" s="217"/>
      <c r="AG710" s="217"/>
      <c r="AH710" s="217"/>
      <c r="AI710" s="217"/>
      <c r="AJ710" s="217"/>
      <c r="AK710" s="217"/>
      <c r="AL710" s="217"/>
      <c r="AM710" s="217"/>
    </row>
    <row r="711">
      <c r="A711" s="217"/>
      <c r="B711" s="241"/>
      <c r="C711" s="247"/>
      <c r="D711" s="247"/>
      <c r="E711" s="247"/>
      <c r="F711" s="247"/>
      <c r="G711" s="242"/>
      <c r="H711" s="243"/>
      <c r="I711" s="244"/>
      <c r="J711" s="245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17"/>
      <c r="AD711" s="217"/>
      <c r="AE711" s="217"/>
      <c r="AF711" s="217"/>
      <c r="AG711" s="217"/>
      <c r="AH711" s="217"/>
      <c r="AI711" s="217"/>
      <c r="AJ711" s="217"/>
      <c r="AK711" s="217"/>
      <c r="AL711" s="217"/>
      <c r="AM711" s="217"/>
    </row>
    <row r="712">
      <c r="A712" s="217"/>
      <c r="B712" s="241"/>
      <c r="C712" s="247"/>
      <c r="D712" s="247"/>
      <c r="E712" s="247"/>
      <c r="F712" s="247"/>
      <c r="G712" s="242"/>
      <c r="H712" s="243"/>
      <c r="I712" s="244"/>
      <c r="J712" s="245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17"/>
      <c r="AD712" s="217"/>
      <c r="AE712" s="217"/>
      <c r="AF712" s="217"/>
      <c r="AG712" s="217"/>
      <c r="AH712" s="217"/>
      <c r="AI712" s="217"/>
      <c r="AJ712" s="217"/>
      <c r="AK712" s="217"/>
      <c r="AL712" s="217"/>
      <c r="AM712" s="217"/>
    </row>
    <row r="713">
      <c r="A713" s="217"/>
      <c r="B713" s="241"/>
      <c r="C713" s="247"/>
      <c r="D713" s="247"/>
      <c r="E713" s="247"/>
      <c r="F713" s="247"/>
      <c r="G713" s="242"/>
      <c r="H713" s="243"/>
      <c r="I713" s="244"/>
      <c r="J713" s="245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17"/>
      <c r="AD713" s="217"/>
      <c r="AE713" s="217"/>
      <c r="AF713" s="217"/>
      <c r="AG713" s="217"/>
      <c r="AH713" s="217"/>
      <c r="AI713" s="217"/>
      <c r="AJ713" s="217"/>
      <c r="AK713" s="217"/>
      <c r="AL713" s="217"/>
      <c r="AM713" s="217"/>
    </row>
    <row r="714">
      <c r="A714" s="217"/>
      <c r="B714" s="241"/>
      <c r="C714" s="247"/>
      <c r="D714" s="247"/>
      <c r="E714" s="247"/>
      <c r="F714" s="247"/>
      <c r="G714" s="242"/>
      <c r="H714" s="243"/>
      <c r="I714" s="244"/>
      <c r="J714" s="245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17"/>
      <c r="AD714" s="217"/>
      <c r="AE714" s="217"/>
      <c r="AF714" s="217"/>
      <c r="AG714" s="217"/>
      <c r="AH714" s="217"/>
      <c r="AI714" s="217"/>
      <c r="AJ714" s="217"/>
      <c r="AK714" s="217"/>
      <c r="AL714" s="217"/>
      <c r="AM714" s="217"/>
    </row>
    <row r="715">
      <c r="A715" s="217"/>
      <c r="B715" s="241"/>
      <c r="C715" s="247"/>
      <c r="D715" s="247"/>
      <c r="E715" s="247"/>
      <c r="F715" s="247"/>
      <c r="G715" s="242"/>
      <c r="H715" s="243"/>
      <c r="I715" s="244"/>
      <c r="J715" s="245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17"/>
      <c r="AD715" s="217"/>
      <c r="AE715" s="217"/>
      <c r="AF715" s="217"/>
      <c r="AG715" s="217"/>
      <c r="AH715" s="217"/>
      <c r="AI715" s="217"/>
      <c r="AJ715" s="217"/>
      <c r="AK715" s="217"/>
      <c r="AL715" s="217"/>
      <c r="AM715" s="217"/>
    </row>
    <row r="716">
      <c r="A716" s="217"/>
      <c r="B716" s="241"/>
      <c r="C716" s="247"/>
      <c r="D716" s="247"/>
      <c r="E716" s="247"/>
      <c r="F716" s="247"/>
      <c r="G716" s="242"/>
      <c r="H716" s="243"/>
      <c r="I716" s="244"/>
      <c r="J716" s="245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17"/>
      <c r="AD716" s="217"/>
      <c r="AE716" s="217"/>
      <c r="AF716" s="217"/>
      <c r="AG716" s="217"/>
      <c r="AH716" s="217"/>
      <c r="AI716" s="217"/>
      <c r="AJ716" s="217"/>
      <c r="AK716" s="217"/>
      <c r="AL716" s="217"/>
      <c r="AM716" s="217"/>
    </row>
    <row r="717">
      <c r="A717" s="217"/>
      <c r="B717" s="241"/>
      <c r="C717" s="247"/>
      <c r="D717" s="247"/>
      <c r="E717" s="247"/>
      <c r="F717" s="247"/>
      <c r="G717" s="242"/>
      <c r="H717" s="243"/>
      <c r="I717" s="244"/>
      <c r="J717" s="245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17"/>
      <c r="AD717" s="217"/>
      <c r="AE717" s="217"/>
      <c r="AF717" s="217"/>
      <c r="AG717" s="217"/>
      <c r="AH717" s="217"/>
      <c r="AI717" s="217"/>
      <c r="AJ717" s="217"/>
      <c r="AK717" s="217"/>
      <c r="AL717" s="217"/>
      <c r="AM717" s="217"/>
    </row>
    <row r="718">
      <c r="A718" s="217"/>
      <c r="B718" s="241"/>
      <c r="C718" s="247"/>
      <c r="D718" s="247"/>
      <c r="E718" s="247"/>
      <c r="F718" s="247"/>
      <c r="G718" s="242"/>
      <c r="H718" s="243"/>
      <c r="I718" s="244"/>
      <c r="J718" s="245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17"/>
      <c r="AD718" s="217"/>
      <c r="AE718" s="217"/>
      <c r="AF718" s="217"/>
      <c r="AG718" s="217"/>
      <c r="AH718" s="217"/>
      <c r="AI718" s="217"/>
      <c r="AJ718" s="217"/>
      <c r="AK718" s="217"/>
      <c r="AL718" s="217"/>
      <c r="AM718" s="217"/>
    </row>
    <row r="719">
      <c r="A719" s="217"/>
      <c r="B719" s="241"/>
      <c r="C719" s="247"/>
      <c r="D719" s="247"/>
      <c r="E719" s="247"/>
      <c r="F719" s="247"/>
      <c r="G719" s="242"/>
      <c r="H719" s="243"/>
      <c r="I719" s="244"/>
      <c r="J719" s="245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17"/>
      <c r="AD719" s="217"/>
      <c r="AE719" s="217"/>
      <c r="AF719" s="217"/>
      <c r="AG719" s="217"/>
      <c r="AH719" s="217"/>
      <c r="AI719" s="217"/>
      <c r="AJ719" s="217"/>
      <c r="AK719" s="217"/>
      <c r="AL719" s="217"/>
      <c r="AM719" s="217"/>
    </row>
    <row r="720">
      <c r="A720" s="217"/>
      <c r="B720" s="241"/>
      <c r="C720" s="247"/>
      <c r="D720" s="247"/>
      <c r="E720" s="247"/>
      <c r="F720" s="247"/>
      <c r="G720" s="242"/>
      <c r="H720" s="243"/>
      <c r="I720" s="244"/>
      <c r="J720" s="245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17"/>
      <c r="AD720" s="217"/>
      <c r="AE720" s="217"/>
      <c r="AF720" s="217"/>
      <c r="AG720" s="217"/>
      <c r="AH720" s="217"/>
      <c r="AI720" s="217"/>
      <c r="AJ720" s="217"/>
      <c r="AK720" s="217"/>
      <c r="AL720" s="217"/>
      <c r="AM720" s="217"/>
    </row>
    <row r="721">
      <c r="A721" s="217"/>
      <c r="B721" s="241"/>
      <c r="C721" s="247"/>
      <c r="D721" s="247"/>
      <c r="E721" s="247"/>
      <c r="F721" s="247"/>
      <c r="G721" s="242"/>
      <c r="H721" s="243"/>
      <c r="I721" s="244"/>
      <c r="J721" s="245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17"/>
      <c r="AD721" s="217"/>
      <c r="AE721" s="217"/>
      <c r="AF721" s="217"/>
      <c r="AG721" s="217"/>
      <c r="AH721" s="217"/>
      <c r="AI721" s="217"/>
      <c r="AJ721" s="217"/>
      <c r="AK721" s="217"/>
      <c r="AL721" s="217"/>
      <c r="AM721" s="217"/>
    </row>
    <row r="722">
      <c r="A722" s="217"/>
      <c r="B722" s="241"/>
      <c r="C722" s="247"/>
      <c r="D722" s="247"/>
      <c r="E722" s="247"/>
      <c r="F722" s="247"/>
      <c r="G722" s="242"/>
      <c r="H722" s="243"/>
      <c r="I722" s="244"/>
      <c r="J722" s="245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17"/>
      <c r="AD722" s="217"/>
      <c r="AE722" s="217"/>
      <c r="AF722" s="217"/>
      <c r="AG722" s="217"/>
      <c r="AH722" s="217"/>
      <c r="AI722" s="217"/>
      <c r="AJ722" s="217"/>
      <c r="AK722" s="217"/>
      <c r="AL722" s="217"/>
      <c r="AM722" s="217"/>
    </row>
    <row r="723">
      <c r="A723" s="217"/>
      <c r="B723" s="241"/>
      <c r="C723" s="247"/>
      <c r="D723" s="247"/>
      <c r="E723" s="247"/>
      <c r="F723" s="247"/>
      <c r="G723" s="242"/>
      <c r="H723" s="243"/>
      <c r="I723" s="244"/>
      <c r="J723" s="245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17"/>
      <c r="AD723" s="217"/>
      <c r="AE723" s="217"/>
      <c r="AF723" s="217"/>
      <c r="AG723" s="217"/>
      <c r="AH723" s="217"/>
      <c r="AI723" s="217"/>
      <c r="AJ723" s="217"/>
      <c r="AK723" s="217"/>
      <c r="AL723" s="217"/>
      <c r="AM723" s="217"/>
    </row>
    <row r="724">
      <c r="A724" s="217"/>
      <c r="B724" s="241"/>
      <c r="C724" s="247"/>
      <c r="D724" s="247"/>
      <c r="E724" s="247"/>
      <c r="F724" s="247"/>
      <c r="G724" s="242"/>
      <c r="H724" s="243"/>
      <c r="I724" s="244"/>
      <c r="J724" s="245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17"/>
      <c r="AD724" s="217"/>
      <c r="AE724" s="217"/>
      <c r="AF724" s="217"/>
      <c r="AG724" s="217"/>
      <c r="AH724" s="217"/>
      <c r="AI724" s="217"/>
      <c r="AJ724" s="217"/>
      <c r="AK724" s="217"/>
      <c r="AL724" s="217"/>
      <c r="AM724" s="217"/>
    </row>
    <row r="725">
      <c r="A725" s="217"/>
      <c r="B725" s="241"/>
      <c r="C725" s="247"/>
      <c r="D725" s="247"/>
      <c r="E725" s="247"/>
      <c r="F725" s="247"/>
      <c r="G725" s="242"/>
      <c r="H725" s="243"/>
      <c r="I725" s="244"/>
      <c r="J725" s="245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17"/>
      <c r="AD725" s="217"/>
      <c r="AE725" s="217"/>
      <c r="AF725" s="217"/>
      <c r="AG725" s="217"/>
      <c r="AH725" s="217"/>
      <c r="AI725" s="217"/>
      <c r="AJ725" s="217"/>
      <c r="AK725" s="217"/>
      <c r="AL725" s="217"/>
      <c r="AM725" s="217"/>
    </row>
    <row r="726">
      <c r="A726" s="217"/>
      <c r="B726" s="241"/>
      <c r="C726" s="247"/>
      <c r="D726" s="247"/>
      <c r="E726" s="247"/>
      <c r="F726" s="247"/>
      <c r="G726" s="242"/>
      <c r="H726" s="243"/>
      <c r="I726" s="244"/>
      <c r="J726" s="245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17"/>
      <c r="AD726" s="217"/>
      <c r="AE726" s="217"/>
      <c r="AF726" s="217"/>
      <c r="AG726" s="217"/>
      <c r="AH726" s="217"/>
      <c r="AI726" s="217"/>
      <c r="AJ726" s="217"/>
      <c r="AK726" s="217"/>
      <c r="AL726" s="217"/>
      <c r="AM726" s="217"/>
    </row>
    <row r="727">
      <c r="A727" s="217"/>
      <c r="B727" s="241"/>
      <c r="C727" s="247"/>
      <c r="D727" s="247"/>
      <c r="E727" s="247"/>
      <c r="F727" s="247"/>
      <c r="G727" s="242"/>
      <c r="H727" s="243"/>
      <c r="I727" s="244"/>
      <c r="J727" s="245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17"/>
      <c r="AD727" s="217"/>
      <c r="AE727" s="217"/>
      <c r="AF727" s="217"/>
      <c r="AG727" s="217"/>
      <c r="AH727" s="217"/>
      <c r="AI727" s="217"/>
      <c r="AJ727" s="217"/>
      <c r="AK727" s="217"/>
      <c r="AL727" s="217"/>
      <c r="AM727" s="217"/>
    </row>
    <row r="728">
      <c r="A728" s="217"/>
      <c r="B728" s="241"/>
      <c r="C728" s="247"/>
      <c r="D728" s="247"/>
      <c r="E728" s="247"/>
      <c r="F728" s="247"/>
      <c r="G728" s="242"/>
      <c r="H728" s="243"/>
      <c r="I728" s="244"/>
      <c r="J728" s="245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17"/>
      <c r="AD728" s="217"/>
      <c r="AE728" s="217"/>
      <c r="AF728" s="217"/>
      <c r="AG728" s="217"/>
      <c r="AH728" s="217"/>
      <c r="AI728" s="217"/>
      <c r="AJ728" s="217"/>
      <c r="AK728" s="217"/>
      <c r="AL728" s="217"/>
      <c r="AM728" s="217"/>
    </row>
    <row r="729">
      <c r="A729" s="217"/>
      <c r="B729" s="241"/>
      <c r="C729" s="247"/>
      <c r="D729" s="247"/>
      <c r="E729" s="247"/>
      <c r="F729" s="247"/>
      <c r="G729" s="242"/>
      <c r="H729" s="243"/>
      <c r="I729" s="244"/>
      <c r="J729" s="245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17"/>
      <c r="AD729" s="217"/>
      <c r="AE729" s="217"/>
      <c r="AF729" s="217"/>
      <c r="AG729" s="217"/>
      <c r="AH729" s="217"/>
      <c r="AI729" s="217"/>
      <c r="AJ729" s="217"/>
      <c r="AK729" s="217"/>
      <c r="AL729" s="217"/>
      <c r="AM729" s="217"/>
    </row>
    <row r="730">
      <c r="A730" s="217"/>
      <c r="B730" s="241"/>
      <c r="C730" s="247"/>
      <c r="D730" s="247"/>
      <c r="E730" s="247"/>
      <c r="F730" s="247"/>
      <c r="G730" s="242"/>
      <c r="H730" s="243"/>
      <c r="I730" s="244"/>
      <c r="J730" s="245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17"/>
      <c r="AD730" s="217"/>
      <c r="AE730" s="217"/>
      <c r="AF730" s="217"/>
      <c r="AG730" s="217"/>
      <c r="AH730" s="217"/>
      <c r="AI730" s="217"/>
      <c r="AJ730" s="217"/>
      <c r="AK730" s="217"/>
      <c r="AL730" s="217"/>
      <c r="AM730" s="217"/>
    </row>
    <row r="731">
      <c r="A731" s="217"/>
      <c r="B731" s="241"/>
      <c r="C731" s="247"/>
      <c r="D731" s="247"/>
      <c r="E731" s="247"/>
      <c r="F731" s="247"/>
      <c r="G731" s="242"/>
      <c r="H731" s="243"/>
      <c r="I731" s="244"/>
      <c r="J731" s="245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17"/>
      <c r="AD731" s="217"/>
      <c r="AE731" s="217"/>
      <c r="AF731" s="217"/>
      <c r="AG731" s="217"/>
      <c r="AH731" s="217"/>
      <c r="AI731" s="217"/>
      <c r="AJ731" s="217"/>
      <c r="AK731" s="217"/>
      <c r="AL731" s="217"/>
      <c r="AM731" s="217"/>
    </row>
    <row r="732">
      <c r="A732" s="217"/>
      <c r="B732" s="241"/>
      <c r="C732" s="247"/>
      <c r="D732" s="247"/>
      <c r="E732" s="247"/>
      <c r="F732" s="247"/>
      <c r="G732" s="242"/>
      <c r="H732" s="243"/>
      <c r="I732" s="244"/>
      <c r="J732" s="245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17"/>
      <c r="AD732" s="217"/>
      <c r="AE732" s="217"/>
      <c r="AF732" s="217"/>
      <c r="AG732" s="217"/>
      <c r="AH732" s="217"/>
      <c r="AI732" s="217"/>
      <c r="AJ732" s="217"/>
      <c r="AK732" s="217"/>
      <c r="AL732" s="217"/>
      <c r="AM732" s="217"/>
    </row>
    <row r="733">
      <c r="A733" s="217"/>
      <c r="B733" s="241"/>
      <c r="C733" s="247"/>
      <c r="D733" s="247"/>
      <c r="E733" s="247"/>
      <c r="F733" s="247"/>
      <c r="G733" s="242"/>
      <c r="H733" s="243"/>
      <c r="I733" s="244"/>
      <c r="J733" s="245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17"/>
      <c r="AD733" s="217"/>
      <c r="AE733" s="217"/>
      <c r="AF733" s="217"/>
      <c r="AG733" s="217"/>
      <c r="AH733" s="217"/>
      <c r="AI733" s="217"/>
      <c r="AJ733" s="217"/>
      <c r="AK733" s="217"/>
      <c r="AL733" s="217"/>
      <c r="AM733" s="217"/>
    </row>
    <row r="734">
      <c r="A734" s="217"/>
      <c r="B734" s="241"/>
      <c r="C734" s="247"/>
      <c r="D734" s="247"/>
      <c r="E734" s="247"/>
      <c r="F734" s="247"/>
      <c r="G734" s="242"/>
      <c r="H734" s="243"/>
      <c r="I734" s="244"/>
      <c r="J734" s="245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17"/>
      <c r="AD734" s="217"/>
      <c r="AE734" s="217"/>
      <c r="AF734" s="217"/>
      <c r="AG734" s="217"/>
      <c r="AH734" s="217"/>
      <c r="AI734" s="217"/>
      <c r="AJ734" s="217"/>
      <c r="AK734" s="217"/>
      <c r="AL734" s="217"/>
      <c r="AM734" s="217"/>
    </row>
    <row r="735">
      <c r="A735" s="217"/>
      <c r="B735" s="241"/>
      <c r="C735" s="247"/>
      <c r="D735" s="247"/>
      <c r="E735" s="247"/>
      <c r="F735" s="247"/>
      <c r="G735" s="242"/>
      <c r="H735" s="243"/>
      <c r="I735" s="244"/>
      <c r="J735" s="245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17"/>
      <c r="AD735" s="217"/>
      <c r="AE735" s="217"/>
      <c r="AF735" s="217"/>
      <c r="AG735" s="217"/>
      <c r="AH735" s="217"/>
      <c r="AI735" s="217"/>
      <c r="AJ735" s="217"/>
      <c r="AK735" s="217"/>
      <c r="AL735" s="217"/>
      <c r="AM735" s="217"/>
    </row>
    <row r="736">
      <c r="A736" s="217"/>
      <c r="B736" s="241"/>
      <c r="C736" s="247"/>
      <c r="D736" s="247"/>
      <c r="E736" s="247"/>
      <c r="F736" s="247"/>
      <c r="G736" s="242"/>
      <c r="H736" s="243"/>
      <c r="I736" s="244"/>
      <c r="J736" s="245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17"/>
      <c r="AD736" s="217"/>
      <c r="AE736" s="217"/>
      <c r="AF736" s="217"/>
      <c r="AG736" s="217"/>
      <c r="AH736" s="217"/>
      <c r="AI736" s="217"/>
      <c r="AJ736" s="217"/>
      <c r="AK736" s="217"/>
      <c r="AL736" s="217"/>
      <c r="AM736" s="217"/>
    </row>
    <row r="737">
      <c r="A737" s="217"/>
      <c r="B737" s="241"/>
      <c r="C737" s="247"/>
      <c r="D737" s="247"/>
      <c r="E737" s="247"/>
      <c r="F737" s="247"/>
      <c r="G737" s="242"/>
      <c r="H737" s="243"/>
      <c r="I737" s="244"/>
      <c r="J737" s="245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17"/>
      <c r="AD737" s="217"/>
      <c r="AE737" s="217"/>
      <c r="AF737" s="217"/>
      <c r="AG737" s="217"/>
      <c r="AH737" s="217"/>
      <c r="AI737" s="217"/>
      <c r="AJ737" s="217"/>
      <c r="AK737" s="217"/>
      <c r="AL737" s="217"/>
      <c r="AM737" s="217"/>
    </row>
    <row r="738">
      <c r="A738" s="217"/>
      <c r="B738" s="241"/>
      <c r="C738" s="247"/>
      <c r="D738" s="247"/>
      <c r="E738" s="247"/>
      <c r="F738" s="247"/>
      <c r="G738" s="242"/>
      <c r="H738" s="243"/>
      <c r="I738" s="244"/>
      <c r="J738" s="245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17"/>
      <c r="AD738" s="217"/>
      <c r="AE738" s="217"/>
      <c r="AF738" s="217"/>
      <c r="AG738" s="217"/>
      <c r="AH738" s="217"/>
      <c r="AI738" s="217"/>
      <c r="AJ738" s="217"/>
      <c r="AK738" s="217"/>
      <c r="AL738" s="217"/>
      <c r="AM738" s="217"/>
    </row>
    <row r="739">
      <c r="A739" s="217"/>
      <c r="B739" s="241"/>
      <c r="C739" s="247"/>
      <c r="D739" s="247"/>
      <c r="E739" s="247"/>
      <c r="F739" s="247"/>
      <c r="G739" s="242"/>
      <c r="H739" s="243"/>
      <c r="I739" s="244"/>
      <c r="J739" s="245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17"/>
      <c r="AD739" s="217"/>
      <c r="AE739" s="217"/>
      <c r="AF739" s="217"/>
      <c r="AG739" s="217"/>
      <c r="AH739" s="217"/>
      <c r="AI739" s="217"/>
      <c r="AJ739" s="217"/>
      <c r="AK739" s="217"/>
      <c r="AL739" s="217"/>
      <c r="AM739" s="217"/>
    </row>
    <row r="740">
      <c r="A740" s="217"/>
      <c r="B740" s="241"/>
      <c r="C740" s="247"/>
      <c r="D740" s="247"/>
      <c r="E740" s="247"/>
      <c r="F740" s="247"/>
      <c r="G740" s="242"/>
      <c r="H740" s="243"/>
      <c r="I740" s="244"/>
      <c r="J740" s="245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17"/>
      <c r="AD740" s="217"/>
      <c r="AE740" s="217"/>
      <c r="AF740" s="217"/>
      <c r="AG740" s="217"/>
      <c r="AH740" s="217"/>
      <c r="AI740" s="217"/>
      <c r="AJ740" s="217"/>
      <c r="AK740" s="217"/>
      <c r="AL740" s="217"/>
      <c r="AM740" s="217"/>
    </row>
    <row r="741">
      <c r="A741" s="217"/>
      <c r="B741" s="241"/>
      <c r="C741" s="247"/>
      <c r="D741" s="247"/>
      <c r="E741" s="247"/>
      <c r="F741" s="247"/>
      <c r="G741" s="242"/>
      <c r="H741" s="243"/>
      <c r="I741" s="244"/>
      <c r="J741" s="245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17"/>
      <c r="AD741" s="217"/>
      <c r="AE741" s="217"/>
      <c r="AF741" s="217"/>
      <c r="AG741" s="217"/>
      <c r="AH741" s="217"/>
      <c r="AI741" s="217"/>
      <c r="AJ741" s="217"/>
      <c r="AK741" s="217"/>
      <c r="AL741" s="217"/>
      <c r="AM741" s="217"/>
    </row>
    <row r="742">
      <c r="A742" s="217"/>
      <c r="B742" s="241"/>
      <c r="C742" s="247"/>
      <c r="D742" s="247"/>
      <c r="E742" s="247"/>
      <c r="F742" s="247"/>
      <c r="G742" s="242"/>
      <c r="H742" s="243"/>
      <c r="I742" s="244"/>
      <c r="J742" s="245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17"/>
      <c r="AD742" s="217"/>
      <c r="AE742" s="217"/>
      <c r="AF742" s="217"/>
      <c r="AG742" s="217"/>
      <c r="AH742" s="217"/>
      <c r="AI742" s="217"/>
      <c r="AJ742" s="217"/>
      <c r="AK742" s="217"/>
      <c r="AL742" s="217"/>
      <c r="AM742" s="217"/>
    </row>
    <row r="743">
      <c r="A743" s="217"/>
      <c r="B743" s="241"/>
      <c r="C743" s="247"/>
      <c r="D743" s="247"/>
      <c r="E743" s="247"/>
      <c r="F743" s="247"/>
      <c r="G743" s="242"/>
      <c r="H743" s="243"/>
      <c r="I743" s="244"/>
      <c r="J743" s="245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17"/>
      <c r="AD743" s="217"/>
      <c r="AE743" s="217"/>
      <c r="AF743" s="217"/>
      <c r="AG743" s="217"/>
      <c r="AH743" s="217"/>
      <c r="AI743" s="217"/>
      <c r="AJ743" s="217"/>
      <c r="AK743" s="217"/>
      <c r="AL743" s="217"/>
      <c r="AM743" s="217"/>
    </row>
    <row r="744">
      <c r="A744" s="217"/>
      <c r="B744" s="241"/>
      <c r="C744" s="247"/>
      <c r="D744" s="247"/>
      <c r="E744" s="247"/>
      <c r="F744" s="247"/>
      <c r="G744" s="242"/>
      <c r="H744" s="243"/>
      <c r="I744" s="244"/>
      <c r="J744" s="245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7"/>
      <c r="AE744" s="217"/>
      <c r="AF744" s="217"/>
      <c r="AG744" s="217"/>
      <c r="AH744" s="217"/>
      <c r="AI744" s="217"/>
      <c r="AJ744" s="217"/>
      <c r="AK744" s="217"/>
      <c r="AL744" s="217"/>
      <c r="AM744" s="217"/>
    </row>
    <row r="745">
      <c r="A745" s="217"/>
      <c r="B745" s="241"/>
      <c r="C745" s="247"/>
      <c r="D745" s="247"/>
      <c r="E745" s="247"/>
      <c r="F745" s="247"/>
      <c r="G745" s="242"/>
      <c r="H745" s="243"/>
      <c r="I745" s="244"/>
      <c r="J745" s="245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17"/>
      <c r="AD745" s="217"/>
      <c r="AE745" s="217"/>
      <c r="AF745" s="217"/>
      <c r="AG745" s="217"/>
      <c r="AH745" s="217"/>
      <c r="AI745" s="217"/>
      <c r="AJ745" s="217"/>
      <c r="AK745" s="217"/>
      <c r="AL745" s="217"/>
      <c r="AM745" s="217"/>
    </row>
    <row r="746">
      <c r="A746" s="217"/>
      <c r="B746" s="241"/>
      <c r="C746" s="247"/>
      <c r="D746" s="247"/>
      <c r="E746" s="247"/>
      <c r="F746" s="247"/>
      <c r="G746" s="242"/>
      <c r="H746" s="243"/>
      <c r="I746" s="244"/>
      <c r="J746" s="245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17"/>
      <c r="AD746" s="217"/>
      <c r="AE746" s="217"/>
      <c r="AF746" s="217"/>
      <c r="AG746" s="217"/>
      <c r="AH746" s="217"/>
      <c r="AI746" s="217"/>
      <c r="AJ746" s="217"/>
      <c r="AK746" s="217"/>
      <c r="AL746" s="217"/>
      <c r="AM746" s="217"/>
    </row>
    <row r="747">
      <c r="A747" s="217"/>
      <c r="B747" s="241"/>
      <c r="C747" s="247"/>
      <c r="D747" s="247"/>
      <c r="E747" s="247"/>
      <c r="F747" s="247"/>
      <c r="G747" s="242"/>
      <c r="H747" s="243"/>
      <c r="I747" s="244"/>
      <c r="J747" s="245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17"/>
      <c r="AD747" s="217"/>
      <c r="AE747" s="217"/>
      <c r="AF747" s="217"/>
      <c r="AG747" s="217"/>
      <c r="AH747" s="217"/>
      <c r="AI747" s="217"/>
      <c r="AJ747" s="217"/>
      <c r="AK747" s="217"/>
      <c r="AL747" s="217"/>
      <c r="AM747" s="217"/>
    </row>
    <row r="748">
      <c r="A748" s="217"/>
      <c r="B748" s="241"/>
      <c r="C748" s="247"/>
      <c r="D748" s="247"/>
      <c r="E748" s="247"/>
      <c r="F748" s="247"/>
      <c r="G748" s="242"/>
      <c r="H748" s="243"/>
      <c r="I748" s="244"/>
      <c r="J748" s="245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17"/>
      <c r="AD748" s="217"/>
      <c r="AE748" s="217"/>
      <c r="AF748" s="217"/>
      <c r="AG748" s="217"/>
      <c r="AH748" s="217"/>
      <c r="AI748" s="217"/>
      <c r="AJ748" s="217"/>
      <c r="AK748" s="217"/>
      <c r="AL748" s="217"/>
      <c r="AM748" s="217"/>
    </row>
    <row r="749">
      <c r="A749" s="217"/>
      <c r="B749" s="241"/>
      <c r="C749" s="247"/>
      <c r="D749" s="247"/>
      <c r="E749" s="247"/>
      <c r="F749" s="247"/>
      <c r="G749" s="242"/>
      <c r="H749" s="243"/>
      <c r="I749" s="244"/>
      <c r="J749" s="245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17"/>
      <c r="AD749" s="217"/>
      <c r="AE749" s="217"/>
      <c r="AF749" s="217"/>
      <c r="AG749" s="217"/>
      <c r="AH749" s="217"/>
      <c r="AI749" s="217"/>
      <c r="AJ749" s="217"/>
      <c r="AK749" s="217"/>
      <c r="AL749" s="217"/>
      <c r="AM749" s="217"/>
    </row>
    <row r="750">
      <c r="A750" s="217"/>
      <c r="B750" s="241"/>
      <c r="C750" s="247"/>
      <c r="D750" s="247"/>
      <c r="E750" s="247"/>
      <c r="F750" s="247"/>
      <c r="G750" s="242"/>
      <c r="H750" s="243"/>
      <c r="I750" s="244"/>
      <c r="J750" s="245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17"/>
      <c r="AD750" s="217"/>
      <c r="AE750" s="217"/>
      <c r="AF750" s="217"/>
      <c r="AG750" s="217"/>
      <c r="AH750" s="217"/>
      <c r="AI750" s="217"/>
      <c r="AJ750" s="217"/>
      <c r="AK750" s="217"/>
      <c r="AL750" s="217"/>
      <c r="AM750" s="217"/>
    </row>
    <row r="751">
      <c r="A751" s="217"/>
      <c r="B751" s="241"/>
      <c r="C751" s="247"/>
      <c r="D751" s="247"/>
      <c r="E751" s="247"/>
      <c r="F751" s="247"/>
      <c r="G751" s="242"/>
      <c r="H751" s="243"/>
      <c r="I751" s="244"/>
      <c r="J751" s="245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17"/>
      <c r="AD751" s="217"/>
      <c r="AE751" s="217"/>
      <c r="AF751" s="217"/>
      <c r="AG751" s="217"/>
      <c r="AH751" s="217"/>
      <c r="AI751" s="217"/>
      <c r="AJ751" s="217"/>
      <c r="AK751" s="217"/>
      <c r="AL751" s="217"/>
      <c r="AM751" s="217"/>
    </row>
    <row r="752">
      <c r="A752" s="217"/>
      <c r="B752" s="241"/>
      <c r="C752" s="247"/>
      <c r="D752" s="247"/>
      <c r="E752" s="247"/>
      <c r="F752" s="247"/>
      <c r="G752" s="242"/>
      <c r="H752" s="243"/>
      <c r="I752" s="244"/>
      <c r="J752" s="245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17"/>
      <c r="AD752" s="217"/>
      <c r="AE752" s="217"/>
      <c r="AF752" s="217"/>
      <c r="AG752" s="217"/>
      <c r="AH752" s="217"/>
      <c r="AI752" s="217"/>
      <c r="AJ752" s="217"/>
      <c r="AK752" s="217"/>
      <c r="AL752" s="217"/>
      <c r="AM752" s="217"/>
    </row>
    <row r="753">
      <c r="A753" s="217"/>
      <c r="B753" s="241"/>
      <c r="C753" s="247"/>
      <c r="D753" s="247"/>
      <c r="E753" s="247"/>
      <c r="F753" s="247"/>
      <c r="G753" s="242"/>
      <c r="H753" s="243"/>
      <c r="I753" s="244"/>
      <c r="J753" s="245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17"/>
      <c r="AD753" s="217"/>
      <c r="AE753" s="217"/>
      <c r="AF753" s="217"/>
      <c r="AG753" s="217"/>
      <c r="AH753" s="217"/>
      <c r="AI753" s="217"/>
      <c r="AJ753" s="217"/>
      <c r="AK753" s="217"/>
      <c r="AL753" s="217"/>
      <c r="AM753" s="217"/>
    </row>
    <row r="754">
      <c r="A754" s="217"/>
      <c r="B754" s="241"/>
      <c r="C754" s="247"/>
      <c r="D754" s="247"/>
      <c r="E754" s="247"/>
      <c r="F754" s="247"/>
      <c r="G754" s="242"/>
      <c r="H754" s="243"/>
      <c r="I754" s="244"/>
      <c r="J754" s="245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17"/>
      <c r="AD754" s="217"/>
      <c r="AE754" s="217"/>
      <c r="AF754" s="217"/>
      <c r="AG754" s="217"/>
      <c r="AH754" s="217"/>
      <c r="AI754" s="217"/>
      <c r="AJ754" s="217"/>
      <c r="AK754" s="217"/>
      <c r="AL754" s="217"/>
      <c r="AM754" s="217"/>
    </row>
    <row r="755">
      <c r="A755" s="217"/>
      <c r="B755" s="241"/>
      <c r="C755" s="247"/>
      <c r="D755" s="247"/>
      <c r="E755" s="247"/>
      <c r="F755" s="247"/>
      <c r="G755" s="242"/>
      <c r="H755" s="243"/>
      <c r="I755" s="244"/>
      <c r="J755" s="245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17"/>
      <c r="AD755" s="217"/>
      <c r="AE755" s="217"/>
      <c r="AF755" s="217"/>
      <c r="AG755" s="217"/>
      <c r="AH755" s="217"/>
      <c r="AI755" s="217"/>
      <c r="AJ755" s="217"/>
      <c r="AK755" s="217"/>
      <c r="AL755" s="217"/>
      <c r="AM755" s="217"/>
    </row>
    <row r="756">
      <c r="A756" s="217"/>
      <c r="B756" s="241"/>
      <c r="C756" s="247"/>
      <c r="D756" s="247"/>
      <c r="E756" s="247"/>
      <c r="F756" s="247"/>
      <c r="G756" s="242"/>
      <c r="H756" s="243"/>
      <c r="I756" s="244"/>
      <c r="J756" s="245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17"/>
      <c r="AD756" s="217"/>
      <c r="AE756" s="217"/>
      <c r="AF756" s="217"/>
      <c r="AG756" s="217"/>
      <c r="AH756" s="217"/>
      <c r="AI756" s="217"/>
      <c r="AJ756" s="217"/>
      <c r="AK756" s="217"/>
      <c r="AL756" s="217"/>
      <c r="AM756" s="217"/>
    </row>
    <row r="757">
      <c r="A757" s="217"/>
      <c r="B757" s="241"/>
      <c r="C757" s="247"/>
      <c r="D757" s="247"/>
      <c r="E757" s="247"/>
      <c r="F757" s="247"/>
      <c r="G757" s="242"/>
      <c r="H757" s="243"/>
      <c r="I757" s="244"/>
      <c r="J757" s="245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17"/>
      <c r="AD757" s="217"/>
      <c r="AE757" s="217"/>
      <c r="AF757" s="217"/>
      <c r="AG757" s="217"/>
      <c r="AH757" s="217"/>
      <c r="AI757" s="217"/>
      <c r="AJ757" s="217"/>
      <c r="AK757" s="217"/>
      <c r="AL757" s="217"/>
      <c r="AM757" s="217"/>
    </row>
    <row r="758">
      <c r="A758" s="217"/>
      <c r="B758" s="241"/>
      <c r="C758" s="247"/>
      <c r="D758" s="247"/>
      <c r="E758" s="247"/>
      <c r="F758" s="247"/>
      <c r="G758" s="242"/>
      <c r="H758" s="243"/>
      <c r="I758" s="244"/>
      <c r="J758" s="245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17"/>
      <c r="AD758" s="217"/>
      <c r="AE758" s="217"/>
      <c r="AF758" s="217"/>
      <c r="AG758" s="217"/>
      <c r="AH758" s="217"/>
      <c r="AI758" s="217"/>
      <c r="AJ758" s="217"/>
      <c r="AK758" s="217"/>
      <c r="AL758" s="217"/>
      <c r="AM758" s="217"/>
    </row>
    <row r="759">
      <c r="A759" s="217"/>
      <c r="B759" s="241"/>
      <c r="C759" s="247"/>
      <c r="D759" s="247"/>
      <c r="E759" s="247"/>
      <c r="F759" s="247"/>
      <c r="G759" s="242"/>
      <c r="H759" s="243"/>
      <c r="I759" s="244"/>
      <c r="J759" s="245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17"/>
      <c r="AD759" s="217"/>
      <c r="AE759" s="217"/>
      <c r="AF759" s="217"/>
      <c r="AG759" s="217"/>
      <c r="AH759" s="217"/>
      <c r="AI759" s="217"/>
      <c r="AJ759" s="217"/>
      <c r="AK759" s="217"/>
      <c r="AL759" s="217"/>
      <c r="AM759" s="217"/>
    </row>
    <row r="760">
      <c r="A760" s="217"/>
      <c r="B760" s="241"/>
      <c r="C760" s="247"/>
      <c r="D760" s="247"/>
      <c r="E760" s="247"/>
      <c r="F760" s="247"/>
      <c r="G760" s="242"/>
      <c r="H760" s="243"/>
      <c r="I760" s="244"/>
      <c r="J760" s="245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17"/>
      <c r="AD760" s="217"/>
      <c r="AE760" s="217"/>
      <c r="AF760" s="217"/>
      <c r="AG760" s="217"/>
      <c r="AH760" s="217"/>
      <c r="AI760" s="217"/>
      <c r="AJ760" s="217"/>
      <c r="AK760" s="217"/>
      <c r="AL760" s="217"/>
      <c r="AM760" s="217"/>
    </row>
    <row r="761">
      <c r="A761" s="217"/>
      <c r="B761" s="241"/>
      <c r="C761" s="247"/>
      <c r="D761" s="247"/>
      <c r="E761" s="247"/>
      <c r="F761" s="247"/>
      <c r="G761" s="242"/>
      <c r="H761" s="243"/>
      <c r="I761" s="244"/>
      <c r="J761" s="245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17"/>
      <c r="AD761" s="217"/>
      <c r="AE761" s="217"/>
      <c r="AF761" s="217"/>
      <c r="AG761" s="217"/>
      <c r="AH761" s="217"/>
      <c r="AI761" s="217"/>
      <c r="AJ761" s="217"/>
      <c r="AK761" s="217"/>
      <c r="AL761" s="217"/>
      <c r="AM761" s="217"/>
    </row>
    <row r="762">
      <c r="A762" s="217"/>
      <c r="B762" s="241"/>
      <c r="C762" s="247"/>
      <c r="D762" s="247"/>
      <c r="E762" s="247"/>
      <c r="F762" s="247"/>
      <c r="G762" s="242"/>
      <c r="H762" s="243"/>
      <c r="I762" s="244"/>
      <c r="J762" s="245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17"/>
      <c r="AD762" s="217"/>
      <c r="AE762" s="217"/>
      <c r="AF762" s="217"/>
      <c r="AG762" s="217"/>
      <c r="AH762" s="217"/>
      <c r="AI762" s="217"/>
      <c r="AJ762" s="217"/>
      <c r="AK762" s="217"/>
      <c r="AL762" s="217"/>
      <c r="AM762" s="217"/>
    </row>
    <row r="763">
      <c r="A763" s="217"/>
      <c r="B763" s="241"/>
      <c r="C763" s="247"/>
      <c r="D763" s="247"/>
      <c r="E763" s="247"/>
      <c r="F763" s="247"/>
      <c r="G763" s="242"/>
      <c r="H763" s="243"/>
      <c r="I763" s="244"/>
      <c r="J763" s="245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17"/>
      <c r="AD763" s="217"/>
      <c r="AE763" s="217"/>
      <c r="AF763" s="217"/>
      <c r="AG763" s="217"/>
      <c r="AH763" s="217"/>
      <c r="AI763" s="217"/>
      <c r="AJ763" s="217"/>
      <c r="AK763" s="217"/>
      <c r="AL763" s="217"/>
      <c r="AM763" s="217"/>
    </row>
    <row r="764">
      <c r="A764" s="217"/>
      <c r="B764" s="241"/>
      <c r="C764" s="247"/>
      <c r="D764" s="247"/>
      <c r="E764" s="247"/>
      <c r="F764" s="247"/>
      <c r="G764" s="242"/>
      <c r="H764" s="243"/>
      <c r="I764" s="244"/>
      <c r="J764" s="245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17"/>
      <c r="AD764" s="217"/>
      <c r="AE764" s="217"/>
      <c r="AF764" s="217"/>
      <c r="AG764" s="217"/>
      <c r="AH764" s="217"/>
      <c r="AI764" s="217"/>
      <c r="AJ764" s="217"/>
      <c r="AK764" s="217"/>
      <c r="AL764" s="217"/>
      <c r="AM764" s="217"/>
    </row>
    <row r="765">
      <c r="A765" s="217"/>
      <c r="B765" s="241"/>
      <c r="C765" s="247"/>
      <c r="D765" s="247"/>
      <c r="E765" s="247"/>
      <c r="F765" s="247"/>
      <c r="G765" s="242"/>
      <c r="H765" s="243"/>
      <c r="I765" s="244"/>
      <c r="J765" s="245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17"/>
      <c r="AD765" s="217"/>
      <c r="AE765" s="217"/>
      <c r="AF765" s="217"/>
      <c r="AG765" s="217"/>
      <c r="AH765" s="217"/>
      <c r="AI765" s="217"/>
      <c r="AJ765" s="217"/>
      <c r="AK765" s="217"/>
      <c r="AL765" s="217"/>
      <c r="AM765" s="217"/>
    </row>
    <row r="766">
      <c r="A766" s="217"/>
      <c r="B766" s="241"/>
      <c r="C766" s="247"/>
      <c r="D766" s="247"/>
      <c r="E766" s="247"/>
      <c r="F766" s="247"/>
      <c r="G766" s="242"/>
      <c r="H766" s="243"/>
      <c r="I766" s="244"/>
      <c r="J766" s="245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17"/>
      <c r="AD766" s="217"/>
      <c r="AE766" s="217"/>
      <c r="AF766" s="217"/>
      <c r="AG766" s="217"/>
      <c r="AH766" s="217"/>
      <c r="AI766" s="217"/>
      <c r="AJ766" s="217"/>
      <c r="AK766" s="217"/>
      <c r="AL766" s="217"/>
      <c r="AM766" s="217"/>
    </row>
    <row r="767">
      <c r="A767" s="217"/>
      <c r="B767" s="241"/>
      <c r="C767" s="247"/>
      <c r="D767" s="247"/>
      <c r="E767" s="247"/>
      <c r="F767" s="247"/>
      <c r="G767" s="242"/>
      <c r="H767" s="243"/>
      <c r="I767" s="244"/>
      <c r="J767" s="245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17"/>
      <c r="AD767" s="217"/>
      <c r="AE767" s="217"/>
      <c r="AF767" s="217"/>
      <c r="AG767" s="217"/>
      <c r="AH767" s="217"/>
      <c r="AI767" s="217"/>
      <c r="AJ767" s="217"/>
      <c r="AK767" s="217"/>
      <c r="AL767" s="217"/>
      <c r="AM767" s="217"/>
    </row>
    <row r="768">
      <c r="A768" s="217"/>
      <c r="B768" s="241"/>
      <c r="C768" s="247"/>
      <c r="D768" s="247"/>
      <c r="E768" s="247"/>
      <c r="F768" s="247"/>
      <c r="G768" s="242"/>
      <c r="H768" s="243"/>
      <c r="I768" s="244"/>
      <c r="J768" s="245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17"/>
      <c r="AD768" s="217"/>
      <c r="AE768" s="217"/>
      <c r="AF768" s="217"/>
      <c r="AG768" s="217"/>
      <c r="AH768" s="217"/>
      <c r="AI768" s="217"/>
      <c r="AJ768" s="217"/>
      <c r="AK768" s="217"/>
      <c r="AL768" s="217"/>
      <c r="AM768" s="217"/>
    </row>
    <row r="769">
      <c r="A769" s="217"/>
      <c r="B769" s="241"/>
      <c r="C769" s="247"/>
      <c r="D769" s="247"/>
      <c r="E769" s="247"/>
      <c r="F769" s="247"/>
      <c r="G769" s="242"/>
      <c r="H769" s="243"/>
      <c r="I769" s="244"/>
      <c r="J769" s="245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17"/>
      <c r="AD769" s="217"/>
      <c r="AE769" s="217"/>
      <c r="AF769" s="217"/>
      <c r="AG769" s="217"/>
      <c r="AH769" s="217"/>
      <c r="AI769" s="217"/>
      <c r="AJ769" s="217"/>
      <c r="AK769" s="217"/>
      <c r="AL769" s="217"/>
      <c r="AM769" s="217"/>
    </row>
    <row r="770">
      <c r="A770" s="217"/>
      <c r="B770" s="241"/>
      <c r="C770" s="247"/>
      <c r="D770" s="247"/>
      <c r="E770" s="247"/>
      <c r="F770" s="247"/>
      <c r="G770" s="242"/>
      <c r="H770" s="243"/>
      <c r="I770" s="244"/>
      <c r="J770" s="245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17"/>
      <c r="AD770" s="217"/>
      <c r="AE770" s="217"/>
      <c r="AF770" s="217"/>
      <c r="AG770" s="217"/>
      <c r="AH770" s="217"/>
      <c r="AI770" s="217"/>
      <c r="AJ770" s="217"/>
      <c r="AK770" s="217"/>
      <c r="AL770" s="217"/>
      <c r="AM770" s="217"/>
    </row>
    <row r="771">
      <c r="A771" s="217"/>
      <c r="B771" s="241"/>
      <c r="C771" s="247"/>
      <c r="D771" s="247"/>
      <c r="E771" s="247"/>
      <c r="F771" s="247"/>
      <c r="G771" s="242"/>
      <c r="H771" s="243"/>
      <c r="I771" s="244"/>
      <c r="J771" s="245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17"/>
      <c r="AD771" s="217"/>
      <c r="AE771" s="217"/>
      <c r="AF771" s="217"/>
      <c r="AG771" s="217"/>
      <c r="AH771" s="217"/>
      <c r="AI771" s="217"/>
      <c r="AJ771" s="217"/>
      <c r="AK771" s="217"/>
      <c r="AL771" s="217"/>
      <c r="AM771" s="217"/>
    </row>
    <row r="772">
      <c r="A772" s="217"/>
      <c r="B772" s="241"/>
      <c r="C772" s="247"/>
      <c r="D772" s="247"/>
      <c r="E772" s="247"/>
      <c r="F772" s="247"/>
      <c r="G772" s="242"/>
      <c r="H772" s="243"/>
      <c r="I772" s="244"/>
      <c r="J772" s="245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17"/>
      <c r="AD772" s="217"/>
      <c r="AE772" s="217"/>
      <c r="AF772" s="217"/>
      <c r="AG772" s="217"/>
      <c r="AH772" s="217"/>
      <c r="AI772" s="217"/>
      <c r="AJ772" s="217"/>
      <c r="AK772" s="217"/>
      <c r="AL772" s="217"/>
      <c r="AM772" s="217"/>
    </row>
    <row r="773">
      <c r="A773" s="217"/>
      <c r="B773" s="241"/>
      <c r="C773" s="247"/>
      <c r="D773" s="247"/>
      <c r="E773" s="247"/>
      <c r="F773" s="247"/>
      <c r="G773" s="242"/>
      <c r="H773" s="243"/>
      <c r="I773" s="244"/>
      <c r="J773" s="245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17"/>
      <c r="AD773" s="217"/>
      <c r="AE773" s="217"/>
      <c r="AF773" s="217"/>
      <c r="AG773" s="217"/>
      <c r="AH773" s="217"/>
      <c r="AI773" s="217"/>
      <c r="AJ773" s="217"/>
      <c r="AK773" s="217"/>
      <c r="AL773" s="217"/>
      <c r="AM773" s="217"/>
    </row>
    <row r="774">
      <c r="A774" s="217"/>
      <c r="B774" s="241"/>
      <c r="C774" s="247"/>
      <c r="D774" s="247"/>
      <c r="E774" s="247"/>
      <c r="F774" s="247"/>
      <c r="G774" s="242"/>
      <c r="H774" s="243"/>
      <c r="I774" s="244"/>
      <c r="J774" s="245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17"/>
      <c r="AD774" s="217"/>
      <c r="AE774" s="217"/>
      <c r="AF774" s="217"/>
      <c r="AG774" s="217"/>
      <c r="AH774" s="217"/>
      <c r="AI774" s="217"/>
      <c r="AJ774" s="217"/>
      <c r="AK774" s="217"/>
      <c r="AL774" s="217"/>
      <c r="AM774" s="217"/>
    </row>
    <row r="775">
      <c r="A775" s="217"/>
      <c r="B775" s="241"/>
      <c r="C775" s="247"/>
      <c r="D775" s="247"/>
      <c r="E775" s="247"/>
      <c r="F775" s="247"/>
      <c r="G775" s="242"/>
      <c r="H775" s="243"/>
      <c r="I775" s="244"/>
      <c r="J775" s="245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17"/>
      <c r="AD775" s="217"/>
      <c r="AE775" s="217"/>
      <c r="AF775" s="217"/>
      <c r="AG775" s="217"/>
      <c r="AH775" s="217"/>
      <c r="AI775" s="217"/>
      <c r="AJ775" s="217"/>
      <c r="AK775" s="217"/>
      <c r="AL775" s="217"/>
      <c r="AM775" s="217"/>
    </row>
    <row r="776">
      <c r="A776" s="217"/>
      <c r="B776" s="241"/>
      <c r="C776" s="247"/>
      <c r="D776" s="247"/>
      <c r="E776" s="247"/>
      <c r="F776" s="247"/>
      <c r="G776" s="242"/>
      <c r="H776" s="243"/>
      <c r="I776" s="244"/>
      <c r="J776" s="245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17"/>
      <c r="AD776" s="217"/>
      <c r="AE776" s="217"/>
      <c r="AF776" s="217"/>
      <c r="AG776" s="217"/>
      <c r="AH776" s="217"/>
      <c r="AI776" s="217"/>
      <c r="AJ776" s="217"/>
      <c r="AK776" s="217"/>
      <c r="AL776" s="217"/>
      <c r="AM776" s="217"/>
    </row>
    <row r="777">
      <c r="A777" s="217"/>
      <c r="B777" s="241"/>
      <c r="C777" s="247"/>
      <c r="D777" s="247"/>
      <c r="E777" s="247"/>
      <c r="F777" s="247"/>
      <c r="G777" s="242"/>
      <c r="H777" s="243"/>
      <c r="I777" s="244"/>
      <c r="J777" s="245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17"/>
      <c r="AD777" s="217"/>
      <c r="AE777" s="217"/>
      <c r="AF777" s="217"/>
      <c r="AG777" s="217"/>
      <c r="AH777" s="217"/>
      <c r="AI777" s="217"/>
      <c r="AJ777" s="217"/>
      <c r="AK777" s="217"/>
      <c r="AL777" s="217"/>
      <c r="AM777" s="217"/>
    </row>
    <row r="778">
      <c r="A778" s="217"/>
      <c r="B778" s="241"/>
      <c r="C778" s="247"/>
      <c r="D778" s="247"/>
      <c r="E778" s="247"/>
      <c r="F778" s="247"/>
      <c r="G778" s="242"/>
      <c r="H778" s="243"/>
      <c r="I778" s="244"/>
      <c r="J778" s="245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17"/>
      <c r="AD778" s="217"/>
      <c r="AE778" s="217"/>
      <c r="AF778" s="217"/>
      <c r="AG778" s="217"/>
      <c r="AH778" s="217"/>
      <c r="AI778" s="217"/>
      <c r="AJ778" s="217"/>
      <c r="AK778" s="217"/>
      <c r="AL778" s="217"/>
      <c r="AM778" s="217"/>
    </row>
    <row r="779">
      <c r="A779" s="217"/>
      <c r="B779" s="241"/>
      <c r="C779" s="247"/>
      <c r="D779" s="247"/>
      <c r="E779" s="247"/>
      <c r="F779" s="247"/>
      <c r="G779" s="242"/>
      <c r="H779" s="243"/>
      <c r="I779" s="244"/>
      <c r="J779" s="245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17"/>
      <c r="AD779" s="217"/>
      <c r="AE779" s="217"/>
      <c r="AF779" s="217"/>
      <c r="AG779" s="217"/>
      <c r="AH779" s="217"/>
      <c r="AI779" s="217"/>
      <c r="AJ779" s="217"/>
      <c r="AK779" s="217"/>
      <c r="AL779" s="217"/>
      <c r="AM779" s="217"/>
    </row>
    <row r="780">
      <c r="A780" s="217"/>
      <c r="B780" s="241"/>
      <c r="C780" s="247"/>
      <c r="D780" s="247"/>
      <c r="E780" s="247"/>
      <c r="F780" s="247"/>
      <c r="G780" s="242"/>
      <c r="H780" s="243"/>
      <c r="I780" s="244"/>
      <c r="J780" s="245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17"/>
      <c r="AD780" s="217"/>
      <c r="AE780" s="217"/>
      <c r="AF780" s="217"/>
      <c r="AG780" s="217"/>
      <c r="AH780" s="217"/>
      <c r="AI780" s="217"/>
      <c r="AJ780" s="217"/>
      <c r="AK780" s="217"/>
      <c r="AL780" s="217"/>
      <c r="AM780" s="217"/>
    </row>
    <row r="781">
      <c r="A781" s="217"/>
      <c r="B781" s="241"/>
      <c r="C781" s="247"/>
      <c r="D781" s="247"/>
      <c r="E781" s="247"/>
      <c r="F781" s="247"/>
      <c r="G781" s="242"/>
      <c r="H781" s="243"/>
      <c r="I781" s="244"/>
      <c r="J781" s="245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17"/>
      <c r="AD781" s="217"/>
      <c r="AE781" s="217"/>
      <c r="AF781" s="217"/>
      <c r="AG781" s="217"/>
      <c r="AH781" s="217"/>
      <c r="AI781" s="217"/>
      <c r="AJ781" s="217"/>
      <c r="AK781" s="217"/>
      <c r="AL781" s="217"/>
      <c r="AM781" s="217"/>
    </row>
    <row r="782">
      <c r="A782" s="217"/>
      <c r="B782" s="241"/>
      <c r="C782" s="247"/>
      <c r="D782" s="247"/>
      <c r="E782" s="247"/>
      <c r="F782" s="247"/>
      <c r="G782" s="242"/>
      <c r="H782" s="243"/>
      <c r="I782" s="244"/>
      <c r="J782" s="245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17"/>
      <c r="AD782" s="217"/>
      <c r="AE782" s="217"/>
      <c r="AF782" s="217"/>
      <c r="AG782" s="217"/>
      <c r="AH782" s="217"/>
      <c r="AI782" s="217"/>
      <c r="AJ782" s="217"/>
      <c r="AK782" s="217"/>
      <c r="AL782" s="217"/>
      <c r="AM782" s="217"/>
    </row>
    <row r="783">
      <c r="A783" s="217"/>
      <c r="B783" s="241"/>
      <c r="C783" s="247"/>
      <c r="D783" s="247"/>
      <c r="E783" s="247"/>
      <c r="F783" s="247"/>
      <c r="G783" s="242"/>
      <c r="H783" s="243"/>
      <c r="I783" s="244"/>
      <c r="J783" s="245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17"/>
      <c r="AD783" s="217"/>
      <c r="AE783" s="217"/>
      <c r="AF783" s="217"/>
      <c r="AG783" s="217"/>
      <c r="AH783" s="217"/>
      <c r="AI783" s="217"/>
      <c r="AJ783" s="217"/>
      <c r="AK783" s="217"/>
      <c r="AL783" s="217"/>
      <c r="AM783" s="217"/>
    </row>
    <row r="784">
      <c r="A784" s="217"/>
      <c r="B784" s="241"/>
      <c r="C784" s="247"/>
      <c r="D784" s="247"/>
      <c r="E784" s="247"/>
      <c r="F784" s="247"/>
      <c r="G784" s="242"/>
      <c r="H784" s="243"/>
      <c r="I784" s="244"/>
      <c r="J784" s="245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17"/>
      <c r="AD784" s="217"/>
      <c r="AE784" s="217"/>
      <c r="AF784" s="217"/>
      <c r="AG784" s="217"/>
      <c r="AH784" s="217"/>
      <c r="AI784" s="217"/>
      <c r="AJ784" s="217"/>
      <c r="AK784" s="217"/>
      <c r="AL784" s="217"/>
      <c r="AM784" s="217"/>
    </row>
    <row r="785">
      <c r="A785" s="217"/>
      <c r="B785" s="241"/>
      <c r="C785" s="247"/>
      <c r="D785" s="247"/>
      <c r="E785" s="247"/>
      <c r="F785" s="247"/>
      <c r="G785" s="242"/>
      <c r="H785" s="243"/>
      <c r="I785" s="244"/>
      <c r="J785" s="245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17"/>
      <c r="AD785" s="217"/>
      <c r="AE785" s="217"/>
      <c r="AF785" s="217"/>
      <c r="AG785" s="217"/>
      <c r="AH785" s="217"/>
      <c r="AI785" s="217"/>
      <c r="AJ785" s="217"/>
      <c r="AK785" s="217"/>
      <c r="AL785" s="217"/>
      <c r="AM785" s="217"/>
    </row>
    <row r="786">
      <c r="A786" s="217"/>
      <c r="B786" s="241"/>
      <c r="C786" s="247"/>
      <c r="D786" s="247"/>
      <c r="E786" s="247"/>
      <c r="F786" s="247"/>
      <c r="G786" s="242"/>
      <c r="H786" s="243"/>
      <c r="I786" s="244"/>
      <c r="J786" s="245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17"/>
      <c r="AD786" s="217"/>
      <c r="AE786" s="217"/>
      <c r="AF786" s="217"/>
      <c r="AG786" s="217"/>
      <c r="AH786" s="217"/>
      <c r="AI786" s="217"/>
      <c r="AJ786" s="217"/>
      <c r="AK786" s="217"/>
      <c r="AL786" s="217"/>
      <c r="AM786" s="217"/>
    </row>
    <row r="787">
      <c r="A787" s="217"/>
      <c r="B787" s="241"/>
      <c r="C787" s="247"/>
      <c r="D787" s="247"/>
      <c r="E787" s="247"/>
      <c r="F787" s="247"/>
      <c r="G787" s="242"/>
      <c r="H787" s="243"/>
      <c r="I787" s="244"/>
      <c r="J787" s="245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17"/>
      <c r="AD787" s="217"/>
      <c r="AE787" s="217"/>
      <c r="AF787" s="217"/>
      <c r="AG787" s="217"/>
      <c r="AH787" s="217"/>
      <c r="AI787" s="217"/>
      <c r="AJ787" s="217"/>
      <c r="AK787" s="217"/>
      <c r="AL787" s="217"/>
      <c r="AM787" s="217"/>
    </row>
    <row r="788">
      <c r="A788" s="217"/>
      <c r="B788" s="241"/>
      <c r="C788" s="247"/>
      <c r="D788" s="247"/>
      <c r="E788" s="247"/>
      <c r="F788" s="247"/>
      <c r="G788" s="242"/>
      <c r="H788" s="243"/>
      <c r="I788" s="244"/>
      <c r="J788" s="245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17"/>
      <c r="AD788" s="217"/>
      <c r="AE788" s="217"/>
      <c r="AF788" s="217"/>
      <c r="AG788" s="217"/>
      <c r="AH788" s="217"/>
      <c r="AI788" s="217"/>
      <c r="AJ788" s="217"/>
      <c r="AK788" s="217"/>
      <c r="AL788" s="217"/>
      <c r="AM788" s="217"/>
    </row>
    <row r="789">
      <c r="A789" s="217"/>
      <c r="B789" s="241"/>
      <c r="C789" s="247"/>
      <c r="D789" s="247"/>
      <c r="E789" s="247"/>
      <c r="F789" s="247"/>
      <c r="G789" s="242"/>
      <c r="H789" s="243"/>
      <c r="I789" s="244"/>
      <c r="J789" s="245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17"/>
      <c r="AD789" s="217"/>
      <c r="AE789" s="217"/>
      <c r="AF789" s="217"/>
      <c r="AG789" s="217"/>
      <c r="AH789" s="217"/>
      <c r="AI789" s="217"/>
      <c r="AJ789" s="217"/>
      <c r="AK789" s="217"/>
      <c r="AL789" s="217"/>
      <c r="AM789" s="217"/>
    </row>
    <row r="790">
      <c r="A790" s="217"/>
      <c r="B790" s="241"/>
      <c r="C790" s="247"/>
      <c r="D790" s="247"/>
      <c r="E790" s="247"/>
      <c r="F790" s="247"/>
      <c r="G790" s="242"/>
      <c r="H790" s="243"/>
      <c r="I790" s="244"/>
      <c r="J790" s="245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17"/>
      <c r="AD790" s="217"/>
      <c r="AE790" s="217"/>
      <c r="AF790" s="217"/>
      <c r="AG790" s="217"/>
      <c r="AH790" s="217"/>
      <c r="AI790" s="217"/>
      <c r="AJ790" s="217"/>
      <c r="AK790" s="217"/>
      <c r="AL790" s="217"/>
      <c r="AM790" s="217"/>
    </row>
    <row r="791">
      <c r="A791" s="217"/>
      <c r="B791" s="241"/>
      <c r="C791" s="247"/>
      <c r="D791" s="247"/>
      <c r="E791" s="247"/>
      <c r="F791" s="247"/>
      <c r="G791" s="242"/>
      <c r="H791" s="243"/>
      <c r="I791" s="244"/>
      <c r="J791" s="245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17"/>
      <c r="AD791" s="217"/>
      <c r="AE791" s="217"/>
      <c r="AF791" s="217"/>
      <c r="AG791" s="217"/>
      <c r="AH791" s="217"/>
      <c r="AI791" s="217"/>
      <c r="AJ791" s="217"/>
      <c r="AK791" s="217"/>
      <c r="AL791" s="217"/>
      <c r="AM791" s="217"/>
    </row>
    <row r="792">
      <c r="A792" s="217"/>
      <c r="B792" s="241"/>
      <c r="C792" s="247"/>
      <c r="D792" s="247"/>
      <c r="E792" s="247"/>
      <c r="F792" s="247"/>
      <c r="G792" s="242"/>
      <c r="H792" s="243"/>
      <c r="I792" s="244"/>
      <c r="J792" s="245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17"/>
      <c r="AD792" s="217"/>
      <c r="AE792" s="217"/>
      <c r="AF792" s="217"/>
      <c r="AG792" s="217"/>
      <c r="AH792" s="217"/>
      <c r="AI792" s="217"/>
      <c r="AJ792" s="217"/>
      <c r="AK792" s="217"/>
      <c r="AL792" s="217"/>
      <c r="AM792" s="217"/>
    </row>
    <row r="793">
      <c r="A793" s="217"/>
      <c r="B793" s="241"/>
      <c r="C793" s="247"/>
      <c r="D793" s="247"/>
      <c r="E793" s="247"/>
      <c r="F793" s="247"/>
      <c r="G793" s="242"/>
      <c r="H793" s="243"/>
      <c r="I793" s="244"/>
      <c r="J793" s="245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17"/>
      <c r="AD793" s="217"/>
      <c r="AE793" s="217"/>
      <c r="AF793" s="217"/>
      <c r="AG793" s="217"/>
      <c r="AH793" s="217"/>
      <c r="AI793" s="217"/>
      <c r="AJ793" s="217"/>
      <c r="AK793" s="217"/>
      <c r="AL793" s="217"/>
      <c r="AM793" s="217"/>
    </row>
    <row r="794">
      <c r="A794" s="217"/>
      <c r="B794" s="241"/>
      <c r="C794" s="247"/>
      <c r="D794" s="247"/>
      <c r="E794" s="247"/>
      <c r="F794" s="247"/>
      <c r="G794" s="242"/>
      <c r="H794" s="243"/>
      <c r="I794" s="244"/>
      <c r="J794" s="245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17"/>
      <c r="AD794" s="217"/>
      <c r="AE794" s="217"/>
      <c r="AF794" s="217"/>
      <c r="AG794" s="217"/>
      <c r="AH794" s="217"/>
      <c r="AI794" s="217"/>
      <c r="AJ794" s="217"/>
      <c r="AK794" s="217"/>
      <c r="AL794" s="217"/>
      <c r="AM794" s="217"/>
    </row>
    <row r="795">
      <c r="A795" s="217"/>
      <c r="B795" s="241"/>
      <c r="C795" s="247"/>
      <c r="D795" s="247"/>
      <c r="E795" s="247"/>
      <c r="F795" s="247"/>
      <c r="G795" s="242"/>
      <c r="H795" s="243"/>
      <c r="I795" s="244"/>
      <c r="J795" s="245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17"/>
      <c r="AD795" s="217"/>
      <c r="AE795" s="217"/>
      <c r="AF795" s="217"/>
      <c r="AG795" s="217"/>
      <c r="AH795" s="217"/>
      <c r="AI795" s="217"/>
      <c r="AJ795" s="217"/>
      <c r="AK795" s="217"/>
      <c r="AL795" s="217"/>
      <c r="AM795" s="217"/>
    </row>
    <row r="796">
      <c r="A796" s="217"/>
      <c r="B796" s="241"/>
      <c r="C796" s="247"/>
      <c r="D796" s="247"/>
      <c r="E796" s="247"/>
      <c r="F796" s="247"/>
      <c r="G796" s="242"/>
      <c r="H796" s="243"/>
      <c r="I796" s="244"/>
      <c r="J796" s="245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17"/>
      <c r="AD796" s="217"/>
      <c r="AE796" s="217"/>
      <c r="AF796" s="217"/>
      <c r="AG796" s="217"/>
      <c r="AH796" s="217"/>
      <c r="AI796" s="217"/>
      <c r="AJ796" s="217"/>
      <c r="AK796" s="217"/>
      <c r="AL796" s="217"/>
      <c r="AM796" s="217"/>
    </row>
    <row r="797">
      <c r="A797" s="217"/>
      <c r="B797" s="241"/>
      <c r="C797" s="247"/>
      <c r="D797" s="247"/>
      <c r="E797" s="247"/>
      <c r="F797" s="247"/>
      <c r="G797" s="242"/>
      <c r="H797" s="243"/>
      <c r="I797" s="244"/>
      <c r="J797" s="245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17"/>
      <c r="AD797" s="217"/>
      <c r="AE797" s="217"/>
      <c r="AF797" s="217"/>
      <c r="AG797" s="217"/>
      <c r="AH797" s="217"/>
      <c r="AI797" s="217"/>
      <c r="AJ797" s="217"/>
      <c r="AK797" s="217"/>
      <c r="AL797" s="217"/>
      <c r="AM797" s="217"/>
    </row>
    <row r="798">
      <c r="A798" s="217"/>
      <c r="B798" s="241"/>
      <c r="C798" s="247"/>
      <c r="D798" s="247"/>
      <c r="E798" s="247"/>
      <c r="F798" s="247"/>
      <c r="G798" s="242"/>
      <c r="H798" s="243"/>
      <c r="I798" s="244"/>
      <c r="J798" s="245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17"/>
      <c r="AD798" s="217"/>
      <c r="AE798" s="217"/>
      <c r="AF798" s="217"/>
      <c r="AG798" s="217"/>
      <c r="AH798" s="217"/>
      <c r="AI798" s="217"/>
      <c r="AJ798" s="217"/>
      <c r="AK798" s="217"/>
      <c r="AL798" s="217"/>
      <c r="AM798" s="217"/>
    </row>
    <row r="799">
      <c r="A799" s="217"/>
      <c r="B799" s="241"/>
      <c r="C799" s="247"/>
      <c r="D799" s="247"/>
      <c r="E799" s="247"/>
      <c r="F799" s="247"/>
      <c r="G799" s="242"/>
      <c r="H799" s="243"/>
      <c r="I799" s="244"/>
      <c r="J799" s="245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17"/>
      <c r="AD799" s="217"/>
      <c r="AE799" s="217"/>
      <c r="AF799" s="217"/>
      <c r="AG799" s="217"/>
      <c r="AH799" s="217"/>
      <c r="AI799" s="217"/>
      <c r="AJ799" s="217"/>
      <c r="AK799" s="217"/>
      <c r="AL799" s="217"/>
      <c r="AM799" s="217"/>
    </row>
    <row r="800">
      <c r="A800" s="217"/>
      <c r="B800" s="241"/>
      <c r="C800" s="247"/>
      <c r="D800" s="247"/>
      <c r="E800" s="247"/>
      <c r="F800" s="247"/>
      <c r="G800" s="242"/>
      <c r="H800" s="243"/>
      <c r="I800" s="244"/>
      <c r="J800" s="245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17"/>
      <c r="AD800" s="217"/>
      <c r="AE800" s="217"/>
      <c r="AF800" s="217"/>
      <c r="AG800" s="217"/>
      <c r="AH800" s="217"/>
      <c r="AI800" s="217"/>
      <c r="AJ800" s="217"/>
      <c r="AK800" s="217"/>
      <c r="AL800" s="217"/>
      <c r="AM800" s="217"/>
    </row>
    <row r="801">
      <c r="A801" s="217"/>
      <c r="B801" s="241"/>
      <c r="C801" s="247"/>
      <c r="D801" s="247"/>
      <c r="E801" s="247"/>
      <c r="F801" s="247"/>
      <c r="G801" s="242"/>
      <c r="H801" s="243"/>
      <c r="I801" s="244"/>
      <c r="J801" s="245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17"/>
      <c r="AD801" s="217"/>
      <c r="AE801" s="217"/>
      <c r="AF801" s="217"/>
      <c r="AG801" s="217"/>
      <c r="AH801" s="217"/>
      <c r="AI801" s="217"/>
      <c r="AJ801" s="217"/>
      <c r="AK801" s="217"/>
      <c r="AL801" s="217"/>
      <c r="AM801" s="217"/>
    </row>
    <row r="802">
      <c r="A802" s="217"/>
      <c r="B802" s="241"/>
      <c r="C802" s="247"/>
      <c r="D802" s="247"/>
      <c r="E802" s="247"/>
      <c r="F802" s="247"/>
      <c r="G802" s="242"/>
      <c r="H802" s="243"/>
      <c r="I802" s="244"/>
      <c r="J802" s="245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17"/>
      <c r="AD802" s="217"/>
      <c r="AE802" s="217"/>
      <c r="AF802" s="217"/>
      <c r="AG802" s="217"/>
      <c r="AH802" s="217"/>
      <c r="AI802" s="217"/>
      <c r="AJ802" s="217"/>
      <c r="AK802" s="217"/>
      <c r="AL802" s="217"/>
      <c r="AM802" s="217"/>
    </row>
    <row r="803">
      <c r="A803" s="217"/>
      <c r="B803" s="241"/>
      <c r="C803" s="247"/>
      <c r="D803" s="247"/>
      <c r="E803" s="247"/>
      <c r="F803" s="247"/>
      <c r="G803" s="242"/>
      <c r="H803" s="243"/>
      <c r="I803" s="244"/>
      <c r="J803" s="245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17"/>
      <c r="AD803" s="217"/>
      <c r="AE803" s="217"/>
      <c r="AF803" s="217"/>
      <c r="AG803" s="217"/>
      <c r="AH803" s="217"/>
      <c r="AI803" s="217"/>
      <c r="AJ803" s="217"/>
      <c r="AK803" s="217"/>
      <c r="AL803" s="217"/>
      <c r="AM803" s="217"/>
    </row>
    <row r="804">
      <c r="A804" s="217"/>
      <c r="B804" s="241"/>
      <c r="C804" s="247"/>
      <c r="D804" s="247"/>
      <c r="E804" s="247"/>
      <c r="F804" s="247"/>
      <c r="G804" s="242"/>
      <c r="H804" s="243"/>
      <c r="I804" s="244"/>
      <c r="J804" s="245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17"/>
      <c r="AD804" s="217"/>
      <c r="AE804" s="217"/>
      <c r="AF804" s="217"/>
      <c r="AG804" s="217"/>
      <c r="AH804" s="217"/>
      <c r="AI804" s="217"/>
      <c r="AJ804" s="217"/>
      <c r="AK804" s="217"/>
      <c r="AL804" s="217"/>
      <c r="AM804" s="217"/>
    </row>
    <row r="805">
      <c r="A805" s="217"/>
      <c r="B805" s="241"/>
      <c r="C805" s="247"/>
      <c r="D805" s="247"/>
      <c r="E805" s="247"/>
      <c r="F805" s="247"/>
      <c r="G805" s="242"/>
      <c r="H805" s="243"/>
      <c r="I805" s="244"/>
      <c r="J805" s="245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17"/>
      <c r="AD805" s="217"/>
      <c r="AE805" s="217"/>
      <c r="AF805" s="217"/>
      <c r="AG805" s="217"/>
      <c r="AH805" s="217"/>
      <c r="AI805" s="217"/>
      <c r="AJ805" s="217"/>
      <c r="AK805" s="217"/>
      <c r="AL805" s="217"/>
      <c r="AM805" s="217"/>
    </row>
    <row r="806">
      <c r="A806" s="217"/>
      <c r="B806" s="241"/>
      <c r="C806" s="247"/>
      <c r="D806" s="247"/>
      <c r="E806" s="247"/>
      <c r="F806" s="247"/>
      <c r="G806" s="242"/>
      <c r="H806" s="243"/>
      <c r="I806" s="244"/>
      <c r="J806" s="245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17"/>
      <c r="AD806" s="217"/>
      <c r="AE806" s="217"/>
      <c r="AF806" s="217"/>
      <c r="AG806" s="217"/>
      <c r="AH806" s="217"/>
      <c r="AI806" s="217"/>
      <c r="AJ806" s="217"/>
      <c r="AK806" s="217"/>
      <c r="AL806" s="217"/>
      <c r="AM806" s="217"/>
    </row>
    <row r="807">
      <c r="A807" s="217"/>
      <c r="B807" s="241"/>
      <c r="C807" s="247"/>
      <c r="D807" s="247"/>
      <c r="E807" s="247"/>
      <c r="F807" s="247"/>
      <c r="G807" s="242"/>
      <c r="H807" s="243"/>
      <c r="I807" s="244"/>
      <c r="J807" s="245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17"/>
      <c r="AD807" s="217"/>
      <c r="AE807" s="217"/>
      <c r="AF807" s="217"/>
      <c r="AG807" s="217"/>
      <c r="AH807" s="217"/>
      <c r="AI807" s="217"/>
      <c r="AJ807" s="217"/>
      <c r="AK807" s="217"/>
      <c r="AL807" s="217"/>
      <c r="AM807" s="217"/>
    </row>
    <row r="808">
      <c r="A808" s="217"/>
      <c r="B808" s="241"/>
      <c r="C808" s="247"/>
      <c r="D808" s="247"/>
      <c r="E808" s="247"/>
      <c r="F808" s="247"/>
      <c r="G808" s="242"/>
      <c r="H808" s="243"/>
      <c r="I808" s="244"/>
      <c r="J808" s="245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17"/>
      <c r="AD808" s="217"/>
      <c r="AE808" s="217"/>
      <c r="AF808" s="217"/>
      <c r="AG808" s="217"/>
      <c r="AH808" s="217"/>
      <c r="AI808" s="217"/>
      <c r="AJ808" s="217"/>
      <c r="AK808" s="217"/>
      <c r="AL808" s="217"/>
      <c r="AM808" s="217"/>
    </row>
    <row r="809">
      <c r="A809" s="217"/>
      <c r="B809" s="241"/>
      <c r="C809" s="247"/>
      <c r="D809" s="247"/>
      <c r="E809" s="247"/>
      <c r="F809" s="247"/>
      <c r="G809" s="242"/>
      <c r="H809" s="243"/>
      <c r="I809" s="244"/>
      <c r="J809" s="245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17"/>
      <c r="AD809" s="217"/>
      <c r="AE809" s="217"/>
      <c r="AF809" s="217"/>
      <c r="AG809" s="217"/>
      <c r="AH809" s="217"/>
      <c r="AI809" s="217"/>
      <c r="AJ809" s="217"/>
      <c r="AK809" s="217"/>
      <c r="AL809" s="217"/>
      <c r="AM809" s="217"/>
    </row>
    <row r="810">
      <c r="A810" s="217"/>
      <c r="B810" s="241"/>
      <c r="C810" s="247"/>
      <c r="D810" s="247"/>
      <c r="E810" s="247"/>
      <c r="F810" s="247"/>
      <c r="G810" s="242"/>
      <c r="H810" s="243"/>
      <c r="I810" s="244"/>
      <c r="J810" s="245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17"/>
      <c r="AD810" s="217"/>
      <c r="AE810" s="217"/>
      <c r="AF810" s="217"/>
      <c r="AG810" s="217"/>
      <c r="AH810" s="217"/>
      <c r="AI810" s="217"/>
      <c r="AJ810" s="217"/>
      <c r="AK810" s="217"/>
      <c r="AL810" s="217"/>
      <c r="AM810" s="217"/>
    </row>
    <row r="811">
      <c r="A811" s="217"/>
      <c r="B811" s="241"/>
      <c r="C811" s="247"/>
      <c r="D811" s="247"/>
      <c r="E811" s="247"/>
      <c r="F811" s="247"/>
      <c r="G811" s="242"/>
      <c r="H811" s="243"/>
      <c r="I811" s="244"/>
      <c r="J811" s="245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17"/>
      <c r="AD811" s="217"/>
      <c r="AE811" s="217"/>
      <c r="AF811" s="217"/>
      <c r="AG811" s="217"/>
      <c r="AH811" s="217"/>
      <c r="AI811" s="217"/>
      <c r="AJ811" s="217"/>
      <c r="AK811" s="217"/>
      <c r="AL811" s="217"/>
      <c r="AM811" s="217"/>
    </row>
    <row r="812">
      <c r="A812" s="217"/>
      <c r="B812" s="241"/>
      <c r="C812" s="247"/>
      <c r="D812" s="247"/>
      <c r="E812" s="247"/>
      <c r="F812" s="247"/>
      <c r="G812" s="242"/>
      <c r="H812" s="243"/>
      <c r="I812" s="244"/>
      <c r="J812" s="245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17"/>
      <c r="AD812" s="217"/>
      <c r="AE812" s="217"/>
      <c r="AF812" s="217"/>
      <c r="AG812" s="217"/>
      <c r="AH812" s="217"/>
      <c r="AI812" s="217"/>
      <c r="AJ812" s="217"/>
      <c r="AK812" s="217"/>
      <c r="AL812" s="217"/>
      <c r="AM812" s="217"/>
    </row>
    <row r="813">
      <c r="A813" s="217"/>
      <c r="B813" s="241"/>
      <c r="C813" s="247"/>
      <c r="D813" s="247"/>
      <c r="E813" s="247"/>
      <c r="F813" s="247"/>
      <c r="G813" s="242"/>
      <c r="H813" s="243"/>
      <c r="I813" s="244"/>
      <c r="J813" s="245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17"/>
      <c r="AD813" s="217"/>
      <c r="AE813" s="217"/>
      <c r="AF813" s="217"/>
      <c r="AG813" s="217"/>
      <c r="AH813" s="217"/>
      <c r="AI813" s="217"/>
      <c r="AJ813" s="217"/>
      <c r="AK813" s="217"/>
      <c r="AL813" s="217"/>
      <c r="AM813" s="217"/>
    </row>
    <row r="814">
      <c r="A814" s="217"/>
      <c r="B814" s="241"/>
      <c r="C814" s="247"/>
      <c r="D814" s="247"/>
      <c r="E814" s="247"/>
      <c r="F814" s="247"/>
      <c r="G814" s="242"/>
      <c r="H814" s="243"/>
      <c r="I814" s="244"/>
      <c r="J814" s="245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17"/>
      <c r="AD814" s="217"/>
      <c r="AE814" s="217"/>
      <c r="AF814" s="217"/>
      <c r="AG814" s="217"/>
      <c r="AH814" s="217"/>
      <c r="AI814" s="217"/>
      <c r="AJ814" s="217"/>
      <c r="AK814" s="217"/>
      <c r="AL814" s="217"/>
      <c r="AM814" s="217"/>
    </row>
    <row r="815">
      <c r="A815" s="217"/>
      <c r="B815" s="241"/>
      <c r="C815" s="247"/>
      <c r="D815" s="247"/>
      <c r="E815" s="247"/>
      <c r="F815" s="247"/>
      <c r="G815" s="242"/>
      <c r="H815" s="243"/>
      <c r="I815" s="244"/>
      <c r="J815" s="245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17"/>
      <c r="AD815" s="217"/>
      <c r="AE815" s="217"/>
      <c r="AF815" s="217"/>
      <c r="AG815" s="217"/>
      <c r="AH815" s="217"/>
      <c r="AI815" s="217"/>
      <c r="AJ815" s="217"/>
      <c r="AK815" s="217"/>
      <c r="AL815" s="217"/>
      <c r="AM815" s="217"/>
    </row>
    <row r="816">
      <c r="A816" s="217"/>
      <c r="B816" s="241"/>
      <c r="C816" s="247"/>
      <c r="D816" s="247"/>
      <c r="E816" s="247"/>
      <c r="F816" s="247"/>
      <c r="G816" s="242"/>
      <c r="H816" s="243"/>
      <c r="I816" s="244"/>
      <c r="J816" s="245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17"/>
      <c r="AD816" s="217"/>
      <c r="AE816" s="217"/>
      <c r="AF816" s="217"/>
      <c r="AG816" s="217"/>
      <c r="AH816" s="217"/>
      <c r="AI816" s="217"/>
      <c r="AJ816" s="217"/>
      <c r="AK816" s="217"/>
      <c r="AL816" s="217"/>
      <c r="AM816" s="217"/>
    </row>
    <row r="817">
      <c r="A817" s="217"/>
      <c r="B817" s="241"/>
      <c r="C817" s="247"/>
      <c r="D817" s="247"/>
      <c r="E817" s="247"/>
      <c r="F817" s="247"/>
      <c r="G817" s="242"/>
      <c r="H817" s="243"/>
      <c r="I817" s="244"/>
      <c r="J817" s="245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17"/>
      <c r="AD817" s="217"/>
      <c r="AE817" s="217"/>
      <c r="AF817" s="217"/>
      <c r="AG817" s="217"/>
      <c r="AH817" s="217"/>
      <c r="AI817" s="217"/>
      <c r="AJ817" s="217"/>
      <c r="AK817" s="217"/>
      <c r="AL817" s="217"/>
      <c r="AM817" s="217"/>
    </row>
    <row r="818">
      <c r="A818" s="217"/>
      <c r="B818" s="241"/>
      <c r="C818" s="247"/>
      <c r="D818" s="247"/>
      <c r="E818" s="247"/>
      <c r="F818" s="247"/>
      <c r="G818" s="242"/>
      <c r="H818" s="243"/>
      <c r="I818" s="244"/>
      <c r="J818" s="245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17"/>
      <c r="AD818" s="217"/>
      <c r="AE818" s="217"/>
      <c r="AF818" s="217"/>
      <c r="AG818" s="217"/>
      <c r="AH818" s="217"/>
      <c r="AI818" s="217"/>
      <c r="AJ818" s="217"/>
      <c r="AK818" s="217"/>
      <c r="AL818" s="217"/>
      <c r="AM818" s="217"/>
    </row>
    <row r="819">
      <c r="A819" s="217"/>
      <c r="B819" s="241"/>
      <c r="C819" s="247"/>
      <c r="D819" s="247"/>
      <c r="E819" s="247"/>
      <c r="F819" s="247"/>
      <c r="G819" s="242"/>
      <c r="H819" s="243"/>
      <c r="I819" s="244"/>
      <c r="J819" s="245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17"/>
      <c r="AD819" s="217"/>
      <c r="AE819" s="217"/>
      <c r="AF819" s="217"/>
      <c r="AG819" s="217"/>
      <c r="AH819" s="217"/>
      <c r="AI819" s="217"/>
      <c r="AJ819" s="217"/>
      <c r="AK819" s="217"/>
      <c r="AL819" s="217"/>
      <c r="AM819" s="217"/>
    </row>
    <row r="820">
      <c r="A820" s="217"/>
      <c r="B820" s="241"/>
      <c r="C820" s="247"/>
      <c r="D820" s="247"/>
      <c r="E820" s="247"/>
      <c r="F820" s="247"/>
      <c r="G820" s="242"/>
      <c r="H820" s="243"/>
      <c r="I820" s="244"/>
      <c r="J820" s="245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17"/>
      <c r="AD820" s="217"/>
      <c r="AE820" s="217"/>
      <c r="AF820" s="217"/>
      <c r="AG820" s="217"/>
      <c r="AH820" s="217"/>
      <c r="AI820" s="217"/>
      <c r="AJ820" s="217"/>
      <c r="AK820" s="217"/>
      <c r="AL820" s="217"/>
      <c r="AM820" s="217"/>
    </row>
    <row r="821">
      <c r="A821" s="217"/>
      <c r="B821" s="241"/>
      <c r="C821" s="247"/>
      <c r="D821" s="247"/>
      <c r="E821" s="247"/>
      <c r="F821" s="247"/>
      <c r="G821" s="242"/>
      <c r="H821" s="243"/>
      <c r="I821" s="244"/>
      <c r="J821" s="245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17"/>
      <c r="AD821" s="217"/>
      <c r="AE821" s="217"/>
      <c r="AF821" s="217"/>
      <c r="AG821" s="217"/>
      <c r="AH821" s="217"/>
      <c r="AI821" s="217"/>
      <c r="AJ821" s="217"/>
      <c r="AK821" s="217"/>
      <c r="AL821" s="217"/>
      <c r="AM821" s="217"/>
    </row>
    <row r="822">
      <c r="A822" s="217"/>
      <c r="B822" s="241"/>
      <c r="C822" s="247"/>
      <c r="D822" s="247"/>
      <c r="E822" s="247"/>
      <c r="F822" s="247"/>
      <c r="G822" s="242"/>
      <c r="H822" s="243"/>
      <c r="I822" s="244"/>
      <c r="J822" s="245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17"/>
      <c r="AD822" s="217"/>
      <c r="AE822" s="217"/>
      <c r="AF822" s="217"/>
      <c r="AG822" s="217"/>
      <c r="AH822" s="217"/>
      <c r="AI822" s="217"/>
      <c r="AJ822" s="217"/>
      <c r="AK822" s="217"/>
      <c r="AL822" s="217"/>
      <c r="AM822" s="217"/>
    </row>
    <row r="823">
      <c r="A823" s="217"/>
      <c r="B823" s="241"/>
      <c r="C823" s="247"/>
      <c r="D823" s="247"/>
      <c r="E823" s="247"/>
      <c r="F823" s="247"/>
      <c r="G823" s="242"/>
      <c r="H823" s="243"/>
      <c r="I823" s="244"/>
      <c r="J823" s="245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17"/>
      <c r="AD823" s="217"/>
      <c r="AE823" s="217"/>
      <c r="AF823" s="217"/>
      <c r="AG823" s="217"/>
      <c r="AH823" s="217"/>
      <c r="AI823" s="217"/>
      <c r="AJ823" s="217"/>
      <c r="AK823" s="217"/>
      <c r="AL823" s="217"/>
      <c r="AM823" s="217"/>
    </row>
    <row r="824">
      <c r="A824" s="217"/>
      <c r="B824" s="241"/>
      <c r="C824" s="247"/>
      <c r="D824" s="247"/>
      <c r="E824" s="247"/>
      <c r="F824" s="247"/>
      <c r="G824" s="242"/>
      <c r="H824" s="243"/>
      <c r="I824" s="244"/>
      <c r="J824" s="245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17"/>
      <c r="AD824" s="217"/>
      <c r="AE824" s="217"/>
      <c r="AF824" s="217"/>
      <c r="AG824" s="217"/>
      <c r="AH824" s="217"/>
      <c r="AI824" s="217"/>
      <c r="AJ824" s="217"/>
      <c r="AK824" s="217"/>
      <c r="AL824" s="217"/>
      <c r="AM824" s="217"/>
    </row>
    <row r="825">
      <c r="A825" s="217"/>
      <c r="B825" s="241"/>
      <c r="C825" s="247"/>
      <c r="D825" s="247"/>
      <c r="E825" s="247"/>
      <c r="F825" s="247"/>
      <c r="G825" s="242"/>
      <c r="H825" s="243"/>
      <c r="I825" s="244"/>
      <c r="J825" s="245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17"/>
      <c r="AD825" s="217"/>
      <c r="AE825" s="217"/>
      <c r="AF825" s="217"/>
      <c r="AG825" s="217"/>
      <c r="AH825" s="217"/>
      <c r="AI825" s="217"/>
      <c r="AJ825" s="217"/>
      <c r="AK825" s="217"/>
      <c r="AL825" s="217"/>
      <c r="AM825" s="217"/>
    </row>
    <row r="826">
      <c r="A826" s="217"/>
      <c r="B826" s="241"/>
      <c r="C826" s="247"/>
      <c r="D826" s="247"/>
      <c r="E826" s="247"/>
      <c r="F826" s="247"/>
      <c r="G826" s="242"/>
      <c r="H826" s="243"/>
      <c r="I826" s="244"/>
      <c r="J826" s="245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17"/>
      <c r="AD826" s="217"/>
      <c r="AE826" s="217"/>
      <c r="AF826" s="217"/>
      <c r="AG826" s="217"/>
      <c r="AH826" s="217"/>
      <c r="AI826" s="217"/>
      <c r="AJ826" s="217"/>
      <c r="AK826" s="217"/>
      <c r="AL826" s="217"/>
      <c r="AM826" s="217"/>
    </row>
    <row r="827">
      <c r="A827" s="217"/>
      <c r="B827" s="241"/>
      <c r="C827" s="247"/>
      <c r="D827" s="247"/>
      <c r="E827" s="247"/>
      <c r="F827" s="247"/>
      <c r="G827" s="242"/>
      <c r="H827" s="243"/>
      <c r="I827" s="244"/>
      <c r="J827" s="245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17"/>
      <c r="AD827" s="217"/>
      <c r="AE827" s="217"/>
      <c r="AF827" s="217"/>
      <c r="AG827" s="217"/>
      <c r="AH827" s="217"/>
      <c r="AI827" s="217"/>
      <c r="AJ827" s="217"/>
      <c r="AK827" s="217"/>
      <c r="AL827" s="217"/>
      <c r="AM827" s="217"/>
    </row>
    <row r="828">
      <c r="A828" s="217"/>
      <c r="B828" s="241"/>
      <c r="C828" s="247"/>
      <c r="D828" s="247"/>
      <c r="E828" s="247"/>
      <c r="F828" s="247"/>
      <c r="G828" s="242"/>
      <c r="H828" s="243"/>
      <c r="I828" s="244"/>
      <c r="J828" s="245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17"/>
      <c r="AD828" s="217"/>
      <c r="AE828" s="217"/>
      <c r="AF828" s="217"/>
      <c r="AG828" s="217"/>
      <c r="AH828" s="217"/>
      <c r="AI828" s="217"/>
      <c r="AJ828" s="217"/>
      <c r="AK828" s="217"/>
      <c r="AL828" s="217"/>
      <c r="AM828" s="217"/>
    </row>
    <row r="829">
      <c r="A829" s="217"/>
      <c r="B829" s="241"/>
      <c r="C829" s="247"/>
      <c r="D829" s="247"/>
      <c r="E829" s="247"/>
      <c r="F829" s="247"/>
      <c r="G829" s="242"/>
      <c r="H829" s="243"/>
      <c r="I829" s="244"/>
      <c r="J829" s="245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17"/>
      <c r="AD829" s="217"/>
      <c r="AE829" s="217"/>
      <c r="AF829" s="217"/>
      <c r="AG829" s="217"/>
      <c r="AH829" s="217"/>
      <c r="AI829" s="217"/>
      <c r="AJ829" s="217"/>
      <c r="AK829" s="217"/>
      <c r="AL829" s="217"/>
      <c r="AM829" s="217"/>
    </row>
    <row r="830">
      <c r="A830" s="217"/>
      <c r="B830" s="241"/>
      <c r="C830" s="247"/>
      <c r="D830" s="247"/>
      <c r="E830" s="247"/>
      <c r="F830" s="247"/>
      <c r="G830" s="242"/>
      <c r="H830" s="243"/>
      <c r="I830" s="244"/>
      <c r="J830" s="245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17"/>
      <c r="AD830" s="217"/>
      <c r="AE830" s="217"/>
      <c r="AF830" s="217"/>
      <c r="AG830" s="217"/>
      <c r="AH830" s="217"/>
      <c r="AI830" s="217"/>
      <c r="AJ830" s="217"/>
      <c r="AK830" s="217"/>
      <c r="AL830" s="217"/>
      <c r="AM830" s="217"/>
    </row>
    <row r="831">
      <c r="A831" s="217"/>
      <c r="B831" s="241"/>
      <c r="C831" s="247"/>
      <c r="D831" s="247"/>
      <c r="E831" s="247"/>
      <c r="F831" s="247"/>
      <c r="G831" s="242"/>
      <c r="H831" s="243"/>
      <c r="I831" s="244"/>
      <c r="J831" s="245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17"/>
      <c r="AD831" s="217"/>
      <c r="AE831" s="217"/>
      <c r="AF831" s="217"/>
      <c r="AG831" s="217"/>
      <c r="AH831" s="217"/>
      <c r="AI831" s="217"/>
      <c r="AJ831" s="217"/>
      <c r="AK831" s="217"/>
      <c r="AL831" s="217"/>
      <c r="AM831" s="217"/>
    </row>
    <row r="832">
      <c r="A832" s="217"/>
      <c r="B832" s="241"/>
      <c r="C832" s="247"/>
      <c r="D832" s="247"/>
      <c r="E832" s="247"/>
      <c r="F832" s="247"/>
      <c r="G832" s="242"/>
      <c r="H832" s="243"/>
      <c r="I832" s="244"/>
      <c r="J832" s="245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17"/>
      <c r="AD832" s="217"/>
      <c r="AE832" s="217"/>
      <c r="AF832" s="217"/>
      <c r="AG832" s="217"/>
      <c r="AH832" s="217"/>
      <c r="AI832" s="217"/>
      <c r="AJ832" s="217"/>
      <c r="AK832" s="217"/>
      <c r="AL832" s="217"/>
      <c r="AM832" s="217"/>
    </row>
    <row r="833">
      <c r="A833" s="217"/>
      <c r="B833" s="241"/>
      <c r="C833" s="247"/>
      <c r="D833" s="247"/>
      <c r="E833" s="247"/>
      <c r="F833" s="247"/>
      <c r="G833" s="242"/>
      <c r="H833" s="243"/>
      <c r="I833" s="244"/>
      <c r="J833" s="245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17"/>
      <c r="AD833" s="217"/>
      <c r="AE833" s="217"/>
      <c r="AF833" s="217"/>
      <c r="AG833" s="217"/>
      <c r="AH833" s="217"/>
      <c r="AI833" s="217"/>
      <c r="AJ833" s="217"/>
      <c r="AK833" s="217"/>
      <c r="AL833" s="217"/>
      <c r="AM833" s="217"/>
    </row>
    <row r="834">
      <c r="A834" s="217"/>
      <c r="B834" s="241"/>
      <c r="C834" s="247"/>
      <c r="D834" s="247"/>
      <c r="E834" s="247"/>
      <c r="F834" s="247"/>
      <c r="G834" s="242"/>
      <c r="H834" s="243"/>
      <c r="I834" s="244"/>
      <c r="J834" s="245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17"/>
      <c r="AD834" s="217"/>
      <c r="AE834" s="217"/>
      <c r="AF834" s="217"/>
      <c r="AG834" s="217"/>
      <c r="AH834" s="217"/>
      <c r="AI834" s="217"/>
      <c r="AJ834" s="217"/>
      <c r="AK834" s="217"/>
      <c r="AL834" s="217"/>
      <c r="AM834" s="217"/>
    </row>
    <row r="835">
      <c r="A835" s="217"/>
      <c r="B835" s="241"/>
      <c r="C835" s="247"/>
      <c r="D835" s="247"/>
      <c r="E835" s="247"/>
      <c r="F835" s="247"/>
      <c r="G835" s="242"/>
      <c r="H835" s="243"/>
      <c r="I835" s="244"/>
      <c r="J835" s="245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17"/>
      <c r="AD835" s="217"/>
      <c r="AE835" s="217"/>
      <c r="AF835" s="217"/>
      <c r="AG835" s="217"/>
      <c r="AH835" s="217"/>
      <c r="AI835" s="217"/>
      <c r="AJ835" s="217"/>
      <c r="AK835" s="217"/>
      <c r="AL835" s="217"/>
      <c r="AM835" s="217"/>
    </row>
    <row r="836">
      <c r="A836" s="217"/>
      <c r="B836" s="241"/>
      <c r="C836" s="247"/>
      <c r="D836" s="247"/>
      <c r="E836" s="247"/>
      <c r="F836" s="247"/>
      <c r="G836" s="242"/>
      <c r="H836" s="243"/>
      <c r="I836" s="244"/>
      <c r="J836" s="245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17"/>
      <c r="AD836" s="217"/>
      <c r="AE836" s="217"/>
      <c r="AF836" s="217"/>
      <c r="AG836" s="217"/>
      <c r="AH836" s="217"/>
      <c r="AI836" s="217"/>
      <c r="AJ836" s="217"/>
      <c r="AK836" s="217"/>
      <c r="AL836" s="217"/>
      <c r="AM836" s="217"/>
    </row>
    <row r="837">
      <c r="A837" s="217"/>
      <c r="B837" s="241"/>
      <c r="C837" s="247"/>
      <c r="D837" s="247"/>
      <c r="E837" s="247"/>
      <c r="F837" s="247"/>
      <c r="G837" s="242"/>
      <c r="H837" s="243"/>
      <c r="I837" s="244"/>
      <c r="J837" s="245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17"/>
      <c r="AD837" s="217"/>
      <c r="AE837" s="217"/>
      <c r="AF837" s="217"/>
      <c r="AG837" s="217"/>
      <c r="AH837" s="217"/>
      <c r="AI837" s="217"/>
      <c r="AJ837" s="217"/>
      <c r="AK837" s="217"/>
      <c r="AL837" s="217"/>
      <c r="AM837" s="217"/>
    </row>
    <row r="838">
      <c r="A838" s="217"/>
      <c r="B838" s="241"/>
      <c r="C838" s="247"/>
      <c r="D838" s="247"/>
      <c r="E838" s="247"/>
      <c r="F838" s="247"/>
      <c r="G838" s="242"/>
      <c r="H838" s="243"/>
      <c r="I838" s="244"/>
      <c r="J838" s="245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17"/>
      <c r="AD838" s="217"/>
      <c r="AE838" s="217"/>
      <c r="AF838" s="217"/>
      <c r="AG838" s="217"/>
      <c r="AH838" s="217"/>
      <c r="AI838" s="217"/>
      <c r="AJ838" s="217"/>
      <c r="AK838" s="217"/>
      <c r="AL838" s="217"/>
      <c r="AM838" s="217"/>
    </row>
    <row r="839">
      <c r="A839" s="217"/>
      <c r="B839" s="241"/>
      <c r="C839" s="247"/>
      <c r="D839" s="247"/>
      <c r="E839" s="247"/>
      <c r="F839" s="247"/>
      <c r="G839" s="242"/>
      <c r="H839" s="243"/>
      <c r="I839" s="244"/>
      <c r="J839" s="245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17"/>
      <c r="AD839" s="217"/>
      <c r="AE839" s="217"/>
      <c r="AF839" s="217"/>
      <c r="AG839" s="217"/>
      <c r="AH839" s="217"/>
      <c r="AI839" s="217"/>
      <c r="AJ839" s="217"/>
      <c r="AK839" s="217"/>
      <c r="AL839" s="217"/>
      <c r="AM839" s="217"/>
    </row>
    <row r="840">
      <c r="A840" s="217"/>
      <c r="B840" s="241"/>
      <c r="C840" s="247"/>
      <c r="D840" s="247"/>
      <c r="E840" s="247"/>
      <c r="F840" s="247"/>
      <c r="G840" s="242"/>
      <c r="H840" s="243"/>
      <c r="I840" s="244"/>
      <c r="J840" s="245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17"/>
      <c r="AD840" s="217"/>
      <c r="AE840" s="217"/>
      <c r="AF840" s="217"/>
      <c r="AG840" s="217"/>
      <c r="AH840" s="217"/>
      <c r="AI840" s="217"/>
      <c r="AJ840" s="217"/>
      <c r="AK840" s="217"/>
      <c r="AL840" s="217"/>
      <c r="AM840" s="217"/>
    </row>
    <row r="841">
      <c r="A841" s="217"/>
      <c r="B841" s="241"/>
      <c r="C841" s="247"/>
      <c r="D841" s="247"/>
      <c r="E841" s="247"/>
      <c r="F841" s="247"/>
      <c r="G841" s="242"/>
      <c r="H841" s="243"/>
      <c r="I841" s="244"/>
      <c r="J841" s="245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17"/>
      <c r="AD841" s="217"/>
      <c r="AE841" s="217"/>
      <c r="AF841" s="217"/>
      <c r="AG841" s="217"/>
      <c r="AH841" s="217"/>
      <c r="AI841" s="217"/>
      <c r="AJ841" s="217"/>
      <c r="AK841" s="217"/>
      <c r="AL841" s="217"/>
      <c r="AM841" s="217"/>
    </row>
    <row r="842">
      <c r="A842" s="217"/>
      <c r="B842" s="241"/>
      <c r="C842" s="247"/>
      <c r="D842" s="247"/>
      <c r="E842" s="247"/>
      <c r="F842" s="247"/>
      <c r="G842" s="242"/>
      <c r="H842" s="243"/>
      <c r="I842" s="244"/>
      <c r="J842" s="245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17"/>
      <c r="AD842" s="217"/>
      <c r="AE842" s="217"/>
      <c r="AF842" s="217"/>
      <c r="AG842" s="217"/>
      <c r="AH842" s="217"/>
      <c r="AI842" s="217"/>
      <c r="AJ842" s="217"/>
      <c r="AK842" s="217"/>
      <c r="AL842" s="217"/>
      <c r="AM842" s="217"/>
    </row>
    <row r="843">
      <c r="A843" s="217"/>
      <c r="B843" s="241"/>
      <c r="C843" s="247"/>
      <c r="D843" s="247"/>
      <c r="E843" s="247"/>
      <c r="F843" s="247"/>
      <c r="G843" s="242"/>
      <c r="H843" s="243"/>
      <c r="I843" s="244"/>
      <c r="J843" s="245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17"/>
      <c r="AD843" s="217"/>
      <c r="AE843" s="217"/>
      <c r="AF843" s="217"/>
      <c r="AG843" s="217"/>
      <c r="AH843" s="217"/>
      <c r="AI843" s="217"/>
      <c r="AJ843" s="217"/>
      <c r="AK843" s="217"/>
      <c r="AL843" s="217"/>
      <c r="AM843" s="217"/>
    </row>
    <row r="844">
      <c r="A844" s="217"/>
      <c r="B844" s="241"/>
      <c r="C844" s="247"/>
      <c r="D844" s="247"/>
      <c r="E844" s="247"/>
      <c r="F844" s="247"/>
      <c r="G844" s="242"/>
      <c r="H844" s="243"/>
      <c r="I844" s="244"/>
      <c r="J844" s="245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17"/>
      <c r="AD844" s="217"/>
      <c r="AE844" s="217"/>
      <c r="AF844" s="217"/>
      <c r="AG844" s="217"/>
      <c r="AH844" s="217"/>
      <c r="AI844" s="217"/>
      <c r="AJ844" s="217"/>
      <c r="AK844" s="217"/>
      <c r="AL844" s="217"/>
      <c r="AM844" s="217"/>
    </row>
    <row r="845">
      <c r="A845" s="217"/>
      <c r="B845" s="241"/>
      <c r="C845" s="247"/>
      <c r="D845" s="247"/>
      <c r="E845" s="247"/>
      <c r="F845" s="247"/>
      <c r="G845" s="242"/>
      <c r="H845" s="243"/>
      <c r="I845" s="244"/>
      <c r="J845" s="245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17"/>
      <c r="AD845" s="217"/>
      <c r="AE845" s="217"/>
      <c r="AF845" s="217"/>
      <c r="AG845" s="217"/>
      <c r="AH845" s="217"/>
      <c r="AI845" s="217"/>
      <c r="AJ845" s="217"/>
      <c r="AK845" s="217"/>
      <c r="AL845" s="217"/>
      <c r="AM845" s="217"/>
    </row>
    <row r="846">
      <c r="A846" s="217"/>
      <c r="B846" s="241"/>
      <c r="C846" s="247"/>
      <c r="D846" s="247"/>
      <c r="E846" s="247"/>
      <c r="F846" s="247"/>
      <c r="G846" s="242"/>
      <c r="H846" s="243"/>
      <c r="I846" s="244"/>
      <c r="J846" s="245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17"/>
      <c r="AD846" s="217"/>
      <c r="AE846" s="217"/>
      <c r="AF846" s="217"/>
      <c r="AG846" s="217"/>
      <c r="AH846" s="217"/>
      <c r="AI846" s="217"/>
      <c r="AJ846" s="217"/>
      <c r="AK846" s="217"/>
      <c r="AL846" s="217"/>
      <c r="AM846" s="217"/>
    </row>
    <row r="847">
      <c r="A847" s="217"/>
      <c r="B847" s="241"/>
      <c r="C847" s="247"/>
      <c r="D847" s="247"/>
      <c r="E847" s="247"/>
      <c r="F847" s="247"/>
      <c r="G847" s="242"/>
      <c r="H847" s="243"/>
      <c r="I847" s="244"/>
      <c r="J847" s="245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17"/>
      <c r="AD847" s="217"/>
      <c r="AE847" s="217"/>
      <c r="AF847" s="217"/>
      <c r="AG847" s="217"/>
      <c r="AH847" s="217"/>
      <c r="AI847" s="217"/>
      <c r="AJ847" s="217"/>
      <c r="AK847" s="217"/>
      <c r="AL847" s="217"/>
      <c r="AM847" s="217"/>
    </row>
    <row r="848">
      <c r="A848" s="217"/>
      <c r="B848" s="241"/>
      <c r="C848" s="247"/>
      <c r="D848" s="247"/>
      <c r="E848" s="247"/>
      <c r="F848" s="247"/>
      <c r="G848" s="242"/>
      <c r="H848" s="243"/>
      <c r="I848" s="244"/>
      <c r="J848" s="245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17"/>
      <c r="AD848" s="217"/>
      <c r="AE848" s="217"/>
      <c r="AF848" s="217"/>
      <c r="AG848" s="217"/>
      <c r="AH848" s="217"/>
      <c r="AI848" s="217"/>
      <c r="AJ848" s="217"/>
      <c r="AK848" s="217"/>
      <c r="AL848" s="217"/>
      <c r="AM848" s="217"/>
    </row>
    <row r="849">
      <c r="A849" s="217"/>
      <c r="B849" s="241"/>
      <c r="C849" s="247"/>
      <c r="D849" s="247"/>
      <c r="E849" s="247"/>
      <c r="F849" s="247"/>
      <c r="G849" s="242"/>
      <c r="H849" s="243"/>
      <c r="I849" s="244"/>
      <c r="J849" s="245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17"/>
      <c r="AD849" s="217"/>
      <c r="AE849" s="217"/>
      <c r="AF849" s="217"/>
      <c r="AG849" s="217"/>
      <c r="AH849" s="217"/>
      <c r="AI849" s="217"/>
      <c r="AJ849" s="217"/>
      <c r="AK849" s="217"/>
      <c r="AL849" s="217"/>
      <c r="AM849" s="217"/>
    </row>
    <row r="850">
      <c r="A850" s="217"/>
      <c r="B850" s="241"/>
      <c r="C850" s="247"/>
      <c r="D850" s="247"/>
      <c r="E850" s="247"/>
      <c r="F850" s="247"/>
      <c r="G850" s="242"/>
      <c r="H850" s="243"/>
      <c r="I850" s="244"/>
      <c r="J850" s="245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17"/>
      <c r="AD850" s="217"/>
      <c r="AE850" s="217"/>
      <c r="AF850" s="217"/>
      <c r="AG850" s="217"/>
      <c r="AH850" s="217"/>
      <c r="AI850" s="217"/>
      <c r="AJ850" s="217"/>
      <c r="AK850" s="217"/>
      <c r="AL850" s="217"/>
      <c r="AM850" s="217"/>
    </row>
    <row r="851">
      <c r="A851" s="217"/>
      <c r="B851" s="241"/>
      <c r="C851" s="247"/>
      <c r="D851" s="247"/>
      <c r="E851" s="247"/>
      <c r="F851" s="247"/>
      <c r="G851" s="242"/>
      <c r="H851" s="243"/>
      <c r="I851" s="244"/>
      <c r="J851" s="245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17"/>
      <c r="AD851" s="217"/>
      <c r="AE851" s="217"/>
      <c r="AF851" s="217"/>
      <c r="AG851" s="217"/>
      <c r="AH851" s="217"/>
      <c r="AI851" s="217"/>
      <c r="AJ851" s="217"/>
      <c r="AK851" s="217"/>
      <c r="AL851" s="217"/>
      <c r="AM851" s="217"/>
    </row>
    <row r="852">
      <c r="A852" s="217"/>
      <c r="B852" s="241"/>
      <c r="C852" s="247"/>
      <c r="D852" s="247"/>
      <c r="E852" s="247"/>
      <c r="F852" s="247"/>
      <c r="G852" s="242"/>
      <c r="H852" s="243"/>
      <c r="I852" s="244"/>
      <c r="J852" s="245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17"/>
      <c r="AD852" s="217"/>
      <c r="AE852" s="217"/>
      <c r="AF852" s="217"/>
      <c r="AG852" s="217"/>
      <c r="AH852" s="217"/>
      <c r="AI852" s="217"/>
      <c r="AJ852" s="217"/>
      <c r="AK852" s="217"/>
      <c r="AL852" s="217"/>
      <c r="AM852" s="217"/>
    </row>
    <row r="853">
      <c r="A853" s="217"/>
      <c r="B853" s="241"/>
      <c r="C853" s="247"/>
      <c r="D853" s="247"/>
      <c r="E853" s="247"/>
      <c r="F853" s="247"/>
      <c r="G853" s="242"/>
      <c r="H853" s="243"/>
      <c r="I853" s="244"/>
      <c r="J853" s="245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17"/>
      <c r="AD853" s="217"/>
      <c r="AE853" s="217"/>
      <c r="AF853" s="217"/>
      <c r="AG853" s="217"/>
      <c r="AH853" s="217"/>
      <c r="AI853" s="217"/>
      <c r="AJ853" s="217"/>
      <c r="AK853" s="217"/>
      <c r="AL853" s="217"/>
      <c r="AM853" s="217"/>
    </row>
    <row r="854">
      <c r="A854" s="217"/>
      <c r="B854" s="241"/>
      <c r="C854" s="247"/>
      <c r="D854" s="247"/>
      <c r="E854" s="247"/>
      <c r="F854" s="247"/>
      <c r="G854" s="242"/>
      <c r="H854" s="243"/>
      <c r="I854" s="244"/>
      <c r="J854" s="245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17"/>
      <c r="AD854" s="217"/>
      <c r="AE854" s="217"/>
      <c r="AF854" s="217"/>
      <c r="AG854" s="217"/>
      <c r="AH854" s="217"/>
      <c r="AI854" s="217"/>
      <c r="AJ854" s="217"/>
      <c r="AK854" s="217"/>
      <c r="AL854" s="217"/>
      <c r="AM854" s="217"/>
    </row>
    <row r="855">
      <c r="A855" s="217"/>
      <c r="B855" s="241"/>
      <c r="C855" s="247"/>
      <c r="D855" s="247"/>
      <c r="E855" s="247"/>
      <c r="F855" s="247"/>
      <c r="G855" s="242"/>
      <c r="H855" s="243"/>
      <c r="I855" s="244"/>
      <c r="J855" s="245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17"/>
      <c r="AD855" s="217"/>
      <c r="AE855" s="217"/>
      <c r="AF855" s="217"/>
      <c r="AG855" s="217"/>
      <c r="AH855" s="217"/>
      <c r="AI855" s="217"/>
      <c r="AJ855" s="217"/>
      <c r="AK855" s="217"/>
      <c r="AL855" s="217"/>
      <c r="AM855" s="217"/>
    </row>
    <row r="856">
      <c r="A856" s="217"/>
      <c r="B856" s="241"/>
      <c r="C856" s="247"/>
      <c r="D856" s="247"/>
      <c r="E856" s="247"/>
      <c r="F856" s="247"/>
      <c r="G856" s="242"/>
      <c r="H856" s="243"/>
      <c r="I856" s="244"/>
      <c r="J856" s="245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17"/>
      <c r="AD856" s="217"/>
      <c r="AE856" s="217"/>
      <c r="AF856" s="217"/>
      <c r="AG856" s="217"/>
      <c r="AH856" s="217"/>
      <c r="AI856" s="217"/>
      <c r="AJ856" s="217"/>
      <c r="AK856" s="217"/>
      <c r="AL856" s="217"/>
      <c r="AM856" s="217"/>
    </row>
    <row r="857">
      <c r="A857" s="217"/>
      <c r="B857" s="241"/>
      <c r="C857" s="247"/>
      <c r="D857" s="247"/>
      <c r="E857" s="247"/>
      <c r="F857" s="247"/>
      <c r="G857" s="242"/>
      <c r="H857" s="243"/>
      <c r="I857" s="244"/>
      <c r="J857" s="245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17"/>
      <c r="AD857" s="217"/>
      <c r="AE857" s="217"/>
      <c r="AF857" s="217"/>
      <c r="AG857" s="217"/>
      <c r="AH857" s="217"/>
      <c r="AI857" s="217"/>
      <c r="AJ857" s="217"/>
      <c r="AK857" s="217"/>
      <c r="AL857" s="217"/>
      <c r="AM857" s="217"/>
    </row>
    <row r="858">
      <c r="A858" s="217"/>
      <c r="B858" s="241"/>
      <c r="C858" s="247"/>
      <c r="D858" s="247"/>
      <c r="E858" s="247"/>
      <c r="F858" s="247"/>
      <c r="G858" s="242"/>
      <c r="H858" s="243"/>
      <c r="I858" s="244"/>
      <c r="J858" s="245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17"/>
      <c r="AD858" s="217"/>
      <c r="AE858" s="217"/>
      <c r="AF858" s="217"/>
      <c r="AG858" s="217"/>
      <c r="AH858" s="217"/>
      <c r="AI858" s="217"/>
      <c r="AJ858" s="217"/>
      <c r="AK858" s="217"/>
      <c r="AL858" s="217"/>
      <c r="AM858" s="217"/>
    </row>
    <row r="859">
      <c r="A859" s="217"/>
      <c r="B859" s="241"/>
      <c r="C859" s="247"/>
      <c r="D859" s="247"/>
      <c r="E859" s="247"/>
      <c r="F859" s="247"/>
      <c r="G859" s="242"/>
      <c r="H859" s="243"/>
      <c r="I859" s="244"/>
      <c r="J859" s="245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17"/>
      <c r="AD859" s="217"/>
      <c r="AE859" s="217"/>
      <c r="AF859" s="217"/>
      <c r="AG859" s="217"/>
      <c r="AH859" s="217"/>
      <c r="AI859" s="217"/>
      <c r="AJ859" s="217"/>
      <c r="AK859" s="217"/>
      <c r="AL859" s="217"/>
      <c r="AM859" s="217"/>
    </row>
    <row r="860">
      <c r="A860" s="217"/>
      <c r="B860" s="241"/>
      <c r="C860" s="247"/>
      <c r="D860" s="247"/>
      <c r="E860" s="247"/>
      <c r="F860" s="247"/>
      <c r="G860" s="242"/>
      <c r="H860" s="243"/>
      <c r="I860" s="244"/>
      <c r="J860" s="245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17"/>
      <c r="AD860" s="217"/>
      <c r="AE860" s="217"/>
      <c r="AF860" s="217"/>
      <c r="AG860" s="217"/>
      <c r="AH860" s="217"/>
      <c r="AI860" s="217"/>
      <c r="AJ860" s="217"/>
      <c r="AK860" s="217"/>
      <c r="AL860" s="217"/>
      <c r="AM860" s="217"/>
    </row>
    <row r="861">
      <c r="A861" s="217"/>
      <c r="B861" s="241"/>
      <c r="C861" s="247"/>
      <c r="D861" s="247"/>
      <c r="E861" s="247"/>
      <c r="F861" s="247"/>
      <c r="G861" s="242"/>
      <c r="H861" s="243"/>
      <c r="I861" s="244"/>
      <c r="J861" s="245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17"/>
      <c r="AD861" s="217"/>
      <c r="AE861" s="217"/>
      <c r="AF861" s="217"/>
      <c r="AG861" s="217"/>
      <c r="AH861" s="217"/>
      <c r="AI861" s="217"/>
      <c r="AJ861" s="217"/>
      <c r="AK861" s="217"/>
      <c r="AL861" s="217"/>
      <c r="AM861" s="217"/>
    </row>
    <row r="862">
      <c r="A862" s="217"/>
      <c r="B862" s="241"/>
      <c r="C862" s="247"/>
      <c r="D862" s="247"/>
      <c r="E862" s="247"/>
      <c r="F862" s="247"/>
      <c r="G862" s="242"/>
      <c r="H862" s="243"/>
      <c r="I862" s="244"/>
      <c r="J862" s="245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17"/>
      <c r="AD862" s="217"/>
      <c r="AE862" s="217"/>
      <c r="AF862" s="217"/>
      <c r="AG862" s="217"/>
      <c r="AH862" s="217"/>
      <c r="AI862" s="217"/>
      <c r="AJ862" s="217"/>
      <c r="AK862" s="217"/>
      <c r="AL862" s="217"/>
      <c r="AM862" s="217"/>
    </row>
    <row r="863">
      <c r="A863" s="217"/>
      <c r="B863" s="241"/>
      <c r="C863" s="247"/>
      <c r="D863" s="247"/>
      <c r="E863" s="247"/>
      <c r="F863" s="247"/>
      <c r="G863" s="242"/>
      <c r="H863" s="243"/>
      <c r="I863" s="244"/>
      <c r="J863" s="245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17"/>
      <c r="AD863" s="217"/>
      <c r="AE863" s="217"/>
      <c r="AF863" s="217"/>
      <c r="AG863" s="217"/>
      <c r="AH863" s="217"/>
      <c r="AI863" s="217"/>
      <c r="AJ863" s="217"/>
      <c r="AK863" s="217"/>
      <c r="AL863" s="217"/>
      <c r="AM863" s="217"/>
    </row>
    <row r="864">
      <c r="A864" s="217"/>
      <c r="B864" s="241"/>
      <c r="C864" s="247"/>
      <c r="D864" s="247"/>
      <c r="E864" s="247"/>
      <c r="F864" s="247"/>
      <c r="G864" s="242"/>
      <c r="H864" s="243"/>
      <c r="I864" s="244"/>
      <c r="J864" s="245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17"/>
      <c r="AD864" s="217"/>
      <c r="AE864" s="217"/>
      <c r="AF864" s="217"/>
      <c r="AG864" s="217"/>
      <c r="AH864" s="217"/>
      <c r="AI864" s="217"/>
      <c r="AJ864" s="217"/>
      <c r="AK864" s="217"/>
      <c r="AL864" s="217"/>
      <c r="AM864" s="217"/>
    </row>
    <row r="865">
      <c r="A865" s="217"/>
      <c r="B865" s="241"/>
      <c r="C865" s="247"/>
      <c r="D865" s="247"/>
      <c r="E865" s="247"/>
      <c r="F865" s="247"/>
      <c r="G865" s="242"/>
      <c r="H865" s="243"/>
      <c r="I865" s="244"/>
      <c r="J865" s="245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17"/>
      <c r="AD865" s="217"/>
      <c r="AE865" s="217"/>
      <c r="AF865" s="217"/>
      <c r="AG865" s="217"/>
      <c r="AH865" s="217"/>
      <c r="AI865" s="217"/>
      <c r="AJ865" s="217"/>
      <c r="AK865" s="217"/>
      <c r="AL865" s="217"/>
      <c r="AM865" s="217"/>
    </row>
    <row r="866">
      <c r="A866" s="217"/>
      <c r="B866" s="241"/>
      <c r="C866" s="247"/>
      <c r="D866" s="247"/>
      <c r="E866" s="247"/>
      <c r="F866" s="247"/>
      <c r="G866" s="242"/>
      <c r="H866" s="243"/>
      <c r="I866" s="244"/>
      <c r="J866" s="245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17"/>
      <c r="AD866" s="217"/>
      <c r="AE866" s="217"/>
      <c r="AF866" s="217"/>
      <c r="AG866" s="217"/>
      <c r="AH866" s="217"/>
      <c r="AI866" s="217"/>
      <c r="AJ866" s="217"/>
      <c r="AK866" s="217"/>
      <c r="AL866" s="217"/>
      <c r="AM866" s="217"/>
    </row>
    <row r="867">
      <c r="A867" s="217"/>
      <c r="B867" s="241"/>
      <c r="C867" s="247"/>
      <c r="D867" s="247"/>
      <c r="E867" s="247"/>
      <c r="F867" s="247"/>
      <c r="G867" s="242"/>
      <c r="H867" s="243"/>
      <c r="I867" s="244"/>
      <c r="J867" s="245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17"/>
      <c r="AD867" s="217"/>
      <c r="AE867" s="217"/>
      <c r="AF867" s="217"/>
      <c r="AG867" s="217"/>
      <c r="AH867" s="217"/>
      <c r="AI867" s="217"/>
      <c r="AJ867" s="217"/>
      <c r="AK867" s="217"/>
      <c r="AL867" s="217"/>
      <c r="AM867" s="217"/>
    </row>
    <row r="868">
      <c r="A868" s="217"/>
      <c r="B868" s="241"/>
      <c r="C868" s="247"/>
      <c r="D868" s="247"/>
      <c r="E868" s="247"/>
      <c r="F868" s="247"/>
      <c r="G868" s="242"/>
      <c r="H868" s="243"/>
      <c r="I868" s="244"/>
      <c r="J868" s="245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17"/>
      <c r="AD868" s="217"/>
      <c r="AE868" s="217"/>
      <c r="AF868" s="217"/>
      <c r="AG868" s="217"/>
      <c r="AH868" s="217"/>
      <c r="AI868" s="217"/>
      <c r="AJ868" s="217"/>
      <c r="AK868" s="217"/>
      <c r="AL868" s="217"/>
      <c r="AM868" s="217"/>
    </row>
    <row r="869">
      <c r="A869" s="217"/>
      <c r="B869" s="241"/>
      <c r="C869" s="247"/>
      <c r="D869" s="247"/>
      <c r="E869" s="247"/>
      <c r="F869" s="247"/>
      <c r="G869" s="242"/>
      <c r="H869" s="243"/>
      <c r="I869" s="244"/>
      <c r="J869" s="245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17"/>
      <c r="AD869" s="217"/>
      <c r="AE869" s="217"/>
      <c r="AF869" s="217"/>
      <c r="AG869" s="217"/>
      <c r="AH869" s="217"/>
      <c r="AI869" s="217"/>
      <c r="AJ869" s="217"/>
      <c r="AK869" s="217"/>
      <c r="AL869" s="217"/>
      <c r="AM869" s="217"/>
    </row>
    <row r="870">
      <c r="A870" s="217"/>
      <c r="B870" s="241"/>
      <c r="C870" s="247"/>
      <c r="D870" s="247"/>
      <c r="E870" s="247"/>
      <c r="F870" s="247"/>
      <c r="G870" s="242"/>
      <c r="H870" s="243"/>
      <c r="I870" s="244"/>
      <c r="J870" s="245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17"/>
      <c r="AD870" s="217"/>
      <c r="AE870" s="217"/>
      <c r="AF870" s="217"/>
      <c r="AG870" s="217"/>
      <c r="AH870" s="217"/>
      <c r="AI870" s="217"/>
      <c r="AJ870" s="217"/>
      <c r="AK870" s="217"/>
      <c r="AL870" s="217"/>
      <c r="AM870" s="217"/>
    </row>
    <row r="871">
      <c r="A871" s="217"/>
      <c r="B871" s="241"/>
      <c r="C871" s="247"/>
      <c r="D871" s="247"/>
      <c r="E871" s="247"/>
      <c r="F871" s="247"/>
      <c r="G871" s="242"/>
      <c r="H871" s="243"/>
      <c r="I871" s="244"/>
      <c r="J871" s="245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17"/>
      <c r="AD871" s="217"/>
      <c r="AE871" s="217"/>
      <c r="AF871" s="217"/>
      <c r="AG871" s="217"/>
      <c r="AH871" s="217"/>
      <c r="AI871" s="217"/>
      <c r="AJ871" s="217"/>
      <c r="AK871" s="217"/>
      <c r="AL871" s="217"/>
      <c r="AM871" s="217"/>
    </row>
    <row r="872">
      <c r="A872" s="217"/>
      <c r="B872" s="241"/>
      <c r="C872" s="247"/>
      <c r="D872" s="247"/>
      <c r="E872" s="247"/>
      <c r="F872" s="247"/>
      <c r="G872" s="242"/>
      <c r="H872" s="243"/>
      <c r="I872" s="244"/>
      <c r="J872" s="245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17"/>
      <c r="AD872" s="217"/>
      <c r="AE872" s="217"/>
      <c r="AF872" s="217"/>
      <c r="AG872" s="217"/>
      <c r="AH872" s="217"/>
      <c r="AI872" s="217"/>
      <c r="AJ872" s="217"/>
      <c r="AK872" s="217"/>
      <c r="AL872" s="217"/>
      <c r="AM872" s="217"/>
    </row>
    <row r="873">
      <c r="A873" s="217"/>
      <c r="B873" s="241"/>
      <c r="C873" s="247"/>
      <c r="D873" s="247"/>
      <c r="E873" s="247"/>
      <c r="F873" s="247"/>
      <c r="G873" s="242"/>
      <c r="H873" s="243"/>
      <c r="I873" s="244"/>
      <c r="J873" s="245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17"/>
      <c r="AD873" s="217"/>
      <c r="AE873" s="217"/>
      <c r="AF873" s="217"/>
      <c r="AG873" s="217"/>
      <c r="AH873" s="217"/>
      <c r="AI873" s="217"/>
      <c r="AJ873" s="217"/>
      <c r="AK873" s="217"/>
      <c r="AL873" s="217"/>
      <c r="AM873" s="217"/>
    </row>
    <row r="874">
      <c r="A874" s="217"/>
      <c r="B874" s="241"/>
      <c r="C874" s="247"/>
      <c r="D874" s="247"/>
      <c r="E874" s="247"/>
      <c r="F874" s="247"/>
      <c r="G874" s="242"/>
      <c r="H874" s="243"/>
      <c r="I874" s="244"/>
      <c r="J874" s="245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17"/>
      <c r="AD874" s="217"/>
      <c r="AE874" s="217"/>
      <c r="AF874" s="217"/>
      <c r="AG874" s="217"/>
      <c r="AH874" s="217"/>
      <c r="AI874" s="217"/>
      <c r="AJ874" s="217"/>
      <c r="AK874" s="217"/>
      <c r="AL874" s="217"/>
      <c r="AM874" s="217"/>
    </row>
    <row r="875">
      <c r="A875" s="217"/>
      <c r="B875" s="241"/>
      <c r="C875" s="247"/>
      <c r="D875" s="247"/>
      <c r="E875" s="247"/>
      <c r="F875" s="247"/>
      <c r="G875" s="242"/>
      <c r="H875" s="243"/>
      <c r="I875" s="244"/>
      <c r="J875" s="245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17"/>
      <c r="AD875" s="217"/>
      <c r="AE875" s="217"/>
      <c r="AF875" s="217"/>
      <c r="AG875" s="217"/>
      <c r="AH875" s="217"/>
      <c r="AI875" s="217"/>
      <c r="AJ875" s="217"/>
      <c r="AK875" s="217"/>
      <c r="AL875" s="217"/>
      <c r="AM875" s="217"/>
    </row>
    <row r="876">
      <c r="A876" s="217"/>
      <c r="B876" s="241"/>
      <c r="C876" s="247"/>
      <c r="D876" s="247"/>
      <c r="E876" s="247"/>
      <c r="F876" s="247"/>
      <c r="G876" s="242"/>
      <c r="H876" s="243"/>
      <c r="I876" s="244"/>
      <c r="J876" s="245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17"/>
      <c r="AD876" s="217"/>
      <c r="AE876" s="217"/>
      <c r="AF876" s="217"/>
      <c r="AG876" s="217"/>
      <c r="AH876" s="217"/>
      <c r="AI876" s="217"/>
      <c r="AJ876" s="217"/>
      <c r="AK876" s="217"/>
      <c r="AL876" s="217"/>
      <c r="AM876" s="217"/>
    </row>
    <row r="877">
      <c r="A877" s="217"/>
      <c r="B877" s="241"/>
      <c r="C877" s="247"/>
      <c r="D877" s="247"/>
      <c r="E877" s="247"/>
      <c r="F877" s="247"/>
      <c r="G877" s="242"/>
      <c r="H877" s="243"/>
      <c r="I877" s="244"/>
      <c r="J877" s="245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17"/>
      <c r="AD877" s="217"/>
      <c r="AE877" s="217"/>
      <c r="AF877" s="217"/>
      <c r="AG877" s="217"/>
      <c r="AH877" s="217"/>
      <c r="AI877" s="217"/>
      <c r="AJ877" s="217"/>
      <c r="AK877" s="217"/>
      <c r="AL877" s="217"/>
      <c r="AM877" s="217"/>
    </row>
    <row r="878">
      <c r="A878" s="217"/>
      <c r="B878" s="241"/>
      <c r="C878" s="247"/>
      <c r="D878" s="247"/>
      <c r="E878" s="247"/>
      <c r="F878" s="247"/>
      <c r="G878" s="242"/>
      <c r="H878" s="243"/>
      <c r="I878" s="244"/>
      <c r="J878" s="245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17"/>
      <c r="AD878" s="217"/>
      <c r="AE878" s="217"/>
      <c r="AF878" s="217"/>
      <c r="AG878" s="217"/>
      <c r="AH878" s="217"/>
      <c r="AI878" s="217"/>
      <c r="AJ878" s="217"/>
      <c r="AK878" s="217"/>
      <c r="AL878" s="217"/>
      <c r="AM878" s="217"/>
    </row>
    <row r="879">
      <c r="A879" s="217"/>
      <c r="B879" s="241"/>
      <c r="C879" s="247"/>
      <c r="D879" s="247"/>
      <c r="E879" s="247"/>
      <c r="F879" s="247"/>
      <c r="G879" s="242"/>
      <c r="H879" s="243"/>
      <c r="I879" s="244"/>
      <c r="J879" s="245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17"/>
      <c r="AD879" s="217"/>
      <c r="AE879" s="217"/>
      <c r="AF879" s="217"/>
      <c r="AG879" s="217"/>
      <c r="AH879" s="217"/>
      <c r="AI879" s="217"/>
      <c r="AJ879" s="217"/>
      <c r="AK879" s="217"/>
      <c r="AL879" s="217"/>
      <c r="AM879" s="217"/>
    </row>
    <row r="880">
      <c r="A880" s="217"/>
      <c r="B880" s="241"/>
      <c r="C880" s="247"/>
      <c r="D880" s="247"/>
      <c r="E880" s="247"/>
      <c r="F880" s="247"/>
      <c r="G880" s="242"/>
      <c r="H880" s="243"/>
      <c r="I880" s="244"/>
      <c r="J880" s="245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17"/>
      <c r="AD880" s="217"/>
      <c r="AE880" s="217"/>
      <c r="AF880" s="217"/>
      <c r="AG880" s="217"/>
      <c r="AH880" s="217"/>
      <c r="AI880" s="217"/>
      <c r="AJ880" s="217"/>
      <c r="AK880" s="217"/>
      <c r="AL880" s="217"/>
      <c r="AM880" s="217"/>
    </row>
    <row r="881">
      <c r="A881" s="217"/>
      <c r="B881" s="241"/>
      <c r="C881" s="247"/>
      <c r="D881" s="247"/>
      <c r="E881" s="247"/>
      <c r="F881" s="247"/>
      <c r="G881" s="242"/>
      <c r="H881" s="243"/>
      <c r="I881" s="244"/>
      <c r="J881" s="245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17"/>
      <c r="AD881" s="217"/>
      <c r="AE881" s="217"/>
      <c r="AF881" s="217"/>
      <c r="AG881" s="217"/>
      <c r="AH881" s="217"/>
      <c r="AI881" s="217"/>
      <c r="AJ881" s="217"/>
      <c r="AK881" s="217"/>
      <c r="AL881" s="217"/>
      <c r="AM881" s="217"/>
    </row>
    <row r="882">
      <c r="A882" s="217"/>
      <c r="B882" s="241"/>
      <c r="C882" s="247"/>
      <c r="D882" s="247"/>
      <c r="E882" s="247"/>
      <c r="F882" s="247"/>
      <c r="G882" s="242"/>
      <c r="H882" s="243"/>
      <c r="I882" s="244"/>
      <c r="J882" s="245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17"/>
      <c r="AD882" s="217"/>
      <c r="AE882" s="217"/>
      <c r="AF882" s="217"/>
      <c r="AG882" s="217"/>
      <c r="AH882" s="217"/>
      <c r="AI882" s="217"/>
      <c r="AJ882" s="217"/>
      <c r="AK882" s="217"/>
      <c r="AL882" s="217"/>
      <c r="AM882" s="217"/>
    </row>
    <row r="883">
      <c r="A883" s="217"/>
      <c r="B883" s="241"/>
      <c r="C883" s="247"/>
      <c r="D883" s="247"/>
      <c r="E883" s="247"/>
      <c r="F883" s="247"/>
      <c r="G883" s="242"/>
      <c r="H883" s="243"/>
      <c r="I883" s="244"/>
      <c r="J883" s="245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17"/>
      <c r="AD883" s="217"/>
      <c r="AE883" s="217"/>
      <c r="AF883" s="217"/>
      <c r="AG883" s="217"/>
      <c r="AH883" s="217"/>
      <c r="AI883" s="217"/>
      <c r="AJ883" s="217"/>
      <c r="AK883" s="217"/>
      <c r="AL883" s="217"/>
      <c r="AM883" s="217"/>
    </row>
    <row r="884">
      <c r="A884" s="217"/>
      <c r="B884" s="241"/>
      <c r="C884" s="247"/>
      <c r="D884" s="247"/>
      <c r="E884" s="247"/>
      <c r="F884" s="247"/>
      <c r="G884" s="242"/>
      <c r="H884" s="243"/>
      <c r="I884" s="244"/>
      <c r="J884" s="245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17"/>
      <c r="AD884" s="217"/>
      <c r="AE884" s="217"/>
      <c r="AF884" s="217"/>
      <c r="AG884" s="217"/>
      <c r="AH884" s="217"/>
      <c r="AI884" s="217"/>
      <c r="AJ884" s="217"/>
      <c r="AK884" s="217"/>
      <c r="AL884" s="217"/>
      <c r="AM884" s="217"/>
    </row>
    <row r="885">
      <c r="A885" s="217"/>
      <c r="B885" s="241"/>
      <c r="C885" s="247"/>
      <c r="D885" s="247"/>
      <c r="E885" s="247"/>
      <c r="F885" s="247"/>
      <c r="G885" s="242"/>
      <c r="H885" s="243"/>
      <c r="I885" s="244"/>
      <c r="J885" s="245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17"/>
      <c r="AD885" s="217"/>
      <c r="AE885" s="217"/>
      <c r="AF885" s="217"/>
      <c r="AG885" s="217"/>
      <c r="AH885" s="217"/>
      <c r="AI885" s="217"/>
      <c r="AJ885" s="217"/>
      <c r="AK885" s="217"/>
      <c r="AL885" s="217"/>
      <c r="AM885" s="217"/>
    </row>
    <row r="886">
      <c r="A886" s="217"/>
      <c r="B886" s="241"/>
      <c r="C886" s="247"/>
      <c r="D886" s="247"/>
      <c r="E886" s="247"/>
      <c r="F886" s="247"/>
      <c r="G886" s="242"/>
      <c r="H886" s="243"/>
      <c r="I886" s="244"/>
      <c r="J886" s="245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17"/>
      <c r="AD886" s="217"/>
      <c r="AE886" s="217"/>
      <c r="AF886" s="217"/>
      <c r="AG886" s="217"/>
      <c r="AH886" s="217"/>
      <c r="AI886" s="217"/>
      <c r="AJ886" s="217"/>
      <c r="AK886" s="217"/>
      <c r="AL886" s="217"/>
      <c r="AM886" s="217"/>
    </row>
    <row r="887">
      <c r="A887" s="217"/>
      <c r="B887" s="241"/>
      <c r="C887" s="247"/>
      <c r="D887" s="247"/>
      <c r="E887" s="247"/>
      <c r="F887" s="247"/>
      <c r="G887" s="242"/>
      <c r="H887" s="243"/>
      <c r="I887" s="244"/>
      <c r="J887" s="245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17"/>
      <c r="AD887" s="217"/>
      <c r="AE887" s="217"/>
      <c r="AF887" s="217"/>
      <c r="AG887" s="217"/>
      <c r="AH887" s="217"/>
      <c r="AI887" s="217"/>
      <c r="AJ887" s="217"/>
      <c r="AK887" s="217"/>
      <c r="AL887" s="217"/>
      <c r="AM887" s="217"/>
    </row>
    <row r="888">
      <c r="A888" s="217"/>
      <c r="B888" s="241"/>
      <c r="C888" s="247"/>
      <c r="D888" s="247"/>
      <c r="E888" s="247"/>
      <c r="F888" s="247"/>
      <c r="G888" s="242"/>
      <c r="H888" s="243"/>
      <c r="I888" s="244"/>
      <c r="J888" s="245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17"/>
      <c r="AD888" s="217"/>
      <c r="AE888" s="217"/>
      <c r="AF888" s="217"/>
      <c r="AG888" s="217"/>
      <c r="AH888" s="217"/>
      <c r="AI888" s="217"/>
      <c r="AJ888" s="217"/>
      <c r="AK888" s="217"/>
      <c r="AL888" s="217"/>
      <c r="AM888" s="217"/>
    </row>
    <row r="889">
      <c r="A889" s="217"/>
      <c r="B889" s="241"/>
      <c r="C889" s="247"/>
      <c r="D889" s="247"/>
      <c r="E889" s="247"/>
      <c r="F889" s="247"/>
      <c r="G889" s="242"/>
      <c r="H889" s="243"/>
      <c r="I889" s="244"/>
      <c r="J889" s="245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17"/>
      <c r="AD889" s="217"/>
      <c r="AE889" s="217"/>
      <c r="AF889" s="217"/>
      <c r="AG889" s="217"/>
      <c r="AH889" s="217"/>
      <c r="AI889" s="217"/>
      <c r="AJ889" s="217"/>
      <c r="AK889" s="217"/>
      <c r="AL889" s="217"/>
      <c r="AM889" s="217"/>
    </row>
    <row r="890">
      <c r="A890" s="217"/>
      <c r="B890" s="241"/>
      <c r="C890" s="247"/>
      <c r="D890" s="247"/>
      <c r="E890" s="247"/>
      <c r="F890" s="247"/>
      <c r="G890" s="242"/>
      <c r="H890" s="243"/>
      <c r="I890" s="244"/>
      <c r="J890" s="245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17"/>
      <c r="AD890" s="217"/>
      <c r="AE890" s="217"/>
      <c r="AF890" s="217"/>
      <c r="AG890" s="217"/>
      <c r="AH890" s="217"/>
      <c r="AI890" s="217"/>
      <c r="AJ890" s="217"/>
      <c r="AK890" s="217"/>
      <c r="AL890" s="217"/>
      <c r="AM890" s="217"/>
    </row>
    <row r="891">
      <c r="A891" s="217"/>
      <c r="B891" s="241"/>
      <c r="C891" s="247"/>
      <c r="D891" s="247"/>
      <c r="E891" s="247"/>
      <c r="F891" s="247"/>
      <c r="G891" s="242"/>
      <c r="H891" s="243"/>
      <c r="I891" s="244"/>
      <c r="J891" s="245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17"/>
      <c r="AD891" s="217"/>
      <c r="AE891" s="217"/>
      <c r="AF891" s="217"/>
      <c r="AG891" s="217"/>
      <c r="AH891" s="217"/>
      <c r="AI891" s="217"/>
      <c r="AJ891" s="217"/>
      <c r="AK891" s="217"/>
      <c r="AL891" s="217"/>
      <c r="AM891" s="217"/>
    </row>
    <row r="892">
      <c r="A892" s="217"/>
      <c r="B892" s="241"/>
      <c r="C892" s="247"/>
      <c r="D892" s="247"/>
      <c r="E892" s="247"/>
      <c r="F892" s="247"/>
      <c r="G892" s="242"/>
      <c r="H892" s="243"/>
      <c r="I892" s="244"/>
      <c r="J892" s="245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17"/>
      <c r="AD892" s="217"/>
      <c r="AE892" s="217"/>
      <c r="AF892" s="217"/>
      <c r="AG892" s="217"/>
      <c r="AH892" s="217"/>
      <c r="AI892" s="217"/>
      <c r="AJ892" s="217"/>
      <c r="AK892" s="217"/>
      <c r="AL892" s="217"/>
      <c r="AM892" s="217"/>
    </row>
    <row r="893">
      <c r="A893" s="217"/>
      <c r="B893" s="241"/>
      <c r="C893" s="247"/>
      <c r="D893" s="247"/>
      <c r="E893" s="247"/>
      <c r="F893" s="247"/>
      <c r="G893" s="242"/>
      <c r="H893" s="243"/>
      <c r="I893" s="244"/>
      <c r="J893" s="245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17"/>
      <c r="AD893" s="217"/>
      <c r="AE893" s="217"/>
      <c r="AF893" s="217"/>
      <c r="AG893" s="217"/>
      <c r="AH893" s="217"/>
      <c r="AI893" s="217"/>
      <c r="AJ893" s="217"/>
      <c r="AK893" s="217"/>
      <c r="AL893" s="217"/>
      <c r="AM893" s="217"/>
    </row>
    <row r="894">
      <c r="A894" s="217"/>
      <c r="B894" s="241"/>
      <c r="C894" s="247"/>
      <c r="D894" s="247"/>
      <c r="E894" s="247"/>
      <c r="F894" s="247"/>
      <c r="G894" s="242"/>
      <c r="H894" s="243"/>
      <c r="I894" s="244"/>
      <c r="J894" s="245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17"/>
      <c r="AD894" s="217"/>
      <c r="AE894" s="217"/>
      <c r="AF894" s="217"/>
      <c r="AG894" s="217"/>
      <c r="AH894" s="217"/>
      <c r="AI894" s="217"/>
      <c r="AJ894" s="217"/>
      <c r="AK894" s="217"/>
      <c r="AL894" s="217"/>
      <c r="AM894" s="217"/>
    </row>
    <row r="895">
      <c r="A895" s="217"/>
      <c r="B895" s="241"/>
      <c r="C895" s="247"/>
      <c r="D895" s="247"/>
      <c r="E895" s="247"/>
      <c r="F895" s="247"/>
      <c r="G895" s="242"/>
      <c r="H895" s="243"/>
      <c r="I895" s="244"/>
      <c r="J895" s="245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17"/>
      <c r="AD895" s="217"/>
      <c r="AE895" s="217"/>
      <c r="AF895" s="217"/>
      <c r="AG895" s="217"/>
      <c r="AH895" s="217"/>
      <c r="AI895" s="217"/>
      <c r="AJ895" s="217"/>
      <c r="AK895" s="217"/>
      <c r="AL895" s="217"/>
      <c r="AM895" s="217"/>
    </row>
    <row r="896">
      <c r="A896" s="217"/>
      <c r="B896" s="241"/>
      <c r="C896" s="247"/>
      <c r="D896" s="247"/>
      <c r="E896" s="247"/>
      <c r="F896" s="247"/>
      <c r="G896" s="242"/>
      <c r="H896" s="243"/>
      <c r="I896" s="244"/>
      <c r="J896" s="245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17"/>
      <c r="AD896" s="217"/>
      <c r="AE896" s="217"/>
      <c r="AF896" s="217"/>
      <c r="AG896" s="217"/>
      <c r="AH896" s="217"/>
      <c r="AI896" s="217"/>
      <c r="AJ896" s="217"/>
      <c r="AK896" s="217"/>
      <c r="AL896" s="217"/>
      <c r="AM896" s="217"/>
    </row>
    <row r="897">
      <c r="A897" s="217"/>
      <c r="B897" s="241"/>
      <c r="C897" s="247"/>
      <c r="D897" s="247"/>
      <c r="E897" s="247"/>
      <c r="F897" s="247"/>
      <c r="G897" s="242"/>
      <c r="H897" s="243"/>
      <c r="I897" s="244"/>
      <c r="J897" s="245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17"/>
      <c r="AD897" s="217"/>
      <c r="AE897" s="217"/>
      <c r="AF897" s="217"/>
      <c r="AG897" s="217"/>
      <c r="AH897" s="217"/>
      <c r="AI897" s="217"/>
      <c r="AJ897" s="217"/>
      <c r="AK897" s="217"/>
      <c r="AL897" s="217"/>
      <c r="AM897" s="217"/>
    </row>
    <row r="898">
      <c r="A898" s="217"/>
      <c r="B898" s="241"/>
      <c r="C898" s="247"/>
      <c r="D898" s="247"/>
      <c r="E898" s="247"/>
      <c r="F898" s="247"/>
      <c r="G898" s="242"/>
      <c r="H898" s="243"/>
      <c r="I898" s="244"/>
      <c r="J898" s="245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17"/>
      <c r="AD898" s="217"/>
      <c r="AE898" s="217"/>
      <c r="AF898" s="217"/>
      <c r="AG898" s="217"/>
      <c r="AH898" s="217"/>
      <c r="AI898" s="217"/>
      <c r="AJ898" s="217"/>
      <c r="AK898" s="217"/>
      <c r="AL898" s="217"/>
      <c r="AM898" s="217"/>
    </row>
    <row r="899">
      <c r="A899" s="217"/>
      <c r="B899" s="241"/>
      <c r="C899" s="247"/>
      <c r="D899" s="247"/>
      <c r="E899" s="247"/>
      <c r="F899" s="247"/>
      <c r="G899" s="242"/>
      <c r="H899" s="243"/>
      <c r="I899" s="244"/>
      <c r="J899" s="245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17"/>
      <c r="AD899" s="217"/>
      <c r="AE899" s="217"/>
      <c r="AF899" s="217"/>
      <c r="AG899" s="217"/>
      <c r="AH899" s="217"/>
      <c r="AI899" s="217"/>
      <c r="AJ899" s="217"/>
      <c r="AK899" s="217"/>
      <c r="AL899" s="217"/>
      <c r="AM899" s="217"/>
    </row>
    <row r="900">
      <c r="A900" s="217"/>
      <c r="B900" s="241"/>
      <c r="C900" s="247"/>
      <c r="D900" s="247"/>
      <c r="E900" s="247"/>
      <c r="F900" s="247"/>
      <c r="G900" s="242"/>
      <c r="H900" s="243"/>
      <c r="I900" s="244"/>
      <c r="J900" s="245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17"/>
      <c r="AD900" s="217"/>
      <c r="AE900" s="217"/>
      <c r="AF900" s="217"/>
      <c r="AG900" s="217"/>
      <c r="AH900" s="217"/>
      <c r="AI900" s="217"/>
      <c r="AJ900" s="217"/>
      <c r="AK900" s="217"/>
      <c r="AL900" s="217"/>
      <c r="AM900" s="217"/>
    </row>
    <row r="901">
      <c r="A901" s="217"/>
      <c r="B901" s="241"/>
      <c r="C901" s="247"/>
      <c r="D901" s="247"/>
      <c r="E901" s="247"/>
      <c r="F901" s="247"/>
      <c r="G901" s="242"/>
      <c r="H901" s="243"/>
      <c r="I901" s="244"/>
      <c r="J901" s="245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17"/>
      <c r="AD901" s="217"/>
      <c r="AE901" s="217"/>
      <c r="AF901" s="217"/>
      <c r="AG901" s="217"/>
      <c r="AH901" s="217"/>
      <c r="AI901" s="217"/>
      <c r="AJ901" s="217"/>
      <c r="AK901" s="217"/>
      <c r="AL901" s="217"/>
      <c r="AM901" s="217"/>
    </row>
    <row r="902">
      <c r="A902" s="217"/>
      <c r="B902" s="241"/>
      <c r="C902" s="247"/>
      <c r="D902" s="247"/>
      <c r="E902" s="247"/>
      <c r="F902" s="247"/>
      <c r="G902" s="242"/>
      <c r="H902" s="243"/>
      <c r="I902" s="244"/>
      <c r="J902" s="245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17"/>
      <c r="AD902" s="217"/>
      <c r="AE902" s="217"/>
      <c r="AF902" s="217"/>
      <c r="AG902" s="217"/>
      <c r="AH902" s="217"/>
      <c r="AI902" s="217"/>
      <c r="AJ902" s="217"/>
      <c r="AK902" s="217"/>
      <c r="AL902" s="217"/>
      <c r="AM902" s="217"/>
    </row>
    <row r="903">
      <c r="A903" s="217"/>
      <c r="B903" s="241"/>
      <c r="C903" s="247"/>
      <c r="D903" s="247"/>
      <c r="E903" s="247"/>
      <c r="F903" s="247"/>
      <c r="G903" s="242"/>
      <c r="H903" s="243"/>
      <c r="I903" s="244"/>
      <c r="J903" s="245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17"/>
      <c r="AD903" s="217"/>
      <c r="AE903" s="217"/>
      <c r="AF903" s="217"/>
      <c r="AG903" s="217"/>
      <c r="AH903" s="217"/>
      <c r="AI903" s="217"/>
      <c r="AJ903" s="217"/>
      <c r="AK903" s="217"/>
      <c r="AL903" s="217"/>
      <c r="AM903" s="217"/>
    </row>
    <row r="904">
      <c r="A904" s="217"/>
      <c r="B904" s="241"/>
      <c r="C904" s="247"/>
      <c r="D904" s="247"/>
      <c r="E904" s="247"/>
      <c r="F904" s="247"/>
      <c r="G904" s="242"/>
      <c r="H904" s="243"/>
      <c r="I904" s="244"/>
      <c r="J904" s="245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17"/>
      <c r="AD904" s="217"/>
      <c r="AE904" s="217"/>
      <c r="AF904" s="217"/>
      <c r="AG904" s="217"/>
      <c r="AH904" s="217"/>
      <c r="AI904" s="217"/>
      <c r="AJ904" s="217"/>
      <c r="AK904" s="217"/>
      <c r="AL904" s="217"/>
      <c r="AM904" s="217"/>
    </row>
    <row r="905">
      <c r="A905" s="217"/>
      <c r="B905" s="241"/>
      <c r="C905" s="247"/>
      <c r="D905" s="247"/>
      <c r="E905" s="247"/>
      <c r="F905" s="247"/>
      <c r="G905" s="242"/>
      <c r="H905" s="243"/>
      <c r="I905" s="244"/>
      <c r="J905" s="245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17"/>
      <c r="AD905" s="217"/>
      <c r="AE905" s="217"/>
      <c r="AF905" s="217"/>
      <c r="AG905" s="217"/>
      <c r="AH905" s="217"/>
      <c r="AI905" s="217"/>
      <c r="AJ905" s="217"/>
      <c r="AK905" s="217"/>
      <c r="AL905" s="217"/>
      <c r="AM905" s="217"/>
    </row>
    <row r="906">
      <c r="A906" s="217"/>
      <c r="B906" s="241"/>
      <c r="C906" s="247"/>
      <c r="D906" s="247"/>
      <c r="E906" s="247"/>
      <c r="F906" s="247"/>
      <c r="G906" s="242"/>
      <c r="H906" s="243"/>
      <c r="I906" s="244"/>
      <c r="J906" s="245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17"/>
      <c r="AD906" s="217"/>
      <c r="AE906" s="217"/>
      <c r="AF906" s="217"/>
      <c r="AG906" s="217"/>
      <c r="AH906" s="217"/>
      <c r="AI906" s="217"/>
      <c r="AJ906" s="217"/>
      <c r="AK906" s="217"/>
      <c r="AL906" s="217"/>
      <c r="AM906" s="217"/>
    </row>
    <row r="907">
      <c r="A907" s="217"/>
      <c r="B907" s="241"/>
      <c r="C907" s="247"/>
      <c r="D907" s="247"/>
      <c r="E907" s="247"/>
      <c r="F907" s="247"/>
      <c r="G907" s="242"/>
      <c r="H907" s="243"/>
      <c r="I907" s="244"/>
      <c r="J907" s="245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17"/>
      <c r="AD907" s="217"/>
      <c r="AE907" s="217"/>
      <c r="AF907" s="217"/>
      <c r="AG907" s="217"/>
      <c r="AH907" s="217"/>
      <c r="AI907" s="217"/>
      <c r="AJ907" s="217"/>
      <c r="AK907" s="217"/>
      <c r="AL907" s="217"/>
      <c r="AM907" s="217"/>
    </row>
    <row r="908">
      <c r="A908" s="217"/>
      <c r="B908" s="241"/>
      <c r="C908" s="247"/>
      <c r="D908" s="247"/>
      <c r="E908" s="247"/>
      <c r="F908" s="247"/>
      <c r="G908" s="242"/>
      <c r="H908" s="243"/>
      <c r="I908" s="244"/>
      <c r="J908" s="245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17"/>
      <c r="AD908" s="217"/>
      <c r="AE908" s="217"/>
      <c r="AF908" s="217"/>
      <c r="AG908" s="217"/>
      <c r="AH908" s="217"/>
      <c r="AI908" s="217"/>
      <c r="AJ908" s="217"/>
      <c r="AK908" s="217"/>
      <c r="AL908" s="217"/>
      <c r="AM908" s="217"/>
    </row>
    <row r="909">
      <c r="A909" s="217"/>
      <c r="B909" s="241"/>
      <c r="C909" s="247"/>
      <c r="D909" s="247"/>
      <c r="E909" s="247"/>
      <c r="F909" s="247"/>
      <c r="G909" s="242"/>
      <c r="H909" s="243"/>
      <c r="I909" s="244"/>
      <c r="J909" s="245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17"/>
      <c r="AD909" s="217"/>
      <c r="AE909" s="217"/>
      <c r="AF909" s="217"/>
      <c r="AG909" s="217"/>
      <c r="AH909" s="217"/>
      <c r="AI909" s="217"/>
      <c r="AJ909" s="217"/>
      <c r="AK909" s="217"/>
      <c r="AL909" s="217"/>
      <c r="AM909" s="217"/>
    </row>
    <row r="910">
      <c r="A910" s="217"/>
      <c r="B910" s="241"/>
      <c r="C910" s="247"/>
      <c r="D910" s="247"/>
      <c r="E910" s="247"/>
      <c r="F910" s="247"/>
      <c r="G910" s="242"/>
      <c r="H910" s="243"/>
      <c r="I910" s="244"/>
      <c r="J910" s="245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17"/>
      <c r="AD910" s="217"/>
      <c r="AE910" s="217"/>
      <c r="AF910" s="217"/>
      <c r="AG910" s="217"/>
      <c r="AH910" s="217"/>
      <c r="AI910" s="217"/>
      <c r="AJ910" s="217"/>
      <c r="AK910" s="217"/>
      <c r="AL910" s="217"/>
      <c r="AM910" s="217"/>
    </row>
    <row r="911">
      <c r="A911" s="217"/>
      <c r="B911" s="241"/>
      <c r="C911" s="247"/>
      <c r="D911" s="247"/>
      <c r="E911" s="247"/>
      <c r="F911" s="247"/>
      <c r="G911" s="242"/>
      <c r="H911" s="243"/>
      <c r="I911" s="244"/>
      <c r="J911" s="245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17"/>
      <c r="AD911" s="217"/>
      <c r="AE911" s="217"/>
      <c r="AF911" s="217"/>
      <c r="AG911" s="217"/>
      <c r="AH911" s="217"/>
      <c r="AI911" s="217"/>
      <c r="AJ911" s="217"/>
      <c r="AK911" s="217"/>
      <c r="AL911" s="217"/>
      <c r="AM911" s="217"/>
    </row>
    <row r="912">
      <c r="A912" s="217"/>
      <c r="B912" s="241"/>
      <c r="C912" s="247"/>
      <c r="D912" s="247"/>
      <c r="E912" s="247"/>
      <c r="F912" s="247"/>
      <c r="G912" s="242"/>
      <c r="H912" s="243"/>
      <c r="I912" s="244"/>
      <c r="J912" s="245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17"/>
      <c r="AD912" s="217"/>
      <c r="AE912" s="217"/>
      <c r="AF912" s="217"/>
      <c r="AG912" s="217"/>
      <c r="AH912" s="217"/>
      <c r="AI912" s="217"/>
      <c r="AJ912" s="217"/>
      <c r="AK912" s="217"/>
      <c r="AL912" s="217"/>
      <c r="AM912" s="217"/>
    </row>
    <row r="913">
      <c r="A913" s="217"/>
      <c r="B913" s="241"/>
      <c r="C913" s="247"/>
      <c r="D913" s="247"/>
      <c r="E913" s="247"/>
      <c r="F913" s="247"/>
      <c r="G913" s="242"/>
      <c r="H913" s="243"/>
      <c r="I913" s="244"/>
      <c r="J913" s="245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17"/>
      <c r="AD913" s="217"/>
      <c r="AE913" s="217"/>
      <c r="AF913" s="217"/>
      <c r="AG913" s="217"/>
      <c r="AH913" s="217"/>
      <c r="AI913" s="217"/>
      <c r="AJ913" s="217"/>
      <c r="AK913" s="217"/>
      <c r="AL913" s="217"/>
      <c r="AM913" s="217"/>
    </row>
    <row r="914">
      <c r="A914" s="217"/>
      <c r="B914" s="241"/>
      <c r="C914" s="247"/>
      <c r="D914" s="247"/>
      <c r="E914" s="247"/>
      <c r="F914" s="247"/>
      <c r="G914" s="242"/>
      <c r="H914" s="243"/>
      <c r="I914" s="244"/>
      <c r="J914" s="245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17"/>
      <c r="AD914" s="217"/>
      <c r="AE914" s="217"/>
      <c r="AF914" s="217"/>
      <c r="AG914" s="217"/>
      <c r="AH914" s="217"/>
      <c r="AI914" s="217"/>
      <c r="AJ914" s="217"/>
      <c r="AK914" s="217"/>
      <c r="AL914" s="217"/>
      <c r="AM914" s="217"/>
    </row>
    <row r="915">
      <c r="A915" s="217"/>
      <c r="B915" s="241"/>
      <c r="C915" s="247"/>
      <c r="D915" s="247"/>
      <c r="E915" s="247"/>
      <c r="F915" s="247"/>
      <c r="G915" s="242"/>
      <c r="H915" s="243"/>
      <c r="I915" s="244"/>
      <c r="J915" s="245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17"/>
      <c r="AD915" s="217"/>
      <c r="AE915" s="217"/>
      <c r="AF915" s="217"/>
      <c r="AG915" s="217"/>
      <c r="AH915" s="217"/>
      <c r="AI915" s="217"/>
      <c r="AJ915" s="217"/>
      <c r="AK915" s="217"/>
      <c r="AL915" s="217"/>
      <c r="AM915" s="217"/>
    </row>
    <row r="916">
      <c r="A916" s="217"/>
      <c r="B916" s="241"/>
      <c r="C916" s="247"/>
      <c r="D916" s="247"/>
      <c r="E916" s="247"/>
      <c r="F916" s="247"/>
      <c r="G916" s="242"/>
      <c r="H916" s="243"/>
      <c r="I916" s="244"/>
      <c r="J916" s="245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17"/>
      <c r="AD916" s="217"/>
      <c r="AE916" s="217"/>
      <c r="AF916" s="217"/>
      <c r="AG916" s="217"/>
      <c r="AH916" s="217"/>
      <c r="AI916" s="217"/>
      <c r="AJ916" s="217"/>
      <c r="AK916" s="217"/>
      <c r="AL916" s="217"/>
      <c r="AM916" s="217"/>
    </row>
    <row r="917">
      <c r="A917" s="217"/>
      <c r="B917" s="241"/>
      <c r="C917" s="247"/>
      <c r="D917" s="247"/>
      <c r="E917" s="247"/>
      <c r="F917" s="247"/>
      <c r="G917" s="242"/>
      <c r="H917" s="243"/>
      <c r="I917" s="244"/>
      <c r="J917" s="245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17"/>
      <c r="AD917" s="217"/>
      <c r="AE917" s="217"/>
      <c r="AF917" s="217"/>
      <c r="AG917" s="217"/>
      <c r="AH917" s="217"/>
      <c r="AI917" s="217"/>
      <c r="AJ917" s="217"/>
      <c r="AK917" s="217"/>
      <c r="AL917" s="217"/>
      <c r="AM917" s="217"/>
    </row>
    <row r="918">
      <c r="A918" s="217"/>
      <c r="B918" s="241"/>
      <c r="C918" s="247"/>
      <c r="D918" s="247"/>
      <c r="E918" s="247"/>
      <c r="F918" s="247"/>
      <c r="G918" s="242"/>
      <c r="H918" s="243"/>
      <c r="I918" s="244"/>
      <c r="J918" s="245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17"/>
      <c r="AD918" s="217"/>
      <c r="AE918" s="217"/>
      <c r="AF918" s="217"/>
      <c r="AG918" s="217"/>
      <c r="AH918" s="217"/>
      <c r="AI918" s="217"/>
      <c r="AJ918" s="217"/>
      <c r="AK918" s="217"/>
      <c r="AL918" s="217"/>
      <c r="AM918" s="217"/>
    </row>
    <row r="919">
      <c r="A919" s="217"/>
      <c r="B919" s="241"/>
      <c r="C919" s="247"/>
      <c r="D919" s="247"/>
      <c r="E919" s="247"/>
      <c r="F919" s="247"/>
      <c r="G919" s="242"/>
      <c r="H919" s="243"/>
      <c r="I919" s="244"/>
      <c r="J919" s="245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17"/>
      <c r="AD919" s="217"/>
      <c r="AE919" s="217"/>
      <c r="AF919" s="217"/>
      <c r="AG919" s="217"/>
      <c r="AH919" s="217"/>
      <c r="AI919" s="217"/>
      <c r="AJ919" s="217"/>
      <c r="AK919" s="217"/>
      <c r="AL919" s="217"/>
      <c r="AM919" s="217"/>
    </row>
    <row r="920">
      <c r="A920" s="217"/>
      <c r="B920" s="241"/>
      <c r="C920" s="247"/>
      <c r="D920" s="247"/>
      <c r="E920" s="247"/>
      <c r="F920" s="247"/>
      <c r="G920" s="242"/>
      <c r="H920" s="243"/>
      <c r="I920" s="244"/>
      <c r="J920" s="245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17"/>
      <c r="AD920" s="217"/>
      <c r="AE920" s="217"/>
      <c r="AF920" s="217"/>
      <c r="AG920" s="217"/>
      <c r="AH920" s="217"/>
      <c r="AI920" s="217"/>
      <c r="AJ920" s="217"/>
      <c r="AK920" s="217"/>
      <c r="AL920" s="217"/>
      <c r="AM920" s="217"/>
    </row>
    <row r="921">
      <c r="A921" s="217"/>
      <c r="B921" s="241"/>
      <c r="C921" s="247"/>
      <c r="D921" s="247"/>
      <c r="E921" s="247"/>
      <c r="F921" s="247"/>
      <c r="G921" s="242"/>
      <c r="H921" s="243"/>
      <c r="I921" s="244"/>
      <c r="J921" s="245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17"/>
      <c r="AD921" s="217"/>
      <c r="AE921" s="217"/>
      <c r="AF921" s="217"/>
      <c r="AG921" s="217"/>
      <c r="AH921" s="217"/>
      <c r="AI921" s="217"/>
      <c r="AJ921" s="217"/>
      <c r="AK921" s="217"/>
      <c r="AL921" s="217"/>
      <c r="AM921" s="217"/>
    </row>
    <row r="922">
      <c r="A922" s="217"/>
      <c r="B922" s="241"/>
      <c r="C922" s="247"/>
      <c r="D922" s="247"/>
      <c r="E922" s="247"/>
      <c r="F922" s="247"/>
      <c r="G922" s="242"/>
      <c r="H922" s="243"/>
      <c r="I922" s="244"/>
      <c r="J922" s="245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17"/>
      <c r="AD922" s="217"/>
      <c r="AE922" s="217"/>
      <c r="AF922" s="217"/>
      <c r="AG922" s="217"/>
      <c r="AH922" s="217"/>
      <c r="AI922" s="217"/>
      <c r="AJ922" s="217"/>
      <c r="AK922" s="217"/>
      <c r="AL922" s="217"/>
      <c r="AM922" s="217"/>
    </row>
    <row r="923">
      <c r="A923" s="217"/>
      <c r="B923" s="241"/>
      <c r="C923" s="247"/>
      <c r="D923" s="247"/>
      <c r="E923" s="247"/>
      <c r="F923" s="247"/>
      <c r="G923" s="242"/>
      <c r="H923" s="243"/>
      <c r="I923" s="244"/>
      <c r="J923" s="245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17"/>
      <c r="AD923" s="217"/>
      <c r="AE923" s="217"/>
      <c r="AF923" s="217"/>
      <c r="AG923" s="217"/>
      <c r="AH923" s="217"/>
      <c r="AI923" s="217"/>
      <c r="AJ923" s="217"/>
      <c r="AK923" s="217"/>
      <c r="AL923" s="217"/>
      <c r="AM923" s="217"/>
    </row>
    <row r="924">
      <c r="A924" s="217"/>
      <c r="B924" s="241"/>
      <c r="C924" s="247"/>
      <c r="D924" s="247"/>
      <c r="E924" s="247"/>
      <c r="F924" s="247"/>
      <c r="G924" s="242"/>
      <c r="H924" s="243"/>
      <c r="I924" s="244"/>
      <c r="J924" s="245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17"/>
      <c r="AD924" s="217"/>
      <c r="AE924" s="217"/>
      <c r="AF924" s="217"/>
      <c r="AG924" s="217"/>
      <c r="AH924" s="217"/>
      <c r="AI924" s="217"/>
      <c r="AJ924" s="217"/>
      <c r="AK924" s="217"/>
      <c r="AL924" s="217"/>
      <c r="AM924" s="217"/>
    </row>
    <row r="925">
      <c r="A925" s="217"/>
      <c r="B925" s="241"/>
      <c r="C925" s="247"/>
      <c r="D925" s="247"/>
      <c r="E925" s="247"/>
      <c r="F925" s="247"/>
      <c r="G925" s="242"/>
      <c r="H925" s="243"/>
      <c r="I925" s="244"/>
      <c r="J925" s="245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17"/>
      <c r="AD925" s="217"/>
      <c r="AE925" s="217"/>
      <c r="AF925" s="217"/>
      <c r="AG925" s="217"/>
      <c r="AH925" s="217"/>
      <c r="AI925" s="217"/>
      <c r="AJ925" s="217"/>
      <c r="AK925" s="217"/>
      <c r="AL925" s="217"/>
      <c r="AM925" s="217"/>
    </row>
    <row r="926">
      <c r="A926" s="217"/>
      <c r="B926" s="241"/>
      <c r="C926" s="247"/>
      <c r="D926" s="247"/>
      <c r="E926" s="247"/>
      <c r="F926" s="247"/>
      <c r="G926" s="242"/>
      <c r="H926" s="243"/>
      <c r="I926" s="244"/>
      <c r="J926" s="245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17"/>
      <c r="AD926" s="217"/>
      <c r="AE926" s="217"/>
      <c r="AF926" s="217"/>
      <c r="AG926" s="217"/>
      <c r="AH926" s="217"/>
      <c r="AI926" s="217"/>
      <c r="AJ926" s="217"/>
      <c r="AK926" s="217"/>
      <c r="AL926" s="217"/>
      <c r="AM926" s="217"/>
    </row>
    <row r="927">
      <c r="A927" s="217"/>
      <c r="B927" s="241"/>
      <c r="C927" s="247"/>
      <c r="D927" s="247"/>
      <c r="E927" s="247"/>
      <c r="F927" s="247"/>
      <c r="G927" s="242"/>
      <c r="H927" s="243"/>
      <c r="I927" s="244"/>
      <c r="J927" s="245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17"/>
      <c r="AD927" s="217"/>
      <c r="AE927" s="217"/>
      <c r="AF927" s="217"/>
      <c r="AG927" s="217"/>
      <c r="AH927" s="217"/>
      <c r="AI927" s="217"/>
      <c r="AJ927" s="217"/>
      <c r="AK927" s="217"/>
      <c r="AL927" s="217"/>
      <c r="AM927" s="217"/>
    </row>
    <row r="928">
      <c r="A928" s="217"/>
      <c r="B928" s="241"/>
      <c r="C928" s="247"/>
      <c r="D928" s="247"/>
      <c r="E928" s="247"/>
      <c r="F928" s="247"/>
      <c r="G928" s="242"/>
      <c r="H928" s="243"/>
      <c r="I928" s="244"/>
      <c r="J928" s="245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17"/>
      <c r="AD928" s="217"/>
      <c r="AE928" s="217"/>
      <c r="AF928" s="217"/>
      <c r="AG928" s="217"/>
      <c r="AH928" s="217"/>
      <c r="AI928" s="217"/>
      <c r="AJ928" s="217"/>
      <c r="AK928" s="217"/>
      <c r="AL928" s="217"/>
      <c r="AM928" s="217"/>
    </row>
    <row r="929">
      <c r="A929" s="217"/>
      <c r="B929" s="241"/>
      <c r="C929" s="247"/>
      <c r="D929" s="247"/>
      <c r="E929" s="247"/>
      <c r="F929" s="247"/>
      <c r="G929" s="242"/>
      <c r="H929" s="243"/>
      <c r="I929" s="244"/>
      <c r="J929" s="245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17"/>
      <c r="AD929" s="217"/>
      <c r="AE929" s="217"/>
      <c r="AF929" s="217"/>
      <c r="AG929" s="217"/>
      <c r="AH929" s="217"/>
      <c r="AI929" s="217"/>
      <c r="AJ929" s="217"/>
      <c r="AK929" s="217"/>
      <c r="AL929" s="217"/>
      <c r="AM929" s="217"/>
    </row>
    <row r="930">
      <c r="A930" s="217"/>
      <c r="B930" s="241"/>
      <c r="C930" s="247"/>
      <c r="D930" s="247"/>
      <c r="E930" s="247"/>
      <c r="F930" s="247"/>
      <c r="G930" s="242"/>
      <c r="H930" s="243"/>
      <c r="I930" s="244"/>
      <c r="J930" s="245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17"/>
      <c r="AD930" s="217"/>
      <c r="AE930" s="217"/>
      <c r="AF930" s="217"/>
      <c r="AG930" s="217"/>
      <c r="AH930" s="217"/>
      <c r="AI930" s="217"/>
      <c r="AJ930" s="217"/>
      <c r="AK930" s="217"/>
      <c r="AL930" s="217"/>
      <c r="AM930" s="217"/>
    </row>
    <row r="931">
      <c r="A931" s="217"/>
      <c r="B931" s="241"/>
      <c r="C931" s="247"/>
      <c r="D931" s="247"/>
      <c r="E931" s="247"/>
      <c r="F931" s="247"/>
      <c r="G931" s="242"/>
      <c r="H931" s="243"/>
      <c r="I931" s="244"/>
      <c r="J931" s="245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17"/>
      <c r="AD931" s="217"/>
      <c r="AE931" s="217"/>
      <c r="AF931" s="217"/>
      <c r="AG931" s="217"/>
      <c r="AH931" s="217"/>
      <c r="AI931" s="217"/>
      <c r="AJ931" s="217"/>
      <c r="AK931" s="217"/>
      <c r="AL931" s="217"/>
      <c r="AM931" s="217"/>
    </row>
    <row r="932">
      <c r="A932" s="217"/>
      <c r="B932" s="241"/>
      <c r="C932" s="247"/>
      <c r="D932" s="247"/>
      <c r="E932" s="247"/>
      <c r="F932" s="247"/>
      <c r="G932" s="242"/>
      <c r="H932" s="243"/>
      <c r="I932" s="244"/>
      <c r="J932" s="245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17"/>
      <c r="AD932" s="217"/>
      <c r="AE932" s="217"/>
      <c r="AF932" s="217"/>
      <c r="AG932" s="217"/>
      <c r="AH932" s="217"/>
      <c r="AI932" s="217"/>
      <c r="AJ932" s="217"/>
      <c r="AK932" s="217"/>
      <c r="AL932" s="217"/>
      <c r="AM932" s="217"/>
    </row>
    <row r="933">
      <c r="A933" s="217"/>
      <c r="B933" s="241"/>
      <c r="C933" s="247"/>
      <c r="D933" s="247"/>
      <c r="E933" s="247"/>
      <c r="F933" s="247"/>
      <c r="G933" s="242"/>
      <c r="H933" s="243"/>
      <c r="I933" s="244"/>
      <c r="J933" s="245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17"/>
      <c r="AD933" s="217"/>
      <c r="AE933" s="217"/>
      <c r="AF933" s="217"/>
      <c r="AG933" s="217"/>
      <c r="AH933" s="217"/>
      <c r="AI933" s="217"/>
      <c r="AJ933" s="217"/>
      <c r="AK933" s="217"/>
      <c r="AL933" s="217"/>
      <c r="AM933" s="217"/>
    </row>
    <row r="934">
      <c r="A934" s="217"/>
      <c r="B934" s="241"/>
      <c r="C934" s="247"/>
      <c r="D934" s="247"/>
      <c r="E934" s="247"/>
      <c r="F934" s="247"/>
      <c r="G934" s="242"/>
      <c r="H934" s="243"/>
      <c r="I934" s="244"/>
      <c r="J934" s="245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17"/>
      <c r="AD934" s="217"/>
      <c r="AE934" s="217"/>
      <c r="AF934" s="217"/>
      <c r="AG934" s="217"/>
      <c r="AH934" s="217"/>
      <c r="AI934" s="217"/>
      <c r="AJ934" s="217"/>
      <c r="AK934" s="217"/>
      <c r="AL934" s="217"/>
      <c r="AM934" s="217"/>
    </row>
    <row r="935">
      <c r="A935" s="217"/>
      <c r="B935" s="241"/>
      <c r="C935" s="247"/>
      <c r="D935" s="247"/>
      <c r="E935" s="247"/>
      <c r="F935" s="247"/>
      <c r="G935" s="242"/>
      <c r="H935" s="243"/>
      <c r="I935" s="244"/>
      <c r="J935" s="245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17"/>
      <c r="AD935" s="217"/>
      <c r="AE935" s="217"/>
      <c r="AF935" s="217"/>
      <c r="AG935" s="217"/>
      <c r="AH935" s="217"/>
      <c r="AI935" s="217"/>
      <c r="AJ935" s="217"/>
      <c r="AK935" s="217"/>
      <c r="AL935" s="217"/>
      <c r="AM935" s="217"/>
    </row>
    <row r="936">
      <c r="A936" s="217"/>
      <c r="B936" s="241"/>
      <c r="C936" s="247"/>
      <c r="D936" s="247"/>
      <c r="E936" s="247"/>
      <c r="F936" s="247"/>
      <c r="G936" s="242"/>
      <c r="H936" s="243"/>
      <c r="I936" s="244"/>
      <c r="J936" s="245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17"/>
      <c r="AD936" s="217"/>
      <c r="AE936" s="217"/>
      <c r="AF936" s="217"/>
      <c r="AG936" s="217"/>
      <c r="AH936" s="217"/>
      <c r="AI936" s="217"/>
      <c r="AJ936" s="217"/>
      <c r="AK936" s="217"/>
      <c r="AL936" s="217"/>
      <c r="AM936" s="217"/>
    </row>
    <row r="937">
      <c r="A937" s="217"/>
      <c r="B937" s="241"/>
      <c r="C937" s="247"/>
      <c r="D937" s="247"/>
      <c r="E937" s="247"/>
      <c r="F937" s="247"/>
      <c r="G937" s="242"/>
      <c r="H937" s="243"/>
      <c r="I937" s="244"/>
      <c r="J937" s="245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17"/>
      <c r="AD937" s="217"/>
      <c r="AE937" s="217"/>
      <c r="AF937" s="217"/>
      <c r="AG937" s="217"/>
      <c r="AH937" s="217"/>
      <c r="AI937" s="217"/>
      <c r="AJ937" s="217"/>
      <c r="AK937" s="217"/>
      <c r="AL937" s="217"/>
      <c r="AM937" s="217"/>
    </row>
    <row r="938">
      <c r="A938" s="217"/>
      <c r="B938" s="241"/>
      <c r="C938" s="247"/>
      <c r="D938" s="247"/>
      <c r="E938" s="247"/>
      <c r="F938" s="247"/>
      <c r="G938" s="242"/>
      <c r="H938" s="243"/>
      <c r="I938" s="244"/>
      <c r="J938" s="245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17"/>
      <c r="AD938" s="217"/>
      <c r="AE938" s="217"/>
      <c r="AF938" s="217"/>
      <c r="AG938" s="217"/>
      <c r="AH938" s="217"/>
      <c r="AI938" s="217"/>
      <c r="AJ938" s="217"/>
      <c r="AK938" s="217"/>
      <c r="AL938" s="217"/>
      <c r="AM938" s="217"/>
    </row>
    <row r="939">
      <c r="A939" s="217"/>
      <c r="B939" s="241"/>
      <c r="C939" s="247"/>
      <c r="D939" s="247"/>
      <c r="E939" s="247"/>
      <c r="F939" s="247"/>
      <c r="G939" s="242"/>
      <c r="H939" s="243"/>
      <c r="I939" s="244"/>
      <c r="J939" s="245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17"/>
      <c r="AD939" s="217"/>
      <c r="AE939" s="217"/>
      <c r="AF939" s="217"/>
      <c r="AG939" s="217"/>
      <c r="AH939" s="217"/>
      <c r="AI939" s="217"/>
      <c r="AJ939" s="217"/>
      <c r="AK939" s="217"/>
      <c r="AL939" s="217"/>
      <c r="AM939" s="217"/>
    </row>
    <row r="940">
      <c r="A940" s="217"/>
      <c r="B940" s="241"/>
      <c r="C940" s="247"/>
      <c r="D940" s="247"/>
      <c r="E940" s="247"/>
      <c r="F940" s="247"/>
      <c r="G940" s="242"/>
      <c r="H940" s="243"/>
      <c r="I940" s="244"/>
      <c r="J940" s="245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17"/>
      <c r="AD940" s="217"/>
      <c r="AE940" s="217"/>
      <c r="AF940" s="217"/>
      <c r="AG940" s="217"/>
      <c r="AH940" s="217"/>
      <c r="AI940" s="217"/>
      <c r="AJ940" s="217"/>
      <c r="AK940" s="217"/>
      <c r="AL940" s="217"/>
      <c r="AM940" s="217"/>
    </row>
    <row r="941">
      <c r="A941" s="217"/>
      <c r="B941" s="241"/>
      <c r="C941" s="247"/>
      <c r="D941" s="247"/>
      <c r="E941" s="247"/>
      <c r="F941" s="247"/>
      <c r="G941" s="242"/>
      <c r="H941" s="243"/>
      <c r="I941" s="244"/>
      <c r="J941" s="245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17"/>
      <c r="AD941" s="217"/>
      <c r="AE941" s="217"/>
      <c r="AF941" s="217"/>
      <c r="AG941" s="217"/>
      <c r="AH941" s="217"/>
      <c r="AI941" s="217"/>
      <c r="AJ941" s="217"/>
      <c r="AK941" s="217"/>
      <c r="AL941" s="217"/>
      <c r="AM941" s="217"/>
    </row>
    <row r="942">
      <c r="A942" s="217"/>
      <c r="B942" s="241"/>
      <c r="C942" s="247"/>
      <c r="D942" s="247"/>
      <c r="E942" s="247"/>
      <c r="F942" s="247"/>
      <c r="G942" s="242"/>
      <c r="H942" s="243"/>
      <c r="I942" s="244"/>
      <c r="J942" s="245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17"/>
      <c r="AD942" s="217"/>
      <c r="AE942" s="217"/>
      <c r="AF942" s="217"/>
      <c r="AG942" s="217"/>
      <c r="AH942" s="217"/>
      <c r="AI942" s="217"/>
      <c r="AJ942" s="217"/>
      <c r="AK942" s="217"/>
      <c r="AL942" s="217"/>
      <c r="AM942" s="217"/>
    </row>
    <row r="943">
      <c r="A943" s="217"/>
      <c r="B943" s="241"/>
      <c r="C943" s="247"/>
      <c r="D943" s="247"/>
      <c r="E943" s="247"/>
      <c r="F943" s="247"/>
      <c r="G943" s="242"/>
      <c r="H943" s="243"/>
      <c r="I943" s="244"/>
      <c r="J943" s="245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17"/>
      <c r="AD943" s="217"/>
      <c r="AE943" s="217"/>
      <c r="AF943" s="217"/>
      <c r="AG943" s="217"/>
      <c r="AH943" s="217"/>
      <c r="AI943" s="217"/>
      <c r="AJ943" s="217"/>
      <c r="AK943" s="217"/>
      <c r="AL943" s="217"/>
      <c r="AM943" s="217"/>
    </row>
    <row r="944">
      <c r="A944" s="217"/>
      <c r="B944" s="241"/>
      <c r="C944" s="247"/>
      <c r="D944" s="247"/>
      <c r="E944" s="247"/>
      <c r="F944" s="247"/>
      <c r="G944" s="242"/>
      <c r="H944" s="243"/>
      <c r="I944" s="244"/>
      <c r="J944" s="245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17"/>
      <c r="AD944" s="217"/>
      <c r="AE944" s="217"/>
      <c r="AF944" s="217"/>
      <c r="AG944" s="217"/>
      <c r="AH944" s="217"/>
      <c r="AI944" s="217"/>
      <c r="AJ944" s="217"/>
      <c r="AK944" s="217"/>
      <c r="AL944" s="217"/>
      <c r="AM944" s="217"/>
    </row>
    <row r="945">
      <c r="A945" s="217"/>
      <c r="B945" s="241"/>
      <c r="C945" s="247"/>
      <c r="D945" s="247"/>
      <c r="E945" s="247"/>
      <c r="F945" s="247"/>
      <c r="G945" s="242"/>
      <c r="H945" s="243"/>
      <c r="I945" s="244"/>
      <c r="J945" s="245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  <c r="AA945" s="217"/>
      <c r="AB945" s="217"/>
      <c r="AC945" s="217"/>
      <c r="AD945" s="217"/>
      <c r="AE945" s="217"/>
      <c r="AF945" s="217"/>
      <c r="AG945" s="217"/>
      <c r="AH945" s="217"/>
      <c r="AI945" s="217"/>
      <c r="AJ945" s="217"/>
      <c r="AK945" s="217"/>
      <c r="AL945" s="217"/>
      <c r="AM945" s="217"/>
    </row>
    <row r="946">
      <c r="A946" s="217"/>
      <c r="B946" s="241"/>
      <c r="C946" s="247"/>
      <c r="D946" s="247"/>
      <c r="E946" s="247"/>
      <c r="F946" s="247"/>
      <c r="G946" s="242"/>
      <c r="H946" s="243"/>
      <c r="I946" s="244"/>
      <c r="J946" s="245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  <c r="AA946" s="217"/>
      <c r="AB946" s="217"/>
      <c r="AC946" s="217"/>
      <c r="AD946" s="217"/>
      <c r="AE946" s="217"/>
      <c r="AF946" s="217"/>
      <c r="AG946" s="217"/>
      <c r="AH946" s="217"/>
      <c r="AI946" s="217"/>
      <c r="AJ946" s="217"/>
      <c r="AK946" s="217"/>
      <c r="AL946" s="217"/>
      <c r="AM946" s="217"/>
    </row>
    <row r="947">
      <c r="A947" s="217"/>
      <c r="B947" s="241"/>
      <c r="C947" s="247"/>
      <c r="D947" s="247"/>
      <c r="E947" s="247"/>
      <c r="F947" s="247"/>
      <c r="G947" s="242"/>
      <c r="H947" s="243"/>
      <c r="I947" s="244"/>
      <c r="J947" s="245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  <c r="AA947" s="217"/>
      <c r="AB947" s="217"/>
      <c r="AC947" s="217"/>
      <c r="AD947" s="217"/>
      <c r="AE947" s="217"/>
      <c r="AF947" s="217"/>
      <c r="AG947" s="217"/>
      <c r="AH947" s="217"/>
      <c r="AI947" s="217"/>
      <c r="AJ947" s="217"/>
      <c r="AK947" s="217"/>
      <c r="AL947" s="217"/>
      <c r="AM947" s="217"/>
    </row>
    <row r="948">
      <c r="A948" s="217"/>
      <c r="B948" s="241"/>
      <c r="C948" s="247"/>
      <c r="D948" s="247"/>
      <c r="E948" s="247"/>
      <c r="F948" s="247"/>
      <c r="G948" s="242"/>
      <c r="H948" s="243"/>
      <c r="I948" s="244"/>
      <c r="J948" s="245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  <c r="AA948" s="217"/>
      <c r="AB948" s="217"/>
      <c r="AC948" s="217"/>
      <c r="AD948" s="217"/>
      <c r="AE948" s="217"/>
      <c r="AF948" s="217"/>
      <c r="AG948" s="217"/>
      <c r="AH948" s="217"/>
      <c r="AI948" s="217"/>
      <c r="AJ948" s="217"/>
      <c r="AK948" s="217"/>
      <c r="AL948" s="217"/>
      <c r="AM948" s="217"/>
    </row>
    <row r="949">
      <c r="A949" s="217"/>
      <c r="B949" s="241"/>
      <c r="C949" s="247"/>
      <c r="D949" s="247"/>
      <c r="E949" s="247"/>
      <c r="F949" s="247"/>
      <c r="G949" s="242"/>
      <c r="H949" s="243"/>
      <c r="I949" s="244"/>
      <c r="J949" s="245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  <c r="AA949" s="217"/>
      <c r="AB949" s="217"/>
      <c r="AC949" s="217"/>
      <c r="AD949" s="217"/>
      <c r="AE949" s="217"/>
      <c r="AF949" s="217"/>
      <c r="AG949" s="217"/>
      <c r="AH949" s="217"/>
      <c r="AI949" s="217"/>
      <c r="AJ949" s="217"/>
      <c r="AK949" s="217"/>
      <c r="AL949" s="217"/>
      <c r="AM949" s="217"/>
    </row>
    <row r="950">
      <c r="A950" s="217"/>
      <c r="B950" s="241"/>
      <c r="C950" s="247"/>
      <c r="D950" s="247"/>
      <c r="E950" s="247"/>
      <c r="F950" s="247"/>
      <c r="G950" s="242"/>
      <c r="H950" s="243"/>
      <c r="I950" s="244"/>
      <c r="J950" s="245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  <c r="AA950" s="217"/>
      <c r="AB950" s="217"/>
      <c r="AC950" s="217"/>
      <c r="AD950" s="217"/>
      <c r="AE950" s="217"/>
      <c r="AF950" s="217"/>
      <c r="AG950" s="217"/>
      <c r="AH950" s="217"/>
      <c r="AI950" s="217"/>
      <c r="AJ950" s="217"/>
      <c r="AK950" s="217"/>
      <c r="AL950" s="217"/>
      <c r="AM950" s="217"/>
    </row>
    <row r="951">
      <c r="A951" s="217"/>
      <c r="B951" s="241"/>
      <c r="C951" s="247"/>
      <c r="D951" s="247"/>
      <c r="E951" s="247"/>
      <c r="F951" s="247"/>
      <c r="G951" s="242"/>
      <c r="H951" s="243"/>
      <c r="I951" s="244"/>
      <c r="J951" s="245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  <c r="AA951" s="217"/>
      <c r="AB951" s="217"/>
      <c r="AC951" s="217"/>
      <c r="AD951" s="217"/>
      <c r="AE951" s="217"/>
      <c r="AF951" s="217"/>
      <c r="AG951" s="217"/>
      <c r="AH951" s="217"/>
      <c r="AI951" s="217"/>
      <c r="AJ951" s="217"/>
      <c r="AK951" s="217"/>
      <c r="AL951" s="217"/>
      <c r="AM951" s="217"/>
    </row>
    <row r="952">
      <c r="A952" s="217"/>
      <c r="B952" s="241"/>
      <c r="C952" s="247"/>
      <c r="D952" s="247"/>
      <c r="E952" s="247"/>
      <c r="F952" s="247"/>
      <c r="G952" s="242"/>
      <c r="H952" s="243"/>
      <c r="I952" s="244"/>
      <c r="J952" s="245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  <c r="AA952" s="217"/>
      <c r="AB952" s="217"/>
      <c r="AC952" s="217"/>
      <c r="AD952" s="217"/>
      <c r="AE952" s="217"/>
      <c r="AF952" s="217"/>
      <c r="AG952" s="217"/>
      <c r="AH952" s="217"/>
      <c r="AI952" s="217"/>
      <c r="AJ952" s="217"/>
      <c r="AK952" s="217"/>
      <c r="AL952" s="217"/>
      <c r="AM952" s="217"/>
    </row>
    <row r="953">
      <c r="A953" s="217"/>
      <c r="B953" s="241"/>
      <c r="C953" s="247"/>
      <c r="D953" s="247"/>
      <c r="E953" s="247"/>
      <c r="F953" s="247"/>
      <c r="G953" s="242"/>
      <c r="H953" s="243"/>
      <c r="I953" s="244"/>
      <c r="J953" s="245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  <c r="AA953" s="217"/>
      <c r="AB953" s="217"/>
      <c r="AC953" s="217"/>
      <c r="AD953" s="217"/>
      <c r="AE953" s="217"/>
      <c r="AF953" s="217"/>
      <c r="AG953" s="217"/>
      <c r="AH953" s="217"/>
      <c r="AI953" s="217"/>
      <c r="AJ953" s="217"/>
      <c r="AK953" s="217"/>
      <c r="AL953" s="217"/>
      <c r="AM953" s="217"/>
    </row>
    <row r="954">
      <c r="A954" s="217"/>
      <c r="B954" s="241"/>
      <c r="C954" s="247"/>
      <c r="D954" s="247"/>
      <c r="E954" s="247"/>
      <c r="F954" s="247"/>
      <c r="G954" s="242"/>
      <c r="H954" s="243"/>
      <c r="I954" s="244"/>
      <c r="J954" s="245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  <c r="AA954" s="217"/>
      <c r="AB954" s="217"/>
      <c r="AC954" s="217"/>
      <c r="AD954" s="217"/>
      <c r="AE954" s="217"/>
      <c r="AF954" s="217"/>
      <c r="AG954" s="217"/>
      <c r="AH954" s="217"/>
      <c r="AI954" s="217"/>
      <c r="AJ954" s="217"/>
      <c r="AK954" s="217"/>
      <c r="AL954" s="217"/>
      <c r="AM954" s="217"/>
    </row>
    <row r="955">
      <c r="A955" s="217"/>
      <c r="B955" s="241"/>
      <c r="C955" s="247"/>
      <c r="D955" s="247"/>
      <c r="E955" s="247"/>
      <c r="F955" s="247"/>
      <c r="G955" s="242"/>
      <c r="H955" s="243"/>
      <c r="I955" s="244"/>
      <c r="J955" s="245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  <c r="AA955" s="217"/>
      <c r="AB955" s="217"/>
      <c r="AC955" s="217"/>
      <c r="AD955" s="217"/>
      <c r="AE955" s="217"/>
      <c r="AF955" s="217"/>
      <c r="AG955" s="217"/>
      <c r="AH955" s="217"/>
      <c r="AI955" s="217"/>
      <c r="AJ955" s="217"/>
      <c r="AK955" s="217"/>
      <c r="AL955" s="217"/>
      <c r="AM955" s="217"/>
    </row>
    <row r="956">
      <c r="A956" s="217"/>
      <c r="B956" s="241"/>
      <c r="C956" s="247"/>
      <c r="D956" s="247"/>
      <c r="E956" s="247"/>
      <c r="F956" s="247"/>
      <c r="G956" s="242"/>
      <c r="H956" s="243"/>
      <c r="I956" s="244"/>
      <c r="J956" s="245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  <c r="AA956" s="217"/>
      <c r="AB956" s="217"/>
      <c r="AC956" s="217"/>
      <c r="AD956" s="217"/>
      <c r="AE956" s="217"/>
      <c r="AF956" s="217"/>
      <c r="AG956" s="217"/>
      <c r="AH956" s="217"/>
      <c r="AI956" s="217"/>
      <c r="AJ956" s="217"/>
      <c r="AK956" s="217"/>
      <c r="AL956" s="217"/>
      <c r="AM956" s="217"/>
    </row>
    <row r="957">
      <c r="A957" s="217"/>
      <c r="B957" s="241"/>
      <c r="C957" s="247"/>
      <c r="D957" s="247"/>
      <c r="E957" s="247"/>
      <c r="F957" s="247"/>
      <c r="G957" s="242"/>
      <c r="H957" s="243"/>
      <c r="I957" s="244"/>
      <c r="J957" s="245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  <c r="AA957" s="217"/>
      <c r="AB957" s="217"/>
      <c r="AC957" s="217"/>
      <c r="AD957" s="217"/>
      <c r="AE957" s="217"/>
      <c r="AF957" s="217"/>
      <c r="AG957" s="217"/>
      <c r="AH957" s="217"/>
      <c r="AI957" s="217"/>
      <c r="AJ957" s="217"/>
      <c r="AK957" s="217"/>
      <c r="AL957" s="217"/>
      <c r="AM957" s="217"/>
    </row>
    <row r="958">
      <c r="A958" s="217"/>
      <c r="B958" s="241"/>
      <c r="C958" s="247"/>
      <c r="D958" s="247"/>
      <c r="E958" s="247"/>
      <c r="F958" s="247"/>
      <c r="G958" s="242"/>
      <c r="H958" s="243"/>
      <c r="I958" s="244"/>
      <c r="J958" s="245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  <c r="AA958" s="217"/>
      <c r="AB958" s="217"/>
      <c r="AC958" s="217"/>
      <c r="AD958" s="217"/>
      <c r="AE958" s="217"/>
      <c r="AF958" s="217"/>
      <c r="AG958" s="217"/>
      <c r="AH958" s="217"/>
      <c r="AI958" s="217"/>
      <c r="AJ958" s="217"/>
      <c r="AK958" s="217"/>
      <c r="AL958" s="217"/>
      <c r="AM958" s="217"/>
    </row>
    <row r="959">
      <c r="A959" s="217"/>
      <c r="B959" s="241"/>
      <c r="C959" s="247"/>
      <c r="D959" s="247"/>
      <c r="E959" s="247"/>
      <c r="F959" s="247"/>
      <c r="G959" s="242"/>
      <c r="H959" s="243"/>
      <c r="I959" s="244"/>
      <c r="J959" s="245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  <c r="AA959" s="217"/>
      <c r="AB959" s="217"/>
      <c r="AC959" s="217"/>
      <c r="AD959" s="217"/>
      <c r="AE959" s="217"/>
      <c r="AF959" s="217"/>
      <c r="AG959" s="217"/>
      <c r="AH959" s="217"/>
      <c r="AI959" s="217"/>
      <c r="AJ959" s="217"/>
      <c r="AK959" s="217"/>
      <c r="AL959" s="217"/>
      <c r="AM959" s="217"/>
    </row>
    <row r="960">
      <c r="A960" s="217"/>
      <c r="B960" s="241"/>
      <c r="C960" s="247"/>
      <c r="D960" s="247"/>
      <c r="E960" s="247"/>
      <c r="F960" s="247"/>
      <c r="G960" s="242"/>
      <c r="H960" s="243"/>
      <c r="I960" s="244"/>
      <c r="J960" s="245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  <c r="AA960" s="217"/>
      <c r="AB960" s="217"/>
      <c r="AC960" s="217"/>
      <c r="AD960" s="217"/>
      <c r="AE960" s="217"/>
      <c r="AF960" s="217"/>
      <c r="AG960" s="217"/>
      <c r="AH960" s="217"/>
      <c r="AI960" s="217"/>
      <c r="AJ960" s="217"/>
      <c r="AK960" s="217"/>
      <c r="AL960" s="217"/>
      <c r="AM960" s="217"/>
    </row>
    <row r="961">
      <c r="A961" s="217"/>
      <c r="B961" s="241"/>
      <c r="C961" s="247"/>
      <c r="D961" s="247"/>
      <c r="E961" s="247"/>
      <c r="F961" s="247"/>
      <c r="G961" s="242"/>
      <c r="H961" s="243"/>
      <c r="I961" s="244"/>
      <c r="J961" s="245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  <c r="AA961" s="217"/>
      <c r="AB961" s="217"/>
      <c r="AC961" s="217"/>
      <c r="AD961" s="217"/>
      <c r="AE961" s="217"/>
      <c r="AF961" s="217"/>
      <c r="AG961" s="217"/>
      <c r="AH961" s="217"/>
      <c r="AI961" s="217"/>
      <c r="AJ961" s="217"/>
      <c r="AK961" s="217"/>
      <c r="AL961" s="217"/>
      <c r="AM961" s="217"/>
    </row>
    <row r="962">
      <c r="A962" s="217"/>
      <c r="B962" s="241"/>
      <c r="C962" s="247"/>
      <c r="D962" s="247"/>
      <c r="E962" s="247"/>
      <c r="F962" s="247"/>
      <c r="G962" s="242"/>
      <c r="H962" s="243"/>
      <c r="I962" s="244"/>
      <c r="J962" s="245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  <c r="AA962" s="217"/>
      <c r="AB962" s="217"/>
      <c r="AC962" s="217"/>
      <c r="AD962" s="217"/>
      <c r="AE962" s="217"/>
      <c r="AF962" s="217"/>
      <c r="AG962" s="217"/>
      <c r="AH962" s="217"/>
      <c r="AI962" s="217"/>
      <c r="AJ962" s="217"/>
      <c r="AK962" s="217"/>
      <c r="AL962" s="217"/>
      <c r="AM962" s="217"/>
    </row>
    <row r="963">
      <c r="A963" s="217"/>
      <c r="B963" s="241"/>
      <c r="C963" s="247"/>
      <c r="D963" s="247"/>
      <c r="E963" s="247"/>
      <c r="F963" s="247"/>
      <c r="G963" s="242"/>
      <c r="H963" s="243"/>
      <c r="I963" s="244"/>
      <c r="J963" s="245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  <c r="AA963" s="217"/>
      <c r="AB963" s="217"/>
      <c r="AC963" s="217"/>
      <c r="AD963" s="217"/>
      <c r="AE963" s="217"/>
      <c r="AF963" s="217"/>
      <c r="AG963" s="217"/>
      <c r="AH963" s="217"/>
      <c r="AI963" s="217"/>
      <c r="AJ963" s="217"/>
      <c r="AK963" s="217"/>
      <c r="AL963" s="217"/>
      <c r="AM963" s="217"/>
    </row>
    <row r="964">
      <c r="A964" s="217"/>
      <c r="B964" s="241"/>
      <c r="C964" s="247"/>
      <c r="D964" s="247"/>
      <c r="E964" s="247"/>
      <c r="F964" s="247"/>
      <c r="G964" s="242"/>
      <c r="H964" s="243"/>
      <c r="I964" s="244"/>
      <c r="J964" s="245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  <c r="AA964" s="217"/>
      <c r="AB964" s="217"/>
      <c r="AC964" s="217"/>
      <c r="AD964" s="217"/>
      <c r="AE964" s="217"/>
      <c r="AF964" s="217"/>
      <c r="AG964" s="217"/>
      <c r="AH964" s="217"/>
      <c r="AI964" s="217"/>
      <c r="AJ964" s="217"/>
      <c r="AK964" s="217"/>
      <c r="AL964" s="217"/>
      <c r="AM964" s="217"/>
    </row>
    <row r="965">
      <c r="A965" s="217"/>
      <c r="B965" s="241"/>
      <c r="C965" s="247"/>
      <c r="D965" s="247"/>
      <c r="E965" s="247"/>
      <c r="F965" s="247"/>
      <c r="G965" s="242"/>
      <c r="H965" s="243"/>
      <c r="I965" s="244"/>
      <c r="J965" s="245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  <c r="AA965" s="217"/>
      <c r="AB965" s="217"/>
      <c r="AC965" s="217"/>
      <c r="AD965" s="217"/>
      <c r="AE965" s="217"/>
      <c r="AF965" s="217"/>
      <c r="AG965" s="217"/>
      <c r="AH965" s="217"/>
      <c r="AI965" s="217"/>
      <c r="AJ965" s="217"/>
      <c r="AK965" s="217"/>
      <c r="AL965" s="217"/>
      <c r="AM965" s="217"/>
    </row>
    <row r="966">
      <c r="A966" s="217"/>
      <c r="B966" s="241"/>
      <c r="C966" s="247"/>
      <c r="D966" s="247"/>
      <c r="E966" s="247"/>
      <c r="F966" s="247"/>
      <c r="G966" s="242"/>
      <c r="H966" s="243"/>
      <c r="I966" s="244"/>
      <c r="J966" s="245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  <c r="AA966" s="217"/>
      <c r="AB966" s="217"/>
      <c r="AC966" s="217"/>
      <c r="AD966" s="217"/>
      <c r="AE966" s="217"/>
      <c r="AF966" s="217"/>
      <c r="AG966" s="217"/>
      <c r="AH966" s="217"/>
      <c r="AI966" s="217"/>
      <c r="AJ966" s="217"/>
      <c r="AK966" s="217"/>
      <c r="AL966" s="217"/>
      <c r="AM966" s="217"/>
    </row>
    <row r="967">
      <c r="A967" s="217"/>
      <c r="B967" s="241"/>
      <c r="C967" s="247"/>
      <c r="D967" s="247"/>
      <c r="E967" s="247"/>
      <c r="F967" s="247"/>
      <c r="G967" s="242"/>
      <c r="H967" s="243"/>
      <c r="I967" s="244"/>
      <c r="J967" s="245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  <c r="AA967" s="217"/>
      <c r="AB967" s="217"/>
      <c r="AC967" s="217"/>
      <c r="AD967" s="217"/>
      <c r="AE967" s="217"/>
      <c r="AF967" s="217"/>
      <c r="AG967" s="217"/>
      <c r="AH967" s="217"/>
      <c r="AI967" s="217"/>
      <c r="AJ967" s="217"/>
      <c r="AK967" s="217"/>
      <c r="AL967" s="217"/>
      <c r="AM967" s="217"/>
    </row>
    <row r="968">
      <c r="A968" s="217"/>
      <c r="B968" s="241"/>
      <c r="C968" s="247"/>
      <c r="D968" s="247"/>
      <c r="E968" s="247"/>
      <c r="F968" s="247"/>
      <c r="G968" s="242"/>
      <c r="H968" s="243"/>
      <c r="I968" s="244"/>
      <c r="J968" s="245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  <c r="AA968" s="217"/>
      <c r="AB968" s="217"/>
      <c r="AC968" s="217"/>
      <c r="AD968" s="217"/>
      <c r="AE968" s="217"/>
      <c r="AF968" s="217"/>
      <c r="AG968" s="217"/>
      <c r="AH968" s="217"/>
      <c r="AI968" s="217"/>
      <c r="AJ968" s="217"/>
      <c r="AK968" s="217"/>
      <c r="AL968" s="217"/>
      <c r="AM968" s="217"/>
    </row>
    <row r="969">
      <c r="A969" s="217"/>
      <c r="B969" s="241"/>
      <c r="C969" s="247"/>
      <c r="D969" s="247"/>
      <c r="E969" s="247"/>
      <c r="F969" s="247"/>
      <c r="G969" s="242"/>
      <c r="H969" s="243"/>
      <c r="I969" s="244"/>
      <c r="J969" s="245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  <c r="AA969" s="217"/>
      <c r="AB969" s="217"/>
      <c r="AC969" s="217"/>
      <c r="AD969" s="217"/>
      <c r="AE969" s="217"/>
      <c r="AF969" s="217"/>
      <c r="AG969" s="217"/>
      <c r="AH969" s="217"/>
      <c r="AI969" s="217"/>
      <c r="AJ969" s="217"/>
      <c r="AK969" s="217"/>
      <c r="AL969" s="217"/>
      <c r="AM969" s="217"/>
    </row>
    <row r="970">
      <c r="A970" s="217"/>
      <c r="B970" s="241"/>
      <c r="C970" s="247"/>
      <c r="D970" s="247"/>
      <c r="E970" s="247"/>
      <c r="F970" s="247"/>
      <c r="G970" s="242"/>
      <c r="H970" s="243"/>
      <c r="I970" s="244"/>
      <c r="J970" s="245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  <c r="AA970" s="217"/>
      <c r="AB970" s="217"/>
      <c r="AC970" s="217"/>
      <c r="AD970" s="217"/>
      <c r="AE970" s="217"/>
      <c r="AF970" s="217"/>
      <c r="AG970" s="217"/>
      <c r="AH970" s="217"/>
      <c r="AI970" s="217"/>
      <c r="AJ970" s="217"/>
      <c r="AK970" s="217"/>
      <c r="AL970" s="217"/>
      <c r="AM970" s="217"/>
    </row>
    <row r="971">
      <c r="A971" s="217"/>
      <c r="B971" s="241"/>
      <c r="C971" s="247"/>
      <c r="D971" s="247"/>
      <c r="E971" s="247"/>
      <c r="F971" s="247"/>
      <c r="G971" s="242"/>
      <c r="H971" s="243"/>
      <c r="I971" s="244"/>
      <c r="J971" s="245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  <c r="AA971" s="217"/>
      <c r="AB971" s="217"/>
      <c r="AC971" s="217"/>
      <c r="AD971" s="217"/>
      <c r="AE971" s="217"/>
      <c r="AF971" s="217"/>
      <c r="AG971" s="217"/>
      <c r="AH971" s="217"/>
      <c r="AI971" s="217"/>
      <c r="AJ971" s="217"/>
      <c r="AK971" s="217"/>
      <c r="AL971" s="217"/>
      <c r="AM971" s="217"/>
    </row>
    <row r="972">
      <c r="A972" s="217"/>
      <c r="B972" s="241"/>
      <c r="C972" s="247"/>
      <c r="D972" s="247"/>
      <c r="E972" s="247"/>
      <c r="F972" s="247"/>
      <c r="G972" s="242"/>
      <c r="H972" s="243"/>
      <c r="I972" s="244"/>
      <c r="J972" s="245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  <c r="AA972" s="217"/>
      <c r="AB972" s="217"/>
      <c r="AC972" s="217"/>
      <c r="AD972" s="217"/>
      <c r="AE972" s="217"/>
      <c r="AF972" s="217"/>
      <c r="AG972" s="217"/>
      <c r="AH972" s="217"/>
      <c r="AI972" s="217"/>
      <c r="AJ972" s="217"/>
      <c r="AK972" s="217"/>
      <c r="AL972" s="217"/>
      <c r="AM972" s="217"/>
    </row>
    <row r="973">
      <c r="A973" s="217"/>
      <c r="B973" s="241"/>
      <c r="C973" s="247"/>
      <c r="D973" s="247"/>
      <c r="E973" s="247"/>
      <c r="F973" s="247"/>
      <c r="G973" s="242"/>
      <c r="H973" s="243"/>
      <c r="I973" s="244"/>
      <c r="J973" s="245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  <c r="AA973" s="217"/>
      <c r="AB973" s="217"/>
      <c r="AC973" s="217"/>
      <c r="AD973" s="217"/>
      <c r="AE973" s="217"/>
      <c r="AF973" s="217"/>
      <c r="AG973" s="217"/>
      <c r="AH973" s="217"/>
      <c r="AI973" s="217"/>
      <c r="AJ973" s="217"/>
      <c r="AK973" s="217"/>
      <c r="AL973" s="217"/>
      <c r="AM973" s="217"/>
    </row>
    <row r="974">
      <c r="A974" s="217"/>
      <c r="B974" s="241"/>
      <c r="C974" s="247"/>
      <c r="D974" s="247"/>
      <c r="E974" s="247"/>
      <c r="F974" s="247"/>
      <c r="G974" s="242"/>
      <c r="H974" s="243"/>
      <c r="I974" s="244"/>
      <c r="J974" s="245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  <c r="AA974" s="217"/>
      <c r="AB974" s="217"/>
      <c r="AC974" s="217"/>
      <c r="AD974" s="217"/>
      <c r="AE974" s="217"/>
      <c r="AF974" s="217"/>
      <c r="AG974" s="217"/>
      <c r="AH974" s="217"/>
      <c r="AI974" s="217"/>
      <c r="AJ974" s="217"/>
      <c r="AK974" s="217"/>
      <c r="AL974" s="217"/>
      <c r="AM974" s="217"/>
    </row>
    <row r="975">
      <c r="A975" s="217"/>
      <c r="B975" s="241"/>
      <c r="C975" s="247"/>
      <c r="D975" s="247"/>
      <c r="E975" s="247"/>
      <c r="F975" s="247"/>
      <c r="G975" s="242"/>
      <c r="H975" s="243"/>
      <c r="I975" s="244"/>
      <c r="J975" s="245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  <c r="AA975" s="217"/>
      <c r="AB975" s="217"/>
      <c r="AC975" s="217"/>
      <c r="AD975" s="217"/>
      <c r="AE975" s="217"/>
      <c r="AF975" s="217"/>
      <c r="AG975" s="217"/>
      <c r="AH975" s="217"/>
      <c r="AI975" s="217"/>
      <c r="AJ975" s="217"/>
      <c r="AK975" s="217"/>
      <c r="AL975" s="217"/>
      <c r="AM975" s="217"/>
    </row>
    <row r="976">
      <c r="A976" s="217"/>
      <c r="B976" s="241"/>
      <c r="C976" s="247"/>
      <c r="D976" s="247"/>
      <c r="E976" s="247"/>
      <c r="F976" s="247"/>
      <c r="G976" s="242"/>
      <c r="H976" s="243"/>
      <c r="I976" s="244"/>
      <c r="J976" s="245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  <c r="AA976" s="217"/>
      <c r="AB976" s="217"/>
      <c r="AC976" s="217"/>
      <c r="AD976" s="217"/>
      <c r="AE976" s="217"/>
      <c r="AF976" s="217"/>
      <c r="AG976" s="217"/>
      <c r="AH976" s="217"/>
      <c r="AI976" s="217"/>
      <c r="AJ976" s="217"/>
      <c r="AK976" s="217"/>
      <c r="AL976" s="217"/>
      <c r="AM976" s="217"/>
    </row>
    <row r="977">
      <c r="A977" s="217"/>
      <c r="B977" s="241"/>
      <c r="C977" s="247"/>
      <c r="D977" s="247"/>
      <c r="E977" s="247"/>
      <c r="F977" s="247"/>
      <c r="G977" s="242"/>
      <c r="H977" s="243"/>
      <c r="I977" s="244"/>
      <c r="J977" s="245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  <c r="AA977" s="217"/>
      <c r="AB977" s="217"/>
      <c r="AC977" s="217"/>
      <c r="AD977" s="217"/>
      <c r="AE977" s="217"/>
      <c r="AF977" s="217"/>
      <c r="AG977" s="217"/>
      <c r="AH977" s="217"/>
      <c r="AI977" s="217"/>
      <c r="AJ977" s="217"/>
      <c r="AK977" s="217"/>
      <c r="AL977" s="217"/>
      <c r="AM977" s="217"/>
    </row>
    <row r="978">
      <c r="A978" s="217"/>
      <c r="B978" s="241"/>
      <c r="C978" s="247"/>
      <c r="D978" s="247"/>
      <c r="E978" s="247"/>
      <c r="F978" s="247"/>
      <c r="G978" s="242"/>
      <c r="H978" s="243"/>
      <c r="I978" s="244"/>
      <c r="J978" s="245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  <c r="AA978" s="217"/>
      <c r="AB978" s="217"/>
      <c r="AC978" s="217"/>
      <c r="AD978" s="217"/>
      <c r="AE978" s="217"/>
      <c r="AF978" s="217"/>
      <c r="AG978" s="217"/>
      <c r="AH978" s="217"/>
      <c r="AI978" s="217"/>
      <c r="AJ978" s="217"/>
      <c r="AK978" s="217"/>
      <c r="AL978" s="217"/>
      <c r="AM978" s="217"/>
    </row>
    <row r="979">
      <c r="A979" s="217"/>
      <c r="B979" s="241"/>
      <c r="C979" s="247"/>
      <c r="D979" s="247"/>
      <c r="E979" s="247"/>
      <c r="F979" s="247"/>
      <c r="G979" s="242"/>
      <c r="H979" s="243"/>
      <c r="I979" s="244"/>
      <c r="J979" s="245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  <c r="AA979" s="217"/>
      <c r="AB979" s="217"/>
      <c r="AC979" s="217"/>
      <c r="AD979" s="217"/>
      <c r="AE979" s="217"/>
      <c r="AF979" s="217"/>
      <c r="AG979" s="217"/>
      <c r="AH979" s="217"/>
      <c r="AI979" s="217"/>
      <c r="AJ979" s="217"/>
      <c r="AK979" s="217"/>
      <c r="AL979" s="217"/>
      <c r="AM979" s="217"/>
    </row>
    <row r="980">
      <c r="A980" s="217"/>
      <c r="B980" s="241"/>
      <c r="C980" s="247"/>
      <c r="D980" s="247"/>
      <c r="E980" s="247"/>
      <c r="F980" s="247"/>
      <c r="G980" s="242"/>
      <c r="H980" s="243"/>
      <c r="I980" s="244"/>
      <c r="J980" s="245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  <c r="AA980" s="217"/>
      <c r="AB980" s="217"/>
      <c r="AC980" s="217"/>
      <c r="AD980" s="217"/>
      <c r="AE980" s="217"/>
      <c r="AF980" s="217"/>
      <c r="AG980" s="217"/>
      <c r="AH980" s="217"/>
      <c r="AI980" s="217"/>
      <c r="AJ980" s="217"/>
      <c r="AK980" s="217"/>
      <c r="AL980" s="217"/>
      <c r="AM980" s="217"/>
    </row>
    <row r="981">
      <c r="A981" s="217"/>
      <c r="B981" s="241"/>
      <c r="C981" s="247"/>
      <c r="D981" s="247"/>
      <c r="E981" s="247"/>
      <c r="F981" s="247"/>
      <c r="G981" s="242"/>
      <c r="H981" s="243"/>
      <c r="I981" s="244"/>
      <c r="J981" s="245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  <c r="AA981" s="217"/>
      <c r="AB981" s="217"/>
      <c r="AC981" s="217"/>
      <c r="AD981" s="217"/>
      <c r="AE981" s="217"/>
      <c r="AF981" s="217"/>
      <c r="AG981" s="217"/>
      <c r="AH981" s="217"/>
      <c r="AI981" s="217"/>
      <c r="AJ981" s="217"/>
      <c r="AK981" s="217"/>
      <c r="AL981" s="217"/>
      <c r="AM981" s="217"/>
    </row>
    <row r="982">
      <c r="A982" s="217"/>
      <c r="B982" s="241"/>
      <c r="C982" s="247"/>
      <c r="D982" s="247"/>
      <c r="E982" s="247"/>
      <c r="F982" s="247"/>
      <c r="G982" s="242"/>
      <c r="H982" s="243"/>
      <c r="I982" s="244"/>
      <c r="J982" s="245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  <c r="AA982" s="217"/>
      <c r="AB982" s="217"/>
      <c r="AC982" s="217"/>
      <c r="AD982" s="217"/>
      <c r="AE982" s="217"/>
      <c r="AF982" s="217"/>
      <c r="AG982" s="217"/>
      <c r="AH982" s="217"/>
      <c r="AI982" s="217"/>
      <c r="AJ982" s="217"/>
      <c r="AK982" s="217"/>
      <c r="AL982" s="217"/>
      <c r="AM982" s="217"/>
    </row>
    <row r="983">
      <c r="A983" s="217"/>
      <c r="B983" s="241"/>
      <c r="C983" s="247"/>
      <c r="D983" s="247"/>
      <c r="E983" s="247"/>
      <c r="F983" s="247"/>
      <c r="G983" s="242"/>
      <c r="H983" s="243"/>
      <c r="I983" s="244"/>
      <c r="J983" s="245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  <c r="AA983" s="217"/>
      <c r="AB983" s="217"/>
      <c r="AC983" s="217"/>
      <c r="AD983" s="217"/>
      <c r="AE983" s="217"/>
      <c r="AF983" s="217"/>
      <c r="AG983" s="217"/>
      <c r="AH983" s="217"/>
      <c r="AI983" s="217"/>
      <c r="AJ983" s="217"/>
      <c r="AK983" s="217"/>
      <c r="AL983" s="217"/>
      <c r="AM983" s="217"/>
    </row>
    <row r="984">
      <c r="A984" s="217"/>
      <c r="B984" s="241"/>
      <c r="C984" s="247"/>
      <c r="D984" s="247"/>
      <c r="E984" s="247"/>
      <c r="F984" s="247"/>
      <c r="G984" s="242"/>
      <c r="H984" s="243"/>
      <c r="I984" s="244"/>
      <c r="J984" s="245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  <c r="AA984" s="217"/>
      <c r="AB984" s="217"/>
      <c r="AC984" s="217"/>
      <c r="AD984" s="217"/>
      <c r="AE984" s="217"/>
      <c r="AF984" s="217"/>
      <c r="AG984" s="217"/>
      <c r="AH984" s="217"/>
      <c r="AI984" s="217"/>
      <c r="AJ984" s="217"/>
      <c r="AK984" s="217"/>
      <c r="AL984" s="217"/>
      <c r="AM984" s="217"/>
    </row>
    <row r="985">
      <c r="A985" s="217"/>
      <c r="B985" s="241"/>
      <c r="C985" s="247"/>
      <c r="D985" s="247"/>
      <c r="E985" s="247"/>
      <c r="F985" s="247"/>
      <c r="G985" s="242"/>
      <c r="H985" s="243"/>
      <c r="I985" s="244"/>
      <c r="J985" s="245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  <c r="AA985" s="217"/>
      <c r="AB985" s="217"/>
      <c r="AC985" s="217"/>
      <c r="AD985" s="217"/>
      <c r="AE985" s="217"/>
      <c r="AF985" s="217"/>
      <c r="AG985" s="217"/>
      <c r="AH985" s="217"/>
      <c r="AI985" s="217"/>
      <c r="AJ985" s="217"/>
      <c r="AK985" s="217"/>
      <c r="AL985" s="217"/>
      <c r="AM985" s="217"/>
    </row>
    <row r="986">
      <c r="A986" s="217"/>
      <c r="B986" s="241"/>
      <c r="C986" s="247"/>
      <c r="D986" s="247"/>
      <c r="E986" s="247"/>
      <c r="F986" s="247"/>
      <c r="G986" s="242"/>
      <c r="H986" s="243"/>
      <c r="I986" s="244"/>
      <c r="J986" s="245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  <c r="AA986" s="217"/>
      <c r="AB986" s="217"/>
      <c r="AC986" s="217"/>
      <c r="AD986" s="217"/>
      <c r="AE986" s="217"/>
      <c r="AF986" s="217"/>
      <c r="AG986" s="217"/>
      <c r="AH986" s="217"/>
      <c r="AI986" s="217"/>
      <c r="AJ986" s="217"/>
      <c r="AK986" s="217"/>
      <c r="AL986" s="217"/>
      <c r="AM986" s="217"/>
    </row>
    <row r="987">
      <c r="A987" s="217"/>
      <c r="B987" s="241"/>
      <c r="C987" s="247"/>
      <c r="D987" s="247"/>
      <c r="E987" s="247"/>
      <c r="F987" s="247"/>
      <c r="G987" s="242"/>
      <c r="H987" s="243"/>
      <c r="I987" s="244"/>
      <c r="J987" s="245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  <c r="AA987" s="217"/>
      <c r="AB987" s="217"/>
      <c r="AC987" s="217"/>
      <c r="AD987" s="217"/>
      <c r="AE987" s="217"/>
      <c r="AF987" s="217"/>
      <c r="AG987" s="217"/>
      <c r="AH987" s="217"/>
      <c r="AI987" s="217"/>
      <c r="AJ987" s="217"/>
      <c r="AK987" s="217"/>
      <c r="AL987" s="217"/>
      <c r="AM987" s="217"/>
    </row>
    <row r="988">
      <c r="A988" s="217"/>
      <c r="B988" s="241"/>
      <c r="C988" s="247"/>
      <c r="D988" s="247"/>
      <c r="E988" s="247"/>
      <c r="F988" s="247"/>
      <c r="G988" s="242"/>
      <c r="H988" s="243"/>
      <c r="I988" s="244"/>
      <c r="J988" s="245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  <c r="AA988" s="217"/>
      <c r="AB988" s="217"/>
      <c r="AC988" s="217"/>
      <c r="AD988" s="217"/>
      <c r="AE988" s="217"/>
      <c r="AF988" s="217"/>
      <c r="AG988" s="217"/>
      <c r="AH988" s="217"/>
      <c r="AI988" s="217"/>
      <c r="AJ988" s="217"/>
      <c r="AK988" s="217"/>
      <c r="AL988" s="217"/>
      <c r="AM988" s="217"/>
    </row>
    <row r="989">
      <c r="A989" s="217"/>
      <c r="B989" s="241"/>
      <c r="C989" s="247"/>
      <c r="D989" s="247"/>
      <c r="E989" s="247"/>
      <c r="F989" s="247"/>
      <c r="G989" s="242"/>
      <c r="H989" s="243"/>
      <c r="I989" s="244"/>
      <c r="J989" s="245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  <c r="AA989" s="217"/>
      <c r="AB989" s="217"/>
      <c r="AC989" s="217"/>
      <c r="AD989" s="217"/>
      <c r="AE989" s="217"/>
      <c r="AF989" s="217"/>
      <c r="AG989" s="217"/>
      <c r="AH989" s="217"/>
      <c r="AI989" s="217"/>
      <c r="AJ989" s="217"/>
      <c r="AK989" s="217"/>
      <c r="AL989" s="217"/>
      <c r="AM989" s="217"/>
    </row>
    <row r="990">
      <c r="A990" s="217"/>
      <c r="B990" s="241"/>
      <c r="C990" s="247"/>
      <c r="D990" s="247"/>
      <c r="E990" s="247"/>
      <c r="F990" s="247"/>
      <c r="G990" s="242"/>
      <c r="H990" s="243"/>
      <c r="I990" s="244"/>
      <c r="J990" s="245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  <c r="AA990" s="217"/>
      <c r="AB990" s="217"/>
      <c r="AC990" s="217"/>
      <c r="AD990" s="217"/>
      <c r="AE990" s="217"/>
      <c r="AF990" s="217"/>
      <c r="AG990" s="217"/>
      <c r="AH990" s="217"/>
      <c r="AI990" s="217"/>
      <c r="AJ990" s="217"/>
      <c r="AK990" s="217"/>
      <c r="AL990" s="217"/>
      <c r="AM990" s="217"/>
    </row>
    <row r="991">
      <c r="A991" s="217"/>
      <c r="B991" s="241"/>
      <c r="C991" s="247"/>
      <c r="D991" s="247"/>
      <c r="E991" s="247"/>
      <c r="F991" s="247"/>
      <c r="G991" s="242"/>
      <c r="H991" s="243"/>
      <c r="I991" s="244"/>
      <c r="J991" s="245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  <c r="AA991" s="217"/>
      <c r="AB991" s="217"/>
      <c r="AC991" s="217"/>
      <c r="AD991" s="217"/>
      <c r="AE991" s="217"/>
      <c r="AF991" s="217"/>
      <c r="AG991" s="217"/>
      <c r="AH991" s="217"/>
      <c r="AI991" s="217"/>
      <c r="AJ991" s="217"/>
      <c r="AK991" s="217"/>
      <c r="AL991" s="217"/>
      <c r="AM991" s="217"/>
    </row>
    <row r="992">
      <c r="A992" s="217"/>
      <c r="B992" s="241"/>
      <c r="C992" s="247"/>
      <c r="D992" s="247"/>
      <c r="E992" s="247"/>
      <c r="F992" s="247"/>
      <c r="G992" s="242"/>
      <c r="H992" s="243"/>
      <c r="I992" s="244"/>
      <c r="J992" s="245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  <c r="AA992" s="217"/>
      <c r="AB992" s="217"/>
      <c r="AC992" s="217"/>
      <c r="AD992" s="217"/>
      <c r="AE992" s="217"/>
      <c r="AF992" s="217"/>
      <c r="AG992" s="217"/>
      <c r="AH992" s="217"/>
      <c r="AI992" s="217"/>
      <c r="AJ992" s="217"/>
      <c r="AK992" s="217"/>
      <c r="AL992" s="217"/>
      <c r="AM992" s="217"/>
    </row>
    <row r="993">
      <c r="A993" s="217"/>
      <c r="B993" s="241"/>
      <c r="C993" s="247"/>
      <c r="D993" s="247"/>
      <c r="E993" s="247"/>
      <c r="F993" s="247"/>
      <c r="G993" s="242"/>
      <c r="H993" s="243"/>
      <c r="I993" s="244"/>
      <c r="J993" s="245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  <c r="AA993" s="217"/>
      <c r="AB993" s="217"/>
      <c r="AC993" s="217"/>
      <c r="AD993" s="217"/>
      <c r="AE993" s="217"/>
      <c r="AF993" s="217"/>
      <c r="AG993" s="217"/>
      <c r="AH993" s="217"/>
      <c r="AI993" s="217"/>
      <c r="AJ993" s="217"/>
      <c r="AK993" s="217"/>
      <c r="AL993" s="217"/>
      <c r="AM993" s="217"/>
    </row>
    <row r="994">
      <c r="A994" s="217"/>
      <c r="B994" s="241"/>
      <c r="C994" s="247"/>
      <c r="D994" s="247"/>
      <c r="E994" s="247"/>
      <c r="F994" s="247"/>
      <c r="G994" s="242"/>
      <c r="H994" s="243"/>
      <c r="I994" s="244"/>
      <c r="J994" s="245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  <c r="AA994" s="217"/>
      <c r="AB994" s="217"/>
      <c r="AC994" s="217"/>
      <c r="AD994" s="217"/>
      <c r="AE994" s="217"/>
      <c r="AF994" s="217"/>
      <c r="AG994" s="217"/>
      <c r="AH994" s="217"/>
      <c r="AI994" s="217"/>
      <c r="AJ994" s="217"/>
      <c r="AK994" s="217"/>
      <c r="AL994" s="217"/>
      <c r="AM994" s="217"/>
    </row>
    <row r="995">
      <c r="A995" s="217"/>
      <c r="B995" s="241"/>
      <c r="C995" s="247"/>
      <c r="D995" s="247"/>
      <c r="E995" s="247"/>
      <c r="F995" s="247"/>
      <c r="G995" s="242"/>
      <c r="H995" s="243"/>
      <c r="I995" s="244"/>
      <c r="J995" s="245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  <c r="AA995" s="217"/>
      <c r="AB995" s="217"/>
      <c r="AC995" s="217"/>
      <c r="AD995" s="217"/>
      <c r="AE995" s="217"/>
      <c r="AF995" s="217"/>
      <c r="AG995" s="217"/>
      <c r="AH995" s="217"/>
      <c r="AI995" s="217"/>
      <c r="AJ995" s="217"/>
      <c r="AK995" s="217"/>
      <c r="AL995" s="217"/>
      <c r="AM995" s="217"/>
    </row>
    <row r="996">
      <c r="A996" s="217"/>
      <c r="B996" s="241"/>
      <c r="C996" s="247"/>
      <c r="D996" s="247"/>
      <c r="E996" s="247"/>
      <c r="F996" s="247"/>
      <c r="G996" s="242"/>
      <c r="H996" s="243"/>
      <c r="I996" s="244"/>
      <c r="J996" s="245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  <c r="AA996" s="217"/>
      <c r="AB996" s="217"/>
      <c r="AC996" s="217"/>
      <c r="AD996" s="217"/>
      <c r="AE996" s="217"/>
      <c r="AF996" s="217"/>
      <c r="AG996" s="217"/>
      <c r="AH996" s="217"/>
      <c r="AI996" s="217"/>
      <c r="AJ996" s="217"/>
      <c r="AK996" s="217"/>
      <c r="AL996" s="217"/>
      <c r="AM996" s="217"/>
    </row>
    <row r="997">
      <c r="A997" s="217"/>
      <c r="B997" s="241"/>
      <c r="C997" s="247"/>
      <c r="D997" s="247"/>
      <c r="E997" s="247"/>
      <c r="F997" s="247"/>
      <c r="G997" s="242"/>
      <c r="H997" s="243"/>
      <c r="I997" s="244"/>
      <c r="J997" s="245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  <c r="AA997" s="217"/>
      <c r="AB997" s="217"/>
      <c r="AC997" s="217"/>
      <c r="AD997" s="217"/>
      <c r="AE997" s="217"/>
      <c r="AF997" s="217"/>
      <c r="AG997" s="217"/>
      <c r="AH997" s="217"/>
      <c r="AI997" s="217"/>
      <c r="AJ997" s="217"/>
      <c r="AK997" s="217"/>
      <c r="AL997" s="217"/>
      <c r="AM997" s="217"/>
    </row>
    <row r="998">
      <c r="A998" s="217"/>
      <c r="B998" s="241"/>
      <c r="C998" s="247"/>
      <c r="D998" s="247"/>
      <c r="E998" s="247"/>
      <c r="F998" s="247"/>
      <c r="G998" s="242"/>
      <c r="H998" s="243"/>
      <c r="I998" s="244"/>
      <c r="J998" s="245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  <c r="AA998" s="217"/>
      <c r="AB998" s="217"/>
      <c r="AC998" s="217"/>
      <c r="AD998" s="217"/>
      <c r="AE998" s="217"/>
      <c r="AF998" s="217"/>
      <c r="AG998" s="217"/>
      <c r="AH998" s="217"/>
      <c r="AI998" s="217"/>
      <c r="AJ998" s="217"/>
      <c r="AK998" s="217"/>
      <c r="AL998" s="217"/>
      <c r="AM998" s="217"/>
    </row>
    <row r="999">
      <c r="A999" s="217"/>
      <c r="B999" s="241"/>
      <c r="C999" s="247"/>
      <c r="D999" s="247"/>
      <c r="E999" s="247"/>
      <c r="F999" s="247"/>
      <c r="G999" s="242"/>
      <c r="H999" s="243"/>
      <c r="I999" s="244"/>
      <c r="J999" s="245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  <c r="AA999" s="217"/>
      <c r="AB999" s="217"/>
      <c r="AC999" s="217"/>
      <c r="AD999" s="217"/>
      <c r="AE999" s="217"/>
      <c r="AF999" s="217"/>
      <c r="AG999" s="217"/>
      <c r="AH999" s="217"/>
      <c r="AI999" s="217"/>
      <c r="AJ999" s="217"/>
      <c r="AK999" s="217"/>
      <c r="AL999" s="217"/>
      <c r="AM999" s="217"/>
    </row>
    <row r="1000">
      <c r="A1000" s="217"/>
      <c r="B1000" s="241"/>
      <c r="C1000" s="247"/>
      <c r="D1000" s="247"/>
      <c r="E1000" s="247"/>
      <c r="F1000" s="247"/>
      <c r="G1000" s="242"/>
      <c r="H1000" s="243"/>
      <c r="I1000" s="244"/>
      <c r="J1000" s="245"/>
      <c r="K1000" s="217"/>
      <c r="L1000" s="217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  <c r="Z1000" s="217"/>
      <c r="AA1000" s="217"/>
      <c r="AB1000" s="217"/>
      <c r="AC1000" s="217"/>
      <c r="AD1000" s="217"/>
      <c r="AE1000" s="217"/>
      <c r="AF1000" s="217"/>
      <c r="AG1000" s="217"/>
      <c r="AH1000" s="217"/>
      <c r="AI1000" s="217"/>
      <c r="AJ1000" s="217"/>
      <c r="AK1000" s="217"/>
      <c r="AL1000" s="217"/>
      <c r="AM1000" s="217"/>
    </row>
    <row r="1001">
      <c r="A1001" s="217"/>
      <c r="B1001" s="241"/>
      <c r="C1001" s="247"/>
      <c r="D1001" s="247"/>
      <c r="E1001" s="247"/>
      <c r="F1001" s="247"/>
      <c r="G1001" s="242"/>
      <c r="H1001" s="243"/>
      <c r="I1001" s="244"/>
      <c r="J1001" s="245"/>
      <c r="K1001" s="217"/>
      <c r="L1001" s="217"/>
      <c r="M1001" s="217"/>
      <c r="N1001" s="217"/>
      <c r="O1001" s="217"/>
      <c r="P1001" s="217"/>
      <c r="Q1001" s="217"/>
      <c r="R1001" s="217"/>
      <c r="S1001" s="217"/>
      <c r="T1001" s="217"/>
      <c r="U1001" s="217"/>
      <c r="V1001" s="217"/>
      <c r="W1001" s="217"/>
      <c r="X1001" s="217"/>
      <c r="Y1001" s="217"/>
      <c r="Z1001" s="217"/>
      <c r="AA1001" s="217"/>
      <c r="AB1001" s="217"/>
      <c r="AC1001" s="217"/>
      <c r="AD1001" s="217"/>
      <c r="AE1001" s="217"/>
      <c r="AF1001" s="217"/>
      <c r="AG1001" s="217"/>
      <c r="AH1001" s="217"/>
      <c r="AI1001" s="217"/>
      <c r="AJ1001" s="217"/>
      <c r="AK1001" s="217"/>
      <c r="AL1001" s="217"/>
      <c r="AM1001" s="217"/>
    </row>
  </sheetData>
  <mergeCells count="1">
    <mergeCell ref="K8:L8"/>
  </mergeCells>
  <conditionalFormatting sqref="C2:F2 C278:F1001">
    <cfRule type="containsBlanks" dxfId="13" priority="1">
      <formula>LEN(TRIM(C2))=0</formula>
    </cfRule>
  </conditionalFormatting>
  <conditionalFormatting sqref="A1:Q1001 R1:AM2 R4:AM1001">
    <cfRule type="containsBlanks" dxfId="2" priority="2">
      <formula>LEN(TRIM(A1))=0</formula>
    </cfRule>
  </conditionalFormatting>
  <dataValidations>
    <dataValidation type="custom" allowBlank="1" showDropDown="1" sqref="C4:C402">
      <formula1>AND(ISNUMBER(C4),(NOT(OR(NOT(ISERROR(DATEVALUE(C4))), AND(ISNUMBER(C4), LEFT(CELL("format", C4))="D")))))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19" width="11.5"/>
    <col customWidth="1" min="20" max="20" width="10.25"/>
    <col customWidth="1" min="21" max="21" width="12.5"/>
    <col customWidth="1" min="22" max="22" width="17.63"/>
    <col customWidth="1" min="23" max="23" width="1.75"/>
    <col customWidth="1" min="24" max="24" width="14.38"/>
    <col customWidth="1" min="25" max="25" width="14.88"/>
    <col customWidth="1" min="26" max="26" width="15.25"/>
    <col customWidth="1" min="28" max="28" width="13.38"/>
    <col customWidth="1" min="40" max="53" width="10.75"/>
  </cols>
  <sheetData>
    <row r="1" ht="27.0" customHeight="1">
      <c r="A1" s="221" t="s">
        <v>103</v>
      </c>
      <c r="B1" s="283" t="s">
        <v>125</v>
      </c>
      <c r="S1" s="284"/>
      <c r="T1" s="285" t="s">
        <v>61</v>
      </c>
      <c r="U1" s="286"/>
      <c r="V1" s="287" t="s">
        <v>126</v>
      </c>
      <c r="W1" s="288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89"/>
      <c r="AZ1" s="289"/>
      <c r="BA1" s="289"/>
    </row>
    <row r="2">
      <c r="A2" s="290" t="s">
        <v>66</v>
      </c>
      <c r="B2" s="30" t="s">
        <v>25</v>
      </c>
      <c r="C2" s="45" t="s">
        <v>6</v>
      </c>
      <c r="D2" s="59" t="s">
        <v>7</v>
      </c>
      <c r="E2" s="70" t="s">
        <v>33</v>
      </c>
      <c r="F2" s="82" t="s">
        <v>36</v>
      </c>
      <c r="G2" s="90" t="s">
        <v>12</v>
      </c>
      <c r="H2" s="102" t="s">
        <v>13</v>
      </c>
      <c r="I2" s="251" t="s">
        <v>14</v>
      </c>
      <c r="J2" s="291" t="s">
        <v>15</v>
      </c>
      <c r="K2" s="292" t="s">
        <v>16</v>
      </c>
      <c r="L2" s="293" t="s">
        <v>17</v>
      </c>
      <c r="M2" s="294" t="s">
        <v>18</v>
      </c>
      <c r="N2" s="295" t="s">
        <v>19</v>
      </c>
      <c r="O2" s="296" t="s">
        <v>20</v>
      </c>
      <c r="P2" s="127" t="s">
        <v>21</v>
      </c>
      <c r="Q2" s="133" t="s">
        <v>22</v>
      </c>
      <c r="R2" s="135" t="s">
        <v>23</v>
      </c>
      <c r="S2" s="297" t="s">
        <v>24</v>
      </c>
      <c r="T2" s="14" t="s">
        <v>11</v>
      </c>
      <c r="U2" s="286" t="s">
        <v>127</v>
      </c>
      <c r="V2" s="287" t="s">
        <v>128</v>
      </c>
      <c r="W2" s="288"/>
      <c r="X2" s="289"/>
      <c r="Y2" s="298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89"/>
      <c r="AZ2" s="289"/>
      <c r="BA2" s="289"/>
    </row>
    <row r="3">
      <c r="A3" s="290">
        <f>ARBITRAGES!E3</f>
        <v>45515</v>
      </c>
      <c r="B3" s="299">
        <f>IF(A3="","",PRIX!B3*'QUANTITE DETENUES'!B3)</f>
        <v>6216.51366</v>
      </c>
      <c r="C3" s="299">
        <f>IF(B3="","",PRIX!C3*'QUANTITE DETENUES'!C3)</f>
        <v>5059.398762</v>
      </c>
      <c r="D3" s="299">
        <f>IF(C3="","",PRIX!D3*'QUANTITE DETENUES'!D3)</f>
        <v>0</v>
      </c>
      <c r="E3" s="299">
        <f>IF(D3="","",PRIX!E3*'QUANTITE DETENUES'!E3)</f>
        <v>4858.693837</v>
      </c>
      <c r="F3" s="299">
        <f>IF(E3="","",PRIX!F3*'QUANTITE DETENUES'!F3)</f>
        <v>0</v>
      </c>
      <c r="G3" s="299">
        <f>IF(F3="","",PRIX!G3*'QUANTITE DETENUES'!G3)</f>
        <v>0</v>
      </c>
      <c r="H3" s="299">
        <f>IF(G3="","",PRIX!H3*'QUANTITE DETENUES'!H3)</f>
        <v>0</v>
      </c>
      <c r="I3" s="299">
        <f>IF(H3="","",PRIX!I3*'QUANTITE DETENUES'!I3)</f>
        <v>0</v>
      </c>
      <c r="J3" s="299">
        <f>IF(I3="","",PRIX!J3*'QUANTITE DETENUES'!J3)</f>
        <v>620.412454</v>
      </c>
      <c r="K3" s="299">
        <f>IF(J3="","",PRIX!K3*'QUANTITE DETENUES'!K3)</f>
        <v>236.3905</v>
      </c>
      <c r="L3" s="299">
        <f>IF(K3="","",PRIX!L3*'QUANTITE DETENUES'!L3)</f>
        <v>0</v>
      </c>
      <c r="M3" s="299">
        <f>IF(L3="","",PRIX!M3*'QUANTITE DETENUES'!M3)</f>
        <v>0</v>
      </c>
      <c r="N3" s="299">
        <f>IF(M3="","",PRIX!N3*'QUANTITE DETENUES'!N3)</f>
        <v>0</v>
      </c>
      <c r="O3" s="299">
        <f>IF(N3="","",PRIX!O3*'QUANTITE DETENUES'!O3)</f>
        <v>0</v>
      </c>
      <c r="P3" s="299">
        <f>IF(O3="","",PRIX!P3*'QUANTITE DETENUES'!P3)</f>
        <v>0</v>
      </c>
      <c r="Q3" s="299">
        <f>IF(P3="","",PRIX!Q3*'QUANTITE DETENUES'!Q3)</f>
        <v>0</v>
      </c>
      <c r="R3" s="299">
        <f>IF(Q3="","",PRIX!R3*'QUANTITE DETENUES'!R3)</f>
        <v>0</v>
      </c>
      <c r="S3" s="300">
        <f>IF(R3="","",PRIX!T3*'QUANTITE DETENUES'!S3)</f>
        <v>0</v>
      </c>
      <c r="T3" s="14">
        <f>ARBITRAGES!M3</f>
        <v>21550</v>
      </c>
      <c r="U3" s="301">
        <f t="shared" ref="U3:U418" si="1">IF(A3="","",SUM(B3:T3))</f>
        <v>38541.40921</v>
      </c>
      <c r="V3" s="302">
        <f t="shared" ref="V3:V418" si="2">IF(U3="","",1-T3/U3)</f>
        <v>0.4408611299</v>
      </c>
      <c r="W3" s="288"/>
      <c r="X3" s="289"/>
      <c r="Y3" s="298"/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89"/>
      <c r="AL3" s="289"/>
      <c r="AM3" s="289"/>
      <c r="AN3" s="289"/>
      <c r="AO3" s="289"/>
      <c r="AP3" s="289"/>
      <c r="AQ3" s="289"/>
      <c r="AR3" s="289"/>
      <c r="AS3" s="289"/>
      <c r="AT3" s="289"/>
      <c r="AU3" s="289"/>
      <c r="AV3" s="289"/>
      <c r="AW3" s="289"/>
      <c r="AX3" s="289"/>
      <c r="AY3" s="289"/>
      <c r="AZ3" s="289"/>
      <c r="BA3" s="289"/>
    </row>
    <row r="4">
      <c r="A4" s="290">
        <f>IF(ARBITRAGES!E4="","",ARBITRAGES!E4)</f>
        <v>45515</v>
      </c>
      <c r="B4" s="299">
        <f>IF(A4="","",PRIX!B4*'QUANTITE DETENUES'!B4)</f>
        <v>14363.04366</v>
      </c>
      <c r="C4" s="299">
        <f>IF(B4="","",PRIX!C4*'QUANTITE DETENUES'!C4)</f>
        <v>5059.398762</v>
      </c>
      <c r="D4" s="299">
        <f>IF(C4="","",PRIX!D4*'QUANTITE DETENUES'!D4)</f>
        <v>0</v>
      </c>
      <c r="E4" s="299">
        <f>IF(D4="","",PRIX!E4*'QUANTITE DETENUES'!E4)</f>
        <v>4858.693837</v>
      </c>
      <c r="F4" s="299">
        <f>IF(E4="","",PRIX!F4*'QUANTITE DETENUES'!F4)</f>
        <v>0</v>
      </c>
      <c r="G4" s="299">
        <f>IF(F4="","",PRIX!G4*'QUANTITE DETENUES'!G4)</f>
        <v>0</v>
      </c>
      <c r="H4" s="299">
        <f>IF(G4="","",PRIX!H4*'QUANTITE DETENUES'!H4)</f>
        <v>0</v>
      </c>
      <c r="I4" s="299">
        <f>IF(H4="","",PRIX!I4*'QUANTITE DETENUES'!I4)</f>
        <v>0</v>
      </c>
      <c r="J4" s="299">
        <f>IF(I4="","",PRIX!J4*'QUANTITE DETENUES'!J4)</f>
        <v>620.412454</v>
      </c>
      <c r="K4" s="299">
        <f>IF(J4="","",PRIX!K4*'QUANTITE DETENUES'!K4)</f>
        <v>236.3905</v>
      </c>
      <c r="L4" s="299">
        <f>IF(K4="","",PRIX!L4*'QUANTITE DETENUES'!L4)</f>
        <v>0</v>
      </c>
      <c r="M4" s="299">
        <f>IF(L4="","",PRIX!M4*'QUANTITE DETENUES'!M4)</f>
        <v>0</v>
      </c>
      <c r="N4" s="299">
        <f>IF(M4="","",PRIX!N4*'QUANTITE DETENUES'!N4)</f>
        <v>0</v>
      </c>
      <c r="O4" s="299">
        <f>IF(N4="","",PRIX!O4*'QUANTITE DETENUES'!O4)</f>
        <v>0</v>
      </c>
      <c r="P4" s="299">
        <f>IF(O4="","",PRIX!P4*'QUANTITE DETENUES'!P4)</f>
        <v>0</v>
      </c>
      <c r="Q4" s="299">
        <f>IF(P4="","",PRIX!Q4*'QUANTITE DETENUES'!Q4)</f>
        <v>0</v>
      </c>
      <c r="R4" s="299">
        <f>IF(Q4="","",PRIX!R4*'QUANTITE DETENUES'!R4)</f>
        <v>0</v>
      </c>
      <c r="S4" s="300">
        <f>IF(R4="","",PRIX!T4*'QUANTITE DETENUES'!S4)</f>
        <v>0</v>
      </c>
      <c r="T4" s="14">
        <f>IF(A4="","",ARBITRAGES!M4)</f>
        <v>14050</v>
      </c>
      <c r="U4" s="301">
        <f t="shared" si="1"/>
        <v>39187.93921</v>
      </c>
      <c r="V4" s="302">
        <f t="shared" si="2"/>
        <v>0.641471323</v>
      </c>
      <c r="W4" s="288"/>
      <c r="X4" s="289"/>
      <c r="Y4" s="303"/>
      <c r="Z4" s="289"/>
      <c r="AA4" s="289"/>
      <c r="AB4" s="289"/>
      <c r="AC4" s="289"/>
      <c r="AD4" s="289"/>
      <c r="AE4" s="289"/>
      <c r="AF4" s="289"/>
      <c r="AG4" s="289"/>
      <c r="AH4" s="289"/>
      <c r="AI4" s="289"/>
      <c r="AJ4" s="289"/>
      <c r="AK4" s="289"/>
      <c r="AL4" s="289"/>
      <c r="AM4" s="289"/>
      <c r="AN4" s="289"/>
      <c r="AO4" s="289"/>
      <c r="AP4" s="289"/>
      <c r="AQ4" s="289"/>
      <c r="AR4" s="289"/>
      <c r="AS4" s="289"/>
      <c r="AT4" s="289"/>
      <c r="AU4" s="289"/>
      <c r="AV4" s="289"/>
      <c r="AW4" s="289"/>
      <c r="AX4" s="289"/>
      <c r="AY4" s="289"/>
      <c r="AZ4" s="289"/>
      <c r="BA4" s="289"/>
    </row>
    <row r="5">
      <c r="A5" s="290">
        <f>IF(ARBITRAGES!E5="","",ARBITRAGES!E5)</f>
        <v>45516</v>
      </c>
      <c r="B5" s="299">
        <f>IF(A5="","",PRIX!B5*'QUANTITE DETENUES'!B5)</f>
        <v>13633.49224</v>
      </c>
      <c r="C5" s="299">
        <f>IF(B5="","",PRIX!C5*'QUANTITE DETENUES'!C5)</f>
        <v>8224.17401</v>
      </c>
      <c r="D5" s="299">
        <f>IF(C5="","",PRIX!D5*'QUANTITE DETENUES'!D5)</f>
        <v>0</v>
      </c>
      <c r="E5" s="299">
        <f>IF(D5="","",PRIX!E5*'QUANTITE DETENUES'!E5)</f>
        <v>4645.262842</v>
      </c>
      <c r="F5" s="299">
        <f>IF(E5="","",PRIX!F5*'QUANTITE DETENUES'!F5)</f>
        <v>0</v>
      </c>
      <c r="G5" s="299">
        <f>IF(F5="","",PRIX!G5*'QUANTITE DETENUES'!G5)</f>
        <v>0</v>
      </c>
      <c r="H5" s="299">
        <f>IF(G5="","",PRIX!H5*'QUANTITE DETENUES'!H5)</f>
        <v>0</v>
      </c>
      <c r="I5" s="299">
        <f>IF(H5="","",PRIX!I5*'QUANTITE DETENUES'!I5)</f>
        <v>0</v>
      </c>
      <c r="J5" s="299">
        <f>IF(I5="","",PRIX!J5*'QUANTITE DETENUES'!J5)</f>
        <v>629.637918</v>
      </c>
      <c r="K5" s="299">
        <f>IF(J5="","",PRIX!K5*'QUANTITE DETENUES'!K5)</f>
        <v>242.4909</v>
      </c>
      <c r="L5" s="299">
        <f>IF(K5="","",PRIX!L5*'QUANTITE DETENUES'!L5)</f>
        <v>0</v>
      </c>
      <c r="M5" s="299">
        <f>IF(L5="","",PRIX!M5*'QUANTITE DETENUES'!M5)</f>
        <v>0</v>
      </c>
      <c r="N5" s="299">
        <f>IF(M5="","",PRIX!N5*'QUANTITE DETENUES'!N5)</f>
        <v>0</v>
      </c>
      <c r="O5" s="299">
        <f>IF(N5="","",PRIX!O5*'QUANTITE DETENUES'!O5)</f>
        <v>0</v>
      </c>
      <c r="P5" s="299">
        <f>IF(O5="","",PRIX!P5*'QUANTITE DETENUES'!P5)</f>
        <v>0</v>
      </c>
      <c r="Q5" s="299">
        <f>IF(P5="","",PRIX!Q5*'QUANTITE DETENUES'!Q5)</f>
        <v>0</v>
      </c>
      <c r="R5" s="299">
        <f>IF(Q5="","",PRIX!R5*'QUANTITE DETENUES'!R5)</f>
        <v>0</v>
      </c>
      <c r="S5" s="300">
        <f>IF(R5="","",PRIX!T5*'QUANTITE DETENUES'!S5)</f>
        <v>0</v>
      </c>
      <c r="T5" s="14">
        <f>IF(A5="","",ARBITRAGES!M5)</f>
        <v>11050</v>
      </c>
      <c r="U5" s="301">
        <f t="shared" si="1"/>
        <v>38425.05791</v>
      </c>
      <c r="V5" s="302">
        <f t="shared" si="2"/>
        <v>0.7124272388</v>
      </c>
      <c r="W5" s="288"/>
      <c r="X5" s="289"/>
      <c r="Y5" s="298"/>
      <c r="Z5" s="289"/>
      <c r="AA5" s="289"/>
      <c r="AB5" s="289"/>
      <c r="AC5" s="289"/>
      <c r="AD5" s="289"/>
      <c r="AE5" s="289"/>
      <c r="AF5" s="289"/>
      <c r="AG5" s="289"/>
      <c r="AH5" s="289"/>
      <c r="AI5" s="289"/>
      <c r="AJ5" s="289"/>
      <c r="AK5" s="289"/>
      <c r="AL5" s="289"/>
      <c r="AM5" s="289"/>
      <c r="AN5" s="289"/>
      <c r="AO5" s="289"/>
      <c r="AP5" s="289"/>
      <c r="AQ5" s="289"/>
      <c r="AR5" s="289"/>
      <c r="AS5" s="289"/>
      <c r="AT5" s="289"/>
      <c r="AU5" s="289"/>
      <c r="AV5" s="289"/>
      <c r="AW5" s="289"/>
      <c r="AX5" s="289"/>
      <c r="AY5" s="289"/>
      <c r="AZ5" s="289"/>
      <c r="BA5" s="289"/>
    </row>
    <row r="6">
      <c r="A6" s="290">
        <f>IF(ARBITRAGES!E6="","",ARBITRAGES!E6)</f>
        <v>45517</v>
      </c>
      <c r="B6" s="299">
        <f>IF(A6="","",PRIX!B6*'QUANTITE DETENUES'!B6)</f>
        <v>13907.07402</v>
      </c>
      <c r="C6" s="299">
        <f>IF(B6="","",PRIX!C6*'QUANTITE DETENUES'!C6)</f>
        <v>8322.190236</v>
      </c>
      <c r="D6" s="299">
        <f>IF(C6="","",PRIX!D6*'QUANTITE DETENUES'!D6)</f>
        <v>0</v>
      </c>
      <c r="E6" s="299">
        <f>IF(D6="","",PRIX!E6*'QUANTITE DETENUES'!E6)</f>
        <v>5787.596513</v>
      </c>
      <c r="F6" s="299">
        <f>IF(E6="","",PRIX!F6*'QUANTITE DETENUES'!F6)</f>
        <v>0</v>
      </c>
      <c r="G6" s="299">
        <f>IF(F6="","",PRIX!G6*'QUANTITE DETENUES'!G6)</f>
        <v>0</v>
      </c>
      <c r="H6" s="299">
        <f>IF(G6="","",PRIX!H6*'QUANTITE DETENUES'!H6)</f>
        <v>0</v>
      </c>
      <c r="I6" s="299">
        <f>IF(H6="","",PRIX!I6*'QUANTITE DETENUES'!I6)</f>
        <v>0</v>
      </c>
      <c r="J6" s="299">
        <f>IF(I6="","",PRIX!J6*'QUANTITE DETENUES'!J6)</f>
        <v>638.863382</v>
      </c>
      <c r="K6" s="299">
        <f>IF(J6="","",PRIX!K6*'QUANTITE DETENUES'!K6)</f>
        <v>241.72835</v>
      </c>
      <c r="L6" s="299">
        <f>IF(K6="","",PRIX!L6*'QUANTITE DETENUES'!L6)</f>
        <v>0</v>
      </c>
      <c r="M6" s="299">
        <f>IF(L6="","",PRIX!M6*'QUANTITE DETENUES'!M6)</f>
        <v>0</v>
      </c>
      <c r="N6" s="299">
        <f>IF(M6="","",PRIX!N6*'QUANTITE DETENUES'!N6)</f>
        <v>0</v>
      </c>
      <c r="O6" s="299">
        <f>IF(N6="","",PRIX!O6*'QUANTITE DETENUES'!O6)</f>
        <v>0</v>
      </c>
      <c r="P6" s="299">
        <f>IF(O6="","",PRIX!P6*'QUANTITE DETENUES'!P6)</f>
        <v>0</v>
      </c>
      <c r="Q6" s="299">
        <f>IF(P6="","",PRIX!Q6*'QUANTITE DETENUES'!Q6)</f>
        <v>0</v>
      </c>
      <c r="R6" s="299">
        <f>IF(Q6="","",PRIX!R6*'QUANTITE DETENUES'!R6)</f>
        <v>0</v>
      </c>
      <c r="S6" s="300">
        <f>IF(R6="","",PRIX!T6*'QUANTITE DETENUES'!S6)</f>
        <v>0</v>
      </c>
      <c r="T6" s="14">
        <f>IF(A6="","",ARBITRAGES!M6)</f>
        <v>9900</v>
      </c>
      <c r="U6" s="301">
        <f t="shared" si="1"/>
        <v>38797.4525</v>
      </c>
      <c r="V6" s="302">
        <f t="shared" si="2"/>
        <v>0.744828607</v>
      </c>
      <c r="W6" s="288"/>
      <c r="X6" s="289"/>
      <c r="Y6" s="298"/>
      <c r="Z6" s="289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  <c r="AL6" s="289"/>
      <c r="AM6" s="289"/>
      <c r="AN6" s="289"/>
      <c r="AO6" s="289"/>
      <c r="AP6" s="289"/>
      <c r="AQ6" s="289"/>
      <c r="AR6" s="289"/>
      <c r="AS6" s="289"/>
      <c r="AT6" s="289"/>
      <c r="AU6" s="289"/>
      <c r="AV6" s="289"/>
      <c r="AW6" s="289"/>
      <c r="AX6" s="289"/>
      <c r="AY6" s="289"/>
      <c r="AZ6" s="289"/>
      <c r="BA6" s="289"/>
    </row>
    <row r="7">
      <c r="A7" s="290">
        <f>IF(ARBITRAGES!E7="","",ARBITRAGES!E7)</f>
        <v>45518</v>
      </c>
      <c r="B7" s="299">
        <f>IF(A7="","",PRIX!B7*'QUANTITE DETENUES'!B7)</f>
        <v>13907.07402</v>
      </c>
      <c r="C7" s="299">
        <f>IF(B7="","",PRIX!C7*'QUANTITE DETENUES'!C7)</f>
        <v>8322.190236</v>
      </c>
      <c r="D7" s="299">
        <f>IF(C7="","",PRIX!D7*'QUANTITE DETENUES'!D7)</f>
        <v>0</v>
      </c>
      <c r="E7" s="299">
        <f>IF(D7="","",PRIX!E7*'QUANTITE DETENUES'!E7)</f>
        <v>5787.596513</v>
      </c>
      <c r="F7" s="299">
        <f>IF(E7="","",PRIX!F7*'QUANTITE DETENUES'!F7)</f>
        <v>861.9</v>
      </c>
      <c r="G7" s="299">
        <f>IF(F7="","",PRIX!G7*'QUANTITE DETENUES'!G7)</f>
        <v>0</v>
      </c>
      <c r="H7" s="299">
        <f>IF(G7="","",PRIX!H7*'QUANTITE DETENUES'!H7)</f>
        <v>0</v>
      </c>
      <c r="I7" s="299">
        <f>IF(H7="","",PRIX!I7*'QUANTITE DETENUES'!I7)</f>
        <v>0</v>
      </c>
      <c r="J7" s="299">
        <f>IF(I7="","",PRIX!J7*'QUANTITE DETENUES'!J7)</f>
        <v>634.25065</v>
      </c>
      <c r="K7" s="299">
        <f>IF(J7="","",PRIX!K7*'QUANTITE DETENUES'!K7)</f>
        <v>243.25345</v>
      </c>
      <c r="L7" s="299">
        <f>IF(K7="","",PRIX!L7*'QUANTITE DETENUES'!L7)</f>
        <v>0</v>
      </c>
      <c r="M7" s="299">
        <f>IF(L7="","",PRIX!M7*'QUANTITE DETENUES'!M7)</f>
        <v>0</v>
      </c>
      <c r="N7" s="299">
        <f>IF(M7="","",PRIX!N7*'QUANTITE DETENUES'!N7)</f>
        <v>0</v>
      </c>
      <c r="O7" s="299">
        <f>IF(N7="","",PRIX!O7*'QUANTITE DETENUES'!O7)</f>
        <v>0</v>
      </c>
      <c r="P7" s="299">
        <f>IF(O7="","",PRIX!P7*'QUANTITE DETENUES'!P7)</f>
        <v>0</v>
      </c>
      <c r="Q7" s="299">
        <f>IF(P7="","",PRIX!Q7*'QUANTITE DETENUES'!Q7)</f>
        <v>0</v>
      </c>
      <c r="R7" s="299">
        <f>IF(Q7="","",PRIX!R7*'QUANTITE DETENUES'!R7)</f>
        <v>0</v>
      </c>
      <c r="S7" s="300">
        <f>IF(R7="","",PRIX!T7*'QUANTITE DETENUES'!S7)</f>
        <v>0</v>
      </c>
      <c r="T7" s="14">
        <f>IF(A7="","",ARBITRAGES!M7)</f>
        <v>9060</v>
      </c>
      <c r="U7" s="301">
        <f t="shared" si="1"/>
        <v>38816.26487</v>
      </c>
      <c r="V7" s="302">
        <f t="shared" si="2"/>
        <v>0.7665926892</v>
      </c>
      <c r="W7" s="288"/>
      <c r="X7" s="289"/>
      <c r="Y7" s="303"/>
      <c r="Z7" s="289"/>
      <c r="AA7" s="289"/>
      <c r="AB7" s="289"/>
      <c r="AC7" s="289"/>
      <c r="AD7" s="289"/>
      <c r="AE7" s="289"/>
      <c r="AF7" s="289"/>
      <c r="AG7" s="289"/>
      <c r="AH7" s="289"/>
      <c r="AI7" s="289"/>
      <c r="AJ7" s="289"/>
      <c r="AK7" s="289"/>
      <c r="AL7" s="289"/>
      <c r="AM7" s="289"/>
      <c r="AN7" s="289"/>
      <c r="AO7" s="289"/>
      <c r="AP7" s="289"/>
      <c r="AQ7" s="289"/>
      <c r="AR7" s="289"/>
      <c r="AS7" s="289"/>
      <c r="AT7" s="289"/>
      <c r="AU7" s="289"/>
      <c r="AV7" s="289"/>
      <c r="AW7" s="289"/>
      <c r="AX7" s="289"/>
      <c r="AY7" s="289"/>
      <c r="AZ7" s="289"/>
      <c r="BA7" s="289"/>
    </row>
    <row r="8">
      <c r="A8" s="290">
        <f>IF(ARBITRAGES!E8="","",ARBITRAGES!E8)</f>
        <v>45518</v>
      </c>
      <c r="B8" s="299">
        <f>IF(A8="","",PRIX!B8*'QUANTITE DETENUES'!B8)</f>
        <v>13907.07402</v>
      </c>
      <c r="C8" s="299">
        <f>IF(B8="","",PRIX!C8*'QUANTITE DETENUES'!C8)</f>
        <v>8322.190236</v>
      </c>
      <c r="D8" s="299">
        <f>IF(C8="","",PRIX!D8*'QUANTITE DETENUES'!D8)</f>
        <v>0</v>
      </c>
      <c r="E8" s="299">
        <f>IF(D8="","",PRIX!E8*'QUANTITE DETENUES'!E8)</f>
        <v>5787.596513</v>
      </c>
      <c r="F8" s="299">
        <f>IF(E8="","",PRIX!F8*'QUANTITE DETENUES'!F8)</f>
        <v>861.9</v>
      </c>
      <c r="G8" s="299">
        <f>IF(F8="","",PRIX!G8*'QUANTITE DETENUES'!G8)</f>
        <v>330</v>
      </c>
      <c r="H8" s="299">
        <f>IF(G8="","",PRIX!H8*'QUANTITE DETENUES'!H8)</f>
        <v>0</v>
      </c>
      <c r="I8" s="299">
        <f>IF(H8="","",PRIX!I8*'QUANTITE DETENUES'!I8)</f>
        <v>0</v>
      </c>
      <c r="J8" s="299">
        <f>IF(I8="","",PRIX!J8*'QUANTITE DETENUES'!J8)</f>
        <v>634.25065</v>
      </c>
      <c r="K8" s="299">
        <f>IF(J8="","",PRIX!K8*'QUANTITE DETENUES'!K8)</f>
        <v>243.25345</v>
      </c>
      <c r="L8" s="299">
        <f>IF(K8="","",PRIX!L8*'QUANTITE DETENUES'!L8)</f>
        <v>0</v>
      </c>
      <c r="M8" s="299">
        <f>IF(L8="","",PRIX!M8*'QUANTITE DETENUES'!M8)</f>
        <v>0</v>
      </c>
      <c r="N8" s="299">
        <f>IF(M8="","",PRIX!N8*'QUANTITE DETENUES'!N8)</f>
        <v>0</v>
      </c>
      <c r="O8" s="299">
        <f>IF(N8="","",PRIX!O8*'QUANTITE DETENUES'!O8)</f>
        <v>0</v>
      </c>
      <c r="P8" s="299">
        <f>IF(O8="","",PRIX!P8*'QUANTITE DETENUES'!P8)</f>
        <v>0</v>
      </c>
      <c r="Q8" s="299">
        <f>IF(P8="","",PRIX!Q8*'QUANTITE DETENUES'!Q8)</f>
        <v>0</v>
      </c>
      <c r="R8" s="299">
        <f>IF(Q8="","",PRIX!R8*'QUANTITE DETENUES'!R8)</f>
        <v>0</v>
      </c>
      <c r="S8" s="300">
        <f>IF(R8="","",PRIX!T8*'QUANTITE DETENUES'!S8)</f>
        <v>0</v>
      </c>
      <c r="T8" s="14">
        <f>IF(A8="","",ARBITRAGES!M8)</f>
        <v>8750</v>
      </c>
      <c r="U8" s="301">
        <f t="shared" si="1"/>
        <v>38836.26487</v>
      </c>
      <c r="V8" s="302">
        <f t="shared" si="2"/>
        <v>0.7746951199</v>
      </c>
      <c r="W8" s="288"/>
      <c r="X8" s="289"/>
      <c r="Y8" s="303"/>
      <c r="Z8" s="289"/>
      <c r="AA8" s="289"/>
      <c r="AB8" s="289"/>
      <c r="AC8" s="289"/>
      <c r="AD8" s="289"/>
      <c r="AE8" s="289"/>
      <c r="AF8" s="289"/>
      <c r="AG8" s="289"/>
      <c r="AH8" s="289"/>
      <c r="AI8" s="289"/>
      <c r="AJ8" s="289"/>
      <c r="AK8" s="289"/>
      <c r="AL8" s="289"/>
      <c r="AM8" s="289"/>
      <c r="AN8" s="289"/>
      <c r="AO8" s="289"/>
      <c r="AP8" s="289"/>
      <c r="AQ8" s="289"/>
      <c r="AR8" s="289"/>
      <c r="AS8" s="289"/>
      <c r="AT8" s="289"/>
      <c r="AU8" s="289"/>
      <c r="AV8" s="289"/>
      <c r="AW8" s="289"/>
      <c r="AX8" s="289"/>
      <c r="AY8" s="289"/>
      <c r="AZ8" s="289"/>
      <c r="BA8" s="289"/>
    </row>
    <row r="9">
      <c r="A9" s="290">
        <f>IF(ARBITRAGES!E9="","",ARBITRAGES!E9)</f>
        <v>45519</v>
      </c>
      <c r="B9" s="299">
        <f>IF(A9="","",PRIX!B9*'QUANTITE DETENUES'!B9)</f>
        <v>13223.11956</v>
      </c>
      <c r="C9" s="299">
        <f>IF(B9="","",PRIX!C9*'QUANTITE DETENUES'!C9)</f>
        <v>8116.968762</v>
      </c>
      <c r="D9" s="299">
        <f>IF(C9="","",PRIX!D9*'QUANTITE DETENUES'!D9)</f>
        <v>2758.487654</v>
      </c>
      <c r="E9" s="299">
        <f>IF(D9="","",PRIX!E9*'QUANTITE DETENUES'!E9)</f>
        <v>5897.686664</v>
      </c>
      <c r="F9" s="299">
        <f>IF(E9="","",PRIX!F9*'QUANTITE DETENUES'!F9)</f>
        <v>819</v>
      </c>
      <c r="G9" s="299">
        <f>IF(F9="","",PRIX!G9*'QUANTITE DETENUES'!G9)</f>
        <v>326</v>
      </c>
      <c r="H9" s="299">
        <f>IF(G9="","",PRIX!H9*'QUANTITE DETENUES'!H9)</f>
        <v>0</v>
      </c>
      <c r="I9" s="299">
        <f>IF(H9="","",PRIX!I9*'QUANTITE DETENUES'!I9)</f>
        <v>0</v>
      </c>
      <c r="J9" s="299">
        <f>IF(I9="","",PRIX!J9*'QUANTITE DETENUES'!J9)</f>
        <v>618.106088</v>
      </c>
      <c r="K9" s="299">
        <f>IF(J9="","",PRIX!K9*'QUANTITE DETENUES'!K9)</f>
        <v>240.20325</v>
      </c>
      <c r="L9" s="299">
        <f>IF(K9="","",PRIX!L9*'QUANTITE DETENUES'!L9)</f>
        <v>0</v>
      </c>
      <c r="M9" s="299">
        <f>IF(L9="","",PRIX!M9*'QUANTITE DETENUES'!M9)</f>
        <v>0</v>
      </c>
      <c r="N9" s="299">
        <f>IF(M9="","",PRIX!N9*'QUANTITE DETENUES'!N9)</f>
        <v>0</v>
      </c>
      <c r="O9" s="299">
        <f>IF(N9="","",PRIX!O9*'QUANTITE DETENUES'!O9)</f>
        <v>0</v>
      </c>
      <c r="P9" s="299">
        <f>IF(O9="","",PRIX!P9*'QUANTITE DETENUES'!P9)</f>
        <v>0</v>
      </c>
      <c r="Q9" s="299">
        <f>IF(P9="","",PRIX!Q9*'QUANTITE DETENUES'!Q9)</f>
        <v>0</v>
      </c>
      <c r="R9" s="299">
        <f>IF(Q9="","",PRIX!R9*'QUANTITE DETENUES'!R9)</f>
        <v>0</v>
      </c>
      <c r="S9" s="300">
        <f>IF(R9="","",PRIX!T9*'QUANTITE DETENUES'!S9)</f>
        <v>0</v>
      </c>
      <c r="T9" s="14">
        <f>IF(A9="","",ARBITRAGES!M9)</f>
        <v>6000</v>
      </c>
      <c r="U9" s="301">
        <f t="shared" si="1"/>
        <v>37999.57198</v>
      </c>
      <c r="V9" s="302">
        <f t="shared" si="2"/>
        <v>0.8421034847</v>
      </c>
      <c r="W9" s="288"/>
      <c r="X9" s="289"/>
      <c r="Y9" s="304"/>
      <c r="Z9" s="289"/>
      <c r="AA9" s="289"/>
      <c r="AB9" s="289"/>
      <c r="AC9" s="289"/>
      <c r="AD9" s="289"/>
      <c r="AE9" s="289"/>
      <c r="AF9" s="289"/>
      <c r="AG9" s="289"/>
      <c r="AH9" s="289"/>
      <c r="AI9" s="289"/>
      <c r="AJ9" s="289"/>
      <c r="AK9" s="289"/>
      <c r="AL9" s="289"/>
      <c r="AM9" s="289"/>
      <c r="AN9" s="289"/>
      <c r="AO9" s="289"/>
      <c r="AP9" s="289"/>
      <c r="AQ9" s="289"/>
      <c r="AR9" s="289"/>
      <c r="AS9" s="289"/>
      <c r="AT9" s="289"/>
      <c r="AU9" s="289"/>
      <c r="AV9" s="289"/>
      <c r="AW9" s="289"/>
      <c r="AX9" s="289"/>
      <c r="AY9" s="289"/>
      <c r="AZ9" s="289"/>
      <c r="BA9" s="289"/>
    </row>
    <row r="10">
      <c r="A10" s="290">
        <f>IF(ARBITRAGES!E10="","",ARBITRAGES!E10)</f>
        <v>45522</v>
      </c>
      <c r="B10" s="299">
        <f>IF(A10="","",PRIX!B10*'QUANTITE DETENUES'!B10)</f>
        <v>15269.71377</v>
      </c>
      <c r="C10" s="299">
        <f>IF(B10="","",PRIX!C10*'QUANTITE DETENUES'!C10)</f>
        <v>8193.543939</v>
      </c>
      <c r="D10" s="299">
        <f>IF(C10="","",PRIX!D10*'QUANTITE DETENUES'!D10)</f>
        <v>2826.388889</v>
      </c>
      <c r="E10" s="299">
        <f>IF(D10="","",PRIX!E10*'QUANTITE DETENUES'!E10)</f>
        <v>5756.142184</v>
      </c>
      <c r="F10" s="299">
        <f>IF(E10="","",PRIX!F10*'QUANTITE DETENUES'!F10)</f>
        <v>879</v>
      </c>
      <c r="G10" s="299">
        <f>IF(F10="","",PRIX!G10*'QUANTITE DETENUES'!G10)</f>
        <v>329.4</v>
      </c>
      <c r="H10" s="299">
        <f>IF(G10="","",PRIX!H10*'QUANTITE DETENUES'!H10)</f>
        <v>0</v>
      </c>
      <c r="I10" s="299">
        <f>IF(H10="","",PRIX!I10*'QUANTITE DETENUES'!I10)</f>
        <v>0</v>
      </c>
      <c r="J10" s="299">
        <f>IF(I10="","",PRIX!J10*'QUANTITE DETENUES'!J10)</f>
        <v>615.799722</v>
      </c>
      <c r="K10" s="299">
        <f>IF(J10="","",PRIX!K10*'QUANTITE DETENUES'!K10)</f>
        <v>251.6415</v>
      </c>
      <c r="L10" s="299">
        <f>IF(K10="","",PRIX!L10*'QUANTITE DETENUES'!L10)</f>
        <v>0</v>
      </c>
      <c r="M10" s="299">
        <f>IF(L10="","",PRIX!M10*'QUANTITE DETENUES'!M10)</f>
        <v>0</v>
      </c>
      <c r="N10" s="299">
        <f>IF(M10="","",PRIX!N10*'QUANTITE DETENUES'!N10)</f>
        <v>0</v>
      </c>
      <c r="O10" s="299">
        <f>IF(N10="","",PRIX!O10*'QUANTITE DETENUES'!O10)</f>
        <v>0</v>
      </c>
      <c r="P10" s="299">
        <f>IF(O10="","",PRIX!P10*'QUANTITE DETENUES'!P10)</f>
        <v>0</v>
      </c>
      <c r="Q10" s="299">
        <f>IF(P10="","",PRIX!Q10*'QUANTITE DETENUES'!Q10)</f>
        <v>0</v>
      </c>
      <c r="R10" s="299">
        <f>IF(Q10="","",PRIX!R10*'QUANTITE DETENUES'!R10)</f>
        <v>0</v>
      </c>
      <c r="S10" s="300">
        <f>IF(R10="","",PRIX!T10*'QUANTITE DETENUES'!S10)</f>
        <v>0</v>
      </c>
      <c r="T10" s="14">
        <f>IF(A10="","",ARBITRAGES!M10)</f>
        <v>4500</v>
      </c>
      <c r="U10" s="301">
        <f t="shared" si="1"/>
        <v>38621.63</v>
      </c>
      <c r="V10" s="302">
        <f t="shared" si="2"/>
        <v>0.8834849798</v>
      </c>
      <c r="W10" s="288"/>
      <c r="X10" s="289"/>
      <c r="Y10" s="305"/>
      <c r="Z10" s="289"/>
      <c r="AA10" s="289"/>
      <c r="AB10" s="289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</row>
    <row r="11">
      <c r="A11" s="290">
        <f>IF(ARBITRAGES!E11="","",ARBITRAGES!E11)</f>
        <v>45527</v>
      </c>
      <c r="B11" s="299">
        <f>IF(A11="","",PRIX!B11*'QUANTITE DETENUES'!B11)</f>
        <v>16108.15063</v>
      </c>
      <c r="C11" s="299">
        <f>IF(B11="","",PRIX!C11*'QUANTITE DETENUES'!C11)</f>
        <v>8392.639399</v>
      </c>
      <c r="D11" s="299">
        <f>IF(C11="","",PRIX!D11*'QUANTITE DETENUES'!D11)</f>
        <v>2839.12037</v>
      </c>
      <c r="E11" s="299">
        <f>IF(D11="","",PRIX!E11*'QUANTITE DETENUES'!E11)</f>
        <v>5851.684708</v>
      </c>
      <c r="F11" s="299">
        <f>IF(E11="","",PRIX!F11*'QUANTITE DETENUES'!F11)</f>
        <v>696</v>
      </c>
      <c r="G11" s="299">
        <f>IF(F11="","",PRIX!G11*'QUANTITE DETENUES'!G11)</f>
        <v>355.4</v>
      </c>
      <c r="H11" s="299">
        <f>IF(G11="","",PRIX!H11*'QUANTITE DETENUES'!H11)</f>
        <v>0</v>
      </c>
      <c r="I11" s="299">
        <f>IF(H11="","",PRIX!I11*'QUANTITE DETENUES'!I11)</f>
        <v>0</v>
      </c>
      <c r="J11" s="299">
        <f>IF(I11="","",PRIX!J11*'QUANTITE DETENUES'!J11)</f>
        <v>678.071604</v>
      </c>
      <c r="K11" s="299">
        <f>IF(J11="","",PRIX!K11*'QUANTITE DETENUES'!K11)</f>
        <v>305.02</v>
      </c>
      <c r="L11" s="299">
        <f>IF(K11="","",PRIX!L11*'QUANTITE DETENUES'!L11)</f>
        <v>0</v>
      </c>
      <c r="M11" s="299">
        <f>IF(L11="","",PRIX!M11*'QUANTITE DETENUES'!M11)</f>
        <v>0</v>
      </c>
      <c r="N11" s="299">
        <f>IF(M11="","",PRIX!N11*'QUANTITE DETENUES'!N11)</f>
        <v>0</v>
      </c>
      <c r="O11" s="299">
        <f>IF(N11="","",PRIX!O11*'QUANTITE DETENUES'!O11)</f>
        <v>0</v>
      </c>
      <c r="P11" s="299">
        <f>IF(O11="","",PRIX!P11*'QUANTITE DETENUES'!P11)</f>
        <v>0</v>
      </c>
      <c r="Q11" s="299">
        <f>IF(P11="","",PRIX!Q11*'QUANTITE DETENUES'!Q11)</f>
        <v>0</v>
      </c>
      <c r="R11" s="299">
        <f>IF(Q11="","",PRIX!R11*'QUANTITE DETENUES'!R11)</f>
        <v>0</v>
      </c>
      <c r="S11" s="300">
        <f>IF(R11="","",PRIX!T11*'QUANTITE DETENUES'!S11)</f>
        <v>0</v>
      </c>
      <c r="T11" s="14">
        <f>IF(A11="","",ARBITRAGES!M11)</f>
        <v>4845</v>
      </c>
      <c r="U11" s="301">
        <f t="shared" si="1"/>
        <v>40071.08671</v>
      </c>
      <c r="V11" s="302">
        <f t="shared" si="2"/>
        <v>0.8790898776</v>
      </c>
      <c r="W11" s="288"/>
      <c r="X11" s="289"/>
      <c r="Y11" s="304"/>
      <c r="Z11" s="289"/>
      <c r="AA11" s="289"/>
      <c r="AB11" s="289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</row>
    <row r="12">
      <c r="A12" s="290">
        <f>IF(ARBITRAGES!E12="","",ARBITRAGES!E12)</f>
        <v>45527</v>
      </c>
      <c r="B12" s="299">
        <f>IF(A12="","",PRIX!B12*'QUANTITE DETENUES'!B12)</f>
        <v>16108.15063</v>
      </c>
      <c r="C12" s="299">
        <f>IF(B12="","",PRIX!C12*'QUANTITE DETENUES'!C12)</f>
        <v>8392.639399</v>
      </c>
      <c r="D12" s="299">
        <f>IF(C12="","",PRIX!D12*'QUANTITE DETENUES'!D12)</f>
        <v>2839.12037</v>
      </c>
      <c r="E12" s="299">
        <f>IF(D12="","",PRIX!E12*'QUANTITE DETENUES'!E12)</f>
        <v>4411.394385</v>
      </c>
      <c r="F12" s="299">
        <f>IF(E12="","",PRIX!F12*'QUANTITE DETENUES'!F12)</f>
        <v>696</v>
      </c>
      <c r="G12" s="299">
        <f>IF(F12="","",PRIX!G12*'QUANTITE DETENUES'!G12)</f>
        <v>355.4</v>
      </c>
      <c r="H12" s="299">
        <f>IF(G12="","",PRIX!H12*'QUANTITE DETENUES'!H12)</f>
        <v>0</v>
      </c>
      <c r="I12" s="299">
        <f>IF(H12="","",PRIX!I12*'QUANTITE DETENUES'!I12)</f>
        <v>0</v>
      </c>
      <c r="J12" s="299">
        <f>IF(I12="","",PRIX!J12*'QUANTITE DETENUES'!J12)</f>
        <v>678.071604</v>
      </c>
      <c r="K12" s="299">
        <f>IF(J12="","",PRIX!K12*'QUANTITE DETENUES'!K12)</f>
        <v>305.02</v>
      </c>
      <c r="L12" s="299">
        <f>IF(K12="","",PRIX!L12*'QUANTITE DETENUES'!L12)</f>
        <v>0</v>
      </c>
      <c r="M12" s="299">
        <f>IF(L12="","",PRIX!M12*'QUANTITE DETENUES'!M12)</f>
        <v>0</v>
      </c>
      <c r="N12" s="299">
        <f>IF(M12="","",PRIX!N12*'QUANTITE DETENUES'!N12)</f>
        <v>0</v>
      </c>
      <c r="O12" s="299">
        <f>IF(N12="","",PRIX!O12*'QUANTITE DETENUES'!O12)</f>
        <v>0</v>
      </c>
      <c r="P12" s="299">
        <f>IF(O12="","",PRIX!P12*'QUANTITE DETENUES'!P12)</f>
        <v>0</v>
      </c>
      <c r="Q12" s="299">
        <f>IF(P12="","",PRIX!Q12*'QUANTITE DETENUES'!Q12)</f>
        <v>0</v>
      </c>
      <c r="R12" s="299">
        <f>IF(Q12="","",PRIX!R12*'QUANTITE DETENUES'!R12)</f>
        <v>0</v>
      </c>
      <c r="S12" s="300">
        <f>IF(R12="","",PRIX!T12*'QUANTITE DETENUES'!S12)</f>
        <v>0</v>
      </c>
      <c r="T12" s="14">
        <f>IF(A12="","",ARBITRAGES!M12)</f>
        <v>6345</v>
      </c>
      <c r="U12" s="301">
        <f t="shared" si="1"/>
        <v>40130.79639</v>
      </c>
      <c r="V12" s="302">
        <f t="shared" si="2"/>
        <v>0.8418919989</v>
      </c>
      <c r="W12" s="288"/>
      <c r="X12" s="289"/>
      <c r="Y12" s="304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</row>
    <row r="13">
      <c r="A13" s="290">
        <f>IF(ARBITRAGES!E13="","",ARBITRAGES!E13)</f>
        <v>45528</v>
      </c>
      <c r="B13" s="299">
        <f>IF(A13="","",PRIX!B13*'QUANTITE DETENUES'!B13)</f>
        <v>16362.22241</v>
      </c>
      <c r="C13" s="299">
        <f>IF(B13="","",PRIX!C13*'QUANTITE DETENUES'!C13)</f>
        <v>8576.419824</v>
      </c>
      <c r="D13" s="299">
        <f>IF(C13="","",PRIX!D13*'QUANTITE DETENUES'!D13)</f>
        <v>2871.373457</v>
      </c>
      <c r="E13" s="299">
        <f>IF(D13="","",PRIX!E13*'QUANTITE DETENUES'!E13)</f>
        <v>2844.378647</v>
      </c>
      <c r="F13" s="299">
        <f>IF(E13="","",PRIX!F13*'QUANTITE DETENUES'!F13)</f>
        <v>686</v>
      </c>
      <c r="G13" s="299">
        <f>IF(F13="","",PRIX!G13*'QUANTITE DETENUES'!G13)</f>
        <v>360</v>
      </c>
      <c r="H13" s="299">
        <f>IF(G13="","",PRIX!H13*'QUANTITE DETENUES'!H13)</f>
        <v>0</v>
      </c>
      <c r="I13" s="299">
        <f>IF(H13="","",PRIX!I13*'QUANTITE DETENUES'!I13)</f>
        <v>0</v>
      </c>
      <c r="J13" s="299">
        <f>IF(I13="","",PRIX!J13*'QUANTITE DETENUES'!J13)</f>
        <v>710.360728</v>
      </c>
      <c r="K13" s="299">
        <f>IF(J13="","",PRIX!K13*'QUANTITE DETENUES'!K13)</f>
        <v>305.02</v>
      </c>
      <c r="L13" s="299">
        <f>IF(K13="","",PRIX!L13*'QUANTITE DETENUES'!L13)</f>
        <v>0</v>
      </c>
      <c r="M13" s="299">
        <f>IF(L13="","",PRIX!M13*'QUANTITE DETENUES'!M13)</f>
        <v>0</v>
      </c>
      <c r="N13" s="299">
        <f>IF(M13="","",PRIX!N13*'QUANTITE DETENUES'!N13)</f>
        <v>0</v>
      </c>
      <c r="O13" s="299">
        <f>IF(N13="","",PRIX!O13*'QUANTITE DETENUES'!O13)</f>
        <v>0</v>
      </c>
      <c r="P13" s="299">
        <f>IF(O13="","",PRIX!P13*'QUANTITE DETENUES'!P13)</f>
        <v>0</v>
      </c>
      <c r="Q13" s="299">
        <f>IF(P13="","",PRIX!Q13*'QUANTITE DETENUES'!Q13)</f>
        <v>0</v>
      </c>
      <c r="R13" s="299">
        <f>IF(Q13="","",PRIX!R13*'QUANTITE DETENUES'!R13)</f>
        <v>0</v>
      </c>
      <c r="S13" s="300">
        <f>IF(R13="","",PRIX!T13*'QUANTITE DETENUES'!S13)</f>
        <v>0</v>
      </c>
      <c r="T13" s="14">
        <f>IF(A13="","",ARBITRAGES!M13)</f>
        <v>8178</v>
      </c>
      <c r="U13" s="301">
        <f t="shared" si="1"/>
        <v>40893.77506</v>
      </c>
      <c r="V13" s="302">
        <f t="shared" si="2"/>
        <v>0.8000184628</v>
      </c>
      <c r="W13" s="288"/>
      <c r="X13" s="289"/>
      <c r="Y13" s="304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</row>
    <row r="14">
      <c r="A14" s="290">
        <f>IF(ARBITRAGES!E14="","",ARBITRAGES!E14)</f>
        <v>45529</v>
      </c>
      <c r="B14" s="299">
        <f>IF(A14="","",PRIX!B14*'QUANTITE DETENUES'!B14)</f>
        <v>16260.5937</v>
      </c>
      <c r="C14" s="299">
        <f>IF(B14="","",PRIX!C14*'QUANTITE DETENUES'!C14)</f>
        <v>8469.214576</v>
      </c>
      <c r="D14" s="299">
        <f>IF(C14="","",PRIX!D14*'QUANTITE DETENUES'!D14)</f>
        <v>2856.130119</v>
      </c>
      <c r="E14" s="299">
        <f>IF(D14="","",PRIX!E14*'QUANTITE DETENUES'!E14)</f>
        <v>2844.378647</v>
      </c>
      <c r="F14" s="299">
        <f>IF(E14="","",PRIX!F14*'QUANTITE DETENUES'!F14)</f>
        <v>654</v>
      </c>
      <c r="G14" s="299">
        <f>IF(F14="","",PRIX!G14*'QUANTITE DETENUES'!G14)</f>
        <v>352</v>
      </c>
      <c r="H14" s="299">
        <f>IF(G14="","",PRIX!H14*'QUANTITE DETENUES'!H14)</f>
        <v>0</v>
      </c>
      <c r="I14" s="299">
        <f>IF(H14="","",PRIX!I14*'QUANTITE DETENUES'!I14)</f>
        <v>0</v>
      </c>
      <c r="J14" s="299">
        <f>IF(I14="","",PRIX!J14*'QUANTITE DETENUES'!J14)</f>
        <v>705.747996</v>
      </c>
      <c r="K14" s="299">
        <f>IF(J14="","",PRIX!K14*'QUANTITE DETENUES'!K14)</f>
        <v>297.3945</v>
      </c>
      <c r="L14" s="299">
        <f>IF(K14="","",PRIX!L14*'QUANTITE DETENUES'!L14)</f>
        <v>0</v>
      </c>
      <c r="M14" s="299">
        <f>IF(L14="","",PRIX!M14*'QUANTITE DETENUES'!M14)</f>
        <v>0</v>
      </c>
      <c r="N14" s="299">
        <f>IF(M14="","",PRIX!N14*'QUANTITE DETENUES'!N14)</f>
        <v>0</v>
      </c>
      <c r="O14" s="299">
        <f>IF(N14="","",PRIX!O14*'QUANTITE DETENUES'!O14)</f>
        <v>0</v>
      </c>
      <c r="P14" s="299">
        <f>IF(O14="","",PRIX!P14*'QUANTITE DETENUES'!P14)</f>
        <v>0</v>
      </c>
      <c r="Q14" s="299">
        <f>IF(P14="","",PRIX!Q14*'QUANTITE DETENUES'!Q14)</f>
        <v>0</v>
      </c>
      <c r="R14" s="299">
        <f>IF(Q14="","",PRIX!R14*'QUANTITE DETENUES'!R14)</f>
        <v>0</v>
      </c>
      <c r="S14" s="300">
        <f>IF(R14="","",PRIX!T14*'QUANTITE DETENUES'!S14)</f>
        <v>0</v>
      </c>
      <c r="T14" s="14">
        <f>IF(A14="","",ARBITRAGES!M14)</f>
        <v>7678</v>
      </c>
      <c r="U14" s="301">
        <f t="shared" si="1"/>
        <v>40117.45953</v>
      </c>
      <c r="V14" s="302">
        <f t="shared" si="2"/>
        <v>0.8086120086</v>
      </c>
      <c r="W14" s="288"/>
      <c r="X14" s="289"/>
      <c r="Y14" s="306"/>
      <c r="Z14" s="289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</row>
    <row r="15">
      <c r="A15" s="290">
        <f>IF(ARBITRAGES!E15="","",ARBITRAGES!E15)</f>
        <v>45530</v>
      </c>
      <c r="B15" s="299">
        <f>IF(A15="","",PRIX!B15*'QUANTITE DETENUES'!B15)</f>
        <v>17948.90747</v>
      </c>
      <c r="C15" s="299">
        <f>IF(B15="","",PRIX!C15*'QUANTITE DETENUES'!C15)</f>
        <v>7963.818408</v>
      </c>
      <c r="D15" s="299">
        <f>IF(C15="","",PRIX!D15*'QUANTITE DETENUES'!D15)</f>
        <v>2759.912969</v>
      </c>
      <c r="E15" s="299">
        <f>IF(D15="","",PRIX!E15*'QUANTITE DETENUES'!E15)</f>
        <v>2772.369061</v>
      </c>
      <c r="F15" s="299">
        <f>IF(E15="","",PRIX!F15*'QUANTITE DETENUES'!F15)</f>
        <v>674</v>
      </c>
      <c r="G15" s="299">
        <f>IF(F15="","",PRIX!G15*'QUANTITE DETENUES'!G15)</f>
        <v>331.2</v>
      </c>
      <c r="H15" s="299">
        <f>IF(G15="","",PRIX!H15*'QUANTITE DETENUES'!H15)</f>
        <v>0</v>
      </c>
      <c r="I15" s="299">
        <f>IF(H15="","",PRIX!I15*'QUANTITE DETENUES'!I15)</f>
        <v>0</v>
      </c>
      <c r="J15" s="299">
        <f>IF(I15="","",PRIX!J15*'QUANTITE DETENUES'!J15)</f>
        <v>678.071604</v>
      </c>
      <c r="K15" s="299">
        <f>IF(J15="","",PRIX!K15*'QUANTITE DETENUES'!K15)</f>
        <v>294.3443</v>
      </c>
      <c r="L15" s="299">
        <f>IF(K15="","",PRIX!L15*'QUANTITE DETENUES'!L15)</f>
        <v>0</v>
      </c>
      <c r="M15" s="299">
        <f>IF(L15="","",PRIX!M15*'QUANTITE DETENUES'!M15)</f>
        <v>0</v>
      </c>
      <c r="N15" s="299">
        <f>IF(M15="","",PRIX!N15*'QUANTITE DETENUES'!N15)</f>
        <v>0</v>
      </c>
      <c r="O15" s="299">
        <f>IF(N15="","",PRIX!O15*'QUANTITE DETENUES'!O15)</f>
        <v>0</v>
      </c>
      <c r="P15" s="299">
        <f>IF(O15="","",PRIX!P15*'QUANTITE DETENUES'!P15)</f>
        <v>0</v>
      </c>
      <c r="Q15" s="299">
        <f>IF(P15="","",PRIX!Q15*'QUANTITE DETENUES'!Q15)</f>
        <v>0</v>
      </c>
      <c r="R15" s="299">
        <f>IF(Q15="","",PRIX!R15*'QUANTITE DETENUES'!R15)</f>
        <v>0</v>
      </c>
      <c r="S15" s="300">
        <f>IF(R15="","",PRIX!T15*'QUANTITE DETENUES'!S15)</f>
        <v>0</v>
      </c>
      <c r="T15" s="14">
        <f>IF(A15="","",ARBITRAGES!M15)</f>
        <v>5478</v>
      </c>
      <c r="U15" s="301">
        <f t="shared" si="1"/>
        <v>38900.62381</v>
      </c>
      <c r="V15" s="302">
        <f t="shared" si="2"/>
        <v>0.8591796361</v>
      </c>
      <c r="W15" s="288"/>
      <c r="X15" s="289"/>
      <c r="Y15" s="304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</row>
    <row r="16">
      <c r="A16" s="290">
        <f>IF(ARBITRAGES!E16="","",ARBITRAGES!E16)</f>
        <v>45531</v>
      </c>
      <c r="B16" s="299">
        <f>IF(A16="","",PRIX!B16*'QUANTITE DETENUES'!B16)</f>
        <v>17948.90747</v>
      </c>
      <c r="C16" s="299">
        <f>IF(B16="","",PRIX!C16*'QUANTITE DETENUES'!C16)</f>
        <v>7963.818408</v>
      </c>
      <c r="D16" s="299">
        <f>IF(C16="","",PRIX!D16*'QUANTITE DETENUES'!D16)</f>
        <v>2759.912969</v>
      </c>
      <c r="E16" s="299">
        <f>IF(D16="","",PRIX!E16*'QUANTITE DETENUES'!E16)</f>
        <v>2772.369061</v>
      </c>
      <c r="F16" s="299">
        <f>IF(E16="","",PRIX!F16*'QUANTITE DETENUES'!F16)</f>
        <v>674</v>
      </c>
      <c r="G16" s="299">
        <f>IF(F16="","",PRIX!G16*'QUANTITE DETENUES'!G16)</f>
        <v>1159.2</v>
      </c>
      <c r="H16" s="299">
        <f>IF(G16="","",PRIX!H16*'QUANTITE DETENUES'!H16)</f>
        <v>0</v>
      </c>
      <c r="I16" s="299">
        <f>IF(H16="","",PRIX!I16*'QUANTITE DETENUES'!I16)</f>
        <v>0</v>
      </c>
      <c r="J16" s="299">
        <f>IF(I16="","",PRIX!J16*'QUANTITE DETENUES'!J16)</f>
        <v>645.78248</v>
      </c>
      <c r="K16" s="299">
        <f>IF(J16="","",PRIX!K16*'QUANTITE DETENUES'!K16)</f>
        <v>274.518</v>
      </c>
      <c r="L16" s="299">
        <f>IF(K16="","",PRIX!L16*'QUANTITE DETENUES'!L16)</f>
        <v>0</v>
      </c>
      <c r="M16" s="299">
        <f>IF(L16="","",PRIX!M16*'QUANTITE DETENUES'!M16)</f>
        <v>0</v>
      </c>
      <c r="N16" s="299">
        <f>IF(M16="","",PRIX!N16*'QUANTITE DETENUES'!N16)</f>
        <v>0</v>
      </c>
      <c r="O16" s="299">
        <f>IF(N16="","",PRIX!O16*'QUANTITE DETENUES'!O16)</f>
        <v>0</v>
      </c>
      <c r="P16" s="299">
        <f>IF(O16="","",PRIX!P16*'QUANTITE DETENUES'!P16)</f>
        <v>0</v>
      </c>
      <c r="Q16" s="299">
        <f>IF(P16="","",PRIX!Q16*'QUANTITE DETENUES'!Q16)</f>
        <v>0</v>
      </c>
      <c r="R16" s="299">
        <f>IF(Q16="","",PRIX!R16*'QUANTITE DETENUES'!R16)</f>
        <v>0</v>
      </c>
      <c r="S16" s="300">
        <f>IF(R16="","",PRIX!T16*'QUANTITE DETENUES'!S16)</f>
        <v>0</v>
      </c>
      <c r="T16" s="14">
        <f>IF(A16="","",ARBITRAGES!M16)</f>
        <v>4653</v>
      </c>
      <c r="U16" s="301">
        <f t="shared" si="1"/>
        <v>38851.50839</v>
      </c>
      <c r="V16" s="302">
        <f t="shared" si="2"/>
        <v>0.8802363102</v>
      </c>
      <c r="W16" s="288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</row>
    <row r="17">
      <c r="A17" s="290">
        <f>IF(ARBITRAGES!E17="","",ARBITRAGES!E17)</f>
        <v>45531</v>
      </c>
      <c r="B17" s="299">
        <f>IF(A17="","",PRIX!B17*'QUANTITE DETENUES'!B17)</f>
        <v>17948.90747</v>
      </c>
      <c r="C17" s="299">
        <f>IF(B17="","",PRIX!C17*'QUANTITE DETENUES'!C17)</f>
        <v>7963.818408</v>
      </c>
      <c r="D17" s="299">
        <f>IF(C17="","",PRIX!D17*'QUANTITE DETENUES'!D17)</f>
        <v>2759.912969</v>
      </c>
      <c r="E17" s="299">
        <f>IF(D17="","",PRIX!E17*'QUANTITE DETENUES'!E17)</f>
        <v>2772.369061</v>
      </c>
      <c r="F17" s="299">
        <f>IF(E17="","",PRIX!F17*'QUANTITE DETENUES'!F17)</f>
        <v>1853.5</v>
      </c>
      <c r="G17" s="299">
        <f>IF(F17="","",PRIX!G17*'QUANTITE DETENUES'!G17)</f>
        <v>1159.2</v>
      </c>
      <c r="H17" s="299">
        <f>IF(G17="","",PRIX!H17*'QUANTITE DETENUES'!H17)</f>
        <v>0</v>
      </c>
      <c r="I17" s="299">
        <f>IF(H17="","",PRIX!I17*'QUANTITE DETENUES'!I17)</f>
        <v>0</v>
      </c>
      <c r="J17" s="299">
        <f>IF(I17="","",PRIX!J17*'QUANTITE DETENUES'!J17)</f>
        <v>645.78248</v>
      </c>
      <c r="K17" s="299">
        <f>IF(J17="","",PRIX!K17*'QUANTITE DETENUES'!K17)</f>
        <v>274.518</v>
      </c>
      <c r="L17" s="299">
        <f>IF(K17="","",PRIX!L17*'QUANTITE DETENUES'!L17)</f>
        <v>0</v>
      </c>
      <c r="M17" s="299">
        <f>IF(L17="","",PRIX!M17*'QUANTITE DETENUES'!M17)</f>
        <v>0</v>
      </c>
      <c r="N17" s="299">
        <f>IF(M17="","",PRIX!N17*'QUANTITE DETENUES'!N17)</f>
        <v>0</v>
      </c>
      <c r="O17" s="299">
        <f>IF(N17="","",PRIX!O17*'QUANTITE DETENUES'!O17)</f>
        <v>0</v>
      </c>
      <c r="P17" s="299">
        <f>IF(O17="","",PRIX!P17*'QUANTITE DETENUES'!P17)</f>
        <v>0</v>
      </c>
      <c r="Q17" s="299">
        <f>IF(P17="","",PRIX!Q17*'QUANTITE DETENUES'!Q17)</f>
        <v>0</v>
      </c>
      <c r="R17" s="299">
        <f>IF(Q17="","",PRIX!R17*'QUANTITE DETENUES'!R17)</f>
        <v>0</v>
      </c>
      <c r="S17" s="300">
        <f>IF(R17="","",PRIX!T17*'QUANTITE DETENUES'!S17)</f>
        <v>0</v>
      </c>
      <c r="T17" s="14">
        <f>IF(A17="","",ARBITRAGES!M17)</f>
        <v>3498</v>
      </c>
      <c r="U17" s="301">
        <f t="shared" si="1"/>
        <v>38876.00839</v>
      </c>
      <c r="V17" s="302">
        <f t="shared" si="2"/>
        <v>0.9100216266</v>
      </c>
      <c r="W17" s="288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  <c r="AY17" s="289"/>
      <c r="AZ17" s="289"/>
      <c r="BA17" s="289"/>
    </row>
    <row r="18">
      <c r="A18" s="290">
        <f>IF(ARBITRAGES!E18="","",ARBITRAGES!E18)</f>
        <v>45531</v>
      </c>
      <c r="B18" s="299">
        <f>IF(A18="","",PRIX!B18*'QUANTITE DETENUES'!B18)</f>
        <v>17948.90747</v>
      </c>
      <c r="C18" s="299">
        <f>IF(B18="","",PRIX!C18*'QUANTITE DETENUES'!C18)</f>
        <v>7963.818408</v>
      </c>
      <c r="D18" s="299">
        <f>IF(C18="","",PRIX!D18*'QUANTITE DETENUES'!D18)</f>
        <v>2759.912969</v>
      </c>
      <c r="E18" s="299">
        <f>IF(D18="","",PRIX!E18*'QUANTITE DETENUES'!E18)</f>
        <v>2772.369061</v>
      </c>
      <c r="F18" s="299">
        <f>IF(E18="","",PRIX!F18*'QUANTITE DETENUES'!F18)</f>
        <v>1853.5</v>
      </c>
      <c r="G18" s="299">
        <f>IF(F18="","",PRIX!G18*'QUANTITE DETENUES'!G18)</f>
        <v>1159.2</v>
      </c>
      <c r="H18" s="299">
        <f>IF(G18="","",PRIX!H18*'QUANTITE DETENUES'!H18)</f>
        <v>0</v>
      </c>
      <c r="I18" s="299">
        <f>IF(H18="","",PRIX!I18*'QUANTITE DETENUES'!I18)</f>
        <v>286</v>
      </c>
      <c r="J18" s="299">
        <f>IF(I18="","",PRIX!J18*'QUANTITE DETENUES'!J18)</f>
        <v>645.78248</v>
      </c>
      <c r="K18" s="299">
        <f>IF(J18="","",PRIX!K18*'QUANTITE DETENUES'!K18)</f>
        <v>274.518</v>
      </c>
      <c r="L18" s="299">
        <f>IF(K18="","",PRIX!L18*'QUANTITE DETENUES'!L18)</f>
        <v>0</v>
      </c>
      <c r="M18" s="299">
        <f>IF(L18="","",PRIX!M18*'QUANTITE DETENUES'!M18)</f>
        <v>0</v>
      </c>
      <c r="N18" s="299">
        <f>IF(M18="","",PRIX!N18*'QUANTITE DETENUES'!N18)</f>
        <v>0</v>
      </c>
      <c r="O18" s="299">
        <f>IF(N18="","",PRIX!O18*'QUANTITE DETENUES'!O18)</f>
        <v>0</v>
      </c>
      <c r="P18" s="299">
        <f>IF(O18="","",PRIX!P18*'QUANTITE DETENUES'!P18)</f>
        <v>0</v>
      </c>
      <c r="Q18" s="299">
        <f>IF(P18="","",PRIX!Q18*'QUANTITE DETENUES'!Q18)</f>
        <v>0</v>
      </c>
      <c r="R18" s="299">
        <f>IF(Q18="","",PRIX!R18*'QUANTITE DETENUES'!R18)</f>
        <v>0</v>
      </c>
      <c r="S18" s="300">
        <f>IF(R18="","",PRIX!T18*'QUANTITE DETENUES'!S18)</f>
        <v>0</v>
      </c>
      <c r="T18" s="14">
        <f>IF(A18="","",ARBITRAGES!M18)</f>
        <v>3217.5</v>
      </c>
      <c r="U18" s="301">
        <f t="shared" si="1"/>
        <v>38881.50839</v>
      </c>
      <c r="V18" s="302">
        <f t="shared" si="2"/>
        <v>0.9172485808</v>
      </c>
      <c r="W18" s="288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  <c r="AY18" s="289"/>
      <c r="AZ18" s="289"/>
      <c r="BA18" s="289"/>
    </row>
    <row r="19">
      <c r="A19" s="290">
        <f>IF(ARBITRAGES!E19="","",ARBITRAGES!E19)</f>
        <v>45531</v>
      </c>
      <c r="B19" s="299">
        <f>IF(A19="","",PRIX!B19*'QUANTITE DETENUES'!B19)</f>
        <v>17948.90747</v>
      </c>
      <c r="C19" s="299">
        <f>IF(B19="","",PRIX!C19*'QUANTITE DETENUES'!C19)</f>
        <v>7963.818408</v>
      </c>
      <c r="D19" s="299">
        <f>IF(C19="","",PRIX!D19*'QUANTITE DETENUES'!D19)</f>
        <v>2759.912969</v>
      </c>
      <c r="E19" s="299">
        <f>IF(D19="","",PRIX!E19*'QUANTITE DETENUES'!E19)</f>
        <v>2772.369061</v>
      </c>
      <c r="F19" s="299">
        <f>IF(E19="","",PRIX!F19*'QUANTITE DETENUES'!F19)</f>
        <v>1853.5</v>
      </c>
      <c r="G19" s="299">
        <f>IF(F19="","",PRIX!G19*'QUANTITE DETENUES'!G19)</f>
        <v>1159.2</v>
      </c>
      <c r="H19" s="299">
        <f>IF(G19="","",PRIX!H19*'QUANTITE DETENUES'!H19)</f>
        <v>1156</v>
      </c>
      <c r="I19" s="299">
        <f>IF(H19="","",PRIX!I19*'QUANTITE DETENUES'!I19)</f>
        <v>286</v>
      </c>
      <c r="J19" s="299">
        <f>IF(I19="","",PRIX!J19*'QUANTITE DETENUES'!J19)</f>
        <v>645.78248</v>
      </c>
      <c r="K19" s="299">
        <f>IF(J19="","",PRIX!K19*'QUANTITE DETENUES'!K19)</f>
        <v>274.518</v>
      </c>
      <c r="L19" s="299">
        <f>IF(K19="","",PRIX!L19*'QUANTITE DETENUES'!L19)</f>
        <v>0</v>
      </c>
      <c r="M19" s="299">
        <f>IF(L19="","",PRIX!M19*'QUANTITE DETENUES'!M19)</f>
        <v>0</v>
      </c>
      <c r="N19" s="299">
        <f>IF(M19="","",PRIX!N19*'QUANTITE DETENUES'!N19)</f>
        <v>0</v>
      </c>
      <c r="O19" s="299">
        <f>IF(N19="","",PRIX!O19*'QUANTITE DETENUES'!O19)</f>
        <v>0</v>
      </c>
      <c r="P19" s="299">
        <f>IF(O19="","",PRIX!P19*'QUANTITE DETENUES'!P19)</f>
        <v>0</v>
      </c>
      <c r="Q19" s="299">
        <f>IF(P19="","",PRIX!Q19*'QUANTITE DETENUES'!Q19)</f>
        <v>0</v>
      </c>
      <c r="R19" s="299">
        <f>IF(Q19="","",PRIX!R19*'QUANTITE DETENUES'!R19)</f>
        <v>0</v>
      </c>
      <c r="S19" s="300">
        <f>IF(R19="","",PRIX!T19*'QUANTITE DETENUES'!S19)</f>
        <v>0</v>
      </c>
      <c r="T19" s="14">
        <f>IF(A19="","",ARBITRAGES!M19)</f>
        <v>2117.5</v>
      </c>
      <c r="U19" s="301">
        <f t="shared" si="1"/>
        <v>38937.50839</v>
      </c>
      <c r="V19" s="302">
        <f t="shared" si="2"/>
        <v>0.9456179892</v>
      </c>
      <c r="W19" s="288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  <c r="AY19" s="289"/>
      <c r="AZ19" s="289"/>
      <c r="BA19" s="289"/>
    </row>
    <row r="20">
      <c r="A20" s="290">
        <f>IF(ARBITRAGES!E20="","",ARBITRAGES!E20)</f>
        <v>45532</v>
      </c>
      <c r="B20" s="299">
        <f>IF(A20="","",PRIX!B20*'QUANTITE DETENUES'!B20)</f>
        <v>18540.63739</v>
      </c>
      <c r="C20" s="299">
        <f>IF(B20="","",PRIX!C20*'QUANTITE DETENUES'!C20)</f>
        <v>7626.887629</v>
      </c>
      <c r="D20" s="299">
        <f>IF(C20="","",PRIX!D20*'QUANTITE DETENUES'!D20)</f>
        <v>2795.361393</v>
      </c>
      <c r="E20" s="299">
        <f>IF(D20="","",PRIX!E20*'QUANTITE DETENUES'!E20)</f>
        <v>2628.349889</v>
      </c>
      <c r="F20" s="299">
        <f>IF(E20="","",PRIX!F20*'QUANTITE DETENUES'!F20)</f>
        <v>1732.5</v>
      </c>
      <c r="G20" s="299">
        <f>IF(F20="","",PRIX!G20*'QUANTITE DETENUES'!G20)</f>
        <v>1120</v>
      </c>
      <c r="H20" s="299">
        <f>IF(G20="","",PRIX!H20*'QUANTITE DETENUES'!H20)</f>
        <v>1125</v>
      </c>
      <c r="I20" s="299">
        <f>IF(H20="","",PRIX!I20*'QUANTITE DETENUES'!I20)</f>
        <v>275.275</v>
      </c>
      <c r="J20" s="299">
        <f>IF(I20="","",PRIX!J20*'QUANTITE DETENUES'!J20)</f>
        <v>636.557016</v>
      </c>
      <c r="K20" s="299">
        <f>IF(J20="","",PRIX!K20*'QUANTITE DETENUES'!K20)</f>
        <v>273.75545</v>
      </c>
      <c r="L20" s="299">
        <f>IF(K20="","",PRIX!L20*'QUANTITE DETENUES'!L20)</f>
        <v>0</v>
      </c>
      <c r="M20" s="299">
        <f>IF(L20="","",PRIX!M20*'QUANTITE DETENUES'!M20)</f>
        <v>0</v>
      </c>
      <c r="N20" s="299">
        <f>IF(M20="","",PRIX!N20*'QUANTITE DETENUES'!N20)</f>
        <v>0</v>
      </c>
      <c r="O20" s="299">
        <f>IF(N20="","",PRIX!O20*'QUANTITE DETENUES'!O20)</f>
        <v>0</v>
      </c>
      <c r="P20" s="299">
        <f>IF(O20="","",PRIX!P20*'QUANTITE DETENUES'!P20)</f>
        <v>0</v>
      </c>
      <c r="Q20" s="299">
        <f>IF(P20="","",PRIX!Q20*'QUANTITE DETENUES'!Q20)</f>
        <v>0</v>
      </c>
      <c r="R20" s="299">
        <f>IF(Q20="","",PRIX!R20*'QUANTITE DETENUES'!R20)</f>
        <v>0</v>
      </c>
      <c r="S20" s="300">
        <f>IF(R20="","",PRIX!T20*'QUANTITE DETENUES'!S20)</f>
        <v>0</v>
      </c>
      <c r="T20" s="14">
        <f>IF(A20="","",ARBITRAGES!M20)</f>
        <v>817.5</v>
      </c>
      <c r="U20" s="301">
        <f t="shared" si="1"/>
        <v>37571.82377</v>
      </c>
      <c r="V20" s="302">
        <f t="shared" si="2"/>
        <v>0.9782416737</v>
      </c>
      <c r="W20" s="288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</row>
    <row r="21">
      <c r="A21" s="290">
        <f>IF(ARBITRAGES!E21="","",ARBITRAGES!E21)</f>
        <v>45545</v>
      </c>
      <c r="B21" s="299">
        <f>IF(A21="","",PRIX!B21*'QUANTITE DETENUES'!B21)</f>
        <v>16850.7191</v>
      </c>
      <c r="C21" s="299">
        <f>IF(B21="","",PRIX!C21*'QUANTITE DETENUES'!C21)</f>
        <v>7259.32678</v>
      </c>
      <c r="D21" s="299">
        <f>IF(C21="","",PRIX!D21*'QUANTITE DETENUES'!D21)</f>
        <v>2658.631759</v>
      </c>
      <c r="E21" s="299">
        <f>IF(D21="","",PRIX!E21*'QUANTITE DETENUES'!E21)</f>
        <v>2430.323527</v>
      </c>
      <c r="F21" s="299">
        <f>IF(E21="","",PRIX!F21*'QUANTITE DETENUES'!F21)</f>
        <v>1540</v>
      </c>
      <c r="G21" s="299">
        <f>IF(F21="","",PRIX!G21*'QUANTITE DETENUES'!G21)</f>
        <v>1071</v>
      </c>
      <c r="H21" s="299">
        <f>IF(G21="","",PRIX!H21*'QUANTITE DETENUES'!H21)</f>
        <v>1060</v>
      </c>
      <c r="I21" s="299">
        <f>IF(H21="","",PRIX!I21*'QUANTITE DETENUES'!I21)</f>
        <v>286.55</v>
      </c>
      <c r="J21" s="299">
        <f>IF(I21="","",PRIX!J21*'QUANTITE DETENUES'!J21)</f>
        <v>622.71882</v>
      </c>
      <c r="K21" s="299">
        <f>IF(J21="","",PRIX!K21*'QUANTITE DETENUES'!K21)</f>
        <v>259.267</v>
      </c>
      <c r="L21" s="299">
        <f>IF(K21="","",PRIX!L21*'QUANTITE DETENUES'!L21)</f>
        <v>0</v>
      </c>
      <c r="M21" s="299">
        <f>IF(L21="","",PRIX!M21*'QUANTITE DETENUES'!M21)</f>
        <v>0</v>
      </c>
      <c r="N21" s="299">
        <f>IF(M21="","",PRIX!N21*'QUANTITE DETENUES'!N21)</f>
        <v>0</v>
      </c>
      <c r="O21" s="299">
        <f>IF(N21="","",PRIX!O21*'QUANTITE DETENUES'!O21)</f>
        <v>0</v>
      </c>
      <c r="P21" s="299">
        <f>IF(O21="","",PRIX!P21*'QUANTITE DETENUES'!P21)</f>
        <v>0</v>
      </c>
      <c r="Q21" s="299">
        <f>IF(P21="","",PRIX!Q21*'QUANTITE DETENUES'!Q21)</f>
        <v>0</v>
      </c>
      <c r="R21" s="299">
        <f>IF(Q21="","",PRIX!R21*'QUANTITE DETENUES'!R21)</f>
        <v>0</v>
      </c>
      <c r="S21" s="300">
        <f>IF(R21="","",PRIX!T21*'QUANTITE DETENUES'!S21)</f>
        <v>0</v>
      </c>
      <c r="T21" s="14">
        <f>IF(A21="","",ARBITRAGES!M21)</f>
        <v>1817.5</v>
      </c>
      <c r="U21" s="301">
        <f t="shared" si="1"/>
        <v>35856.03699</v>
      </c>
      <c r="V21" s="302">
        <f t="shared" si="2"/>
        <v>0.9493111857</v>
      </c>
      <c r="W21" s="288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  <c r="AI21" s="289"/>
      <c r="AJ21" s="289"/>
      <c r="AK21" s="289"/>
      <c r="AL21" s="289"/>
      <c r="AM21" s="289"/>
      <c r="AN21" s="289"/>
      <c r="AO21" s="289"/>
      <c r="AP21" s="289"/>
      <c r="AQ21" s="289"/>
      <c r="AR21" s="289"/>
      <c r="AS21" s="289"/>
      <c r="AT21" s="289"/>
      <c r="AU21" s="289"/>
      <c r="AV21" s="289"/>
      <c r="AW21" s="289"/>
      <c r="AX21" s="289"/>
      <c r="AY21" s="289"/>
      <c r="AZ21" s="289"/>
      <c r="BA21" s="289"/>
    </row>
    <row r="22">
      <c r="A22" s="290">
        <f>IF(ARBITRAGES!E22="","",ARBITRAGES!E22)</f>
        <v>45551</v>
      </c>
      <c r="B22" s="299">
        <f>IF(A22="","",PRIX!B22*'QUANTITE DETENUES'!B22)</f>
        <v>17350.65317</v>
      </c>
      <c r="C22" s="299">
        <f>IF(B22="","",PRIX!C22*'QUANTITE DETENUES'!C22)</f>
        <v>7351.216992</v>
      </c>
      <c r="D22" s="299">
        <f>IF(C22="","",PRIX!D22*'QUANTITE DETENUES'!D22)</f>
        <v>2785.233272</v>
      </c>
      <c r="E22" s="299">
        <f>IF(D22="","",PRIX!E22*'QUANTITE DETENUES'!E22)</f>
        <v>2430.323527</v>
      </c>
      <c r="F22" s="299">
        <f>IF(E22="","",PRIX!F22*'QUANTITE DETENUES'!F22)</f>
        <v>2026.2</v>
      </c>
      <c r="G22" s="299">
        <f>IF(F22="","",PRIX!G22*'QUANTITE DETENUES'!G22)</f>
        <v>1036</v>
      </c>
      <c r="H22" s="299">
        <f>IF(G22="","",PRIX!H22*'QUANTITE DETENUES'!H22)</f>
        <v>1070</v>
      </c>
      <c r="I22" s="299">
        <f>IF(H22="","",PRIX!I22*'QUANTITE DETENUES'!I22)</f>
        <v>277.75</v>
      </c>
      <c r="J22" s="299">
        <f>IF(I22="","",PRIX!J22*'QUANTITE DETENUES'!J22)</f>
        <v>615.799722</v>
      </c>
      <c r="K22" s="299">
        <f>IF(J22="","",PRIX!K22*'QUANTITE DETENUES'!K22)</f>
        <v>266.12995</v>
      </c>
      <c r="L22" s="299">
        <f>IF(K22="","",PRIX!L22*'QUANTITE DETENUES'!L22)</f>
        <v>0</v>
      </c>
      <c r="M22" s="299">
        <f>IF(L22="","",PRIX!M22*'QUANTITE DETENUES'!M22)</f>
        <v>0</v>
      </c>
      <c r="N22" s="299">
        <f>IF(M22="","",PRIX!N22*'QUANTITE DETENUES'!N22)</f>
        <v>0</v>
      </c>
      <c r="O22" s="299">
        <f>IF(N22="","",PRIX!O22*'QUANTITE DETENUES'!O22)</f>
        <v>0</v>
      </c>
      <c r="P22" s="299">
        <f>IF(O22="","",PRIX!P22*'QUANTITE DETENUES'!P22)</f>
        <v>0</v>
      </c>
      <c r="Q22" s="299">
        <f>IF(P22="","",PRIX!Q22*'QUANTITE DETENUES'!Q22)</f>
        <v>0</v>
      </c>
      <c r="R22" s="299">
        <f>IF(Q22="","",PRIX!R22*'QUANTITE DETENUES'!R22)</f>
        <v>0</v>
      </c>
      <c r="S22" s="300">
        <f>IF(R22="","",PRIX!T22*'QUANTITE DETENUES'!S22)</f>
        <v>0</v>
      </c>
      <c r="T22" s="14">
        <f>IF(A22="","",ARBITRAGES!M22)</f>
        <v>1487.5</v>
      </c>
      <c r="U22" s="301">
        <f t="shared" si="1"/>
        <v>36696.80664</v>
      </c>
      <c r="V22" s="302">
        <f t="shared" si="2"/>
        <v>0.9594651378</v>
      </c>
      <c r="W22" s="288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89"/>
      <c r="AK22" s="289"/>
      <c r="AL22" s="289"/>
      <c r="AM22" s="289"/>
      <c r="AN22" s="289"/>
      <c r="AO22" s="289"/>
      <c r="AP22" s="289"/>
      <c r="AQ22" s="289"/>
      <c r="AR22" s="289"/>
      <c r="AS22" s="289"/>
      <c r="AT22" s="289"/>
      <c r="AU22" s="289"/>
      <c r="AV22" s="289"/>
      <c r="AW22" s="289"/>
      <c r="AX22" s="289"/>
      <c r="AY22" s="289"/>
      <c r="AZ22" s="289"/>
      <c r="BA22" s="289"/>
    </row>
    <row r="23">
      <c r="A23" s="290">
        <f>IF(ARBITRAGES!E23="","",ARBITRAGES!E23)</f>
        <v>45552</v>
      </c>
      <c r="B23" s="299">
        <f>IF(A23="","",PRIX!B23*'QUANTITE DETENUES'!B23)</f>
        <v>17997.62668</v>
      </c>
      <c r="C23" s="299">
        <f>IF(B23="","",PRIX!C23*'QUANTITE DETENUES'!C23)</f>
        <v>7657.5177</v>
      </c>
      <c r="D23" s="299">
        <f>IF(C23="","",PRIX!D23*'QUANTITE DETENUES'!D23)</f>
        <v>2835.873877</v>
      </c>
      <c r="E23" s="299">
        <f>IF(D23="","",PRIX!E23*'QUANTITE DETENUES'!E23)</f>
        <v>2430.323527</v>
      </c>
      <c r="F23" s="299">
        <f>IF(E23="","",PRIX!F23*'QUANTITE DETENUES'!F23)</f>
        <v>2009.999103</v>
      </c>
      <c r="G23" s="299">
        <f>IF(F23="","",PRIX!G23*'QUANTITE DETENUES'!G23)</f>
        <v>1050</v>
      </c>
      <c r="H23" s="299">
        <f>IF(G23="","",PRIX!H23*'QUANTITE DETENUES'!H23)</f>
        <v>1090</v>
      </c>
      <c r="I23" s="299">
        <f>IF(H23="","",PRIX!I23*'QUANTITE DETENUES'!I23)</f>
        <v>280.5</v>
      </c>
      <c r="J23" s="299">
        <f>IF(I23="","",PRIX!J23*'QUANTITE DETENUES'!J23)</f>
        <v>611.18699</v>
      </c>
      <c r="K23" s="299">
        <f>IF(J23="","",PRIX!K23*'QUANTITE DETENUES'!K23)</f>
        <v>260.7921</v>
      </c>
      <c r="L23" s="299">
        <f>IF(K23="","",PRIX!L23*'QUANTITE DETENUES'!L23)</f>
        <v>0</v>
      </c>
      <c r="M23" s="299">
        <f>IF(L23="","",PRIX!M23*'QUANTITE DETENUES'!M23)</f>
        <v>0</v>
      </c>
      <c r="N23" s="299">
        <f>IF(M23="","",PRIX!N23*'QUANTITE DETENUES'!N23)</f>
        <v>0</v>
      </c>
      <c r="O23" s="299">
        <f>IF(N23="","",PRIX!O23*'QUANTITE DETENUES'!O23)</f>
        <v>0</v>
      </c>
      <c r="P23" s="299">
        <f>IF(O23="","",PRIX!P23*'QUANTITE DETENUES'!P23)</f>
        <v>0</v>
      </c>
      <c r="Q23" s="299">
        <f>IF(P23="","",PRIX!Q23*'QUANTITE DETENUES'!Q23)</f>
        <v>0</v>
      </c>
      <c r="R23" s="299">
        <f>IF(Q23="","",PRIX!R23*'QUANTITE DETENUES'!R23)</f>
        <v>0</v>
      </c>
      <c r="S23" s="300">
        <f>IF(R23="","",PRIX!T23*'QUANTITE DETENUES'!S23)</f>
        <v>0</v>
      </c>
      <c r="T23" s="14">
        <f>IF(A23="","",ARBITRAGES!M23)</f>
        <v>1711.7</v>
      </c>
      <c r="U23" s="301">
        <f t="shared" si="1"/>
        <v>37935.51998</v>
      </c>
      <c r="V23" s="302">
        <f t="shared" si="2"/>
        <v>0.9548786994</v>
      </c>
      <c r="W23" s="288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  <c r="AI23" s="289"/>
      <c r="AJ23" s="289"/>
      <c r="AK23" s="289"/>
      <c r="AL23" s="289"/>
      <c r="AM23" s="289"/>
      <c r="AN23" s="289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</row>
    <row r="24">
      <c r="A24" s="290">
        <f>IF(ARBITRAGES!E24="","",ARBITRAGES!E24)</f>
        <v>45555</v>
      </c>
      <c r="B24" s="299">
        <f>IF(A24="","",PRIX!B24*'QUANTITE DETENUES'!B24)</f>
        <v>18835.75145</v>
      </c>
      <c r="C24" s="299">
        <f>IF(B24="","",PRIX!C24*'QUANTITE DETENUES'!C24)</f>
        <v>7902.558266</v>
      </c>
      <c r="D24" s="299">
        <f>IF(C24="","",PRIX!D24*'QUANTITE DETENUES'!D24)</f>
        <v>2911.834784</v>
      </c>
      <c r="E24" s="299">
        <f>IF(D24="","",PRIX!E24*'QUANTITE DETENUES'!E24)</f>
        <v>2736.364268</v>
      </c>
      <c r="F24" s="299">
        <f>IF(E24="","",PRIX!F24*'QUANTITE DETENUES'!F24)</f>
        <v>2261.998836</v>
      </c>
      <c r="G24" s="299">
        <f>IF(F24="","",PRIX!G24*'QUANTITE DETENUES'!G24)</f>
        <v>1176</v>
      </c>
      <c r="H24" s="299">
        <f>IF(G24="","",PRIX!H24*'QUANTITE DETENUES'!H24)</f>
        <v>1170</v>
      </c>
      <c r="I24" s="299">
        <f>IF(H24="","",PRIX!I24*'QUANTITE DETENUES'!I24)</f>
        <v>294.25</v>
      </c>
      <c r="J24" s="299">
        <f>IF(I24="","",PRIX!J24*'QUANTITE DETENUES'!J24)</f>
        <v>657.31431</v>
      </c>
      <c r="K24" s="299">
        <f>IF(J24="","",PRIX!K24*'QUANTITE DETENUES'!K24)</f>
        <v>282.90605</v>
      </c>
      <c r="L24" s="299">
        <f>IF(K24="","",PRIX!L24*'QUANTITE DETENUES'!L24)</f>
        <v>0</v>
      </c>
      <c r="M24" s="299">
        <f>IF(L24="","",PRIX!M24*'QUANTITE DETENUES'!M24)</f>
        <v>0</v>
      </c>
      <c r="N24" s="299">
        <f>IF(M24="","",PRIX!N24*'QUANTITE DETENUES'!N24)</f>
        <v>0</v>
      </c>
      <c r="O24" s="299">
        <f>IF(N24="","",PRIX!O24*'QUANTITE DETENUES'!O24)</f>
        <v>0</v>
      </c>
      <c r="P24" s="299">
        <f>IF(O24="","",PRIX!P24*'QUANTITE DETENUES'!P24)</f>
        <v>0</v>
      </c>
      <c r="Q24" s="299">
        <f>IF(P24="","",PRIX!Q24*'QUANTITE DETENUES'!Q24)</f>
        <v>0</v>
      </c>
      <c r="R24" s="299">
        <f>IF(Q24="","",PRIX!R24*'QUANTITE DETENUES'!R24)</f>
        <v>0</v>
      </c>
      <c r="S24" s="300">
        <f>IF(R24="","",PRIX!T24*'QUANTITE DETENUES'!S24)</f>
        <v>0</v>
      </c>
      <c r="T24" s="14">
        <f>IF(A24="","",ARBITRAGES!M24)</f>
        <v>2023.7</v>
      </c>
      <c r="U24" s="301">
        <f t="shared" si="1"/>
        <v>40252.67797</v>
      </c>
      <c r="V24" s="302">
        <f t="shared" si="2"/>
        <v>0.9497250841</v>
      </c>
      <c r="W24" s="288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289"/>
      <c r="AX24" s="289"/>
      <c r="AY24" s="289"/>
      <c r="AZ24" s="289"/>
      <c r="BA24" s="289"/>
    </row>
    <row r="25">
      <c r="A25" s="290">
        <f>IF(ARBITRAGES!E25="","",ARBITRAGES!E25)</f>
        <v>45557</v>
      </c>
      <c r="B25" s="299">
        <f>IF(A25="","",PRIX!B25*'QUANTITE DETENUES'!B25)</f>
        <v>18821.04751</v>
      </c>
      <c r="C25" s="299">
        <f>IF(B25="","",PRIX!C25*'QUANTITE DETENUES'!C25)</f>
        <v>8270.119116</v>
      </c>
      <c r="D25" s="299">
        <f>IF(C25="","",PRIX!D25*'QUANTITE DETENUES'!D25)</f>
        <v>2886.514481</v>
      </c>
      <c r="E25" s="299">
        <f>IF(D25="","",PRIX!E25*'QUANTITE DETENUES'!E25)</f>
        <v>2700.359475</v>
      </c>
      <c r="F25" s="299">
        <f>IF(E25="","",PRIX!F25*'QUANTITE DETENUES'!F25)</f>
        <v>2414.998461</v>
      </c>
      <c r="G25" s="299">
        <f>IF(F25="","",PRIX!G25*'QUANTITE DETENUES'!G25)</f>
        <v>1225</v>
      </c>
      <c r="H25" s="299">
        <f>IF(G25="","",PRIX!H25*'QUANTITE DETENUES'!H25)</f>
        <v>1160</v>
      </c>
      <c r="I25" s="299">
        <f>IF(H25="","",PRIX!I25*'QUANTITE DETENUES'!I25)</f>
        <v>297</v>
      </c>
      <c r="J25" s="299">
        <f>IF(I25="","",PRIX!J25*'QUANTITE DETENUES'!J25)</f>
        <v>678.071604</v>
      </c>
      <c r="K25" s="299">
        <f>IF(J25="","",PRIX!K25*'QUANTITE DETENUES'!K25)</f>
        <v>295.8694</v>
      </c>
      <c r="L25" s="299">
        <f>IF(K25="","",PRIX!L25*'QUANTITE DETENUES'!L25)</f>
        <v>0</v>
      </c>
      <c r="M25" s="299">
        <f>IF(L25="","",PRIX!M25*'QUANTITE DETENUES'!M25)</f>
        <v>0</v>
      </c>
      <c r="N25" s="299">
        <f>IF(M25="","",PRIX!N25*'QUANTITE DETENUES'!N25)</f>
        <v>0</v>
      </c>
      <c r="O25" s="299">
        <f>IF(N25="","",PRIX!O25*'QUANTITE DETENUES'!O25)</f>
        <v>0</v>
      </c>
      <c r="P25" s="299">
        <f>IF(O25="","",PRIX!P25*'QUANTITE DETENUES'!P25)</f>
        <v>0</v>
      </c>
      <c r="Q25" s="299">
        <f>IF(P25="","",PRIX!Q25*'QUANTITE DETENUES'!Q25)</f>
        <v>0</v>
      </c>
      <c r="R25" s="299">
        <f>IF(Q25="","",PRIX!R25*'QUANTITE DETENUES'!R25)</f>
        <v>0</v>
      </c>
      <c r="S25" s="300">
        <f>IF(R25="","",PRIX!T25*'QUANTITE DETENUES'!S25)</f>
        <v>0</v>
      </c>
      <c r="T25" s="14">
        <f>IF(A25="","",ARBITRAGES!M25)</f>
        <v>2623.7</v>
      </c>
      <c r="U25" s="301">
        <f t="shared" si="1"/>
        <v>41372.68005</v>
      </c>
      <c r="V25" s="302">
        <f t="shared" si="2"/>
        <v>0.9365837553</v>
      </c>
      <c r="W25" s="288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  <c r="AK25" s="289"/>
      <c r="AL25" s="289"/>
      <c r="AM25" s="289"/>
      <c r="AN25" s="289"/>
      <c r="AO25" s="289"/>
      <c r="AP25" s="289"/>
      <c r="AQ25" s="289"/>
      <c r="AR25" s="289"/>
      <c r="AS25" s="289"/>
      <c r="AT25" s="289"/>
      <c r="AU25" s="289"/>
      <c r="AV25" s="289"/>
      <c r="AW25" s="289"/>
      <c r="AX25" s="289"/>
      <c r="AY25" s="289"/>
      <c r="AZ25" s="289"/>
      <c r="BA25" s="289"/>
    </row>
    <row r="26">
      <c r="A26" s="290">
        <f>IF(ARBITRAGES!E26="","",ARBITRAGES!E26)</f>
        <v>45558</v>
      </c>
      <c r="B26" s="299">
        <f>IF(A26="","",PRIX!B26*'QUANTITE DETENUES'!B26)</f>
        <v>18703.41596</v>
      </c>
      <c r="C26" s="299">
        <f>IF(B26="","",PRIX!C26*'QUANTITE DETENUES'!C26)</f>
        <v>8116.968762</v>
      </c>
      <c r="D26" s="299">
        <f>IF(C26="","",PRIX!D26*'QUANTITE DETENUES'!D26)</f>
        <v>2840.937937</v>
      </c>
      <c r="E26" s="299">
        <f>IF(D26="","",PRIX!E26*'QUANTITE DETENUES'!E26)</f>
        <v>2628.349889</v>
      </c>
      <c r="F26" s="299">
        <f>IF(E26="","",PRIX!F26*'QUANTITE DETENUES'!F26)</f>
        <v>2663.998515</v>
      </c>
      <c r="G26" s="299">
        <f>IF(F26="","",PRIX!G26*'QUANTITE DETENUES'!G26)</f>
        <v>1176</v>
      </c>
      <c r="H26" s="299">
        <f>IF(G26="","",PRIX!H26*'QUANTITE DETENUES'!H26)</f>
        <v>1145</v>
      </c>
      <c r="I26" s="299">
        <f>IF(H26="","",PRIX!I26*'QUANTITE DETENUES'!I26)</f>
        <v>294.25</v>
      </c>
      <c r="J26" s="299">
        <f>IF(I26="","",PRIX!J26*'QUANTITE DETENUES'!J26)</f>
        <v>678.071604</v>
      </c>
      <c r="K26" s="299">
        <f>IF(J26="","",PRIX!K26*'QUANTITE DETENUES'!K26)</f>
        <v>305.78255</v>
      </c>
      <c r="L26" s="299">
        <f>IF(K26="","",PRIX!L26*'QUANTITE DETENUES'!L26)</f>
        <v>0</v>
      </c>
      <c r="M26" s="299">
        <f>IF(L26="","",PRIX!M26*'QUANTITE DETENUES'!M26)</f>
        <v>0</v>
      </c>
      <c r="N26" s="299">
        <f>IF(M26="","",PRIX!N26*'QUANTITE DETENUES'!N26)</f>
        <v>0</v>
      </c>
      <c r="O26" s="299">
        <f>IF(N26="","",PRIX!O26*'QUANTITE DETENUES'!O26)</f>
        <v>0</v>
      </c>
      <c r="P26" s="299">
        <f>IF(O26="","",PRIX!P26*'QUANTITE DETENUES'!P26)</f>
        <v>0</v>
      </c>
      <c r="Q26" s="299">
        <f>IF(P26="","",PRIX!Q26*'QUANTITE DETENUES'!Q26)</f>
        <v>0</v>
      </c>
      <c r="R26" s="299">
        <f>IF(Q26="","",PRIX!R26*'QUANTITE DETENUES'!R26)</f>
        <v>0</v>
      </c>
      <c r="S26" s="300">
        <f>IF(R26="","",PRIX!T26*'QUANTITE DETENUES'!S26)</f>
        <v>0</v>
      </c>
      <c r="T26" s="14">
        <f>IF(A26="","",ARBITRAGES!M26)</f>
        <v>2286.14</v>
      </c>
      <c r="U26" s="301">
        <f t="shared" si="1"/>
        <v>40838.91522</v>
      </c>
      <c r="V26" s="302">
        <f t="shared" si="2"/>
        <v>0.9440205503</v>
      </c>
      <c r="W26" s="288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  <c r="AK26" s="289"/>
      <c r="AL26" s="289"/>
      <c r="AM26" s="289"/>
      <c r="AN26" s="289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</row>
    <row r="27">
      <c r="A27" s="290">
        <f>IF(ARBITRAGES!E27="","",ARBITRAGES!E27)</f>
        <v>45568</v>
      </c>
      <c r="B27" s="299">
        <f>IF(A27="","",PRIX!B27*'QUANTITE DETENUES'!B27)</f>
        <v>17968.2188</v>
      </c>
      <c r="C27" s="299">
        <f>IF(B27="","",PRIX!C27*'QUANTITE DETENUES'!C27)</f>
        <v>7657.5177</v>
      </c>
      <c r="D27" s="299">
        <f>IF(C27="","",PRIX!D27*'QUANTITE DETENUES'!D27)</f>
        <v>2683.952062</v>
      </c>
      <c r="E27" s="299">
        <f>IF(D27="","",PRIX!E27*'QUANTITE DETENUES'!E27)</f>
        <v>2484.330717</v>
      </c>
      <c r="F27" s="299">
        <f>IF(E27="","",PRIX!F27*'QUANTITE DETENUES'!F27)</f>
        <v>2599.998662</v>
      </c>
      <c r="G27" s="299">
        <f>IF(F27="","",PRIX!G27*'QUANTITE DETENUES'!G27)</f>
        <v>1120</v>
      </c>
      <c r="H27" s="299">
        <f>IF(G27="","",PRIX!H27*'QUANTITE DETENUES'!H27)</f>
        <v>1060</v>
      </c>
      <c r="I27" s="299">
        <f>IF(H27="","",PRIX!I27*'QUANTITE DETENUES'!I27)</f>
        <v>297</v>
      </c>
      <c r="J27" s="299">
        <f>IF(I27="","",PRIX!J27*'QUANTITE DETENUES'!J27)</f>
        <v>747.262584</v>
      </c>
      <c r="K27" s="299">
        <f>IF(J27="","",PRIX!K27*'QUANTITE DETENUES'!K27)</f>
        <v>283.6686</v>
      </c>
      <c r="L27" s="299">
        <f>IF(K27="","",PRIX!L27*'QUANTITE DETENUES'!L27)</f>
        <v>0</v>
      </c>
      <c r="M27" s="299">
        <f>IF(L27="","",PRIX!M27*'QUANTITE DETENUES'!M27)</f>
        <v>0</v>
      </c>
      <c r="N27" s="299">
        <f>IF(M27="","",PRIX!N27*'QUANTITE DETENUES'!N27)</f>
        <v>0</v>
      </c>
      <c r="O27" s="299">
        <f>IF(N27="","",PRIX!O27*'QUANTITE DETENUES'!O27)</f>
        <v>0</v>
      </c>
      <c r="P27" s="299">
        <f>IF(O27="","",PRIX!P27*'QUANTITE DETENUES'!P27)</f>
        <v>0</v>
      </c>
      <c r="Q27" s="299">
        <f>IF(P27="","",PRIX!Q27*'QUANTITE DETENUES'!Q27)</f>
        <v>0</v>
      </c>
      <c r="R27" s="299">
        <f>IF(Q27="","",PRIX!R27*'QUANTITE DETENUES'!R27)</f>
        <v>0</v>
      </c>
      <c r="S27" s="300">
        <f>IF(R27="","",PRIX!T27*'QUANTITE DETENUES'!S27)</f>
        <v>0</v>
      </c>
      <c r="T27" s="14">
        <f>IF(A27="","",ARBITRAGES!M27)</f>
        <v>2094.14</v>
      </c>
      <c r="U27" s="301">
        <f t="shared" si="1"/>
        <v>38996.08912</v>
      </c>
      <c r="V27" s="302">
        <f t="shared" si="2"/>
        <v>0.9462987175</v>
      </c>
      <c r="W27" s="307">
        <v>1.0</v>
      </c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  <c r="AK27" s="289"/>
      <c r="AL27" s="289"/>
      <c r="AM27" s="289"/>
      <c r="AN27" s="289"/>
      <c r="AO27" s="289"/>
      <c r="AP27" s="289"/>
      <c r="AQ27" s="289"/>
      <c r="AR27" s="289"/>
      <c r="AS27" s="289"/>
      <c r="AT27" s="289"/>
      <c r="AU27" s="289"/>
      <c r="AV27" s="289"/>
      <c r="AW27" s="289"/>
      <c r="AX27" s="289"/>
      <c r="AY27" s="289"/>
      <c r="AZ27" s="289"/>
      <c r="BA27" s="289"/>
    </row>
    <row r="28">
      <c r="A28" s="290">
        <f>IF(ARBITRAGES!E28="","",ARBITRAGES!E28)</f>
        <v>45586</v>
      </c>
      <c r="B28" s="299">
        <f>IF(A28="","",PRIX!B28*'QUANTITE DETENUES'!B28)</f>
        <v>20320.84973</v>
      </c>
      <c r="C28" s="299">
        <f>IF(B28="","",PRIX!C28*'QUANTITE DETENUES'!C28)</f>
        <v>7698.71575</v>
      </c>
      <c r="D28" s="299">
        <f>IF(C28="","",PRIX!D28*'QUANTITE DETENUES'!D28)</f>
        <v>2719.400485</v>
      </c>
      <c r="E28" s="299">
        <f>IF(D28="","",PRIX!E28*'QUANTITE DETENUES'!E28)</f>
        <v>3078.409801</v>
      </c>
      <c r="F28" s="299">
        <f>IF(E28="","",PRIX!F28*'QUANTITE DETENUES'!F28)</f>
        <v>3073.198418</v>
      </c>
      <c r="G28" s="299">
        <f>IF(F28="","",PRIX!G28*'QUANTITE DETENUES'!G28)</f>
        <v>1197</v>
      </c>
      <c r="H28" s="299">
        <f>IF(G28="","",PRIX!H28*'QUANTITE DETENUES'!H28)</f>
        <v>1200</v>
      </c>
      <c r="I28" s="299">
        <f>IF(H28="","",PRIX!I28*'QUANTITE DETENUES'!I28)</f>
        <v>409.75</v>
      </c>
      <c r="J28" s="299">
        <f>IF(I28="","",PRIX!J28*'QUANTITE DETENUES'!J28)</f>
        <v>853.35542</v>
      </c>
      <c r="K28" s="299">
        <f>IF(J28="","",PRIX!K28*'QUANTITE DETENUES'!K28)</f>
        <v>294.3443</v>
      </c>
      <c r="L28" s="299">
        <f>IF(K28="","",PRIX!L28*'QUANTITE DETENUES'!L28)</f>
        <v>0</v>
      </c>
      <c r="M28" s="299">
        <f>IF(L28="","",PRIX!M28*'QUANTITE DETENUES'!M28)</f>
        <v>0</v>
      </c>
      <c r="N28" s="299">
        <f>IF(M28="","",PRIX!N28*'QUANTITE DETENUES'!N28)</f>
        <v>0</v>
      </c>
      <c r="O28" s="299">
        <f>IF(N28="","",PRIX!O28*'QUANTITE DETENUES'!O28)</f>
        <v>0</v>
      </c>
      <c r="P28" s="299">
        <f>IF(O28="","",PRIX!P28*'QUANTITE DETENUES'!P28)</f>
        <v>0</v>
      </c>
      <c r="Q28" s="299">
        <f>IF(P28="","",PRIX!Q28*'QUANTITE DETENUES'!Q28)</f>
        <v>0</v>
      </c>
      <c r="R28" s="299">
        <f>IF(Q28="","",PRIX!R28*'QUANTITE DETENUES'!R28)</f>
        <v>0</v>
      </c>
      <c r="S28" s="300">
        <f>IF(R28="","",PRIX!T28*'QUANTITE DETENUES'!S28)</f>
        <v>0</v>
      </c>
      <c r="T28" s="14">
        <f>IF(A28="","",ARBITRAGES!M28)</f>
        <v>2805.520016</v>
      </c>
      <c r="U28" s="301">
        <f t="shared" si="1"/>
        <v>43650.54392</v>
      </c>
      <c r="V28" s="302">
        <f t="shared" si="2"/>
        <v>0.9357277192</v>
      </c>
      <c r="W28" s="288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89"/>
      <c r="AT28" s="289"/>
      <c r="AU28" s="289"/>
      <c r="AV28" s="289"/>
      <c r="AW28" s="289"/>
      <c r="AX28" s="289"/>
      <c r="AY28" s="289"/>
      <c r="AZ28" s="289"/>
      <c r="BA28" s="289"/>
    </row>
    <row r="29">
      <c r="A29" s="290">
        <f>IF(ARBITRAGES!E29="","",ARBITRAGES!E29)</f>
        <v>45591</v>
      </c>
      <c r="B29" s="299">
        <f>IF(A29="","",PRIX!B29*'QUANTITE DETENUES'!B29)</f>
        <v>19703.28411</v>
      </c>
      <c r="C29" s="299">
        <f>IF(B29="","",PRIX!C29*'QUANTITE DETENUES'!C29)</f>
        <v>10078.3188</v>
      </c>
      <c r="D29" s="299">
        <f>IF(C29="","",PRIX!D29*'QUANTITE DETENUES'!D29)</f>
        <v>2694.980642</v>
      </c>
      <c r="E29" s="299">
        <f>IF(D29="","",PRIX!E29*'QUANTITE DETENUES'!E29)</f>
        <v>3024.402612</v>
      </c>
      <c r="F29" s="299">
        <f>IF(E29="","",PRIX!F29*'QUANTITE DETENUES'!F29)</f>
        <v>2651.998635</v>
      </c>
      <c r="G29" s="299">
        <f>IF(F29="","",PRIX!G29*'QUANTITE DETENUES'!G29)</f>
        <v>1050</v>
      </c>
      <c r="H29" s="299">
        <f>IF(G29="","",PRIX!H29*'QUANTITE DETENUES'!H29)</f>
        <v>1100</v>
      </c>
      <c r="I29" s="299">
        <f>IF(H29="","",PRIX!I29*'QUANTITE DETENUES'!I29)</f>
        <v>368.5</v>
      </c>
      <c r="J29" s="299">
        <f>IF(I29="","",PRIX!J29*'QUANTITE DETENUES'!J29)</f>
        <v>772.63261</v>
      </c>
      <c r="K29" s="299">
        <f>IF(J29="","",PRIX!K29*'QUANTITE DETENUES'!K29)</f>
        <v>268.4176</v>
      </c>
      <c r="L29" s="299">
        <f>IF(K29="","",PRIX!L29*'QUANTITE DETENUES'!L29)</f>
        <v>0</v>
      </c>
      <c r="M29" s="299">
        <f>IF(L29="","",PRIX!M29*'QUANTITE DETENUES'!M29)</f>
        <v>0</v>
      </c>
      <c r="N29" s="299">
        <f>IF(M29="","",PRIX!N29*'QUANTITE DETENUES'!N29)</f>
        <v>0</v>
      </c>
      <c r="O29" s="299">
        <f>IF(N29="","",PRIX!O29*'QUANTITE DETENUES'!O29)</f>
        <v>0</v>
      </c>
      <c r="P29" s="299">
        <f>IF(O29="","",PRIX!P29*'QUANTITE DETENUES'!P29)</f>
        <v>0</v>
      </c>
      <c r="Q29" s="299">
        <f>IF(P29="","",PRIX!Q29*'QUANTITE DETENUES'!Q29)</f>
        <v>0</v>
      </c>
      <c r="R29" s="299">
        <f>IF(Q29="","",PRIX!R29*'QUANTITE DETENUES'!R29)</f>
        <v>0</v>
      </c>
      <c r="S29" s="300">
        <f>IF(R29="","",PRIX!T29*'QUANTITE DETENUES'!S29)</f>
        <v>0</v>
      </c>
      <c r="T29" s="14">
        <f>IF(A29="","",ARBITRAGES!M29)</f>
        <v>2589.749516</v>
      </c>
      <c r="U29" s="301">
        <f t="shared" si="1"/>
        <v>44302.28453</v>
      </c>
      <c r="V29" s="302">
        <f t="shared" si="2"/>
        <v>0.9415436575</v>
      </c>
      <c r="W29" s="288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</row>
    <row r="30">
      <c r="A30" s="290">
        <f>IF(ARBITRAGES!E30="","",ARBITRAGES!E30)</f>
        <v>45594</v>
      </c>
      <c r="B30" s="299">
        <f>IF(A30="","",PRIX!B30*'QUANTITE DETENUES'!B30)</f>
        <v>21320.71788</v>
      </c>
      <c r="C30" s="299">
        <f>IF(B30="","",PRIX!C30*'QUANTITE DETENUES'!C30)</f>
        <v>7488.750775</v>
      </c>
      <c r="D30" s="299">
        <f>IF(C30="","",PRIX!D30*'QUANTITE DETENUES'!D30)</f>
        <v>2777.480049</v>
      </c>
      <c r="E30" s="299">
        <f>IF(D30="","",PRIX!E30*'QUANTITE DETENUES'!E30)</f>
        <v>3076.781673</v>
      </c>
      <c r="F30" s="299">
        <f>IF(E30="","",PRIX!F30*'QUANTITE DETENUES'!F30)</f>
        <v>2885.998515</v>
      </c>
      <c r="G30" s="299">
        <f>IF(F30="","",PRIX!G30*'QUANTITE DETENUES'!G30)</f>
        <v>1085</v>
      </c>
      <c r="H30" s="299">
        <f>IF(G30="","",PRIX!H30*'QUANTITE DETENUES'!H30)</f>
        <v>1160</v>
      </c>
      <c r="I30" s="299">
        <f>IF(H30="","",PRIX!I30*'QUANTITE DETENUES'!I30)</f>
        <v>475.75</v>
      </c>
      <c r="J30" s="299">
        <f>IF(I30="","",PRIX!J30*'QUANTITE DETENUES'!J30)</f>
        <v>853.35542</v>
      </c>
      <c r="K30" s="299">
        <f>IF(J30="","",PRIX!K30*'QUANTITE DETENUES'!K30)</f>
        <v>276.0431</v>
      </c>
      <c r="L30" s="299">
        <f>IF(K30="","",PRIX!L30*'QUANTITE DETENUES'!L30)</f>
        <v>0</v>
      </c>
      <c r="M30" s="299">
        <f>IF(L30="","",PRIX!M30*'QUANTITE DETENUES'!M30)</f>
        <v>0</v>
      </c>
      <c r="N30" s="299">
        <f>IF(M30="","",PRIX!N30*'QUANTITE DETENUES'!N30)</f>
        <v>0</v>
      </c>
      <c r="O30" s="299">
        <f>IF(N30="","",PRIX!O30*'QUANTITE DETENUES'!O30)</f>
        <v>0</v>
      </c>
      <c r="P30" s="299">
        <f>IF(O30="","",PRIX!P30*'QUANTITE DETENUES'!P30)</f>
        <v>0</v>
      </c>
      <c r="Q30" s="299">
        <f>IF(P30="","",PRIX!Q30*'QUANTITE DETENUES'!Q30)</f>
        <v>0</v>
      </c>
      <c r="R30" s="299">
        <f>IF(Q30="","",PRIX!R30*'QUANTITE DETENUES'!R30)</f>
        <v>0</v>
      </c>
      <c r="S30" s="300">
        <f>IF(R30="","",PRIX!T30*'QUANTITE DETENUES'!S30)</f>
        <v>0</v>
      </c>
      <c r="T30" s="14">
        <f>IF(A30="","",ARBITRAGES!M30)</f>
        <v>2766.202947</v>
      </c>
      <c r="U30" s="301">
        <f t="shared" si="1"/>
        <v>44166.08036</v>
      </c>
      <c r="V30" s="302">
        <f t="shared" si="2"/>
        <v>0.9373681585</v>
      </c>
      <c r="W30" s="307">
        <v>1.0</v>
      </c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</row>
    <row r="31">
      <c r="A31" s="290">
        <f>IF(ARBITRAGES!E31="","",ARBITRAGES!E31)</f>
        <v>45595</v>
      </c>
      <c r="B31" s="299">
        <f>IF(A31="","",PRIX!B31*'QUANTITE DETENUES'!B31)</f>
        <v>20585.52071</v>
      </c>
      <c r="C31" s="299">
        <f>IF(B31="","",PRIX!C31*'QUANTITE DETENUES'!C31)</f>
        <v>6998.8325</v>
      </c>
      <c r="D31" s="299">
        <f>IF(C31="","",PRIX!D31*'QUANTITE DETENUES'!D31)</f>
        <v>2749.980247</v>
      </c>
      <c r="E31" s="299">
        <f>IF(D31="","",PRIX!E31*'QUANTITE DETENUES'!E31)</f>
        <v>2838.798561</v>
      </c>
      <c r="F31" s="299">
        <f>IF(E31="","",PRIX!F31*'QUANTITE DETENUES'!F31)</f>
        <v>2736.998769</v>
      </c>
      <c r="G31" s="299">
        <f>IF(F31="","",PRIX!G31*'QUANTITE DETENUES'!G31)</f>
        <v>966</v>
      </c>
      <c r="H31" s="299">
        <f>IF(G31="","",PRIX!H31*'QUANTITE DETENUES'!H31)</f>
        <v>1125</v>
      </c>
      <c r="I31" s="299">
        <f>IF(H31="","",PRIX!I31*'QUANTITE DETENUES'!I31)</f>
        <v>440</v>
      </c>
      <c r="J31" s="299">
        <f>IF(I31="","",PRIX!J31*'QUANTITE DETENUES'!J31)</f>
        <v>841.82359</v>
      </c>
      <c r="K31" s="299">
        <f>IF(J31="","",PRIX!K31*'QUANTITE DETENUES'!K31)</f>
        <v>274.518</v>
      </c>
      <c r="L31" s="299">
        <f>IF(K31="","",PRIX!L31*'QUANTITE DETENUES'!L31)</f>
        <v>0</v>
      </c>
      <c r="M31" s="299">
        <f>IF(L31="","",PRIX!M31*'QUANTITE DETENUES'!M31)</f>
        <v>0</v>
      </c>
      <c r="N31" s="299">
        <f>IF(M31="","",PRIX!N31*'QUANTITE DETENUES'!N31)</f>
        <v>0</v>
      </c>
      <c r="O31" s="299">
        <f>IF(N31="","",PRIX!O31*'QUANTITE DETENUES'!O31)</f>
        <v>0</v>
      </c>
      <c r="P31" s="299">
        <f>IF(O31="","",PRIX!P31*'QUANTITE DETENUES'!P31)</f>
        <v>0</v>
      </c>
      <c r="Q31" s="299">
        <f>IF(P31="","",PRIX!Q31*'QUANTITE DETENUES'!Q31)</f>
        <v>0</v>
      </c>
      <c r="R31" s="299">
        <f>IF(Q31="","",PRIX!R31*'QUANTITE DETENUES'!R31)</f>
        <v>0</v>
      </c>
      <c r="S31" s="300">
        <f>IF(R31="","",PRIX!T31*'QUANTITE DETENUES'!S31)</f>
        <v>0</v>
      </c>
      <c r="T31" s="14">
        <f>IF(A31="","",ARBITRAGES!M31)</f>
        <v>2406.202947</v>
      </c>
      <c r="U31" s="301">
        <f t="shared" si="1"/>
        <v>41963.67533</v>
      </c>
      <c r="V31" s="302">
        <f t="shared" si="2"/>
        <v>0.9426598617</v>
      </c>
      <c r="W31" s="288"/>
      <c r="X31" s="289"/>
      <c r="Y31" s="289"/>
      <c r="Z31" s="289"/>
      <c r="AA31" s="289"/>
      <c r="AB31" s="289"/>
      <c r="AC31" s="289"/>
      <c r="AD31" s="289"/>
      <c r="AE31" s="289"/>
      <c r="AF31" s="289"/>
      <c r="AG31" s="289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  <c r="AX31" s="289"/>
      <c r="AY31" s="289"/>
      <c r="AZ31" s="289"/>
      <c r="BA31" s="289"/>
    </row>
    <row r="32">
      <c r="A32" s="290">
        <f>IF(ARBITRAGES!E32="","",ARBITRAGES!E32)</f>
        <v>45598</v>
      </c>
      <c r="B32" s="299">
        <f>IF(A32="","",PRIX!B32*'QUANTITE DETENUES'!B32)</f>
        <v>20144.40241</v>
      </c>
      <c r="C32" s="299">
        <f>IF(B32="","",PRIX!C32*'QUANTITE DETENUES'!C32)</f>
        <v>6858.85585</v>
      </c>
      <c r="D32" s="299">
        <f>IF(C32="","",PRIX!D32*'QUANTITE DETENUES'!D32)</f>
        <v>2529.981827</v>
      </c>
      <c r="E32" s="299">
        <f>IF(D32="","",PRIX!E32*'QUANTITE DETENUES'!E32)</f>
        <v>2719.807004</v>
      </c>
      <c r="F32" s="299">
        <f>IF(E32="","",PRIX!F32*'QUANTITE DETENUES'!F32)</f>
        <v>2498.998876</v>
      </c>
      <c r="G32" s="299">
        <f>IF(F32="","",PRIX!G32*'QUANTITE DETENUES'!G32)</f>
        <v>889</v>
      </c>
      <c r="H32" s="299">
        <f>IF(G32="","",PRIX!H32*'QUANTITE DETENUES'!H32)</f>
        <v>1060</v>
      </c>
      <c r="I32" s="299">
        <f>IF(H32="","",PRIX!I32*'QUANTITE DETENUES'!I32)</f>
        <v>473</v>
      </c>
      <c r="J32" s="299">
        <f>IF(I32="","",PRIX!J32*'QUANTITE DETENUES'!J32)</f>
        <v>830.29176</v>
      </c>
      <c r="K32" s="299">
        <f>IF(J32="","",PRIX!K32*'QUANTITE DETENUES'!K32)</f>
        <v>244.016</v>
      </c>
      <c r="L32" s="299">
        <f>IF(K32="","",PRIX!L32*'QUANTITE DETENUES'!L32)</f>
        <v>701.25</v>
      </c>
      <c r="M32" s="299">
        <f>IF(L32="","",PRIX!M32*'QUANTITE DETENUES'!M32)</f>
        <v>0</v>
      </c>
      <c r="N32" s="299">
        <f>IF(M32="","",PRIX!N32*'QUANTITE DETENUES'!N32)</f>
        <v>0</v>
      </c>
      <c r="O32" s="299">
        <f>IF(N32="","",PRIX!O32*'QUANTITE DETENUES'!O32)</f>
        <v>0</v>
      </c>
      <c r="P32" s="299">
        <f>IF(O32="","",PRIX!P32*'QUANTITE DETENUES'!P32)</f>
        <v>0</v>
      </c>
      <c r="Q32" s="299">
        <f>IF(P32="","",PRIX!Q32*'QUANTITE DETENUES'!Q32)</f>
        <v>0</v>
      </c>
      <c r="R32" s="299">
        <f>IF(Q32="","",PRIX!R32*'QUANTITE DETENUES'!R32)</f>
        <v>0</v>
      </c>
      <c r="S32" s="300">
        <f>IF(R32="","",PRIX!T32*'QUANTITE DETENUES'!S32)</f>
        <v>0</v>
      </c>
      <c r="T32" s="14">
        <f>IF(A32="","",ARBITRAGES!M32)</f>
        <v>1704.952947</v>
      </c>
      <c r="U32" s="301">
        <f t="shared" si="1"/>
        <v>40654.55668</v>
      </c>
      <c r="V32" s="302">
        <f t="shared" si="2"/>
        <v>0.9580624391</v>
      </c>
      <c r="W32" s="288"/>
      <c r="X32" s="289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</row>
    <row r="33">
      <c r="A33" s="290">
        <f>IF(ARBITRAGES!E33="","",ARBITRAGES!E33)</f>
        <v>45599</v>
      </c>
      <c r="B33" s="299">
        <f>IF(A33="","",PRIX!B33*'QUANTITE DETENUES'!B33)</f>
        <v>20291.44185</v>
      </c>
      <c r="C33" s="299">
        <f>IF(B33="","",PRIX!C33*'QUANTITE DETENUES'!C33)</f>
        <v>6858.85585</v>
      </c>
      <c r="D33" s="299">
        <f>IF(C33="","",PRIX!D33*'QUANTITE DETENUES'!D33)</f>
        <v>2529.981827</v>
      </c>
      <c r="E33" s="299">
        <f>IF(D33="","",PRIX!E33*'QUANTITE DETENUES'!E33)</f>
        <v>2770.803385</v>
      </c>
      <c r="F33" s="299">
        <f>IF(E33="","",PRIX!F33*'QUANTITE DETENUES'!F33)</f>
        <v>2558.498849</v>
      </c>
      <c r="G33" s="299">
        <f>IF(F33="","",PRIX!G33*'QUANTITE DETENUES'!G33)</f>
        <v>889</v>
      </c>
      <c r="H33" s="299">
        <f>IF(G33="","",PRIX!H33*'QUANTITE DETENUES'!H33)</f>
        <v>1060</v>
      </c>
      <c r="I33" s="299">
        <f>IF(H33="","",PRIX!I33*'QUANTITE DETENUES'!I33)</f>
        <v>473</v>
      </c>
      <c r="J33" s="299">
        <f>IF(I33="","",PRIX!J33*'QUANTITE DETENUES'!J33)</f>
        <v>830.29176</v>
      </c>
      <c r="K33" s="299">
        <f>IF(J33="","",PRIX!K33*'QUANTITE DETENUES'!K33)</f>
        <v>244.016</v>
      </c>
      <c r="L33" s="299">
        <f>IF(K33="","",PRIX!L33*'QUANTITE DETENUES'!L33)</f>
        <v>317.1</v>
      </c>
      <c r="M33" s="299">
        <f>IF(L33="","",PRIX!M33*'QUANTITE DETENUES'!M33)</f>
        <v>0</v>
      </c>
      <c r="N33" s="299">
        <f>IF(M33="","",PRIX!N33*'QUANTITE DETENUES'!N33)</f>
        <v>0</v>
      </c>
      <c r="O33" s="299">
        <f>IF(N33="","",PRIX!O33*'QUANTITE DETENUES'!O33)</f>
        <v>0</v>
      </c>
      <c r="P33" s="299">
        <f>IF(O33="","",PRIX!P33*'QUANTITE DETENUES'!P33)</f>
        <v>0</v>
      </c>
      <c r="Q33" s="299">
        <f>IF(P33="","",PRIX!Q33*'QUANTITE DETENUES'!Q33)</f>
        <v>0</v>
      </c>
      <c r="R33" s="299">
        <f>IF(Q33="","",PRIX!R33*'QUANTITE DETENUES'!R33)</f>
        <v>0</v>
      </c>
      <c r="S33" s="300">
        <f>IF(R33="","",PRIX!T33*'QUANTITE DETENUES'!S33)</f>
        <v>0</v>
      </c>
      <c r="T33" s="14">
        <f>IF(A33="","",ARBITRAGES!M33)</f>
        <v>2109.415447</v>
      </c>
      <c r="U33" s="301">
        <f t="shared" si="1"/>
        <v>40932.40497</v>
      </c>
      <c r="V33" s="302">
        <f t="shared" si="2"/>
        <v>0.9484658806</v>
      </c>
      <c r="W33" s="288"/>
      <c r="X33" s="289"/>
      <c r="Y33" s="289"/>
      <c r="Z33" s="289"/>
      <c r="AA33" s="289"/>
      <c r="AB33" s="289"/>
      <c r="AC33" s="289"/>
      <c r="AD33" s="289"/>
      <c r="AE33" s="289"/>
      <c r="AF33" s="289"/>
      <c r="AG33" s="289"/>
      <c r="AH33" s="289"/>
      <c r="AI33" s="289"/>
      <c r="AJ33" s="289"/>
      <c r="AK33" s="289"/>
      <c r="AL33" s="289"/>
      <c r="AM33" s="289"/>
      <c r="AN33" s="289"/>
      <c r="AO33" s="289"/>
      <c r="AP33" s="289"/>
      <c r="AQ33" s="289"/>
      <c r="AR33" s="289"/>
      <c r="AS33" s="289"/>
      <c r="AT33" s="289"/>
      <c r="AU33" s="289"/>
      <c r="AV33" s="289"/>
      <c r="AW33" s="289"/>
      <c r="AX33" s="289"/>
      <c r="AY33" s="289"/>
      <c r="AZ33" s="289"/>
      <c r="BA33" s="289"/>
    </row>
    <row r="34">
      <c r="A34" s="290">
        <f>IF(ARBITRAGES!E34="","",ARBITRAGES!E34)</f>
        <v>45602</v>
      </c>
      <c r="B34" s="299">
        <f>IF(A34="","",PRIX!B34*'QUANTITE DETENUES'!B34)</f>
        <v>22350.75392</v>
      </c>
      <c r="C34" s="299">
        <f>IF(B34="","",PRIX!C34*'QUANTITE DETENUES'!C34)</f>
        <v>7564.4361</v>
      </c>
      <c r="D34" s="299">
        <f>IF(C34="","",PRIX!D34*'QUANTITE DETENUES'!D34)</f>
        <v>2615.875517</v>
      </c>
      <c r="E34" s="299">
        <f>IF(D34="","",PRIX!E34*'QUANTITE DETENUES'!E34)</f>
        <v>2456.772024</v>
      </c>
      <c r="F34" s="299">
        <f>IF(E34="","",PRIX!F34*'QUANTITE DETENUES'!F34)</f>
        <v>3124.34972</v>
      </c>
      <c r="G34" s="299">
        <f>IF(F34="","",PRIX!G34*'QUANTITE DETENUES'!G34)</f>
        <v>969.87949</v>
      </c>
      <c r="H34" s="299">
        <f>IF(G34="","",PRIX!H34*'QUANTITE DETENUES'!H34)</f>
        <v>1207</v>
      </c>
      <c r="I34" s="299">
        <f>IF(H34="","",PRIX!I34*'QUANTITE DETENUES'!I34)</f>
        <v>535.7</v>
      </c>
      <c r="J34" s="299">
        <f>IF(I34="","",PRIX!J34*'QUANTITE DETENUES'!J34)</f>
        <v>876.4190855</v>
      </c>
      <c r="K34" s="299">
        <f>IF(J34="","",PRIX!K34*'QUANTITE DETENUES'!K34)</f>
        <v>269.948541</v>
      </c>
      <c r="L34" s="299">
        <f>IF(K34="","",PRIX!L34*'QUANTITE DETENUES'!L34)</f>
        <v>362.431539</v>
      </c>
      <c r="M34" s="299">
        <f>IF(L34="","",PRIX!M34*'QUANTITE DETENUES'!M34)</f>
        <v>0</v>
      </c>
      <c r="N34" s="299">
        <f>IF(M34="","",PRIX!N34*'QUANTITE DETENUES'!N34)</f>
        <v>0</v>
      </c>
      <c r="O34" s="299">
        <f>IF(N34="","",PRIX!O34*'QUANTITE DETENUES'!O34)</f>
        <v>0</v>
      </c>
      <c r="P34" s="299">
        <f>IF(O34="","",PRIX!P34*'QUANTITE DETENUES'!P34)</f>
        <v>0</v>
      </c>
      <c r="Q34" s="299">
        <f>IF(P34="","",PRIX!Q34*'QUANTITE DETENUES'!Q34)</f>
        <v>0</v>
      </c>
      <c r="R34" s="299">
        <f>IF(Q34="","",PRIX!R34*'QUANTITE DETENUES'!R34)</f>
        <v>0</v>
      </c>
      <c r="S34" s="300">
        <f>IF(R34="","",PRIX!T34*'QUANTITE DETENUES'!S34)</f>
        <v>0</v>
      </c>
      <c r="T34" s="14">
        <f>IF(A34="","",ARBITRAGES!M34)</f>
        <v>2829.415447</v>
      </c>
      <c r="U34" s="301">
        <f t="shared" si="1"/>
        <v>45162.98138</v>
      </c>
      <c r="V34" s="302">
        <f t="shared" si="2"/>
        <v>0.9373510038</v>
      </c>
      <c r="W34" s="288"/>
      <c r="X34" s="289"/>
      <c r="Y34" s="289"/>
      <c r="Z34" s="289"/>
      <c r="AA34" s="289"/>
      <c r="AB34" s="289"/>
      <c r="AC34" s="289"/>
      <c r="AD34" s="289"/>
      <c r="AE34" s="289"/>
      <c r="AF34" s="289"/>
      <c r="AG34" s="289"/>
      <c r="AH34" s="289"/>
      <c r="AI34" s="289"/>
      <c r="AJ34" s="289"/>
      <c r="AK34" s="289"/>
      <c r="AL34" s="289"/>
      <c r="AM34" s="289"/>
      <c r="AN34" s="289"/>
      <c r="AO34" s="289"/>
      <c r="AP34" s="289"/>
      <c r="AQ34" s="289"/>
      <c r="AR34" s="289"/>
      <c r="AS34" s="289"/>
      <c r="AT34" s="289"/>
      <c r="AU34" s="289"/>
      <c r="AV34" s="289"/>
      <c r="AW34" s="289"/>
      <c r="AX34" s="289"/>
      <c r="AY34" s="289"/>
      <c r="AZ34" s="289"/>
      <c r="BA34" s="289"/>
    </row>
    <row r="35">
      <c r="A35" s="290">
        <f>PRIX!A35</f>
        <v>45606</v>
      </c>
      <c r="B35" s="299">
        <f>IF(A35="","",PRIX!B35*'QUANTITE DETENUES'!B35)</f>
        <v>23821.19826</v>
      </c>
      <c r="C35" s="299">
        <f>IF(B35="","",PRIX!C35*'QUANTITE DETENUES'!C35)</f>
        <v>9049.30689</v>
      </c>
      <c r="D35" s="299">
        <f>IF(C35="","",PRIX!D35*'QUANTITE DETENUES'!D35)</f>
        <v>3025.723522</v>
      </c>
      <c r="E35" s="299">
        <f>IF(D35="","",PRIX!E35*'QUANTITE DETENUES'!E35)</f>
        <v>2794.740662</v>
      </c>
      <c r="F35" s="299">
        <f>IF(E35="","",PRIX!F35*'QUANTITE DETENUES'!F35)</f>
        <v>3421.906836</v>
      </c>
      <c r="G35" s="299">
        <f>IF(F35="","",PRIX!G35*'QUANTITE DETENUES'!G35)</f>
        <v>1162.45484</v>
      </c>
      <c r="H35" s="299">
        <f>IF(G35="","",PRIX!H35*'QUANTITE DETENUES'!H35)</f>
        <v>1470</v>
      </c>
      <c r="I35" s="299">
        <f>IF(H35="","",PRIX!I35*'QUANTITE DETENUES'!I35)</f>
        <v>783.75</v>
      </c>
      <c r="J35" s="299">
        <f>IF(I35="","",PRIX!J35*'QUANTITE DETENUES'!J35)</f>
        <v>979.9989559</v>
      </c>
      <c r="K35" s="299">
        <f>IF(J35="","",PRIX!K35*'QUANTITE DETENUES'!K35)</f>
        <v>312.652265</v>
      </c>
      <c r="L35" s="299">
        <f>IF(K35="","",PRIX!L35*'QUANTITE DETENUES'!L35)</f>
        <v>455.22802</v>
      </c>
      <c r="M35" s="299">
        <f>IF(L35="","",PRIX!M35*'QUANTITE DETENUES'!M35)</f>
        <v>0</v>
      </c>
      <c r="N35" s="299">
        <f>IF(M35="","",PRIX!N35*'QUANTITE DETENUES'!N35)</f>
        <v>0</v>
      </c>
      <c r="O35" s="299">
        <f>IF(N35="","",PRIX!O35*'QUANTITE DETENUES'!O35)</f>
        <v>0</v>
      </c>
      <c r="P35" s="299">
        <f>IF(O35="","",PRIX!P35*'QUANTITE DETENUES'!P35)</f>
        <v>0</v>
      </c>
      <c r="Q35" s="299">
        <f>IF(P35="","",PRIX!Q35*'QUANTITE DETENUES'!Q35)</f>
        <v>0</v>
      </c>
      <c r="R35" s="299">
        <f>IF(Q35="","",PRIX!R35*'QUANTITE DETENUES'!R35)</f>
        <v>0</v>
      </c>
      <c r="S35" s="300">
        <f>IF(R35="","",PRIX!T35*'QUANTITE DETENUES'!S35)</f>
        <v>0</v>
      </c>
      <c r="T35" s="14">
        <f>IF(A35="","",ARBITRAGES!M35)</f>
        <v>3104.261179</v>
      </c>
      <c r="U35" s="301">
        <f t="shared" si="1"/>
        <v>50381.22143</v>
      </c>
      <c r="V35" s="302">
        <f t="shared" si="2"/>
        <v>0.9383845589</v>
      </c>
      <c r="W35" s="288"/>
      <c r="X35" s="289"/>
      <c r="Y35" s="289"/>
      <c r="Z35" s="289"/>
      <c r="AA35" s="289"/>
      <c r="AB35" s="289"/>
      <c r="AC35" s="289"/>
      <c r="AD35" s="289"/>
      <c r="AE35" s="289"/>
      <c r="AF35" s="289"/>
      <c r="AG35" s="289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</row>
    <row r="36">
      <c r="A36" s="290">
        <f>PRIX!A36</f>
        <v>45576</v>
      </c>
      <c r="B36" s="299">
        <f>IF(A36="","",PRIX!B36*'QUANTITE DETENUES'!B36)</f>
        <v>25585.73146</v>
      </c>
      <c r="C36" s="299">
        <f>IF(B36="","",PRIX!C36*'QUANTITE DETENUES'!C36)</f>
        <v>9385.50405</v>
      </c>
      <c r="D36" s="299">
        <f>IF(C36="","",PRIX!D36*'QUANTITE DETENUES'!D36)</f>
        <v>3025.723522</v>
      </c>
      <c r="E36" s="299">
        <f>IF(D36="","",PRIX!E36*'QUANTITE DETENUES'!E36)</f>
        <v>2859.734631</v>
      </c>
      <c r="F36" s="299">
        <f>IF(E36="","",PRIX!F36*'QUANTITE DETENUES'!F36)</f>
        <v>3630.196818</v>
      </c>
      <c r="G36" s="299">
        <f>IF(F36="","",PRIX!G36*'QUANTITE DETENUES'!G36)</f>
        <v>1120.4384</v>
      </c>
      <c r="H36" s="299">
        <f>IF(G36="","",PRIX!H36*'QUANTITE DETENUES'!H36)</f>
        <v>1465</v>
      </c>
      <c r="I36" s="299">
        <f>IF(H36="","",PRIX!I36*'QUANTITE DETENUES'!I36)</f>
        <v>612.5</v>
      </c>
      <c r="J36" s="299">
        <f>IF(I36="","",PRIX!J36*'QUANTITE DETENUES'!J36)</f>
        <v>979.9989559</v>
      </c>
      <c r="K36" s="299">
        <f>IF(J36="","",PRIX!K36*'QUANTITE DETENUES'!K36)</f>
        <v>312.652265</v>
      </c>
      <c r="L36" s="299">
        <f>IF(K36="","",PRIX!L36*'QUANTITE DETENUES'!L36)</f>
        <v>437.71925</v>
      </c>
      <c r="M36" s="299">
        <f>IF(L36="","",PRIX!M36*'QUANTITE DETENUES'!M36)</f>
        <v>0</v>
      </c>
      <c r="N36" s="299">
        <f>IF(M36="","",PRIX!N36*'QUANTITE DETENUES'!N36)</f>
        <v>0</v>
      </c>
      <c r="O36" s="299">
        <f>IF(N36="","",PRIX!O36*'QUANTITE DETENUES'!O36)</f>
        <v>0</v>
      </c>
      <c r="P36" s="299">
        <f>IF(O36="","",PRIX!P36*'QUANTITE DETENUES'!P36)</f>
        <v>0</v>
      </c>
      <c r="Q36" s="299">
        <f>IF(P36="","",PRIX!Q36*'QUANTITE DETENUES'!Q36)</f>
        <v>0</v>
      </c>
      <c r="R36" s="299">
        <f>IF(Q36="","",PRIX!R36*'QUANTITE DETENUES'!R36)</f>
        <v>0</v>
      </c>
      <c r="S36" s="300">
        <f>IF(R36="","",PRIX!T36*'QUANTITE DETENUES'!S36)</f>
        <v>0</v>
      </c>
      <c r="T36" s="14">
        <f>IF(A36="","",ARBITRAGES!M36)</f>
        <v>3454.261179</v>
      </c>
      <c r="U36" s="301">
        <f t="shared" si="1"/>
        <v>52869.46053</v>
      </c>
      <c r="V36" s="302">
        <f t="shared" si="2"/>
        <v>0.9346643385</v>
      </c>
      <c r="W36" s="288"/>
      <c r="X36" s="289"/>
      <c r="Y36" s="289"/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89"/>
      <c r="AL36" s="289"/>
      <c r="AM36" s="289"/>
      <c r="AN36" s="289"/>
      <c r="AO36" s="289"/>
      <c r="AP36" s="289"/>
      <c r="AQ36" s="289"/>
      <c r="AR36" s="289"/>
      <c r="AS36" s="289"/>
      <c r="AT36" s="289"/>
      <c r="AU36" s="289"/>
      <c r="AV36" s="289"/>
      <c r="AW36" s="289"/>
      <c r="AX36" s="289"/>
      <c r="AY36" s="289"/>
      <c r="AZ36" s="289"/>
      <c r="BA36" s="289"/>
    </row>
    <row r="37">
      <c r="A37" s="290">
        <f>PRIX!A37</f>
        <v>45608</v>
      </c>
      <c r="B37" s="299">
        <f>IF(A37="","",PRIX!B37*'QUANTITE DETENUES'!B37)</f>
        <v>25255.74721</v>
      </c>
      <c r="C37" s="299">
        <f>IF(B37="","",PRIX!C37*'QUANTITE DETENUES'!C37)</f>
        <v>9525.5862</v>
      </c>
      <c r="D37" s="299">
        <f>IF(C37="","",PRIX!D37*'QUANTITE DETENUES'!D37)</f>
        <v>3053.230099</v>
      </c>
      <c r="E37" s="299">
        <f>IF(D37="","",PRIX!E37*'QUANTITE DETENUES'!E37)</f>
        <v>2924.7286</v>
      </c>
      <c r="F37" s="299">
        <f>IF(E37="","",PRIX!F37*'QUANTITE DETENUES'!F37)</f>
        <v>3600.441106</v>
      </c>
      <c r="G37" s="299">
        <f>IF(F37="","",PRIX!G37*'QUANTITE DETENUES'!G37)</f>
        <v>1127.44114</v>
      </c>
      <c r="H37" s="299">
        <f>IF(G37="","",PRIX!H37*'QUANTITE DETENUES'!H37)</f>
        <v>1500</v>
      </c>
      <c r="I37" s="299">
        <f>IF(H37="","",PRIX!I37*'QUANTITE DETENUES'!I37)</f>
        <v>728</v>
      </c>
      <c r="J37" s="299">
        <f>IF(I37="","",PRIX!J37*'QUANTITE DETENUES'!J37)</f>
        <v>1028.998904</v>
      </c>
      <c r="K37" s="299">
        <f>IF(J37="","",PRIX!K37*'QUANTITE DETENUES'!K37)</f>
        <v>321.803063</v>
      </c>
      <c r="L37" s="299">
        <f>IF(K37="","",PRIX!L37*'QUANTITE DETENUES'!L37)</f>
        <v>427.213988</v>
      </c>
      <c r="M37" s="299">
        <f>IF(L37="","",PRIX!M37*'QUANTITE DETENUES'!M37)</f>
        <v>0</v>
      </c>
      <c r="N37" s="299">
        <f>IF(M37="","",PRIX!N37*'QUANTITE DETENUES'!N37)</f>
        <v>0</v>
      </c>
      <c r="O37" s="299">
        <f>IF(N37="","",PRIX!O37*'QUANTITE DETENUES'!O37)</f>
        <v>0</v>
      </c>
      <c r="P37" s="299">
        <f>IF(O37="","",PRIX!P37*'QUANTITE DETENUES'!P37)</f>
        <v>0</v>
      </c>
      <c r="Q37" s="299">
        <f>IF(P37="","",PRIX!Q37*'QUANTITE DETENUES'!Q37)</f>
        <v>0</v>
      </c>
      <c r="R37" s="299">
        <f>IF(Q37="","",PRIX!R37*'QUANTITE DETENUES'!R37)</f>
        <v>0</v>
      </c>
      <c r="S37" s="300">
        <f>IF(R37="","",PRIX!T37*'QUANTITE DETENUES'!S37)</f>
        <v>0</v>
      </c>
      <c r="T37" s="14">
        <f>IF(A37="","",ARBITRAGES!M37)</f>
        <v>4715.465639</v>
      </c>
      <c r="U37" s="301">
        <f t="shared" si="1"/>
        <v>54208.65594</v>
      </c>
      <c r="V37" s="302">
        <f t="shared" si="2"/>
        <v>0.9130126812</v>
      </c>
      <c r="W37" s="288"/>
      <c r="X37" s="289"/>
      <c r="Y37" s="289"/>
      <c r="Z37" s="289"/>
      <c r="AA37" s="289"/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289"/>
      <c r="AY37" s="289"/>
      <c r="AZ37" s="289"/>
      <c r="BA37" s="289"/>
    </row>
    <row r="38">
      <c r="A38" s="290">
        <f>PRIX!A38</f>
        <v>45609</v>
      </c>
      <c r="B38" s="299">
        <f>IF(A38="","",PRIX!B38*'QUANTITE DETENUES'!B38)</f>
        <v>24499.75477</v>
      </c>
      <c r="C38" s="299">
        <f>IF(B38="","",PRIX!C38*'QUANTITE DETENUES'!C38)</f>
        <v>8881.20831</v>
      </c>
      <c r="D38" s="299">
        <f>IF(C38="","",PRIX!D38*'QUANTITE DETENUES'!D38)</f>
        <v>2871.686688</v>
      </c>
      <c r="E38" s="299">
        <f>IF(D38="","",PRIX!E38*'QUANTITE DETENUES'!E38)</f>
        <v>2703.749105</v>
      </c>
      <c r="F38" s="299">
        <f>IF(E38="","",PRIX!F38*'QUANTITE DETENUES'!F38)</f>
        <v>3213.616855</v>
      </c>
      <c r="G38" s="299">
        <f>IF(F38="","",PRIX!G38*'QUANTITE DETENUES'!G38)</f>
        <v>1008.39456</v>
      </c>
      <c r="H38" s="299">
        <f>IF(G38="","",PRIX!H38*'QUANTITE DETENUES'!H38)</f>
        <v>1335</v>
      </c>
      <c r="I38" s="299">
        <f>IF(H38="","",PRIX!I38*'QUANTITE DETENUES'!I38)</f>
        <v>665</v>
      </c>
      <c r="J38" s="299">
        <f>IF(I38="","",PRIX!J38*'QUANTITE DETENUES'!J38)</f>
        <v>843.4991013</v>
      </c>
      <c r="K38" s="299">
        <f>IF(J38="","",PRIX!K38*'QUANTITE DETENUES'!K38)</f>
        <v>280.624472</v>
      </c>
      <c r="L38" s="299">
        <f>IF(K38="","",PRIX!L38*'QUANTITE DETENUES'!L38)</f>
        <v>385.19294</v>
      </c>
      <c r="M38" s="299">
        <f>IF(L38="","",PRIX!M38*'QUANTITE DETENUES'!M38)</f>
        <v>0</v>
      </c>
      <c r="N38" s="299">
        <f>IF(M38="","",PRIX!N38*'QUANTITE DETENUES'!N38)</f>
        <v>762</v>
      </c>
      <c r="O38" s="299">
        <f>IF(N38="","",PRIX!O38*'QUANTITE DETENUES'!O38)</f>
        <v>0</v>
      </c>
      <c r="P38" s="299">
        <f>IF(O38="","",PRIX!P38*'QUANTITE DETENUES'!P38)</f>
        <v>0</v>
      </c>
      <c r="Q38" s="299">
        <f>IF(P38="","",PRIX!Q38*'QUANTITE DETENUES'!Q38)</f>
        <v>0</v>
      </c>
      <c r="R38" s="299">
        <f>IF(Q38="","",PRIX!R38*'QUANTITE DETENUES'!R38)</f>
        <v>0</v>
      </c>
      <c r="S38" s="300">
        <f>IF(R38="","",PRIX!T38*'QUANTITE DETENUES'!S38)</f>
        <v>0</v>
      </c>
      <c r="T38" s="14">
        <f>IF(A38="","",ARBITRAGES!M38)</f>
        <v>3965.465639</v>
      </c>
      <c r="U38" s="301">
        <f t="shared" si="1"/>
        <v>51415.19244</v>
      </c>
      <c r="V38" s="302">
        <f t="shared" si="2"/>
        <v>0.9228736595</v>
      </c>
      <c r="W38" s="288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9"/>
      <c r="AY38" s="289"/>
      <c r="AZ38" s="289"/>
      <c r="BA38" s="289"/>
    </row>
    <row r="39">
      <c r="A39" s="290">
        <f>PRIX!A39</f>
        <v>45609</v>
      </c>
      <c r="B39" s="299">
        <f>IF(A39="","",PRIX!B39*'QUANTITE DETENUES'!B39)</f>
        <v>24499.75477</v>
      </c>
      <c r="C39" s="299">
        <f>IF(B39="","",PRIX!C39*'QUANTITE DETENUES'!C39)</f>
        <v>8881.20831</v>
      </c>
      <c r="D39" s="299">
        <f>IF(C39="","",PRIX!D39*'QUANTITE DETENUES'!D39)</f>
        <v>2871.686688</v>
      </c>
      <c r="E39" s="299">
        <f>IF(D39="","",PRIX!E39*'QUANTITE DETENUES'!E39)</f>
        <v>2703.749105</v>
      </c>
      <c r="F39" s="299">
        <f>IF(E39="","",PRIX!F39*'QUANTITE DETENUES'!F39)</f>
        <v>3213.616855</v>
      </c>
      <c r="G39" s="299">
        <f>IF(F39="","",PRIX!G39*'QUANTITE DETENUES'!G39)</f>
        <v>1008.39456</v>
      </c>
      <c r="H39" s="299">
        <f>IF(G39="","",PRIX!H39*'QUANTITE DETENUES'!H39)</f>
        <v>1335</v>
      </c>
      <c r="I39" s="299">
        <f>IF(H39="","",PRIX!I39*'QUANTITE DETENUES'!I39)</f>
        <v>665</v>
      </c>
      <c r="J39" s="299">
        <f>IF(I39="","",PRIX!J39*'QUANTITE DETENUES'!J39)</f>
        <v>843.4991013</v>
      </c>
      <c r="K39" s="299">
        <f>IF(J39="","",PRIX!K39*'QUANTITE DETENUES'!K39)</f>
        <v>280.624472</v>
      </c>
      <c r="L39" s="299">
        <f>IF(K39="","",PRIX!L39*'QUANTITE DETENUES'!L39)</f>
        <v>385.19294</v>
      </c>
      <c r="M39" s="299">
        <f>IF(L39="","",PRIX!M39*'QUANTITE DETENUES'!M39)</f>
        <v>569.5</v>
      </c>
      <c r="N39" s="299">
        <f>IF(M39="","",PRIX!N39*'QUANTITE DETENUES'!N39)</f>
        <v>762</v>
      </c>
      <c r="O39" s="299">
        <f>IF(N39="","",PRIX!O39*'QUANTITE DETENUES'!O39)</f>
        <v>0</v>
      </c>
      <c r="P39" s="299">
        <f>IF(O39="","",PRIX!P39*'QUANTITE DETENUES'!P39)</f>
        <v>0</v>
      </c>
      <c r="Q39" s="299">
        <f>IF(P39="","",PRIX!Q39*'QUANTITE DETENUES'!Q39)</f>
        <v>0</v>
      </c>
      <c r="R39" s="299">
        <f>IF(Q39="","",PRIX!R39*'QUANTITE DETENUES'!R39)</f>
        <v>0</v>
      </c>
      <c r="S39" s="300">
        <f>IF(R39="","",PRIX!T39*'QUANTITE DETENUES'!S39)</f>
        <v>0</v>
      </c>
      <c r="T39" s="14">
        <f>IF(A39="","",ARBITRAGES!M39)</f>
        <v>3395.965639</v>
      </c>
      <c r="U39" s="301">
        <f t="shared" si="1"/>
        <v>51415.19244</v>
      </c>
      <c r="V39" s="302">
        <f t="shared" si="2"/>
        <v>0.9339501521</v>
      </c>
      <c r="W39" s="288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</row>
    <row r="40">
      <c r="A40" s="290">
        <f>PRIX!A40</f>
        <v>45609</v>
      </c>
      <c r="B40" s="299">
        <f>IF(A40="","",PRIX!B40*'QUANTITE DETENUES'!B40)</f>
        <v>24499.75477</v>
      </c>
      <c r="C40" s="299">
        <f>IF(B40="","",PRIX!C40*'QUANTITE DETENUES'!C40)</f>
        <v>8881.20831</v>
      </c>
      <c r="D40" s="299">
        <f>IF(C40="","",PRIX!D40*'QUANTITE DETENUES'!D40)</f>
        <v>2871.686688</v>
      </c>
      <c r="E40" s="299">
        <f>IF(D40="","",PRIX!E40*'QUANTITE DETENUES'!E40)</f>
        <v>2703.749105</v>
      </c>
      <c r="F40" s="299">
        <f>IF(E40="","",PRIX!F40*'QUANTITE DETENUES'!F40)</f>
        <v>3213.616855</v>
      </c>
      <c r="G40" s="299">
        <f>IF(F40="","",PRIX!G40*'QUANTITE DETENUES'!G40)</f>
        <v>1008.39456</v>
      </c>
      <c r="H40" s="299">
        <f>IF(G40="","",PRIX!H40*'QUANTITE DETENUES'!H40)</f>
        <v>1335</v>
      </c>
      <c r="I40" s="299">
        <f>IF(H40="","",PRIX!I40*'QUANTITE DETENUES'!I40)</f>
        <v>665</v>
      </c>
      <c r="J40" s="299">
        <f>IF(I40="","",PRIX!J40*'QUANTITE DETENUES'!J40)</f>
        <v>843.4991013</v>
      </c>
      <c r="K40" s="299">
        <f>IF(J40="","",PRIX!K40*'QUANTITE DETENUES'!K40)</f>
        <v>280.624472</v>
      </c>
      <c r="L40" s="299">
        <f>IF(K40="","",PRIX!L40*'QUANTITE DETENUES'!L40)</f>
        <v>885.69294</v>
      </c>
      <c r="M40" s="299">
        <f>IF(L40="","",PRIX!M40*'QUANTITE DETENUES'!M40)</f>
        <v>569.5</v>
      </c>
      <c r="N40" s="299">
        <f>IF(M40="","",PRIX!N40*'QUANTITE DETENUES'!N40)</f>
        <v>762</v>
      </c>
      <c r="O40" s="299">
        <f>IF(N40="","",PRIX!O40*'QUANTITE DETENUES'!O40)</f>
        <v>0</v>
      </c>
      <c r="P40" s="299">
        <f>IF(O40="","",PRIX!P40*'QUANTITE DETENUES'!P40)</f>
        <v>0</v>
      </c>
      <c r="Q40" s="299">
        <f>IF(P40="","",PRIX!Q40*'QUANTITE DETENUES'!Q40)</f>
        <v>0</v>
      </c>
      <c r="R40" s="299">
        <f>IF(Q40="","",PRIX!R40*'QUANTITE DETENUES'!R40)</f>
        <v>0</v>
      </c>
      <c r="S40" s="300">
        <f>IF(R40="","",PRIX!T40*'QUANTITE DETENUES'!S40)</f>
        <v>0</v>
      </c>
      <c r="T40" s="14">
        <f>IF(A40="","",ARBITRAGES!M40)</f>
        <v>2895.465639</v>
      </c>
      <c r="U40" s="301">
        <f t="shared" si="1"/>
        <v>51415.19244</v>
      </c>
      <c r="V40" s="302">
        <f t="shared" si="2"/>
        <v>0.943684629</v>
      </c>
      <c r="W40" s="288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9"/>
      <c r="AY40" s="289"/>
      <c r="AZ40" s="289"/>
      <c r="BA40" s="289"/>
    </row>
    <row r="41">
      <c r="A41" s="290">
        <f>PRIX!A41</f>
        <v>45610</v>
      </c>
      <c r="B41" s="299">
        <f>IF(A41="","",PRIX!B41*'QUANTITE DETENUES'!B41)</f>
        <v>27582.33146</v>
      </c>
      <c r="C41" s="299">
        <f>IF(B41="","",PRIX!C41*'QUANTITE DETENUES'!C41)</f>
        <v>8828.32545</v>
      </c>
      <c r="D41" s="299">
        <f>IF(C41="","",PRIX!D41*'QUANTITE DETENUES'!D41)</f>
        <v>3053.452099</v>
      </c>
      <c r="E41" s="299">
        <f>IF(D41="","",PRIX!E41*'QUANTITE DETENUES'!E41)</f>
        <v>3185.708975</v>
      </c>
      <c r="F41" s="299">
        <f>IF(E41="","",PRIX!F41*'QUANTITE DETENUES'!F41)</f>
        <v>2976.321162</v>
      </c>
      <c r="G41" s="299">
        <f>IF(F41="","",PRIX!G41*'QUANTITE DETENUES'!G41)</f>
        <v>1019.7473</v>
      </c>
      <c r="H41" s="299">
        <f>IF(G41="","",PRIX!H41*'QUANTITE DETENUES'!H41)</f>
        <v>1440.216</v>
      </c>
      <c r="I41" s="299">
        <f>IF(H41="","",PRIX!I41*'QUANTITE DETENUES'!I41)</f>
        <v>717.5082</v>
      </c>
      <c r="J41" s="299">
        <f>IF(I41="","",PRIX!J41*'QUANTITE DETENUES'!J41)</f>
        <v>892.5028741</v>
      </c>
      <c r="K41" s="299">
        <f>IF(J41="","",PRIX!K41*'QUANTITE DETENUES'!K41)</f>
        <v>292.854336</v>
      </c>
      <c r="L41" s="299">
        <f>IF(K41="","",PRIX!L41*'QUANTITE DETENUES'!L41)</f>
        <v>942.523218</v>
      </c>
      <c r="M41" s="299">
        <f>IF(L41="","",PRIX!M41*'QUANTITE DETENUES'!M41)</f>
        <v>552.75</v>
      </c>
      <c r="N41" s="299">
        <f>IF(M41="","",PRIX!N41*'QUANTITE DETENUES'!N41)</f>
        <v>798</v>
      </c>
      <c r="O41" s="299">
        <f>IF(N41="","",PRIX!O41*'QUANTITE DETENUES'!O41)</f>
        <v>0</v>
      </c>
      <c r="P41" s="299">
        <f>IF(O41="","",PRIX!P41*'QUANTITE DETENUES'!P41)</f>
        <v>0</v>
      </c>
      <c r="Q41" s="299">
        <f>IF(P41="","",PRIX!Q41*'QUANTITE DETENUES'!Q41)</f>
        <v>0</v>
      </c>
      <c r="R41" s="299">
        <f>IF(Q41="","",PRIX!R41*'QUANTITE DETENUES'!R41)</f>
        <v>0</v>
      </c>
      <c r="S41" s="300">
        <f>IF(R41="","",PRIX!T41*'QUANTITE DETENUES'!S41)</f>
        <v>0</v>
      </c>
      <c r="T41" s="14">
        <f>IF(A41="","",ARBITRAGES!M41)</f>
        <v>1585.465639</v>
      </c>
      <c r="U41" s="301">
        <f t="shared" si="1"/>
        <v>53867.70671</v>
      </c>
      <c r="V41" s="302">
        <f t="shared" si="2"/>
        <v>0.970567419</v>
      </c>
      <c r="W41" s="288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</row>
    <row r="42">
      <c r="A42" s="290">
        <f>PRIX!A42</f>
        <v>45615</v>
      </c>
      <c r="B42" s="299">
        <f>IF(A42="","",PRIX!B42*'QUANTITE DETENUES'!B42)</f>
        <v>27582.33146</v>
      </c>
      <c r="C42" s="299">
        <f>IF(B42="","",PRIX!C42*'QUANTITE DETENUES'!C42)</f>
        <v>8828.32545</v>
      </c>
      <c r="D42" s="299">
        <f>IF(C42="","",PRIX!D42*'QUANTITE DETENUES'!D42)</f>
        <v>3053.452099</v>
      </c>
      <c r="E42" s="299">
        <f>IF(D42="","",PRIX!E42*'QUANTITE DETENUES'!E42)</f>
        <v>3185.708975</v>
      </c>
      <c r="F42" s="299">
        <f>IF(E42="","",PRIX!F42*'QUANTITE DETENUES'!F42)</f>
        <v>2976.321162</v>
      </c>
      <c r="G42" s="299">
        <f>IF(F42="","",PRIX!G42*'QUANTITE DETENUES'!G42)</f>
        <v>1019.7473</v>
      </c>
      <c r="H42" s="299">
        <f>IF(G42="","",PRIX!H42*'QUANTITE DETENUES'!H42)</f>
        <v>1440.216</v>
      </c>
      <c r="I42" s="299">
        <f>IF(H42="","",PRIX!I42*'QUANTITE DETENUES'!I42)</f>
        <v>717.5082</v>
      </c>
      <c r="J42" s="299">
        <f>IF(I42="","",PRIX!J42*'QUANTITE DETENUES'!J42)</f>
        <v>522.7528741</v>
      </c>
      <c r="K42" s="299">
        <f>IF(J42="","",PRIX!K42*'QUANTITE DETENUES'!K42)</f>
        <v>292.854336</v>
      </c>
      <c r="L42" s="299">
        <f>IF(K42="","",PRIX!L42*'QUANTITE DETENUES'!L42)</f>
        <v>942.523218</v>
      </c>
      <c r="M42" s="299">
        <f>IF(L42="","",PRIX!M42*'QUANTITE DETENUES'!M42)</f>
        <v>552.75</v>
      </c>
      <c r="N42" s="299">
        <f>IF(M42="","",PRIX!N42*'QUANTITE DETENUES'!N42)</f>
        <v>798</v>
      </c>
      <c r="O42" s="299">
        <f>IF(N42="","",PRIX!O42*'QUANTITE DETENUES'!O42)</f>
        <v>0</v>
      </c>
      <c r="P42" s="299">
        <f>IF(O42="","",PRIX!P42*'QUANTITE DETENUES'!P42)</f>
        <v>0</v>
      </c>
      <c r="Q42" s="299">
        <f>IF(P42="","",PRIX!Q42*'QUANTITE DETENUES'!Q42)</f>
        <v>0</v>
      </c>
      <c r="R42" s="299">
        <f>IF(Q42="","",PRIX!R42*'QUANTITE DETENUES'!R42)</f>
        <v>0</v>
      </c>
      <c r="S42" s="300">
        <f>IF(R42="","",PRIX!T42*'QUANTITE DETENUES'!S42)</f>
        <v>0</v>
      </c>
      <c r="T42" s="14">
        <f>IF(A42="","",ARBITRAGES!M42)</f>
        <v>1962.465639</v>
      </c>
      <c r="U42" s="301">
        <f t="shared" si="1"/>
        <v>53874.95671</v>
      </c>
      <c r="V42" s="302">
        <f t="shared" si="2"/>
        <v>0.9635736944</v>
      </c>
      <c r="W42" s="288"/>
      <c r="X42" s="289"/>
      <c r="Y42" s="289"/>
      <c r="Z42" s="289"/>
      <c r="AA42" s="289"/>
      <c r="AB42" s="289"/>
      <c r="AC42" s="289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289"/>
      <c r="AY42" s="289"/>
      <c r="AZ42" s="289"/>
      <c r="BA42" s="289"/>
    </row>
    <row r="43">
      <c r="A43" s="290">
        <f>PRIX!A43</f>
        <v>45618</v>
      </c>
      <c r="B43" s="299">
        <f>IF(A43="","",PRIX!B43*'QUANTITE DETENUES'!B43)</f>
        <v>29204.82154</v>
      </c>
      <c r="C43" s="299">
        <f>IF(B43="","",PRIX!C43*'QUANTITE DETENUES'!C43)</f>
        <v>9809.2505</v>
      </c>
      <c r="D43" s="299">
        <f>IF(C43="","",PRIX!D43*'QUANTITE DETENUES'!D43)</f>
        <v>3576.115071</v>
      </c>
      <c r="E43" s="299">
        <f>IF(D43="","",PRIX!E43*'QUANTITE DETENUES'!E43)</f>
        <v>3419.761063</v>
      </c>
      <c r="F43" s="299">
        <f>IF(E43="","",PRIX!F43*'QUANTITE DETENUES'!F43)</f>
        <v>3184.663643</v>
      </c>
      <c r="G43" s="299">
        <f>IF(F43="","",PRIX!G43*'QUANTITE DETENUES'!G43)</f>
        <v>1146.33662</v>
      </c>
      <c r="H43" s="299">
        <f>IF(G43="","",PRIX!H43*'QUANTITE DETENUES'!H43)</f>
        <v>1800.27</v>
      </c>
      <c r="I43" s="299">
        <f>IF(H43="","",PRIX!I43*'QUANTITE DETENUES'!I43)</f>
        <v>840.0096</v>
      </c>
      <c r="J43" s="299">
        <f>IF(I43="","",PRIX!J43*'QUANTITE DETENUES'!J43)</f>
        <v>563.7530995</v>
      </c>
      <c r="K43" s="299">
        <f>IF(J43="","",PRIX!K43*'QUANTITE DETENUES'!K43)</f>
        <v>346.239241</v>
      </c>
      <c r="L43" s="299">
        <f>IF(K43="","",PRIX!L43*'QUANTITE DETENUES'!L43)</f>
        <v>950.578972</v>
      </c>
      <c r="M43" s="299">
        <f>IF(L43="","",PRIX!M43*'QUANTITE DETENUES'!M43)</f>
        <v>609.7</v>
      </c>
      <c r="N43" s="299">
        <f>IF(M43="","",PRIX!N43*'QUANTITE DETENUES'!N43)</f>
        <v>864</v>
      </c>
      <c r="O43" s="299">
        <f>IF(N43="","",PRIX!O43*'QUANTITE DETENUES'!O43)</f>
        <v>495.0393781</v>
      </c>
      <c r="P43" s="299">
        <f>IF(O43="","",PRIX!P43*'QUANTITE DETENUES'!P43)</f>
        <v>0</v>
      </c>
      <c r="Q43" s="299">
        <f>IF(P43="","",PRIX!Q43*'QUANTITE DETENUES'!Q43)</f>
        <v>0</v>
      </c>
      <c r="R43" s="299">
        <f>IF(Q43="","",PRIX!R43*'QUANTITE DETENUES'!R43)</f>
        <v>0</v>
      </c>
      <c r="S43" s="300">
        <f>IF(R43="","",PRIX!T43*'QUANTITE DETENUES'!S43)</f>
        <v>0</v>
      </c>
      <c r="T43" s="14">
        <f>IF(A43="","",ARBITRAGES!M43)</f>
        <v>1522.465639</v>
      </c>
      <c r="U43" s="301">
        <f t="shared" si="1"/>
        <v>58333.00437</v>
      </c>
      <c r="V43" s="302">
        <f t="shared" si="2"/>
        <v>0.9739004419</v>
      </c>
      <c r="W43" s="288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289"/>
      <c r="AY43" s="289"/>
      <c r="AZ43" s="289"/>
      <c r="BA43" s="289"/>
    </row>
    <row r="44">
      <c r="A44" s="290">
        <f>PRIX!A44</f>
        <v>45619</v>
      </c>
      <c r="B44" s="299">
        <f>IF(A44="","",PRIX!B44*'QUANTITE DETENUES'!B44)</f>
        <v>29204.82154</v>
      </c>
      <c r="C44" s="299">
        <f>IF(B44="","",PRIX!C44*'QUANTITE DETENUES'!C44)</f>
        <v>9809.2505</v>
      </c>
      <c r="D44" s="299">
        <f>IF(C44="","",PRIX!D44*'QUANTITE DETENUES'!D44)</f>
        <v>3576.115071</v>
      </c>
      <c r="E44" s="299">
        <f>IF(D44="","",PRIX!E44*'QUANTITE DETENUES'!E44)</f>
        <v>3419.761063</v>
      </c>
      <c r="F44" s="299">
        <f>IF(E44="","",PRIX!F44*'QUANTITE DETENUES'!F44)</f>
        <v>3184.663643</v>
      </c>
      <c r="G44" s="299">
        <f>IF(F44="","",PRIX!G44*'QUANTITE DETENUES'!G44)</f>
        <v>1146.33662</v>
      </c>
      <c r="H44" s="299">
        <f>IF(G44="","",PRIX!H44*'QUANTITE DETENUES'!H44)</f>
        <v>1800.27</v>
      </c>
      <c r="I44" s="299">
        <f>IF(H44="","",PRIX!I44*'QUANTITE DETENUES'!I44)</f>
        <v>840.0096</v>
      </c>
      <c r="J44" s="299">
        <f>IF(I44="","",PRIX!J44*'QUANTITE DETENUES'!J44)</f>
        <v>563.7530995</v>
      </c>
      <c r="K44" s="299">
        <f>IF(J44="","",PRIX!K44*'QUANTITE DETENUES'!K44)</f>
        <v>346.239241</v>
      </c>
      <c r="L44" s="299">
        <f>IF(K44="","",PRIX!L44*'QUANTITE DETENUES'!L44)</f>
        <v>950.578972</v>
      </c>
      <c r="M44" s="299">
        <f>IF(L44="","",PRIX!M44*'QUANTITE DETENUES'!M44)</f>
        <v>609.7</v>
      </c>
      <c r="N44" s="299">
        <f>IF(M44="","",PRIX!N44*'QUANTITE DETENUES'!N44)</f>
        <v>864</v>
      </c>
      <c r="O44" s="299">
        <f>IF(N44="","",PRIX!O44*'QUANTITE DETENUES'!O44)</f>
        <v>495.0393781</v>
      </c>
      <c r="P44" s="299">
        <f>IF(O44="","",PRIX!P44*'QUANTITE DETENUES'!P44)</f>
        <v>175.932</v>
      </c>
      <c r="Q44" s="299">
        <f>IF(P44="","",PRIX!Q44*'QUANTITE DETENUES'!Q44)</f>
        <v>0</v>
      </c>
      <c r="R44" s="299">
        <f>IF(Q44="","",PRIX!R44*'QUANTITE DETENUES'!R44)</f>
        <v>0</v>
      </c>
      <c r="S44" s="300">
        <f>IF(R44="","",PRIX!T44*'QUANTITE DETENUES'!S44)</f>
        <v>0</v>
      </c>
      <c r="T44" s="14">
        <f>IF(A44="","",ARBITRAGES!M44)</f>
        <v>1346.533639</v>
      </c>
      <c r="U44" s="301">
        <f t="shared" si="1"/>
        <v>58333.00437</v>
      </c>
      <c r="V44" s="302">
        <f t="shared" si="2"/>
        <v>0.976916436</v>
      </c>
      <c r="W44" s="288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  <c r="AK44" s="289"/>
      <c r="AL44" s="289"/>
      <c r="AM44" s="289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289"/>
      <c r="AY44" s="289"/>
      <c r="AZ44" s="289"/>
      <c r="BA44" s="289"/>
    </row>
    <row r="45">
      <c r="A45" s="290">
        <f>PRIX!A45</f>
        <v>45622</v>
      </c>
      <c r="B45" s="299">
        <f>IF(A45="","",PRIX!B45*'QUANTITE DETENUES'!B45)</f>
        <v>27729.83056</v>
      </c>
      <c r="C45" s="299">
        <f>IF(B45="","",PRIX!C45*'QUANTITE DETENUES'!C45)</f>
        <v>9332.80119</v>
      </c>
      <c r="D45" s="299">
        <f>IF(C45="","",PRIX!D45*'QUANTITE DETENUES'!D45)</f>
        <v>3301.029296</v>
      </c>
      <c r="E45" s="299">
        <f>IF(D45="","",PRIX!E45*'QUANTITE DETENUES'!E45)</f>
        <v>2990.665568</v>
      </c>
      <c r="F45" s="299">
        <f>IF(E45="","",PRIX!F45*'QUANTITE DETENUES'!F45)</f>
        <v>3125.13722</v>
      </c>
      <c r="G45" s="299">
        <f>IF(F45="","",PRIX!G45*'QUANTITE DETENUES'!G45)</f>
        <v>1139.30388</v>
      </c>
      <c r="H45" s="299">
        <f>IF(G45="","",PRIX!H45*'QUANTITE DETENUES'!H45)</f>
        <v>1720.258</v>
      </c>
      <c r="I45" s="299">
        <f>IF(H45="","",PRIX!I45*'QUANTITE DETENUES'!I45)</f>
        <v>670.25766</v>
      </c>
      <c r="J45" s="299">
        <f>IF(I45="","",PRIX!J45*'QUANTITE DETENUES'!J45)</f>
        <v>496.1027276</v>
      </c>
      <c r="K45" s="299">
        <f>IF(J45="","",PRIX!K45*'QUANTITE DETENUES'!K45)</f>
        <v>401.9120705</v>
      </c>
      <c r="L45" s="299">
        <f>IF(K45="","",PRIX!L45*'QUANTITE DETENUES'!L45)</f>
        <v>814.4367294</v>
      </c>
      <c r="M45" s="299">
        <f>IF(L45="","",PRIX!M45*'QUANTITE DETENUES'!M45)</f>
        <v>579.55</v>
      </c>
      <c r="N45" s="299">
        <f>IF(M45="","",PRIX!N45*'QUANTITE DETENUES'!N45)</f>
        <v>864</v>
      </c>
      <c r="O45" s="299">
        <f>IF(N45="","",PRIX!O45*'QUANTITE DETENUES'!O45)</f>
        <v>450.0357983</v>
      </c>
      <c r="P45" s="299">
        <f>IF(O45="","",PRIX!P45*'QUANTITE DETENUES'!P45)</f>
        <v>175.932</v>
      </c>
      <c r="Q45" s="299">
        <f>IF(P45="","",PRIX!Q45*'QUANTITE DETENUES'!Q45)</f>
        <v>0</v>
      </c>
      <c r="R45" s="299">
        <f>IF(Q45="","",PRIX!R45*'QUANTITE DETENUES'!R45)</f>
        <v>197.65</v>
      </c>
      <c r="S45" s="300">
        <f>IF(R45="","",PRIX!T45*'QUANTITE DETENUES'!S45)</f>
        <v>0</v>
      </c>
      <c r="T45" s="14">
        <f>IF(A45="","",ARBITRAGES!M45)</f>
        <v>1148.883639</v>
      </c>
      <c r="U45" s="301">
        <f t="shared" si="1"/>
        <v>55137.78634</v>
      </c>
      <c r="V45" s="302">
        <f t="shared" si="2"/>
        <v>0.9791634065</v>
      </c>
      <c r="W45" s="288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  <c r="AK45" s="289"/>
      <c r="AL45" s="289"/>
      <c r="AM45" s="289"/>
      <c r="AN45" s="289"/>
      <c r="AO45" s="289"/>
      <c r="AP45" s="289"/>
      <c r="AQ45" s="289"/>
      <c r="AR45" s="289"/>
      <c r="AS45" s="289"/>
      <c r="AT45" s="289"/>
      <c r="AU45" s="289"/>
      <c r="AV45" s="289"/>
      <c r="AW45" s="289"/>
      <c r="AX45" s="289"/>
      <c r="AY45" s="289"/>
      <c r="AZ45" s="289"/>
      <c r="BA45" s="289"/>
    </row>
    <row r="46">
      <c r="A46" s="290">
        <f>PRIX!A46</f>
        <v>45630</v>
      </c>
      <c r="B46" s="299">
        <f>IF(A46="","",PRIX!B46*'QUANTITE DETENUES'!B46)</f>
        <v>28468.3685</v>
      </c>
      <c r="C46" s="299">
        <f>IF(B46="","",PRIX!C46*'QUANTITE DETENUES'!C46)</f>
        <v>10486.96</v>
      </c>
      <c r="D46" s="299">
        <f>IF(C46="","",PRIX!D46*'QUANTITE DETENUES'!D46)</f>
        <v>3907.496001</v>
      </c>
      <c r="E46" s="299">
        <f>IF(D46="","",PRIX!E46*'QUANTITE DETENUES'!E46)</f>
        <v>3122.782506</v>
      </c>
      <c r="F46" s="299">
        <f>IF(E46="","",PRIX!F46*'QUANTITE DETENUES'!F46)</f>
        <v>4168.809627</v>
      </c>
      <c r="G46" s="299">
        <f>IF(F46="","",PRIX!G46*'QUANTITE DETENUES'!G46)</f>
        <v>1653.6339</v>
      </c>
      <c r="H46" s="299">
        <f>IF(G46="","",PRIX!H46*'QUANTITE DETENUES'!H46)</f>
        <v>2510.49447</v>
      </c>
      <c r="I46" s="299">
        <f>IF(H46="","",PRIX!I46*'QUANTITE DETENUES'!I46)</f>
        <v>735.0609</v>
      </c>
      <c r="J46" s="299">
        <f>IF(I46="","",PRIX!J46*'QUANTITE DETENUES'!J46)</f>
        <v>635.511244</v>
      </c>
      <c r="K46" s="299">
        <f>IF(J46="","",PRIX!K46*'QUANTITE DETENUES'!K46)</f>
        <v>523.2995059</v>
      </c>
      <c r="L46" s="299">
        <f>IF(K46="","",PRIX!L46*'QUANTITE DETENUES'!L46)</f>
        <v>1058.447774</v>
      </c>
      <c r="M46" s="299">
        <f>IF(L46="","",PRIX!M46*'QUANTITE DETENUES'!M46)</f>
        <v>844.2</v>
      </c>
      <c r="N46" s="299">
        <f>IF(M46="","",PRIX!N46*'QUANTITE DETENUES'!N46)</f>
        <v>1116.0093</v>
      </c>
      <c r="O46" s="299">
        <f>IF(N46="","",PRIX!O46*'QUANTITE DETENUES'!O46)</f>
        <v>603.0479697</v>
      </c>
      <c r="P46" s="299">
        <f>IF(O46="","",PRIX!P46*'QUANTITE DETENUES'!P46)</f>
        <v>181.806363</v>
      </c>
      <c r="Q46" s="299">
        <f>IF(P46="","",PRIX!Q46*'QUANTITE DETENUES'!Q46)</f>
        <v>0</v>
      </c>
      <c r="R46" s="299">
        <f>IF(Q46="","",PRIX!R46*'QUANTITE DETENUES'!R46)</f>
        <v>200.6408</v>
      </c>
      <c r="S46" s="300">
        <f>IF(R46="","",PRIX!T46*'QUANTITE DETENUES'!S46)</f>
        <v>0</v>
      </c>
      <c r="T46" s="14">
        <f>IF(A46="","",ARBITRAGES!M46)</f>
        <v>1257.193639</v>
      </c>
      <c r="U46" s="301">
        <f t="shared" si="1"/>
        <v>61473.7625</v>
      </c>
      <c r="V46" s="302">
        <f t="shared" si="2"/>
        <v>0.9795491021</v>
      </c>
      <c r="W46" s="288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  <c r="AK46" s="289"/>
      <c r="AL46" s="289"/>
      <c r="AM46" s="289"/>
      <c r="AN46" s="289"/>
      <c r="AO46" s="289"/>
      <c r="AP46" s="289"/>
      <c r="AQ46" s="289"/>
      <c r="AR46" s="289"/>
      <c r="AS46" s="289"/>
      <c r="AT46" s="289"/>
      <c r="AU46" s="289"/>
      <c r="AV46" s="289"/>
      <c r="AW46" s="289"/>
      <c r="AX46" s="289"/>
      <c r="AY46" s="289"/>
      <c r="AZ46" s="289"/>
      <c r="BA46" s="289"/>
    </row>
    <row r="47">
      <c r="A47" s="290">
        <f>PRIX!A47</f>
        <v>45636</v>
      </c>
      <c r="B47" s="299">
        <f>IF(A47="","",PRIX!B47*'QUANTITE DETENUES'!B47)</f>
        <v>29205.891</v>
      </c>
      <c r="C47" s="299">
        <f>IF(B47="","",PRIX!C47*'QUANTITE DETENUES'!C47)</f>
        <v>10515</v>
      </c>
      <c r="D47" s="299">
        <f>IF(C47="","",PRIX!D47*'QUANTITE DETENUES'!D47)</f>
        <v>3412.179606</v>
      </c>
      <c r="E47" s="299">
        <f>IF(D47="","",PRIX!E47*'QUANTITE DETENUES'!E47)</f>
        <v>3407.631787</v>
      </c>
      <c r="F47" s="299">
        <f>IF(E47="","",PRIX!F47*'QUANTITE DETENUES'!F47)</f>
        <v>3573.265394</v>
      </c>
      <c r="G47" s="299">
        <f>IF(F47="","",PRIX!G47*'QUANTITE DETENUES'!G47)</f>
        <v>1477.7154</v>
      </c>
      <c r="H47" s="299">
        <f>IF(G47="","",PRIX!H47*'QUANTITE DETENUES'!H47)</f>
        <v>2350.46295</v>
      </c>
      <c r="I47" s="299">
        <f>IF(H47="","",PRIX!I47*'QUANTITE DETENUES'!I47)</f>
        <v>707.05858</v>
      </c>
      <c r="J47" s="299">
        <f>IF(I47="","",PRIX!J47*'QUANTITE DETENUES'!J47)</f>
        <v>576.0601922</v>
      </c>
      <c r="K47" s="299">
        <f>IF(J47="","",PRIX!K47*'QUANTITE DETENUES'!K47)</f>
        <v>434.3893957</v>
      </c>
      <c r="L47" s="299">
        <f>IF(K47="","",PRIX!L47*'QUANTITE DETENUES'!L47)</f>
        <v>908.972325</v>
      </c>
      <c r="M47" s="299">
        <f>IF(L47="","",PRIX!M47*'QUANTITE DETENUES'!M47)</f>
        <v>954.75</v>
      </c>
      <c r="N47" s="299">
        <f>IF(M47="","",PRIX!N47*'QUANTITE DETENUES'!N47)</f>
        <v>840.007</v>
      </c>
      <c r="O47" s="299">
        <f>IF(N47="","",PRIX!O47*'QUANTITE DETENUES'!O47)</f>
        <v>549.0436739</v>
      </c>
      <c r="P47" s="299">
        <f>IF(O47="","",PRIX!P47*'QUANTITE DETENUES'!P47)</f>
        <v>149.405229</v>
      </c>
      <c r="Q47" s="299">
        <f>IF(P47="","",PRIX!Q47*'QUANTITE DETENUES'!Q47)</f>
        <v>0</v>
      </c>
      <c r="R47" s="299">
        <f>IF(Q47="","",PRIX!R47*'QUANTITE DETENUES'!R47)</f>
        <v>177.036</v>
      </c>
      <c r="S47" s="300">
        <f>IF(R47="","",PRIX!T47*'QUANTITE DETENUES'!S47)</f>
        <v>0</v>
      </c>
      <c r="T47" s="14">
        <f>IF(A47="","",ARBITRAGES!M47)</f>
        <v>837.193639</v>
      </c>
      <c r="U47" s="301">
        <f t="shared" si="1"/>
        <v>60076.06217</v>
      </c>
      <c r="V47" s="302">
        <f t="shared" si="2"/>
        <v>0.9860644388</v>
      </c>
      <c r="W47" s="288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  <c r="AO47" s="289"/>
      <c r="AP47" s="289"/>
      <c r="AQ47" s="289"/>
      <c r="AR47" s="289"/>
      <c r="AS47" s="289"/>
      <c r="AT47" s="289"/>
      <c r="AU47" s="289"/>
      <c r="AV47" s="289"/>
      <c r="AW47" s="289"/>
      <c r="AX47" s="289"/>
      <c r="AY47" s="289"/>
      <c r="AZ47" s="289"/>
      <c r="BA47" s="289"/>
    </row>
    <row r="48">
      <c r="A48" s="290">
        <f>PRIX!A48</f>
        <v>45644</v>
      </c>
      <c r="B48" s="299">
        <f>IF(A48="","",PRIX!B48*'QUANTITE DETENUES'!B48)</f>
        <v>28320.864</v>
      </c>
      <c r="C48" s="299">
        <f>IF(B48="","",PRIX!C48*'QUANTITE DETENUES'!C48)</f>
        <v>9814</v>
      </c>
      <c r="D48" s="299">
        <f>IF(C48="","",PRIX!D48*'QUANTITE DETENUES'!D48)</f>
        <v>3219.556564</v>
      </c>
      <c r="E48" s="299">
        <f>IF(D48="","",PRIX!E48*'QUANTITE DETENUES'!E48)</f>
        <v>3227.492662</v>
      </c>
      <c r="F48" s="299">
        <f>IF(E48="","",PRIX!F48*'QUANTITE DETENUES'!F48)</f>
        <v>2977.721162</v>
      </c>
      <c r="G48" s="299">
        <f>IF(F48="","",PRIX!G48*'QUANTITE DETENUES'!G48)</f>
        <v>1407.348</v>
      </c>
      <c r="H48" s="299">
        <f>IF(G48="","",PRIX!H48*'QUANTITE DETENUES'!H48)</f>
        <v>2100.4137</v>
      </c>
      <c r="I48" s="299">
        <f>IF(H48="","",PRIX!I48*'QUANTITE DETENUES'!I48)</f>
        <v>612.55075</v>
      </c>
      <c r="J48" s="299">
        <f>IF(I48="","",PRIX!J48*'QUANTITE DETENUES'!J48)</f>
        <v>502.2588864</v>
      </c>
      <c r="K48" s="299">
        <f>IF(J48="","",PRIX!K48*'QUANTITE DETENUES'!K48)</f>
        <v>355.6404409</v>
      </c>
      <c r="L48" s="299">
        <f>IF(K48="","",PRIX!L48*'QUANTITE DETENUES'!L48)</f>
        <v>767.57663</v>
      </c>
      <c r="M48" s="299">
        <f>IF(L48="","",PRIX!M48*'QUANTITE DETENUES'!M48)</f>
        <v>1105.5</v>
      </c>
      <c r="N48" s="299">
        <f>IF(M48="","",PRIX!N48*'QUANTITE DETENUES'!N48)</f>
        <v>720.006</v>
      </c>
      <c r="O48" s="299">
        <f>IF(N48="","",PRIX!O48*'QUANTITE DETENUES'!O48)</f>
        <v>522.041526</v>
      </c>
      <c r="P48" s="299">
        <f>IF(O48="","",PRIX!P48*'QUANTITE DETENUES'!P48)</f>
        <v>144.00504</v>
      </c>
      <c r="Q48" s="299">
        <f>IF(P48="","",PRIX!Q48*'QUANTITE DETENUES'!Q48)</f>
        <v>285.975</v>
      </c>
      <c r="R48" s="299">
        <f>IF(Q48="","",PRIX!R48*'QUANTITE DETENUES'!R48)</f>
        <v>159.3324</v>
      </c>
      <c r="S48" s="300">
        <f>IF(R48="","",PRIX!T48*'QUANTITE DETENUES'!S48)</f>
        <v>0</v>
      </c>
      <c r="T48" s="14">
        <f>IF(A48="","",ARBITRAGES!M48)</f>
        <v>558.193639</v>
      </c>
      <c r="U48" s="301">
        <f t="shared" si="1"/>
        <v>56800.4764</v>
      </c>
      <c r="V48" s="302">
        <f t="shared" si="2"/>
        <v>0.9901727296</v>
      </c>
      <c r="W48" s="288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89"/>
      <c r="AQ48" s="289"/>
      <c r="AR48" s="289"/>
      <c r="AS48" s="289"/>
      <c r="AT48" s="289"/>
      <c r="AU48" s="289"/>
      <c r="AV48" s="289"/>
      <c r="AW48" s="289"/>
      <c r="AX48" s="289"/>
      <c r="AY48" s="289"/>
      <c r="AZ48" s="289"/>
      <c r="BA48" s="289"/>
    </row>
    <row r="49">
      <c r="A49" s="290">
        <f>PRIX!A49</f>
        <v>45646</v>
      </c>
      <c r="B49" s="299">
        <f>IF(A49="","",PRIX!B49*'QUANTITE DETENUES'!B49)</f>
        <v>27435.837</v>
      </c>
      <c r="C49" s="299">
        <f>IF(B49="","",PRIX!C49*'QUANTITE DETENUES'!C49)</f>
        <v>9393.4</v>
      </c>
      <c r="D49" s="299">
        <f>IF(C49="","",PRIX!D49*'QUANTITE DETENUES'!D49)</f>
        <v>2977.401882</v>
      </c>
      <c r="E49" s="299">
        <f>IF(D49="","",PRIX!E49*'QUANTITE DETENUES'!E49)</f>
        <v>2747.121661</v>
      </c>
      <c r="F49" s="299">
        <f>IF(E49="","",PRIX!F49*'QUANTITE DETENUES'!F49)</f>
        <v>2739.503469</v>
      </c>
      <c r="G49" s="299">
        <f>IF(F49="","",PRIX!G49*'QUANTITE DETENUES'!G49)</f>
        <v>1322.90712</v>
      </c>
      <c r="H49" s="299">
        <f>IF(G49="","",PRIX!H49*'QUANTITE DETENUES'!H49)</f>
        <v>2240.44128</v>
      </c>
      <c r="I49" s="299">
        <f>IF(H49="","",PRIX!I49*'QUANTITE DETENUES'!I49)</f>
        <v>560.0464</v>
      </c>
      <c r="J49" s="299">
        <f>IF(I49="","",PRIX!J49*'QUANTITE DETENUES'!J49)</f>
        <v>461.258161</v>
      </c>
      <c r="K49" s="299">
        <f>IF(J49="","",PRIX!K49*'QUANTITE DETENUES'!K49)</f>
        <v>304.8346636</v>
      </c>
      <c r="L49" s="299">
        <f>IF(K49="","",PRIX!L49*'QUANTITE DETENUES'!L49)</f>
        <v>670.619582</v>
      </c>
      <c r="M49" s="299">
        <f>IF(L49="","",PRIX!M49*'QUANTITE DETENUES'!M49)</f>
        <v>1038.5</v>
      </c>
      <c r="N49" s="299">
        <f>IF(M49="","",PRIX!N49*'QUANTITE DETENUES'!N49)</f>
        <v>660.0055</v>
      </c>
      <c r="O49" s="299">
        <f>IF(N49="","",PRIX!O49*'QUANTITE DETENUES'!O49)</f>
        <v>450.0357983</v>
      </c>
      <c r="P49" s="299">
        <f>IF(O49="","",PRIX!P49*'QUANTITE DETENUES'!P49)</f>
        <v>115.204032</v>
      </c>
      <c r="Q49" s="299">
        <f>IF(P49="","",PRIX!Q49*'QUANTITE DETENUES'!Q49)</f>
        <v>443.075</v>
      </c>
      <c r="R49" s="299">
        <f>IF(Q49="","",PRIX!R49*'QUANTITE DETENUES'!R49)</f>
        <v>118.024</v>
      </c>
      <c r="S49" s="300">
        <f>IF(R49="","",PRIX!T49*'QUANTITE DETENUES'!S49)</f>
        <v>0</v>
      </c>
      <c r="T49" s="14">
        <f>IF(A49="","",ARBITRAGES!M49)</f>
        <v>408.193639</v>
      </c>
      <c r="U49" s="301">
        <f t="shared" si="1"/>
        <v>54086.40919</v>
      </c>
      <c r="V49" s="302">
        <f t="shared" si="2"/>
        <v>0.9924529351</v>
      </c>
      <c r="W49" s="288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  <c r="AL49" s="289"/>
      <c r="AM49" s="289"/>
      <c r="AN49" s="289"/>
      <c r="AO49" s="289"/>
      <c r="AP49" s="289"/>
      <c r="AQ49" s="289"/>
      <c r="AR49" s="289"/>
      <c r="AS49" s="289"/>
      <c r="AT49" s="289"/>
      <c r="AU49" s="289"/>
      <c r="AV49" s="289"/>
      <c r="AW49" s="289"/>
      <c r="AX49" s="289"/>
      <c r="AY49" s="289"/>
      <c r="AZ49" s="289"/>
      <c r="BA49" s="289"/>
    </row>
    <row r="50">
      <c r="A50" s="290">
        <f>PRIX!A50</f>
        <v>45658</v>
      </c>
      <c r="B50" s="299">
        <f>IF(A50="","",PRIX!B50*'QUANTITE DETENUES'!B50)</f>
        <v>26255.801</v>
      </c>
      <c r="C50" s="299">
        <f>IF(B50="","",PRIX!C50*'QUANTITE DETENUES'!C50)</f>
        <v>8972.8</v>
      </c>
      <c r="D50" s="299">
        <f>IF(C50="","",PRIX!D50*'QUANTITE DETENUES'!D50)</f>
        <v>3081.968677</v>
      </c>
      <c r="E50" s="299">
        <f>IF(D50="","",PRIX!E50*'QUANTITE DETENUES'!E50)</f>
        <v>3002.318755</v>
      </c>
      <c r="F50" s="299">
        <f>IF(E50="","",PRIX!F50*'QUANTITE DETENUES'!F50)</f>
        <v>2977.721162</v>
      </c>
      <c r="G50" s="299">
        <f>IF(F50="","",PRIX!G50*'QUANTITE DETENUES'!G50)</f>
        <v>1407.348</v>
      </c>
      <c r="H50" s="299">
        <f>IF(G50="","",PRIX!H50*'QUANTITE DETENUES'!H50)</f>
        <v>2100.4137</v>
      </c>
      <c r="I50" s="299">
        <f>IF(H50="","",PRIX!I50*'QUANTITE DETENUES'!I50)</f>
        <v>612.55075</v>
      </c>
      <c r="J50" s="299">
        <f>IF(I50="","",PRIX!J50*'QUANTITE DETENUES'!J50)</f>
        <v>410.0072542</v>
      </c>
      <c r="K50" s="299">
        <f>IF(J50="","",PRIX!K50*'QUANTITE DETENUES'!K50)</f>
        <v>298.4839415</v>
      </c>
      <c r="L50" s="299">
        <f>IF(K50="","",PRIX!L50*'QUANTITE DETENUES'!L50)</f>
        <v>698.0907456</v>
      </c>
      <c r="M50" s="299">
        <f>IF(L50="","",PRIX!M50*'QUANTITE DETENUES'!M50)</f>
        <v>1072</v>
      </c>
      <c r="N50" s="299">
        <f>IF(M50="","",PRIX!N50*'QUANTITE DETENUES'!N50)</f>
        <v>600.005</v>
      </c>
      <c r="O50" s="299">
        <f>IF(N50="","",PRIX!O50*'QUANTITE DETENUES'!O50)</f>
        <v>631.2343664</v>
      </c>
      <c r="P50" s="299">
        <f>IF(O50="","",PRIX!P50*'QUANTITE DETENUES'!P50)</f>
        <v>12.600441</v>
      </c>
      <c r="Q50" s="299">
        <f>IF(P50="","",PRIX!Q50*'QUANTITE DETENUES'!Q50)</f>
        <v>479</v>
      </c>
      <c r="R50" s="299">
        <f>IF(Q50="","",PRIX!R50*'QUANTITE DETENUES'!R50)</f>
        <v>100.3204</v>
      </c>
      <c r="S50" s="300">
        <f>IF(R50="","",PRIX!S50*'QUANTITE DETENUES'!S50)</f>
        <v>0</v>
      </c>
      <c r="T50" s="14">
        <f>IF(A50="","",ARBITRAGES!M50)</f>
        <v>206.918639</v>
      </c>
      <c r="U50" s="301">
        <f t="shared" si="1"/>
        <v>52919.58283</v>
      </c>
      <c r="V50" s="302">
        <f t="shared" si="2"/>
        <v>0.996089942</v>
      </c>
      <c r="W50" s="288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  <c r="AL50" s="289"/>
      <c r="AM50" s="289"/>
      <c r="AN50" s="289"/>
      <c r="AO50" s="289"/>
      <c r="AP50" s="289"/>
      <c r="AQ50" s="289"/>
      <c r="AR50" s="289"/>
      <c r="AS50" s="289"/>
      <c r="AT50" s="289"/>
      <c r="AU50" s="289"/>
      <c r="AV50" s="289"/>
      <c r="AW50" s="289"/>
      <c r="AX50" s="289"/>
      <c r="AY50" s="289"/>
      <c r="AZ50" s="289"/>
      <c r="BA50" s="289"/>
    </row>
    <row r="51">
      <c r="A51" s="290">
        <f>PRIX!A51</f>
        <v>45666</v>
      </c>
      <c r="B51" s="299">
        <f>IF(A51="","",PRIX!B51*'QUANTITE DETENUES'!B51)</f>
        <v>27141.748</v>
      </c>
      <c r="C51" s="299">
        <f>IF(B51="","",PRIX!C51*'QUANTITE DETENUES'!C51)</f>
        <v>9547.2</v>
      </c>
      <c r="D51" s="299">
        <f>IF(C51="","",PRIX!D51*'QUANTITE DETENUES'!D51)</f>
        <v>2973.518367</v>
      </c>
      <c r="E51" s="299">
        <f>IF(D51="","",PRIX!E51*'QUANTITE DETENUES'!E51)</f>
        <v>3609.982506</v>
      </c>
      <c r="F51" s="299">
        <f>IF(E51="","",PRIX!F51*'QUANTITE DETENUES'!F51)</f>
        <v>2946.503469</v>
      </c>
      <c r="G51" s="299">
        <f>IF(F51="","",PRIX!G51*'QUANTITE DETENUES'!G51)</f>
        <v>1267.7472</v>
      </c>
      <c r="H51" s="299">
        <f>IF(G51="","",PRIX!H51*'QUANTITE DETENUES'!H51)</f>
        <v>2450.72765</v>
      </c>
      <c r="I51" s="299">
        <f>IF(H51="","",PRIX!I51*'QUANTITE DETENUES'!I51)</f>
        <v>700.178</v>
      </c>
      <c r="J51" s="299">
        <f>IF(I51="","",PRIX!J51*'QUANTITE DETENUES'!J51)</f>
        <v>594.5322686</v>
      </c>
      <c r="K51" s="299">
        <f>IF(J51="","",PRIX!K51*'QUANTITE DETENUES'!K51)</f>
        <v>311.2098858</v>
      </c>
      <c r="L51" s="299">
        <f>IF(K51="","",PRIX!L51*'QUANTITE DETENUES'!L51)</f>
        <v>811.9754</v>
      </c>
      <c r="M51" s="299">
        <f>IF(L51="","",PRIX!M51*'QUANTITE DETENUES'!M51)</f>
        <v>1072.192</v>
      </c>
      <c r="N51" s="299">
        <f>IF(M51="","",PRIX!N51*'QUANTITE DETENUES'!N51)</f>
        <v>660.0275</v>
      </c>
      <c r="O51" s="299">
        <f>IF(N51="","",PRIX!O51*'QUANTITE DETENUES'!O51)</f>
        <v>535.3562398</v>
      </c>
      <c r="P51" s="299">
        <f>IF(O51="","",PRIX!P51*'QUANTITE DETENUES'!P51)</f>
        <v>102.614991</v>
      </c>
      <c r="Q51" s="299">
        <f>IF(P51="","",PRIX!Q51*'QUANTITE DETENUES'!Q51)</f>
        <v>455.05</v>
      </c>
      <c r="R51" s="299">
        <f>IF(Q51="","",PRIX!R51*'QUANTITE DETENUES'!R51)</f>
        <v>109.2832</v>
      </c>
      <c r="S51" s="300">
        <f>IF(R51="","",PRIX!S51*'QUANTITE DETENUES'!S51)</f>
        <v>0</v>
      </c>
      <c r="T51" s="14">
        <f>IF(A51="","",ARBITRAGES!M51)</f>
        <v>13.41863902</v>
      </c>
      <c r="U51" s="301">
        <f t="shared" si="1"/>
        <v>55303.26532</v>
      </c>
      <c r="V51" s="302">
        <f t="shared" si="2"/>
        <v>0.9997573626</v>
      </c>
      <c r="W51" s="288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  <c r="AL51" s="289"/>
      <c r="AM51" s="289"/>
      <c r="AN51" s="289"/>
      <c r="AO51" s="289"/>
      <c r="AP51" s="289"/>
      <c r="AQ51" s="289"/>
      <c r="AR51" s="289"/>
      <c r="AS51" s="289"/>
      <c r="AT51" s="289"/>
      <c r="AU51" s="289"/>
      <c r="AV51" s="289"/>
      <c r="AW51" s="289"/>
      <c r="AX51" s="289"/>
      <c r="AY51" s="289"/>
      <c r="AZ51" s="289"/>
      <c r="BA51" s="289"/>
    </row>
    <row r="52">
      <c r="A52" s="290">
        <f>PRIX!A52</f>
        <v>45676</v>
      </c>
      <c r="B52" s="299">
        <f>IF(A52="","",PRIX!B52*'QUANTITE DETENUES'!B52)</f>
        <v>26551.71</v>
      </c>
      <c r="C52" s="299">
        <f>IF(B52="","",PRIX!C52*'QUANTITE DETENUES'!C52)</f>
        <v>8985.6</v>
      </c>
      <c r="D52" s="299">
        <f>IF(C52="","",PRIX!D52*'QUANTITE DETENUES'!D52)</f>
        <v>3028.583522</v>
      </c>
      <c r="E52" s="299">
        <f>IF(D52="","",PRIX!E52*'QUANTITE DETENUES'!E52)</f>
        <v>3861.438288</v>
      </c>
      <c r="F52" s="299">
        <f>IF(E52="","",PRIX!F52*'QUANTITE DETENUES'!F52)</f>
        <v>2754.340199</v>
      </c>
      <c r="G52" s="299">
        <f>IF(F52="","",PRIX!G52*'QUANTITE DETENUES'!G52)</f>
        <v>1197.3168</v>
      </c>
      <c r="H52" s="299">
        <f>IF(G52="","",PRIX!H52*'QUANTITE DETENUES'!H52)</f>
        <v>2300.6831</v>
      </c>
      <c r="I52" s="299">
        <f>IF(H52="","",PRIX!I52*'QUANTITE DETENUES'!I52)</f>
        <v>656.416875</v>
      </c>
      <c r="J52" s="299">
        <f>IF(I52="","",PRIX!J52*'QUANTITE DETENUES'!J52)</f>
        <v>594.5322686</v>
      </c>
      <c r="K52" s="299">
        <f>IF(J52="","",PRIX!K52*'QUANTITE DETENUES'!K52)</f>
        <v>292.1562193</v>
      </c>
      <c r="L52" s="299">
        <f>IF(K52="","",PRIX!L52*'QUANTITE DETENUES'!L52)</f>
        <v>933.77171</v>
      </c>
      <c r="M52" s="299">
        <f>IF(L52="","",PRIX!M52*'QUANTITE DETENUES'!M52)</f>
        <v>1005.18</v>
      </c>
      <c r="N52" s="299">
        <f>IF(M52="","",PRIX!N52*'QUANTITE DETENUES'!N52)</f>
        <v>660.0275</v>
      </c>
      <c r="O52" s="299">
        <f>IF(N52="","",PRIX!O52*'QUANTITE DETENUES'!O52)</f>
        <v>493.2643487</v>
      </c>
      <c r="P52" s="299">
        <f>IF(O52="","",PRIX!P52*'QUANTITE DETENUES'!P52)</f>
        <v>97.214202</v>
      </c>
      <c r="Q52" s="299">
        <f>IF(P52="","",PRIX!Q52*'QUANTITE DETENUES'!Q52)</f>
        <v>407.15</v>
      </c>
      <c r="R52" s="299">
        <f>IF(Q52="","",PRIX!R52*'QUANTITE DETENUES'!R52)</f>
        <v>97.4688</v>
      </c>
      <c r="S52" s="300">
        <f>IF(R52="","",PRIX!S52*'QUANTITE DETENUES'!S52)</f>
        <v>0</v>
      </c>
      <c r="T52" s="14">
        <f>IF(A52="","",ARBITRAGES!M52)</f>
        <v>293.418639</v>
      </c>
      <c r="U52" s="301">
        <f t="shared" si="1"/>
        <v>54210.27247</v>
      </c>
      <c r="V52" s="302">
        <f t="shared" si="2"/>
        <v>0.9945873978</v>
      </c>
      <c r="W52" s="288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  <c r="AL52" s="289"/>
      <c r="AM52" s="289"/>
      <c r="AN52" s="289"/>
      <c r="AO52" s="289"/>
      <c r="AP52" s="289"/>
      <c r="AQ52" s="289"/>
      <c r="AR52" s="289"/>
      <c r="AS52" s="289"/>
      <c r="AT52" s="289"/>
      <c r="AU52" s="289"/>
      <c r="AV52" s="289"/>
      <c r="AW52" s="289"/>
      <c r="AX52" s="289"/>
      <c r="AY52" s="289"/>
      <c r="AZ52" s="289"/>
      <c r="BA52" s="289"/>
    </row>
    <row r="53">
      <c r="A53" s="290">
        <f>PRIX!A53</f>
        <v>45677</v>
      </c>
      <c r="B53" s="299">
        <f>IF(A53="","",PRIX!B53*'QUANTITE DETENUES'!B53)</f>
        <v>27141.748</v>
      </c>
      <c r="C53" s="299">
        <f>IF(B53="","",PRIX!C53*'QUANTITE DETENUES'!C53)</f>
        <v>9266.4</v>
      </c>
      <c r="D53" s="299">
        <f>IF(C53="","",PRIX!D53*'QUANTITE DETENUES'!D53)</f>
        <v>2863.388057</v>
      </c>
      <c r="E53" s="299">
        <f>IF(D53="","",PRIX!E53*'QUANTITE DETENUES'!E53)</f>
        <v>3510.398444</v>
      </c>
      <c r="F53" s="299">
        <f>IF(E53="","",PRIX!F53*'QUANTITE DETENUES'!F53)</f>
        <v>2402.040871</v>
      </c>
      <c r="G53" s="299">
        <f>IF(F53="","",PRIX!G53*'QUANTITE DETENUES'!G53)</f>
        <v>1197.3168</v>
      </c>
      <c r="H53" s="299">
        <f>IF(G53="","",PRIX!H53*'QUANTITE DETENUES'!H53)</f>
        <v>2555.758835</v>
      </c>
      <c r="I53" s="299">
        <f>IF(H53="","",PRIX!I53*'QUANTITE DETENUES'!I53)</f>
        <v>621.407975</v>
      </c>
      <c r="J53" s="299">
        <f>IF(I53="","",PRIX!J53*'QUANTITE DETENUES'!J53)</f>
        <v>430.5233669</v>
      </c>
      <c r="K53" s="299">
        <f>IF(J53="","",PRIX!K53*'QUANTITE DETENUES'!K53)</f>
        <v>275.6430417</v>
      </c>
      <c r="L53" s="299">
        <f>IF(K53="","",PRIX!L53*'QUANTITE DETENUES'!L53)</f>
        <v>639.8366152</v>
      </c>
      <c r="M53" s="299">
        <f>IF(L53="","",PRIX!M53*'QUANTITE DETENUES'!M53)</f>
        <v>1105.698</v>
      </c>
      <c r="N53" s="299">
        <f>IF(M53="","",PRIX!N53*'QUANTITE DETENUES'!N53)</f>
        <v>600.025</v>
      </c>
      <c r="O53" s="299">
        <f>IF(N53="","",PRIX!O53*'QUANTITE DETENUES'!O53)</f>
        <v>453.8032008</v>
      </c>
      <c r="P53" s="299">
        <f>IF(O53="","",PRIX!P53*'QUANTITE DETENUES'!P53)</f>
        <v>72.01052</v>
      </c>
      <c r="Q53" s="299">
        <f>IF(P53="","",PRIX!Q53*'QUANTITE DETENUES'!Q53)</f>
        <v>359.25</v>
      </c>
      <c r="R53" s="299">
        <f>IF(Q53="","",PRIX!R53*'QUANTITE DETENUES'!R53)</f>
        <v>82.7008</v>
      </c>
      <c r="S53" s="300">
        <f>IF(R53="","",PRIX!S53*'QUANTITE DETENUES'!S53)</f>
        <v>363</v>
      </c>
      <c r="T53" s="14">
        <f>IF(A53="","",ARBITRAGES!M53)</f>
        <v>14.01863902</v>
      </c>
      <c r="U53" s="301">
        <f t="shared" si="1"/>
        <v>53954.96817</v>
      </c>
      <c r="V53" s="302">
        <f t="shared" si="2"/>
        <v>0.9997401789</v>
      </c>
      <c r="W53" s="288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289"/>
      <c r="AV53" s="289"/>
      <c r="AW53" s="289"/>
      <c r="AX53" s="289"/>
      <c r="AY53" s="289"/>
      <c r="AZ53" s="289"/>
      <c r="BA53" s="289"/>
    </row>
    <row r="54">
      <c r="A54" s="290">
        <f>PRIX!A54</f>
        <v>45718</v>
      </c>
      <c r="B54" s="299">
        <f>IF(A54="","",PRIX!B54*'QUANTITE DETENUES'!B54)</f>
        <v>25384.16335</v>
      </c>
      <c r="C54" s="299">
        <f>IF(B54="","",PRIX!C54*'QUANTITE DETENUES'!C54)</f>
        <v>8433.6</v>
      </c>
      <c r="D54" s="299">
        <f>IF(C54="","",PRIX!D54*'QUANTITE DETENUES'!D54)</f>
        <v>2312.736507</v>
      </c>
      <c r="E54" s="299">
        <f>IF(D54="","",PRIX!E54*'QUANTITE DETENUES'!E54)</f>
        <v>3031.842662</v>
      </c>
      <c r="F54" s="299">
        <f>IF(E54="","",PRIX!F54*'QUANTITE DETENUES'!F54)</f>
        <v>2115.445967</v>
      </c>
      <c r="G54" s="299">
        <f>IF(F54="","",PRIX!G54*'QUANTITE DETENUES'!G54)</f>
        <v>848.7648</v>
      </c>
      <c r="H54" s="299">
        <f>IF(G54="","",PRIX!H54*'QUANTITE DETENUES'!H54)</f>
        <v>1800.8946</v>
      </c>
      <c r="I54" s="299">
        <f>IF(H54="","",PRIX!I54*'QUANTITE DETENUES'!I54)</f>
        <v>525.3135</v>
      </c>
      <c r="J54" s="299">
        <f>IF(I54="","",PRIX!J54*'QUANTITE DETENUES'!J54)</f>
        <v>328.0322034</v>
      </c>
      <c r="K54" s="299">
        <f>IF(J54="","",PRIX!K54*'QUANTITE DETENUES'!K54)</f>
        <v>266.7933307</v>
      </c>
      <c r="L54" s="299">
        <f>IF(K54="","",PRIX!L54*'QUANTITE DETENUES'!L54)</f>
        <v>695.9889916</v>
      </c>
      <c r="M54" s="299">
        <f>IF(L54="","",PRIX!M54*'QUANTITE DETENUES'!M54)</f>
        <v>1005.18</v>
      </c>
      <c r="N54" s="299">
        <f>IF(M54="","",PRIX!N54*'QUANTITE DETENUES'!N54)</f>
        <v>480.02</v>
      </c>
      <c r="O54" s="299">
        <f>IF(N54="","",PRIX!O54*'QUANTITE DETENUES'!O54)</f>
        <v>394.611479</v>
      </c>
      <c r="P54" s="299">
        <f>IF(O54="","",PRIX!P54*'QUANTITE DETENUES'!P54)</f>
        <v>72.01052</v>
      </c>
      <c r="Q54" s="299">
        <f>IF(P54="","",PRIX!Q54*'QUANTITE DETENUES'!Q54)</f>
        <v>239.5</v>
      </c>
      <c r="R54" s="299">
        <f>IF(Q54="","",PRIX!R54*'QUANTITE DETENUES'!R54)</f>
        <v>59.072</v>
      </c>
      <c r="S54" s="300">
        <f>IF(R54="","",PRIX!S54*'QUANTITE DETENUES'!S54)</f>
        <v>132</v>
      </c>
      <c r="T54" s="14">
        <f>IF(A54="","",ARBITRAGES!M54)</f>
        <v>2376.018639</v>
      </c>
      <c r="U54" s="301">
        <f t="shared" si="1"/>
        <v>50501.98855</v>
      </c>
      <c r="V54" s="302">
        <f t="shared" si="2"/>
        <v>0.9529519786</v>
      </c>
      <c r="W54" s="288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  <c r="AK54" s="289"/>
      <c r="AL54" s="289"/>
      <c r="AM54" s="289"/>
      <c r="AN54" s="289"/>
      <c r="AO54" s="289"/>
      <c r="AP54" s="289"/>
      <c r="AQ54" s="289"/>
      <c r="AR54" s="289"/>
      <c r="AS54" s="289"/>
      <c r="AT54" s="289"/>
      <c r="AU54" s="289"/>
      <c r="AV54" s="289"/>
      <c r="AW54" s="289"/>
      <c r="AX54" s="289"/>
      <c r="AY54" s="289"/>
      <c r="AZ54" s="289"/>
      <c r="BA54" s="289"/>
    </row>
    <row r="55">
      <c r="A55" s="290">
        <f>PRIX!A55</f>
        <v>45719</v>
      </c>
      <c r="B55" s="299">
        <f>IF(A55="","",PRIX!B55*'QUANTITE DETENUES'!B55)</f>
        <v>23763.89761</v>
      </c>
      <c r="C55" s="299">
        <f>IF(B55="","",PRIX!C55*'QUANTITE DETENUES'!C55)</f>
        <v>7702.688</v>
      </c>
      <c r="D55" s="299">
        <f>IF(C55="","",PRIX!D55*'QUANTITE DETENUES'!D55)</f>
        <v>1872.215268</v>
      </c>
      <c r="E55" s="299">
        <f>IF(D55="","",PRIX!E55*'QUANTITE DETENUES'!E55)</f>
        <v>2721.607599</v>
      </c>
      <c r="F55" s="299">
        <f>IF(E55="","",PRIX!F55*'QUANTITE DETENUES'!F55)</f>
        <v>2362.23712</v>
      </c>
      <c r="G55" s="299">
        <f>IF(F55="","",PRIX!G55*'QUANTITE DETENUES'!G55)</f>
        <v>707.304</v>
      </c>
      <c r="H55" s="299">
        <f>IF(G55="","",PRIX!H55*'QUANTITE DETENUES'!H55)</f>
        <v>1550.77035</v>
      </c>
      <c r="I55" s="299">
        <f>IF(H55="","",PRIX!I55*'QUANTITE DETENUES'!I55)</f>
        <v>385.2299</v>
      </c>
      <c r="J55" s="299">
        <f>IF(I55="","",PRIX!J55*'QUANTITE DETENUES'!J55)</f>
        <v>297.2791843</v>
      </c>
      <c r="K55" s="299">
        <f>IF(J55="","",PRIX!K55*'QUANTITE DETENUES'!K55)</f>
        <v>254.0888864</v>
      </c>
      <c r="L55" s="299">
        <f>IF(K55="","",PRIX!L55*'QUANTITE DETENUES'!L55)</f>
        <v>611.23155</v>
      </c>
      <c r="M55" s="299">
        <f>IF(L55="","",PRIX!M55*'QUANTITE DETENUES'!M55)</f>
        <v>670.12</v>
      </c>
      <c r="N55" s="299">
        <f>IF(M55="","",PRIX!N55*'QUANTITE DETENUES'!N55)</f>
        <v>360.015</v>
      </c>
      <c r="O55" s="299">
        <f>IF(N55="","",PRIX!O55*'QUANTITE DETENUES'!O55)</f>
        <v>328.8428992</v>
      </c>
      <c r="P55" s="299">
        <f>IF(O55="","",PRIX!P55*'QUANTITE DETENUES'!P55)</f>
        <v>72.01052</v>
      </c>
      <c r="Q55" s="299">
        <f>IF(P55="","",PRIX!Q55*'QUANTITE DETENUES'!Q55)</f>
        <v>191.6</v>
      </c>
      <c r="R55" s="299">
        <f>IF(Q55="","",PRIX!R55*'QUANTITE DETENUES'!R55)</f>
        <v>41.3504</v>
      </c>
      <c r="S55" s="300">
        <f>IF(R55="","",PRIX!S55*'QUANTITE DETENUES'!S55)</f>
        <v>110</v>
      </c>
      <c r="T55" s="14">
        <f>IF(A55="","",ARBITRAGES!M55)</f>
        <v>2001.018639</v>
      </c>
      <c r="U55" s="301">
        <f t="shared" si="1"/>
        <v>46003.50692</v>
      </c>
      <c r="V55" s="302">
        <f t="shared" si="2"/>
        <v>0.9565029109</v>
      </c>
      <c r="W55" s="288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89"/>
      <c r="AZ55" s="289"/>
      <c r="BA55" s="289"/>
    </row>
    <row r="56">
      <c r="A56" s="290">
        <f>PRIX!A56</f>
        <v>45719</v>
      </c>
      <c r="B56" s="299">
        <f>IF(A56="","",PRIX!B56*'QUANTITE DETENUES'!B56)</f>
        <v>23763.89761</v>
      </c>
      <c r="C56" s="299">
        <f>IF(B56="","",PRIX!C56*'QUANTITE DETENUES'!C56)</f>
        <v>7702.688</v>
      </c>
      <c r="D56" s="299">
        <f>IF(C56="","",PRIX!D56*'QUANTITE DETENUES'!D56)</f>
        <v>1872.215268</v>
      </c>
      <c r="E56" s="299">
        <f>IF(D56="","",PRIX!E56*'QUANTITE DETENUES'!E56)</f>
        <v>2721.607599</v>
      </c>
      <c r="F56" s="299">
        <f>IF(E56="","",PRIX!F56*'QUANTITE DETENUES'!F56)</f>
        <v>2362.23712</v>
      </c>
      <c r="G56" s="299">
        <f>IF(F56="","",PRIX!G56*'QUANTITE DETENUES'!G56)</f>
        <v>707.304</v>
      </c>
      <c r="H56" s="299">
        <f>IF(G56="","",PRIX!H56*'QUANTITE DETENUES'!H56)</f>
        <v>1550.77035</v>
      </c>
      <c r="I56" s="299">
        <f>IF(H56="","",PRIX!I56*'QUANTITE DETENUES'!I56)</f>
        <v>385.2299</v>
      </c>
      <c r="J56" s="299">
        <f>IF(I56="","",PRIX!J56*'QUANTITE DETENUES'!J56)</f>
        <v>297.2791843</v>
      </c>
      <c r="K56" s="299">
        <f>IF(J56="","",PRIX!K56*'QUANTITE DETENUES'!K56)</f>
        <v>254.0888864</v>
      </c>
      <c r="L56" s="299">
        <f>IF(K56="","",PRIX!L56*'QUANTITE DETENUES'!L56)</f>
        <v>611.23155</v>
      </c>
      <c r="M56" s="299">
        <f>IF(L56="","",PRIX!M56*'QUANTITE DETENUES'!M56)</f>
        <v>803.5410526</v>
      </c>
      <c r="N56" s="299">
        <f>IF(M56="","",PRIX!N56*'QUANTITE DETENUES'!N56)</f>
        <v>360.141</v>
      </c>
      <c r="O56" s="299">
        <f>IF(N56="","",PRIX!O56*'QUANTITE DETENUES'!O56)</f>
        <v>328.9928992</v>
      </c>
      <c r="P56" s="299">
        <f>IF(O56="","",PRIX!P56*'QUANTITE DETENUES'!P56)</f>
        <v>72.03052</v>
      </c>
      <c r="Q56" s="299">
        <f>IF(P56="","",PRIX!Q56*'QUANTITE DETENUES'!Q56)</f>
        <v>191.6</v>
      </c>
      <c r="R56" s="299">
        <f>IF(Q56="","",PRIX!R56*'QUANTITE DETENUES'!R56)</f>
        <v>41.3504</v>
      </c>
      <c r="S56" s="300">
        <f>IF(R56="","",PRIX!S56*'QUANTITE DETENUES'!S56)</f>
        <v>110</v>
      </c>
      <c r="T56" s="14">
        <f>IF(A56="","",ARBITRAGES!M56)</f>
        <v>1874.268639</v>
      </c>
      <c r="U56" s="301">
        <f t="shared" si="1"/>
        <v>46010.47398</v>
      </c>
      <c r="V56" s="302">
        <f t="shared" si="2"/>
        <v>0.9592643049</v>
      </c>
      <c r="W56" s="288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  <c r="AK56" s="289"/>
      <c r="AL56" s="289"/>
      <c r="AM56" s="289"/>
      <c r="AN56" s="289"/>
      <c r="AO56" s="289"/>
      <c r="AP56" s="289"/>
      <c r="AQ56" s="289"/>
      <c r="AR56" s="289"/>
      <c r="AS56" s="289"/>
      <c r="AT56" s="289"/>
      <c r="AU56" s="289"/>
      <c r="AV56" s="289"/>
      <c r="AW56" s="289"/>
      <c r="AX56" s="289"/>
      <c r="AY56" s="289"/>
      <c r="AZ56" s="289"/>
      <c r="BA56" s="289"/>
    </row>
    <row r="57">
      <c r="A57" s="290">
        <f>PRIX!A57</f>
        <v>45719</v>
      </c>
      <c r="B57" s="299">
        <f>IF(A57="","",PRIX!B57*'QUANTITE DETENUES'!B57)</f>
        <v>24069.09992</v>
      </c>
      <c r="C57" s="299">
        <f>IF(B57="","",PRIX!C57*'QUANTITE DETENUES'!C57)</f>
        <v>7702.688</v>
      </c>
      <c r="D57" s="299">
        <f>IF(C57="","",PRIX!D57*'QUANTITE DETENUES'!D57)</f>
        <v>1872.215268</v>
      </c>
      <c r="E57" s="299">
        <f>IF(D57="","",PRIX!E57*'QUANTITE DETENUES'!E57)</f>
        <v>2721.607599</v>
      </c>
      <c r="F57" s="299">
        <f>IF(E57="","",PRIX!F57*'QUANTITE DETENUES'!F57)</f>
        <v>2362.23712</v>
      </c>
      <c r="G57" s="299">
        <f>IF(F57="","",PRIX!G57*'QUANTITE DETENUES'!G57)</f>
        <v>707.304</v>
      </c>
      <c r="H57" s="299">
        <f>IF(G57="","",PRIX!H57*'QUANTITE DETENUES'!H57)</f>
        <v>1550.77035</v>
      </c>
      <c r="I57" s="299">
        <f>IF(H57="","",PRIX!I57*'QUANTITE DETENUES'!I57)</f>
        <v>385.2299</v>
      </c>
      <c r="J57" s="299">
        <f>IF(I57="","",PRIX!J57*'QUANTITE DETENUES'!J57)</f>
        <v>297.2791843</v>
      </c>
      <c r="K57" s="299">
        <f>IF(J57="","",PRIX!K57*'QUANTITE DETENUES'!K57)</f>
        <v>254.0888864</v>
      </c>
      <c r="L57" s="299">
        <f>IF(K57="","",PRIX!L57*'QUANTITE DETENUES'!L57)</f>
        <v>611.23155</v>
      </c>
      <c r="M57" s="299">
        <f>IF(L57="","",PRIX!M57*'QUANTITE DETENUES'!M57)</f>
        <v>803.5410526</v>
      </c>
      <c r="N57" s="299">
        <f>IF(M57="","",PRIX!N57*'QUANTITE DETENUES'!N57)</f>
        <v>360.141</v>
      </c>
      <c r="O57" s="299">
        <f>IF(N57="","",PRIX!O57*'QUANTITE DETENUES'!O57)</f>
        <v>328.9928992</v>
      </c>
      <c r="P57" s="299">
        <f>IF(O57="","",PRIX!P57*'QUANTITE DETENUES'!P57)</f>
        <v>72.03052</v>
      </c>
      <c r="Q57" s="299">
        <f>IF(P57="","",PRIX!Q57*'QUANTITE DETENUES'!Q57)</f>
        <v>191.6</v>
      </c>
      <c r="R57" s="299">
        <f>IF(Q57="","",PRIX!R57*'QUANTITE DETENUES'!R57)</f>
        <v>41.3504</v>
      </c>
      <c r="S57" s="300">
        <f>IF(R57="","",PRIX!S57*'QUANTITE DETENUES'!S57)</f>
        <v>110</v>
      </c>
      <c r="T57" s="14">
        <f>IF(A57="","",ARBITRAGES!M57)</f>
        <v>1574.268639</v>
      </c>
      <c r="U57" s="301">
        <f t="shared" si="1"/>
        <v>46015.67629</v>
      </c>
      <c r="V57" s="302">
        <f t="shared" si="2"/>
        <v>0.9657884276</v>
      </c>
      <c r="W57" s="288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  <c r="AR57" s="289"/>
      <c r="AS57" s="289"/>
      <c r="AT57" s="289"/>
      <c r="AU57" s="289"/>
      <c r="AV57" s="289"/>
      <c r="AW57" s="289"/>
      <c r="AX57" s="289"/>
      <c r="AY57" s="289"/>
      <c r="AZ57" s="289"/>
      <c r="BA57" s="289"/>
    </row>
    <row r="58">
      <c r="A58" s="290">
        <f>PRIX!A58</f>
        <v>45719</v>
      </c>
      <c r="B58" s="299">
        <f>IF(A58="","",PRIX!B58*'QUANTITE DETENUES'!B58)</f>
        <v>24641.09992</v>
      </c>
      <c r="C58" s="299">
        <f>IF(B58="","",PRIX!C58*'QUANTITE DETENUES'!C58)</f>
        <v>7702.688</v>
      </c>
      <c r="D58" s="299">
        <f>IF(C58="","",PRIX!D58*'QUANTITE DETENUES'!D58)</f>
        <v>1872.215268</v>
      </c>
      <c r="E58" s="299">
        <f>IF(D58="","",PRIX!E58*'QUANTITE DETENUES'!E58)</f>
        <v>2721.607599</v>
      </c>
      <c r="F58" s="299">
        <f>IF(E58="","",PRIX!F58*'QUANTITE DETENUES'!F58)</f>
        <v>2362.23712</v>
      </c>
      <c r="G58" s="299">
        <f>IF(F58="","",PRIX!G58*'QUANTITE DETENUES'!G58)</f>
        <v>707.304</v>
      </c>
      <c r="H58" s="299">
        <f>IF(G58="","",PRIX!H58*'QUANTITE DETENUES'!H58)</f>
        <v>1550.77035</v>
      </c>
      <c r="I58" s="299">
        <f>IF(H58="","",PRIX!I58*'QUANTITE DETENUES'!I58)</f>
        <v>385.2299</v>
      </c>
      <c r="J58" s="299">
        <f>IF(I58="","",PRIX!J58*'QUANTITE DETENUES'!J58)</f>
        <v>297.2791843</v>
      </c>
      <c r="K58" s="299">
        <f>IF(J58="","",PRIX!K58*'QUANTITE DETENUES'!K58)</f>
        <v>254.0888864</v>
      </c>
      <c r="L58" s="299">
        <f>IF(K58="","",PRIX!L58*'QUANTITE DETENUES'!L58)</f>
        <v>611.23155</v>
      </c>
      <c r="M58" s="299">
        <f>IF(L58="","",PRIX!M58*'QUANTITE DETENUES'!M58)</f>
        <v>803.5410526</v>
      </c>
      <c r="N58" s="299">
        <f>IF(M58="","",PRIX!N58*'QUANTITE DETENUES'!N58)</f>
        <v>360.141</v>
      </c>
      <c r="O58" s="299">
        <f>IF(N58="","",PRIX!O58*'QUANTITE DETENUES'!O58)</f>
        <v>328.9928992</v>
      </c>
      <c r="P58" s="299">
        <f>IF(O58="","",PRIX!P58*'QUANTITE DETENUES'!P58)</f>
        <v>72.03052</v>
      </c>
      <c r="Q58" s="299">
        <f>IF(P58="","",PRIX!Q58*'QUANTITE DETENUES'!Q58)</f>
        <v>191.6</v>
      </c>
      <c r="R58" s="299">
        <f>IF(Q58="","",PRIX!R58*'QUANTITE DETENUES'!R58)</f>
        <v>41.3504</v>
      </c>
      <c r="S58" s="300">
        <f>IF(R58="","",PRIX!S58*'QUANTITE DETENUES'!S58)</f>
        <v>110</v>
      </c>
      <c r="T58" s="14">
        <f>IF(A58="","",ARBITRAGES!M58)</f>
        <v>1015.268639</v>
      </c>
      <c r="U58" s="301">
        <f t="shared" si="1"/>
        <v>46028.67629</v>
      </c>
      <c r="V58" s="302">
        <f t="shared" si="2"/>
        <v>0.9779426931</v>
      </c>
      <c r="W58" s="288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  <c r="AK58" s="289"/>
      <c r="AL58" s="289"/>
      <c r="AM58" s="289"/>
      <c r="AN58" s="289"/>
      <c r="AO58" s="289"/>
      <c r="AP58" s="289"/>
      <c r="AQ58" s="289"/>
      <c r="AR58" s="289"/>
      <c r="AS58" s="289"/>
      <c r="AT58" s="289"/>
      <c r="AU58" s="289"/>
      <c r="AV58" s="289"/>
      <c r="AW58" s="289"/>
      <c r="AX58" s="289"/>
      <c r="AY58" s="289"/>
      <c r="AZ58" s="289"/>
      <c r="BA58" s="289"/>
    </row>
    <row r="59">
      <c r="A59" s="290">
        <f>PRIX!A59</f>
        <v>45720</v>
      </c>
      <c r="B59" s="299">
        <f>IF(A59="","",PRIX!B59*'QUANTITE DETENUES'!B59)</f>
        <v>24081.07492</v>
      </c>
      <c r="C59" s="299">
        <f>IF(B59="","",PRIX!C59*'QUANTITE DETENUES'!C59)</f>
        <v>7028</v>
      </c>
      <c r="D59" s="299">
        <f>IF(C59="","",PRIX!D59*'QUANTITE DETENUES'!D59)</f>
        <v>1707.019803</v>
      </c>
      <c r="E59" s="299">
        <f>IF(D59="","",PRIX!E59*'QUANTITE DETENUES'!E59)</f>
        <v>2185.747035</v>
      </c>
      <c r="F59" s="299">
        <f>IF(E59="","",PRIX!F59*'QUANTITE DETENUES'!F59)</f>
        <v>2362.23712</v>
      </c>
      <c r="G59" s="299">
        <f>IF(F59="","",PRIX!G59*'QUANTITE DETENUES'!G59)</f>
        <v>671.9388</v>
      </c>
      <c r="H59" s="299">
        <f>IF(G59="","",PRIX!H59*'QUANTITE DETENUES'!H59)</f>
        <v>1610.80017</v>
      </c>
      <c r="I59" s="299">
        <f>IF(H59="","",PRIX!I59*'QUANTITE DETENUES'!I59)</f>
        <v>367.71945</v>
      </c>
      <c r="J59" s="299">
        <f>IF(I59="","",PRIX!J59*'QUANTITE DETENUES'!J59)</f>
        <v>276.7771716</v>
      </c>
      <c r="K59" s="299">
        <f>IF(J59="","",PRIX!K59*'QUANTITE DETENUES'!K59)</f>
        <v>228.6799977</v>
      </c>
      <c r="L59" s="299">
        <f>IF(K59="","",PRIX!L59*'QUANTITE DETENUES'!L59)</f>
        <v>521.584256</v>
      </c>
      <c r="M59" s="299">
        <f>IF(L59="","",PRIX!M59*'QUANTITE DETENUES'!M59)</f>
        <v>883.8951579</v>
      </c>
      <c r="N59" s="299">
        <f>IF(M59="","",PRIX!N59*'QUANTITE DETENUES'!N59)</f>
        <v>456.6911545</v>
      </c>
      <c r="O59" s="299">
        <f>IF(N59="","",PRIX!O59*'QUANTITE DETENUES'!O59)</f>
        <v>328.9928992</v>
      </c>
      <c r="P59" s="299">
        <f>IF(O59="","",PRIX!P59*'QUANTITE DETENUES'!P59)</f>
        <v>29.7125895</v>
      </c>
      <c r="Q59" s="299">
        <f>IF(P59="","",PRIX!Q59*'QUANTITE DETENUES'!Q59)</f>
        <v>191.6</v>
      </c>
      <c r="R59" s="299">
        <f>IF(Q59="","",PRIX!R59*'QUANTITE DETENUES'!R59)</f>
        <v>35.4432</v>
      </c>
      <c r="S59" s="300">
        <f>IF(R59="","",PRIX!S59*'QUANTITE DETENUES'!S59)</f>
        <v>96.8</v>
      </c>
      <c r="T59" s="14">
        <f>IF(A59="","",ARBITRAGES!M59)</f>
        <v>940.268639</v>
      </c>
      <c r="U59" s="301">
        <f t="shared" si="1"/>
        <v>44004.98237</v>
      </c>
      <c r="V59" s="302">
        <f t="shared" si="2"/>
        <v>0.9786326777</v>
      </c>
      <c r="W59" s="288"/>
      <c r="X59" s="289"/>
      <c r="Y59" s="289"/>
      <c r="Z59" s="289"/>
      <c r="AA59" s="289"/>
      <c r="AB59" s="289"/>
      <c r="AC59" s="289"/>
      <c r="AD59" s="289"/>
      <c r="AE59" s="289"/>
      <c r="AF59" s="289"/>
      <c r="AG59" s="289"/>
      <c r="AH59" s="289"/>
      <c r="AI59" s="289"/>
      <c r="AJ59" s="289"/>
      <c r="AK59" s="289"/>
      <c r="AL59" s="289"/>
      <c r="AM59" s="289"/>
      <c r="AN59" s="289"/>
      <c r="AO59" s="289"/>
      <c r="AP59" s="289"/>
      <c r="AQ59" s="289"/>
      <c r="AR59" s="289"/>
      <c r="AS59" s="289"/>
      <c r="AT59" s="289"/>
      <c r="AU59" s="289"/>
      <c r="AV59" s="289"/>
      <c r="AW59" s="289"/>
      <c r="AX59" s="289"/>
      <c r="AY59" s="289"/>
      <c r="AZ59" s="289"/>
      <c r="BA59" s="289"/>
    </row>
    <row r="60">
      <c r="A60" s="290">
        <f>PRIX!A60</f>
        <v>45725</v>
      </c>
      <c r="B60" s="299">
        <f>IF(A60="","",PRIX!B60*'QUANTITE DETENUES'!B60)</f>
        <v>23801.06242</v>
      </c>
      <c r="C60" s="299">
        <f>IF(B60="","",PRIX!C60*'QUANTITE DETENUES'!C60)</f>
        <v>6184.64</v>
      </c>
      <c r="D60" s="299">
        <f>IF(C60="","",PRIX!D60*'QUANTITE DETENUES'!D60)</f>
        <v>1596.889493</v>
      </c>
      <c r="E60" s="299">
        <f>IF(D60="","",PRIX!E60*'QUANTITE DETENUES'!E60)</f>
        <v>1974.223129</v>
      </c>
      <c r="F60" s="299">
        <f>IF(E60="","",PRIX!F60*'QUANTITE DETENUES'!F60)</f>
        <v>2286.035923</v>
      </c>
      <c r="G60" s="299">
        <f>IF(F60="","",PRIX!G60*'QUANTITE DETENUES'!G60)</f>
        <v>608.28144</v>
      </c>
      <c r="H60" s="299">
        <f>IF(G60="","",PRIX!H60*'QUANTITE DETENUES'!H60)</f>
        <v>1500.7455</v>
      </c>
      <c r="I60" s="299">
        <f>IF(H60="","",PRIX!I60*'QUANTITE DETENUES'!I60)</f>
        <v>350.209</v>
      </c>
      <c r="J60" s="299">
        <f>IF(I60="","",PRIX!J60*'QUANTITE DETENUES'!J60)</f>
        <v>266.5261652</v>
      </c>
      <c r="K60" s="299">
        <f>IF(J60="","",PRIX!K60*'QUANTITE DETENUES'!K60)</f>
        <v>209.6233313</v>
      </c>
      <c r="L60" s="299">
        <f>IF(K60="","",PRIX!L60*'QUANTITE DETENUES'!L60)</f>
        <v>472.685732</v>
      </c>
      <c r="M60" s="299">
        <f>IF(L60="","",PRIX!M60*'QUANTITE DETENUES'!M60)</f>
        <v>803.5410526</v>
      </c>
      <c r="N60" s="299">
        <f>IF(M60="","",PRIX!N60*'QUANTITE DETENUES'!N60)</f>
        <v>405.12925</v>
      </c>
      <c r="O60" s="299">
        <f>IF(N60="","",PRIX!O60*'QUANTITE DETENUES'!O60)</f>
        <v>390.4184672</v>
      </c>
      <c r="P60" s="299">
        <f>IF(O60="","",PRIX!P60*'QUANTITE DETENUES'!P60)</f>
        <v>25.210682</v>
      </c>
      <c r="Q60" s="299">
        <f>IF(P60="","",PRIX!Q60*'QUANTITE DETENUES'!Q60)</f>
        <v>167.65</v>
      </c>
      <c r="R60" s="299">
        <f>IF(Q60="","",PRIX!R60*'QUANTITE DETENUES'!R60)</f>
        <v>29.536</v>
      </c>
      <c r="S60" s="300">
        <f>IF(R60="","",PRIX!S60*'QUANTITE DETENUES'!S60)</f>
        <v>79.2</v>
      </c>
      <c r="T60" s="14">
        <f>IF(A60="","",ARBITRAGES!M60)</f>
        <v>852.868639</v>
      </c>
      <c r="U60" s="301">
        <f t="shared" si="1"/>
        <v>42004.47623</v>
      </c>
      <c r="V60" s="302">
        <f t="shared" si="2"/>
        <v>0.9796957678</v>
      </c>
      <c r="W60" s="288"/>
      <c r="X60" s="289"/>
      <c r="Y60" s="289"/>
      <c r="Z60" s="289"/>
      <c r="AA60" s="289"/>
      <c r="AB60" s="289"/>
      <c r="AC60" s="289"/>
      <c r="AD60" s="289"/>
      <c r="AE60" s="289"/>
      <c r="AF60" s="289"/>
      <c r="AG60" s="289"/>
      <c r="AH60" s="289"/>
      <c r="AI60" s="289"/>
      <c r="AJ60" s="289"/>
      <c r="AK60" s="289"/>
      <c r="AL60" s="289"/>
      <c r="AM60" s="289"/>
      <c r="AN60" s="289"/>
      <c r="AO60" s="289"/>
      <c r="AP60" s="289"/>
      <c r="AQ60" s="289"/>
      <c r="AR60" s="289"/>
      <c r="AS60" s="289"/>
      <c r="AT60" s="289"/>
      <c r="AU60" s="289"/>
      <c r="AV60" s="289"/>
      <c r="AW60" s="289"/>
      <c r="AX60" s="289"/>
      <c r="AY60" s="289"/>
      <c r="AZ60" s="289"/>
      <c r="BA60" s="289"/>
    </row>
    <row r="61">
      <c r="A61" s="290">
        <f>PRIX!A61</f>
        <v>45734</v>
      </c>
      <c r="B61" s="299">
        <f>IF(A61="","",PRIX!B61*'QUANTITE DETENUES'!B61)</f>
        <v>26041.16242</v>
      </c>
      <c r="C61" s="299">
        <f>IF(B61="","",PRIX!C61*'QUANTITE DETENUES'!C61)</f>
        <v>5622.4</v>
      </c>
      <c r="D61" s="299">
        <f>IF(C61="","",PRIX!D61*'QUANTITE DETENUES'!D61)</f>
        <v>1622.345578</v>
      </c>
      <c r="E61" s="299">
        <f>IF(D61="","",PRIX!E61*'QUANTITE DETENUES'!E61)</f>
        <v>1847.308785</v>
      </c>
      <c r="F61" s="299">
        <f>IF(E61="","",PRIX!F61*'QUANTITE DETENUES'!F61)</f>
        <v>1943.130535</v>
      </c>
      <c r="G61" s="299">
        <f>IF(F61="","",PRIX!G61*'QUANTITE DETENUES'!G61)</f>
        <v>565.8432</v>
      </c>
      <c r="H61" s="299">
        <f>IF(G61="","",PRIX!H61*'QUANTITE DETENUES'!H61)</f>
        <v>1450.72065</v>
      </c>
      <c r="I61" s="299">
        <f>IF(H61="","",PRIX!I61*'QUANTITE DETENUES'!I61)</f>
        <v>297.67765</v>
      </c>
      <c r="J61" s="299">
        <f>IF(I61="","",PRIX!J61*'QUANTITE DETENUES'!J61)</f>
        <v>266.5261652</v>
      </c>
      <c r="K61" s="299">
        <f>IF(J61="","",PRIX!K61*'QUANTITE DETENUES'!K61)</f>
        <v>343.0199966</v>
      </c>
      <c r="L61" s="299">
        <f>IF(K61="","",PRIX!L61*'QUANTITE DETENUES'!L61)</f>
        <v>431.936962</v>
      </c>
      <c r="M61" s="299">
        <f>IF(L61="","",PRIX!M61*'QUANTITE DETENUES'!M61)</f>
        <v>731.2223579</v>
      </c>
      <c r="N61" s="299">
        <f>IF(M61="","",PRIX!N61*'QUANTITE DETENUES'!N61)</f>
        <v>405.12925</v>
      </c>
      <c r="O61" s="299">
        <f>IF(N61="","",PRIX!O61*'QUANTITE DETENUES'!O61)</f>
        <v>458.3173311</v>
      </c>
      <c r="P61" s="299">
        <f>IF(O61="","",PRIX!P61*'QUANTITE DETENUES'!P61)</f>
        <v>27.011445</v>
      </c>
      <c r="Q61" s="299">
        <f>IF(P61="","",PRIX!Q61*'QUANTITE DETENUES'!Q61)</f>
        <v>179.625</v>
      </c>
      <c r="R61" s="299">
        <f>IF(Q61="","",PRIX!R61*'QUANTITE DETENUES'!R61)</f>
        <v>30.71744</v>
      </c>
      <c r="S61" s="300">
        <f>IF(R61="","",PRIX!S61*'QUANTITE DETENUES'!S61)</f>
        <v>79.2</v>
      </c>
      <c r="T61" s="14">
        <f>IF(A61="","",ARBITRAGES!M61)</f>
        <v>1205.368639</v>
      </c>
      <c r="U61" s="301">
        <f t="shared" si="1"/>
        <v>43548.6634</v>
      </c>
      <c r="V61" s="302">
        <f t="shared" si="2"/>
        <v>0.9723213402</v>
      </c>
      <c r="W61" s="288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89"/>
      <c r="AJ61" s="289"/>
      <c r="AK61" s="289"/>
      <c r="AL61" s="289"/>
      <c r="AM61" s="289"/>
      <c r="AN61" s="289"/>
      <c r="AO61" s="289"/>
      <c r="AP61" s="289"/>
      <c r="AQ61" s="289"/>
      <c r="AR61" s="289"/>
      <c r="AS61" s="289"/>
      <c r="AT61" s="289"/>
      <c r="AU61" s="289"/>
      <c r="AV61" s="289"/>
      <c r="AW61" s="289"/>
      <c r="AX61" s="289"/>
      <c r="AY61" s="289"/>
      <c r="AZ61" s="289"/>
      <c r="BA61" s="289"/>
    </row>
    <row r="62">
      <c r="A62" s="290">
        <f>PRIX!A62</f>
        <v>45749</v>
      </c>
      <c r="B62" s="299">
        <f>IF(A62="","",PRIX!B62*'QUANTITE DETENUES'!B62)</f>
        <v>22621.08742</v>
      </c>
      <c r="C62" s="299">
        <f>IF(B62="","",PRIX!C62*'QUANTITE DETENUES'!C62)</f>
        <v>5060.16</v>
      </c>
      <c r="D62" s="299">
        <f>IF(C62="","",PRIX!D62*'QUANTITE DETENUES'!D62)</f>
        <v>1464.617535</v>
      </c>
      <c r="E62" s="299">
        <f>IF(D62="","",PRIX!E62*'QUANTITE DETENUES'!E62)</f>
        <v>1692.191253</v>
      </c>
      <c r="F62" s="299">
        <f>IF(E62="","",PRIX!F62*'QUANTITE DETENUES'!F62)</f>
        <v>1676.426343</v>
      </c>
      <c r="G62" s="299">
        <f>IF(F62="","",PRIX!G62*'QUANTITE DETENUES'!G62)</f>
        <v>460.454904</v>
      </c>
      <c r="H62" s="299">
        <f>IF(G62="","",PRIX!H62*'QUANTITE DETENUES'!H62)</f>
        <v>1300.6461</v>
      </c>
      <c r="I62" s="299">
        <f>IF(H62="","",PRIX!I62*'QUANTITE DETENUES'!I62)</f>
        <v>297.67765</v>
      </c>
      <c r="J62" s="299">
        <f>IF(I62="","",PRIX!J62*'QUANTITE DETENUES'!J62)</f>
        <v>256.2751589</v>
      </c>
      <c r="K62" s="299">
        <f>IF(J62="","",PRIX!K62*'QUANTITE DETENUES'!K62)</f>
        <v>228.6799977</v>
      </c>
      <c r="L62" s="299">
        <f>IF(K62="","",PRIX!L62*'QUANTITE DETENUES'!L62)</f>
        <v>325.99016</v>
      </c>
      <c r="M62" s="299">
        <f>IF(L62="","",PRIX!M62*'QUANTITE DETENUES'!M62)</f>
        <v>622.7443158</v>
      </c>
      <c r="N62" s="299">
        <f>IF(M62="","",PRIX!N62*'QUANTITE DETENUES'!N62)</f>
        <v>368.2993182</v>
      </c>
      <c r="O62" s="299">
        <f>IF(N62="","",PRIX!O62*'QUANTITE DETENUES'!O62)</f>
        <v>509.241479</v>
      </c>
      <c r="P62" s="299">
        <f>IF(O62="","",PRIX!P62*'QUANTITE DETENUES'!P62)</f>
        <v>22.5095375</v>
      </c>
      <c r="Q62" s="299">
        <f>IF(P62="","",PRIX!Q62*'QUANTITE DETENUES'!Q62)</f>
        <v>179.625</v>
      </c>
      <c r="R62" s="299">
        <f>IF(Q62="","",PRIX!R62*'QUANTITE DETENUES'!R62)</f>
        <v>23.6288</v>
      </c>
      <c r="S62" s="300">
        <f>IF(R62="","",PRIX!S62*'QUANTITE DETENUES'!S62)</f>
        <v>79.2</v>
      </c>
      <c r="T62" s="14">
        <f>IF(A62="","",ARBITRAGES!M62)</f>
        <v>2965.368639</v>
      </c>
      <c r="U62" s="301">
        <f t="shared" si="1"/>
        <v>40154.82361</v>
      </c>
      <c r="V62" s="302">
        <f t="shared" si="2"/>
        <v>0.9261516208</v>
      </c>
      <c r="W62" s="288"/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  <c r="AH62" s="289"/>
      <c r="AI62" s="289"/>
      <c r="AJ62" s="289"/>
      <c r="AK62" s="289"/>
      <c r="AL62" s="289"/>
      <c r="AM62" s="289"/>
      <c r="AN62" s="289"/>
      <c r="AO62" s="289"/>
      <c r="AP62" s="289"/>
      <c r="AQ62" s="289"/>
      <c r="AR62" s="289"/>
      <c r="AS62" s="289"/>
      <c r="AT62" s="289"/>
      <c r="AU62" s="289"/>
      <c r="AV62" s="289"/>
      <c r="AW62" s="289"/>
      <c r="AX62" s="289"/>
      <c r="AY62" s="289"/>
      <c r="AZ62" s="289"/>
      <c r="BA62" s="289"/>
    </row>
    <row r="63">
      <c r="A63" s="290">
        <f>PRIX!A63</f>
        <v>45751</v>
      </c>
      <c r="B63" s="299">
        <f>IF(A63="","",PRIX!B63*'QUANTITE DETENUES'!B63)</f>
        <v>21581.03743</v>
      </c>
      <c r="C63" s="299">
        <f>IF(B63="","",PRIX!C63*'QUANTITE DETENUES'!C63)</f>
        <v>5060.16</v>
      </c>
      <c r="D63" s="299">
        <f>IF(C63="","",PRIX!D63*'QUANTITE DETENUES'!D63)</f>
        <v>1464.617535</v>
      </c>
      <c r="E63" s="299">
        <f>IF(D63="","",PRIX!E63*'QUANTITE DETENUES'!E63)</f>
        <v>1692.191253</v>
      </c>
      <c r="F63" s="299">
        <f>IF(E63="","",PRIX!F63*'QUANTITE DETENUES'!F63)</f>
        <v>2204.426343</v>
      </c>
      <c r="G63" s="299">
        <f>IF(F63="","",PRIX!G63*'QUANTITE DETENUES'!G63)</f>
        <v>460.454904</v>
      </c>
      <c r="H63" s="299">
        <f>IF(G63="","",PRIX!H63*'QUANTITE DETENUES'!H63)</f>
        <v>1300.6461</v>
      </c>
      <c r="I63" s="299">
        <f>IF(H63="","",PRIX!I63*'QUANTITE DETENUES'!I63)</f>
        <v>297.67765</v>
      </c>
      <c r="J63" s="299">
        <f>IF(I63="","",PRIX!J63*'QUANTITE DETENUES'!J63)</f>
        <v>256.2751589</v>
      </c>
      <c r="K63" s="299">
        <f>IF(J63="","",PRIX!K63*'QUANTITE DETENUES'!K63)</f>
        <v>228.6799977</v>
      </c>
      <c r="L63" s="299">
        <f>IF(K63="","",PRIX!L63*'QUANTITE DETENUES'!L63)</f>
        <v>325.99016</v>
      </c>
      <c r="M63" s="299">
        <f>IF(L63="","",PRIX!M63*'QUANTITE DETENUES'!M63)</f>
        <v>622.7443158</v>
      </c>
      <c r="N63" s="299">
        <f>IF(M63="","",PRIX!N63*'QUANTITE DETENUES'!N63)</f>
        <v>368.2993182</v>
      </c>
      <c r="O63" s="299">
        <f>IF(N63="","",PRIX!O63*'QUANTITE DETENUES'!O63)</f>
        <v>509.241479</v>
      </c>
      <c r="P63" s="299">
        <f>IF(O63="","",PRIX!P63*'QUANTITE DETENUES'!P63)</f>
        <v>22.5095375</v>
      </c>
      <c r="Q63" s="299">
        <f>IF(P63="","",PRIX!Q63*'QUANTITE DETENUES'!Q63)</f>
        <v>179.625</v>
      </c>
      <c r="R63" s="299">
        <f>IF(Q63="","",PRIX!R63*'QUANTITE DETENUES'!R63)</f>
        <v>23.6288</v>
      </c>
      <c r="S63" s="300">
        <f>IF(R63="","",PRIX!S63*'QUANTITE DETENUES'!S63)</f>
        <v>79.2</v>
      </c>
      <c r="T63" s="14">
        <f>IF(A63="","",ARBITRAGES!M63)</f>
        <v>2485.368639</v>
      </c>
      <c r="U63" s="301">
        <f t="shared" si="1"/>
        <v>39162.77362</v>
      </c>
      <c r="V63" s="302">
        <f t="shared" si="2"/>
        <v>0.9365374714</v>
      </c>
      <c r="W63" s="288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  <c r="AL63" s="289"/>
      <c r="AM63" s="289"/>
      <c r="AN63" s="289"/>
      <c r="AO63" s="289"/>
      <c r="AP63" s="289"/>
      <c r="AQ63" s="289"/>
      <c r="AR63" s="289"/>
      <c r="AS63" s="289"/>
      <c r="AT63" s="289"/>
      <c r="AU63" s="289"/>
      <c r="AV63" s="289"/>
      <c r="AW63" s="289"/>
      <c r="AX63" s="289"/>
      <c r="AY63" s="289"/>
      <c r="AZ63" s="289"/>
      <c r="BA63" s="289"/>
    </row>
    <row r="64">
      <c r="A64" s="290">
        <f>PRIX!A64</f>
        <v>45753</v>
      </c>
      <c r="B64" s="299">
        <f>IF(A64="","",PRIX!B64*'QUANTITE DETENUES'!B64)</f>
        <v>20800.99993</v>
      </c>
      <c r="C64" s="299">
        <f>IF(B64="","",PRIX!C64*'QUANTITE DETENUES'!C64)</f>
        <v>4603.8</v>
      </c>
      <c r="D64" s="299">
        <f>IF(C64="","",PRIX!D64*'QUANTITE DETENUES'!D64)</f>
        <v>1464.617535</v>
      </c>
      <c r="E64" s="299">
        <f>IF(D64="","",PRIX!E64*'QUANTITE DETENUES'!E64)</f>
        <v>1621.683284</v>
      </c>
      <c r="F64" s="299">
        <f>IF(E64="","",PRIX!F64*'QUANTITE DETENUES'!F64)</f>
        <v>2054.124547</v>
      </c>
      <c r="G64" s="299">
        <f>IF(F64="","",PRIX!G64*'QUANTITE DETENUES'!G64)</f>
        <v>353.652</v>
      </c>
      <c r="H64" s="299">
        <f>IF(G64="","",PRIX!H64*'QUANTITE DETENUES'!H64)</f>
        <v>1270.63119</v>
      </c>
      <c r="I64" s="299">
        <f>IF(H64="","",PRIX!I64*'QUANTITE DETENUES'!I64)</f>
        <v>262.65675</v>
      </c>
      <c r="J64" s="299">
        <f>IF(I64="","",PRIX!J64*'QUANTITE DETENUES'!J64)</f>
        <v>235.7731462</v>
      </c>
      <c r="K64" s="299">
        <f>IF(J64="","",PRIX!K64*'QUANTITE DETENUES'!K64)</f>
        <v>226.1391089</v>
      </c>
      <c r="L64" s="299">
        <f>IF(K64="","",PRIX!L64*'QUANTITE DETENUES'!L64)</f>
        <v>285.24139</v>
      </c>
      <c r="M64" s="299">
        <f>IF(L64="","",PRIX!M64*'QUANTITE DETENUES'!M64)</f>
        <v>522.3016842</v>
      </c>
      <c r="N64" s="299">
        <f>IF(M64="","",PRIX!N64*'QUANTITE DETENUES'!N64)</f>
        <v>272.5414955</v>
      </c>
      <c r="O64" s="299">
        <f>IF(N64="","",PRIX!O64*'QUANTITE DETENUES'!O64)</f>
        <v>509.241479</v>
      </c>
      <c r="P64" s="299">
        <f>IF(O64="","",PRIX!P64*'QUANTITE DETENUES'!P64)</f>
        <v>22.5095375</v>
      </c>
      <c r="Q64" s="299">
        <f>IF(P64="","",PRIX!Q64*'QUANTITE DETENUES'!Q64)</f>
        <v>179.625</v>
      </c>
      <c r="R64" s="299">
        <f>IF(Q64="","",PRIX!R64*'QUANTITE DETENUES'!R64)</f>
        <v>23.6288</v>
      </c>
      <c r="S64" s="300">
        <f>IF(R64="","",PRIX!S64*'QUANTITE DETENUES'!S64)</f>
        <v>72.6</v>
      </c>
      <c r="T64" s="14">
        <f>IF(A64="","",ARBITRAGES!M64)</f>
        <v>2085.468639</v>
      </c>
      <c r="U64" s="301">
        <f t="shared" si="1"/>
        <v>36867.23552</v>
      </c>
      <c r="V64" s="302">
        <f t="shared" si="2"/>
        <v>0.9434330074</v>
      </c>
      <c r="W64" s="288"/>
      <c r="X64" s="289"/>
      <c r="Y64" s="289"/>
      <c r="Z64" s="289"/>
      <c r="AA64" s="289"/>
      <c r="AB64" s="289"/>
      <c r="AC64" s="289"/>
      <c r="AD64" s="289"/>
      <c r="AE64" s="289"/>
      <c r="AF64" s="289"/>
      <c r="AG64" s="289"/>
      <c r="AH64" s="289"/>
      <c r="AI64" s="289"/>
      <c r="AJ64" s="289"/>
      <c r="AK64" s="289"/>
      <c r="AL64" s="289"/>
      <c r="AM64" s="289"/>
      <c r="AN64" s="289"/>
      <c r="AO64" s="289"/>
      <c r="AP64" s="289"/>
      <c r="AQ64" s="289"/>
      <c r="AR64" s="289"/>
      <c r="AS64" s="289"/>
      <c r="AT64" s="289"/>
      <c r="AU64" s="289"/>
      <c r="AV64" s="289"/>
      <c r="AW64" s="289"/>
      <c r="AX64" s="289"/>
      <c r="AY64" s="289"/>
      <c r="AZ64" s="289"/>
      <c r="BA64" s="289"/>
    </row>
    <row r="65">
      <c r="A65" s="290">
        <f>PRIX!A65</f>
        <v>45753</v>
      </c>
      <c r="B65" s="299">
        <f>IF(A65="","",PRIX!B65*'QUANTITE DETENUES'!B65)</f>
        <v>21600.99993</v>
      </c>
      <c r="C65" s="299">
        <f>IF(B65="","",PRIX!C65*'QUANTITE DETENUES'!C65)</f>
        <v>4603.8</v>
      </c>
      <c r="D65" s="299">
        <f>IF(C65="","",PRIX!D65*'QUANTITE DETENUES'!D65)</f>
        <v>1464.617535</v>
      </c>
      <c r="E65" s="299">
        <f>IF(D65="","",PRIX!E65*'QUANTITE DETENUES'!E65)</f>
        <v>1621.683284</v>
      </c>
      <c r="F65" s="299">
        <f>IF(E65="","",PRIX!F65*'QUANTITE DETENUES'!F65)</f>
        <v>2054.124547</v>
      </c>
      <c r="G65" s="299">
        <f>IF(F65="","",PRIX!G65*'QUANTITE DETENUES'!G65)</f>
        <v>353.652</v>
      </c>
      <c r="H65" s="299">
        <f>IF(G65="","",PRIX!H65*'QUANTITE DETENUES'!H65)</f>
        <v>1270.63119</v>
      </c>
      <c r="I65" s="299">
        <f>IF(H65="","",PRIX!I65*'QUANTITE DETENUES'!I65)</f>
        <v>262.65675</v>
      </c>
      <c r="J65" s="299">
        <f>IF(I65="","",PRIX!J65*'QUANTITE DETENUES'!J65)</f>
        <v>235.7731462</v>
      </c>
      <c r="K65" s="299">
        <f>IF(J65="","",PRIX!K65*'QUANTITE DETENUES'!K65)</f>
        <v>226.1391089</v>
      </c>
      <c r="L65" s="299">
        <f>IF(K65="","",PRIX!L65*'QUANTITE DETENUES'!L65)</f>
        <v>285.24139</v>
      </c>
      <c r="M65" s="299">
        <f>IF(L65="","",PRIX!M65*'QUANTITE DETENUES'!M65)</f>
        <v>522.3016842</v>
      </c>
      <c r="N65" s="299">
        <f>IF(M65="","",PRIX!N65*'QUANTITE DETENUES'!N65)</f>
        <v>272.5414955</v>
      </c>
      <c r="O65" s="299">
        <f>IF(N65="","",PRIX!O65*'QUANTITE DETENUES'!O65)</f>
        <v>509.241479</v>
      </c>
      <c r="P65" s="299">
        <f>IF(O65="","",PRIX!P65*'QUANTITE DETENUES'!P65)</f>
        <v>22.5095375</v>
      </c>
      <c r="Q65" s="299">
        <f>IF(P65="","",PRIX!Q65*'QUANTITE DETENUES'!Q65)</f>
        <v>179.625</v>
      </c>
      <c r="R65" s="299">
        <f>IF(Q65="","",PRIX!R65*'QUANTITE DETENUES'!R65)</f>
        <v>23.6288</v>
      </c>
      <c r="S65" s="300">
        <f>IF(R65="","",PRIX!S65*'QUANTITE DETENUES'!S65)</f>
        <v>72.6</v>
      </c>
      <c r="T65" s="14">
        <f>IF(A65="","",ARBITRAGES!M65)</f>
        <v>1305.468639</v>
      </c>
      <c r="U65" s="301">
        <f t="shared" si="1"/>
        <v>36887.23552</v>
      </c>
      <c r="V65" s="302">
        <f t="shared" si="2"/>
        <v>0.9646092037</v>
      </c>
      <c r="W65" s="288"/>
      <c r="X65" s="289"/>
      <c r="Y65" s="289"/>
      <c r="Z65" s="289"/>
      <c r="AA65" s="289"/>
      <c r="AB65" s="289"/>
      <c r="AC65" s="289"/>
      <c r="AD65" s="289"/>
      <c r="AE65" s="289"/>
      <c r="AF65" s="289"/>
      <c r="AG65" s="289"/>
      <c r="AH65" s="289"/>
      <c r="AI65" s="289"/>
      <c r="AJ65" s="289"/>
      <c r="AK65" s="289"/>
      <c r="AL65" s="289"/>
      <c r="AM65" s="289"/>
      <c r="AN65" s="289"/>
      <c r="AO65" s="289"/>
      <c r="AP65" s="289"/>
      <c r="AQ65" s="289"/>
      <c r="AR65" s="289"/>
      <c r="AS65" s="289"/>
      <c r="AT65" s="289"/>
      <c r="AU65" s="289"/>
      <c r="AV65" s="289"/>
      <c r="AW65" s="289"/>
      <c r="AX65" s="289"/>
      <c r="AY65" s="289"/>
      <c r="AZ65" s="289"/>
      <c r="BA65" s="289"/>
    </row>
    <row r="66">
      <c r="A66" s="290">
        <f>PRIX!A66</f>
        <v>45754</v>
      </c>
      <c r="B66" s="299">
        <f>IF(A66="","",PRIX!B66*'QUANTITE DETENUES'!B66)</f>
        <v>21330.98743</v>
      </c>
      <c r="C66" s="299">
        <f>IF(B66="","",PRIX!C66*'QUANTITE DETENUES'!C66)</f>
        <v>4603.8</v>
      </c>
      <c r="D66" s="299">
        <f>IF(C66="","",PRIX!D66*'QUANTITE DETENUES'!D66)</f>
        <v>1464.617535</v>
      </c>
      <c r="E66" s="299">
        <f>IF(D66="","",PRIX!E66*'QUANTITE DETENUES'!E66)</f>
        <v>1621.683284</v>
      </c>
      <c r="F66" s="299">
        <f>IF(E66="","",PRIX!F66*'QUANTITE DETENUES'!F66)</f>
        <v>2054.124547</v>
      </c>
      <c r="G66" s="299">
        <f>IF(F66="","",PRIX!G66*'QUANTITE DETENUES'!G66)</f>
        <v>353.652</v>
      </c>
      <c r="H66" s="299">
        <f>IF(G66="","",PRIX!H66*'QUANTITE DETENUES'!H66)</f>
        <v>1270.63119</v>
      </c>
      <c r="I66" s="299">
        <f>IF(H66="","",PRIX!I66*'QUANTITE DETENUES'!I66)</f>
        <v>472.65675</v>
      </c>
      <c r="J66" s="299">
        <f>IF(I66="","",PRIX!J66*'QUANTITE DETENUES'!J66)</f>
        <v>235.7731462</v>
      </c>
      <c r="K66" s="299">
        <f>IF(J66="","",PRIX!K66*'QUANTITE DETENUES'!K66)</f>
        <v>226.1391089</v>
      </c>
      <c r="L66" s="299">
        <f>IF(K66="","",PRIX!L66*'QUANTITE DETENUES'!L66)</f>
        <v>285.24139</v>
      </c>
      <c r="M66" s="299">
        <f>IF(L66="","",PRIX!M66*'QUANTITE DETENUES'!M66)</f>
        <v>522.3016842</v>
      </c>
      <c r="N66" s="299">
        <f>IF(M66="","",PRIX!N66*'QUANTITE DETENUES'!N66)</f>
        <v>272.5414955</v>
      </c>
      <c r="O66" s="299">
        <f>IF(N66="","",PRIX!O66*'QUANTITE DETENUES'!O66)</f>
        <v>509.241479</v>
      </c>
      <c r="P66" s="299">
        <f>IF(O66="","",PRIX!P66*'QUANTITE DETENUES'!P66)</f>
        <v>22.5095375</v>
      </c>
      <c r="Q66" s="299">
        <f>IF(P66="","",PRIX!Q66*'QUANTITE DETENUES'!Q66)</f>
        <v>179.625</v>
      </c>
      <c r="R66" s="299">
        <f>IF(Q66="","",PRIX!R66*'QUANTITE DETENUES'!R66)</f>
        <v>23.6288</v>
      </c>
      <c r="S66" s="300">
        <f>IF(R66="","",PRIX!S66*'QUANTITE DETENUES'!S66)</f>
        <v>72.6</v>
      </c>
      <c r="T66" s="14">
        <f>IF(A66="","",ARBITRAGES!M66)</f>
        <v>1109.468639</v>
      </c>
      <c r="U66" s="301">
        <f t="shared" si="1"/>
        <v>36631.22302</v>
      </c>
      <c r="V66" s="302">
        <f t="shared" si="2"/>
        <v>0.9697124871</v>
      </c>
      <c r="W66" s="288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  <c r="AL66" s="289"/>
      <c r="AM66" s="289"/>
      <c r="AN66" s="289"/>
      <c r="AO66" s="289"/>
      <c r="AP66" s="289"/>
      <c r="AQ66" s="289"/>
      <c r="AR66" s="289"/>
      <c r="AS66" s="289"/>
      <c r="AT66" s="289"/>
      <c r="AU66" s="289"/>
      <c r="AV66" s="289"/>
      <c r="AW66" s="289"/>
      <c r="AX66" s="289"/>
      <c r="AY66" s="289"/>
      <c r="AZ66" s="289"/>
      <c r="BA66" s="289"/>
    </row>
    <row r="67">
      <c r="A67" s="290">
        <f>PRIX!A67</f>
        <v>45756</v>
      </c>
      <c r="B67" s="299">
        <f>IF(A67="","",PRIX!B67*'QUANTITE DETENUES'!B67)</f>
        <v>21060.97493</v>
      </c>
      <c r="C67" s="299">
        <f>IF(B67="","",PRIX!C67*'QUANTITE DETENUES'!C67)</f>
        <v>4603.8</v>
      </c>
      <c r="D67" s="299">
        <f>IF(C67="","",PRIX!D67*'QUANTITE DETENUES'!D67)</f>
        <v>1464.617535</v>
      </c>
      <c r="E67" s="299">
        <f>IF(D67="","",PRIX!E67*'QUANTITE DETENUES'!E67)</f>
        <v>2254.183284</v>
      </c>
      <c r="F67" s="299">
        <f>IF(E67="","",PRIX!F67*'QUANTITE DETENUES'!F67)</f>
        <v>2054.124547</v>
      </c>
      <c r="G67" s="299">
        <f>IF(F67="","",PRIX!G67*'QUANTITE DETENUES'!G67)</f>
        <v>353.652</v>
      </c>
      <c r="H67" s="299">
        <f>IF(G67="","",PRIX!H67*'QUANTITE DETENUES'!H67)</f>
        <v>1270.63119</v>
      </c>
      <c r="I67" s="299">
        <f>IF(H67="","",PRIX!I67*'QUANTITE DETENUES'!I67)</f>
        <v>472.65675</v>
      </c>
      <c r="J67" s="299">
        <f>IF(I67="","",PRIX!J67*'QUANTITE DETENUES'!J67)</f>
        <v>235.7731462</v>
      </c>
      <c r="K67" s="299">
        <f>IF(J67="","",PRIX!K67*'QUANTITE DETENUES'!K67)</f>
        <v>226.1391089</v>
      </c>
      <c r="L67" s="299">
        <f>IF(K67="","",PRIX!L67*'QUANTITE DETENUES'!L67)</f>
        <v>285.24139</v>
      </c>
      <c r="M67" s="299">
        <f>IF(L67="","",PRIX!M67*'QUANTITE DETENUES'!M67)</f>
        <v>522.3016842</v>
      </c>
      <c r="N67" s="299">
        <f>IF(M67="","",PRIX!N67*'QUANTITE DETENUES'!N67)</f>
        <v>272.5414955</v>
      </c>
      <c r="O67" s="299">
        <f>IF(N67="","",PRIX!O67*'QUANTITE DETENUES'!O67)</f>
        <v>509.241479</v>
      </c>
      <c r="P67" s="299">
        <f>IF(O67="","",PRIX!P67*'QUANTITE DETENUES'!P67)</f>
        <v>22.5095375</v>
      </c>
      <c r="Q67" s="299">
        <f>IF(P67="","",PRIX!Q67*'QUANTITE DETENUES'!Q67)</f>
        <v>179.625</v>
      </c>
      <c r="R67" s="299">
        <f>IF(Q67="","",PRIX!R67*'QUANTITE DETENUES'!R67)</f>
        <v>23.6288</v>
      </c>
      <c r="S67" s="300">
        <f>IF(R67="","",PRIX!S67*'QUANTITE DETENUES'!S67)</f>
        <v>72.6</v>
      </c>
      <c r="T67" s="14">
        <f>IF(A67="","",ARBITRAGES!M67)</f>
        <v>559.468639</v>
      </c>
      <c r="U67" s="301">
        <f t="shared" si="1"/>
        <v>36443.71052</v>
      </c>
      <c r="V67" s="302">
        <f t="shared" si="2"/>
        <v>0.9846484172</v>
      </c>
      <c r="W67" s="288"/>
      <c r="X67" s="289"/>
      <c r="Y67" s="289"/>
      <c r="Z67" s="289"/>
      <c r="AA67" s="289"/>
      <c r="AB67" s="289"/>
      <c r="AC67" s="289"/>
      <c r="AD67" s="289"/>
      <c r="AE67" s="289"/>
      <c r="AF67" s="289"/>
      <c r="AG67" s="289"/>
      <c r="AH67" s="289"/>
      <c r="AI67" s="289"/>
      <c r="AJ67" s="289"/>
      <c r="AK67" s="289"/>
      <c r="AL67" s="289"/>
      <c r="AM67" s="289"/>
      <c r="AN67" s="289"/>
      <c r="AO67" s="289"/>
      <c r="AP67" s="289"/>
      <c r="AQ67" s="289"/>
      <c r="AR67" s="289"/>
      <c r="AS67" s="289"/>
      <c r="AT67" s="289"/>
      <c r="AU67" s="289"/>
      <c r="AV67" s="289"/>
      <c r="AW67" s="289"/>
      <c r="AX67" s="289"/>
      <c r="AY67" s="289"/>
      <c r="AZ67" s="289"/>
      <c r="BA67" s="289"/>
    </row>
    <row r="68">
      <c r="A68" s="290">
        <f>PRIX!A68</f>
        <v>45757</v>
      </c>
      <c r="B68" s="299">
        <f>IF(A68="","",PRIX!B68*'QUANTITE DETENUES'!B68)</f>
        <v>21600.99993</v>
      </c>
      <c r="C68" s="299">
        <f>IF(B68="","",PRIX!C68*'QUANTITE DETENUES'!C68)</f>
        <v>5064.18</v>
      </c>
      <c r="D68" s="299">
        <f>IF(C68="","",PRIX!D68*'QUANTITE DETENUES'!D68)</f>
        <v>1351.954648</v>
      </c>
      <c r="E68" s="299">
        <f>IF(D68="","",PRIX!E68*'QUANTITE DETENUES'!E68)</f>
        <v>2646.21516</v>
      </c>
      <c r="F68" s="299">
        <f>IF(E68="","",PRIX!F68*'QUANTITE DETENUES'!F68)</f>
        <v>2555.130535</v>
      </c>
      <c r="G68" s="299">
        <f>IF(F68="","",PRIX!G68*'QUANTITE DETENUES'!G68)</f>
        <v>209.5608282</v>
      </c>
      <c r="H68" s="299">
        <f>IF(G68="","",PRIX!H68*'QUANTITE DETENUES'!H68)</f>
        <v>1300.6461</v>
      </c>
      <c r="I68" s="299">
        <f>IF(H68="","",PRIX!I68*'QUANTITE DETENUES'!I68)</f>
        <v>519.922425</v>
      </c>
      <c r="J68" s="299">
        <f>IF(I68="","",PRIX!J68*'QUANTITE DETENUES'!J68)</f>
        <v>25.62751589</v>
      </c>
      <c r="K68" s="299">
        <f>IF(J68="","",PRIX!K68*'QUANTITE DETENUES'!K68)</f>
        <v>254.0888864</v>
      </c>
      <c r="L68" s="299">
        <f>IF(K68="","",PRIX!L68*'QUANTITE DETENUES'!L68)</f>
        <v>325.99016</v>
      </c>
      <c r="M68" s="299">
        <f>IF(L68="","",PRIX!M68*'QUANTITE DETENUES'!M68)</f>
        <v>602.6557895</v>
      </c>
      <c r="N68" s="299">
        <f>IF(M68="","",PRIX!N68*'QUANTITE DETENUES'!N68)</f>
        <v>368.2993182</v>
      </c>
      <c r="O68" s="299">
        <f>IF(N68="","",PRIX!O68*'QUANTITE DETENUES'!O68)</f>
        <v>577.1403428</v>
      </c>
      <c r="P68" s="299">
        <f>IF(O68="","",PRIX!P68*'QUANTITE DETENUES'!P68)</f>
        <v>22.5095375</v>
      </c>
      <c r="Q68" s="299">
        <f>IF(P68="","",PRIX!Q68*'QUANTITE DETENUES'!Q68)</f>
        <v>179.625</v>
      </c>
      <c r="R68" s="299">
        <f>IF(Q68="","",PRIX!R68*'QUANTITE DETENUES'!R68)</f>
        <v>23.6288</v>
      </c>
      <c r="S68" s="300">
        <f>IF(R68="","",PRIX!S68*'QUANTITE DETENUES'!S68)</f>
        <v>88</v>
      </c>
      <c r="T68" s="14">
        <f>IF(A68="","",ARBITRAGES!M68)</f>
        <v>785.968639</v>
      </c>
      <c r="U68" s="301">
        <f t="shared" si="1"/>
        <v>38502.14361</v>
      </c>
      <c r="V68" s="302">
        <f t="shared" si="2"/>
        <v>0.9795863668</v>
      </c>
      <c r="W68" s="288"/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  <c r="AQ68" s="289"/>
      <c r="AR68" s="289"/>
      <c r="AS68" s="289"/>
      <c r="AT68" s="289"/>
      <c r="AU68" s="289"/>
      <c r="AV68" s="289"/>
      <c r="AW68" s="289"/>
      <c r="AX68" s="289"/>
      <c r="AY68" s="289"/>
      <c r="AZ68" s="289"/>
      <c r="BA68" s="289"/>
    </row>
    <row r="69">
      <c r="A69" s="290">
        <f>PRIX!A69</f>
        <v>45757</v>
      </c>
      <c r="B69" s="299">
        <f>IF(A69="","",PRIX!B69*'QUANTITE DETENUES'!B69)</f>
        <v>21819.79511</v>
      </c>
      <c r="C69" s="299">
        <f>IF(B69="","",PRIX!C69*'QUANTITE DETENUES'!C69)</f>
        <v>5064.18</v>
      </c>
      <c r="D69" s="299">
        <f>IF(C69="","",PRIX!D69*'QUANTITE DETENUES'!D69)</f>
        <v>1351.954648</v>
      </c>
      <c r="E69" s="299">
        <f>IF(D69="","",PRIX!E69*'QUANTITE DETENUES'!E69)</f>
        <v>2646.21516</v>
      </c>
      <c r="F69" s="299">
        <f>IF(E69="","",PRIX!F69*'QUANTITE DETENUES'!F69)</f>
        <v>2555.130535</v>
      </c>
      <c r="G69" s="299">
        <f>IF(F69="","",PRIX!G69*'QUANTITE DETENUES'!G69)</f>
        <v>209.5608282</v>
      </c>
      <c r="H69" s="299">
        <f>IF(G69="","",PRIX!H69*'QUANTITE DETENUES'!H69)</f>
        <v>1300.6461</v>
      </c>
      <c r="I69" s="299">
        <f>IF(H69="","",PRIX!I69*'QUANTITE DETENUES'!I69)</f>
        <v>519.922425</v>
      </c>
      <c r="J69" s="299">
        <f>IF(I69="","",PRIX!J69*'QUANTITE DETENUES'!J69)</f>
        <v>25.62751589</v>
      </c>
      <c r="K69" s="299">
        <f>IF(J69="","",PRIX!K69*'QUANTITE DETENUES'!K69)</f>
        <v>254.0888864</v>
      </c>
      <c r="L69" s="299">
        <f>IF(K69="","",PRIX!L69*'QUANTITE DETENUES'!L69)</f>
        <v>325.99016</v>
      </c>
      <c r="M69" s="299">
        <f>IF(L69="","",PRIX!M69*'QUANTITE DETENUES'!M69)</f>
        <v>602.6557895</v>
      </c>
      <c r="N69" s="299">
        <f>IF(M69="","",PRIX!N69*'QUANTITE DETENUES'!N69)</f>
        <v>368.2993182</v>
      </c>
      <c r="O69" s="299">
        <f>IF(N69="","",PRIX!O69*'QUANTITE DETENUES'!O69)</f>
        <v>577.1403428</v>
      </c>
      <c r="P69" s="299">
        <f>IF(O69="","",PRIX!P69*'QUANTITE DETENUES'!P69)</f>
        <v>22.5095375</v>
      </c>
      <c r="Q69" s="299">
        <f>IF(P69="","",PRIX!Q69*'QUANTITE DETENUES'!Q69)</f>
        <v>179.625</v>
      </c>
      <c r="R69" s="299">
        <f>IF(Q69="","",PRIX!R69*'QUANTITE DETENUES'!R69)</f>
        <v>23.6288</v>
      </c>
      <c r="S69" s="300">
        <f>IF(R69="","",PRIX!S69*'QUANTITE DETENUES'!S69)</f>
        <v>88</v>
      </c>
      <c r="T69" s="14">
        <f>IF(A69="","",ARBITRAGES!M69)</f>
        <v>558.968639</v>
      </c>
      <c r="U69" s="301">
        <f t="shared" si="1"/>
        <v>38493.93879</v>
      </c>
      <c r="V69" s="302">
        <f t="shared" si="2"/>
        <v>0.985479048</v>
      </c>
      <c r="W69" s="288"/>
      <c r="X69" s="289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  <c r="AQ69" s="289"/>
      <c r="AR69" s="289"/>
      <c r="AS69" s="289"/>
      <c r="AT69" s="289"/>
      <c r="AU69" s="289"/>
      <c r="AV69" s="289"/>
      <c r="AW69" s="289"/>
      <c r="AX69" s="289"/>
      <c r="AY69" s="289"/>
      <c r="AZ69" s="289"/>
      <c r="BA69" s="289"/>
    </row>
    <row r="70">
      <c r="A70" s="290">
        <f>PRIX!A70</f>
        <v>45758</v>
      </c>
      <c r="B70" s="299">
        <f>IF(A70="","",PRIX!B70*'QUANTITE DETENUES'!B70)</f>
        <v>23456.27974</v>
      </c>
      <c r="C70" s="299">
        <f>IF(B70="","",PRIX!C70*'QUANTITE DETENUES'!C70)</f>
        <v>5064.18</v>
      </c>
      <c r="D70" s="299">
        <f>IF(C70="","",PRIX!D70*'QUANTITE DETENUES'!D70)</f>
        <v>1351.954648</v>
      </c>
      <c r="E70" s="299">
        <f>IF(D70="","",PRIX!E70*'QUANTITE DETENUES'!E70)</f>
        <v>2646.21516</v>
      </c>
      <c r="F70" s="299">
        <f>IF(E70="","",PRIX!F70*'QUANTITE DETENUES'!F70)</f>
        <v>2555.130535</v>
      </c>
      <c r="G70" s="299">
        <f>IF(F70="","",PRIX!G70*'QUANTITE DETENUES'!G70)</f>
        <v>209.5608282</v>
      </c>
      <c r="H70" s="299">
        <f>IF(G70="","",PRIX!H70*'QUANTITE DETENUES'!H70)</f>
        <v>1300.6461</v>
      </c>
      <c r="I70" s="299">
        <f>IF(H70="","",PRIX!I70*'QUANTITE DETENUES'!I70)</f>
        <v>519.922425</v>
      </c>
      <c r="J70" s="299">
        <f>IF(I70="","",PRIX!J70*'QUANTITE DETENUES'!J70)</f>
        <v>25.62751589</v>
      </c>
      <c r="K70" s="299">
        <f>IF(J70="","",PRIX!K70*'QUANTITE DETENUES'!K70)</f>
        <v>254.0888864</v>
      </c>
      <c r="L70" s="299">
        <f>IF(K70="","",PRIX!L70*'QUANTITE DETENUES'!L70)</f>
        <v>325.99016</v>
      </c>
      <c r="M70" s="299">
        <f>IF(L70="","",PRIX!M70*'QUANTITE DETENUES'!M70)</f>
        <v>602.6557895</v>
      </c>
      <c r="N70" s="299">
        <f>IF(M70="","",PRIX!N70*'QUANTITE DETENUES'!N70)</f>
        <v>368.2993182</v>
      </c>
      <c r="O70" s="299">
        <f>IF(N70="","",PRIX!O70*'QUANTITE DETENUES'!O70)</f>
        <v>577.1403428</v>
      </c>
      <c r="P70" s="299">
        <f>IF(O70="","",PRIX!P70*'QUANTITE DETENUES'!P70)</f>
        <v>22.5095375</v>
      </c>
      <c r="Q70" s="299">
        <f>IF(P70="","",PRIX!Q70*'QUANTITE DETENUES'!Q70)</f>
        <v>179.625</v>
      </c>
      <c r="R70" s="299">
        <f>IF(Q70="","",PRIX!R70*'QUANTITE DETENUES'!R70)</f>
        <v>0</v>
      </c>
      <c r="S70" s="300">
        <f>IF(R70="","",PRIX!S70*'QUANTITE DETENUES'!S70)</f>
        <v>88</v>
      </c>
      <c r="T70" s="14">
        <f>IF(A70="","",ARBITRAGES!M70)</f>
        <v>581.149639</v>
      </c>
      <c r="U70" s="301">
        <f t="shared" si="1"/>
        <v>40128.97563</v>
      </c>
      <c r="V70" s="302">
        <f t="shared" si="2"/>
        <v>0.9855179548</v>
      </c>
      <c r="W70" s="288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  <c r="AQ70" s="289"/>
      <c r="AR70" s="289"/>
      <c r="AS70" s="289"/>
      <c r="AT70" s="289"/>
      <c r="AU70" s="289"/>
      <c r="AV70" s="289"/>
      <c r="AW70" s="289"/>
      <c r="AX70" s="289"/>
      <c r="AY70" s="289"/>
      <c r="AZ70" s="289"/>
      <c r="BA70" s="289"/>
    </row>
    <row r="71">
      <c r="A71" s="290">
        <f>PRIX!A71</f>
        <v>45760</v>
      </c>
      <c r="B71" s="299">
        <f>IF(A71="","",PRIX!B71*'QUANTITE DETENUES'!B71)</f>
        <v>23456.27974</v>
      </c>
      <c r="C71" s="299">
        <f>IF(B71="","",PRIX!C71*'QUANTITE DETENUES'!C71)</f>
        <v>5064.18</v>
      </c>
      <c r="D71" s="299">
        <f>IF(C71="","",PRIX!D71*'QUANTITE DETENUES'!D71)</f>
        <v>1351.954648</v>
      </c>
      <c r="E71" s="299">
        <f>IF(D71="","",PRIX!E71*'QUANTITE DETENUES'!E71)</f>
        <v>2646.21516</v>
      </c>
      <c r="F71" s="299">
        <f>IF(E71="","",PRIX!F71*'QUANTITE DETENUES'!F71)</f>
        <v>2555.130535</v>
      </c>
      <c r="G71" s="299">
        <f>IF(F71="","",PRIX!G71*'QUANTITE DETENUES'!G71)</f>
        <v>209.5608282</v>
      </c>
      <c r="H71" s="299">
        <f>IF(G71="","",PRIX!H71*'QUANTITE DETENUES'!H71)</f>
        <v>1300.6461</v>
      </c>
      <c r="I71" s="299">
        <f>IF(H71="","",PRIX!I71*'QUANTITE DETENUES'!I71)</f>
        <v>519.922425</v>
      </c>
      <c r="J71" s="299">
        <f>IF(I71="","",PRIX!J71*'QUANTITE DETENUES'!J71)</f>
        <v>25.62751589</v>
      </c>
      <c r="K71" s="299">
        <f>IF(J71="","",PRIX!K71*'QUANTITE DETENUES'!K71)</f>
        <v>254.0888864</v>
      </c>
      <c r="L71" s="299">
        <f>IF(K71="","",PRIX!L71*'QUANTITE DETENUES'!L71)</f>
        <v>325.99016</v>
      </c>
      <c r="M71" s="299">
        <f>IF(L71="","",PRIX!M71*'QUANTITE DETENUES'!M71)</f>
        <v>602.6557895</v>
      </c>
      <c r="N71" s="299">
        <f>IF(M71="","",PRIX!N71*'QUANTITE DETENUES'!N71)</f>
        <v>368.2993182</v>
      </c>
      <c r="O71" s="299">
        <f>IF(N71="","",PRIX!O71*'QUANTITE DETENUES'!O71)</f>
        <v>577.1403428</v>
      </c>
      <c r="P71" s="299">
        <f>IF(O71="","",PRIX!P71*'QUANTITE DETENUES'!P71)</f>
        <v>0.00003614986499</v>
      </c>
      <c r="Q71" s="299">
        <f>IF(P71="","",PRIX!Q71*'QUANTITE DETENUES'!Q71)</f>
        <v>179.625</v>
      </c>
      <c r="R71" s="299">
        <f>IF(Q71="","",PRIX!R71*'QUANTITE DETENUES'!R71)</f>
        <v>0</v>
      </c>
      <c r="S71" s="300">
        <f>IF(R71="","",PRIX!S71*'QUANTITE DETENUES'!S71)</f>
        <v>88</v>
      </c>
      <c r="T71" s="14">
        <f>IF(A71="","",ARBITRAGES!M71)</f>
        <v>601.159639</v>
      </c>
      <c r="U71" s="301">
        <f t="shared" si="1"/>
        <v>40126.47613</v>
      </c>
      <c r="V71" s="302">
        <f t="shared" si="2"/>
        <v>0.9850183795</v>
      </c>
      <c r="W71" s="288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Q71" s="289"/>
      <c r="AR71" s="289"/>
      <c r="AS71" s="289"/>
      <c r="AT71" s="289"/>
      <c r="AU71" s="289"/>
      <c r="AV71" s="289"/>
      <c r="AW71" s="289"/>
      <c r="AX71" s="289"/>
      <c r="AY71" s="289"/>
      <c r="AZ71" s="289"/>
      <c r="BA71" s="289"/>
    </row>
    <row r="72">
      <c r="A72" s="290">
        <f>PRIX!A72</f>
        <v>45779</v>
      </c>
      <c r="B72" s="299">
        <f>IF(A72="","",PRIX!B72*'QUANTITE DETENUES'!B72)</f>
        <v>24435.51181</v>
      </c>
      <c r="C72" s="299">
        <f>IF(B72="","",PRIX!C72*'QUANTITE DETENUES'!C72)</f>
        <v>5524.56</v>
      </c>
      <c r="D72" s="299">
        <f>IF(C72="","",PRIX!D72*'QUANTITE DETENUES'!D72)</f>
        <v>1442.084958</v>
      </c>
      <c r="E72" s="299">
        <f>IF(D72="","",PRIX!E72*'QUANTITE DETENUES'!E72)</f>
        <v>2940.239066</v>
      </c>
      <c r="F72" s="299">
        <f>IF(E72="","",PRIX!F72*'QUANTITE DETENUES'!F72)</f>
        <v>3006.035923</v>
      </c>
      <c r="G72" s="299">
        <f>IF(F72="","",PRIX!G72*'QUANTITE DETENUES'!G72)</f>
        <v>209.5608282</v>
      </c>
      <c r="H72" s="299">
        <f>IF(G72="","",PRIX!H72*'QUANTITE DETENUES'!H72)</f>
        <v>1500.7455</v>
      </c>
      <c r="I72" s="299">
        <f>IF(H72="","",PRIX!I72*'QUANTITE DETENUES'!I72)</f>
        <v>504.1672</v>
      </c>
      <c r="J72" s="299">
        <f>IF(I72="","",PRIX!J72*'QUANTITE DETENUES'!J72)</f>
        <v>246.0241525</v>
      </c>
      <c r="K72" s="299">
        <f>IF(J72="","",PRIX!K72*'QUANTITE DETENUES'!K72)</f>
        <v>266.7933307</v>
      </c>
      <c r="L72" s="299">
        <f>IF(K72="","",PRIX!L72*'QUANTITE DETENUES'!L72)</f>
        <v>407.4877</v>
      </c>
      <c r="M72" s="299">
        <f>IF(L72="","",PRIX!M72*'QUANTITE DETENUES'!M72)</f>
        <v>683.0098947</v>
      </c>
      <c r="N72" s="299">
        <f>IF(M72="","",PRIX!N72*'QUANTITE DETENUES'!N72)</f>
        <v>368.2993182</v>
      </c>
      <c r="O72" s="299">
        <f>IF(N72="","",PRIX!O72*'QUANTITE DETENUES'!O72)</f>
        <v>611.0897748</v>
      </c>
      <c r="P72" s="299">
        <f>IF(O72="","",PRIX!P72*'QUANTITE DETENUES'!P72)</f>
        <v>0.00004337983798</v>
      </c>
      <c r="Q72" s="299">
        <f>IF(P72="","",PRIX!Q72*'QUANTITE DETENUES'!Q72)</f>
        <v>263.45</v>
      </c>
      <c r="R72" s="299">
        <f>IF(Q72="","",PRIX!R72*'QUANTITE DETENUES'!R72)</f>
        <v>0</v>
      </c>
      <c r="S72" s="300">
        <f>IF(R72="","",PRIX!S72*'QUANTITE DETENUES'!S72)</f>
        <v>127.6</v>
      </c>
      <c r="T72" s="14">
        <f>IF(A72="","",ARBITRAGES!M72)</f>
        <v>1571.159639</v>
      </c>
      <c r="U72" s="301">
        <f t="shared" si="1"/>
        <v>44107.81914</v>
      </c>
      <c r="V72" s="302">
        <f t="shared" si="2"/>
        <v>0.9643791131</v>
      </c>
      <c r="W72" s="288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  <c r="AK72" s="289"/>
      <c r="AL72" s="289"/>
      <c r="AM72" s="289"/>
      <c r="AN72" s="289"/>
      <c r="AO72" s="289"/>
      <c r="AP72" s="289"/>
      <c r="AQ72" s="289"/>
      <c r="AR72" s="289"/>
      <c r="AS72" s="289"/>
      <c r="AT72" s="289"/>
      <c r="AU72" s="289"/>
      <c r="AV72" s="289"/>
      <c r="AW72" s="289"/>
      <c r="AX72" s="289"/>
      <c r="AY72" s="289"/>
      <c r="AZ72" s="289"/>
      <c r="BA72" s="289"/>
    </row>
    <row r="73">
      <c r="A73" s="290">
        <f>PRIX!A73</f>
        <v>45779</v>
      </c>
      <c r="B73" s="299">
        <f>IF(A73="","",PRIX!B73*'QUANTITE DETENUES'!B73)</f>
        <v>23505.51181</v>
      </c>
      <c r="C73" s="299">
        <f>IF(B73="","",PRIX!C73*'QUANTITE DETENUES'!C73)</f>
        <v>5524.56</v>
      </c>
      <c r="D73" s="299">
        <f>IF(C73="","",PRIX!D73*'QUANTITE DETENUES'!D73)</f>
        <v>1442.084958</v>
      </c>
      <c r="E73" s="299">
        <f>IF(D73="","",PRIX!E73*'QUANTITE DETENUES'!E73)</f>
        <v>2940.239066</v>
      </c>
      <c r="F73" s="299">
        <f>IF(E73="","",PRIX!F73*'QUANTITE DETENUES'!F73)</f>
        <v>3006.035923</v>
      </c>
      <c r="G73" s="299">
        <f>IF(F73="","",PRIX!G73*'QUANTITE DETENUES'!G73)</f>
        <v>209.5608282</v>
      </c>
      <c r="H73" s="299">
        <f>IF(G73="","",PRIX!H73*'QUANTITE DETENUES'!H73)</f>
        <v>1500.7455</v>
      </c>
      <c r="I73" s="299">
        <f>IF(H73="","",PRIX!I73*'QUANTITE DETENUES'!I73)</f>
        <v>504.1672</v>
      </c>
      <c r="J73" s="299">
        <f>IF(I73="","",PRIX!J73*'QUANTITE DETENUES'!J73)</f>
        <v>246.0241525</v>
      </c>
      <c r="K73" s="299">
        <f>IF(J73="","",PRIX!K73*'QUANTITE DETENUES'!K73)</f>
        <v>266.7933307</v>
      </c>
      <c r="L73" s="299">
        <f>IF(K73="","",PRIX!L73*'QUANTITE DETENUES'!L73)</f>
        <v>407.4877</v>
      </c>
      <c r="M73" s="299">
        <f>IF(L73="","",PRIX!M73*'QUANTITE DETENUES'!M73)</f>
        <v>683.0098947</v>
      </c>
      <c r="N73" s="299">
        <f>IF(M73="","",PRIX!N73*'QUANTITE DETENUES'!N73)</f>
        <v>368.2993182</v>
      </c>
      <c r="O73" s="299">
        <f>IF(N73="","",PRIX!O73*'QUANTITE DETENUES'!O73)</f>
        <v>611.0897748</v>
      </c>
      <c r="P73" s="299">
        <f>IF(O73="","",PRIX!P73*'QUANTITE DETENUES'!P73)</f>
        <v>0.00004337983798</v>
      </c>
      <c r="Q73" s="299">
        <f>IF(P73="","",PRIX!Q73*'QUANTITE DETENUES'!Q73)</f>
        <v>263.45</v>
      </c>
      <c r="R73" s="299">
        <f>IF(Q73="","",PRIX!R73*'QUANTITE DETENUES'!R73)</f>
        <v>0</v>
      </c>
      <c r="S73" s="300">
        <f>IF(R73="","",PRIX!S73*'QUANTITE DETENUES'!S73)</f>
        <v>127.6</v>
      </c>
      <c r="T73" s="14">
        <f>IF(A73="","",ARBITRAGES!M73)</f>
        <v>2551.159639</v>
      </c>
      <c r="U73" s="301">
        <f t="shared" si="1"/>
        <v>44157.81914</v>
      </c>
      <c r="V73" s="302">
        <f t="shared" si="2"/>
        <v>0.9422263217</v>
      </c>
      <c r="W73" s="288"/>
      <c r="X73" s="289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  <c r="AK73" s="289"/>
      <c r="AL73" s="289"/>
      <c r="AM73" s="289"/>
      <c r="AN73" s="289"/>
      <c r="AO73" s="289"/>
      <c r="AP73" s="289"/>
      <c r="AQ73" s="289"/>
      <c r="AR73" s="289"/>
      <c r="AS73" s="289"/>
      <c r="AT73" s="289"/>
      <c r="AU73" s="289"/>
      <c r="AV73" s="289"/>
      <c r="AW73" s="289"/>
      <c r="AX73" s="289"/>
      <c r="AY73" s="289"/>
      <c r="AZ73" s="289"/>
      <c r="BA73" s="289"/>
    </row>
    <row r="74">
      <c r="A74" s="290">
        <f>PRIX!A75</f>
        <v>45785</v>
      </c>
      <c r="B74" s="299">
        <f>IF(A74="","",PRIX!B74*'QUANTITE DETENUES'!B75)</f>
        <v>23961.05597</v>
      </c>
      <c r="C74" s="299">
        <f>IF(B74="","",PRIX!C74*'QUANTITE DETENUES'!C75)</f>
        <v>7673</v>
      </c>
      <c r="D74" s="299">
        <f>IF(C74="","",PRIX!D74*'QUANTITE DETENUES'!D75)</f>
        <v>1487.150113</v>
      </c>
      <c r="E74" s="299">
        <f>IF(D74="","",PRIX!E74*'QUANTITE DETENUES'!E75)</f>
        <v>3332.270942</v>
      </c>
      <c r="F74" s="299">
        <f>IF(E74="","",PRIX!F74*'QUANTITE DETENUES'!F75)</f>
        <v>4509.053884</v>
      </c>
      <c r="G74" s="299">
        <f>IF(F74="","",PRIX!G74*'QUANTITE DETENUES'!G75)</f>
        <v>238.3754421</v>
      </c>
      <c r="H74" s="299">
        <f>IF(G74="","",PRIX!H74*'QUANTITE DETENUES'!H75)</f>
        <v>1620.80514</v>
      </c>
      <c r="I74" s="299">
        <f>IF(H74="","",PRIX!I74*'QUANTITE DETENUES'!I75)</f>
        <v>65.2266315</v>
      </c>
      <c r="J74" s="299">
        <f>IF(I74="","",PRIX!J74*'QUANTITE DETENUES'!J75)</f>
        <v>307.5301907</v>
      </c>
      <c r="K74" s="299">
        <f>IF(J74="","",PRIX!K74*'QUANTITE DETENUES'!K75)</f>
        <v>296.0135526</v>
      </c>
      <c r="L74" s="299">
        <f>IF(K74="","",PRIX!L74*'QUANTITE DETENUES'!L75)</f>
        <v>423.787208</v>
      </c>
      <c r="M74" s="299">
        <f>IF(L74="","",PRIX!M74*'QUANTITE DETENUES'!M75)</f>
        <v>883.8951579</v>
      </c>
      <c r="N74" s="299">
        <f>IF(M74="","",PRIX!N74*'QUANTITE DETENUES'!N75)</f>
        <v>405.12925</v>
      </c>
      <c r="O74" s="299">
        <f>IF(N74="","",PRIX!O74*'QUANTITE DETENUES'!O75)</f>
        <v>662.0139227</v>
      </c>
      <c r="P74" s="299">
        <f>IF(O74="","",PRIX!P74*'QUANTITE DETENUES'!P75)</f>
        <v>0.00005350180018</v>
      </c>
      <c r="Q74" s="299">
        <f>IF(P74="","",PRIX!Q74*'QUANTITE DETENUES'!Q75)</f>
        <v>289.795</v>
      </c>
      <c r="R74" s="299">
        <f>IF(Q74="","",PRIX!R74*'QUANTITE DETENUES'!R75)</f>
        <v>0</v>
      </c>
      <c r="S74" s="300">
        <f>IF(R74="","",PRIX!S74*'QUANTITE DETENUES'!S75)</f>
        <v>127.6</v>
      </c>
      <c r="T74" s="14">
        <f>IF(A74="","",ARBITRAGES!M75)</f>
        <v>4837.308309</v>
      </c>
      <c r="U74" s="301">
        <f t="shared" si="1"/>
        <v>51120.01076</v>
      </c>
      <c r="V74" s="302">
        <f t="shared" si="2"/>
        <v>0.9053734881</v>
      </c>
      <c r="W74" s="288"/>
      <c r="X74" s="289"/>
      <c r="Y74" s="289"/>
      <c r="Z74" s="289"/>
      <c r="AA74" s="289"/>
      <c r="AB74" s="289"/>
      <c r="AC74" s="289"/>
      <c r="AD74" s="289"/>
      <c r="AE74" s="289"/>
      <c r="AF74" s="289"/>
      <c r="AG74" s="289"/>
      <c r="AH74" s="289"/>
      <c r="AI74" s="289"/>
      <c r="AJ74" s="289"/>
      <c r="AK74" s="289"/>
      <c r="AL74" s="289"/>
      <c r="AM74" s="289"/>
      <c r="AN74" s="289"/>
      <c r="AO74" s="289"/>
      <c r="AP74" s="289"/>
      <c r="AQ74" s="289"/>
      <c r="AR74" s="289"/>
      <c r="AS74" s="289"/>
      <c r="AT74" s="289"/>
      <c r="AU74" s="289"/>
      <c r="AV74" s="289"/>
      <c r="AW74" s="289"/>
      <c r="AX74" s="289"/>
      <c r="AY74" s="289"/>
      <c r="AZ74" s="289"/>
      <c r="BA74" s="289"/>
    </row>
    <row r="75">
      <c r="A75" s="290">
        <f>PRIX!A76</f>
        <v>45054</v>
      </c>
      <c r="B75" s="299">
        <f>IF(A75="","",PRIX!B76*'QUANTITE DETENUES'!B76)</f>
        <v>23961.05597</v>
      </c>
      <c r="C75" s="299">
        <f>IF(B75="","",PRIX!C76*'QUANTITE DETENUES'!C76)</f>
        <v>7673</v>
      </c>
      <c r="D75" s="299">
        <f>IF(C75="","",PRIX!D76*'QUANTITE DETENUES'!D76)</f>
        <v>1487.150113</v>
      </c>
      <c r="E75" s="299">
        <f>IF(D75="","",PRIX!E76*'QUANTITE DETENUES'!E76)</f>
        <v>3332.270942</v>
      </c>
      <c r="F75" s="299">
        <f>IF(E75="","",PRIX!F76*'QUANTITE DETENUES'!F76)</f>
        <v>4509.053884</v>
      </c>
      <c r="G75" s="299">
        <f>IF(F75="","",PRIX!G76*'QUANTITE DETENUES'!G76)</f>
        <v>0</v>
      </c>
      <c r="H75" s="299">
        <f>IF(G75="","",PRIX!H76*'QUANTITE DETENUES'!H76)</f>
        <v>1620.80514</v>
      </c>
      <c r="I75" s="299">
        <f>IF(H75="","",PRIX!I76*'QUANTITE DETENUES'!I76)</f>
        <v>65.2266315</v>
      </c>
      <c r="J75" s="299">
        <f>IF(I75="","",PRIX!J76*'QUANTITE DETENUES'!J76)</f>
        <v>307.5301907</v>
      </c>
      <c r="K75" s="299">
        <f>IF(J75="","",PRIX!K76*'QUANTITE DETENUES'!K76)</f>
        <v>296.0135526</v>
      </c>
      <c r="L75" s="299">
        <f>IF(K75="","",PRIX!L76*'QUANTITE DETENUES'!L76)</f>
        <v>423.787208</v>
      </c>
      <c r="M75" s="299">
        <f>IF(L75="","",PRIX!M76*'QUANTITE DETENUES'!M76)</f>
        <v>883.8951579</v>
      </c>
      <c r="N75" s="299">
        <f>IF(M75="","",PRIX!N76*'QUANTITE DETENUES'!N76)</f>
        <v>405.12925</v>
      </c>
      <c r="O75" s="299">
        <f>IF(N75="","",PRIX!O76*'QUANTITE DETENUES'!O76)</f>
        <v>662.0139227</v>
      </c>
      <c r="P75" s="299">
        <f>IF(O75="","",PRIX!P76*'QUANTITE DETENUES'!P76)</f>
        <v>0.00005350180018</v>
      </c>
      <c r="Q75" s="299">
        <f>IF(P75="","",PRIX!Q76*'QUANTITE DETENUES'!Q76)</f>
        <v>289.795</v>
      </c>
      <c r="R75" s="299">
        <f>IF(Q75="","",PRIX!R76*'QUANTITE DETENUES'!R76)</f>
        <v>0</v>
      </c>
      <c r="S75" s="300">
        <f>IF(R75="","",PRIX!S76*'QUANTITE DETENUES'!S76)</f>
        <v>127.6</v>
      </c>
      <c r="T75" s="14">
        <f>IF(A75="","",ARBITRAGES!M76)</f>
        <v>5059.860044</v>
      </c>
      <c r="U75" s="301">
        <f t="shared" si="1"/>
        <v>51104.18706</v>
      </c>
      <c r="V75" s="302">
        <f t="shared" si="2"/>
        <v>0.9009893252</v>
      </c>
      <c r="W75" s="288"/>
      <c r="X75" s="289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  <c r="AI75" s="289"/>
      <c r="AJ75" s="289"/>
      <c r="AK75" s="289"/>
      <c r="AL75" s="289"/>
      <c r="AM75" s="289"/>
      <c r="AN75" s="289"/>
      <c r="AO75" s="289"/>
      <c r="AP75" s="289"/>
      <c r="AQ75" s="289"/>
      <c r="AR75" s="289"/>
      <c r="AS75" s="289"/>
      <c r="AT75" s="289"/>
      <c r="AU75" s="289"/>
      <c r="AV75" s="289"/>
      <c r="AW75" s="289"/>
      <c r="AX75" s="289"/>
      <c r="AY75" s="289"/>
      <c r="AZ75" s="289"/>
      <c r="BA75" s="289"/>
    </row>
    <row r="76">
      <c r="A76" s="290">
        <f>PRIX!A77</f>
        <v>45786</v>
      </c>
      <c r="B76" s="299">
        <f>IF(A76="","",PRIX!B77*'QUANTITE DETENUES'!B77)</f>
        <v>23921.53597</v>
      </c>
      <c r="C76" s="299">
        <f>IF(B76="","",PRIX!C77*'QUANTITE DETENUES'!C77)</f>
        <v>7695.5</v>
      </c>
      <c r="D76" s="299">
        <f>IF(C76="","",PRIX!D77*'QUANTITE DETENUES'!D77)</f>
        <v>1487.150113</v>
      </c>
      <c r="E76" s="299">
        <f>IF(D76="","",PRIX!E77*'QUANTITE DETENUES'!E77)</f>
        <v>3332.270942</v>
      </c>
      <c r="F76" s="299">
        <f>IF(E76="","",PRIX!F77*'QUANTITE DETENUES'!F77)</f>
        <v>4059.053884</v>
      </c>
      <c r="G76" s="299">
        <f>IF(F76="","",PRIX!G77*'QUANTITE DETENUES'!G77)</f>
        <v>0</v>
      </c>
      <c r="H76" s="299">
        <f>IF(G76="","",PRIX!H77*'QUANTITE DETENUES'!H77)</f>
        <v>1620.80514</v>
      </c>
      <c r="I76" s="299">
        <f>IF(H76="","",PRIX!I77*'QUANTITE DETENUES'!I77)</f>
        <v>65.2266315</v>
      </c>
      <c r="J76" s="299">
        <f>IF(I76="","",PRIX!J77*'QUANTITE DETENUES'!J77)</f>
        <v>307.5301907</v>
      </c>
      <c r="K76" s="299">
        <f>IF(J76="","",PRIX!K77*'QUANTITE DETENUES'!K77)</f>
        <v>296.0135526</v>
      </c>
      <c r="L76" s="299">
        <f>IF(K76="","",PRIX!L77*'QUANTITE DETENUES'!L77)</f>
        <v>423.787208</v>
      </c>
      <c r="M76" s="299">
        <f>IF(L76="","",PRIX!M77*'QUANTITE DETENUES'!M77)</f>
        <v>883.8951579</v>
      </c>
      <c r="N76" s="299">
        <f>IF(M76="","",PRIX!N77*'QUANTITE DETENUES'!N77)</f>
        <v>405.12925</v>
      </c>
      <c r="O76" s="299">
        <f>IF(N76="","",PRIX!O77*'QUANTITE DETENUES'!O77)</f>
        <v>662.0139227</v>
      </c>
      <c r="P76" s="299">
        <f>IF(O76="","",PRIX!P77*'QUANTITE DETENUES'!P77)</f>
        <v>0.00005350180018</v>
      </c>
      <c r="Q76" s="299">
        <f>IF(P76="","",PRIX!Q77*'QUANTITE DETENUES'!Q77)</f>
        <v>289.795</v>
      </c>
      <c r="R76" s="299">
        <f>IF(Q76="","",PRIX!R77*'QUANTITE DETENUES'!R77)</f>
        <v>0</v>
      </c>
      <c r="S76" s="300">
        <f>IF(R76="","",PRIX!S77*'QUANTITE DETENUES'!S77)</f>
        <v>127.6</v>
      </c>
      <c r="T76" s="14">
        <f>IF(A76="","",ARBITRAGES!M77)</f>
        <v>5484.860044</v>
      </c>
      <c r="U76" s="301">
        <f t="shared" si="1"/>
        <v>51062.16706</v>
      </c>
      <c r="V76" s="302">
        <f t="shared" si="2"/>
        <v>0.8925846598</v>
      </c>
      <c r="W76" s="288"/>
      <c r="X76" s="289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  <c r="AI76" s="289"/>
      <c r="AJ76" s="289"/>
      <c r="AK76" s="289"/>
      <c r="AL76" s="289"/>
      <c r="AM76" s="289"/>
      <c r="AN76" s="289"/>
      <c r="AO76" s="289"/>
      <c r="AP76" s="289"/>
      <c r="AQ76" s="289"/>
      <c r="AR76" s="289"/>
      <c r="AS76" s="289"/>
      <c r="AT76" s="289"/>
      <c r="AU76" s="289"/>
      <c r="AV76" s="289"/>
      <c r="AW76" s="289"/>
      <c r="AX76" s="289"/>
      <c r="AY76" s="289"/>
      <c r="AZ76" s="289"/>
      <c r="BA76" s="289"/>
    </row>
    <row r="77">
      <c r="A77" s="290">
        <f>PRIX!A78</f>
        <v>45789</v>
      </c>
      <c r="B77" s="299">
        <f>IF(A77="","",PRIX!B78*'QUANTITE DETENUES'!B78)</f>
        <v>24036.54335</v>
      </c>
      <c r="C77" s="299">
        <f>IF(B77="","",PRIX!C78*'QUANTITE DETENUES'!C78)</f>
        <v>7849.41</v>
      </c>
      <c r="D77" s="299">
        <f>IF(C77="","",PRIX!D78*'QUANTITE DETENUES'!D78)</f>
        <v>1316.799654</v>
      </c>
      <c r="E77" s="299">
        <f>IF(D77="","",PRIX!E78*'QUANTITE DETENUES'!E78)</f>
        <v>3442.528911</v>
      </c>
      <c r="F77" s="299">
        <f>IF(E77="","",PRIX!F78*'QUANTITE DETENUES'!F78)</f>
        <v>4248.856279</v>
      </c>
      <c r="G77" s="299">
        <f>IF(F77="","",PRIX!G78*'QUANTITE DETENUES'!G78)</f>
        <v>0</v>
      </c>
      <c r="H77" s="299">
        <f>IF(G77="","",PRIX!H78*'QUANTITE DETENUES'!H78)</f>
        <v>1751.39475</v>
      </c>
      <c r="I77" s="299">
        <f>IF(H77="","",PRIX!I78*'QUANTITE DETENUES'!I78)</f>
        <v>766.0190395</v>
      </c>
      <c r="J77" s="299">
        <f>IF(I77="","",PRIX!J78*'QUANTITE DETENUES'!J78)</f>
        <v>340.466211</v>
      </c>
      <c r="K77" s="299">
        <f>IF(J77="","",PRIX!K78*'QUANTITE DETENUES'!K78)</f>
        <v>317.701108</v>
      </c>
      <c r="L77" s="299">
        <f>IF(K77="","",PRIX!L78*'QUANTITE DETENUES'!L78)</f>
        <v>477.035732</v>
      </c>
      <c r="M77" s="299">
        <f>IF(L77="","",PRIX!M78*'QUANTITE DETENUES'!M78)</f>
        <v>903.9836842</v>
      </c>
      <c r="N77" s="299">
        <f>IF(M77="","",PRIX!N78*'QUANTITE DETENUES'!N78)</f>
        <v>442.5591818</v>
      </c>
      <c r="O77" s="299">
        <f>IF(N77="","",PRIX!O78*'QUANTITE DETENUES'!O78)</f>
        <v>678.9886386</v>
      </c>
      <c r="P77" s="299">
        <f>IF(O77="","",PRIX!P78*'QUANTITE DETENUES'!P78)</f>
        <v>0.00007519171917</v>
      </c>
      <c r="Q77" s="299">
        <f>IF(P77="","",PRIX!Q78*'QUANTITE DETENUES'!Q78)</f>
        <v>360</v>
      </c>
      <c r="R77" s="299">
        <f>IF(Q77="","",PRIX!R78*'QUANTITE DETENUES'!R78)</f>
        <v>0</v>
      </c>
      <c r="S77" s="300">
        <f>IF(R77="","",PRIX!S78*'QUANTITE DETENUES'!S78)</f>
        <v>145.2</v>
      </c>
      <c r="T77" s="14">
        <f>IF(A77="","",ARBITRAGES!M78)</f>
        <v>5731.610044</v>
      </c>
      <c r="U77" s="301">
        <f t="shared" si="1"/>
        <v>52809.09666</v>
      </c>
      <c r="V77" s="302">
        <f t="shared" si="2"/>
        <v>0.8914654784</v>
      </c>
      <c r="W77" s="288"/>
      <c r="X77" s="289"/>
      <c r="Y77" s="289"/>
      <c r="Z77" s="289"/>
      <c r="AA77" s="289"/>
      <c r="AB77" s="289"/>
      <c r="AC77" s="289"/>
      <c r="AD77" s="289"/>
      <c r="AE77" s="289"/>
      <c r="AF77" s="289"/>
      <c r="AG77" s="289"/>
      <c r="AH77" s="289"/>
      <c r="AI77" s="289"/>
      <c r="AJ77" s="289"/>
      <c r="AK77" s="289"/>
      <c r="AL77" s="289"/>
      <c r="AM77" s="289"/>
      <c r="AN77" s="289"/>
      <c r="AO77" s="289"/>
      <c r="AP77" s="289"/>
      <c r="AQ77" s="289"/>
      <c r="AR77" s="289"/>
      <c r="AS77" s="289"/>
      <c r="AT77" s="289"/>
      <c r="AU77" s="289"/>
      <c r="AV77" s="289"/>
      <c r="AW77" s="289"/>
      <c r="AX77" s="289"/>
      <c r="AY77" s="289"/>
      <c r="AZ77" s="289"/>
      <c r="BA77" s="289"/>
    </row>
    <row r="78">
      <c r="A78" s="290">
        <f>PRIX!A79</f>
        <v>45790</v>
      </c>
      <c r="B78" s="299">
        <f>IF(A78="","",PRIX!B79*'QUANTITE DETENUES'!B79)</f>
        <v>25221.22417</v>
      </c>
      <c r="C78" s="299">
        <f>IF(B78="","",PRIX!C79*'QUANTITE DETENUES'!C79)</f>
        <v>7695.5</v>
      </c>
      <c r="D78" s="299">
        <f>IF(C78="","",PRIX!D79*'QUANTITE DETENUES'!D79)</f>
        <v>1241.553959</v>
      </c>
      <c r="E78" s="299">
        <f>IF(D78="","",PRIX!E79*'QUANTITE DETENUES'!E79)</f>
        <v>3442.528911</v>
      </c>
      <c r="F78" s="299">
        <f>IF(E78="","",PRIX!F79*'QUANTITE DETENUES'!F79)</f>
        <v>4158.455082</v>
      </c>
      <c r="G78" s="299">
        <f>IF(F78="","",PRIX!G79*'QUANTITE DETENUES'!G79)</f>
        <v>0</v>
      </c>
      <c r="H78" s="299">
        <f>IF(G78="","",PRIX!H79*'QUANTITE DETENUES'!H79)</f>
        <v>1651.31505</v>
      </c>
      <c r="I78" s="299">
        <f>IF(H78="","",PRIX!I79*'QUANTITE DETENUES'!I79)</f>
        <v>707.4096025</v>
      </c>
      <c r="J78" s="299">
        <f>IF(I78="","",PRIX!J79*'QUANTITE DETENUES'!J79)</f>
        <v>315.8541957</v>
      </c>
      <c r="K78" s="299">
        <f>IF(J78="","",PRIX!K79*'QUANTITE DETENUES'!K79)</f>
        <v>304.9930636</v>
      </c>
      <c r="L78" s="299">
        <f>IF(K78="","",PRIX!L79*'QUANTITE DETENUES'!L79)</f>
        <v>452.36147</v>
      </c>
      <c r="M78" s="299">
        <f>IF(L78="","",PRIX!M79*'QUANTITE DETENUES'!M79)</f>
        <v>883.8951579</v>
      </c>
      <c r="N78" s="299">
        <f>IF(M78="","",PRIX!N79*'QUANTITE DETENUES'!N79)</f>
        <v>442.5591818</v>
      </c>
      <c r="O78" s="299">
        <f>IF(N78="","",PRIX!O79*'QUANTITE DETENUES'!O79)</f>
        <v>645.0392067</v>
      </c>
      <c r="P78" s="299">
        <f>IF(O78="","",PRIX!P79*'QUANTITE DETENUES'!P79)</f>
        <v>0.00007519171917</v>
      </c>
      <c r="Q78" s="299">
        <f>IF(P78="","",PRIX!Q79*'QUANTITE DETENUES'!Q79)</f>
        <v>360</v>
      </c>
      <c r="R78" s="299">
        <f>IF(Q78="","",PRIX!R79*'QUANTITE DETENUES'!R79)</f>
        <v>0</v>
      </c>
      <c r="S78" s="300">
        <f>IF(R78="","",PRIX!S79*'QUANTITE DETENUES'!S79)</f>
        <v>136.84</v>
      </c>
      <c r="T78" s="14">
        <f>IF(A78="","",ARBITRAGES!M79)</f>
        <v>4231.610044</v>
      </c>
      <c r="U78" s="301">
        <f t="shared" si="1"/>
        <v>51891.13917</v>
      </c>
      <c r="V78" s="302">
        <f t="shared" si="2"/>
        <v>0.9184521652</v>
      </c>
      <c r="W78" s="288"/>
      <c r="X78" s="289"/>
      <c r="Y78" s="289"/>
      <c r="Z78" s="289"/>
      <c r="AA78" s="289"/>
      <c r="AB78" s="289"/>
      <c r="AC78" s="289"/>
      <c r="AD78" s="289"/>
      <c r="AE78" s="289"/>
      <c r="AF78" s="289"/>
      <c r="AG78" s="289"/>
      <c r="AH78" s="289"/>
      <c r="AI78" s="289"/>
      <c r="AJ78" s="289"/>
      <c r="AK78" s="289"/>
      <c r="AL78" s="289"/>
      <c r="AM78" s="289"/>
      <c r="AN78" s="289"/>
      <c r="AO78" s="289"/>
      <c r="AP78" s="289"/>
      <c r="AQ78" s="289"/>
      <c r="AR78" s="289"/>
      <c r="AS78" s="289"/>
      <c r="AT78" s="289"/>
      <c r="AU78" s="289"/>
      <c r="AV78" s="289"/>
      <c r="AW78" s="289"/>
      <c r="AX78" s="289"/>
      <c r="AY78" s="289"/>
      <c r="AZ78" s="289"/>
      <c r="BA78" s="289"/>
    </row>
    <row r="79">
      <c r="A79" s="290">
        <f>PRIX!A80</f>
        <v>45808</v>
      </c>
      <c r="B79" s="299">
        <f>IF(A79="","",PRIX!B80*'QUANTITE DETENUES'!B80)</f>
        <v>25221.22417</v>
      </c>
      <c r="C79" s="299">
        <f>IF(B79="","",PRIX!C80*'QUANTITE DETENUES'!C80)</f>
        <v>7849.41</v>
      </c>
      <c r="D79" s="299">
        <f>IF(C79="","",PRIX!D80*'QUANTITE DETENUES'!D80)</f>
        <v>1222.742535</v>
      </c>
      <c r="E79" s="299">
        <f>IF(D79="","",PRIX!E80*'QUANTITE DETENUES'!E80)</f>
        <v>3049.097035</v>
      </c>
      <c r="F79" s="299">
        <f>IF(E79="","",PRIX!F80*'QUANTITE DETENUES'!F80)</f>
        <v>4096.047897</v>
      </c>
      <c r="G79" s="299">
        <f>IF(F79="","",PRIX!G80*'QUANTITE DETENUES'!G80)</f>
        <v>0</v>
      </c>
      <c r="H79" s="299">
        <f>IF(G79="","",PRIX!H80*'QUANTITE DETENUES'!H80)</f>
        <v>1451.15565</v>
      </c>
      <c r="I79" s="299">
        <f>IF(H79="","",PRIX!I80*'QUANTITE DETENUES'!I80)</f>
        <v>567.1881</v>
      </c>
      <c r="J79" s="299">
        <f>IF(I79="","",PRIX!J80*'QUANTITE DETENUES'!J80)</f>
        <v>315.8541957</v>
      </c>
      <c r="K79" s="299">
        <f>IF(J79="","",PRIX!K80*'QUANTITE DETENUES'!K80)</f>
        <v>304.9930636</v>
      </c>
      <c r="L79" s="299">
        <f>IF(K79="","",PRIX!L80*'QUANTITE DETENUES'!L80)</f>
        <v>452.36147</v>
      </c>
      <c r="M79" s="299">
        <f>IF(L79="","",PRIX!M80*'QUANTITE DETENUES'!M80)</f>
        <v>883.8951579</v>
      </c>
      <c r="N79" s="299">
        <f>IF(M79="","",PRIX!N80*'QUANTITE DETENUES'!N80)</f>
        <v>442.5591818</v>
      </c>
      <c r="O79" s="299">
        <f>IF(N79="","",PRIX!O80*'QUANTITE DETENUES'!O80)</f>
        <v>645.0392067</v>
      </c>
      <c r="P79" s="299">
        <f>IF(O79="","",PRIX!P80*'QUANTITE DETENUES'!P80)</f>
        <v>0.00007519171917</v>
      </c>
      <c r="Q79" s="299">
        <f>IF(P79="","",PRIX!Q80*'QUANTITE DETENUES'!Q80)</f>
        <v>360</v>
      </c>
      <c r="R79" s="299">
        <f>IF(Q79="","",PRIX!R80*'QUANTITE DETENUES'!R80)</f>
        <v>0</v>
      </c>
      <c r="S79" s="300">
        <f>IF(R79="","",PRIX!S80*'QUANTITE DETENUES'!S80)</f>
        <v>136.84</v>
      </c>
      <c r="T79" s="14">
        <f>IF(A79="","",ARBITRAGES!M80)</f>
        <v>3775.610044</v>
      </c>
      <c r="U79" s="301">
        <f t="shared" si="1"/>
        <v>50774.01778</v>
      </c>
      <c r="V79" s="302">
        <f t="shared" si="2"/>
        <v>0.9256389349</v>
      </c>
      <c r="W79" s="288"/>
      <c r="X79" s="289"/>
      <c r="Y79" s="289"/>
      <c r="Z79" s="289"/>
      <c r="AA79" s="289"/>
      <c r="AB79" s="289"/>
      <c r="AC79" s="289"/>
      <c r="AD79" s="289"/>
      <c r="AE79" s="289"/>
      <c r="AF79" s="289"/>
      <c r="AG79" s="289"/>
      <c r="AH79" s="289"/>
      <c r="AI79" s="289"/>
      <c r="AJ79" s="289"/>
      <c r="AK79" s="289"/>
      <c r="AL79" s="289"/>
      <c r="AM79" s="289"/>
      <c r="AN79" s="289"/>
      <c r="AO79" s="289"/>
      <c r="AP79" s="289"/>
      <c r="AQ79" s="289"/>
      <c r="AR79" s="289"/>
      <c r="AS79" s="289"/>
      <c r="AT79" s="289"/>
      <c r="AU79" s="289"/>
      <c r="AV79" s="289"/>
      <c r="AW79" s="289"/>
      <c r="AX79" s="289"/>
      <c r="AY79" s="289"/>
      <c r="AZ79" s="289"/>
      <c r="BA79" s="289"/>
    </row>
    <row r="80">
      <c r="A80" s="290">
        <f>PRIX!A81</f>
        <v>45817</v>
      </c>
      <c r="B80" s="299">
        <f>IF(A80="","",PRIX!B81*'QUANTITE DETENUES'!B81)</f>
        <v>24750.86725</v>
      </c>
      <c r="C80" s="299">
        <f>IF(B80="","",PRIX!C81*'QUANTITE DETENUES'!C81)</f>
        <v>8311.14</v>
      </c>
      <c r="D80" s="299">
        <f>IF(C80="","",PRIX!D81*'QUANTITE DETENUES'!D81)</f>
        <v>1252.840813</v>
      </c>
      <c r="E80" s="299">
        <f>IF(D80="","",PRIX!E81*'QUANTITE DETENUES'!E81)</f>
        <v>3147.455004</v>
      </c>
      <c r="F80" s="299">
        <f>IF(E80="","",PRIX!F81*'QUANTITE DETENUES'!F81)</f>
        <v>4505.652687</v>
      </c>
      <c r="G80" s="299">
        <f>IF(F80="","",PRIX!G81*'QUANTITE DETENUES'!G81)</f>
        <v>0</v>
      </c>
      <c r="H80" s="299">
        <f>IF(G80="","",PRIX!H81*'QUANTITE DETENUES'!H81)</f>
        <v>1501.1955</v>
      </c>
      <c r="I80" s="299">
        <f>IF(H80="","",PRIX!I81*'QUANTITE DETENUES'!I81)</f>
        <v>630.209</v>
      </c>
      <c r="J80" s="299">
        <f>IF(I80="","",PRIX!J81*'QUANTITE DETENUES'!J81)</f>
        <v>266.6301652</v>
      </c>
      <c r="K80" s="299">
        <f>IF(J80="","",PRIX!K81*'QUANTITE DETENUES'!K81)</f>
        <v>317.701108</v>
      </c>
      <c r="L80" s="299">
        <f>IF(K80="","",PRIX!L81*'QUANTITE DETENUES'!L81)</f>
        <v>411.2377</v>
      </c>
      <c r="M80" s="299">
        <f>IF(L80="","",PRIX!M81*'QUANTITE DETENUES'!M81)</f>
        <v>1205.311579</v>
      </c>
      <c r="N80" s="299">
        <f>IF(M80="","",PRIX!N81*'QUANTITE DETENUES'!N81)</f>
        <v>309.7914273</v>
      </c>
      <c r="O80" s="299">
        <f>IF(N80="","",PRIX!O81*'QUANTITE DETENUES'!O81)</f>
        <v>738.4001445</v>
      </c>
      <c r="P80" s="299">
        <f>IF(O80="","",PRIX!P81*'QUANTITE DETENUES'!P81)</f>
        <v>0.00005783978398</v>
      </c>
      <c r="Q80" s="299">
        <f>IF(P80="","",PRIX!Q81*'QUANTITE DETENUES'!Q81)</f>
        <v>312</v>
      </c>
      <c r="R80" s="299">
        <f>IF(Q80="","",PRIX!R81*'QUANTITE DETENUES'!R81)</f>
        <v>0</v>
      </c>
      <c r="S80" s="300">
        <f>IF(R80="","",PRIX!S81*'QUANTITE DETENUES'!S81)</f>
        <v>105.6</v>
      </c>
      <c r="T80" s="14">
        <f>IF(A80="","",ARBITRAGES!M81)</f>
        <v>5930.243189</v>
      </c>
      <c r="U80" s="301">
        <f t="shared" si="1"/>
        <v>53696.27562</v>
      </c>
      <c r="V80" s="302">
        <f t="shared" si="2"/>
        <v>0.8895595063</v>
      </c>
      <c r="W80" s="288"/>
      <c r="X80" s="289"/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  <c r="AK80" s="289"/>
      <c r="AL80" s="289"/>
      <c r="AM80" s="289"/>
      <c r="AN80" s="289"/>
      <c r="AO80" s="289"/>
      <c r="AP80" s="289"/>
      <c r="AQ80" s="289"/>
      <c r="AR80" s="289"/>
      <c r="AS80" s="289"/>
      <c r="AT80" s="289"/>
      <c r="AU80" s="289"/>
      <c r="AV80" s="289"/>
      <c r="AW80" s="289"/>
      <c r="AX80" s="289"/>
      <c r="AY80" s="289"/>
      <c r="AZ80" s="289"/>
      <c r="BA80" s="289"/>
    </row>
    <row r="81">
      <c r="A81" s="290">
        <f>PRIX!A82</f>
        <v>45817</v>
      </c>
      <c r="B81" s="299">
        <f>IF(A81="","",PRIX!B82*'QUANTITE DETENUES'!B82)</f>
        <v>22000.86725</v>
      </c>
      <c r="C81" s="299">
        <f>IF(B81="","",PRIX!C82*'QUANTITE DETENUES'!C82)</f>
        <v>8317.35</v>
      </c>
      <c r="D81" s="299">
        <f>IF(C81="","",PRIX!D82*'QUANTITE DETENUES'!D82)</f>
        <v>1252.840813</v>
      </c>
      <c r="E81" s="299">
        <f>IF(D81="","",PRIX!E82*'QUANTITE DETENUES'!E82)</f>
        <v>3154.24</v>
      </c>
      <c r="F81" s="299">
        <f>IF(E81="","",PRIX!F82*'QUANTITE DETENUES'!F82)</f>
        <v>4505.652687</v>
      </c>
      <c r="G81" s="299">
        <f>IF(F81="","",PRIX!G82*'QUANTITE DETENUES'!G82)</f>
        <v>0</v>
      </c>
      <c r="H81" s="299">
        <f>IF(G81="","",PRIX!H82*'QUANTITE DETENUES'!H82)</f>
        <v>1501.1955</v>
      </c>
      <c r="I81" s="299">
        <f>IF(H81="","",PRIX!I82*'QUANTITE DETENUES'!I82)</f>
        <v>630.316</v>
      </c>
      <c r="J81" s="299">
        <f>IF(I81="","",PRIX!J82*'QUANTITE DETENUES'!J82)</f>
        <v>266.539988</v>
      </c>
      <c r="K81" s="299">
        <f>IF(J81="","",PRIX!K82*'QUANTITE DETENUES'!K82)</f>
        <v>317.701108</v>
      </c>
      <c r="L81" s="299">
        <f>IF(K81="","",PRIX!L82*'QUANTITE DETENUES'!L82)</f>
        <v>412</v>
      </c>
      <c r="M81" s="299">
        <f>IF(L81="","",PRIX!M82*'QUANTITE DETENUES'!M82)</f>
        <v>1205.311579</v>
      </c>
      <c r="N81" s="299">
        <f>IF(M81="","",PRIX!N82*'QUANTITE DETENUES'!N82)</f>
        <v>309.8802</v>
      </c>
      <c r="O81" s="299">
        <f>IF(N81="","",PRIX!O82*'QUANTITE DETENUES'!O82)</f>
        <v>738.4001445</v>
      </c>
      <c r="P81" s="299">
        <f>IF(O81="","",PRIX!P82*'QUANTITE DETENUES'!P82)</f>
        <v>0.00005783978398</v>
      </c>
      <c r="Q81" s="299">
        <f>IF(P81="","",PRIX!Q82*'QUANTITE DETENUES'!Q82)</f>
        <v>313.69</v>
      </c>
      <c r="R81" s="299">
        <f>IF(Q81="","",PRIX!R82*'QUANTITE DETENUES'!R82)</f>
        <v>0</v>
      </c>
      <c r="S81" s="300">
        <f>IF(R81="","",PRIX!S82*'QUANTITE DETENUES'!S82)</f>
        <v>105.6</v>
      </c>
      <c r="T81" s="14">
        <f>IF(A81="","",ARBITRAGES!M82)</f>
        <v>8690.243189</v>
      </c>
      <c r="U81" s="301">
        <f t="shared" si="1"/>
        <v>53721.82851</v>
      </c>
      <c r="V81" s="302">
        <f t="shared" si="2"/>
        <v>0.8382362732</v>
      </c>
      <c r="W81" s="288"/>
      <c r="X81" s="289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  <c r="AK81" s="289"/>
      <c r="AL81" s="289"/>
      <c r="AM81" s="289"/>
      <c r="AN81" s="289"/>
      <c r="AO81" s="289"/>
      <c r="AP81" s="289"/>
      <c r="AQ81" s="289"/>
      <c r="AR81" s="289"/>
      <c r="AS81" s="289"/>
      <c r="AT81" s="289"/>
      <c r="AU81" s="289"/>
      <c r="AV81" s="289"/>
      <c r="AW81" s="289"/>
      <c r="AX81" s="289"/>
      <c r="AY81" s="289"/>
      <c r="AZ81" s="289"/>
      <c r="BA81" s="289"/>
    </row>
    <row r="82">
      <c r="A82" s="290">
        <f>PRIX!A83</f>
        <v>45818</v>
      </c>
      <c r="B82" s="299">
        <f>IF(A82="","",PRIX!B83*'QUANTITE DETENUES'!B83)</f>
        <v>23312.79385</v>
      </c>
      <c r="C82" s="299">
        <f>IF(B82="","",PRIX!C83*'QUANTITE DETENUES'!C83)</f>
        <v>8471.375</v>
      </c>
      <c r="D82" s="299">
        <f>IF(C82="","",PRIX!D83*'QUANTITE DETENUES'!D83)</f>
        <v>1252.840813</v>
      </c>
      <c r="E82" s="299">
        <f>IF(D82="","",PRIX!E83*'QUANTITE DETENUES'!E83)</f>
        <v>3154.24</v>
      </c>
      <c r="F82" s="299">
        <f>IF(E82="","",PRIX!F83*'QUANTITE DETENUES'!F83)</f>
        <v>4505.652687</v>
      </c>
      <c r="G82" s="299">
        <f>IF(F82="","",PRIX!G83*'QUANTITE DETENUES'!G83)</f>
        <v>0</v>
      </c>
      <c r="H82" s="299">
        <f>IF(G82="","",PRIX!H83*'QUANTITE DETENUES'!H83)</f>
        <v>1501.1955</v>
      </c>
      <c r="I82" s="299">
        <f>IF(H82="","",PRIX!I83*'QUANTITE DETENUES'!I83)</f>
        <v>630.316</v>
      </c>
      <c r="J82" s="299">
        <f>IF(I82="","",PRIX!J83*'QUANTITE DETENUES'!J83)</f>
        <v>266.539988</v>
      </c>
      <c r="K82" s="299">
        <f>IF(J82="","",PRIX!K83*'QUANTITE DETENUES'!K83)</f>
        <v>317.701108</v>
      </c>
      <c r="L82" s="299">
        <f>IF(K82="","",PRIX!L83*'QUANTITE DETENUES'!L83)</f>
        <v>412</v>
      </c>
      <c r="M82" s="299">
        <f>IF(L82="","",PRIX!M83*'QUANTITE DETENUES'!M83)</f>
        <v>1285.665684</v>
      </c>
      <c r="N82" s="299">
        <f>IF(M82="","",PRIX!N83*'QUANTITE DETENUES'!N83)</f>
        <v>309.8802</v>
      </c>
      <c r="O82" s="299">
        <f>IF(N82="","",PRIX!O83*'QUANTITE DETENUES'!O83)</f>
        <v>738.4001445</v>
      </c>
      <c r="P82" s="299">
        <f>IF(O82="","",PRIX!P83*'QUANTITE DETENUES'!P83)</f>
        <v>0.00005783978398</v>
      </c>
      <c r="Q82" s="299">
        <f>IF(P82="","",PRIX!Q83*'QUANTITE DETENUES'!Q83)</f>
        <v>313.69</v>
      </c>
      <c r="R82" s="299">
        <f>IF(Q82="","",PRIX!R83*'QUANTITE DETENUES'!R83)</f>
        <v>0</v>
      </c>
      <c r="S82" s="300">
        <f>IF(R82="","",PRIX!S83*'QUANTITE DETENUES'!S83)</f>
        <v>105.6</v>
      </c>
      <c r="T82" s="14">
        <f>IF(A82="","",ARBITRAGES!M83)</f>
        <v>7390.243189</v>
      </c>
      <c r="U82" s="301">
        <f t="shared" si="1"/>
        <v>53968.13422</v>
      </c>
      <c r="V82" s="302">
        <f t="shared" si="2"/>
        <v>0.8630628371</v>
      </c>
      <c r="W82" s="288"/>
      <c r="X82" s="289"/>
      <c r="Y82" s="289"/>
      <c r="Z82" s="289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  <c r="AK82" s="289"/>
      <c r="AL82" s="289"/>
      <c r="AM82" s="289"/>
      <c r="AN82" s="289"/>
      <c r="AO82" s="289"/>
      <c r="AP82" s="289"/>
      <c r="AQ82" s="289"/>
      <c r="AR82" s="289"/>
      <c r="AS82" s="289"/>
      <c r="AT82" s="289"/>
      <c r="AU82" s="289"/>
      <c r="AV82" s="289"/>
      <c r="AW82" s="289"/>
      <c r="AX82" s="289"/>
      <c r="AY82" s="289"/>
      <c r="AZ82" s="289"/>
      <c r="BA82" s="289"/>
    </row>
    <row r="83">
      <c r="A83" s="290">
        <f>PRIX!A84</f>
        <v>45831</v>
      </c>
      <c r="B83" s="299">
        <f>IF(A83="","",PRIX!B84*'QUANTITE DETENUES'!B84)</f>
        <v>22465.05589</v>
      </c>
      <c r="C83" s="299">
        <f>IF(B83="","",PRIX!C84*'QUANTITE DETENUES'!C84)</f>
        <v>8009.3</v>
      </c>
      <c r="D83" s="299">
        <f>IF(C83="","",PRIX!D84*'QUANTITE DETENUES'!D84)</f>
        <v>1128.685417</v>
      </c>
      <c r="E83" s="299">
        <f>IF(D83="","",PRIX!E84*'QUANTITE DETENUES'!E84)</f>
        <v>2858.53</v>
      </c>
      <c r="F83" s="299">
        <f>IF(E83="","",PRIX!F84*'QUANTITE DETENUES'!F84)</f>
        <v>3788.844305</v>
      </c>
      <c r="G83" s="299">
        <f>IF(F83="","",PRIX!G84*'QUANTITE DETENUES'!G84)</f>
        <v>0</v>
      </c>
      <c r="H83" s="299">
        <f>IF(G83="","",PRIX!H84*'QUANTITE DETENUES'!H84)</f>
        <v>1401.1158</v>
      </c>
      <c r="I83" s="299">
        <f>IF(H83="","",PRIX!I84*'QUANTITE DETENUES'!I84)</f>
        <v>485.34332</v>
      </c>
      <c r="J83" s="299">
        <f>IF(I83="","",PRIX!J84*'QUANTITE DETENUES'!J84)</f>
        <v>225.533836</v>
      </c>
      <c r="K83" s="299">
        <f>IF(J83="","",PRIX!K84*'QUANTITE DETENUES'!K84)</f>
        <v>254.1608864</v>
      </c>
      <c r="L83" s="299">
        <f>IF(K83="","",PRIX!L84*'QUANTITE DETENUES'!L84)</f>
        <v>288.4</v>
      </c>
      <c r="M83" s="299">
        <f>IF(L83="","",PRIX!M84*'QUANTITE DETENUES'!M84)</f>
        <v>1257.49407</v>
      </c>
      <c r="N83" s="299">
        <f>IF(M83="","",PRIX!N84*'QUANTITE DETENUES'!N84)</f>
        <v>221.343</v>
      </c>
      <c r="O83" s="299">
        <f>IF(N83="","",PRIX!O84*'QUANTITE DETENUES'!O84)</f>
        <v>568.6529849</v>
      </c>
      <c r="P83" s="299">
        <f>IF(O83="","",PRIX!P84*'QUANTITE DETENUES'!P84)</f>
        <v>0.00003759585958</v>
      </c>
      <c r="Q83" s="299">
        <f>IF(P83="","",PRIX!Q84*'QUANTITE DETENUES'!Q84)</f>
        <v>217.17</v>
      </c>
      <c r="R83" s="299">
        <f>IF(Q83="","",PRIX!R84*'QUANTITE DETENUES'!R84)</f>
        <v>0</v>
      </c>
      <c r="S83" s="300">
        <f>IF(R83="","",PRIX!S84*'QUANTITE DETENUES'!S84)</f>
        <v>83.6</v>
      </c>
      <c r="T83" s="14">
        <f>IF(A83="","",ARBITRAGES!M84)</f>
        <v>6991.243189</v>
      </c>
      <c r="U83" s="301">
        <f t="shared" si="1"/>
        <v>50244.47274</v>
      </c>
      <c r="V83" s="302">
        <f t="shared" si="2"/>
        <v>0.8608554771</v>
      </c>
      <c r="W83" s="288"/>
      <c r="X83" s="289"/>
      <c r="Y83" s="289"/>
      <c r="Z83" s="289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  <c r="AK83" s="289"/>
      <c r="AL83" s="289"/>
      <c r="AM83" s="289"/>
      <c r="AN83" s="289"/>
      <c r="AO83" s="289"/>
      <c r="AP83" s="289"/>
      <c r="AQ83" s="289"/>
      <c r="AR83" s="289"/>
      <c r="AS83" s="289"/>
      <c r="AT83" s="289"/>
      <c r="AU83" s="289"/>
      <c r="AV83" s="289"/>
      <c r="AW83" s="289"/>
      <c r="AX83" s="289"/>
      <c r="AY83" s="289"/>
      <c r="AZ83" s="289"/>
      <c r="BA83" s="289"/>
    </row>
    <row r="84">
      <c r="A84" s="290">
        <f>PRIX!A85</f>
        <v>45831</v>
      </c>
      <c r="B84" s="299">
        <f>IF(A84="","",PRIX!B85*'QUANTITE DETENUES'!B85)</f>
        <v>22465.05589</v>
      </c>
      <c r="C84" s="299">
        <f>IF(B84="","",PRIX!C85*'QUANTITE DETENUES'!C85)</f>
        <v>8009.3</v>
      </c>
      <c r="D84" s="299">
        <f>IF(C84="","",PRIX!D85*'QUANTITE DETENUES'!D85)</f>
        <v>1128.685417</v>
      </c>
      <c r="E84" s="299">
        <f>IF(D84="","",PRIX!E85*'QUANTITE DETENUES'!E85)</f>
        <v>2858.53</v>
      </c>
      <c r="F84" s="299">
        <f>IF(E84="","",PRIX!F85*'QUANTITE DETENUES'!F85)</f>
        <v>3788.844305</v>
      </c>
      <c r="G84" s="299">
        <f>IF(F84="","",PRIX!G85*'QUANTITE DETENUES'!G85)</f>
        <v>0</v>
      </c>
      <c r="H84" s="299">
        <f>IF(G84="","",PRIX!H85*'QUANTITE DETENUES'!H85)</f>
        <v>1401.1158</v>
      </c>
      <c r="I84" s="299">
        <f>IF(H84="","",PRIX!I85*'QUANTITE DETENUES'!I85)</f>
        <v>485.34332</v>
      </c>
      <c r="J84" s="299">
        <f>IF(I84="","",PRIX!J85*'QUANTITE DETENUES'!J85)</f>
        <v>225.533836</v>
      </c>
      <c r="K84" s="299">
        <f>IF(J84="","",PRIX!K85*'QUANTITE DETENUES'!K85)</f>
        <v>254.1608864</v>
      </c>
      <c r="L84" s="299">
        <f>IF(K84="","",PRIX!L85*'QUANTITE DETENUES'!L85)</f>
        <v>148.4</v>
      </c>
      <c r="M84" s="299">
        <f>IF(L84="","",PRIX!M85*'QUANTITE DETENUES'!M85)</f>
        <v>1257.49407</v>
      </c>
      <c r="N84" s="299">
        <f>IF(M84="","",PRIX!N85*'QUANTITE DETENUES'!N85)</f>
        <v>221.343</v>
      </c>
      <c r="O84" s="299">
        <f>IF(N84="","",PRIX!O85*'QUANTITE DETENUES'!O85)</f>
        <v>568.6529849</v>
      </c>
      <c r="P84" s="299">
        <f>IF(O84="","",PRIX!P85*'QUANTITE DETENUES'!P85)</f>
        <v>0.00003759585958</v>
      </c>
      <c r="Q84" s="299">
        <f>IF(P84="","",PRIX!Q85*'QUANTITE DETENUES'!Q85)</f>
        <v>217.17</v>
      </c>
      <c r="R84" s="299">
        <f>IF(Q84="","",PRIX!R85*'QUANTITE DETENUES'!R85)</f>
        <v>0</v>
      </c>
      <c r="S84" s="300">
        <f>IF(R84="","",PRIX!S85*'QUANTITE DETENUES'!S85)</f>
        <v>83.6</v>
      </c>
      <c r="T84" s="14">
        <f>IF(A84="","",ARBITRAGES!M85)</f>
        <v>7131.243189</v>
      </c>
      <c r="U84" s="301">
        <f t="shared" si="1"/>
        <v>50244.47274</v>
      </c>
      <c r="V84" s="302">
        <f t="shared" si="2"/>
        <v>0.8580691009</v>
      </c>
      <c r="W84" s="288"/>
      <c r="X84" s="289"/>
      <c r="Y84" s="289"/>
      <c r="Z84" s="289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  <c r="AK84" s="289"/>
      <c r="AL84" s="289"/>
      <c r="AM84" s="289"/>
      <c r="AN84" s="289"/>
      <c r="AO84" s="289"/>
      <c r="AP84" s="289"/>
      <c r="AQ84" s="289"/>
      <c r="AR84" s="289"/>
      <c r="AS84" s="289"/>
      <c r="AT84" s="289"/>
      <c r="AU84" s="289"/>
      <c r="AV84" s="289"/>
      <c r="AW84" s="289"/>
      <c r="AX84" s="289"/>
      <c r="AY84" s="289"/>
      <c r="AZ84" s="289"/>
      <c r="BA84" s="289"/>
    </row>
    <row r="85">
      <c r="A85" s="290">
        <f>PRIX!A86</f>
        <v>45831</v>
      </c>
      <c r="B85" s="299">
        <f>IF(A85="","",PRIX!B86*'QUANTITE DETENUES'!B86)</f>
        <v>22465.05589</v>
      </c>
      <c r="C85" s="299">
        <f>IF(B85="","",PRIX!C86*'QUANTITE DETENUES'!C86)</f>
        <v>8009.3</v>
      </c>
      <c r="D85" s="299">
        <f>IF(C85="","",PRIX!D86*'QUANTITE DETENUES'!D86)</f>
        <v>1128.685417</v>
      </c>
      <c r="E85" s="299">
        <f>IF(D85="","",PRIX!E86*'QUANTITE DETENUES'!E86)</f>
        <v>2858.53</v>
      </c>
      <c r="F85" s="299">
        <f>IF(E85="","",PRIX!F86*'QUANTITE DETENUES'!F86)</f>
        <v>3788.844305</v>
      </c>
      <c r="G85" s="299">
        <f>IF(F85="","",PRIX!G86*'QUANTITE DETENUES'!G86)</f>
        <v>0</v>
      </c>
      <c r="H85" s="299">
        <f>IF(G85="","",PRIX!H86*'QUANTITE DETENUES'!H86)</f>
        <v>1401.1158</v>
      </c>
      <c r="I85" s="299">
        <f>IF(H85="","",PRIX!I86*'QUANTITE DETENUES'!I86)</f>
        <v>485.34332</v>
      </c>
      <c r="J85" s="299">
        <f>IF(I85="","",PRIX!J86*'QUANTITE DETENUES'!J86)</f>
        <v>225.533836</v>
      </c>
      <c r="K85" s="299">
        <f>IF(J85="","",PRIX!K86*'QUANTITE DETENUES'!K86)</f>
        <v>254.1608864</v>
      </c>
      <c r="L85" s="299">
        <f>IF(K85="","",PRIX!L86*'QUANTITE DETENUES'!L86)</f>
        <v>148.4</v>
      </c>
      <c r="M85" s="299">
        <f>IF(L85="","",PRIX!M86*'QUANTITE DETENUES'!M86)</f>
        <v>1257.49407</v>
      </c>
      <c r="N85" s="299">
        <f>IF(M85="","",PRIX!N86*'QUANTITE DETENUES'!N86)</f>
        <v>101.343</v>
      </c>
      <c r="O85" s="299">
        <f>IF(N85="","",PRIX!O86*'QUANTITE DETENUES'!O86)</f>
        <v>568.6529849</v>
      </c>
      <c r="P85" s="299">
        <f>IF(O85="","",PRIX!P86*'QUANTITE DETENUES'!P86)</f>
        <v>0.00003759585958</v>
      </c>
      <c r="Q85" s="299">
        <f>IF(P85="","",PRIX!Q86*'QUANTITE DETENUES'!Q86)</f>
        <v>217.17</v>
      </c>
      <c r="R85" s="299">
        <f>IF(Q85="","",PRIX!R86*'QUANTITE DETENUES'!R86)</f>
        <v>0</v>
      </c>
      <c r="S85" s="300">
        <f>IF(R85="","",PRIX!S86*'QUANTITE DETENUES'!S86)</f>
        <v>83.6</v>
      </c>
      <c r="T85" s="14">
        <f>IF(A85="","",ARBITRAGES!M86)</f>
        <v>7259.243189</v>
      </c>
      <c r="U85" s="301">
        <f t="shared" si="1"/>
        <v>50252.47274</v>
      </c>
      <c r="V85" s="302">
        <f t="shared" si="2"/>
        <v>0.8555445574</v>
      </c>
      <c r="W85" s="288"/>
      <c r="X85" s="289"/>
      <c r="Y85" s="289"/>
      <c r="Z85" s="289"/>
      <c r="AA85" s="289"/>
      <c r="AB85" s="289"/>
      <c r="AC85" s="289"/>
      <c r="AD85" s="289"/>
      <c r="AE85" s="289"/>
      <c r="AF85" s="289"/>
      <c r="AG85" s="289"/>
      <c r="AH85" s="289"/>
      <c r="AI85" s="289"/>
      <c r="AJ85" s="289"/>
      <c r="AK85" s="289"/>
      <c r="AL85" s="289"/>
      <c r="AM85" s="289"/>
      <c r="AN85" s="289"/>
      <c r="AO85" s="289"/>
      <c r="AP85" s="289"/>
      <c r="AQ85" s="289"/>
      <c r="AR85" s="289"/>
      <c r="AS85" s="289"/>
      <c r="AT85" s="289"/>
      <c r="AU85" s="289"/>
      <c r="AV85" s="289"/>
      <c r="AW85" s="289"/>
      <c r="AX85" s="289"/>
      <c r="AY85" s="289"/>
      <c r="AZ85" s="289"/>
      <c r="BA85" s="289"/>
    </row>
    <row r="86">
      <c r="A86" s="290">
        <f>PRIX!A87</f>
        <v>45831</v>
      </c>
      <c r="B86" s="299">
        <f>IF(A86="","",PRIX!B87*'QUANTITE DETENUES'!B87)</f>
        <v>22465.05589</v>
      </c>
      <c r="C86" s="299">
        <f>IF(B86="","",PRIX!C87*'QUANTITE DETENUES'!C87)</f>
        <v>8009.3</v>
      </c>
      <c r="D86" s="299">
        <f>IF(C86="","",PRIX!D87*'QUANTITE DETENUES'!D87)</f>
        <v>1128.685417</v>
      </c>
      <c r="E86" s="299">
        <f>IF(D86="","",PRIX!E87*'QUANTITE DETENUES'!E87)</f>
        <v>2858.53</v>
      </c>
      <c r="F86" s="299">
        <f>IF(E86="","",PRIX!F87*'QUANTITE DETENUES'!F87)</f>
        <v>3788.844305</v>
      </c>
      <c r="G86" s="299">
        <f>IF(F86="","",PRIX!G87*'QUANTITE DETENUES'!G87)</f>
        <v>0</v>
      </c>
      <c r="H86" s="299">
        <f>IF(G86="","",PRIX!H87*'QUANTITE DETENUES'!H87)</f>
        <v>1401.1158</v>
      </c>
      <c r="I86" s="299">
        <f>IF(H86="","",PRIX!I87*'QUANTITE DETENUES'!I87)</f>
        <v>485.34332</v>
      </c>
      <c r="J86" s="299">
        <f>IF(I86="","",PRIX!J87*'QUANTITE DETENUES'!J87)</f>
        <v>225.533836</v>
      </c>
      <c r="K86" s="299">
        <f>IF(J86="","",PRIX!K87*'QUANTITE DETENUES'!K87)</f>
        <v>254.1608864</v>
      </c>
      <c r="L86" s="299">
        <f>IF(K86="","",PRIX!L87*'QUANTITE DETENUES'!L87)</f>
        <v>148.4</v>
      </c>
      <c r="M86" s="299">
        <f>IF(L86="","",PRIX!M87*'QUANTITE DETENUES'!M87)</f>
        <v>1257.49407</v>
      </c>
      <c r="N86" s="299">
        <f>IF(M86="","",PRIX!N87*'QUANTITE DETENUES'!N87)</f>
        <v>101.343</v>
      </c>
      <c r="O86" s="299">
        <f>IF(N86="","",PRIX!O87*'QUANTITE DETENUES'!O87)</f>
        <v>568.6529849</v>
      </c>
      <c r="P86" s="299">
        <f>IF(O86="","",PRIX!P87*'QUANTITE DETENUES'!P87)</f>
        <v>0.00003759585958</v>
      </c>
      <c r="Q86" s="299">
        <f>IF(P86="","",PRIX!Q87*'QUANTITE DETENUES'!Q87)</f>
        <v>217.17</v>
      </c>
      <c r="R86" s="299">
        <f>IF(Q86="","",PRIX!R87*'QUANTITE DETENUES'!R87)</f>
        <v>0</v>
      </c>
      <c r="S86" s="300">
        <f>IF(R86="","",PRIX!S87*'QUANTITE DETENUES'!S87)</f>
        <v>0</v>
      </c>
      <c r="T86" s="14">
        <f>IF(A86="","",ARBITRAGES!M87)</f>
        <v>7342.793189</v>
      </c>
      <c r="U86" s="301">
        <f t="shared" si="1"/>
        <v>50252.42274</v>
      </c>
      <c r="V86" s="302">
        <f t="shared" si="2"/>
        <v>0.8538818073</v>
      </c>
      <c r="W86" s="288"/>
      <c r="X86" s="289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89"/>
      <c r="AP86" s="289"/>
      <c r="AQ86" s="289"/>
      <c r="AR86" s="289"/>
      <c r="AS86" s="289"/>
      <c r="AT86" s="289"/>
      <c r="AU86" s="289"/>
      <c r="AV86" s="289"/>
      <c r="AW86" s="289"/>
      <c r="AX86" s="289"/>
      <c r="AY86" s="289"/>
      <c r="AZ86" s="289"/>
      <c r="BA86" s="289"/>
    </row>
    <row r="87">
      <c r="A87" s="290">
        <f>PRIX!A88</f>
        <v>45831</v>
      </c>
      <c r="B87" s="299">
        <f>IF(A87="","",PRIX!B88*'QUANTITE DETENUES'!B88)</f>
        <v>22465.05589</v>
      </c>
      <c r="C87" s="299">
        <f>IF(B87="","",PRIX!C88*'QUANTITE DETENUES'!C88)</f>
        <v>8009.3</v>
      </c>
      <c r="D87" s="299">
        <f>IF(C87="","",PRIX!D88*'QUANTITE DETENUES'!D88)</f>
        <v>1128.685417</v>
      </c>
      <c r="E87" s="299">
        <f>IF(D87="","",PRIX!E88*'QUANTITE DETENUES'!E88)</f>
        <v>2858.53</v>
      </c>
      <c r="F87" s="299">
        <f>IF(E87="","",PRIX!F88*'QUANTITE DETENUES'!F88)</f>
        <v>3788.844305</v>
      </c>
      <c r="G87" s="299">
        <f>IF(F87="","",PRIX!G88*'QUANTITE DETENUES'!G88)</f>
        <v>0</v>
      </c>
      <c r="H87" s="299">
        <f>IF(G87="","",PRIX!H88*'QUANTITE DETENUES'!H88)</f>
        <v>1401.1158</v>
      </c>
      <c r="I87" s="299">
        <f>IF(H87="","",PRIX!I88*'QUANTITE DETENUES'!I88)</f>
        <v>485.34332</v>
      </c>
      <c r="J87" s="299">
        <f>IF(I87="","",PRIX!J88*'QUANTITE DETENUES'!J88)</f>
        <v>225.533836</v>
      </c>
      <c r="K87" s="299">
        <f>IF(J87="","",PRIX!K88*'QUANTITE DETENUES'!K88)</f>
        <v>254.1608864</v>
      </c>
      <c r="L87" s="299">
        <f>IF(K87="","",PRIX!L88*'QUANTITE DETENUES'!L88)</f>
        <v>148.4</v>
      </c>
      <c r="M87" s="299">
        <f>IF(L87="","",PRIX!M88*'QUANTITE DETENUES'!M88)</f>
        <v>1257.49407</v>
      </c>
      <c r="N87" s="299">
        <f>IF(M87="","",PRIX!N88*'QUANTITE DETENUES'!N88)</f>
        <v>0</v>
      </c>
      <c r="O87" s="299">
        <f>IF(N87="","",PRIX!O88*'QUANTITE DETENUES'!O88)</f>
        <v>568.6529849</v>
      </c>
      <c r="P87" s="299">
        <f>IF(O87="","",PRIX!P88*'QUANTITE DETENUES'!P88)</f>
        <v>0.00003759585958</v>
      </c>
      <c r="Q87" s="299">
        <f>IF(P87="","",PRIX!Q88*'QUANTITE DETENUES'!Q88)</f>
        <v>217.17</v>
      </c>
      <c r="R87" s="299">
        <f>IF(Q87="","",PRIX!R88*'QUANTITE DETENUES'!R88)</f>
        <v>0</v>
      </c>
      <c r="S87" s="300">
        <f>IF(R87="","",PRIX!S88*'QUANTITE DETENUES'!S88)</f>
        <v>0</v>
      </c>
      <c r="T87" s="14">
        <f>IF(A87="","",ARBITRAGES!M88)</f>
        <v>7454.286229</v>
      </c>
      <c r="U87" s="301">
        <f t="shared" si="1"/>
        <v>50262.57278</v>
      </c>
      <c r="V87" s="302">
        <f t="shared" si="2"/>
        <v>0.8516931025</v>
      </c>
      <c r="W87" s="288"/>
      <c r="X87" s="289"/>
      <c r="Y87" s="289"/>
      <c r="Z87" s="289"/>
      <c r="AA87" s="289"/>
      <c r="AB87" s="289"/>
      <c r="AC87" s="289"/>
      <c r="AD87" s="289"/>
      <c r="AE87" s="289"/>
      <c r="AF87" s="289"/>
      <c r="AG87" s="289"/>
      <c r="AH87" s="289"/>
      <c r="AI87" s="289"/>
      <c r="AJ87" s="289"/>
      <c r="AK87" s="289"/>
      <c r="AL87" s="289"/>
      <c r="AM87" s="289"/>
      <c r="AN87" s="289"/>
      <c r="AO87" s="289"/>
      <c r="AP87" s="289"/>
      <c r="AQ87" s="289"/>
      <c r="AR87" s="289"/>
      <c r="AS87" s="289"/>
      <c r="AT87" s="289"/>
      <c r="AU87" s="289"/>
      <c r="AV87" s="289"/>
      <c r="AW87" s="289"/>
      <c r="AX87" s="289"/>
      <c r="AY87" s="289"/>
      <c r="AZ87" s="289"/>
      <c r="BA87" s="289"/>
    </row>
    <row r="88">
      <c r="A88" s="290">
        <f>PRIX!A89</f>
        <v>45832</v>
      </c>
      <c r="B88" s="299">
        <f>IF(A88="","",PRIX!B89*'QUANTITE DETENUES'!B89)</f>
        <v>22359.08865</v>
      </c>
      <c r="C88" s="299">
        <f>IF(B88="","",PRIX!C89*'QUANTITE DETENUES'!C89)</f>
        <v>7547.225</v>
      </c>
      <c r="D88" s="299">
        <f>IF(C88="","",PRIX!D89*'QUANTITE DETENUES'!D89)</f>
        <v>1094.824855</v>
      </c>
      <c r="E88" s="299">
        <f>IF(D88="","",PRIX!E89*'QUANTITE DETENUES'!E89)</f>
        <v>2858.53</v>
      </c>
      <c r="F88" s="299">
        <f>IF(E88="","",PRIX!F89*'QUANTITE DETENUES'!F89)</f>
        <v>3686.443108</v>
      </c>
      <c r="G88" s="299">
        <f>IF(F88="","",PRIX!G89*'QUANTITE DETENUES'!G89)</f>
        <v>0</v>
      </c>
      <c r="H88" s="299">
        <f>IF(G88="","",PRIX!H89*'QUANTITE DETENUES'!H89)</f>
        <v>1321.05204</v>
      </c>
      <c r="I88" s="299">
        <f>IF(H88="","",PRIX!I89*'QUANTITE DETENUES'!I89)</f>
        <v>520.0107</v>
      </c>
      <c r="J88" s="299">
        <f>IF(I88="","",PRIX!J89*'QUANTITE DETENUES'!J89)</f>
        <v>246.036912</v>
      </c>
      <c r="K88" s="299">
        <f>IF(J88="","",PRIX!K89*'QUANTITE DETENUES'!K89)</f>
        <v>279.576975</v>
      </c>
      <c r="L88" s="299">
        <f>IF(K88="","",PRIX!L89*'QUANTITE DETENUES'!L89)</f>
        <v>0</v>
      </c>
      <c r="M88" s="299">
        <f>IF(L88="","",PRIX!M89*'QUANTITE DETENUES'!M89)</f>
        <v>1418.025228</v>
      </c>
      <c r="N88" s="299">
        <f>IF(M88="","",PRIX!N89*'QUANTITE DETENUES'!N89)</f>
        <v>0</v>
      </c>
      <c r="O88" s="299">
        <f>IF(N88="","",PRIX!O89*'QUANTITE DETENUES'!O89)</f>
        <v>597.510002</v>
      </c>
      <c r="P88" s="299">
        <f>IF(O88="","",PRIX!P89*'QUANTITE DETENUES'!P89)</f>
        <v>0.00003759585958</v>
      </c>
      <c r="Q88" s="299">
        <f>IF(P88="","",PRIX!Q89*'QUANTITE DETENUES'!Q89)</f>
        <v>241.3</v>
      </c>
      <c r="R88" s="299">
        <f>IF(Q88="","",PRIX!R89*'QUANTITE DETENUES'!R89)</f>
        <v>0</v>
      </c>
      <c r="S88" s="300">
        <f>IF(R88="","",PRIX!S89*'QUANTITE DETENUES'!S89)</f>
        <v>0</v>
      </c>
      <c r="T88" s="14">
        <f>IF(A88="","",ARBITRAGES!M89)</f>
        <v>7613.661469</v>
      </c>
      <c r="U88" s="301">
        <f t="shared" si="1"/>
        <v>49783.28497</v>
      </c>
      <c r="V88" s="302">
        <f t="shared" si="2"/>
        <v>0.8470638996</v>
      </c>
      <c r="W88" s="288"/>
      <c r="X88" s="289"/>
      <c r="Y88" s="289"/>
      <c r="Z88" s="289"/>
      <c r="AA88" s="289"/>
      <c r="AB88" s="289"/>
      <c r="AC88" s="289"/>
      <c r="AD88" s="289"/>
      <c r="AE88" s="289"/>
      <c r="AF88" s="289"/>
      <c r="AG88" s="289"/>
      <c r="AH88" s="289"/>
      <c r="AI88" s="289"/>
      <c r="AJ88" s="289"/>
      <c r="AK88" s="289"/>
      <c r="AL88" s="289"/>
      <c r="AM88" s="289"/>
      <c r="AN88" s="289"/>
      <c r="AO88" s="289"/>
      <c r="AP88" s="289"/>
      <c r="AQ88" s="289"/>
      <c r="AR88" s="289"/>
      <c r="AS88" s="289"/>
      <c r="AT88" s="289"/>
      <c r="AU88" s="289"/>
      <c r="AV88" s="289"/>
      <c r="AW88" s="289"/>
      <c r="AX88" s="289"/>
      <c r="AY88" s="289"/>
      <c r="AZ88" s="289"/>
      <c r="BA88" s="289"/>
    </row>
    <row r="89">
      <c r="A89" s="290">
        <f>PRIX!A90</f>
        <v>45847</v>
      </c>
      <c r="B89" s="299">
        <f>IF(A89="","",PRIX!B90*'QUANTITE DETENUES'!B90)</f>
        <v>23736.66283</v>
      </c>
      <c r="C89" s="299">
        <f>IF(B89="","",PRIX!C90*'QUANTITE DETENUES'!C90)</f>
        <v>8471.375</v>
      </c>
      <c r="D89" s="299">
        <f>IF(C89="","",PRIX!D90*'QUANTITE DETENUES'!D90)</f>
        <v>1068.488862</v>
      </c>
      <c r="E89" s="299">
        <f>IF(D89="","",PRIX!E90*'QUANTITE DETENUES'!E90)</f>
        <v>3409.098</v>
      </c>
      <c r="F89" s="299">
        <f>IF(E89="","",PRIX!F90*'QUANTITE DETENUES'!F90)</f>
        <v>3532.841311</v>
      </c>
      <c r="G89" s="299">
        <f>IF(F89="","",PRIX!G90*'QUANTITE DETENUES'!G90)</f>
        <v>0</v>
      </c>
      <c r="H89" s="299">
        <f>IF(G89="","",PRIX!H90*'QUANTITE DETENUES'!H90)</f>
        <v>1401.1158</v>
      </c>
      <c r="I89" s="299">
        <f>IF(H89="","",PRIX!I90*'QUANTITE DETENUES'!I90)</f>
        <v>551.5265</v>
      </c>
      <c r="J89" s="299">
        <f>IF(I89="","",PRIX!J90*'QUANTITE DETENUES'!J90)</f>
        <v>266.539988</v>
      </c>
      <c r="K89" s="299">
        <f>IF(J89="","",PRIX!K90*'QUANTITE DETENUES'!K90)</f>
        <v>298.6390415</v>
      </c>
      <c r="L89" s="299">
        <f>IF(K89="","",PRIX!L90*'QUANTITE DETENUES'!L90)</f>
        <v>0</v>
      </c>
      <c r="M89" s="299">
        <f>IF(L89="","",PRIX!M90*'QUANTITE DETENUES'!M90)</f>
        <v>1605.311579</v>
      </c>
      <c r="N89" s="299">
        <f>IF(M89="","",PRIX!N90*'QUANTITE DETENUES'!N90)</f>
        <v>0</v>
      </c>
      <c r="O89" s="299">
        <f>IF(N89="","",PRIX!O90*'QUANTITE DETENUES'!O90)</f>
        <v>636.5518487</v>
      </c>
      <c r="P89" s="299">
        <f>IF(O89="","",PRIX!P90*'QUANTITE DETENUES'!P90)</f>
        <v>0.00004337983798</v>
      </c>
      <c r="Q89" s="299">
        <f>IF(P89="","",PRIX!Q90*'QUANTITE DETENUES'!Q90)</f>
        <v>241.3</v>
      </c>
      <c r="R89" s="299">
        <f>IF(Q89="","",PRIX!R90*'QUANTITE DETENUES'!R90)</f>
        <v>0</v>
      </c>
      <c r="S89" s="300">
        <f>IF(R89="","",PRIX!S90*'QUANTITE DETENUES'!S90)</f>
        <v>0</v>
      </c>
      <c r="T89" s="14">
        <f>IF(A89="","",ARBITRAGES!M90)</f>
        <v>7315.661469</v>
      </c>
      <c r="U89" s="301">
        <f t="shared" si="1"/>
        <v>52535.11227</v>
      </c>
      <c r="V89" s="302">
        <f t="shared" si="2"/>
        <v>0.8607472003</v>
      </c>
      <c r="W89" s="288"/>
      <c r="X89" s="289"/>
      <c r="Y89" s="289"/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289"/>
      <c r="AL89" s="289"/>
      <c r="AM89" s="289"/>
      <c r="AN89" s="289"/>
      <c r="AO89" s="289"/>
      <c r="AP89" s="289"/>
      <c r="AQ89" s="289"/>
      <c r="AR89" s="289"/>
      <c r="AS89" s="289"/>
      <c r="AT89" s="289"/>
      <c r="AU89" s="289"/>
      <c r="AV89" s="289"/>
      <c r="AW89" s="289"/>
      <c r="AX89" s="289"/>
      <c r="AY89" s="289"/>
      <c r="AZ89" s="289"/>
      <c r="BA89" s="289"/>
    </row>
    <row r="90">
      <c r="A90" s="290">
        <f>PRIX!A91</f>
        <v>45848</v>
      </c>
      <c r="B90" s="299">
        <f>IF(A90="","",PRIX!B91*'QUANTITE DETENUES'!B91)</f>
        <v>25008.26977</v>
      </c>
      <c r="C90" s="299">
        <f>IF(B90="","",PRIX!C91*'QUANTITE DETENUES'!C91)</f>
        <v>9241.5</v>
      </c>
      <c r="D90" s="299">
        <f>IF(C90="","",PRIX!D91*'QUANTITE DETENUES'!D91)</f>
        <v>734.2836549</v>
      </c>
      <c r="E90" s="299">
        <f>IF(D90="","",PRIX!E91*'QUANTITE DETENUES'!E91)</f>
        <v>3495.954</v>
      </c>
      <c r="F90" s="299">
        <f>IF(E90="","",PRIX!F91*'QUANTITE DETENUES'!F91)</f>
        <v>4096.047897</v>
      </c>
      <c r="G90" s="299">
        <f>IF(F90="","",PRIX!G91*'QUANTITE DETENUES'!G91)</f>
        <v>0</v>
      </c>
      <c r="H90" s="299">
        <f>IF(G90="","",PRIX!H91*'QUANTITE DETENUES'!H91)</f>
        <v>1516.207455</v>
      </c>
      <c r="I90" s="299">
        <f>IF(H90="","",PRIX!I91*'QUANTITE DETENUES'!I91)</f>
        <v>630.316</v>
      </c>
      <c r="J90" s="299">
        <f>IF(I90="","",PRIX!J91*'QUANTITE DETENUES'!J91)</f>
        <v>276.791526</v>
      </c>
      <c r="K90" s="299">
        <f>IF(J90="","",PRIX!K91*'QUANTITE DETENUES'!K91)</f>
        <v>324.0551301</v>
      </c>
      <c r="L90" s="299">
        <f>IF(K90="","",PRIX!L91*'QUANTITE DETENUES'!L91)</f>
        <v>0</v>
      </c>
      <c r="M90" s="299">
        <f>IF(L90="","",PRIX!M91*'QUANTITE DETENUES'!M91)</f>
        <v>1632.066772</v>
      </c>
      <c r="N90" s="299">
        <f>IF(M90="","",PRIX!N91*'QUANTITE DETENUES'!N91)</f>
        <v>0</v>
      </c>
      <c r="O90" s="299">
        <f>IF(N90="","",PRIX!O91*'QUANTITE DETENUES'!O91)</f>
        <v>678.9886386</v>
      </c>
      <c r="P90" s="299">
        <f>IF(O90="","",PRIX!P91*'QUANTITE DETENUES'!P91)</f>
        <v>0.00005205580558</v>
      </c>
      <c r="Q90" s="299">
        <f>IF(P90="","",PRIX!Q91*'QUANTITE DETENUES'!Q91)</f>
        <v>289.56</v>
      </c>
      <c r="R90" s="299">
        <f>IF(Q90="","",PRIX!R91*'QUANTITE DETENUES'!R91)</f>
        <v>0</v>
      </c>
      <c r="S90" s="300">
        <f>IF(R90="","",PRIX!S91*'QUANTITE DETENUES'!S91)</f>
        <v>0</v>
      </c>
      <c r="T90" s="14">
        <f>IF(A90="","",ARBITRAGES!M91)</f>
        <v>7685.661469</v>
      </c>
      <c r="U90" s="301">
        <f t="shared" si="1"/>
        <v>55609.70236</v>
      </c>
      <c r="V90" s="302">
        <f t="shared" si="2"/>
        <v>0.8617927962</v>
      </c>
      <c r="W90" s="288"/>
      <c r="X90" s="289"/>
      <c r="Y90" s="289"/>
      <c r="Z90" s="289"/>
      <c r="AA90" s="289"/>
      <c r="AB90" s="289"/>
      <c r="AC90" s="289"/>
      <c r="AD90" s="289"/>
      <c r="AE90" s="289"/>
      <c r="AF90" s="289"/>
      <c r="AG90" s="289"/>
      <c r="AH90" s="289"/>
      <c r="AI90" s="289"/>
      <c r="AJ90" s="289"/>
      <c r="AK90" s="289"/>
      <c r="AL90" s="289"/>
      <c r="AM90" s="289"/>
      <c r="AN90" s="289"/>
      <c r="AO90" s="289"/>
      <c r="AP90" s="289"/>
      <c r="AQ90" s="289"/>
      <c r="AR90" s="289"/>
      <c r="AS90" s="289"/>
      <c r="AT90" s="289"/>
      <c r="AU90" s="289"/>
      <c r="AV90" s="289"/>
      <c r="AW90" s="289"/>
      <c r="AX90" s="289"/>
      <c r="AY90" s="289"/>
      <c r="AZ90" s="289"/>
      <c r="BA90" s="289"/>
    </row>
    <row r="91">
      <c r="A91" s="290">
        <f>PRIX!A92</f>
        <v>45849</v>
      </c>
      <c r="B91" s="299">
        <f>IF(A91="","",PRIX!B92*'QUANTITE DETENUES'!B92)</f>
        <v>24534.95177</v>
      </c>
      <c r="C91" s="299">
        <f>IF(B91="","",PRIX!C92*'QUANTITE DETENUES'!C92)</f>
        <v>9241.5</v>
      </c>
      <c r="D91" s="299">
        <f>IF(C91="","",PRIX!D92*'QUANTITE DETENUES'!D92)</f>
        <v>734.2836549</v>
      </c>
      <c r="E91" s="299">
        <f>IF(D91="","",PRIX!E92*'QUANTITE DETENUES'!E92)</f>
        <v>3495.954</v>
      </c>
      <c r="F91" s="299">
        <f>IF(E91="","",PRIX!F92*'QUANTITE DETENUES'!F92)</f>
        <v>4096.047897</v>
      </c>
      <c r="G91" s="299">
        <f>IF(F91="","",PRIX!G92*'QUANTITE DETENUES'!G92)</f>
        <v>0</v>
      </c>
      <c r="H91" s="299">
        <f>IF(G91="","",PRIX!H92*'QUANTITE DETENUES'!H92)</f>
        <v>1516.207455</v>
      </c>
      <c r="I91" s="299">
        <f>IF(H91="","",PRIX!I92*'QUANTITE DETENUES'!I92)</f>
        <v>630.316</v>
      </c>
      <c r="J91" s="299">
        <f>IF(I91="","",PRIX!J92*'QUANTITE DETENUES'!J92)</f>
        <v>276.791526</v>
      </c>
      <c r="K91" s="299">
        <f>IF(J91="","",PRIX!K92*'QUANTITE DETENUES'!K92)</f>
        <v>324.0551301</v>
      </c>
      <c r="L91" s="299">
        <f>IF(K91="","",PRIX!L92*'QUANTITE DETENUES'!L92)</f>
        <v>0</v>
      </c>
      <c r="M91" s="299">
        <f>IF(L91="","",PRIX!M92*'QUANTITE DETENUES'!M92)</f>
        <v>1632.066772</v>
      </c>
      <c r="N91" s="299">
        <f>IF(M91="","",PRIX!N92*'QUANTITE DETENUES'!N92)</f>
        <v>0</v>
      </c>
      <c r="O91" s="299">
        <f>IF(N91="","",PRIX!O92*'QUANTITE DETENUES'!O92)</f>
        <v>678.9886386</v>
      </c>
      <c r="P91" s="299">
        <f>IF(O91="","",PRIX!P92*'QUANTITE DETENUES'!P92)</f>
        <v>0.00005205580558</v>
      </c>
      <c r="Q91" s="299">
        <f>IF(P91="","",PRIX!Q92*'QUANTITE DETENUES'!Q92)</f>
        <v>289.56</v>
      </c>
      <c r="R91" s="299">
        <f>IF(Q91="","",PRIX!R92*'QUANTITE DETENUES'!R92)</f>
        <v>0</v>
      </c>
      <c r="S91" s="300">
        <f>IF(R91="","",PRIX!S92*'QUANTITE DETENUES'!S92)</f>
        <v>0</v>
      </c>
      <c r="T91" s="14">
        <f>IF(A91="","",ARBITRAGES!M92)</f>
        <v>8159.661369</v>
      </c>
      <c r="U91" s="301">
        <f t="shared" si="1"/>
        <v>55610.38426</v>
      </c>
      <c r="V91" s="302">
        <f t="shared" si="2"/>
        <v>0.8532709048</v>
      </c>
      <c r="W91" s="288"/>
      <c r="X91" s="289"/>
      <c r="Y91" s="289"/>
      <c r="Z91" s="289"/>
      <c r="AA91" s="289"/>
      <c r="AB91" s="289"/>
      <c r="AC91" s="289"/>
      <c r="AD91" s="289"/>
      <c r="AE91" s="289"/>
      <c r="AF91" s="289"/>
      <c r="AG91" s="289"/>
      <c r="AH91" s="289"/>
      <c r="AI91" s="289"/>
      <c r="AJ91" s="289"/>
      <c r="AK91" s="289"/>
      <c r="AL91" s="289"/>
      <c r="AM91" s="289"/>
      <c r="AN91" s="289"/>
      <c r="AO91" s="289"/>
      <c r="AP91" s="289"/>
      <c r="AQ91" s="289"/>
      <c r="AR91" s="289"/>
      <c r="AS91" s="289"/>
      <c r="AT91" s="289"/>
      <c r="AU91" s="289"/>
      <c r="AV91" s="289"/>
      <c r="AW91" s="289"/>
      <c r="AX91" s="289"/>
      <c r="AY91" s="289"/>
      <c r="AZ91" s="289"/>
      <c r="BA91" s="289"/>
    </row>
    <row r="92">
      <c r="A92" s="290">
        <f>PRIX!A93</f>
        <v>45849</v>
      </c>
      <c r="B92" s="299">
        <f>IF(A92="","",PRIX!B93*'QUANTITE DETENUES'!B93)</f>
        <v>24037.06139</v>
      </c>
      <c r="C92" s="299">
        <f>IF(B92="","",PRIX!C93*'QUANTITE DETENUES'!C93)</f>
        <v>9241.5</v>
      </c>
      <c r="D92" s="299">
        <f>IF(C92="","",PRIX!D93*'QUANTITE DETENUES'!D93)</f>
        <v>734.2836549</v>
      </c>
      <c r="E92" s="299">
        <f>IF(D92="","",PRIX!E93*'QUANTITE DETENUES'!E93)</f>
        <v>3495.954</v>
      </c>
      <c r="F92" s="299">
        <f>IF(E92="","",PRIX!F93*'QUANTITE DETENUES'!F93)</f>
        <v>4096.047897</v>
      </c>
      <c r="G92" s="299">
        <f>IF(F92="","",PRIX!G93*'QUANTITE DETENUES'!G93)</f>
        <v>0</v>
      </c>
      <c r="H92" s="299">
        <f>IF(G92="","",PRIX!H93*'QUANTITE DETENUES'!H93)</f>
        <v>1516.207455</v>
      </c>
      <c r="I92" s="299">
        <f>IF(H92="","",PRIX!I93*'QUANTITE DETENUES'!I93)</f>
        <v>630.316</v>
      </c>
      <c r="J92" s="299">
        <f>IF(I92="","",PRIX!J93*'QUANTITE DETENUES'!J93)</f>
        <v>276.791526</v>
      </c>
      <c r="K92" s="299">
        <f>IF(J92="","",PRIX!K93*'QUANTITE DETENUES'!K93)</f>
        <v>324.0551301</v>
      </c>
      <c r="L92" s="299">
        <f>IF(K92="","",PRIX!L93*'QUANTITE DETENUES'!L93)</f>
        <v>0</v>
      </c>
      <c r="M92" s="299">
        <f>IF(L92="","",PRIX!M93*'QUANTITE DETENUES'!M93)</f>
        <v>1632.066772</v>
      </c>
      <c r="N92" s="299">
        <f>IF(M92="","",PRIX!N93*'QUANTITE DETENUES'!N93)</f>
        <v>0</v>
      </c>
      <c r="O92" s="299">
        <f>IF(N92="","",PRIX!O93*'QUANTITE DETENUES'!O93)</f>
        <v>678.9886386</v>
      </c>
      <c r="P92" s="299">
        <f>IF(O92="","",PRIX!P93*'QUANTITE DETENUES'!P93)</f>
        <v>0.00005205580558</v>
      </c>
      <c r="Q92" s="299">
        <f>IF(P92="","",PRIX!Q93*'QUANTITE DETENUES'!Q93)</f>
        <v>289.56</v>
      </c>
      <c r="R92" s="299">
        <f>IF(Q92="","",PRIX!R93*'QUANTITE DETENUES'!R93)</f>
        <v>0</v>
      </c>
      <c r="S92" s="300">
        <f>IF(R92="","",PRIX!S93*'QUANTITE DETENUES'!S93)</f>
        <v>0</v>
      </c>
      <c r="T92" s="14">
        <f>IF(A92="","",ARBITRAGES!M93)</f>
        <v>8659.661454</v>
      </c>
      <c r="U92" s="301">
        <f t="shared" si="1"/>
        <v>55612.49397</v>
      </c>
      <c r="V92" s="302">
        <f t="shared" si="2"/>
        <v>0.8442856841</v>
      </c>
      <c r="W92" s="288"/>
      <c r="X92" s="289"/>
      <c r="Y92" s="289"/>
      <c r="Z92" s="289"/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289"/>
      <c r="AL92" s="289"/>
      <c r="AM92" s="289"/>
      <c r="AN92" s="289"/>
      <c r="AO92" s="289"/>
      <c r="AP92" s="289"/>
      <c r="AQ92" s="289"/>
      <c r="AR92" s="289"/>
      <c r="AS92" s="289"/>
      <c r="AT92" s="289"/>
      <c r="AU92" s="289"/>
      <c r="AV92" s="289"/>
      <c r="AW92" s="289"/>
      <c r="AX92" s="289"/>
      <c r="AY92" s="289"/>
      <c r="AZ92" s="289"/>
      <c r="BA92" s="289"/>
    </row>
    <row r="93">
      <c r="A93" s="290">
        <f>PRIX!A94</f>
        <v>45850</v>
      </c>
      <c r="B93" s="299">
        <f>IF(A93="","",PRIX!B94*'QUANTITE DETENUES'!B94)</f>
        <v>23710.26983</v>
      </c>
      <c r="C93" s="299">
        <f>IF(B93="","",PRIX!C94*'QUANTITE DETENUES'!C94)</f>
        <v>9241.5</v>
      </c>
      <c r="D93" s="299">
        <f>IF(C93="","",PRIX!D94*'QUANTITE DETENUES'!D94)</f>
        <v>734.2836549</v>
      </c>
      <c r="E93" s="299">
        <f>IF(D93="","",PRIX!E94*'QUANTITE DETENUES'!E94)</f>
        <v>3495.954</v>
      </c>
      <c r="F93" s="299">
        <f>IF(E93="","",PRIX!F94*'QUANTITE DETENUES'!F94)</f>
        <v>4096.047897</v>
      </c>
      <c r="G93" s="299">
        <f>IF(F93="","",PRIX!G94*'QUANTITE DETENUES'!G94)</f>
        <v>0</v>
      </c>
      <c r="H93" s="299">
        <f>IF(G93="","",PRIX!H94*'QUANTITE DETENUES'!H94)</f>
        <v>1516.207455</v>
      </c>
      <c r="I93" s="299">
        <f>IF(H93="","",PRIX!I94*'QUANTITE DETENUES'!I94)</f>
        <v>630.316</v>
      </c>
      <c r="J93" s="299">
        <f>IF(I93="","",PRIX!J94*'QUANTITE DETENUES'!J94)</f>
        <v>276.791526</v>
      </c>
      <c r="K93" s="299">
        <f>IF(J93="","",PRIX!K94*'QUANTITE DETENUES'!K94)</f>
        <v>324.0551301</v>
      </c>
      <c r="L93" s="299">
        <f>IF(K93="","",PRIX!L94*'QUANTITE DETENUES'!L94)</f>
        <v>0</v>
      </c>
      <c r="M93" s="299">
        <f>IF(L93="","",PRIX!M94*'QUANTITE DETENUES'!M94)</f>
        <v>1632.066772</v>
      </c>
      <c r="N93" s="299">
        <f>IF(M93="","",PRIX!N94*'QUANTITE DETENUES'!N94)</f>
        <v>0</v>
      </c>
      <c r="O93" s="299">
        <f>IF(N93="","",PRIX!O94*'QUANTITE DETENUES'!O94)</f>
        <v>678.9886386</v>
      </c>
      <c r="P93" s="299">
        <f>IF(O93="","",PRIX!P94*'QUANTITE DETENUES'!P94)</f>
        <v>0.00005205580558</v>
      </c>
      <c r="Q93" s="299">
        <f>IF(P93="","",PRIX!Q94*'QUANTITE DETENUES'!Q94)</f>
        <v>289.56</v>
      </c>
      <c r="R93" s="299">
        <f>IF(Q93="","",PRIX!R94*'QUANTITE DETENUES'!R94)</f>
        <v>0</v>
      </c>
      <c r="S93" s="300">
        <f>IF(R93="","",PRIX!S94*'QUANTITE DETENUES'!S94)</f>
        <v>0</v>
      </c>
      <c r="T93" s="14">
        <f>IF(A93="","",ARBITRAGES!M94)</f>
        <v>8988.807021</v>
      </c>
      <c r="U93" s="301">
        <f t="shared" si="1"/>
        <v>55614.84797</v>
      </c>
      <c r="V93" s="302">
        <f t="shared" si="2"/>
        <v>0.8383739712</v>
      </c>
      <c r="W93" s="288"/>
      <c r="X93" s="289"/>
      <c r="Y93" s="289"/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289"/>
      <c r="AL93" s="289"/>
      <c r="AM93" s="289"/>
      <c r="AN93" s="289"/>
      <c r="AO93" s="289"/>
      <c r="AP93" s="289"/>
      <c r="AQ93" s="289"/>
      <c r="AR93" s="289"/>
      <c r="AS93" s="289"/>
      <c r="AT93" s="289"/>
      <c r="AU93" s="289"/>
      <c r="AV93" s="289"/>
      <c r="AW93" s="289"/>
      <c r="AX93" s="289"/>
      <c r="AY93" s="289"/>
      <c r="AZ93" s="289"/>
      <c r="BA93" s="289"/>
    </row>
    <row r="94">
      <c r="A94" s="290">
        <f>PRIX!A95</f>
        <v>45852</v>
      </c>
      <c r="B94" s="299">
        <f>IF(A94="","",PRIX!B95*'QUANTITE DETENUES'!B95)</f>
        <v>24999.27487</v>
      </c>
      <c r="C94" s="299">
        <f>IF(B94="","",PRIX!C95*'QUANTITE DETENUES'!C95)</f>
        <v>10319.675</v>
      </c>
      <c r="D94" s="299">
        <f>IF(C94="","",PRIX!D95*'QUANTITE DETENUES'!D95)</f>
        <v>781.100398</v>
      </c>
      <c r="E94" s="299">
        <f>IF(D94="","",PRIX!E95*'QUANTITE DETENUES'!E95)</f>
        <v>3799.95</v>
      </c>
      <c r="F94" s="299">
        <f>IF(E94="","",PRIX!F95*'QUANTITE DETENUES'!F95)</f>
        <v>4608.053884</v>
      </c>
      <c r="G94" s="299">
        <f>IF(F94="","",PRIX!G95*'QUANTITE DETENUES'!G95)</f>
        <v>0</v>
      </c>
      <c r="H94" s="299">
        <f>IF(G94="","",PRIX!H95*'QUANTITE DETENUES'!H95)</f>
        <v>1696.350915</v>
      </c>
      <c r="I94" s="299">
        <f>IF(H94="","",PRIX!I95*'QUANTITE DETENUES'!I95)</f>
        <v>652.37706</v>
      </c>
      <c r="J94" s="299">
        <f>IF(I94="","",PRIX!J95*'QUANTITE DETENUES'!J95)</f>
        <v>293.1939868</v>
      </c>
      <c r="K94" s="299">
        <f>IF(J94="","",PRIX!K95*'QUANTITE DETENUES'!K95)</f>
        <v>321.5135213</v>
      </c>
      <c r="L94" s="299">
        <f>IF(K94="","",PRIX!L95*'QUANTITE DETENUES'!L95)</f>
        <v>0</v>
      </c>
      <c r="M94" s="299">
        <f>IF(L94="","",PRIX!M95*'QUANTITE DETENUES'!M95)</f>
        <v>1781.895853</v>
      </c>
      <c r="N94" s="299">
        <f>IF(M94="","",PRIX!N95*'QUANTITE DETENUES'!N95)</f>
        <v>0</v>
      </c>
      <c r="O94" s="299">
        <f>IF(N94="","",PRIX!O95*'QUANTITE DETENUES'!O95)</f>
        <v>729.9127865</v>
      </c>
      <c r="P94" s="299">
        <f>IF(O94="","",PRIX!P95*'QUANTITE DETENUES'!P95)</f>
        <v>0.00006651575157</v>
      </c>
      <c r="Q94" s="299">
        <f>IF(P94="","",PRIX!Q95*'QUANTITE DETENUES'!Q95)</f>
        <v>330.581</v>
      </c>
      <c r="R94" s="299">
        <f>IF(Q94="","",PRIX!R95*'QUANTITE DETENUES'!R95)</f>
        <v>0</v>
      </c>
      <c r="S94" s="300">
        <f>IF(R94="","",PRIX!S95*'QUANTITE DETENUES'!S95)</f>
        <v>0</v>
      </c>
      <c r="T94" s="14">
        <f>IF(A94="","",ARBITRAGES!M95)</f>
        <v>7988.807021</v>
      </c>
      <c r="U94" s="301">
        <f t="shared" si="1"/>
        <v>58302.68636</v>
      </c>
      <c r="V94" s="302">
        <f t="shared" si="2"/>
        <v>0.8629770338</v>
      </c>
      <c r="W94" s="288"/>
      <c r="X94" s="289"/>
      <c r="Y94" s="289"/>
      <c r="Z94" s="289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  <c r="AN94" s="289"/>
      <c r="AO94" s="289"/>
      <c r="AP94" s="289"/>
      <c r="AQ94" s="289"/>
      <c r="AR94" s="289"/>
      <c r="AS94" s="289"/>
      <c r="AT94" s="289"/>
      <c r="AU94" s="289"/>
      <c r="AV94" s="289"/>
      <c r="AW94" s="289"/>
      <c r="AX94" s="289"/>
      <c r="AY94" s="289"/>
      <c r="AZ94" s="289"/>
      <c r="BA94" s="289"/>
    </row>
    <row r="95">
      <c r="A95" s="290">
        <f>PRIX!A96</f>
        <v>45852</v>
      </c>
      <c r="B95" s="299">
        <f>IF(A95="","",PRIX!B96*'QUANTITE DETENUES'!B96)</f>
        <v>24999.27487</v>
      </c>
      <c r="C95" s="299">
        <f>IF(B95="","",PRIX!C96*'QUANTITE DETENUES'!C96)</f>
        <v>10319.675</v>
      </c>
      <c r="D95" s="299">
        <f>IF(C95="","",PRIX!D96*'QUANTITE DETENUES'!D96)</f>
        <v>781.100398</v>
      </c>
      <c r="E95" s="299">
        <f>IF(D95="","",PRIX!E96*'QUANTITE DETENUES'!E96)</f>
        <v>3799.95</v>
      </c>
      <c r="F95" s="299">
        <f>IF(E95="","",PRIX!F96*'QUANTITE DETENUES'!F96)</f>
        <v>4608.053884</v>
      </c>
      <c r="G95" s="299">
        <f>IF(F95="","",PRIX!G96*'QUANTITE DETENUES'!G96)</f>
        <v>0</v>
      </c>
      <c r="H95" s="299">
        <f>IF(G95="","",PRIX!H96*'QUANTITE DETENUES'!H96)</f>
        <v>1696.350915</v>
      </c>
      <c r="I95" s="299">
        <f>IF(H95="","",PRIX!I96*'QUANTITE DETENUES'!I96)</f>
        <v>864.75906</v>
      </c>
      <c r="J95" s="299">
        <f>IF(I95="","",PRIX!J96*'QUANTITE DETENUES'!J96)</f>
        <v>293.1939868</v>
      </c>
      <c r="K95" s="299">
        <f>IF(J95="","",PRIX!K96*'QUANTITE DETENUES'!K96)</f>
        <v>321.5135213</v>
      </c>
      <c r="L95" s="299">
        <f>IF(K95="","",PRIX!L96*'QUANTITE DETENUES'!L96)</f>
        <v>0</v>
      </c>
      <c r="M95" s="299">
        <f>IF(L95="","",PRIX!M96*'QUANTITE DETENUES'!M96)</f>
        <v>1781.895853</v>
      </c>
      <c r="N95" s="299">
        <f>IF(M95="","",PRIX!N96*'QUANTITE DETENUES'!N96)</f>
        <v>0</v>
      </c>
      <c r="O95" s="299">
        <f>IF(N95="","",PRIX!O96*'QUANTITE DETENUES'!O96)</f>
        <v>729.9127865</v>
      </c>
      <c r="P95" s="299">
        <f>IF(O95="","",PRIX!P96*'QUANTITE DETENUES'!P96)</f>
        <v>0.00006651575157</v>
      </c>
      <c r="Q95" s="299">
        <f>IF(P95="","",PRIX!Q96*'QUANTITE DETENUES'!Q96)</f>
        <v>330.581</v>
      </c>
      <c r="R95" s="299">
        <f>IF(Q95="","",PRIX!R96*'QUANTITE DETENUES'!R96)</f>
        <v>0</v>
      </c>
      <c r="S95" s="300">
        <f>IF(R95="","",PRIX!S96*'QUANTITE DETENUES'!S96)</f>
        <v>0</v>
      </c>
      <c r="T95" s="14">
        <f>IF(A95="","",ARBITRAGES!M96)</f>
        <v>7788.932021</v>
      </c>
      <c r="U95" s="301">
        <f t="shared" si="1"/>
        <v>58315.19336</v>
      </c>
      <c r="V95" s="302">
        <f t="shared" si="2"/>
        <v>0.8664339159</v>
      </c>
      <c r="W95" s="288"/>
      <c r="X95" s="289"/>
      <c r="Y95" s="289"/>
      <c r="Z95" s="289"/>
      <c r="AA95" s="289"/>
      <c r="AB95" s="289"/>
      <c r="AC95" s="289"/>
      <c r="AD95" s="289"/>
      <c r="AE95" s="289"/>
      <c r="AF95" s="289"/>
      <c r="AG95" s="289"/>
      <c r="AH95" s="289"/>
      <c r="AI95" s="289"/>
      <c r="AJ95" s="289"/>
      <c r="AK95" s="289"/>
      <c r="AL95" s="289"/>
      <c r="AM95" s="289"/>
      <c r="AN95" s="289"/>
      <c r="AO95" s="289"/>
      <c r="AP95" s="289"/>
      <c r="AQ95" s="289"/>
      <c r="AR95" s="289"/>
      <c r="AS95" s="289"/>
      <c r="AT95" s="289"/>
      <c r="AU95" s="289"/>
      <c r="AV95" s="289"/>
      <c r="AW95" s="289"/>
      <c r="AX95" s="289"/>
      <c r="AY95" s="289"/>
      <c r="AZ95" s="289"/>
      <c r="BA95" s="289"/>
    </row>
    <row r="96">
      <c r="A96" s="290">
        <f>PRIX!A97</f>
        <v>45852</v>
      </c>
      <c r="B96" s="299">
        <f>IF(A96="","",PRIX!B97*'QUANTITE DETENUES'!B97)</f>
        <v>24999.27487</v>
      </c>
      <c r="C96" s="299">
        <f>IF(B96="","",PRIX!C97*'QUANTITE DETENUES'!C97)</f>
        <v>10319.675</v>
      </c>
      <c r="D96" s="299">
        <f>IF(C96="","",PRIX!D97*'QUANTITE DETENUES'!D97)</f>
        <v>781.100398</v>
      </c>
      <c r="E96" s="299">
        <f>IF(D96="","",PRIX!E97*'QUANTITE DETENUES'!E97)</f>
        <v>4110.819565</v>
      </c>
      <c r="F96" s="299">
        <f>IF(E96="","",PRIX!F97*'QUANTITE DETENUES'!F97)</f>
        <v>4608.053884</v>
      </c>
      <c r="G96" s="299">
        <f>IF(F96="","",PRIX!G97*'QUANTITE DETENUES'!G97)</f>
        <v>0</v>
      </c>
      <c r="H96" s="299">
        <f>IF(G96="","",PRIX!H97*'QUANTITE DETENUES'!H97)</f>
        <v>1696.350915</v>
      </c>
      <c r="I96" s="299">
        <f>IF(H96="","",PRIX!I97*'QUANTITE DETENUES'!I97)</f>
        <v>864.75906</v>
      </c>
      <c r="J96" s="299">
        <f>IF(I96="","",PRIX!J97*'QUANTITE DETENUES'!J97)</f>
        <v>293.1939868</v>
      </c>
      <c r="K96" s="299">
        <f>IF(J96="","",PRIX!K97*'QUANTITE DETENUES'!K97)</f>
        <v>321.5135213</v>
      </c>
      <c r="L96" s="299">
        <f>IF(K96="","",PRIX!L97*'QUANTITE DETENUES'!L97)</f>
        <v>0</v>
      </c>
      <c r="M96" s="299">
        <f>IF(L96="","",PRIX!M97*'QUANTITE DETENUES'!M97)</f>
        <v>1781.895853</v>
      </c>
      <c r="N96" s="299">
        <f>IF(M96="","",PRIX!N97*'QUANTITE DETENUES'!N97)</f>
        <v>0</v>
      </c>
      <c r="O96" s="299">
        <f>IF(N96="","",PRIX!O97*'QUANTITE DETENUES'!O97)</f>
        <v>729.9127865</v>
      </c>
      <c r="P96" s="299">
        <f>IF(O96="","",PRIX!P97*'QUANTITE DETENUES'!P97)</f>
        <v>0.00006651575157</v>
      </c>
      <c r="Q96" s="299">
        <f>IF(P96="","",PRIX!Q97*'QUANTITE DETENUES'!Q97)</f>
        <v>330.581</v>
      </c>
      <c r="R96" s="299">
        <f>IF(Q96="","",PRIX!R97*'QUANTITE DETENUES'!R97)</f>
        <v>0</v>
      </c>
      <c r="S96" s="300">
        <f>IF(R96="","",PRIX!S97*'QUANTITE DETENUES'!S97)</f>
        <v>0</v>
      </c>
      <c r="T96" s="14">
        <f>IF(A96="","",ARBITRAGES!M97)</f>
        <v>7502.932021</v>
      </c>
      <c r="U96" s="301">
        <f t="shared" si="1"/>
        <v>58340.06293</v>
      </c>
      <c r="V96" s="302">
        <f t="shared" si="2"/>
        <v>0.8713931449</v>
      </c>
      <c r="W96" s="288"/>
      <c r="X96" s="289"/>
      <c r="Y96" s="289"/>
      <c r="Z96" s="289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289"/>
      <c r="AL96" s="289"/>
      <c r="AM96" s="289"/>
      <c r="AN96" s="289"/>
      <c r="AO96" s="289"/>
      <c r="AP96" s="289"/>
      <c r="AQ96" s="289"/>
      <c r="AR96" s="289"/>
      <c r="AS96" s="289"/>
      <c r="AT96" s="289"/>
      <c r="AU96" s="289"/>
      <c r="AV96" s="289"/>
      <c r="AW96" s="289"/>
      <c r="AX96" s="289"/>
      <c r="AY96" s="289"/>
      <c r="AZ96" s="289"/>
      <c r="BA96" s="289"/>
    </row>
    <row r="97">
      <c r="A97" s="290">
        <f>PRIX!A98</f>
        <v>45852</v>
      </c>
      <c r="B97" s="299">
        <f>IF(A97="","",PRIX!B98*'QUANTITE DETENUES'!B98)</f>
        <v>25204.0735</v>
      </c>
      <c r="C97" s="299">
        <f>IF(B97="","",PRIX!C98*'QUANTITE DETENUES'!C98)</f>
        <v>10319.675</v>
      </c>
      <c r="D97" s="299">
        <f>IF(C97="","",PRIX!D98*'QUANTITE DETENUES'!D98)</f>
        <v>781.100398</v>
      </c>
      <c r="E97" s="299">
        <f>IF(D97="","",PRIX!E98*'QUANTITE DETENUES'!E98)</f>
        <v>4110.819565</v>
      </c>
      <c r="F97" s="299">
        <f>IF(E97="","",PRIX!F98*'QUANTITE DETENUES'!F98)</f>
        <v>4608.053884</v>
      </c>
      <c r="G97" s="299">
        <f>IF(F97="","",PRIX!G98*'QUANTITE DETENUES'!G98)</f>
        <v>0</v>
      </c>
      <c r="H97" s="299">
        <f>IF(G97="","",PRIX!H98*'QUANTITE DETENUES'!H98)</f>
        <v>1696.350915</v>
      </c>
      <c r="I97" s="299">
        <f>IF(H97="","",PRIX!I98*'QUANTITE DETENUES'!I98)</f>
        <v>864.75906</v>
      </c>
      <c r="J97" s="299">
        <f>IF(I97="","",PRIX!J98*'QUANTITE DETENUES'!J98)</f>
        <v>293.1939868</v>
      </c>
      <c r="K97" s="299">
        <f>IF(J97="","",PRIX!K98*'QUANTITE DETENUES'!K98)</f>
        <v>321.5135213</v>
      </c>
      <c r="L97" s="299">
        <f>IF(K97="","",PRIX!L98*'QUANTITE DETENUES'!L98)</f>
        <v>0</v>
      </c>
      <c r="M97" s="299">
        <f>IF(L97="","",PRIX!M98*'QUANTITE DETENUES'!M98)</f>
        <v>1781.895853</v>
      </c>
      <c r="N97" s="299">
        <f>IF(M97="","",PRIX!N98*'QUANTITE DETENUES'!N98)</f>
        <v>0</v>
      </c>
      <c r="O97" s="299">
        <f>IF(N97="","",PRIX!O98*'QUANTITE DETENUES'!O98)</f>
        <v>729.9127865</v>
      </c>
      <c r="P97" s="299">
        <f>IF(O97="","",PRIX!P98*'QUANTITE DETENUES'!P98)</f>
        <v>0.00006651575157</v>
      </c>
      <c r="Q97" s="299">
        <f>IF(P97="","",PRIX!Q98*'QUANTITE DETENUES'!Q98)</f>
        <v>330.581</v>
      </c>
      <c r="R97" s="299">
        <f>IF(Q97="","",PRIX!R98*'QUANTITE DETENUES'!R98)</f>
        <v>0</v>
      </c>
      <c r="S97" s="300">
        <f>IF(R97="","",PRIX!S98*'QUANTITE DETENUES'!S98)</f>
        <v>0</v>
      </c>
      <c r="T97" s="14">
        <f>IF(A97="","",ARBITRAGES!M98)</f>
        <v>7302.932021</v>
      </c>
      <c r="U97" s="301">
        <f t="shared" si="1"/>
        <v>58344.86155</v>
      </c>
      <c r="V97" s="302">
        <f t="shared" si="2"/>
        <v>0.8748316162</v>
      </c>
      <c r="W97" s="288"/>
      <c r="X97" s="289"/>
      <c r="Y97" s="289"/>
      <c r="Z97" s="289"/>
      <c r="AA97" s="289"/>
      <c r="AB97" s="289"/>
      <c r="AC97" s="289"/>
      <c r="AD97" s="289"/>
      <c r="AE97" s="289"/>
      <c r="AF97" s="289"/>
      <c r="AG97" s="289"/>
      <c r="AH97" s="289"/>
      <c r="AI97" s="289"/>
      <c r="AJ97" s="289"/>
      <c r="AK97" s="289"/>
      <c r="AL97" s="289"/>
      <c r="AM97" s="289"/>
      <c r="AN97" s="289"/>
      <c r="AO97" s="289"/>
      <c r="AP97" s="289"/>
      <c r="AQ97" s="289"/>
      <c r="AR97" s="289"/>
      <c r="AS97" s="289"/>
      <c r="AT97" s="289"/>
      <c r="AU97" s="289"/>
      <c r="AV97" s="289"/>
      <c r="AW97" s="289"/>
      <c r="AX97" s="289"/>
      <c r="AY97" s="289"/>
      <c r="AZ97" s="289"/>
      <c r="BA97" s="289"/>
    </row>
    <row r="98">
      <c r="A98" s="290">
        <f>PRIX!A99</f>
        <v>45853</v>
      </c>
      <c r="B98" s="299">
        <f>IF(A98="","",PRIX!B99*'QUANTITE DETENUES'!B99)</f>
        <v>25191.56703</v>
      </c>
      <c r="C98" s="299">
        <f>IF(B98="","",PRIX!C99*'QUANTITE DETENUES'!C99)</f>
        <v>9857.6</v>
      </c>
      <c r="D98" s="299">
        <f>IF(C98="","",PRIX!D99*'QUANTITE DETENUES'!D99)</f>
        <v>763.8521243</v>
      </c>
      <c r="E98" s="299">
        <f>IF(D98="","",PRIX!E99*'QUANTITE DETENUES'!E99)</f>
        <v>3993.367578</v>
      </c>
      <c r="F98" s="299">
        <f>IF(E98="","",PRIX!F99*'QUANTITE DETENUES'!F99)</f>
        <v>4546.613166</v>
      </c>
      <c r="G98" s="299">
        <f>IF(F98="","",PRIX!G99*'QUANTITE DETENUES'!G99)</f>
        <v>0</v>
      </c>
      <c r="H98" s="299">
        <f>IF(G98="","",PRIX!H99*'QUANTITE DETENUES'!H99)</f>
        <v>1688.344539</v>
      </c>
      <c r="I98" s="299">
        <f>IF(H98="","",PRIX!I99*'QUANTITE DETENUES'!I99)</f>
        <v>831.33842</v>
      </c>
      <c r="J98" s="299">
        <f>IF(I98="","",PRIX!J99*'QUANTITE DETENUES'!J99)</f>
        <v>287.043064</v>
      </c>
      <c r="K98" s="299">
        <f>IF(J98="","",PRIX!K99*'QUANTITE DETENUES'!K99)</f>
        <v>320.2427168</v>
      </c>
      <c r="L98" s="299">
        <f>IF(K98="","",PRIX!L99*'QUANTITE DETENUES'!L99)</f>
        <v>0</v>
      </c>
      <c r="M98" s="299">
        <f>IF(L98="","",PRIX!M99*'QUANTITE DETENUES'!M99)</f>
        <v>1765.842737</v>
      </c>
      <c r="N98" s="299">
        <f>IF(M98="","",PRIX!N99*'QUANTITE DETENUES'!N99)</f>
        <v>0</v>
      </c>
      <c r="O98" s="299">
        <f>IF(N98="","",PRIX!O99*'QUANTITE DETENUES'!O99)</f>
        <v>729.9127865</v>
      </c>
      <c r="P98" s="299">
        <f>IF(O98="","",PRIX!P99*'QUANTITE DETENUES'!P99)</f>
        <v>0.00006651575157</v>
      </c>
      <c r="Q98" s="299">
        <f>IF(P98="","",PRIX!Q99*'QUANTITE DETENUES'!Q99)</f>
        <v>330.581</v>
      </c>
      <c r="R98" s="299">
        <f>IF(Q98="","",PRIX!R99*'QUANTITE DETENUES'!R99)</f>
        <v>0</v>
      </c>
      <c r="S98" s="300">
        <f>IF(R98="","",PRIX!S99*'QUANTITE DETENUES'!S99)</f>
        <v>0</v>
      </c>
      <c r="T98" s="14">
        <f>IF(A98="","",ARBITRAGES!M99)</f>
        <v>7002.932021</v>
      </c>
      <c r="U98" s="301">
        <f t="shared" si="1"/>
        <v>57309.23725</v>
      </c>
      <c r="V98" s="302">
        <f t="shared" si="2"/>
        <v>0.8778044805</v>
      </c>
      <c r="W98" s="288"/>
      <c r="X98" s="289"/>
      <c r="Y98" s="289"/>
      <c r="Z98" s="289"/>
      <c r="AA98" s="289"/>
      <c r="AB98" s="289"/>
      <c r="AC98" s="289"/>
      <c r="AD98" s="289"/>
      <c r="AE98" s="289"/>
      <c r="AF98" s="289"/>
      <c r="AG98" s="289"/>
      <c r="AH98" s="289"/>
      <c r="AI98" s="289"/>
      <c r="AJ98" s="289"/>
      <c r="AK98" s="289"/>
      <c r="AL98" s="289"/>
      <c r="AM98" s="289"/>
      <c r="AN98" s="289"/>
      <c r="AO98" s="289"/>
      <c r="AP98" s="289"/>
      <c r="AQ98" s="289"/>
      <c r="AR98" s="289"/>
      <c r="AS98" s="289"/>
      <c r="AT98" s="289"/>
      <c r="AU98" s="289"/>
      <c r="AV98" s="289"/>
      <c r="AW98" s="289"/>
      <c r="AX98" s="289"/>
      <c r="AY98" s="289"/>
      <c r="AZ98" s="289"/>
      <c r="BA98" s="289"/>
    </row>
    <row r="99">
      <c r="A99" s="290">
        <f>PRIX!A100</f>
        <v>45854</v>
      </c>
      <c r="B99" s="299">
        <f>IF(A99="","",PRIX!B100*'QUANTITE DETENUES'!B100)</f>
        <v>26026.88503</v>
      </c>
      <c r="C99" s="299">
        <f>IF(B99="","",PRIX!C100*'QUANTITE DETENUES'!C100)</f>
        <v>10319.675</v>
      </c>
      <c r="D99" s="299">
        <f>IF(C99="","",PRIX!D100*'QUANTITE DETENUES'!D100)</f>
        <v>781.100398</v>
      </c>
      <c r="E99" s="299">
        <f>IF(D99="","",PRIX!E100*'QUANTITE DETENUES'!E100)</f>
        <v>4110.819565</v>
      </c>
      <c r="F99" s="299">
        <f>IF(E99="","",PRIX!F100*'QUANTITE DETENUES'!F100)</f>
        <v>4608.053884</v>
      </c>
      <c r="G99" s="299">
        <f>IF(F99="","",PRIX!G100*'QUANTITE DETENUES'!G100)</f>
        <v>0</v>
      </c>
      <c r="H99" s="299">
        <f>IF(G99="","",PRIX!H100*'QUANTITE DETENUES'!H100)</f>
        <v>1696.350915</v>
      </c>
      <c r="I99" s="299">
        <f>IF(H99="","",PRIX!I100*'QUANTITE DETENUES'!I100)</f>
        <v>864.75906</v>
      </c>
      <c r="J99" s="299">
        <f>IF(I99="","",PRIX!J100*'QUANTITE DETENUES'!J100)</f>
        <v>293.1939868</v>
      </c>
      <c r="K99" s="299">
        <f>IF(J99="","",PRIX!K100*'QUANTITE DETENUES'!K100)</f>
        <v>321.5135213</v>
      </c>
      <c r="L99" s="299">
        <f>IF(K99="","",PRIX!L100*'QUANTITE DETENUES'!L100)</f>
        <v>0</v>
      </c>
      <c r="M99" s="299">
        <f>IF(L99="","",PRIX!M100*'QUANTITE DETENUES'!M100)</f>
        <v>1781.895853</v>
      </c>
      <c r="N99" s="299">
        <f>IF(M99="","",PRIX!N100*'QUANTITE DETENUES'!N100)</f>
        <v>0</v>
      </c>
      <c r="O99" s="299">
        <f>IF(N99="","",PRIX!O100*'QUANTITE DETENUES'!O100)</f>
        <v>729.9127865</v>
      </c>
      <c r="P99" s="299">
        <f>IF(O99="","",PRIX!P100*'QUANTITE DETENUES'!P100)</f>
        <v>0.00006651575157</v>
      </c>
      <c r="Q99" s="299">
        <f>IF(P99="","",PRIX!Q100*'QUANTITE DETENUES'!Q100)</f>
        <v>330.581</v>
      </c>
      <c r="R99" s="299">
        <f>IF(Q99="","",PRIX!R100*'QUANTITE DETENUES'!R100)</f>
        <v>0</v>
      </c>
      <c r="S99" s="300">
        <f>IF(R99="","",PRIX!S100*'QUANTITE DETENUES'!S100)</f>
        <v>0</v>
      </c>
      <c r="T99" s="14">
        <f>IF(A99="","",ARBITRAGES!M100)</f>
        <v>6502.932021</v>
      </c>
      <c r="U99" s="301">
        <f t="shared" si="1"/>
        <v>58367.67308</v>
      </c>
      <c r="V99" s="302">
        <f t="shared" si="2"/>
        <v>0.8885867523</v>
      </c>
      <c r="W99" s="288"/>
      <c r="X99" s="289"/>
      <c r="Y99" s="289"/>
      <c r="Z99" s="289"/>
      <c r="AA99" s="289"/>
      <c r="AB99" s="289"/>
      <c r="AC99" s="289"/>
      <c r="AD99" s="289"/>
      <c r="AE99" s="289"/>
      <c r="AF99" s="289"/>
      <c r="AG99" s="289"/>
      <c r="AH99" s="289"/>
      <c r="AI99" s="289"/>
      <c r="AJ99" s="289"/>
      <c r="AK99" s="289"/>
      <c r="AL99" s="289"/>
      <c r="AM99" s="289"/>
      <c r="AN99" s="289"/>
      <c r="AO99" s="289"/>
      <c r="AP99" s="289"/>
      <c r="AQ99" s="289"/>
      <c r="AR99" s="289"/>
      <c r="AS99" s="289"/>
      <c r="AT99" s="289"/>
      <c r="AU99" s="289"/>
      <c r="AV99" s="289"/>
      <c r="AW99" s="289"/>
      <c r="AX99" s="289"/>
      <c r="AY99" s="289"/>
      <c r="AZ99" s="289"/>
      <c r="BA99" s="289"/>
    </row>
    <row r="100">
      <c r="A100" s="290">
        <f>PRIX!A101</f>
        <v>45856</v>
      </c>
      <c r="B100" s="299">
        <f>IF(A100="","",PRIX!B101*'QUANTITE DETENUES'!B101)</f>
        <v>26571.38053</v>
      </c>
      <c r="C100" s="299">
        <f>IF(B100="","",PRIX!C101*'QUANTITE DETENUES'!C101)</f>
        <v>10762.7875</v>
      </c>
      <c r="D100" s="299">
        <f>IF(C100="","",PRIX!D101*'QUANTITE DETENUES'!D101)</f>
        <v>763.8521243</v>
      </c>
      <c r="E100" s="299">
        <f>IF(D100="","",PRIX!E101*'QUANTITE DETENUES'!E101)</f>
        <v>4110.819565</v>
      </c>
      <c r="F100" s="299">
        <f>IF(E100="","",PRIX!F101*'QUANTITE DETENUES'!F101)</f>
        <v>4403.25149</v>
      </c>
      <c r="G100" s="299">
        <f>IF(F100="","",PRIX!G101*'QUANTITE DETENUES'!G101)</f>
        <v>0</v>
      </c>
      <c r="H100" s="299">
        <f>IF(G100="","",PRIX!H101*'QUANTITE DETENUES'!H101)</f>
        <v>1761.40272</v>
      </c>
      <c r="I100" s="299">
        <f>IF(H100="","",PRIX!I101*'QUANTITE DETENUES'!I101)</f>
        <v>1023.5071</v>
      </c>
      <c r="J100" s="299">
        <f>IF(I100="","",PRIX!J101*'QUANTITE DETENUES'!J101)</f>
        <v>317.797678</v>
      </c>
      <c r="K100" s="299">
        <f>IF(J100="","",PRIX!K101*'QUANTITE DETENUES'!K101)</f>
        <v>327.8675434</v>
      </c>
      <c r="L100" s="299">
        <f>IF(K100="","",PRIX!L101*'QUANTITE DETENUES'!L101)</f>
        <v>0</v>
      </c>
      <c r="M100" s="299">
        <f>IF(L100="","",PRIX!M101*'QUANTITE DETENUES'!M101)</f>
        <v>1712.332351</v>
      </c>
      <c r="N100" s="299">
        <f>IF(M100="","",PRIX!N101*'QUANTITE DETENUES'!N101)</f>
        <v>0</v>
      </c>
      <c r="O100" s="299">
        <f>IF(N100="","",PRIX!O101*'QUANTITE DETENUES'!O101)</f>
        <v>789.3242924</v>
      </c>
      <c r="P100" s="299">
        <f>IF(O100="","",PRIX!P101*'QUANTITE DETENUES'!P101)</f>
        <v>0.00006651575157</v>
      </c>
      <c r="Q100" s="299">
        <f>IF(P100="","",PRIX!Q101*'QUANTITE DETENUES'!Q101)</f>
        <v>330.581</v>
      </c>
      <c r="R100" s="299">
        <f>IF(Q100="","",PRIX!R101*'QUANTITE DETENUES'!R101)</f>
        <v>0</v>
      </c>
      <c r="S100" s="300">
        <f>IF(R100="","",PRIX!S101*'QUANTITE DETENUES'!S101)</f>
        <v>0</v>
      </c>
      <c r="T100" s="14">
        <f>IF(A100="","",ARBITRAGES!M101)</f>
        <v>6752.932021</v>
      </c>
      <c r="U100" s="301">
        <f t="shared" si="1"/>
        <v>59627.83598</v>
      </c>
      <c r="V100" s="302">
        <f t="shared" si="2"/>
        <v>0.8867486651</v>
      </c>
      <c r="W100" s="288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89"/>
      <c r="AT100" s="289"/>
      <c r="AU100" s="289"/>
      <c r="AV100" s="289"/>
      <c r="AW100" s="289"/>
      <c r="AX100" s="289"/>
      <c r="AY100" s="289"/>
      <c r="AZ100" s="289"/>
      <c r="BA100" s="289"/>
    </row>
    <row r="101">
      <c r="A101" s="290">
        <f>PRIX!A102</f>
        <v>45856</v>
      </c>
      <c r="B101" s="299">
        <f>IF(A101="","",PRIX!B102*'QUANTITE DETENUES'!B102)</f>
        <v>26571.38053</v>
      </c>
      <c r="C101" s="299">
        <f>IF(B101="","",PRIX!C102*'QUANTITE DETENUES'!C102)</f>
        <v>10678.36885</v>
      </c>
      <c r="D101" s="299">
        <f>IF(C101="","",PRIX!D102*'QUANTITE DETENUES'!D102)</f>
        <v>763.8521243</v>
      </c>
      <c r="E101" s="299">
        <f>IF(D101="","",PRIX!E102*'QUANTITE DETENUES'!E102)</f>
        <v>4110.819565</v>
      </c>
      <c r="F101" s="299">
        <f>IF(E101="","",PRIX!F102*'QUANTITE DETENUES'!F102)</f>
        <v>4403.25149</v>
      </c>
      <c r="G101" s="299">
        <f>IF(F101="","",PRIX!G102*'QUANTITE DETENUES'!G102)</f>
        <v>0</v>
      </c>
      <c r="H101" s="299">
        <f>IF(G101="","",PRIX!H102*'QUANTITE DETENUES'!H102)</f>
        <v>1761.40272</v>
      </c>
      <c r="I101" s="299">
        <f>IF(H101="","",PRIX!I102*'QUANTITE DETENUES'!I102)</f>
        <v>1023.5071</v>
      </c>
      <c r="J101" s="299">
        <f>IF(I101="","",PRIX!J102*'QUANTITE DETENUES'!J102)</f>
        <v>317.797678</v>
      </c>
      <c r="K101" s="299">
        <f>IF(J101="","",PRIX!K102*'QUANTITE DETENUES'!K102)</f>
        <v>327.8675434</v>
      </c>
      <c r="L101" s="299">
        <f>IF(K101="","",PRIX!L102*'QUANTITE DETENUES'!L102)</f>
        <v>0</v>
      </c>
      <c r="M101" s="299">
        <f>IF(L101="","",PRIX!M102*'QUANTITE DETENUES'!M102)</f>
        <v>1712.332351</v>
      </c>
      <c r="N101" s="299">
        <f>IF(M101="","",PRIX!N102*'QUANTITE DETENUES'!N102)</f>
        <v>0</v>
      </c>
      <c r="O101" s="299">
        <f>IF(N101="","",PRIX!O102*'QUANTITE DETENUES'!O102)</f>
        <v>789.3242924</v>
      </c>
      <c r="P101" s="299">
        <f>IF(O101="","",PRIX!P102*'QUANTITE DETENUES'!P102)</f>
        <v>0.00006651575157</v>
      </c>
      <c r="Q101" s="299">
        <f>IF(P101="","",PRIX!Q102*'QUANTITE DETENUES'!Q102)</f>
        <v>330.581</v>
      </c>
      <c r="R101" s="299">
        <f>IF(Q101="","",PRIX!R102*'QUANTITE DETENUES'!R102)</f>
        <v>0</v>
      </c>
      <c r="S101" s="300">
        <f>IF(R101="","",PRIX!S102*'QUANTITE DETENUES'!S102)</f>
        <v>0</v>
      </c>
      <c r="T101" s="14">
        <f>IF(A101="","",ARBITRAGES!M102)</f>
        <v>7002.932022</v>
      </c>
      <c r="U101" s="301">
        <f t="shared" si="1"/>
        <v>59793.41733</v>
      </c>
      <c r="V101" s="302">
        <f t="shared" si="2"/>
        <v>0.8828812211</v>
      </c>
      <c r="W101" s="288"/>
      <c r="X101" s="289"/>
      <c r="Y101" s="289"/>
      <c r="Z101" s="289"/>
      <c r="AA101" s="289"/>
      <c r="AB101" s="289"/>
      <c r="AC101" s="289"/>
      <c r="AD101" s="289"/>
      <c r="AE101" s="289"/>
      <c r="AF101" s="289"/>
      <c r="AG101" s="289"/>
      <c r="AH101" s="289"/>
      <c r="AI101" s="289"/>
      <c r="AJ101" s="289"/>
      <c r="AK101" s="289"/>
      <c r="AL101" s="289"/>
      <c r="AM101" s="289"/>
      <c r="AN101" s="289"/>
      <c r="AO101" s="289"/>
      <c r="AP101" s="289"/>
      <c r="AQ101" s="289"/>
      <c r="AR101" s="289"/>
      <c r="AS101" s="289"/>
      <c r="AT101" s="289"/>
      <c r="AU101" s="289"/>
      <c r="AV101" s="289"/>
      <c r="AW101" s="289"/>
      <c r="AX101" s="289"/>
      <c r="AY101" s="289"/>
      <c r="AZ101" s="289"/>
      <c r="BA101" s="289"/>
    </row>
    <row r="102">
      <c r="A102" s="290">
        <f>PRIX!A103</f>
        <v>45857</v>
      </c>
      <c r="B102" s="299">
        <f>IF(A102="","",PRIX!B103*'QUANTITE DETENUES'!B103)</f>
        <v>26135.78413</v>
      </c>
      <c r="C102" s="299">
        <f>IF(B102="","",PRIX!C103*'QUANTITE DETENUES'!C103)</f>
        <v>10562.14749</v>
      </c>
      <c r="D102" s="299">
        <f>IF(C102="","",PRIX!D103*'QUANTITE DETENUES'!D103)</f>
        <v>788.4925154</v>
      </c>
      <c r="E102" s="299">
        <f>IF(D102="","",PRIX!E103*'QUANTITE DETENUES'!E103)</f>
        <v>4228.271553</v>
      </c>
      <c r="F102" s="299">
        <f>IF(E102="","",PRIX!F103*'QUANTITE DETENUES'!F103)</f>
        <v>4505.652687</v>
      </c>
      <c r="G102" s="299">
        <f>IF(F102="","",PRIX!G103*'QUANTITE DETENUES'!G103)</f>
        <v>0</v>
      </c>
      <c r="H102" s="299">
        <f>IF(G102="","",PRIX!H103*'QUANTITE DETENUES'!H103)</f>
        <v>1801.4346</v>
      </c>
      <c r="I102" s="299">
        <f>IF(H102="","",PRIX!I103*'QUANTITE DETENUES'!I103)</f>
        <v>1044.395</v>
      </c>
      <c r="J102" s="299">
        <f>IF(I102="","",PRIX!J103*'QUANTITE DETENUES'!J103)</f>
        <v>317.797678</v>
      </c>
      <c r="K102" s="299">
        <f>IF(J102="","",PRIX!K103*'QUANTITE DETENUES'!K103)</f>
        <v>336.7631744</v>
      </c>
      <c r="L102" s="299">
        <f>IF(K102="","",PRIX!L103*'QUANTITE DETENUES'!L103)</f>
        <v>0</v>
      </c>
      <c r="M102" s="299">
        <f>IF(L102="","",PRIX!M103*'QUANTITE DETENUES'!M103)</f>
        <v>1819.353123</v>
      </c>
      <c r="N102" s="299">
        <f>IF(M102="","",PRIX!N103*'QUANTITE DETENUES'!N103)</f>
        <v>0</v>
      </c>
      <c r="O102" s="299">
        <f>IF(N102="","",PRIX!O103*'QUANTITE DETENUES'!O103)</f>
        <v>797.8116504</v>
      </c>
      <c r="P102" s="299">
        <f>IF(O102="","",PRIX!P103*'QUANTITE DETENUES'!P103)</f>
        <v>0.00006651575157</v>
      </c>
      <c r="Q102" s="299">
        <f>IF(P102="","",PRIX!Q103*'QUANTITE DETENUES'!Q103)</f>
        <v>340.233</v>
      </c>
      <c r="R102" s="299">
        <f>IF(Q102="","",PRIX!R103*'QUANTITE DETENUES'!R103)</f>
        <v>0</v>
      </c>
      <c r="S102" s="300">
        <f>IF(R102="","",PRIX!S103*'QUANTITE DETENUES'!S103)</f>
        <v>0</v>
      </c>
      <c r="T102" s="14">
        <f>IF(A102="","",ARBITRAGES!M103)</f>
        <v>7280.946847</v>
      </c>
      <c r="U102" s="301">
        <f t="shared" si="1"/>
        <v>59959.08351</v>
      </c>
      <c r="V102" s="302">
        <f t="shared" si="2"/>
        <v>0.8785680764</v>
      </c>
      <c r="W102" s="288"/>
      <c r="X102" s="289"/>
      <c r="Y102" s="289"/>
      <c r="Z102" s="289"/>
      <c r="AA102" s="289"/>
      <c r="AB102" s="289"/>
      <c r="AC102" s="289"/>
      <c r="AD102" s="289"/>
      <c r="AE102" s="289"/>
      <c r="AF102" s="289"/>
      <c r="AG102" s="289"/>
      <c r="AH102" s="289"/>
      <c r="AI102" s="289"/>
      <c r="AJ102" s="289"/>
      <c r="AK102" s="289"/>
      <c r="AL102" s="289"/>
      <c r="AM102" s="289"/>
      <c r="AN102" s="289"/>
      <c r="AO102" s="289"/>
      <c r="AP102" s="289"/>
      <c r="AQ102" s="289"/>
      <c r="AR102" s="289"/>
      <c r="AS102" s="289"/>
      <c r="AT102" s="289"/>
      <c r="AU102" s="289"/>
      <c r="AV102" s="289"/>
      <c r="AW102" s="289"/>
      <c r="AX102" s="289"/>
      <c r="AY102" s="289"/>
      <c r="AZ102" s="289"/>
      <c r="BA102" s="289"/>
    </row>
    <row r="103">
      <c r="A103" s="290">
        <f>PRIX!A104</f>
        <v>45858</v>
      </c>
      <c r="B103" s="299">
        <f>IF(A103="","",PRIX!B104*'QUANTITE DETENUES'!B104)</f>
        <v>26135.78413</v>
      </c>
      <c r="C103" s="299">
        <f>IF(B103="","",PRIX!C104*'QUANTITE DETENUES'!C104)</f>
        <v>10309.1413</v>
      </c>
      <c r="D103" s="299">
        <f>IF(C103="","",PRIX!D104*'QUANTITE DETENUES'!D104)</f>
        <v>788.4925154</v>
      </c>
      <c r="E103" s="299">
        <f>IF(D103="","",PRIX!E104*'QUANTITE DETENUES'!E104)</f>
        <v>4228.271553</v>
      </c>
      <c r="F103" s="299">
        <f>IF(E103="","",PRIX!F104*'QUANTITE DETENUES'!F104)</f>
        <v>4505.652687</v>
      </c>
      <c r="G103" s="299">
        <f>IF(F103="","",PRIX!G104*'QUANTITE DETENUES'!G104)</f>
        <v>0</v>
      </c>
      <c r="H103" s="299">
        <f>IF(G103="","",PRIX!H104*'QUANTITE DETENUES'!H104)</f>
        <v>1801.4346</v>
      </c>
      <c r="I103" s="299">
        <f>IF(H103="","",PRIX!I104*'QUANTITE DETENUES'!I104)</f>
        <v>1044.395</v>
      </c>
      <c r="J103" s="299">
        <f>IF(I103="","",PRIX!J104*'QUANTITE DETENUES'!J104)</f>
        <v>317.797678</v>
      </c>
      <c r="K103" s="299">
        <f>IF(J103="","",PRIX!K104*'QUANTITE DETENUES'!K104)</f>
        <v>336.7631744</v>
      </c>
      <c r="L103" s="299">
        <f>IF(K103="","",PRIX!L104*'QUANTITE DETENUES'!L104)</f>
        <v>0</v>
      </c>
      <c r="M103" s="299">
        <f>IF(L103="","",PRIX!M104*'QUANTITE DETENUES'!M104)</f>
        <v>1819.353123</v>
      </c>
      <c r="N103" s="299">
        <f>IF(M103="","",PRIX!N104*'QUANTITE DETENUES'!N104)</f>
        <v>0</v>
      </c>
      <c r="O103" s="299">
        <f>IF(N103="","",PRIX!O104*'QUANTITE DETENUES'!O104)</f>
        <v>797.8116504</v>
      </c>
      <c r="P103" s="299">
        <f>IF(O103="","",PRIX!P104*'QUANTITE DETENUES'!P104)</f>
        <v>0.00006651575157</v>
      </c>
      <c r="Q103" s="299">
        <f>IF(P103="","",PRIX!Q104*'QUANTITE DETENUES'!Q104)</f>
        <v>340.233</v>
      </c>
      <c r="R103" s="299">
        <f>IF(Q103="","",PRIX!R104*'QUANTITE DETENUES'!R104)</f>
        <v>0</v>
      </c>
      <c r="S103" s="300">
        <f>IF(R103="","",PRIX!S104*'QUANTITE DETENUES'!S104)</f>
        <v>0</v>
      </c>
      <c r="T103" s="14">
        <f>IF(A103="","",ARBITRAGES!M104)</f>
        <v>7576.946847</v>
      </c>
      <c r="U103" s="301">
        <f t="shared" si="1"/>
        <v>60002.07732</v>
      </c>
      <c r="V103" s="302">
        <f t="shared" si="2"/>
        <v>0.8737219246</v>
      </c>
      <c r="W103" s="288"/>
      <c r="X103" s="289"/>
      <c r="Y103" s="289"/>
      <c r="Z103" s="289"/>
      <c r="AA103" s="289"/>
      <c r="AB103" s="289"/>
      <c r="AC103" s="289"/>
      <c r="AD103" s="289"/>
      <c r="AE103" s="289"/>
      <c r="AF103" s="289"/>
      <c r="AG103" s="289"/>
      <c r="AH103" s="289"/>
      <c r="AI103" s="289"/>
      <c r="AJ103" s="289"/>
      <c r="AK103" s="289"/>
      <c r="AL103" s="289"/>
      <c r="AM103" s="289"/>
      <c r="AN103" s="289"/>
      <c r="AO103" s="289"/>
      <c r="AP103" s="289"/>
      <c r="AQ103" s="289"/>
      <c r="AR103" s="289"/>
      <c r="AS103" s="289"/>
      <c r="AT103" s="289"/>
      <c r="AU103" s="289"/>
      <c r="AV103" s="289"/>
      <c r="AW103" s="289"/>
      <c r="AX103" s="289"/>
      <c r="AY103" s="289"/>
      <c r="AZ103" s="289"/>
      <c r="BA103" s="289"/>
    </row>
    <row r="104">
      <c r="A104" s="290">
        <f>PRIX!A105</f>
        <v>45858</v>
      </c>
      <c r="B104" s="299">
        <f>IF(A104="","",PRIX!B105*'QUANTITE DETENUES'!B105)</f>
        <v>26135.78413</v>
      </c>
      <c r="C104" s="299">
        <f>IF(B104="","",PRIX!C105*'QUANTITE DETENUES'!C105)</f>
        <v>10061.2413</v>
      </c>
      <c r="D104" s="299">
        <f>IF(C104="","",PRIX!D105*'QUANTITE DETENUES'!D105)</f>
        <v>788.4925154</v>
      </c>
      <c r="E104" s="299">
        <f>IF(D104="","",PRIX!E105*'QUANTITE DETENUES'!E105)</f>
        <v>4228.271553</v>
      </c>
      <c r="F104" s="299">
        <f>IF(E104="","",PRIX!F105*'QUANTITE DETENUES'!F105)</f>
        <v>4505.652687</v>
      </c>
      <c r="G104" s="299">
        <f>IF(F104="","",PRIX!G105*'QUANTITE DETENUES'!G105)</f>
        <v>0</v>
      </c>
      <c r="H104" s="299">
        <f>IF(G104="","",PRIX!H105*'QUANTITE DETENUES'!H105)</f>
        <v>1801.4346</v>
      </c>
      <c r="I104" s="299">
        <f>IF(H104="","",PRIX!I105*'QUANTITE DETENUES'!I105)</f>
        <v>1044.395</v>
      </c>
      <c r="J104" s="299">
        <f>IF(I104="","",PRIX!J105*'QUANTITE DETENUES'!J105)</f>
        <v>317.797678</v>
      </c>
      <c r="K104" s="299">
        <f>IF(J104="","",PRIX!K105*'QUANTITE DETENUES'!K105)</f>
        <v>336.7631744</v>
      </c>
      <c r="L104" s="299">
        <f>IF(K104="","",PRIX!L105*'QUANTITE DETENUES'!L105)</f>
        <v>0</v>
      </c>
      <c r="M104" s="299">
        <f>IF(L104="","",PRIX!M105*'QUANTITE DETENUES'!M105)</f>
        <v>1819.353123</v>
      </c>
      <c r="N104" s="299">
        <f>IF(M104="","",PRIX!N105*'QUANTITE DETENUES'!N105)</f>
        <v>0</v>
      </c>
      <c r="O104" s="299">
        <f>IF(N104="","",PRIX!O105*'QUANTITE DETENUES'!O105)</f>
        <v>797.8116504</v>
      </c>
      <c r="P104" s="299">
        <f>IF(O104="","",PRIX!P105*'QUANTITE DETENUES'!P105)</f>
        <v>0.00006651575157</v>
      </c>
      <c r="Q104" s="299">
        <f>IF(P104="","",PRIX!Q105*'QUANTITE DETENUES'!Q105)</f>
        <v>340.233</v>
      </c>
      <c r="R104" s="299">
        <f>IF(Q104="","",PRIX!R105*'QUANTITE DETENUES'!R105)</f>
        <v>0</v>
      </c>
      <c r="S104" s="300">
        <f>IF(R104="","",PRIX!S105*'QUANTITE DETENUES'!S105)</f>
        <v>0</v>
      </c>
      <c r="T104" s="14">
        <f>IF(A104="","",ARBITRAGES!M105)</f>
        <v>7826.856847</v>
      </c>
      <c r="U104" s="301">
        <f t="shared" si="1"/>
        <v>60004.08732</v>
      </c>
      <c r="V104" s="302">
        <f t="shared" si="2"/>
        <v>0.8695612716</v>
      </c>
      <c r="W104" s="288"/>
      <c r="X104" s="289"/>
      <c r="Y104" s="289"/>
      <c r="Z104" s="289"/>
      <c r="AA104" s="289"/>
      <c r="AB104" s="289"/>
      <c r="AC104" s="289"/>
      <c r="AD104" s="289"/>
      <c r="AE104" s="289"/>
      <c r="AF104" s="289"/>
      <c r="AG104" s="289"/>
      <c r="AH104" s="289"/>
      <c r="AI104" s="289"/>
      <c r="AJ104" s="289"/>
      <c r="AK104" s="289"/>
      <c r="AL104" s="289"/>
      <c r="AM104" s="289"/>
      <c r="AN104" s="289"/>
      <c r="AO104" s="289"/>
      <c r="AP104" s="289"/>
      <c r="AQ104" s="289"/>
      <c r="AR104" s="289"/>
      <c r="AS104" s="289"/>
      <c r="AT104" s="289"/>
      <c r="AU104" s="289"/>
      <c r="AV104" s="289"/>
      <c r="AW104" s="289"/>
      <c r="AX104" s="289"/>
      <c r="AY104" s="289"/>
      <c r="AZ104" s="289"/>
      <c r="BA104" s="289"/>
    </row>
    <row r="105">
      <c r="A105" s="290">
        <f>PRIX!A106</f>
        <v>45858</v>
      </c>
      <c r="B105" s="299">
        <f>IF(A105="","",PRIX!B106*'QUANTITE DETENUES'!B106)</f>
        <v>26135.78413</v>
      </c>
      <c r="C105" s="299">
        <f>IF(B105="","",PRIX!C106*'QUANTITE DETENUES'!C106)</f>
        <v>9691.241304</v>
      </c>
      <c r="D105" s="299">
        <f>IF(C105="","",PRIX!D106*'QUANTITE DETENUES'!D106)</f>
        <v>788.4925154</v>
      </c>
      <c r="E105" s="299">
        <f>IF(D105="","",PRIX!E106*'QUANTITE DETENUES'!E106)</f>
        <v>4228.271553</v>
      </c>
      <c r="F105" s="299">
        <f>IF(E105="","",PRIX!F106*'QUANTITE DETENUES'!F106)</f>
        <v>4505.652687</v>
      </c>
      <c r="G105" s="299">
        <f>IF(F105="","",PRIX!G106*'QUANTITE DETENUES'!G106)</f>
        <v>0</v>
      </c>
      <c r="H105" s="299">
        <f>IF(G105="","",PRIX!H106*'QUANTITE DETENUES'!H106)</f>
        <v>1801.4346</v>
      </c>
      <c r="I105" s="299">
        <f>IF(H105="","",PRIX!I106*'QUANTITE DETENUES'!I106)</f>
        <v>1044.395</v>
      </c>
      <c r="J105" s="299">
        <f>IF(I105="","",PRIX!J106*'QUANTITE DETENUES'!J106)</f>
        <v>317.797678</v>
      </c>
      <c r="K105" s="299">
        <f>IF(J105="","",PRIX!K106*'QUANTITE DETENUES'!K106)</f>
        <v>336.7631744</v>
      </c>
      <c r="L105" s="299">
        <f>IF(K105="","",PRIX!L106*'QUANTITE DETENUES'!L106)</f>
        <v>0</v>
      </c>
      <c r="M105" s="299">
        <f>IF(L105="","",PRIX!M106*'QUANTITE DETENUES'!M106)</f>
        <v>1819.353123</v>
      </c>
      <c r="N105" s="299">
        <f>IF(M105="","",PRIX!N106*'QUANTITE DETENUES'!N106)</f>
        <v>0</v>
      </c>
      <c r="O105" s="299">
        <f>IF(N105="","",PRIX!O106*'QUANTITE DETENUES'!O106)</f>
        <v>797.8116504</v>
      </c>
      <c r="P105" s="299">
        <f>IF(O105="","",PRIX!P106*'QUANTITE DETENUES'!P106)</f>
        <v>0.00006651575157</v>
      </c>
      <c r="Q105" s="299">
        <f>IF(P105="","",PRIX!Q106*'QUANTITE DETENUES'!Q106)</f>
        <v>340.233</v>
      </c>
      <c r="R105" s="299">
        <f>IF(Q105="","",PRIX!R106*'QUANTITE DETENUES'!R106)</f>
        <v>0</v>
      </c>
      <c r="S105" s="300">
        <f>IF(R105="","",PRIX!S106*'QUANTITE DETENUES'!S106)</f>
        <v>0</v>
      </c>
      <c r="T105" s="14">
        <f>IF(A105="","",ARBITRAGES!M106)</f>
        <v>8201.856847</v>
      </c>
      <c r="U105" s="301">
        <f t="shared" si="1"/>
        <v>60009.08732</v>
      </c>
      <c r="V105" s="302">
        <f t="shared" si="2"/>
        <v>0.8633230863</v>
      </c>
      <c r="W105" s="288"/>
      <c r="X105" s="289"/>
      <c r="Y105" s="289"/>
      <c r="Z105" s="289"/>
      <c r="AA105" s="289"/>
      <c r="AB105" s="289"/>
      <c r="AC105" s="289"/>
      <c r="AD105" s="289"/>
      <c r="AE105" s="289"/>
      <c r="AF105" s="289"/>
      <c r="AG105" s="289"/>
      <c r="AH105" s="289"/>
      <c r="AI105" s="289"/>
      <c r="AJ105" s="289"/>
      <c r="AK105" s="289"/>
      <c r="AL105" s="289"/>
      <c r="AM105" s="289"/>
      <c r="AN105" s="289"/>
      <c r="AO105" s="289"/>
      <c r="AP105" s="289"/>
      <c r="AQ105" s="289"/>
      <c r="AR105" s="289"/>
      <c r="AS105" s="289"/>
      <c r="AT105" s="289"/>
      <c r="AU105" s="289"/>
      <c r="AV105" s="289"/>
      <c r="AW105" s="289"/>
      <c r="AX105" s="289"/>
      <c r="AY105" s="289"/>
      <c r="AZ105" s="289"/>
      <c r="BA105" s="289"/>
    </row>
    <row r="106">
      <c r="A106" s="290">
        <f>PRIX!A107</f>
        <v>45858</v>
      </c>
      <c r="B106" s="299">
        <f>IF(A106="","",PRIX!B107*'QUANTITE DETENUES'!B107)</f>
        <v>26135.78413</v>
      </c>
      <c r="C106" s="299">
        <f>IF(B106="","",PRIX!C107*'QUANTITE DETENUES'!C107)</f>
        <v>9527.703555</v>
      </c>
      <c r="D106" s="299">
        <f>IF(C106="","",PRIX!D107*'QUANTITE DETENUES'!D107)</f>
        <v>788.4925154</v>
      </c>
      <c r="E106" s="299">
        <f>IF(D106="","",PRIX!E107*'QUANTITE DETENUES'!E107)</f>
        <v>4228.271553</v>
      </c>
      <c r="F106" s="299">
        <f>IF(E106="","",PRIX!F107*'QUANTITE DETENUES'!F107)</f>
        <v>4505.652687</v>
      </c>
      <c r="G106" s="299">
        <f>IF(F106="","",PRIX!G107*'QUANTITE DETENUES'!G107)</f>
        <v>0</v>
      </c>
      <c r="H106" s="299">
        <f>IF(G106="","",PRIX!H107*'QUANTITE DETENUES'!H107)</f>
        <v>1801.4346</v>
      </c>
      <c r="I106" s="299">
        <f>IF(H106="","",PRIX!I107*'QUANTITE DETENUES'!I107)</f>
        <v>1044.395</v>
      </c>
      <c r="J106" s="299">
        <f>IF(I106="","",PRIX!J107*'QUANTITE DETENUES'!J107)</f>
        <v>317.797678</v>
      </c>
      <c r="K106" s="299">
        <f>IF(J106="","",PRIX!K107*'QUANTITE DETENUES'!K107)</f>
        <v>336.7631744</v>
      </c>
      <c r="L106" s="299">
        <f>IF(K106="","",PRIX!L107*'QUANTITE DETENUES'!L107)</f>
        <v>0</v>
      </c>
      <c r="M106" s="299">
        <f>IF(L106="","",PRIX!M107*'QUANTITE DETENUES'!M107)</f>
        <v>1819.353123</v>
      </c>
      <c r="N106" s="299">
        <f>IF(M106="","",PRIX!N107*'QUANTITE DETENUES'!N107)</f>
        <v>0</v>
      </c>
      <c r="O106" s="299">
        <f>IF(N106="","",PRIX!O107*'QUANTITE DETENUES'!O107)</f>
        <v>797.8116504</v>
      </c>
      <c r="P106" s="299">
        <f>IF(O106="","",PRIX!P107*'QUANTITE DETENUES'!P107)</f>
        <v>0.00006651575157</v>
      </c>
      <c r="Q106" s="299">
        <f>IF(P106="","",PRIX!Q107*'QUANTITE DETENUES'!Q107)</f>
        <v>340.233</v>
      </c>
      <c r="R106" s="299">
        <f>IF(Q106="","",PRIX!R107*'QUANTITE DETENUES'!R107)</f>
        <v>0</v>
      </c>
      <c r="S106" s="300">
        <f>IF(R106="","",PRIX!S107*'QUANTITE DETENUES'!S107)</f>
        <v>0</v>
      </c>
      <c r="T106" s="14">
        <f>IF(A106="","",ARBITRAGES!M107)</f>
        <v>8368.930547</v>
      </c>
      <c r="U106" s="301">
        <f t="shared" si="1"/>
        <v>60012.62328</v>
      </c>
      <c r="V106" s="302">
        <f t="shared" si="2"/>
        <v>0.8605471634</v>
      </c>
      <c r="W106" s="288"/>
      <c r="X106" s="289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  <c r="AI106" s="289"/>
      <c r="AJ106" s="289"/>
      <c r="AK106" s="289"/>
      <c r="AL106" s="289"/>
      <c r="AM106" s="289"/>
      <c r="AN106" s="289"/>
      <c r="AO106" s="289"/>
      <c r="AP106" s="289"/>
      <c r="AQ106" s="289"/>
      <c r="AR106" s="289"/>
      <c r="AS106" s="289"/>
      <c r="AT106" s="289"/>
      <c r="AU106" s="289"/>
      <c r="AV106" s="289"/>
      <c r="AW106" s="289"/>
      <c r="AX106" s="289"/>
      <c r="AY106" s="289"/>
      <c r="AZ106" s="289"/>
      <c r="BA106" s="289"/>
    </row>
    <row r="107">
      <c r="A107" s="290">
        <f>PRIX!A108</f>
        <v>45859</v>
      </c>
      <c r="B107" s="299">
        <f>IF(A107="","",PRIX!B108*'QUANTITE DETENUES'!B108)</f>
        <v>25809.08682</v>
      </c>
      <c r="C107" s="299">
        <f>IF(B107="","",PRIX!C108*'QUANTITE DETENUES'!C108)</f>
        <v>9420.979057</v>
      </c>
      <c r="D107" s="299">
        <f>IF(C107="","",PRIX!D108*'QUANTITE DETENUES'!D108)</f>
        <v>813.1329065</v>
      </c>
      <c r="E107" s="299">
        <f>IF(D107="","",PRIX!E108*'QUANTITE DETENUES'!E108)</f>
        <v>4345.72354</v>
      </c>
      <c r="F107" s="299">
        <f>IF(E107="","",PRIX!F108*'QUANTITE DETENUES'!F108)</f>
        <v>4454.452088</v>
      </c>
      <c r="G107" s="299">
        <f>IF(F107="","",PRIX!G108*'QUANTITE DETENUES'!G108)</f>
        <v>0</v>
      </c>
      <c r="H107" s="299">
        <f>IF(G107="","",PRIX!H108*'QUANTITE DETENUES'!H108)</f>
        <v>2001.594</v>
      </c>
      <c r="I107" s="299">
        <f>IF(H107="","",PRIX!I108*'QUANTITE DETENUES'!I108)</f>
        <v>1107.0587</v>
      </c>
      <c r="J107" s="299">
        <f>IF(I107="","",PRIX!J108*'QUANTITE DETENUES'!J108)</f>
        <v>317.797678</v>
      </c>
      <c r="K107" s="299">
        <f>IF(J107="","",PRIX!K108*'QUANTITE DETENUES'!K108)</f>
        <v>349.4712188</v>
      </c>
      <c r="L107" s="299">
        <f>IF(K107="","",PRIX!L108*'QUANTITE DETENUES'!L108)</f>
        <v>0</v>
      </c>
      <c r="M107" s="299">
        <f>IF(L107="","",PRIX!M108*'QUANTITE DETENUES'!M108)</f>
        <v>1781.895853</v>
      </c>
      <c r="N107" s="299">
        <f>IF(M107="","",PRIX!N108*'QUANTITE DETENUES'!N108)</f>
        <v>0</v>
      </c>
      <c r="O107" s="299">
        <f>IF(N107="","",PRIX!O108*'QUANTITE DETENUES'!O108)</f>
        <v>823.2737244</v>
      </c>
      <c r="P107" s="299">
        <f>IF(O107="","",PRIX!P108*'QUANTITE DETENUES'!P108)</f>
        <v>0.00006651575157</v>
      </c>
      <c r="Q107" s="299">
        <f>IF(P107="","",PRIX!Q108*'QUANTITE DETENUES'!Q108)</f>
        <v>340.233</v>
      </c>
      <c r="R107" s="299">
        <f>IF(Q107="","",PRIX!R108*'QUANTITE DETENUES'!R108)</f>
        <v>0</v>
      </c>
      <c r="S107" s="300">
        <f>IF(R107="","",PRIX!S108*'QUANTITE DETENUES'!S108)</f>
        <v>0</v>
      </c>
      <c r="T107" s="14">
        <f>IF(A107="","",ARBITRAGES!M108)</f>
        <v>8748.930547</v>
      </c>
      <c r="U107" s="301">
        <f t="shared" si="1"/>
        <v>60313.6292</v>
      </c>
      <c r="V107" s="302">
        <f t="shared" si="2"/>
        <v>0.8549427275</v>
      </c>
      <c r="W107" s="288"/>
      <c r="X107" s="289"/>
      <c r="Y107" s="289"/>
      <c r="Z107" s="289"/>
      <c r="AA107" s="289"/>
      <c r="AB107" s="289"/>
      <c r="AC107" s="289"/>
      <c r="AD107" s="289"/>
      <c r="AE107" s="289"/>
      <c r="AF107" s="289"/>
      <c r="AG107" s="289"/>
      <c r="AH107" s="289"/>
      <c r="AI107" s="289"/>
      <c r="AJ107" s="289"/>
      <c r="AK107" s="289"/>
      <c r="AL107" s="289"/>
      <c r="AM107" s="289"/>
      <c r="AN107" s="289"/>
      <c r="AO107" s="289"/>
      <c r="AP107" s="289"/>
      <c r="AQ107" s="289"/>
      <c r="AR107" s="289"/>
      <c r="AS107" s="289"/>
      <c r="AT107" s="289"/>
      <c r="AU107" s="289"/>
      <c r="AV107" s="289"/>
      <c r="AW107" s="289"/>
      <c r="AX107" s="289"/>
      <c r="AY107" s="289"/>
      <c r="AZ107" s="289"/>
      <c r="BA107" s="289"/>
    </row>
    <row r="108">
      <c r="A108" s="290">
        <f>PRIX!A109</f>
        <v>45860</v>
      </c>
      <c r="B108" s="299">
        <f>IF(A108="","",PRIX!B109*'QUANTITE DETENUES'!B109)</f>
        <v>25264.59132</v>
      </c>
      <c r="C108" s="299">
        <f>IF(B108="","",PRIX!C109*'QUANTITE DETENUES'!C109)</f>
        <v>9049.098305</v>
      </c>
      <c r="D108" s="299">
        <f>IF(C108="","",PRIX!D109*'QUANTITE DETENUES'!D109)</f>
        <v>763.8521243</v>
      </c>
      <c r="E108" s="299">
        <f>IF(D108="","",PRIX!E109*'QUANTITE DETENUES'!E109)</f>
        <v>3364.448892</v>
      </c>
      <c r="F108" s="299">
        <f>IF(E108="","",PRIX!F109*'QUANTITE DETENUES'!F109)</f>
        <v>4198.449095</v>
      </c>
      <c r="G108" s="299">
        <f>IF(F108="","",PRIX!G109*'QUANTITE DETENUES'!G109)</f>
        <v>0</v>
      </c>
      <c r="H108" s="299">
        <f>IF(G108="","",PRIX!H109*'QUANTITE DETENUES'!H109)</f>
        <v>1781.41866</v>
      </c>
      <c r="I108" s="299">
        <f>IF(H108="","",PRIX!I109*'QUANTITE DETENUES'!I109)</f>
        <v>960.8434</v>
      </c>
      <c r="J108" s="299">
        <f>IF(I108="","",PRIX!J109*'QUANTITE DETENUES'!J109)</f>
        <v>28.7043064</v>
      </c>
      <c r="K108" s="299">
        <f>IF(J108="","",PRIX!K109*'QUANTITE DETENUES'!K109)</f>
        <v>341.8463922</v>
      </c>
      <c r="L108" s="299">
        <f>IF(K108="","",PRIX!L109*'QUANTITE DETENUES'!L109)</f>
        <v>0</v>
      </c>
      <c r="M108" s="299">
        <f>IF(L108="","",PRIX!M109*'QUANTITE DETENUES'!M109)</f>
        <v>1664.173004</v>
      </c>
      <c r="N108" s="299">
        <f>IF(M108="","",PRIX!N109*'QUANTITE DETENUES'!N109)</f>
        <v>0</v>
      </c>
      <c r="O108" s="299">
        <f>IF(N108="","",PRIX!O109*'QUANTITE DETENUES'!O109)</f>
        <v>746.8875025</v>
      </c>
      <c r="P108" s="299">
        <f>IF(O108="","",PRIX!P109*'QUANTITE DETENUES'!P109)</f>
        <v>0.00006651575157</v>
      </c>
      <c r="Q108" s="299">
        <f>IF(P108="","",PRIX!Q109*'QUANTITE DETENUES'!Q109)</f>
        <v>308.864</v>
      </c>
      <c r="R108" s="299">
        <f>IF(Q108="","",PRIX!R109*'QUANTITE DETENUES'!R109)</f>
        <v>0</v>
      </c>
      <c r="S108" s="300">
        <f>IF(R108="","",PRIX!S109*'QUANTITE DETENUES'!S109)</f>
        <v>0</v>
      </c>
      <c r="T108" s="14">
        <f>IF(A108="","",ARBITRAGES!M109)</f>
        <v>9261.448935</v>
      </c>
      <c r="U108" s="301">
        <f t="shared" si="1"/>
        <v>57734.626</v>
      </c>
      <c r="V108" s="302">
        <f t="shared" si="2"/>
        <v>0.839585885</v>
      </c>
      <c r="W108" s="288"/>
      <c r="X108" s="289"/>
      <c r="Y108" s="289"/>
      <c r="Z108" s="289"/>
      <c r="AA108" s="289"/>
      <c r="AB108" s="289"/>
      <c r="AC108" s="289"/>
      <c r="AD108" s="289"/>
      <c r="AE108" s="289"/>
      <c r="AF108" s="289"/>
      <c r="AG108" s="289"/>
      <c r="AH108" s="289"/>
      <c r="AI108" s="289"/>
      <c r="AJ108" s="289"/>
      <c r="AK108" s="289"/>
      <c r="AL108" s="289"/>
      <c r="AM108" s="289"/>
      <c r="AN108" s="289"/>
      <c r="AO108" s="289"/>
      <c r="AP108" s="289"/>
      <c r="AQ108" s="289"/>
      <c r="AR108" s="289"/>
      <c r="AS108" s="289"/>
      <c r="AT108" s="289"/>
      <c r="AU108" s="289"/>
      <c r="AV108" s="289"/>
      <c r="AW108" s="289"/>
      <c r="AX108" s="289"/>
      <c r="AY108" s="289"/>
      <c r="AZ108" s="289"/>
      <c r="BA108" s="289"/>
    </row>
    <row r="109">
      <c r="A109" s="290">
        <f>PRIX!A110</f>
        <v>45861</v>
      </c>
      <c r="B109" s="299">
        <f>IF(A109="","",PRIX!B110*'QUANTITE DETENUES'!B110)</f>
        <v>25264.59132</v>
      </c>
      <c r="C109" s="299">
        <f>IF(B109="","",PRIX!C110*'QUANTITE DETENUES'!C110)</f>
        <v>9049.098305</v>
      </c>
      <c r="D109" s="299">
        <f>IF(C109="","",PRIX!D110*'QUANTITE DETENUES'!D110)</f>
        <v>763.8521243</v>
      </c>
      <c r="E109" s="299">
        <f>IF(D109="","",PRIX!E110*'QUANTITE DETENUES'!E110)</f>
        <v>3364.448892</v>
      </c>
      <c r="F109" s="299">
        <f>IF(E109="","",PRIX!F110*'QUANTITE DETENUES'!F110)</f>
        <v>4198.449095</v>
      </c>
      <c r="G109" s="299">
        <f>IF(F109="","",PRIX!G110*'QUANTITE DETENUES'!G110)</f>
        <v>0</v>
      </c>
      <c r="H109" s="299">
        <f>IF(G109="","",PRIX!H110*'QUANTITE DETENUES'!H110)</f>
        <v>1781.41866</v>
      </c>
      <c r="I109" s="299">
        <f>IF(H109="","",PRIX!I110*'QUANTITE DETENUES'!I110)</f>
        <v>960.8434</v>
      </c>
      <c r="J109" s="299">
        <f>IF(I109="","",PRIX!J110*'QUANTITE DETENUES'!J110)</f>
        <v>28.7043064</v>
      </c>
      <c r="K109" s="299">
        <f>IF(J109="","",PRIX!K110*'QUANTITE DETENUES'!K110)</f>
        <v>341.8463922</v>
      </c>
      <c r="L109" s="299">
        <f>IF(K109="","",PRIX!L110*'QUANTITE DETENUES'!L110)</f>
        <v>0</v>
      </c>
      <c r="M109" s="299">
        <f>IF(L109="","",PRIX!M110*'QUANTITE DETENUES'!M110)</f>
        <v>2130.673004</v>
      </c>
      <c r="N109" s="299">
        <f>IF(M109="","",PRIX!N110*'QUANTITE DETENUES'!N110)</f>
        <v>0</v>
      </c>
      <c r="O109" s="299">
        <f>IF(N109="","",PRIX!O110*'QUANTITE DETENUES'!O110)</f>
        <v>746.8875025</v>
      </c>
      <c r="P109" s="299">
        <f>IF(O109="","",PRIX!P110*'QUANTITE DETENUES'!P110)</f>
        <v>0.00006651575157</v>
      </c>
      <c r="Q109" s="299">
        <f>IF(P109="","",PRIX!Q110*'QUANTITE DETENUES'!Q110)</f>
        <v>308.864</v>
      </c>
      <c r="R109" s="299">
        <f>IF(Q109="","",PRIX!R110*'QUANTITE DETENUES'!R110)</f>
        <v>0</v>
      </c>
      <c r="S109" s="300">
        <f>IF(R109="","",PRIX!S110*'QUANTITE DETENUES'!S110)</f>
        <v>0</v>
      </c>
      <c r="T109" s="14">
        <f>IF(A109="","",ARBITRAGES!M110)</f>
        <v>8811.448935</v>
      </c>
      <c r="U109" s="301">
        <f t="shared" si="1"/>
        <v>57751.126</v>
      </c>
      <c r="V109" s="302">
        <f t="shared" si="2"/>
        <v>0.8474237726</v>
      </c>
      <c r="W109" s="288"/>
      <c r="X109" s="289"/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89"/>
      <c r="AM109" s="289"/>
      <c r="AN109" s="289"/>
      <c r="AO109" s="289"/>
      <c r="AP109" s="289"/>
      <c r="AQ109" s="289"/>
      <c r="AR109" s="289"/>
      <c r="AS109" s="289"/>
      <c r="AT109" s="289"/>
      <c r="AU109" s="289"/>
      <c r="AV109" s="289"/>
      <c r="AW109" s="289"/>
      <c r="AX109" s="289"/>
      <c r="AY109" s="289"/>
      <c r="AZ109" s="289"/>
      <c r="BA109" s="289"/>
    </row>
    <row r="110">
      <c r="A110" s="290">
        <f>PRIX!A111</f>
        <v>45863</v>
      </c>
      <c r="B110" s="299">
        <f>IF(A110="","",PRIX!B111*'QUANTITE DETENUES'!B111)</f>
        <v>25795.63645</v>
      </c>
      <c r="C110" s="299">
        <f>IF(B110="","",PRIX!C111*'QUANTITE DETENUES'!C111)</f>
        <v>9297.018806</v>
      </c>
      <c r="D110" s="299">
        <f>IF(C110="","",PRIX!D111*'QUANTITE DETENUES'!D111)</f>
        <v>820.5250238</v>
      </c>
      <c r="E110" s="299">
        <f>IF(D110="","",PRIX!E111*'QUANTITE DETENUES'!E111)</f>
        <v>3932.199643</v>
      </c>
      <c r="F110" s="299">
        <f>IF(E110="","",PRIX!F111*'QUANTITE DETENUES'!F111)</f>
        <v>4407.55149</v>
      </c>
      <c r="G110" s="299">
        <f>IF(F110="","",PRIX!G111*'QUANTITE DETENUES'!G111)</f>
        <v>0</v>
      </c>
      <c r="H110" s="299">
        <f>IF(G110="","",PRIX!H111*'QUANTITE DETENUES'!H111)</f>
        <v>1831.45851</v>
      </c>
      <c r="I110" s="299">
        <f>IF(H110="","",PRIX!I111*'QUANTITE DETENUES'!I111)</f>
        <v>1002.6192</v>
      </c>
      <c r="J110" s="299">
        <f>IF(I110="","",PRIX!J111*'QUANTITE DETENUES'!J111)</f>
        <v>28.7043064</v>
      </c>
      <c r="K110" s="299">
        <f>IF(J110="","",PRIX!K111*'QUANTITE DETENUES'!K111)</f>
        <v>349.4712188</v>
      </c>
      <c r="L110" s="299">
        <f>IF(K110="","",PRIX!L111*'QUANTITE DETENUES'!L111)</f>
        <v>0</v>
      </c>
      <c r="M110" s="299">
        <f>IF(L110="","",PRIX!M111*'QUANTITE DETENUES'!M111)</f>
        <v>2055.311579</v>
      </c>
      <c r="N110" s="299">
        <f>IF(M110="","",PRIX!N111*'QUANTITE DETENUES'!N111)</f>
        <v>0</v>
      </c>
      <c r="O110" s="299">
        <f>IF(N110="","",PRIX!O111*'QUANTITE DETENUES'!O111)</f>
        <v>763.8622185</v>
      </c>
      <c r="P110" s="299">
        <f>IF(O110="","",PRIX!P111*'QUANTITE DETENUES'!P111)</f>
        <v>0.00006651575157</v>
      </c>
      <c r="Q110" s="299">
        <f>IF(P110="","",PRIX!Q111*'QUANTITE DETENUES'!Q111)</f>
        <v>308.864</v>
      </c>
      <c r="R110" s="299">
        <f>IF(Q110="","",PRIX!R111*'QUANTITE DETENUES'!R111)</f>
        <v>0</v>
      </c>
      <c r="S110" s="300">
        <f>IF(R110="","",PRIX!S111*'QUANTITE DETENUES'!S111)</f>
        <v>0</v>
      </c>
      <c r="T110" s="14">
        <f>IF(A110="","",ARBITRAGES!M111)</f>
        <v>8611.448935</v>
      </c>
      <c r="U110" s="301">
        <f t="shared" si="1"/>
        <v>59204.67145</v>
      </c>
      <c r="V110" s="302">
        <f t="shared" si="2"/>
        <v>0.8545478131</v>
      </c>
      <c r="W110" s="288"/>
      <c r="X110" s="289"/>
      <c r="Y110" s="289"/>
      <c r="Z110" s="289"/>
      <c r="AA110" s="289"/>
      <c r="AB110" s="289"/>
      <c r="AC110" s="289"/>
      <c r="AD110" s="289"/>
      <c r="AE110" s="289"/>
      <c r="AF110" s="289"/>
      <c r="AG110" s="289"/>
      <c r="AH110" s="289"/>
      <c r="AI110" s="289"/>
      <c r="AJ110" s="289"/>
      <c r="AK110" s="289"/>
      <c r="AL110" s="289"/>
      <c r="AM110" s="289"/>
      <c r="AN110" s="289"/>
      <c r="AO110" s="289"/>
      <c r="AP110" s="289"/>
      <c r="AQ110" s="289"/>
      <c r="AR110" s="289"/>
      <c r="AS110" s="289"/>
      <c r="AT110" s="289"/>
      <c r="AU110" s="289"/>
      <c r="AV110" s="289"/>
      <c r="AW110" s="289"/>
      <c r="AX110" s="289"/>
      <c r="AY110" s="289"/>
      <c r="AZ110" s="289"/>
      <c r="BA110" s="289"/>
    </row>
    <row r="111">
      <c r="A111" s="290">
        <f>PRIX!A112</f>
        <v>45867</v>
      </c>
      <c r="B111" s="299">
        <f>IF(A111="","",PRIX!B112*'QUANTITE DETENUES'!B112)</f>
        <v>26344.47978</v>
      </c>
      <c r="C111" s="299">
        <f>IF(B111="","",PRIX!C112*'QUANTITE DETENUES'!C112)</f>
        <v>9668.899558</v>
      </c>
      <c r="D111" s="299">
        <f>IF(C111="","",PRIX!D112*'QUANTITE DETENUES'!D112)</f>
        <v>887.0540798</v>
      </c>
      <c r="E111" s="299">
        <f>IF(D111="","",PRIX!E112*'QUANTITE DETENUES'!E112)</f>
        <v>3995.283059</v>
      </c>
      <c r="F111" s="299">
        <f>IF(E111="","",PRIX!F112*'QUANTITE DETENUES'!F112)</f>
        <v>4300.047897</v>
      </c>
      <c r="G111" s="299">
        <f>IF(F111="","",PRIX!G112*'QUANTITE DETENUES'!G112)</f>
        <v>0</v>
      </c>
      <c r="H111" s="299">
        <f>IF(G111="","",PRIX!H112*'QUANTITE DETENUES'!H112)</f>
        <v>1901.5143</v>
      </c>
      <c r="I111" s="299">
        <f>IF(H111="","",PRIX!I112*'QUANTITE DETENUES'!I112)</f>
        <v>1044.395</v>
      </c>
      <c r="J111" s="299">
        <f>IF(I111="","",PRIX!J112*'QUANTITE DETENUES'!J112)</f>
        <v>268.5902956</v>
      </c>
      <c r="K111" s="299">
        <f>IF(J111="","",PRIX!K112*'QUANTITE DETENUES'!K112)</f>
        <v>368.5332852</v>
      </c>
      <c r="L111" s="299">
        <f>IF(K111="","",PRIX!L112*'QUANTITE DETENUES'!L112)</f>
        <v>0</v>
      </c>
      <c r="M111" s="299">
        <f>IF(L111="","",PRIX!M112*'QUANTITE DETENUES'!M112)</f>
        <v>1918.290807</v>
      </c>
      <c r="N111" s="299">
        <f>IF(M111="","",PRIX!N112*'QUANTITE DETENUES'!N112)</f>
        <v>0</v>
      </c>
      <c r="O111" s="299">
        <f>IF(N111="","",PRIX!O112*'QUANTITE DETENUES'!O112)</f>
        <v>746.8875025</v>
      </c>
      <c r="P111" s="299">
        <f>IF(O111="","",PRIX!P112*'QUANTITE DETENUES'!P112)</f>
        <v>0.00005783978398</v>
      </c>
      <c r="Q111" s="299">
        <f>IF(P111="","",PRIX!Q112*'QUANTITE DETENUES'!Q112)</f>
        <v>277.495</v>
      </c>
      <c r="R111" s="299">
        <f>IF(Q111="","",PRIX!R112*'QUANTITE DETENUES'!R112)</f>
        <v>0</v>
      </c>
      <c r="S111" s="300">
        <f>IF(R111="","",PRIX!S112*'QUANTITE DETENUES'!S112)</f>
        <v>0</v>
      </c>
      <c r="T111" s="14">
        <f>IF(A111="","",ARBITRAGES!M112)</f>
        <v>8411.448935</v>
      </c>
      <c r="U111" s="301">
        <f t="shared" si="1"/>
        <v>60132.91956</v>
      </c>
      <c r="V111" s="302">
        <f t="shared" si="2"/>
        <v>0.8601190663</v>
      </c>
      <c r="W111" s="288"/>
      <c r="X111" s="289"/>
      <c r="Y111" s="289"/>
      <c r="Z111" s="289"/>
      <c r="AA111" s="289"/>
      <c r="AB111" s="289"/>
      <c r="AC111" s="289"/>
      <c r="AD111" s="289"/>
      <c r="AE111" s="289"/>
      <c r="AF111" s="289"/>
      <c r="AG111" s="289"/>
      <c r="AH111" s="289"/>
      <c r="AI111" s="289"/>
      <c r="AJ111" s="289"/>
      <c r="AK111" s="289"/>
      <c r="AL111" s="289"/>
      <c r="AM111" s="289"/>
      <c r="AN111" s="289"/>
      <c r="AO111" s="289"/>
      <c r="AP111" s="289"/>
      <c r="AQ111" s="289"/>
      <c r="AR111" s="289"/>
      <c r="AS111" s="289"/>
      <c r="AT111" s="289"/>
      <c r="AU111" s="289"/>
      <c r="AV111" s="289"/>
      <c r="AW111" s="289"/>
      <c r="AX111" s="289"/>
      <c r="AY111" s="289"/>
      <c r="AZ111" s="289"/>
      <c r="BA111" s="289"/>
    </row>
    <row r="112">
      <c r="A112" s="290">
        <f>PRIX!A113</f>
        <v>45868</v>
      </c>
      <c r="B112" s="299">
        <f>IF(A112="","",PRIX!B113*'QUANTITE DETENUES'!B113)</f>
        <v>26015.17378</v>
      </c>
      <c r="C112" s="299">
        <f>IF(B112="","",PRIX!C113*'QUANTITE DETENUES'!C113)</f>
        <v>9420.979057</v>
      </c>
      <c r="D112" s="299">
        <f>IF(C112="","",PRIX!D113*'QUANTITE DETENUES'!D113)</f>
        <v>850.0934931</v>
      </c>
      <c r="E112" s="299">
        <f>IF(D112="","",PRIX!E113*'QUANTITE DETENUES'!E113)</f>
        <v>3785.005004</v>
      </c>
      <c r="F112" s="299">
        <f>IF(E112="","",PRIX!F113*'QUANTITE DETENUES'!F113)</f>
        <v>4381.445502</v>
      </c>
      <c r="G112" s="299">
        <f>IF(F112="","",PRIX!G113*'QUANTITE DETENUES'!G113)</f>
        <v>0</v>
      </c>
      <c r="H112" s="299">
        <f>IF(G112="","",PRIX!H113*'QUANTITE DETENUES'!H113)</f>
        <v>1851.47445</v>
      </c>
      <c r="I112" s="299">
        <f>IF(H112="","",PRIX!I113*'QUANTITE DETENUES'!I113)</f>
        <v>960.8434</v>
      </c>
      <c r="J112" s="299">
        <f>IF(I112="","",PRIX!J113*'QUANTITE DETENUES'!J113)</f>
        <v>268.5902956</v>
      </c>
      <c r="K112" s="299">
        <f>IF(J112="","",PRIX!K113*'QUANTITE DETENUES'!K113)</f>
        <v>362.1792631</v>
      </c>
      <c r="L112" s="299">
        <f>IF(K112="","",PRIX!L113*'QUANTITE DETENUES'!L113)</f>
        <v>0</v>
      </c>
      <c r="M112" s="299">
        <f>IF(L112="","",PRIX!M113*'QUANTITE DETENUES'!M113)</f>
        <v>1918.290807</v>
      </c>
      <c r="N112" s="299">
        <f>IF(M112="","",PRIX!N113*'QUANTITE DETENUES'!N113)</f>
        <v>0</v>
      </c>
      <c r="O112" s="299">
        <f>IF(N112="","",PRIX!O113*'QUANTITE DETENUES'!O113)</f>
        <v>746.8875025</v>
      </c>
      <c r="P112" s="299">
        <f>IF(O112="","",PRIX!P113*'QUANTITE DETENUES'!P113)</f>
        <v>0.00005783978398</v>
      </c>
      <c r="Q112" s="299">
        <f>IF(P112="","",PRIX!Q113*'QUANTITE DETENUES'!Q113)</f>
        <v>277.495</v>
      </c>
      <c r="R112" s="299">
        <f>IF(Q112="","",PRIX!R113*'QUANTITE DETENUES'!R113)</f>
        <v>0</v>
      </c>
      <c r="S112" s="300">
        <f>IF(R112="","",PRIX!S113*'QUANTITE DETENUES'!S113)</f>
        <v>0</v>
      </c>
      <c r="T112" s="14">
        <f>IF(A112="","",ARBITRAGES!M113)</f>
        <v>8103.348935</v>
      </c>
      <c r="U112" s="301">
        <f t="shared" si="1"/>
        <v>58941.80655</v>
      </c>
      <c r="V112" s="302">
        <f t="shared" si="2"/>
        <v>0.8625195017</v>
      </c>
      <c r="W112" s="288"/>
      <c r="X112" s="289"/>
      <c r="Y112" s="289"/>
      <c r="Z112" s="289"/>
      <c r="AA112" s="289"/>
      <c r="AB112" s="289"/>
      <c r="AC112" s="289"/>
      <c r="AD112" s="289"/>
      <c r="AE112" s="289"/>
      <c r="AF112" s="289"/>
      <c r="AG112" s="289"/>
      <c r="AH112" s="289"/>
      <c r="AI112" s="289"/>
      <c r="AJ112" s="289"/>
      <c r="AK112" s="289"/>
      <c r="AL112" s="289"/>
      <c r="AM112" s="289"/>
      <c r="AN112" s="289"/>
      <c r="AO112" s="289"/>
      <c r="AP112" s="289"/>
      <c r="AQ112" s="289"/>
      <c r="AR112" s="289"/>
      <c r="AS112" s="289"/>
      <c r="AT112" s="289"/>
      <c r="AU112" s="289"/>
      <c r="AV112" s="289"/>
      <c r="AW112" s="289"/>
      <c r="AX112" s="289"/>
      <c r="AY112" s="289"/>
      <c r="AZ112" s="289"/>
      <c r="BA112" s="289"/>
    </row>
    <row r="113">
      <c r="A113" s="290">
        <f>PRIX!A114</f>
        <v>45869</v>
      </c>
      <c r="B113" s="299">
        <f>IF(A113="","",PRIX!B114*'QUANTITE DETENUES'!B114)</f>
        <v>25356.56179</v>
      </c>
      <c r="C113" s="299">
        <f>IF(B113="","",PRIX!C114*'QUANTITE DETENUES'!C114)</f>
        <v>9111.07843</v>
      </c>
      <c r="D113" s="299">
        <f>IF(C113="","",PRIX!D114*'QUANTITE DETENUES'!D114)</f>
        <v>850.0934931</v>
      </c>
      <c r="E113" s="299">
        <f>IF(D113="","",PRIX!E114*'QUANTITE DETENUES'!E114)</f>
        <v>3574.726948</v>
      </c>
      <c r="F113" s="299">
        <f>IF(E113="","",PRIX!F114*'QUANTITE DETENUES'!F114)</f>
        <v>4035.54191</v>
      </c>
      <c r="G113" s="299">
        <f>IF(F113="","",PRIX!G114*'QUANTITE DETENUES'!G114)</f>
        <v>0</v>
      </c>
      <c r="H113" s="299">
        <f>IF(G113="","",PRIX!H114*'QUANTITE DETENUES'!H114)</f>
        <v>1671.33099</v>
      </c>
      <c r="I113" s="299">
        <f>IF(H113="","",PRIX!I114*'QUANTITE DETENUES'!I114)</f>
        <v>856.4039</v>
      </c>
      <c r="J113" s="299">
        <f>IF(I113="","",PRIX!J114*'QUANTITE DETENUES'!J114)</f>
        <v>256.28845</v>
      </c>
      <c r="K113" s="299">
        <f>IF(J113="","",PRIX!K114*'QUANTITE DETENUES'!K114)</f>
        <v>343.1171966</v>
      </c>
      <c r="L113" s="299">
        <f>IF(K113="","",PRIX!L114*'QUANTITE DETENUES'!L114)</f>
        <v>0</v>
      </c>
      <c r="M113" s="299">
        <f>IF(L113="","",PRIX!M114*'QUANTITE DETENUES'!M114)</f>
        <v>1828.070035</v>
      </c>
      <c r="N113" s="299">
        <f>IF(M113="","",PRIX!N114*'QUANTITE DETENUES'!N114)</f>
        <v>0</v>
      </c>
      <c r="O113" s="299">
        <f>IF(N113="","",PRIX!O114*'QUANTITE DETENUES'!O114)</f>
        <v>678.9886386</v>
      </c>
      <c r="P113" s="299">
        <f>IF(O113="","",PRIX!P114*'QUANTITE DETENUES'!P114)</f>
        <v>0.00004916381638</v>
      </c>
      <c r="Q113" s="299">
        <f>IF(P113="","",PRIX!Q114*'QUANTITE DETENUES'!Q114)</f>
        <v>255.778</v>
      </c>
      <c r="R113" s="299">
        <f>IF(Q113="","",PRIX!R114*'QUANTITE DETENUES'!R114)</f>
        <v>0</v>
      </c>
      <c r="S113" s="300">
        <f>IF(R113="","",PRIX!S114*'QUANTITE DETENUES'!S114)</f>
        <v>0</v>
      </c>
      <c r="T113" s="14">
        <f>IF(A113="","",ARBITRAGES!M114)</f>
        <v>8054.748935</v>
      </c>
      <c r="U113" s="301">
        <f t="shared" si="1"/>
        <v>56872.72876</v>
      </c>
      <c r="V113" s="302">
        <f t="shared" si="2"/>
        <v>0.858372385</v>
      </c>
      <c r="W113" s="288"/>
      <c r="X113" s="289"/>
      <c r="Y113" s="289"/>
      <c r="Z113" s="289"/>
      <c r="AA113" s="289"/>
      <c r="AB113" s="289"/>
      <c r="AC113" s="289"/>
      <c r="AD113" s="289"/>
      <c r="AE113" s="289"/>
      <c r="AF113" s="289"/>
      <c r="AG113" s="289"/>
      <c r="AH113" s="289"/>
      <c r="AI113" s="289"/>
      <c r="AJ113" s="289"/>
      <c r="AK113" s="289"/>
      <c r="AL113" s="289"/>
      <c r="AM113" s="289"/>
      <c r="AN113" s="289"/>
      <c r="AO113" s="289"/>
      <c r="AP113" s="289"/>
      <c r="AQ113" s="289"/>
      <c r="AR113" s="289"/>
      <c r="AS113" s="289"/>
      <c r="AT113" s="289"/>
      <c r="AU113" s="289"/>
      <c r="AV113" s="289"/>
      <c r="AW113" s="289"/>
      <c r="AX113" s="289"/>
      <c r="AY113" s="289"/>
      <c r="AZ113" s="289"/>
      <c r="BA113" s="289"/>
    </row>
    <row r="114">
      <c r="A114" s="290">
        <f>PRIX!A115</f>
        <v>45869</v>
      </c>
      <c r="B114" s="299">
        <f>IF(A114="","",PRIX!B115*'QUANTITE DETENUES'!B115)</f>
        <v>25356.56179</v>
      </c>
      <c r="C114" s="299">
        <f>IF(B114="","",PRIX!C115*'QUANTITE DETENUES'!C115)</f>
        <v>9111.07843</v>
      </c>
      <c r="D114" s="299">
        <f>IF(C114="","",PRIX!D115*'QUANTITE DETENUES'!D115)</f>
        <v>850.0934931</v>
      </c>
      <c r="E114" s="299">
        <f>IF(D114="","",PRIX!E115*'QUANTITE DETENUES'!E115)</f>
        <v>3574.726948</v>
      </c>
      <c r="F114" s="299">
        <f>IF(E114="","",PRIX!F115*'QUANTITE DETENUES'!F115)</f>
        <v>4131.96691</v>
      </c>
      <c r="G114" s="299">
        <f>IF(F114="","",PRIX!G115*'QUANTITE DETENUES'!G115)</f>
        <v>0</v>
      </c>
      <c r="H114" s="299">
        <f>IF(G114="","",PRIX!H115*'QUANTITE DETENUES'!H115)</f>
        <v>1671.33099</v>
      </c>
      <c r="I114" s="299">
        <f>IF(H114="","",PRIX!I115*'QUANTITE DETENUES'!I115)</f>
        <v>856.4039</v>
      </c>
      <c r="J114" s="299">
        <f>IF(I114="","",PRIX!J115*'QUANTITE DETENUES'!J115)</f>
        <v>256.28845</v>
      </c>
      <c r="K114" s="299">
        <f>IF(J114="","",PRIX!K115*'QUANTITE DETENUES'!K115)</f>
        <v>343.1171966</v>
      </c>
      <c r="L114" s="299">
        <f>IF(K114="","",PRIX!L115*'QUANTITE DETENUES'!L115)</f>
        <v>0</v>
      </c>
      <c r="M114" s="299">
        <f>IF(L114="","",PRIX!M115*'QUANTITE DETENUES'!M115)</f>
        <v>1828.070035</v>
      </c>
      <c r="N114" s="299">
        <f>IF(M114="","",PRIX!N115*'QUANTITE DETENUES'!N115)</f>
        <v>0</v>
      </c>
      <c r="O114" s="299">
        <f>IF(N114="","",PRIX!O115*'QUANTITE DETENUES'!O115)</f>
        <v>678.9886386</v>
      </c>
      <c r="P114" s="299">
        <f>IF(O114="","",PRIX!P115*'QUANTITE DETENUES'!P115)</f>
        <v>0.00004916381638</v>
      </c>
      <c r="Q114" s="299">
        <f>IF(P114="","",PRIX!Q115*'QUANTITE DETENUES'!Q115)</f>
        <v>255.778</v>
      </c>
      <c r="R114" s="299">
        <f>IF(Q114="","",PRIX!R115*'QUANTITE DETENUES'!R115)</f>
        <v>0</v>
      </c>
      <c r="S114" s="300">
        <f>IF(R114="","",PRIX!S115*'QUANTITE DETENUES'!S115)</f>
        <v>0</v>
      </c>
      <c r="T114" s="14">
        <f>IF(A114="","",ARBITRAGES!M115)</f>
        <v>7954.848935</v>
      </c>
      <c r="U114" s="301">
        <f t="shared" si="1"/>
        <v>56869.25376</v>
      </c>
      <c r="V114" s="302">
        <f t="shared" si="2"/>
        <v>0.8601203918</v>
      </c>
      <c r="W114" s="288"/>
      <c r="X114" s="289"/>
      <c r="Y114" s="289"/>
      <c r="Z114" s="289"/>
      <c r="AA114" s="289"/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289"/>
      <c r="AM114" s="289"/>
      <c r="AN114" s="289"/>
      <c r="AO114" s="289"/>
      <c r="AP114" s="289"/>
      <c r="AQ114" s="289"/>
      <c r="AR114" s="289"/>
      <c r="AS114" s="289"/>
      <c r="AT114" s="289"/>
      <c r="AU114" s="289"/>
      <c r="AV114" s="289"/>
      <c r="AW114" s="289"/>
      <c r="AX114" s="289"/>
      <c r="AY114" s="289"/>
      <c r="AZ114" s="289"/>
      <c r="BA114" s="289"/>
    </row>
    <row r="115">
      <c r="A115" s="290">
        <f>PRIX!A116</f>
        <v>45869</v>
      </c>
      <c r="B115" s="299">
        <f>IF(A115="","",PRIX!B116*'QUANTITE DETENUES'!B116)</f>
        <v>25356.56179</v>
      </c>
      <c r="C115" s="299">
        <f>IF(B115="","",PRIX!C116*'QUANTITE DETENUES'!C116)</f>
        <v>9111.07843</v>
      </c>
      <c r="D115" s="299">
        <f>IF(C115="","",PRIX!D116*'QUANTITE DETENUES'!D116)</f>
        <v>850.0934931</v>
      </c>
      <c r="E115" s="299">
        <f>IF(D115="","",PRIX!E116*'QUANTITE DETENUES'!E116)</f>
        <v>3574.726948</v>
      </c>
      <c r="F115" s="299">
        <f>IF(E115="","",PRIX!F116*'QUANTITE DETENUES'!F116)</f>
        <v>4131.96691</v>
      </c>
      <c r="G115" s="299">
        <f>IF(F115="","",PRIX!G116*'QUANTITE DETENUES'!G116)</f>
        <v>0</v>
      </c>
      <c r="H115" s="299">
        <f>IF(G115="","",PRIX!H116*'QUANTITE DETENUES'!H116)</f>
        <v>1671.33099</v>
      </c>
      <c r="I115" s="299">
        <f>IF(H115="","",PRIX!I116*'QUANTITE DETENUES'!I116)</f>
        <v>856.4039</v>
      </c>
      <c r="J115" s="299">
        <f>IF(I115="","",PRIX!J116*'QUANTITE DETENUES'!J116)</f>
        <v>256.28845</v>
      </c>
      <c r="K115" s="299">
        <f>IF(J115="","",PRIX!K116*'QUANTITE DETENUES'!K116)</f>
        <v>343.1171966</v>
      </c>
      <c r="L115" s="299">
        <f>IF(K115="","",PRIX!L116*'QUANTITE DETENUES'!L116)</f>
        <v>0</v>
      </c>
      <c r="M115" s="299">
        <f>IF(L115="","",PRIX!M116*'QUANTITE DETENUES'!M116)</f>
        <v>1976.270035</v>
      </c>
      <c r="N115" s="299">
        <f>IF(M115="","",PRIX!N116*'QUANTITE DETENUES'!N116)</f>
        <v>0</v>
      </c>
      <c r="O115" s="299">
        <f>IF(N115="","",PRIX!O116*'QUANTITE DETENUES'!O116)</f>
        <v>678.9886386</v>
      </c>
      <c r="P115" s="299">
        <f>IF(O115="","",PRIX!P116*'QUANTITE DETENUES'!P116)</f>
        <v>0.00004916381638</v>
      </c>
      <c r="Q115" s="299">
        <f>IF(P115="","",PRIX!Q116*'QUANTITE DETENUES'!Q116)</f>
        <v>255.778</v>
      </c>
      <c r="R115" s="299">
        <f>IF(Q115="","",PRIX!R116*'QUANTITE DETENUES'!R116)</f>
        <v>0</v>
      </c>
      <c r="S115" s="300">
        <f>IF(R115="","",PRIX!S116*'QUANTITE DETENUES'!S116)</f>
        <v>0</v>
      </c>
      <c r="T115" s="14">
        <f>IF(A115="","",ARBITRAGES!M116)</f>
        <v>7806.648935</v>
      </c>
      <c r="U115" s="301">
        <f t="shared" si="1"/>
        <v>56869.25376</v>
      </c>
      <c r="V115" s="302">
        <f t="shared" si="2"/>
        <v>0.8627263694</v>
      </c>
      <c r="W115" s="288"/>
      <c r="X115" s="289"/>
      <c r="Y115" s="289"/>
      <c r="Z115" s="289"/>
      <c r="AA115" s="289"/>
      <c r="AB115" s="289"/>
      <c r="AC115" s="289"/>
      <c r="AD115" s="289"/>
      <c r="AE115" s="289"/>
      <c r="AF115" s="289"/>
      <c r="AG115" s="289"/>
      <c r="AH115" s="289"/>
      <c r="AI115" s="289"/>
      <c r="AJ115" s="289"/>
      <c r="AK115" s="289"/>
      <c r="AL115" s="289"/>
      <c r="AM115" s="289"/>
      <c r="AN115" s="289"/>
      <c r="AO115" s="289"/>
      <c r="AP115" s="289"/>
      <c r="AQ115" s="289"/>
      <c r="AR115" s="289"/>
      <c r="AS115" s="289"/>
      <c r="AT115" s="289"/>
      <c r="AU115" s="289"/>
      <c r="AV115" s="289"/>
      <c r="AW115" s="289"/>
      <c r="AX115" s="289"/>
      <c r="AY115" s="289"/>
      <c r="AZ115" s="289"/>
      <c r="BA115" s="289"/>
    </row>
    <row r="116">
      <c r="A116" s="290">
        <f>PRIX!A117</f>
        <v>45870</v>
      </c>
      <c r="B116" s="299">
        <f>IF(A116="","",PRIX!B117*'QUANTITE DETENUES'!B117)</f>
        <v>25659.18187</v>
      </c>
      <c r="C116" s="299">
        <f>IF(B116="","",PRIX!C117*'QUANTITE DETENUES'!C117)</f>
        <v>9111.07843</v>
      </c>
      <c r="D116" s="299">
        <f>IF(C116="","",PRIX!D117*'QUANTITE DETENUES'!D117)</f>
        <v>850.0934931</v>
      </c>
      <c r="E116" s="299">
        <f>IF(D116="","",PRIX!E117*'QUANTITE DETENUES'!E117)</f>
        <v>3574.726948</v>
      </c>
      <c r="F116" s="299">
        <f>IF(E116="","",PRIX!F117*'QUANTITE DETENUES'!F117)</f>
        <v>4131.96691</v>
      </c>
      <c r="G116" s="299">
        <f>IF(F116="","",PRIX!G117*'QUANTITE DETENUES'!G117)</f>
        <v>0</v>
      </c>
      <c r="H116" s="299">
        <f>IF(G116="","",PRIX!H117*'QUANTITE DETENUES'!H117)</f>
        <v>1671.33099</v>
      </c>
      <c r="I116" s="299">
        <f>IF(H116="","",PRIX!I117*'QUANTITE DETENUES'!I117)</f>
        <v>856.4039</v>
      </c>
      <c r="J116" s="299">
        <f>IF(I116="","",PRIX!J117*'QUANTITE DETENUES'!J117)</f>
        <v>256.28845</v>
      </c>
      <c r="K116" s="299">
        <f>IF(J116="","",PRIX!K117*'QUANTITE DETENUES'!K117)</f>
        <v>343.1171966</v>
      </c>
      <c r="L116" s="299">
        <f>IF(K116="","",PRIX!L117*'QUANTITE DETENUES'!L117)</f>
        <v>0</v>
      </c>
      <c r="M116" s="299">
        <f>IF(L116="","",PRIX!M117*'QUANTITE DETENUES'!M117)</f>
        <v>1976.270035</v>
      </c>
      <c r="N116" s="299">
        <f>IF(M116="","",PRIX!N117*'QUANTITE DETENUES'!N117)</f>
        <v>0</v>
      </c>
      <c r="O116" s="299">
        <f>IF(N116="","",PRIX!O117*'QUANTITE DETENUES'!O117)</f>
        <v>678.9886386</v>
      </c>
      <c r="P116" s="299">
        <f>IF(O116="","",PRIX!P117*'QUANTITE DETENUES'!P117)</f>
        <v>0.00004916381638</v>
      </c>
      <c r="Q116" s="299">
        <f>IF(P116="","",PRIX!Q117*'QUANTITE DETENUES'!Q117)</f>
        <v>255.778</v>
      </c>
      <c r="R116" s="299">
        <f>IF(Q116="","",PRIX!R117*'QUANTITE DETENUES'!R117)</f>
        <v>0</v>
      </c>
      <c r="S116" s="300">
        <f>IF(R116="","",PRIX!S117*'QUANTITE DETENUES'!S117)</f>
        <v>0</v>
      </c>
      <c r="T116" s="14">
        <f>IF(A116="","",ARBITRAGES!M117)</f>
        <v>7506.648935</v>
      </c>
      <c r="U116" s="301">
        <f t="shared" si="1"/>
        <v>56871.87385</v>
      </c>
      <c r="V116" s="302">
        <f t="shared" si="2"/>
        <v>0.8680077088</v>
      </c>
      <c r="W116" s="288"/>
      <c r="X116" s="289"/>
      <c r="Y116" s="289"/>
      <c r="Z116" s="289"/>
      <c r="AA116" s="289"/>
      <c r="AB116" s="289"/>
      <c r="AC116" s="289"/>
      <c r="AD116" s="289"/>
      <c r="AE116" s="289"/>
      <c r="AF116" s="289"/>
      <c r="AG116" s="289"/>
      <c r="AH116" s="289"/>
      <c r="AI116" s="289"/>
      <c r="AJ116" s="289"/>
      <c r="AK116" s="289"/>
      <c r="AL116" s="289"/>
      <c r="AM116" s="289"/>
      <c r="AN116" s="289"/>
      <c r="AO116" s="289"/>
      <c r="AP116" s="289"/>
      <c r="AQ116" s="289"/>
      <c r="AR116" s="289"/>
      <c r="AS116" s="289"/>
      <c r="AT116" s="289"/>
      <c r="AU116" s="289"/>
      <c r="AV116" s="289"/>
      <c r="AW116" s="289"/>
      <c r="AX116" s="289"/>
      <c r="AY116" s="289"/>
      <c r="AZ116" s="289"/>
      <c r="BA116" s="289"/>
    </row>
    <row r="117">
      <c r="A117" s="290">
        <f>PRIX!A118</f>
        <v>45871</v>
      </c>
      <c r="B117" s="299">
        <f>IF(A117="","",PRIX!B118*'QUANTITE DETENUES'!B118)</f>
        <v>25325.94575</v>
      </c>
      <c r="C117" s="299">
        <f>IF(B117="","",PRIX!C118*'QUANTITE DETENUES'!C118)</f>
        <v>9049.098305</v>
      </c>
      <c r="D117" s="299">
        <f>IF(C117="","",PRIX!D118*'QUANTITE DETENUES'!D118)</f>
        <v>788.4925154</v>
      </c>
      <c r="E117" s="299">
        <f>IF(D117="","",PRIX!E118*'QUANTITE DETENUES'!E118)</f>
        <v>3890.926948</v>
      </c>
      <c r="F117" s="299">
        <f>IF(E117="","",PRIX!F118*'QUANTITE DETENUES'!F118)</f>
        <v>4072.938811</v>
      </c>
      <c r="G117" s="299">
        <f>IF(F117="","",PRIX!G118*'QUANTITE DETENUES'!G118)</f>
        <v>0</v>
      </c>
      <c r="H117" s="299">
        <f>IF(G117="","",PRIX!H118*'QUANTITE DETENUES'!H118)</f>
        <v>1651.31505</v>
      </c>
      <c r="I117" s="299">
        <f>IF(H117="","",PRIX!I118*'QUANTITE DETENUES'!I118)</f>
        <v>835.516</v>
      </c>
      <c r="J117" s="299">
        <f>IF(I117="","",PRIX!J118*'QUANTITE DETENUES'!J118)</f>
        <v>250.1375272</v>
      </c>
      <c r="K117" s="299">
        <f>IF(J117="","",PRIX!K118*'QUANTITE DETENUES'!K118)</f>
        <v>330.4091523</v>
      </c>
      <c r="L117" s="299">
        <f>IF(K117="","",PRIX!L118*'QUANTITE DETENUES'!L118)</f>
        <v>0</v>
      </c>
      <c r="M117" s="299">
        <f>IF(L117="","",PRIX!M118*'QUANTITE DETENUES'!M118)</f>
        <v>1976.270035</v>
      </c>
      <c r="N117" s="299">
        <f>IF(M117="","",PRIX!N118*'QUANTITE DETENUES'!N118)</f>
        <v>0</v>
      </c>
      <c r="O117" s="299">
        <f>IF(N117="","",PRIX!O118*'QUANTITE DETENUES'!O118)</f>
        <v>662.0139227</v>
      </c>
      <c r="P117" s="299">
        <f>IF(O117="","",PRIX!P118*'QUANTITE DETENUES'!P118)</f>
        <v>0.00004916381638</v>
      </c>
      <c r="Q117" s="299">
        <f>IF(P117="","",PRIX!Q118*'QUANTITE DETENUES'!Q118)</f>
        <v>255.778</v>
      </c>
      <c r="R117" s="299">
        <f>IF(Q117="","",PRIX!R118*'QUANTITE DETENUES'!R118)</f>
        <v>0</v>
      </c>
      <c r="S117" s="300">
        <f>IF(R117="","",PRIX!S118*'QUANTITE DETENUES'!S118)</f>
        <v>0</v>
      </c>
      <c r="T117" s="14">
        <f>IF(A117="","",ARBITRAGES!M118)</f>
        <v>7207.188935</v>
      </c>
      <c r="U117" s="301">
        <f t="shared" si="1"/>
        <v>56296.031</v>
      </c>
      <c r="V117" s="302">
        <f t="shared" si="2"/>
        <v>0.8719769617</v>
      </c>
      <c r="W117" s="288"/>
      <c r="X117" s="289"/>
      <c r="Y117" s="289"/>
      <c r="Z117" s="289"/>
      <c r="AA117" s="289"/>
      <c r="AB117" s="289"/>
      <c r="AC117" s="289"/>
      <c r="AD117" s="289"/>
      <c r="AE117" s="289"/>
      <c r="AF117" s="289"/>
      <c r="AG117" s="289"/>
      <c r="AH117" s="289"/>
      <c r="AI117" s="289"/>
      <c r="AJ117" s="289"/>
      <c r="AK117" s="289"/>
      <c r="AL117" s="289"/>
      <c r="AM117" s="289"/>
      <c r="AN117" s="289"/>
      <c r="AO117" s="289"/>
      <c r="AP117" s="289"/>
      <c r="AQ117" s="289"/>
      <c r="AR117" s="289"/>
      <c r="AS117" s="289"/>
      <c r="AT117" s="289"/>
      <c r="AU117" s="289"/>
      <c r="AV117" s="289"/>
      <c r="AW117" s="289"/>
      <c r="AX117" s="289"/>
      <c r="AY117" s="289"/>
      <c r="AZ117" s="289"/>
      <c r="BA117" s="289"/>
    </row>
    <row r="118">
      <c r="A118" s="290">
        <f>PRIX!A119</f>
        <v>45875</v>
      </c>
      <c r="B118" s="299">
        <f>IF(A118="","",PRIX!B119*'QUANTITE DETENUES'!B119)</f>
        <v>25325.94575</v>
      </c>
      <c r="C118" s="299">
        <f>IF(B118="","",PRIX!C119*'QUANTITE DETENUES'!C119)</f>
        <v>9049.098305</v>
      </c>
      <c r="D118" s="299">
        <f>IF(C118="","",PRIX!D119*'QUANTITE DETENUES'!D119)</f>
        <v>788.4925154</v>
      </c>
      <c r="E118" s="299">
        <f>IF(D118="","",PRIX!E119*'QUANTITE DETENUES'!E119)</f>
        <v>3890.926948</v>
      </c>
      <c r="F118" s="299">
        <f>IF(E118="","",PRIX!F119*'QUANTITE DETENUES'!F119)</f>
        <v>4072.938811</v>
      </c>
      <c r="G118" s="299">
        <f>IF(F118="","",PRIX!G119*'QUANTITE DETENUES'!G119)</f>
        <v>0</v>
      </c>
      <c r="H118" s="299">
        <f>IF(G118="","",PRIX!H119*'QUANTITE DETENUES'!H119)</f>
        <v>1651.31505</v>
      </c>
      <c r="I118" s="299">
        <f>IF(H118="","",PRIX!I119*'QUANTITE DETENUES'!I119)</f>
        <v>835.516</v>
      </c>
      <c r="J118" s="299">
        <f>IF(I118="","",PRIX!J119*'QUANTITE DETENUES'!J119)</f>
        <v>250.1375272</v>
      </c>
      <c r="K118" s="299">
        <f>IF(J118="","",PRIX!K119*'QUANTITE DETENUES'!K119)</f>
        <v>330.4091523</v>
      </c>
      <c r="L118" s="299">
        <f>IF(K118="","",PRIX!L119*'QUANTITE DETENUES'!L119)</f>
        <v>0</v>
      </c>
      <c r="M118" s="299">
        <f>IF(L118="","",PRIX!M119*'QUANTITE DETENUES'!M119)</f>
        <v>2376.670035</v>
      </c>
      <c r="N118" s="299">
        <f>IF(M118="","",PRIX!N119*'QUANTITE DETENUES'!N119)</f>
        <v>0</v>
      </c>
      <c r="O118" s="299">
        <f>IF(N118="","",PRIX!O119*'QUANTITE DETENUES'!O119)</f>
        <v>662.0139227</v>
      </c>
      <c r="P118" s="299">
        <f>IF(O118="","",PRIX!P119*'QUANTITE DETENUES'!P119)</f>
        <v>0.00004916381638</v>
      </c>
      <c r="Q118" s="299">
        <f>IF(P118="","",PRIX!Q119*'QUANTITE DETENUES'!Q119)</f>
        <v>255.778</v>
      </c>
      <c r="R118" s="299">
        <f>IF(Q118="","",PRIX!R119*'QUANTITE DETENUES'!R119)</f>
        <v>0</v>
      </c>
      <c r="S118" s="300">
        <f>IF(R118="","",PRIX!S119*'QUANTITE DETENUES'!S119)</f>
        <v>0</v>
      </c>
      <c r="T118" s="14">
        <f>IF(A118="","",ARBITRAGES!M119)</f>
        <v>7072.728935</v>
      </c>
      <c r="U118" s="301">
        <f t="shared" si="1"/>
        <v>56561.971</v>
      </c>
      <c r="V118" s="302">
        <f t="shared" si="2"/>
        <v>0.874956109</v>
      </c>
      <c r="W118" s="288"/>
      <c r="X118" s="289"/>
      <c r="Y118" s="289"/>
      <c r="Z118" s="289"/>
      <c r="AA118" s="289"/>
      <c r="AB118" s="289"/>
      <c r="AC118" s="289"/>
      <c r="AD118" s="289"/>
      <c r="AE118" s="289"/>
      <c r="AF118" s="289"/>
      <c r="AG118" s="289"/>
      <c r="AH118" s="289"/>
      <c r="AI118" s="289"/>
      <c r="AJ118" s="289"/>
      <c r="AK118" s="289"/>
      <c r="AL118" s="289"/>
      <c r="AM118" s="289"/>
      <c r="AN118" s="289"/>
      <c r="AO118" s="289"/>
      <c r="AP118" s="289"/>
      <c r="AQ118" s="289"/>
      <c r="AR118" s="289"/>
      <c r="AS118" s="289"/>
      <c r="AT118" s="289"/>
      <c r="AU118" s="289"/>
      <c r="AV118" s="289"/>
      <c r="AW118" s="289"/>
      <c r="AX118" s="289"/>
      <c r="AY118" s="289"/>
      <c r="AZ118" s="289"/>
      <c r="BA118" s="289"/>
    </row>
    <row r="119">
      <c r="A119" s="290">
        <f>PRIX!A120</f>
        <v>45876</v>
      </c>
      <c r="B119" s="299">
        <f>IF(A119="","",PRIX!B120*'QUANTITE DETENUES'!B120)</f>
        <v>25246.73284</v>
      </c>
      <c r="C119" s="299">
        <f>IF(B119="","",PRIX!C120*'QUANTITE DETENUES'!C120)</f>
        <v>10412.66106</v>
      </c>
      <c r="D119" s="299">
        <f>IF(C119="","",PRIX!D120*'QUANTITE DETENUES'!D120)</f>
        <v>813.1329065</v>
      </c>
      <c r="E119" s="299">
        <f>IF(D119="","",PRIX!E120*'QUANTITE DETENUES'!E120)</f>
        <v>4119.805004</v>
      </c>
      <c r="F119" s="299">
        <f>IF(E119="","",PRIX!F120*'QUANTITE DETENUES'!F120)</f>
        <v>4545.163601</v>
      </c>
      <c r="G119" s="299">
        <f>IF(F119="","",PRIX!G120*'QUANTITE DETENUES'!G120)</f>
        <v>0</v>
      </c>
      <c r="H119" s="299">
        <f>IF(G119="","",PRIX!H120*'QUANTITE DETENUES'!H120)</f>
        <v>2151.71355</v>
      </c>
      <c r="I119" s="299">
        <f>IF(H119="","",PRIX!I120*'QUANTITE DETENUES'!I120)</f>
        <v>960.8434</v>
      </c>
      <c r="J119" s="299">
        <f>IF(I119="","",PRIX!J120*'QUANTITE DETENUES'!J120)</f>
        <v>276.791526</v>
      </c>
      <c r="K119" s="299">
        <f>IF(J119="","",PRIX!K120*'QUANTITE DETENUES'!K120)</f>
        <v>355.8252409</v>
      </c>
      <c r="L119" s="299">
        <f>IF(K119="","",PRIX!L120*'QUANTITE DETENUES'!L120)</f>
        <v>0</v>
      </c>
      <c r="M119" s="299">
        <f>IF(L119="","",PRIX!M120*'QUANTITE DETENUES'!M120)</f>
        <v>2742.311579</v>
      </c>
      <c r="N119" s="299">
        <f>IF(M119="","",PRIX!N120*'QUANTITE DETENUES'!N120)</f>
        <v>0</v>
      </c>
      <c r="O119" s="299">
        <f>IF(N119="","",PRIX!O120*'QUANTITE DETENUES'!O120)</f>
        <v>916.6346622</v>
      </c>
      <c r="P119" s="299">
        <f>IF(O119="","",PRIX!P120*'QUANTITE DETENUES'!P120)</f>
        <v>0.00005205580558</v>
      </c>
      <c r="Q119" s="299">
        <f>IF(P119="","",PRIX!Q120*'QUANTITE DETENUES'!Q120)</f>
        <v>289.56</v>
      </c>
      <c r="R119" s="299">
        <f>IF(Q119="","",PRIX!R120*'QUANTITE DETENUES'!R120)</f>
        <v>0</v>
      </c>
      <c r="S119" s="300">
        <f>IF(R119="","",PRIX!S120*'QUANTITE DETENUES'!S120)</f>
        <v>0</v>
      </c>
      <c r="T119" s="14">
        <f>IF(A119="","",ARBITRAGES!M120)</f>
        <v>8237.728935</v>
      </c>
      <c r="U119" s="301">
        <f t="shared" si="1"/>
        <v>61068.90436</v>
      </c>
      <c r="V119" s="302">
        <f t="shared" si="2"/>
        <v>0.865107635</v>
      </c>
      <c r="W119" s="288"/>
      <c r="X119" s="289"/>
      <c r="Y119" s="289"/>
      <c r="Z119" s="289"/>
      <c r="AA119" s="289"/>
      <c r="AB119" s="289"/>
      <c r="AC119" s="289"/>
      <c r="AD119" s="289"/>
      <c r="AE119" s="289"/>
      <c r="AF119" s="289"/>
      <c r="AG119" s="289"/>
      <c r="AH119" s="289"/>
      <c r="AI119" s="289"/>
      <c r="AJ119" s="289"/>
      <c r="AK119" s="289"/>
      <c r="AL119" s="289"/>
      <c r="AM119" s="289"/>
      <c r="AN119" s="289"/>
      <c r="AO119" s="289"/>
      <c r="AP119" s="289"/>
      <c r="AQ119" s="289"/>
      <c r="AR119" s="289"/>
      <c r="AS119" s="289"/>
      <c r="AT119" s="289"/>
      <c r="AU119" s="289"/>
      <c r="AV119" s="289"/>
      <c r="AW119" s="289"/>
      <c r="AX119" s="289"/>
      <c r="AY119" s="289"/>
      <c r="AZ119" s="289"/>
      <c r="BA119" s="289"/>
    </row>
    <row r="120">
      <c r="A120" s="290">
        <f>PRIX!A121</f>
        <v>45876</v>
      </c>
      <c r="B120" s="299">
        <f>IF(A120="","",PRIX!B121*'QUANTITE DETENUES'!B121)</f>
        <v>25246.73284</v>
      </c>
      <c r="C120" s="299">
        <f>IF(B120="","",PRIX!C121*'QUANTITE DETENUES'!C121)</f>
        <v>9152.661063</v>
      </c>
      <c r="D120" s="299">
        <f>IF(C120="","",PRIX!D121*'QUANTITE DETENUES'!D121)</f>
        <v>813.1329065</v>
      </c>
      <c r="E120" s="299">
        <f>IF(D120="","",PRIX!E121*'QUANTITE DETENUES'!E121)</f>
        <v>4119.805004</v>
      </c>
      <c r="F120" s="299">
        <f>IF(E120="","",PRIX!F121*'QUANTITE DETENUES'!F121)</f>
        <v>4545.163601</v>
      </c>
      <c r="G120" s="299">
        <f>IF(F120="","",PRIX!G121*'QUANTITE DETENUES'!G121)</f>
        <v>0</v>
      </c>
      <c r="H120" s="299">
        <f>IF(G120="","",PRIX!H121*'QUANTITE DETENUES'!H121)</f>
        <v>2151.71355</v>
      </c>
      <c r="I120" s="299">
        <f>IF(H120="","",PRIX!I121*'QUANTITE DETENUES'!I121)</f>
        <v>960.8434</v>
      </c>
      <c r="J120" s="299">
        <f>IF(I120="","",PRIX!J121*'QUANTITE DETENUES'!J121)</f>
        <v>276.791526</v>
      </c>
      <c r="K120" s="299">
        <f>IF(J120="","",PRIX!K121*'QUANTITE DETENUES'!K121)</f>
        <v>355.8252409</v>
      </c>
      <c r="L120" s="299">
        <f>IF(K120="","",PRIX!L121*'QUANTITE DETENUES'!L121)</f>
        <v>0</v>
      </c>
      <c r="M120" s="299">
        <f>IF(L120="","",PRIX!M121*'QUANTITE DETENUES'!M121)</f>
        <v>2742.311579</v>
      </c>
      <c r="N120" s="299">
        <f>IF(M120="","",PRIX!N121*'QUANTITE DETENUES'!N121)</f>
        <v>0</v>
      </c>
      <c r="O120" s="299">
        <f>IF(N120="","",PRIX!O121*'QUANTITE DETENUES'!O121)</f>
        <v>916.6346622</v>
      </c>
      <c r="P120" s="299">
        <f>IF(O120="","",PRIX!P121*'QUANTITE DETENUES'!P121)</f>
        <v>0.00005205580558</v>
      </c>
      <c r="Q120" s="299">
        <f>IF(P120="","",PRIX!Q121*'QUANTITE DETENUES'!Q121)</f>
        <v>289.56</v>
      </c>
      <c r="R120" s="299">
        <f>IF(Q120="","",PRIX!R121*'QUANTITE DETENUES'!R121)</f>
        <v>0</v>
      </c>
      <c r="S120" s="300">
        <f>IF(R120="","",PRIX!S121*'QUANTITE DETENUES'!S121)</f>
        <v>0</v>
      </c>
      <c r="T120" s="14">
        <f>IF(A120="","",ARBITRAGES!M121)</f>
        <v>9392.728935</v>
      </c>
      <c r="U120" s="301">
        <f t="shared" si="1"/>
        <v>60963.90436</v>
      </c>
      <c r="V120" s="302">
        <f t="shared" si="2"/>
        <v>0.8459296688</v>
      </c>
      <c r="W120" s="288"/>
      <c r="X120" s="289"/>
      <c r="Y120" s="289"/>
      <c r="Z120" s="289"/>
      <c r="AA120" s="289"/>
      <c r="AB120" s="289"/>
      <c r="AC120" s="289"/>
      <c r="AD120" s="289"/>
      <c r="AE120" s="289"/>
      <c r="AF120" s="289"/>
      <c r="AG120" s="289"/>
      <c r="AH120" s="289"/>
      <c r="AI120" s="289"/>
      <c r="AJ120" s="289"/>
      <c r="AK120" s="289"/>
      <c r="AL120" s="289"/>
      <c r="AM120" s="289"/>
      <c r="AN120" s="289"/>
      <c r="AO120" s="289"/>
      <c r="AP120" s="289"/>
      <c r="AQ120" s="289"/>
      <c r="AR120" s="289"/>
      <c r="AS120" s="289"/>
      <c r="AT120" s="289"/>
      <c r="AU120" s="289"/>
      <c r="AV120" s="289"/>
      <c r="AW120" s="289"/>
      <c r="AX120" s="289"/>
      <c r="AY120" s="289"/>
      <c r="AZ120" s="289"/>
      <c r="BA120" s="289"/>
    </row>
    <row r="121">
      <c r="A121" s="290">
        <f>PRIX!A122</f>
        <v>45877</v>
      </c>
      <c r="B121" s="299">
        <f>IF(A121="","",PRIX!B122*'QUANTITE DETENUES'!B122)</f>
        <v>25246.73284</v>
      </c>
      <c r="C121" s="299">
        <f>IF(B121="","",PRIX!C122*'QUANTITE DETENUES'!C122)</f>
        <v>7892.661063</v>
      </c>
      <c r="D121" s="299">
        <f>IF(C121="","",PRIX!D122*'QUANTITE DETENUES'!D122)</f>
        <v>813.1329065</v>
      </c>
      <c r="E121" s="299">
        <f>IF(D121="","",PRIX!E122*'QUANTITE DETENUES'!E122)</f>
        <v>4119.805004</v>
      </c>
      <c r="F121" s="299">
        <f>IF(E121="","",PRIX!F122*'QUANTITE DETENUES'!F122)</f>
        <v>4545.163601</v>
      </c>
      <c r="G121" s="299">
        <f>IF(F121="","",PRIX!G122*'QUANTITE DETENUES'!G122)</f>
        <v>0</v>
      </c>
      <c r="H121" s="299">
        <f>IF(G121="","",PRIX!H122*'QUANTITE DETENUES'!H122)</f>
        <v>2151.71355</v>
      </c>
      <c r="I121" s="299">
        <f>IF(H121="","",PRIX!I122*'QUANTITE DETENUES'!I122)</f>
        <v>960.8434</v>
      </c>
      <c r="J121" s="299">
        <f>IF(I121="","",PRIX!J122*'QUANTITE DETENUES'!J122)</f>
        <v>276.791526</v>
      </c>
      <c r="K121" s="299">
        <f>IF(J121="","",PRIX!K122*'QUANTITE DETENUES'!K122)</f>
        <v>355.8252409</v>
      </c>
      <c r="L121" s="299">
        <f>IF(K121="","",PRIX!L122*'QUANTITE DETENUES'!L122)</f>
        <v>0</v>
      </c>
      <c r="M121" s="299">
        <f>IF(L121="","",PRIX!M122*'QUANTITE DETENUES'!M122)</f>
        <v>2742.311579</v>
      </c>
      <c r="N121" s="299">
        <f>IF(M121="","",PRIX!N122*'QUANTITE DETENUES'!N122)</f>
        <v>0</v>
      </c>
      <c r="O121" s="299">
        <f>IF(N121="","",PRIX!O122*'QUANTITE DETENUES'!O122)</f>
        <v>916.6346622</v>
      </c>
      <c r="P121" s="299">
        <f>IF(O121="","",PRIX!P122*'QUANTITE DETENUES'!P122)</f>
        <v>0.00005205580558</v>
      </c>
      <c r="Q121" s="299">
        <f>IF(P121="","",PRIX!Q122*'QUANTITE DETENUES'!Q122)</f>
        <v>289.56</v>
      </c>
      <c r="R121" s="299">
        <f>IF(Q121="","",PRIX!R122*'QUANTITE DETENUES'!R122)</f>
        <v>0</v>
      </c>
      <c r="S121" s="300">
        <f>IF(R121="","",PRIX!S122*'QUANTITE DETENUES'!S122)</f>
        <v>0</v>
      </c>
      <c r="T121" s="14">
        <f>IF(A121="","",ARBITRAGES!M122)</f>
        <v>10577.72893</v>
      </c>
      <c r="U121" s="301">
        <f t="shared" si="1"/>
        <v>60888.90436</v>
      </c>
      <c r="V121" s="302">
        <f t="shared" si="2"/>
        <v>0.8262782186</v>
      </c>
      <c r="W121" s="288"/>
      <c r="X121" s="289"/>
      <c r="Y121" s="289"/>
      <c r="Z121" s="289"/>
      <c r="AA121" s="289"/>
      <c r="AB121" s="289"/>
      <c r="AC121" s="289"/>
      <c r="AD121" s="289"/>
      <c r="AE121" s="289"/>
      <c r="AF121" s="289"/>
      <c r="AG121" s="289"/>
      <c r="AH121" s="289"/>
      <c r="AI121" s="289"/>
      <c r="AJ121" s="289"/>
      <c r="AK121" s="289"/>
      <c r="AL121" s="289"/>
      <c r="AM121" s="289"/>
      <c r="AN121" s="289"/>
      <c r="AO121" s="289"/>
      <c r="AP121" s="289"/>
      <c r="AQ121" s="289"/>
      <c r="AR121" s="289"/>
      <c r="AS121" s="289"/>
      <c r="AT121" s="289"/>
      <c r="AU121" s="289"/>
      <c r="AV121" s="289"/>
      <c r="AW121" s="289"/>
      <c r="AX121" s="289"/>
      <c r="AY121" s="289"/>
      <c r="AZ121" s="289"/>
      <c r="BA121" s="289"/>
    </row>
    <row r="122">
      <c r="A122" s="290">
        <f>PRIX!A123</f>
        <v>45877</v>
      </c>
      <c r="B122" s="299">
        <f>IF(A122="","",PRIX!B123*'QUANTITE DETENUES'!B123)</f>
        <v>25246.73284</v>
      </c>
      <c r="C122" s="299">
        <f>IF(B122="","",PRIX!C123*'QUANTITE DETENUES'!C123)</f>
        <v>7598.658795</v>
      </c>
      <c r="D122" s="299">
        <f>IF(C122="","",PRIX!D123*'QUANTITE DETENUES'!D123)</f>
        <v>813.1329065</v>
      </c>
      <c r="E122" s="299">
        <f>IF(D122="","",PRIX!E123*'QUANTITE DETENUES'!E123)</f>
        <v>4119.805004</v>
      </c>
      <c r="F122" s="299">
        <f>IF(E122="","",PRIX!F123*'QUANTITE DETENUES'!F123)</f>
        <v>4545.163601</v>
      </c>
      <c r="G122" s="299">
        <f>IF(F122="","",PRIX!G123*'QUANTITE DETENUES'!G123)</f>
        <v>0</v>
      </c>
      <c r="H122" s="299">
        <f>IF(G122="","",PRIX!H123*'QUANTITE DETENUES'!H123)</f>
        <v>2151.71355</v>
      </c>
      <c r="I122" s="299">
        <f>IF(H122="","",PRIX!I123*'QUANTITE DETENUES'!I123)</f>
        <v>960.8434</v>
      </c>
      <c r="J122" s="299">
        <f>IF(I122="","",PRIX!J123*'QUANTITE DETENUES'!J123)</f>
        <v>276.791526</v>
      </c>
      <c r="K122" s="299">
        <f>IF(J122="","",PRIX!K123*'QUANTITE DETENUES'!K123)</f>
        <v>355.8252409</v>
      </c>
      <c r="L122" s="299">
        <f>IF(K122="","",PRIX!L123*'QUANTITE DETENUES'!L123)</f>
        <v>0</v>
      </c>
      <c r="M122" s="299">
        <f>IF(L122="","",PRIX!M123*'QUANTITE DETENUES'!M123)</f>
        <v>2742.311579</v>
      </c>
      <c r="N122" s="299">
        <f>IF(M122="","",PRIX!N123*'QUANTITE DETENUES'!N123)</f>
        <v>0</v>
      </c>
      <c r="O122" s="299">
        <f>IF(N122="","",PRIX!O123*'QUANTITE DETENUES'!O123)</f>
        <v>916.6346622</v>
      </c>
      <c r="P122" s="299">
        <f>IF(O122="","",PRIX!P123*'QUANTITE DETENUES'!P123)</f>
        <v>0.00005205580558</v>
      </c>
      <c r="Q122" s="299">
        <f>IF(P122="","",PRIX!Q123*'QUANTITE DETENUES'!Q123)</f>
        <v>289.56</v>
      </c>
      <c r="R122" s="299">
        <f>IF(Q122="","",PRIX!R123*'QUANTITE DETENUES'!R123)</f>
        <v>0</v>
      </c>
      <c r="S122" s="300">
        <f>IF(R122="","",PRIX!S123*'QUANTITE DETENUES'!S123)</f>
        <v>0</v>
      </c>
      <c r="T122" s="14">
        <f>IF(A122="","",ARBITRAGES!M123)</f>
        <v>10856.68109</v>
      </c>
      <c r="U122" s="301">
        <f t="shared" si="1"/>
        <v>60873.85424</v>
      </c>
      <c r="V122" s="302">
        <f t="shared" si="2"/>
        <v>0.8216528061</v>
      </c>
      <c r="W122" s="288"/>
      <c r="X122" s="289"/>
      <c r="Y122" s="289"/>
      <c r="Z122" s="289"/>
      <c r="AA122" s="289"/>
      <c r="AB122" s="289"/>
      <c r="AC122" s="289"/>
      <c r="AD122" s="289"/>
      <c r="AE122" s="289"/>
      <c r="AF122" s="289"/>
      <c r="AG122" s="289"/>
      <c r="AH122" s="289"/>
      <c r="AI122" s="289"/>
      <c r="AJ122" s="289"/>
      <c r="AK122" s="289"/>
      <c r="AL122" s="289"/>
      <c r="AM122" s="289"/>
      <c r="AN122" s="289"/>
      <c r="AO122" s="289"/>
      <c r="AP122" s="289"/>
      <c r="AQ122" s="289"/>
      <c r="AR122" s="289"/>
      <c r="AS122" s="289"/>
      <c r="AT122" s="289"/>
      <c r="AU122" s="289"/>
      <c r="AV122" s="289"/>
      <c r="AW122" s="289"/>
      <c r="AX122" s="289"/>
      <c r="AY122" s="289"/>
      <c r="AZ122" s="289"/>
      <c r="BA122" s="289"/>
    </row>
    <row r="123">
      <c r="A123" s="290">
        <f>PRIX!A124</f>
        <v>45878</v>
      </c>
      <c r="B123" s="299">
        <f>IF(A123="","",PRIX!B124*'QUANTITE DETENUES'!B124)</f>
        <v>23818.7257</v>
      </c>
      <c r="C123" s="299">
        <f>IF(B123="","",PRIX!C124*'QUANTITE DETENUES'!C124)</f>
        <v>7598.658795</v>
      </c>
      <c r="D123" s="299">
        <f>IF(C123="","",PRIX!D124*'QUANTITE DETENUES'!D124)</f>
        <v>813.1329065</v>
      </c>
      <c r="E123" s="299">
        <f>IF(D123="","",PRIX!E124*'QUANTITE DETENUES'!E124)</f>
        <v>4119.805004</v>
      </c>
      <c r="F123" s="299">
        <f>IF(E123="","",PRIX!F124*'QUANTITE DETENUES'!F124)</f>
        <v>4545.163601</v>
      </c>
      <c r="G123" s="299">
        <f>IF(F123="","",PRIX!G124*'QUANTITE DETENUES'!G124)</f>
        <v>0</v>
      </c>
      <c r="H123" s="299">
        <f>IF(G123="","",PRIX!H124*'QUANTITE DETENUES'!H124)</f>
        <v>2151.71355</v>
      </c>
      <c r="I123" s="299">
        <f>IF(H123="","",PRIX!I124*'QUANTITE DETENUES'!I124)</f>
        <v>960.8434</v>
      </c>
      <c r="J123" s="299">
        <f>IF(I123="","",PRIX!J124*'QUANTITE DETENUES'!J124)</f>
        <v>276.791526</v>
      </c>
      <c r="K123" s="299">
        <f>IF(J123="","",PRIX!K124*'QUANTITE DETENUES'!K124)</f>
        <v>355.8252409</v>
      </c>
      <c r="L123" s="299">
        <f>IF(K123="","",PRIX!L124*'QUANTITE DETENUES'!L124)</f>
        <v>0</v>
      </c>
      <c r="M123" s="299">
        <f>IF(L123="","",PRIX!M124*'QUANTITE DETENUES'!M124)</f>
        <v>2742.311579</v>
      </c>
      <c r="N123" s="299">
        <f>IF(M123="","",PRIX!N124*'QUANTITE DETENUES'!N124)</f>
        <v>0</v>
      </c>
      <c r="O123" s="299">
        <f>IF(N123="","",PRIX!O124*'QUANTITE DETENUES'!O124)</f>
        <v>916.6346622</v>
      </c>
      <c r="P123" s="299">
        <f>IF(O123="","",PRIX!P124*'QUANTITE DETENUES'!P124)</f>
        <v>0.00005205580558</v>
      </c>
      <c r="Q123" s="299">
        <f>IF(P123="","",PRIX!Q124*'QUANTITE DETENUES'!Q124)</f>
        <v>289.56</v>
      </c>
      <c r="R123" s="299">
        <f>IF(Q123="","",PRIX!R124*'QUANTITE DETENUES'!R124)</f>
        <v>0</v>
      </c>
      <c r="S123" s="300">
        <f>IF(R123="","",PRIX!S124*'QUANTITE DETENUES'!S124)</f>
        <v>0</v>
      </c>
      <c r="T123" s="14">
        <f>IF(A123="","",ARBITRAGES!M124)</f>
        <v>12269.68815</v>
      </c>
      <c r="U123" s="301">
        <f t="shared" si="1"/>
        <v>60858.85417</v>
      </c>
      <c r="V123" s="302">
        <f t="shared" si="2"/>
        <v>0.7983910752</v>
      </c>
      <c r="W123" s="288"/>
      <c r="X123" s="289"/>
      <c r="Y123" s="289"/>
      <c r="Z123" s="289"/>
      <c r="AA123" s="289"/>
      <c r="AB123" s="289"/>
      <c r="AC123" s="289"/>
      <c r="AD123" s="289"/>
      <c r="AE123" s="289"/>
      <c r="AF123" s="289"/>
      <c r="AG123" s="289"/>
      <c r="AH123" s="289"/>
      <c r="AI123" s="289"/>
      <c r="AJ123" s="289"/>
      <c r="AK123" s="289"/>
      <c r="AL123" s="289"/>
      <c r="AM123" s="289"/>
      <c r="AN123" s="289"/>
      <c r="AO123" s="289"/>
      <c r="AP123" s="289"/>
      <c r="AQ123" s="289"/>
      <c r="AR123" s="289"/>
      <c r="AS123" s="289"/>
      <c r="AT123" s="289"/>
      <c r="AU123" s="289"/>
      <c r="AV123" s="289"/>
      <c r="AW123" s="289"/>
      <c r="AX123" s="289"/>
      <c r="AY123" s="289"/>
      <c r="AZ123" s="289"/>
      <c r="BA123" s="289"/>
    </row>
    <row r="124">
      <c r="A124" s="290">
        <f>PRIX!A125</f>
        <v>45879</v>
      </c>
      <c r="B124" s="299">
        <f>IF(A124="","",PRIX!B125*'QUANTITE DETENUES'!B125)</f>
        <v>22628.7257</v>
      </c>
      <c r="C124" s="299">
        <f>IF(B124="","",PRIX!C125*'QUANTITE DETENUES'!C125)</f>
        <v>7598.658795</v>
      </c>
      <c r="D124" s="299">
        <f>IF(C124="","",PRIX!D125*'QUANTITE DETENUES'!D125)</f>
        <v>813.1329065</v>
      </c>
      <c r="E124" s="299">
        <f>IF(D124="","",PRIX!E125*'QUANTITE DETENUES'!E125)</f>
        <v>4119.805004</v>
      </c>
      <c r="F124" s="299">
        <f>IF(E124="","",PRIX!F125*'QUANTITE DETENUES'!F125)</f>
        <v>4545.163601</v>
      </c>
      <c r="G124" s="299">
        <f>IF(F124="","",PRIX!G125*'QUANTITE DETENUES'!G125)</f>
        <v>0</v>
      </c>
      <c r="H124" s="299">
        <f>IF(G124="","",PRIX!H125*'QUANTITE DETENUES'!H125)</f>
        <v>2151.71355</v>
      </c>
      <c r="I124" s="299">
        <f>IF(H124="","",PRIX!I125*'QUANTITE DETENUES'!I125)</f>
        <v>960.8434</v>
      </c>
      <c r="J124" s="299">
        <f>IF(I124="","",PRIX!J125*'QUANTITE DETENUES'!J125)</f>
        <v>276.791526</v>
      </c>
      <c r="K124" s="299">
        <f>IF(J124="","",PRIX!K125*'QUANTITE DETENUES'!K125)</f>
        <v>355.8252409</v>
      </c>
      <c r="L124" s="299">
        <f>IF(K124="","",PRIX!L125*'QUANTITE DETENUES'!L125)</f>
        <v>0</v>
      </c>
      <c r="M124" s="299">
        <f>IF(L124="","",PRIX!M125*'QUANTITE DETENUES'!M125)</f>
        <v>2742.311579</v>
      </c>
      <c r="N124" s="299">
        <f>IF(M124="","",PRIX!N125*'QUANTITE DETENUES'!N125)</f>
        <v>0</v>
      </c>
      <c r="O124" s="299">
        <f>IF(N124="","",PRIX!O125*'QUANTITE DETENUES'!O125)</f>
        <v>916.6346622</v>
      </c>
      <c r="P124" s="299">
        <f>IF(O124="","",PRIX!P125*'QUANTITE DETENUES'!P125)</f>
        <v>0.00005205580558</v>
      </c>
      <c r="Q124" s="299">
        <f>IF(P124="","",PRIX!Q125*'QUANTITE DETENUES'!Q125)</f>
        <v>289.56</v>
      </c>
      <c r="R124" s="299">
        <f>IF(Q124="","",PRIX!R125*'QUANTITE DETENUES'!R125)</f>
        <v>0</v>
      </c>
      <c r="S124" s="300">
        <f>IF(R124="","",PRIX!S125*'QUANTITE DETENUES'!S125)</f>
        <v>0</v>
      </c>
      <c r="T124" s="14">
        <f>IF(A124="","",ARBITRAGES!M125)</f>
        <v>13458.18815</v>
      </c>
      <c r="U124" s="301">
        <f t="shared" si="1"/>
        <v>60857.35417</v>
      </c>
      <c r="V124" s="302">
        <f t="shared" si="2"/>
        <v>0.7788568311</v>
      </c>
      <c r="W124" s="288"/>
      <c r="X124" s="289"/>
      <c r="Y124" s="289"/>
      <c r="Z124" s="289"/>
      <c r="AA124" s="289"/>
      <c r="AB124" s="289"/>
      <c r="AC124" s="289"/>
      <c r="AD124" s="289"/>
      <c r="AE124" s="289"/>
      <c r="AF124" s="289"/>
      <c r="AG124" s="289"/>
      <c r="AH124" s="289"/>
      <c r="AI124" s="289"/>
      <c r="AJ124" s="289"/>
      <c r="AK124" s="289"/>
      <c r="AL124" s="289"/>
      <c r="AM124" s="289"/>
      <c r="AN124" s="289"/>
      <c r="AO124" s="289"/>
      <c r="AP124" s="289"/>
      <c r="AQ124" s="289"/>
      <c r="AR124" s="289"/>
      <c r="AS124" s="289"/>
      <c r="AT124" s="289"/>
      <c r="AU124" s="289"/>
      <c r="AV124" s="289"/>
      <c r="AW124" s="289"/>
      <c r="AX124" s="289"/>
      <c r="AY124" s="289"/>
      <c r="AZ124" s="289"/>
      <c r="BA124" s="289"/>
    </row>
    <row r="125">
      <c r="A125" s="290">
        <f>PRIX!A126</f>
        <v>45880</v>
      </c>
      <c r="B125" s="299">
        <f>IF(A125="","",PRIX!B126*'QUANTITE DETENUES'!B126)</f>
        <v>21369.19778</v>
      </c>
      <c r="C125" s="299">
        <f>IF(B125="","",PRIX!C126*'QUANTITE DETENUES'!C126)</f>
        <v>7779.579242</v>
      </c>
      <c r="D125" s="299">
        <f>IF(C125="","",PRIX!D126*'QUANTITE DETENUES'!D126)</f>
        <v>822.9890629</v>
      </c>
      <c r="E125" s="299">
        <f>IF(D125="","",PRIX!E126*'QUANTITE DETENUES'!E126)</f>
        <v>4234.244031</v>
      </c>
      <c r="F125" s="299">
        <f>IF(E125="","",PRIX!F126*'QUANTITE DETENUES'!F126)</f>
        <v>4545.163601</v>
      </c>
      <c r="G125" s="299">
        <f>IF(F125="","",PRIX!G126*'QUANTITE DETENUES'!G126)</f>
        <v>0</v>
      </c>
      <c r="H125" s="299">
        <f>IF(G125="","",PRIX!H126*'QUANTITE DETENUES'!H126)</f>
        <v>2201.7534</v>
      </c>
      <c r="I125" s="299">
        <f>IF(H125="","",PRIX!I126*'QUANTITE DETENUES'!I126)</f>
        <v>973.37614</v>
      </c>
      <c r="J125" s="299">
        <f>IF(I125="","",PRIX!J126*'QUANTITE DETENUES'!J126)</f>
        <v>276.791526</v>
      </c>
      <c r="K125" s="299">
        <f>IF(J125="","",PRIX!K126*'QUANTITE DETENUES'!K126)</f>
        <v>362.1792631</v>
      </c>
      <c r="L125" s="299">
        <f>IF(K125="","",PRIX!L126*'QUANTITE DETENUES'!L126)</f>
        <v>0</v>
      </c>
      <c r="M125" s="299">
        <f>IF(L125="","",PRIX!M126*'QUANTITE DETENUES'!M126)</f>
        <v>2833.721965</v>
      </c>
      <c r="N125" s="299">
        <f>IF(M125="","",PRIX!N126*'QUANTITE DETENUES'!N126)</f>
        <v>0</v>
      </c>
      <c r="O125" s="299">
        <f>IF(N125="","",PRIX!O126*'QUANTITE DETENUES'!O126)</f>
        <v>916.6346622</v>
      </c>
      <c r="P125" s="299">
        <f>IF(O125="","",PRIX!P126*'QUANTITE DETENUES'!P126)</f>
        <v>0.00005494779478</v>
      </c>
      <c r="Q125" s="299">
        <f>IF(P125="","",PRIX!Q126*'QUANTITE DETENUES'!Q126)</f>
        <v>289.56</v>
      </c>
      <c r="R125" s="299">
        <f>IF(Q125="","",PRIX!R126*'QUANTITE DETENUES'!R126)</f>
        <v>0</v>
      </c>
      <c r="S125" s="300">
        <f>IF(R125="","",PRIX!S126*'QUANTITE DETENUES'!S126)</f>
        <v>0</v>
      </c>
      <c r="T125" s="14">
        <f>IF(A125="","",ARBITRAGES!M126)</f>
        <v>15258.18815</v>
      </c>
      <c r="U125" s="301">
        <f t="shared" si="1"/>
        <v>61863.37888</v>
      </c>
      <c r="V125" s="302">
        <f t="shared" si="2"/>
        <v>0.7533566962</v>
      </c>
      <c r="W125" s="288"/>
      <c r="X125" s="289"/>
      <c r="Y125" s="289"/>
      <c r="Z125" s="289"/>
      <c r="AA125" s="289"/>
      <c r="AB125" s="289"/>
      <c r="AC125" s="289"/>
      <c r="AD125" s="289"/>
      <c r="AE125" s="289"/>
      <c r="AF125" s="289"/>
      <c r="AG125" s="289"/>
      <c r="AH125" s="289"/>
      <c r="AI125" s="289"/>
      <c r="AJ125" s="289"/>
      <c r="AK125" s="289"/>
      <c r="AL125" s="289"/>
      <c r="AM125" s="289"/>
      <c r="AN125" s="289"/>
      <c r="AO125" s="289"/>
      <c r="AP125" s="289"/>
      <c r="AQ125" s="289"/>
      <c r="AR125" s="289"/>
      <c r="AS125" s="289"/>
      <c r="AT125" s="289"/>
      <c r="AU125" s="289"/>
      <c r="AV125" s="289"/>
      <c r="AW125" s="289"/>
      <c r="AX125" s="289"/>
      <c r="AY125" s="289"/>
      <c r="AZ125" s="289"/>
      <c r="BA125" s="289"/>
    </row>
    <row r="126">
      <c r="A126" s="290">
        <f>PRIX!A127</f>
        <v>45880</v>
      </c>
      <c r="B126" s="299">
        <f>IF(A126="","",PRIX!B127*'QUANTITE DETENUES'!B127)</f>
        <v>21552.19778</v>
      </c>
      <c r="C126" s="299">
        <f>IF(B126="","",PRIX!C127*'QUANTITE DETENUES'!C127)</f>
        <v>7779.579242</v>
      </c>
      <c r="D126" s="299">
        <f>IF(C126="","",PRIX!D127*'QUANTITE DETENUES'!D127)</f>
        <v>822.9890629</v>
      </c>
      <c r="E126" s="299">
        <f>IF(D126="","",PRIX!E127*'QUANTITE DETENUES'!E127)</f>
        <v>4234.244031</v>
      </c>
      <c r="F126" s="299">
        <f>IF(E126="","",PRIX!F127*'QUANTITE DETENUES'!F127)</f>
        <v>4545.163601</v>
      </c>
      <c r="G126" s="299">
        <f>IF(F126="","",PRIX!G127*'QUANTITE DETENUES'!G127)</f>
        <v>0</v>
      </c>
      <c r="H126" s="299">
        <f>IF(G126="","",PRIX!H127*'QUANTITE DETENUES'!H127)</f>
        <v>2201.7534</v>
      </c>
      <c r="I126" s="299">
        <f>IF(H126="","",PRIX!I127*'QUANTITE DETENUES'!I127)</f>
        <v>973.37614</v>
      </c>
      <c r="J126" s="299">
        <f>IF(I126="","",PRIX!J127*'QUANTITE DETENUES'!J127)</f>
        <v>276.791526</v>
      </c>
      <c r="K126" s="299">
        <f>IF(J126="","",PRIX!K127*'QUANTITE DETENUES'!K127)</f>
        <v>362.1792631</v>
      </c>
      <c r="L126" s="299">
        <f>IF(K126="","",PRIX!L127*'QUANTITE DETENUES'!L127)</f>
        <v>0</v>
      </c>
      <c r="M126" s="299">
        <f>IF(L126="","",PRIX!M127*'QUANTITE DETENUES'!M127)</f>
        <v>2833.721965</v>
      </c>
      <c r="N126" s="299">
        <f>IF(M126="","",PRIX!N127*'QUANTITE DETENUES'!N127)</f>
        <v>0</v>
      </c>
      <c r="O126" s="299">
        <f>IF(N126="","",PRIX!O127*'QUANTITE DETENUES'!O127)</f>
        <v>916.6346622</v>
      </c>
      <c r="P126" s="299">
        <f>IF(O126="","",PRIX!P127*'QUANTITE DETENUES'!P127)</f>
        <v>0.00005494779478</v>
      </c>
      <c r="Q126" s="299">
        <f>IF(P126="","",PRIX!Q127*'QUANTITE DETENUES'!Q127)</f>
        <v>289.56</v>
      </c>
      <c r="R126" s="299">
        <f>IF(Q126="","",PRIX!R127*'QUANTITE DETENUES'!R127)</f>
        <v>0</v>
      </c>
      <c r="S126" s="300">
        <f>IF(R126="","",PRIX!S127*'QUANTITE DETENUES'!S127)</f>
        <v>0</v>
      </c>
      <c r="T126" s="14">
        <f>IF(A126="","",ARBITRAGES!M127)</f>
        <v>15078.18815</v>
      </c>
      <c r="U126" s="301">
        <f t="shared" si="1"/>
        <v>61866.37888</v>
      </c>
      <c r="V126" s="302">
        <f t="shared" si="2"/>
        <v>0.7562781526</v>
      </c>
      <c r="W126" s="288"/>
      <c r="X126" s="289"/>
      <c r="Y126" s="289"/>
      <c r="Z126" s="289"/>
      <c r="AA126" s="289"/>
      <c r="AB126" s="289"/>
      <c r="AC126" s="289"/>
      <c r="AD126" s="289"/>
      <c r="AE126" s="289"/>
      <c r="AF126" s="289"/>
      <c r="AG126" s="289"/>
      <c r="AH126" s="289"/>
      <c r="AI126" s="289"/>
      <c r="AJ126" s="289"/>
      <c r="AK126" s="289"/>
      <c r="AL126" s="289"/>
      <c r="AM126" s="289"/>
      <c r="AN126" s="289"/>
      <c r="AO126" s="289"/>
      <c r="AP126" s="289"/>
      <c r="AQ126" s="289"/>
      <c r="AR126" s="289"/>
      <c r="AS126" s="289"/>
      <c r="AT126" s="289"/>
      <c r="AU126" s="289"/>
      <c r="AV126" s="289"/>
      <c r="AW126" s="289"/>
      <c r="AX126" s="289"/>
      <c r="AY126" s="289"/>
      <c r="AZ126" s="289"/>
      <c r="BA126" s="289"/>
    </row>
    <row r="127">
      <c r="A127" s="290">
        <f>PRIX!A128</f>
        <v>45880</v>
      </c>
      <c r="B127" s="299">
        <f>IF(A127="","",PRIX!B128*'QUANTITE DETENUES'!B128)</f>
        <v>22162.26924</v>
      </c>
      <c r="C127" s="299">
        <f>IF(B127="","",PRIX!C128*'QUANTITE DETENUES'!C128)</f>
        <v>7779.579242</v>
      </c>
      <c r="D127" s="299">
        <f>IF(C127="","",PRIX!D128*'QUANTITE DETENUES'!D128)</f>
        <v>822.9890629</v>
      </c>
      <c r="E127" s="299">
        <f>IF(D127="","",PRIX!E128*'QUANTITE DETENUES'!E128)</f>
        <v>4234.244031</v>
      </c>
      <c r="F127" s="299">
        <f>IF(E127="","",PRIX!F128*'QUANTITE DETENUES'!F128)</f>
        <v>4545.163601</v>
      </c>
      <c r="G127" s="299">
        <f>IF(F127="","",PRIX!G128*'QUANTITE DETENUES'!G128)</f>
        <v>0</v>
      </c>
      <c r="H127" s="299">
        <f>IF(G127="","",PRIX!H128*'QUANTITE DETENUES'!H128)</f>
        <v>2201.7534</v>
      </c>
      <c r="I127" s="299">
        <f>IF(H127="","",PRIX!I128*'QUANTITE DETENUES'!I128)</f>
        <v>973.37614</v>
      </c>
      <c r="J127" s="299">
        <f>IF(I127="","",PRIX!J128*'QUANTITE DETENUES'!J128)</f>
        <v>276.791526</v>
      </c>
      <c r="K127" s="299">
        <f>IF(J127="","",PRIX!K128*'QUANTITE DETENUES'!K128)</f>
        <v>362.1792631</v>
      </c>
      <c r="L127" s="299">
        <f>IF(K127="","",PRIX!L128*'QUANTITE DETENUES'!L128)</f>
        <v>0</v>
      </c>
      <c r="M127" s="299">
        <f>IF(L127="","",PRIX!M128*'QUANTITE DETENUES'!M128)</f>
        <v>2833.721965</v>
      </c>
      <c r="N127" s="299">
        <f>IF(M127="","",PRIX!N128*'QUANTITE DETENUES'!N128)</f>
        <v>0</v>
      </c>
      <c r="O127" s="299">
        <f>IF(N127="","",PRIX!O128*'QUANTITE DETENUES'!O128)</f>
        <v>916.6346622</v>
      </c>
      <c r="P127" s="299">
        <f>IF(O127="","",PRIX!P128*'QUANTITE DETENUES'!P128)</f>
        <v>0.00005494779478</v>
      </c>
      <c r="Q127" s="299">
        <f>IF(P127="","",PRIX!Q128*'QUANTITE DETENUES'!Q128)</f>
        <v>289.56</v>
      </c>
      <c r="R127" s="299">
        <f>IF(Q127="","",PRIX!R128*'QUANTITE DETENUES'!R128)</f>
        <v>0</v>
      </c>
      <c r="S127" s="300">
        <f>IF(R127="","",PRIX!S128*'QUANTITE DETENUES'!S128)</f>
        <v>0</v>
      </c>
      <c r="T127" s="14">
        <f>IF(A127="","",ARBITRAGES!M128)</f>
        <v>14480.61815</v>
      </c>
      <c r="U127" s="301">
        <f t="shared" si="1"/>
        <v>61878.88034</v>
      </c>
      <c r="V127" s="302">
        <f t="shared" si="2"/>
        <v>0.7659844834</v>
      </c>
      <c r="W127" s="288"/>
      <c r="X127" s="289"/>
      <c r="Y127" s="289"/>
      <c r="Z127" s="289"/>
      <c r="AA127" s="289"/>
      <c r="AB127" s="289"/>
      <c r="AC127" s="289"/>
      <c r="AD127" s="289"/>
      <c r="AE127" s="289"/>
      <c r="AF127" s="289"/>
      <c r="AG127" s="289"/>
      <c r="AH127" s="289"/>
      <c r="AI127" s="289"/>
      <c r="AJ127" s="289"/>
      <c r="AK127" s="289"/>
      <c r="AL127" s="289"/>
      <c r="AM127" s="289"/>
      <c r="AN127" s="289"/>
      <c r="AO127" s="289"/>
      <c r="AP127" s="289"/>
      <c r="AQ127" s="289"/>
      <c r="AR127" s="289"/>
      <c r="AS127" s="289"/>
      <c r="AT127" s="289"/>
      <c r="AU127" s="289"/>
      <c r="AV127" s="289"/>
      <c r="AW127" s="289"/>
      <c r="AX127" s="289"/>
      <c r="AY127" s="289"/>
      <c r="AZ127" s="289"/>
      <c r="BA127" s="289"/>
    </row>
    <row r="128">
      <c r="A128" s="290">
        <f>PRIX!A129</f>
        <v>45881</v>
      </c>
      <c r="B128" s="299">
        <f>IF(A128="","",PRIX!B129*'QUANTITE DETENUES'!B129)</f>
        <v>22619.44819</v>
      </c>
      <c r="C128" s="299">
        <f>IF(B128="","",PRIX!C129*'QUANTITE DETENUES'!C129)</f>
        <v>8503.261032</v>
      </c>
      <c r="D128" s="299">
        <f>IF(C128="","",PRIX!D129*'QUANTITE DETENUES'!D129)</f>
        <v>852.5575323</v>
      </c>
      <c r="E128" s="299">
        <f>IF(D128="","",PRIX!E129*'QUANTITE DETENUES'!E129)</f>
        <v>4577.561115</v>
      </c>
      <c r="F128" s="299">
        <f>IF(E128="","",PRIX!F129*'QUANTITE DETENUES'!F129)</f>
        <v>4722.247897</v>
      </c>
      <c r="G128" s="299">
        <f>IF(F128="","",PRIX!G129*'QUANTITE DETENUES'!G129)</f>
        <v>0</v>
      </c>
      <c r="H128" s="299">
        <f>IF(G128="","",PRIX!H129*'QUANTITE DETENUES'!H129)</f>
        <v>2301.8331</v>
      </c>
      <c r="I128" s="299">
        <f>IF(H128="","",PRIX!I129*'QUANTITE DETENUES'!I129)</f>
        <v>1044.395</v>
      </c>
      <c r="J128" s="299">
        <f>IF(I128="","",PRIX!J129*'QUANTITE DETENUES'!J129)</f>
        <v>287.043064</v>
      </c>
      <c r="K128" s="299">
        <f>IF(J128="","",PRIX!K129*'QUANTITE DETENUES'!K129)</f>
        <v>381.2413296</v>
      </c>
      <c r="L128" s="299">
        <f>IF(K128="","",PRIX!L129*'QUANTITE DETENUES'!L129)</f>
        <v>0</v>
      </c>
      <c r="M128" s="299">
        <f>IF(L128="","",PRIX!M129*'QUANTITE DETENUES'!M129)</f>
        <v>2970.837544</v>
      </c>
      <c r="N128" s="299">
        <f>IF(M128="","",PRIX!N129*'QUANTITE DETENUES'!N129)</f>
        <v>0</v>
      </c>
      <c r="O128" s="299">
        <f>IF(N128="","",PRIX!O129*'QUANTITE DETENUES'!O129)</f>
        <v>916.6346622</v>
      </c>
      <c r="P128" s="299">
        <f>IF(O128="","",PRIX!P129*'QUANTITE DETENUES'!P129)</f>
        <v>0.00006073177318</v>
      </c>
      <c r="Q128" s="299">
        <f>IF(P128="","",PRIX!Q129*'QUANTITE DETENUES'!Q129)</f>
        <v>291.973</v>
      </c>
      <c r="R128" s="299">
        <f>IF(Q128="","",PRIX!R129*'QUANTITE DETENUES'!R129)</f>
        <v>0</v>
      </c>
      <c r="S128" s="300">
        <f>IF(R128="","",PRIX!S129*'QUANTITE DETENUES'!S129)</f>
        <v>0</v>
      </c>
      <c r="T128" s="14">
        <f>IF(A128="","",ARBITRAGES!M129)</f>
        <v>14035.61815</v>
      </c>
      <c r="U128" s="301">
        <f t="shared" si="1"/>
        <v>63504.65168</v>
      </c>
      <c r="V128" s="302">
        <f t="shared" si="2"/>
        <v>0.7789828338</v>
      </c>
      <c r="W128" s="288"/>
      <c r="X128" s="289"/>
      <c r="Y128" s="289"/>
      <c r="Z128" s="289"/>
      <c r="AA128" s="289"/>
      <c r="AB128" s="289"/>
      <c r="AC128" s="289"/>
      <c r="AD128" s="289"/>
      <c r="AE128" s="289"/>
      <c r="AF128" s="289"/>
      <c r="AG128" s="289"/>
      <c r="AH128" s="289"/>
      <c r="AI128" s="289"/>
      <c r="AJ128" s="289"/>
      <c r="AK128" s="289"/>
      <c r="AL128" s="289"/>
      <c r="AM128" s="289"/>
      <c r="AN128" s="289"/>
      <c r="AO128" s="289"/>
      <c r="AP128" s="289"/>
      <c r="AQ128" s="289"/>
      <c r="AR128" s="289"/>
      <c r="AS128" s="289"/>
      <c r="AT128" s="289"/>
      <c r="AU128" s="289"/>
      <c r="AV128" s="289"/>
      <c r="AW128" s="289"/>
      <c r="AX128" s="289"/>
      <c r="AY128" s="289"/>
      <c r="AZ128" s="289"/>
      <c r="BA128" s="289"/>
    </row>
    <row r="129">
      <c r="A129" s="290">
        <f>PRIX!A130</f>
        <v>45882</v>
      </c>
      <c r="B129" s="299">
        <f>IF(A129="","",PRIX!B130*'QUANTITE DETENUES'!B130)</f>
        <v>22619.44819</v>
      </c>
      <c r="C129" s="299">
        <f>IF(B129="","",PRIX!C130*'QUANTITE DETENUES'!C130)</f>
        <v>7516.261032</v>
      </c>
      <c r="D129" s="299">
        <f>IF(C129="","",PRIX!D130*'QUANTITE DETENUES'!D130)</f>
        <v>852.5575323</v>
      </c>
      <c r="E129" s="299">
        <f>IF(D129="","",PRIX!E130*'QUANTITE DETENUES'!E130)</f>
        <v>4577.561115</v>
      </c>
      <c r="F129" s="299">
        <f>IF(E129="","",PRIX!F130*'QUANTITE DETENUES'!F130)</f>
        <v>4722.247897</v>
      </c>
      <c r="G129" s="299">
        <f>IF(F129="","",PRIX!G130*'QUANTITE DETENUES'!G130)</f>
        <v>0</v>
      </c>
      <c r="H129" s="299">
        <f>IF(G129="","",PRIX!H130*'QUANTITE DETENUES'!H130)</f>
        <v>2301.8331</v>
      </c>
      <c r="I129" s="299">
        <f>IF(H129="","",PRIX!I130*'QUANTITE DETENUES'!I130)</f>
        <v>1044.395</v>
      </c>
      <c r="J129" s="299">
        <f>IF(I129="","",PRIX!J130*'QUANTITE DETENUES'!J130)</f>
        <v>287.043064</v>
      </c>
      <c r="K129" s="299">
        <f>IF(J129="","",PRIX!K130*'QUANTITE DETENUES'!K130)</f>
        <v>381.2413296</v>
      </c>
      <c r="L129" s="299">
        <f>IF(K129="","",PRIX!L130*'QUANTITE DETENUES'!L130)</f>
        <v>0</v>
      </c>
      <c r="M129" s="299">
        <f>IF(L129="","",PRIX!M130*'QUANTITE DETENUES'!M130)</f>
        <v>2970.837544</v>
      </c>
      <c r="N129" s="299">
        <f>IF(M129="","",PRIX!N130*'QUANTITE DETENUES'!N130)</f>
        <v>0</v>
      </c>
      <c r="O129" s="299">
        <f>IF(N129="","",PRIX!O130*'QUANTITE DETENUES'!O130)</f>
        <v>916.6346622</v>
      </c>
      <c r="P129" s="299">
        <f>IF(O129="","",PRIX!P130*'QUANTITE DETENUES'!P130)</f>
        <v>0.00006073177318</v>
      </c>
      <c r="Q129" s="299">
        <f>IF(P129="","",PRIX!Q130*'QUANTITE DETENUES'!Q130)</f>
        <v>291.973</v>
      </c>
      <c r="R129" s="299">
        <f>IF(Q129="","",PRIX!R130*'QUANTITE DETENUES'!R130)</f>
        <v>0</v>
      </c>
      <c r="S129" s="300">
        <f>IF(R129="","",PRIX!S130*'QUANTITE DETENUES'!S130)</f>
        <v>0</v>
      </c>
      <c r="T129" s="14">
        <f>IF(A129="","",ARBITRAGES!M130)</f>
        <v>15024.71815</v>
      </c>
      <c r="U129" s="301">
        <f t="shared" si="1"/>
        <v>63506.75168</v>
      </c>
      <c r="V129" s="302">
        <f t="shared" si="2"/>
        <v>0.7634154203</v>
      </c>
      <c r="W129" s="288"/>
      <c r="X129" s="289"/>
      <c r="Y129" s="289"/>
      <c r="Z129" s="289"/>
      <c r="AA129" s="289"/>
      <c r="AB129" s="289"/>
      <c r="AC129" s="289"/>
      <c r="AD129" s="289"/>
      <c r="AE129" s="289"/>
      <c r="AF129" s="289"/>
      <c r="AG129" s="289"/>
      <c r="AH129" s="289"/>
      <c r="AI129" s="289"/>
      <c r="AJ129" s="289"/>
      <c r="AK129" s="289"/>
      <c r="AL129" s="289"/>
      <c r="AM129" s="289"/>
      <c r="AN129" s="289"/>
      <c r="AO129" s="289"/>
      <c r="AP129" s="289"/>
      <c r="AQ129" s="289"/>
      <c r="AR129" s="289"/>
      <c r="AS129" s="289"/>
      <c r="AT129" s="289"/>
      <c r="AU129" s="289"/>
      <c r="AV129" s="289"/>
      <c r="AW129" s="289"/>
      <c r="AX129" s="289"/>
      <c r="AY129" s="289"/>
      <c r="AZ129" s="289"/>
      <c r="BA129" s="289"/>
    </row>
    <row r="130">
      <c r="A130" s="290">
        <f>PRIX!A131</f>
        <v>45882</v>
      </c>
      <c r="B130" s="299">
        <f>IF(A130="","",PRIX!B131*'QUANTITE DETENUES'!B131)</f>
        <v>22619.44819</v>
      </c>
      <c r="C130" s="299">
        <f>IF(B130="","",PRIX!C131*'QUANTITE DETENUES'!C131)</f>
        <v>7596.221256</v>
      </c>
      <c r="D130" s="299">
        <f>IF(C130="","",PRIX!D131*'QUANTITE DETENUES'!D131)</f>
        <v>877.1979234</v>
      </c>
      <c r="E130" s="299">
        <f>IF(D130="","",PRIX!E131*'QUANTITE DETENUES'!E131)</f>
        <v>4316.850143</v>
      </c>
      <c r="F130" s="299">
        <f>IF(E130="","",PRIX!F131*'QUANTITE DETENUES'!F131)</f>
        <v>4604.1917</v>
      </c>
      <c r="G130" s="299">
        <f>IF(F130="","",PRIX!G131*'QUANTITE DETENUES'!G131)</f>
        <v>0</v>
      </c>
      <c r="H130" s="299">
        <f>IF(G130="","",PRIX!H131*'QUANTITE DETENUES'!H131)</f>
        <v>2401.9128</v>
      </c>
      <c r="I130" s="299">
        <f>IF(H130="","",PRIX!I131*'QUANTITE DETENUES'!I131)</f>
        <v>1044.395</v>
      </c>
      <c r="J130" s="299">
        <f>IF(I130="","",PRIX!J131*'QUANTITE DETENUES'!J131)</f>
        <v>287.043064</v>
      </c>
      <c r="K130" s="299">
        <f>IF(J130="","",PRIX!K131*'QUANTITE DETENUES'!K131)</f>
        <v>374.8873074</v>
      </c>
      <c r="L130" s="299">
        <f>IF(K130="","",PRIX!L131*'QUANTITE DETENUES'!L131)</f>
        <v>0</v>
      </c>
      <c r="M130" s="299">
        <f>IF(L130="","",PRIX!M131*'QUANTITE DETENUES'!M131)</f>
        <v>3043.965853</v>
      </c>
      <c r="N130" s="299">
        <f>IF(M130="","",PRIX!N131*'QUANTITE DETENUES'!N131)</f>
        <v>0</v>
      </c>
      <c r="O130" s="299">
        <f>IF(N130="","",PRIX!O131*'QUANTITE DETENUES'!O131)</f>
        <v>916.6346622</v>
      </c>
      <c r="P130" s="299">
        <f>IF(O130="","",PRIX!P131*'QUANTITE DETENUES'!P131)</f>
        <v>0.00006073177318</v>
      </c>
      <c r="Q130" s="299">
        <f>IF(P130="","",PRIX!Q131*'QUANTITE DETENUES'!Q131)</f>
        <v>291.973</v>
      </c>
      <c r="R130" s="299">
        <f>IF(Q130="","",PRIX!R131*'QUANTITE DETENUES'!R131)</f>
        <v>0</v>
      </c>
      <c r="S130" s="300">
        <f>IF(R130="","",PRIX!S131*'QUANTITE DETENUES'!S131)</f>
        <v>0</v>
      </c>
      <c r="T130" s="14">
        <f>IF(A130="","",ARBITRAGES!M131)</f>
        <v>15400.43815</v>
      </c>
      <c r="U130" s="301">
        <f t="shared" si="1"/>
        <v>63775.15911</v>
      </c>
      <c r="V130" s="302">
        <f t="shared" si="2"/>
        <v>0.7585198004</v>
      </c>
      <c r="W130" s="288"/>
      <c r="X130" s="289"/>
      <c r="Y130" s="289"/>
      <c r="Z130" s="289"/>
      <c r="AA130" s="289"/>
      <c r="AB130" s="289"/>
      <c r="AC130" s="289"/>
      <c r="AD130" s="289"/>
      <c r="AE130" s="289"/>
      <c r="AF130" s="289"/>
      <c r="AG130" s="289"/>
      <c r="AH130" s="289"/>
      <c r="AI130" s="289"/>
      <c r="AJ130" s="289"/>
      <c r="AK130" s="289"/>
      <c r="AL130" s="289"/>
      <c r="AM130" s="289"/>
      <c r="AN130" s="289"/>
      <c r="AO130" s="289"/>
      <c r="AP130" s="289"/>
      <c r="AQ130" s="289"/>
      <c r="AR130" s="289"/>
      <c r="AS130" s="289"/>
      <c r="AT130" s="289"/>
      <c r="AU130" s="289"/>
      <c r="AV130" s="289"/>
      <c r="AW130" s="289"/>
      <c r="AX130" s="289"/>
      <c r="AY130" s="289"/>
      <c r="AZ130" s="289"/>
      <c r="BA130" s="289"/>
    </row>
    <row r="131">
      <c r="A131" s="290">
        <f>PRIX!A132</f>
        <v>45882</v>
      </c>
      <c r="B131" s="299">
        <f>IF(A131="","",PRIX!B132*'QUANTITE DETENUES'!B132)</f>
        <v>22619.44819</v>
      </c>
      <c r="C131" s="299">
        <f>IF(B131="","",PRIX!C132*'QUANTITE DETENUES'!C132)</f>
        <v>7132.115476</v>
      </c>
      <c r="D131" s="299">
        <f>IF(C131="","",PRIX!D132*'QUANTITE DETENUES'!D132)</f>
        <v>877.1979234</v>
      </c>
      <c r="E131" s="299">
        <f>IF(D131="","",PRIX!E132*'QUANTITE DETENUES'!E132)</f>
        <v>4316.850143</v>
      </c>
      <c r="F131" s="299">
        <f>IF(E131="","",PRIX!F132*'QUANTITE DETENUES'!F132)</f>
        <v>4604.1917</v>
      </c>
      <c r="G131" s="299">
        <f>IF(F131="","",PRIX!G132*'QUANTITE DETENUES'!G132)</f>
        <v>0</v>
      </c>
      <c r="H131" s="299">
        <f>IF(G131="","",PRIX!H132*'QUANTITE DETENUES'!H132)</f>
        <v>2401.9128</v>
      </c>
      <c r="I131" s="299">
        <f>IF(H131="","",PRIX!I132*'QUANTITE DETENUES'!I132)</f>
        <v>1044.395</v>
      </c>
      <c r="J131" s="299">
        <f>IF(I131="","",PRIX!J132*'QUANTITE DETENUES'!J132)</f>
        <v>287.043064</v>
      </c>
      <c r="K131" s="299">
        <f>IF(J131="","",PRIX!K132*'QUANTITE DETENUES'!K132)</f>
        <v>374.8873074</v>
      </c>
      <c r="L131" s="299">
        <f>IF(K131="","",PRIX!L132*'QUANTITE DETENUES'!L132)</f>
        <v>0</v>
      </c>
      <c r="M131" s="299">
        <f>IF(L131="","",PRIX!M132*'QUANTITE DETENUES'!M132)</f>
        <v>3043.965853</v>
      </c>
      <c r="N131" s="299">
        <f>IF(M131="","",PRIX!N132*'QUANTITE DETENUES'!N132)</f>
        <v>0</v>
      </c>
      <c r="O131" s="299">
        <f>IF(N131="","",PRIX!O132*'QUANTITE DETENUES'!O132)</f>
        <v>916.6346622</v>
      </c>
      <c r="P131" s="299">
        <f>IF(O131="","",PRIX!P132*'QUANTITE DETENUES'!P132)</f>
        <v>0.00006073177318</v>
      </c>
      <c r="Q131" s="299">
        <f>IF(P131="","",PRIX!Q132*'QUANTITE DETENUES'!Q132)</f>
        <v>291.973</v>
      </c>
      <c r="R131" s="299">
        <f>IF(Q131="","",PRIX!R132*'QUANTITE DETENUES'!R132)</f>
        <v>0</v>
      </c>
      <c r="S131" s="300">
        <f>IF(R131="","",PRIX!S132*'QUANTITE DETENUES'!S132)</f>
        <v>0</v>
      </c>
      <c r="T131" s="14">
        <f>IF(A131="","",ARBITRAGES!M132)</f>
        <v>15875.46893</v>
      </c>
      <c r="U131" s="301">
        <f t="shared" si="1"/>
        <v>63786.08411</v>
      </c>
      <c r="V131" s="302">
        <f t="shared" si="2"/>
        <v>0.7511139122</v>
      </c>
      <c r="W131" s="288"/>
      <c r="X131" s="289"/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289"/>
      <c r="AM131" s="289"/>
      <c r="AN131" s="289"/>
      <c r="AO131" s="289"/>
      <c r="AP131" s="289"/>
      <c r="AQ131" s="289"/>
      <c r="AR131" s="289"/>
      <c r="AS131" s="289"/>
      <c r="AT131" s="289"/>
      <c r="AU131" s="289"/>
      <c r="AV131" s="289"/>
      <c r="AW131" s="289"/>
      <c r="AX131" s="289"/>
      <c r="AY131" s="289"/>
      <c r="AZ131" s="289"/>
      <c r="BA131" s="289"/>
    </row>
    <row r="132">
      <c r="A132" s="290">
        <f>PRIX!A133</f>
        <v>45883</v>
      </c>
      <c r="B132" s="299">
        <f>IF(A132="","",PRIX!B133*'QUANTITE DETENUES'!B133)</f>
        <v>22619.44819</v>
      </c>
      <c r="C132" s="299">
        <f>IF(B132="","",PRIX!C133*'QUANTITE DETENUES'!C133)</f>
        <v>7132.115476</v>
      </c>
      <c r="D132" s="299">
        <f>IF(C132="","",PRIX!D133*'QUANTITE DETENUES'!D133)</f>
        <v>877.1979234</v>
      </c>
      <c r="E132" s="299">
        <f>IF(D132="","",PRIX!E133*'QUANTITE DETENUES'!E133)</f>
        <v>4316.850143</v>
      </c>
      <c r="F132" s="299">
        <f>IF(E132="","",PRIX!F133*'QUANTITE DETENUES'!F133)</f>
        <v>4604.1917</v>
      </c>
      <c r="G132" s="299">
        <f>IF(F132="","",PRIX!G133*'QUANTITE DETENUES'!G133)</f>
        <v>0</v>
      </c>
      <c r="H132" s="299">
        <f>IF(G132="","",PRIX!H133*'QUANTITE DETENUES'!H133)</f>
        <v>2401.9128</v>
      </c>
      <c r="I132" s="299">
        <f>IF(H132="","",PRIX!I133*'QUANTITE DETENUES'!I133)</f>
        <v>1044.395</v>
      </c>
      <c r="J132" s="299">
        <f>IF(I132="","",PRIX!J133*'QUANTITE DETENUES'!J133)</f>
        <v>287.043064</v>
      </c>
      <c r="K132" s="299">
        <f>IF(J132="","",PRIX!K133*'QUANTITE DETENUES'!K133)</f>
        <v>374.8873074</v>
      </c>
      <c r="L132" s="299">
        <f>IF(K132="","",PRIX!L133*'QUANTITE DETENUES'!L133)</f>
        <v>0</v>
      </c>
      <c r="M132" s="299">
        <f>IF(L132="","",PRIX!M133*'QUANTITE DETENUES'!M133)</f>
        <v>2664.345853</v>
      </c>
      <c r="N132" s="299">
        <f>IF(M132="","",PRIX!N133*'QUANTITE DETENUES'!N133)</f>
        <v>0</v>
      </c>
      <c r="O132" s="299">
        <f>IF(N132="","",PRIX!O133*'QUANTITE DETENUES'!O133)</f>
        <v>916.6346622</v>
      </c>
      <c r="P132" s="299">
        <f>IF(O132="","",PRIX!P133*'QUANTITE DETENUES'!P133)</f>
        <v>0.00006073177318</v>
      </c>
      <c r="Q132" s="299">
        <f>IF(P132="","",PRIX!Q133*'QUANTITE DETENUES'!Q133)</f>
        <v>291.973</v>
      </c>
      <c r="R132" s="299">
        <f>IF(Q132="","",PRIX!R133*'QUANTITE DETENUES'!R133)</f>
        <v>0</v>
      </c>
      <c r="S132" s="300">
        <f>IF(R132="","",PRIX!S133*'QUANTITE DETENUES'!S133)</f>
        <v>0</v>
      </c>
      <c r="T132" s="14">
        <f>IF(A132="","",ARBITRAGES!M133)</f>
        <v>16251.66893</v>
      </c>
      <c r="U132" s="301">
        <f t="shared" si="1"/>
        <v>63782.66411</v>
      </c>
      <c r="V132" s="302">
        <f t="shared" si="2"/>
        <v>0.7452024126</v>
      </c>
      <c r="W132" s="288"/>
      <c r="X132" s="289"/>
      <c r="Y132" s="289"/>
      <c r="Z132" s="289"/>
      <c r="AA132" s="289"/>
      <c r="AB132" s="289"/>
      <c r="AC132" s="289"/>
      <c r="AD132" s="289"/>
      <c r="AE132" s="289"/>
      <c r="AF132" s="289"/>
      <c r="AG132" s="289"/>
      <c r="AH132" s="289"/>
      <c r="AI132" s="289"/>
      <c r="AJ132" s="289"/>
      <c r="AK132" s="289"/>
      <c r="AL132" s="289"/>
      <c r="AM132" s="289"/>
      <c r="AN132" s="289"/>
      <c r="AO132" s="289"/>
      <c r="AP132" s="289"/>
      <c r="AQ132" s="289"/>
      <c r="AR132" s="289"/>
      <c r="AS132" s="289"/>
      <c r="AT132" s="289"/>
      <c r="AU132" s="289"/>
      <c r="AV132" s="289"/>
      <c r="AW132" s="289"/>
      <c r="AX132" s="289"/>
      <c r="AY132" s="289"/>
      <c r="AZ132" s="289"/>
      <c r="BA132" s="289"/>
    </row>
    <row r="133">
      <c r="A133" s="290">
        <f>PRIX!A134</f>
        <v>45886</v>
      </c>
      <c r="B133" s="299">
        <f>IF(A133="","",PRIX!B134*'QUANTITE DETENUES'!B134)</f>
        <v>22063.23225</v>
      </c>
      <c r="C133" s="299">
        <f>IF(B133="","",PRIX!C134*'QUANTITE DETENUES'!C134)</f>
        <v>6831.815877</v>
      </c>
      <c r="D133" s="299">
        <f>IF(C133="","",PRIX!D134*'QUANTITE DETENUES'!D134)</f>
        <v>862.4136887</v>
      </c>
      <c r="E133" s="299">
        <f>IF(D133="","",PRIX!E134*'QUANTITE DETENUES'!E134)</f>
        <v>4106.272087</v>
      </c>
      <c r="F133" s="299">
        <f>IF(E133="","",PRIX!F134*'QUANTITE DETENUES'!F134)</f>
        <v>4497.941122</v>
      </c>
      <c r="G133" s="299">
        <f>IF(F133="","",PRIX!G134*'QUANTITE DETENUES'!G134)</f>
        <v>0</v>
      </c>
      <c r="H133" s="299">
        <f>IF(G133="","",PRIX!H134*'QUANTITE DETENUES'!H134)</f>
        <v>2233.97656</v>
      </c>
      <c r="I133" s="299">
        <f>IF(H133="","",PRIX!I134*'QUANTITE DETENUES'!I134)</f>
        <v>981.7313</v>
      </c>
      <c r="J133" s="299">
        <f>IF(I133="","",PRIX!J134*'QUANTITE DETENUES'!J134)</f>
        <v>270.6406032</v>
      </c>
      <c r="K133" s="299">
        <f>IF(J133="","",PRIX!K134*'QUANTITE DETENUES'!K134)</f>
        <v>355.8252409</v>
      </c>
      <c r="L133" s="299">
        <f>IF(K133="","",PRIX!L134*'QUANTITE DETENUES'!L134)</f>
        <v>0</v>
      </c>
      <c r="M133" s="299">
        <f>IF(L133="","",PRIX!M134*'QUANTITE DETENUES'!M134)</f>
        <v>2440.316772</v>
      </c>
      <c r="N133" s="299">
        <f>IF(M133="","",PRIX!N134*'QUANTITE DETENUES'!N134)</f>
        <v>0</v>
      </c>
      <c r="O133" s="299">
        <f>IF(N133="","",PRIX!O134*'QUANTITE DETENUES'!O134)</f>
        <v>959.0714521</v>
      </c>
      <c r="P133" s="299">
        <f>IF(O133="","",PRIX!P134*'QUANTITE DETENUES'!P134)</f>
        <v>0.00005494779478</v>
      </c>
      <c r="Q133" s="299">
        <f>IF(P133="","",PRIX!Q134*'QUANTITE DETENUES'!Q134)</f>
        <v>272.669</v>
      </c>
      <c r="R133" s="299">
        <f>IF(Q133="","",PRIX!R134*'QUANTITE DETENUES'!R134)</f>
        <v>0</v>
      </c>
      <c r="S133" s="300">
        <f>IF(R133="","",PRIX!S134*'QUANTITE DETENUES'!S134)</f>
        <v>0</v>
      </c>
      <c r="T133" s="14">
        <f>IF(A133="","",ARBITRAGES!M134)</f>
        <v>16495.66893</v>
      </c>
      <c r="U133" s="301">
        <f t="shared" si="1"/>
        <v>62371.57494</v>
      </c>
      <c r="V133" s="302">
        <f t="shared" si="2"/>
        <v>0.7355258554</v>
      </c>
      <c r="W133" s="288"/>
      <c r="X133" s="289"/>
      <c r="Y133" s="289"/>
      <c r="Z133" s="289"/>
      <c r="AA133" s="289"/>
      <c r="AB133" s="289"/>
      <c r="AC133" s="289"/>
      <c r="AD133" s="289"/>
      <c r="AE133" s="289"/>
      <c r="AF133" s="289"/>
      <c r="AG133" s="289"/>
      <c r="AH133" s="289"/>
      <c r="AI133" s="289"/>
      <c r="AJ133" s="289"/>
      <c r="AK133" s="289"/>
      <c r="AL133" s="289"/>
      <c r="AM133" s="289"/>
      <c r="AN133" s="289"/>
      <c r="AO133" s="289"/>
      <c r="AP133" s="289"/>
      <c r="AQ133" s="289"/>
      <c r="AR133" s="289"/>
      <c r="AS133" s="289"/>
      <c r="AT133" s="289"/>
      <c r="AU133" s="289"/>
      <c r="AV133" s="289"/>
      <c r="AW133" s="289"/>
      <c r="AX133" s="289"/>
      <c r="AY133" s="289"/>
      <c r="AZ133" s="289"/>
      <c r="BA133" s="289"/>
    </row>
    <row r="134">
      <c r="A134" s="290">
        <f>PRIX!A135</f>
        <v>45887</v>
      </c>
      <c r="B134" s="299">
        <f>IF(A134="","",PRIX!B135*'QUANTITE DETENUES'!B135)</f>
        <v>21321.611</v>
      </c>
      <c r="C134" s="299">
        <f>IF(B134="","",PRIX!C135*'QUANTITE DETENUES'!C135)</f>
        <v>6836.016278</v>
      </c>
      <c r="D134" s="299">
        <f>IF(C134="","",PRIX!D135*'QUANTITE DETENUES'!D135)</f>
        <v>825.453102</v>
      </c>
      <c r="E134" s="299">
        <f>IF(D134="","",PRIX!E135*'QUANTITE DETENUES'!E135)</f>
        <v>3790.405004</v>
      </c>
      <c r="F134" s="299">
        <f>IF(E134="","",PRIX!F135*'QUANTITE DETENUES'!F135)</f>
        <v>4190.995009</v>
      </c>
      <c r="G134" s="299">
        <f>IF(F134="","",PRIX!G135*'QUANTITE DETENUES'!G135)</f>
        <v>0</v>
      </c>
      <c r="H134" s="299">
        <f>IF(G134="","",PRIX!H135*'QUANTITE DETENUES'!H135)</f>
        <v>2297.03235</v>
      </c>
      <c r="I134" s="299">
        <f>IF(H134="","",PRIX!I135*'QUANTITE DETENUES'!I135)</f>
        <v>927.42276</v>
      </c>
      <c r="J134" s="299">
        <f>IF(I134="","",PRIX!J135*'QUANTITE DETENUES'!J135)</f>
        <v>258.3387576</v>
      </c>
      <c r="K134" s="299">
        <f>IF(J134="","",PRIX!K135*'QUANTITE DETENUES'!K135)</f>
        <v>343.1171966</v>
      </c>
      <c r="L134" s="299">
        <f>IF(K134="","",PRIX!L135*'QUANTITE DETENUES'!L135)</f>
        <v>0</v>
      </c>
      <c r="M134" s="299">
        <f>IF(L134="","",PRIX!M135*'QUANTITE DETENUES'!M135)</f>
        <v>2320.301193</v>
      </c>
      <c r="N134" s="299">
        <f>IF(M134="","",PRIX!N135*'QUANTITE DETENUES'!N135)</f>
        <v>0</v>
      </c>
      <c r="O134" s="299">
        <f>IF(N134="","",PRIX!O135*'QUANTITE DETENUES'!O135)</f>
        <v>908.1473042</v>
      </c>
      <c r="P134" s="299">
        <f>IF(O134="","",PRIX!P135*'QUANTITE DETENUES'!P135)</f>
        <v>0.00005205580558</v>
      </c>
      <c r="Q134" s="299">
        <f>IF(P134="","",PRIX!Q135*'QUANTITE DETENUES'!Q135)</f>
        <v>258.191</v>
      </c>
      <c r="R134" s="299">
        <f>IF(Q134="","",PRIX!R135*'QUANTITE DETENUES'!R135)</f>
        <v>0</v>
      </c>
      <c r="S134" s="300">
        <f>IF(R134="","",PRIX!S135*'QUANTITE DETENUES'!S135)</f>
        <v>0</v>
      </c>
      <c r="T134" s="14">
        <f>IF(A134="","",ARBITRAGES!M135)</f>
        <v>16192.56893</v>
      </c>
      <c r="U134" s="301">
        <f t="shared" si="1"/>
        <v>60469.59993</v>
      </c>
      <c r="V134" s="302">
        <f t="shared" si="2"/>
        <v>0.7322196782</v>
      </c>
      <c r="W134" s="288"/>
      <c r="X134" s="289"/>
      <c r="Y134" s="289"/>
      <c r="Z134" s="289"/>
      <c r="AA134" s="289"/>
      <c r="AB134" s="289"/>
      <c r="AC134" s="289"/>
      <c r="AD134" s="289"/>
      <c r="AE134" s="289"/>
      <c r="AF134" s="289"/>
      <c r="AG134" s="289"/>
      <c r="AH134" s="289"/>
      <c r="AI134" s="289"/>
      <c r="AJ134" s="289"/>
      <c r="AK134" s="289"/>
      <c r="AL134" s="289"/>
      <c r="AM134" s="289"/>
      <c r="AN134" s="289"/>
      <c r="AO134" s="289"/>
      <c r="AP134" s="289"/>
      <c r="AQ134" s="289"/>
      <c r="AR134" s="289"/>
      <c r="AS134" s="289"/>
      <c r="AT134" s="289"/>
      <c r="AU134" s="289"/>
      <c r="AV134" s="289"/>
      <c r="AW134" s="289"/>
      <c r="AX134" s="289"/>
      <c r="AY134" s="289"/>
      <c r="AZ134" s="289"/>
      <c r="BA134" s="289"/>
    </row>
    <row r="135">
      <c r="A135" s="290">
        <f>PRIX!A136</f>
        <v>45887</v>
      </c>
      <c r="B135" s="299">
        <f>IF(A135="","",PRIX!B136*'QUANTITE DETENUES'!B136)</f>
        <v>21321.611</v>
      </c>
      <c r="C135" s="299">
        <f>IF(B135="","",PRIX!C136*'QUANTITE DETENUES'!C136)</f>
        <v>7271.016278</v>
      </c>
      <c r="D135" s="299">
        <f>IF(C135="","",PRIX!D136*'QUANTITE DETENUES'!D136)</f>
        <v>825.453102</v>
      </c>
      <c r="E135" s="299">
        <f>IF(D135="","",PRIX!E136*'QUANTITE DETENUES'!E136)</f>
        <v>3790.405004</v>
      </c>
      <c r="F135" s="299">
        <f>IF(E135="","",PRIX!F136*'QUANTITE DETENUES'!F136)</f>
        <v>4190.995009</v>
      </c>
      <c r="G135" s="299">
        <f>IF(F135="","",PRIX!G136*'QUANTITE DETENUES'!G136)</f>
        <v>0</v>
      </c>
      <c r="H135" s="299">
        <f>IF(G135="","",PRIX!H136*'QUANTITE DETENUES'!H136)</f>
        <v>2297.03235</v>
      </c>
      <c r="I135" s="299">
        <f>IF(H135="","",PRIX!I136*'QUANTITE DETENUES'!I136)</f>
        <v>927.42276</v>
      </c>
      <c r="J135" s="299">
        <f>IF(I135="","",PRIX!J136*'QUANTITE DETENUES'!J136)</f>
        <v>258.3387576</v>
      </c>
      <c r="K135" s="299">
        <f>IF(J135="","",PRIX!K136*'QUANTITE DETENUES'!K136)</f>
        <v>343.1171966</v>
      </c>
      <c r="L135" s="299">
        <f>IF(K135="","",PRIX!L136*'QUANTITE DETENUES'!L136)</f>
        <v>0</v>
      </c>
      <c r="M135" s="299">
        <f>IF(L135="","",PRIX!M136*'QUANTITE DETENUES'!M136)</f>
        <v>2320.301193</v>
      </c>
      <c r="N135" s="299">
        <f>IF(M135="","",PRIX!N136*'QUANTITE DETENUES'!N136)</f>
        <v>0</v>
      </c>
      <c r="O135" s="299">
        <f>IF(N135="","",PRIX!O136*'QUANTITE DETENUES'!O136)</f>
        <v>908.1473042</v>
      </c>
      <c r="P135" s="299">
        <f>IF(O135="","",PRIX!P136*'QUANTITE DETENUES'!P136)</f>
        <v>0.00005205580558</v>
      </c>
      <c r="Q135" s="299">
        <f>IF(P135="","",PRIX!Q136*'QUANTITE DETENUES'!Q136)</f>
        <v>258.191</v>
      </c>
      <c r="R135" s="299">
        <f>IF(Q135="","",PRIX!R136*'QUANTITE DETENUES'!R136)</f>
        <v>0</v>
      </c>
      <c r="S135" s="300">
        <f>IF(R135="","",PRIX!S136*'QUANTITE DETENUES'!S136)</f>
        <v>0</v>
      </c>
      <c r="T135" s="14">
        <f>IF(A135="","",ARBITRAGES!M136)</f>
        <v>15762.56893</v>
      </c>
      <c r="U135" s="301">
        <f t="shared" si="1"/>
        <v>60474.59993</v>
      </c>
      <c r="V135" s="302">
        <f t="shared" si="2"/>
        <v>0.7393522413</v>
      </c>
      <c r="W135" s="288"/>
      <c r="X135" s="289"/>
      <c r="Y135" s="289"/>
      <c r="Z135" s="289"/>
      <c r="AA135" s="289"/>
      <c r="AB135" s="289"/>
      <c r="AC135" s="289"/>
      <c r="AD135" s="289"/>
      <c r="AE135" s="289"/>
      <c r="AF135" s="289"/>
      <c r="AG135" s="289"/>
      <c r="AH135" s="289"/>
      <c r="AI135" s="289"/>
      <c r="AJ135" s="289"/>
      <c r="AK135" s="289"/>
      <c r="AL135" s="289"/>
      <c r="AM135" s="289"/>
      <c r="AN135" s="289"/>
      <c r="AO135" s="289"/>
      <c r="AP135" s="289"/>
      <c r="AQ135" s="289"/>
      <c r="AR135" s="289"/>
      <c r="AS135" s="289"/>
      <c r="AT135" s="289"/>
      <c r="AU135" s="289"/>
      <c r="AV135" s="289"/>
      <c r="AW135" s="289"/>
      <c r="AX135" s="289"/>
      <c r="AY135" s="289"/>
      <c r="AZ135" s="289"/>
      <c r="BA135" s="289"/>
    </row>
    <row r="136">
      <c r="A136" s="290">
        <f>PRIX!A137</f>
        <v>45887</v>
      </c>
      <c r="B136" s="299">
        <f>IF(A136="","",PRIX!B137*'QUANTITE DETENUES'!B137)</f>
        <v>21724.111</v>
      </c>
      <c r="C136" s="299">
        <f>IF(B136="","",PRIX!C137*'QUANTITE DETENUES'!C137)</f>
        <v>7271.016278</v>
      </c>
      <c r="D136" s="299">
        <f>IF(C136="","",PRIX!D137*'QUANTITE DETENUES'!D137)</f>
        <v>825.453102</v>
      </c>
      <c r="E136" s="299">
        <f>IF(D136="","",PRIX!E137*'QUANTITE DETENUES'!E137)</f>
        <v>3790.405004</v>
      </c>
      <c r="F136" s="299">
        <f>IF(E136="","",PRIX!F137*'QUANTITE DETENUES'!F137)</f>
        <v>4190.995009</v>
      </c>
      <c r="G136" s="299">
        <f>IF(F136="","",PRIX!G137*'QUANTITE DETENUES'!G137)</f>
        <v>0</v>
      </c>
      <c r="H136" s="299">
        <f>IF(G136="","",PRIX!H137*'QUANTITE DETENUES'!H137)</f>
        <v>2297.03235</v>
      </c>
      <c r="I136" s="299">
        <f>IF(H136="","",PRIX!I137*'QUANTITE DETENUES'!I137)</f>
        <v>927.42276</v>
      </c>
      <c r="J136" s="299">
        <f>IF(I136="","",PRIX!J137*'QUANTITE DETENUES'!J137)</f>
        <v>258.3387576</v>
      </c>
      <c r="K136" s="299">
        <f>IF(J136="","",PRIX!K137*'QUANTITE DETENUES'!K137)</f>
        <v>343.1171966</v>
      </c>
      <c r="L136" s="299">
        <f>IF(K136="","",PRIX!L137*'QUANTITE DETENUES'!L137)</f>
        <v>0</v>
      </c>
      <c r="M136" s="299">
        <f>IF(L136="","",PRIX!M137*'QUANTITE DETENUES'!M137)</f>
        <v>2320.301193</v>
      </c>
      <c r="N136" s="299">
        <f>IF(M136="","",PRIX!N137*'QUANTITE DETENUES'!N137)</f>
        <v>0</v>
      </c>
      <c r="O136" s="299">
        <f>IF(N136="","",PRIX!O137*'QUANTITE DETENUES'!O137)</f>
        <v>908.1473042</v>
      </c>
      <c r="P136" s="299">
        <f>IF(O136="","",PRIX!P137*'QUANTITE DETENUES'!P137)</f>
        <v>0.00005205580558</v>
      </c>
      <c r="Q136" s="299">
        <f>IF(P136="","",PRIX!Q137*'QUANTITE DETENUES'!Q137)</f>
        <v>258.191</v>
      </c>
      <c r="R136" s="299">
        <f>IF(Q136="","",PRIX!R137*'QUANTITE DETENUES'!R137)</f>
        <v>0</v>
      </c>
      <c r="S136" s="300">
        <f>IF(R136="","",PRIX!S137*'QUANTITE DETENUES'!S137)</f>
        <v>0</v>
      </c>
      <c r="T136" s="14">
        <f>IF(A136="","",ARBITRAGES!M137)</f>
        <v>15360.06893</v>
      </c>
      <c r="U136" s="301">
        <f t="shared" si="1"/>
        <v>60474.59993</v>
      </c>
      <c r="V136" s="302">
        <f t="shared" si="2"/>
        <v>0.7460079282</v>
      </c>
      <c r="W136" s="288"/>
      <c r="X136" s="289"/>
      <c r="Y136" s="289"/>
      <c r="Z136" s="289"/>
      <c r="AA136" s="289"/>
      <c r="AB136" s="289"/>
      <c r="AC136" s="289"/>
      <c r="AD136" s="289"/>
      <c r="AE136" s="289"/>
      <c r="AF136" s="289"/>
      <c r="AG136" s="289"/>
      <c r="AH136" s="289"/>
      <c r="AI136" s="289"/>
      <c r="AJ136" s="289"/>
      <c r="AK136" s="289"/>
      <c r="AL136" s="289"/>
      <c r="AM136" s="289"/>
      <c r="AN136" s="289"/>
      <c r="AO136" s="289"/>
      <c r="AP136" s="289"/>
      <c r="AQ136" s="289"/>
      <c r="AR136" s="289"/>
      <c r="AS136" s="289"/>
      <c r="AT136" s="289"/>
      <c r="AU136" s="289"/>
      <c r="AV136" s="289"/>
      <c r="AW136" s="289"/>
      <c r="AX136" s="289"/>
      <c r="AY136" s="289"/>
      <c r="AZ136" s="289"/>
      <c r="BA136" s="289"/>
    </row>
    <row r="137">
      <c r="A137" s="290">
        <f>PRIX!A138</f>
        <v>45888</v>
      </c>
      <c r="B137" s="299">
        <f>IF(A137="","",PRIX!B138*'QUANTITE DETENUES'!B138)</f>
        <v>21724.111</v>
      </c>
      <c r="C137" s="299">
        <f>IF(B137="","",PRIX!C138*'QUANTITE DETENUES'!C138)</f>
        <v>7271.016278</v>
      </c>
      <c r="D137" s="299">
        <f>IF(C137="","",PRIX!D138*'QUANTITE DETENUES'!D138)</f>
        <v>825.453102</v>
      </c>
      <c r="E137" s="299">
        <f>IF(D137="","",PRIX!E138*'QUANTITE DETENUES'!E138)</f>
        <v>3970.405004</v>
      </c>
      <c r="F137" s="299">
        <f>IF(E137="","",PRIX!F138*'QUANTITE DETENUES'!F138)</f>
        <v>4190.995009</v>
      </c>
      <c r="G137" s="299">
        <f>IF(F137="","",PRIX!G138*'QUANTITE DETENUES'!G138)</f>
        <v>0</v>
      </c>
      <c r="H137" s="299">
        <f>IF(G137="","",PRIX!H138*'QUANTITE DETENUES'!H138)</f>
        <v>2297.03235</v>
      </c>
      <c r="I137" s="299">
        <f>IF(H137="","",PRIX!I138*'QUANTITE DETENUES'!I138)</f>
        <v>927.42276</v>
      </c>
      <c r="J137" s="299">
        <f>IF(I137="","",PRIX!J138*'QUANTITE DETENUES'!J138)</f>
        <v>258.3387576</v>
      </c>
      <c r="K137" s="299">
        <f>IF(J137="","",PRIX!K138*'QUANTITE DETENUES'!K138)</f>
        <v>343.1171966</v>
      </c>
      <c r="L137" s="299">
        <f>IF(K137="","",PRIX!L138*'QUANTITE DETENUES'!L138)</f>
        <v>0</v>
      </c>
      <c r="M137" s="299">
        <f>IF(L137="","",PRIX!M138*'QUANTITE DETENUES'!M138)</f>
        <v>2320.301193</v>
      </c>
      <c r="N137" s="299">
        <f>IF(M137="","",PRIX!N138*'QUANTITE DETENUES'!N138)</f>
        <v>0</v>
      </c>
      <c r="O137" s="299">
        <f>IF(N137="","",PRIX!O138*'QUANTITE DETENUES'!O138)</f>
        <v>908.1473042</v>
      </c>
      <c r="P137" s="299">
        <f>IF(O137="","",PRIX!P138*'QUANTITE DETENUES'!P138)</f>
        <v>0.00005205580558</v>
      </c>
      <c r="Q137" s="299">
        <f>IF(P137="","",PRIX!Q138*'QUANTITE DETENUES'!Q138)</f>
        <v>258.191</v>
      </c>
      <c r="R137" s="299">
        <f>IF(Q137="","",PRIX!R138*'QUANTITE DETENUES'!R138)</f>
        <v>0</v>
      </c>
      <c r="S137" s="300">
        <f>IF(R137="","",PRIX!S138*'QUANTITE DETENUES'!S138)</f>
        <v>0</v>
      </c>
      <c r="T137" s="14">
        <f>IF(A137="","",ARBITRAGES!M138)</f>
        <v>15179.06893</v>
      </c>
      <c r="U137" s="301">
        <f t="shared" si="1"/>
        <v>60473.59993</v>
      </c>
      <c r="V137" s="302">
        <f t="shared" si="2"/>
        <v>0.7489967697</v>
      </c>
      <c r="W137" s="288"/>
      <c r="X137" s="289"/>
      <c r="Y137" s="289"/>
      <c r="Z137" s="289"/>
      <c r="AA137" s="289"/>
      <c r="AB137" s="289"/>
      <c r="AC137" s="289"/>
      <c r="AD137" s="289"/>
      <c r="AE137" s="289"/>
      <c r="AF137" s="289"/>
      <c r="AG137" s="289"/>
      <c r="AH137" s="289"/>
      <c r="AI137" s="289"/>
      <c r="AJ137" s="289"/>
      <c r="AK137" s="289"/>
      <c r="AL137" s="289"/>
      <c r="AM137" s="289"/>
      <c r="AN137" s="289"/>
      <c r="AO137" s="289"/>
      <c r="AP137" s="289"/>
      <c r="AQ137" s="289"/>
      <c r="AR137" s="289"/>
      <c r="AS137" s="289"/>
      <c r="AT137" s="289"/>
      <c r="AU137" s="289"/>
      <c r="AV137" s="289"/>
      <c r="AW137" s="289"/>
      <c r="AX137" s="289"/>
      <c r="AY137" s="289"/>
      <c r="AZ137" s="289"/>
      <c r="BA137" s="289"/>
    </row>
    <row r="138">
      <c r="A138" s="290">
        <f>PRIX!A139</f>
        <v>45888</v>
      </c>
      <c r="B138" s="299">
        <f>IF(A138="","",PRIX!B139*'QUANTITE DETENUES'!B139)</f>
        <v>21934.20568</v>
      </c>
      <c r="C138" s="299">
        <f>IF(B138="","",PRIX!C139*'QUANTITE DETENUES'!C139)</f>
        <v>7187.441378</v>
      </c>
      <c r="D138" s="299">
        <f>IF(C138="","",PRIX!D139*'QUANTITE DETENUES'!D139)</f>
        <v>805.7407892</v>
      </c>
      <c r="E138" s="299">
        <f>IF(D138="","",PRIX!E139*'QUANTITE DETENUES'!E139)</f>
        <v>3970.405004</v>
      </c>
      <c r="F138" s="299">
        <f>IF(E138="","",PRIX!F139*'QUANTITE DETENUES'!F139)</f>
        <v>4013.910713</v>
      </c>
      <c r="G138" s="299">
        <f>IF(F138="","",PRIX!G139*'QUANTITE DETENUES'!G139)</f>
        <v>0</v>
      </c>
      <c r="H138" s="299">
        <f>IF(G138="","",PRIX!H139*'QUANTITE DETENUES'!H139)</f>
        <v>2342.0722</v>
      </c>
      <c r="I138" s="299">
        <f>IF(H138="","",PRIX!I139*'QUANTITE DETENUES'!I139)</f>
        <v>898.1797</v>
      </c>
      <c r="J138" s="299">
        <f>IF(I138="","",PRIX!J139*'QUANTITE DETENUES'!J139)</f>
        <v>254.2381424</v>
      </c>
      <c r="K138" s="299">
        <f>IF(J138="","",PRIX!K139*'QUANTITE DETENUES'!K139)</f>
        <v>330.4091523</v>
      </c>
      <c r="L138" s="299">
        <f>IF(K138="","",PRIX!L139*'QUANTITE DETENUES'!L139)</f>
        <v>0</v>
      </c>
      <c r="M138" s="299">
        <f>IF(L138="","",PRIX!M139*'QUANTITE DETENUES'!M139)</f>
        <v>2320.301193</v>
      </c>
      <c r="N138" s="299">
        <f>IF(M138="","",PRIX!N139*'QUANTITE DETENUES'!N139)</f>
        <v>0</v>
      </c>
      <c r="O138" s="299">
        <f>IF(N138="","",PRIX!O139*'QUANTITE DETENUES'!O139)</f>
        <v>874.1978723</v>
      </c>
      <c r="P138" s="299">
        <f>IF(O138="","",PRIX!P139*'QUANTITE DETENUES'!P139)</f>
        <v>0.00004916381638</v>
      </c>
      <c r="Q138" s="299">
        <f>IF(P138="","",PRIX!Q139*'QUANTITE DETENUES'!Q139)</f>
        <v>246.126</v>
      </c>
      <c r="R138" s="299">
        <f>IF(Q138="","",PRIX!R139*'QUANTITE DETENUES'!R139)</f>
        <v>0</v>
      </c>
      <c r="S138" s="300">
        <f>IF(R138="","",PRIX!S139*'QUANTITE DETENUES'!S139)</f>
        <v>0</v>
      </c>
      <c r="T138" s="14">
        <f>IF(A138="","",ARBITRAGES!M139)</f>
        <v>14781.11893</v>
      </c>
      <c r="U138" s="301">
        <f t="shared" si="1"/>
        <v>59958.34681</v>
      </c>
      <c r="V138" s="302">
        <f t="shared" si="2"/>
        <v>0.7534768766</v>
      </c>
      <c r="W138" s="288"/>
      <c r="X138" s="289"/>
      <c r="Y138" s="289"/>
      <c r="Z138" s="289"/>
      <c r="AA138" s="289"/>
      <c r="AB138" s="289"/>
      <c r="AC138" s="289"/>
      <c r="AD138" s="289"/>
      <c r="AE138" s="289"/>
      <c r="AF138" s="289"/>
      <c r="AG138" s="289"/>
      <c r="AH138" s="289"/>
      <c r="AI138" s="289"/>
      <c r="AJ138" s="289"/>
      <c r="AK138" s="289"/>
      <c r="AL138" s="289"/>
      <c r="AM138" s="289"/>
      <c r="AN138" s="289"/>
      <c r="AO138" s="289"/>
      <c r="AP138" s="289"/>
      <c r="AQ138" s="289"/>
      <c r="AR138" s="289"/>
      <c r="AS138" s="289"/>
      <c r="AT138" s="289"/>
      <c r="AU138" s="289"/>
      <c r="AV138" s="289"/>
      <c r="AW138" s="289"/>
      <c r="AX138" s="289"/>
      <c r="AY138" s="289"/>
      <c r="AZ138" s="289"/>
      <c r="BA138" s="289"/>
    </row>
    <row r="139">
      <c r="A139" s="290">
        <f>PRIX!A140</f>
        <v>45889</v>
      </c>
      <c r="B139" s="299">
        <f>IF(A139="","",PRIX!B140*'QUANTITE DETENUES'!B140)</f>
        <v>21934.20568</v>
      </c>
      <c r="C139" s="299">
        <f>IF(B139="","",PRIX!C140*'QUANTITE DETENUES'!C140)</f>
        <v>7187.441378</v>
      </c>
      <c r="D139" s="299">
        <f>IF(C139="","",PRIX!D140*'QUANTITE DETENUES'!D140)</f>
        <v>805.7407892</v>
      </c>
      <c r="E139" s="299">
        <f>IF(D139="","",PRIX!E140*'QUANTITE DETENUES'!E140)</f>
        <v>4150.405004</v>
      </c>
      <c r="F139" s="299">
        <f>IF(E139="","",PRIX!F140*'QUANTITE DETENUES'!F140)</f>
        <v>4013.910713</v>
      </c>
      <c r="G139" s="299">
        <f>IF(F139="","",PRIX!G140*'QUANTITE DETENUES'!G140)</f>
        <v>0</v>
      </c>
      <c r="H139" s="299">
        <f>IF(G139="","",PRIX!H140*'QUANTITE DETENUES'!H140)</f>
        <v>2342.0722</v>
      </c>
      <c r="I139" s="299">
        <f>IF(H139="","",PRIX!I140*'QUANTITE DETENUES'!I140)</f>
        <v>898.1797</v>
      </c>
      <c r="J139" s="299">
        <f>IF(I139="","",PRIX!J140*'QUANTITE DETENUES'!J140)</f>
        <v>254.2381424</v>
      </c>
      <c r="K139" s="299">
        <f>IF(J139="","",PRIX!K140*'QUANTITE DETENUES'!K140)</f>
        <v>330.4091523</v>
      </c>
      <c r="L139" s="299">
        <f>IF(K139="","",PRIX!L140*'QUANTITE DETENUES'!L140)</f>
        <v>0</v>
      </c>
      <c r="M139" s="299">
        <f>IF(L139="","",PRIX!M140*'QUANTITE DETENUES'!M140)</f>
        <v>2320.301193</v>
      </c>
      <c r="N139" s="299">
        <f>IF(M139="","",PRIX!N140*'QUANTITE DETENUES'!N140)</f>
        <v>0</v>
      </c>
      <c r="O139" s="299">
        <f>IF(N139="","",PRIX!O140*'QUANTITE DETENUES'!O140)</f>
        <v>874.1978723</v>
      </c>
      <c r="P139" s="299">
        <f>IF(O139="","",PRIX!P140*'QUANTITE DETENUES'!P140)</f>
        <v>0.00004916381638</v>
      </c>
      <c r="Q139" s="299">
        <f>IF(P139="","",PRIX!Q140*'QUANTITE DETENUES'!Q140)</f>
        <v>246.126</v>
      </c>
      <c r="R139" s="299">
        <f>IF(Q139="","",PRIX!R140*'QUANTITE DETENUES'!R140)</f>
        <v>0</v>
      </c>
      <c r="S139" s="300">
        <f>IF(R139="","",PRIX!S140*'QUANTITE DETENUES'!S140)</f>
        <v>0</v>
      </c>
      <c r="T139" s="14">
        <f>IF(A139="","",ARBITRAGES!M140)</f>
        <v>14605.11893</v>
      </c>
      <c r="U139" s="301">
        <f t="shared" si="1"/>
        <v>59962.34681</v>
      </c>
      <c r="V139" s="302">
        <f t="shared" si="2"/>
        <v>0.7564284971</v>
      </c>
      <c r="W139" s="288"/>
      <c r="X139" s="289"/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289"/>
      <c r="AM139" s="289"/>
      <c r="AN139" s="289"/>
      <c r="AO139" s="289"/>
      <c r="AP139" s="289"/>
      <c r="AQ139" s="289"/>
      <c r="AR139" s="289"/>
      <c r="AS139" s="289"/>
      <c r="AT139" s="289"/>
      <c r="AU139" s="289"/>
      <c r="AV139" s="289"/>
      <c r="AW139" s="289"/>
      <c r="AX139" s="289"/>
      <c r="AY139" s="289"/>
      <c r="AZ139" s="289"/>
      <c r="BA139" s="289"/>
    </row>
    <row r="140">
      <c r="A140" s="290">
        <f>PRIX!A141</f>
        <v>45891</v>
      </c>
      <c r="B140" s="299">
        <f>IF(A140="","",PRIX!B141*'QUANTITE DETENUES'!B141)</f>
        <v>22319.01631</v>
      </c>
      <c r="C140" s="299">
        <f>IF(B140="","",PRIX!C141*'QUANTITE DETENUES'!C141)</f>
        <v>8023.190376</v>
      </c>
      <c r="D140" s="299">
        <f>IF(C140="","",PRIX!D141*'QUANTITE DETENUES'!D141)</f>
        <v>837.7732976</v>
      </c>
      <c r="E140" s="299">
        <f>IF(D140="","",PRIX!E141*'QUANTITE DETENUES'!E141)</f>
        <v>4726.850143</v>
      </c>
      <c r="F140" s="299">
        <f>IF(E140="","",PRIX!F141*'QUANTITE DETENUES'!F141)</f>
        <v>4309.051206</v>
      </c>
      <c r="G140" s="299">
        <f>IF(F140="","",PRIX!G141*'QUANTITE DETENUES'!G141)</f>
        <v>0</v>
      </c>
      <c r="H140" s="299">
        <f>IF(G140="","",PRIX!H141*'QUANTITE DETENUES'!H141)</f>
        <v>2342.0722</v>
      </c>
      <c r="I140" s="299">
        <f>IF(H140="","",PRIX!I141*'QUANTITE DETENUES'!I141)</f>
        <v>994.26404</v>
      </c>
      <c r="J140" s="299">
        <f>IF(I140="","",PRIX!J141*'QUANTITE DETENUES'!J141)</f>
        <v>276.791526</v>
      </c>
      <c r="K140" s="299">
        <f>IF(J140="","",PRIX!K141*'QUANTITE DETENUES'!K141)</f>
        <v>355.8252409</v>
      </c>
      <c r="L140" s="299">
        <f>IF(K140="","",PRIX!L141*'QUANTITE DETENUES'!L141)</f>
        <v>0</v>
      </c>
      <c r="M140" s="299">
        <f>IF(L140="","",PRIX!M141*'QUANTITE DETENUES'!M141)</f>
        <v>2751.618702</v>
      </c>
      <c r="N140" s="299">
        <f>IF(M140="","",PRIX!N141*'QUANTITE DETENUES'!N141)</f>
        <v>0</v>
      </c>
      <c r="O140" s="299">
        <f>IF(N140="","",PRIX!O141*'QUANTITE DETENUES'!O141)</f>
        <v>1018.482958</v>
      </c>
      <c r="P140" s="299">
        <f>IF(O140="","",PRIX!P141*'QUANTITE DETENUES'!P141)</f>
        <v>0.00006651575157</v>
      </c>
      <c r="Q140" s="299">
        <f>IF(P140="","",PRIX!Q141*'QUANTITE DETENUES'!Q141)</f>
        <v>277.495</v>
      </c>
      <c r="R140" s="299">
        <f>IF(Q140="","",PRIX!R141*'QUANTITE DETENUES'!R141)</f>
        <v>0</v>
      </c>
      <c r="S140" s="300">
        <f>IF(R140="","",PRIX!S141*'QUANTITE DETENUES'!S141)</f>
        <v>0</v>
      </c>
      <c r="T140" s="14">
        <f>IF(A140="","",ARBITRAGES!M141)</f>
        <v>14693.86893</v>
      </c>
      <c r="U140" s="301">
        <f t="shared" si="1"/>
        <v>62926.3</v>
      </c>
      <c r="V140" s="302">
        <f t="shared" si="2"/>
        <v>0.7664908165</v>
      </c>
      <c r="W140" s="288"/>
      <c r="X140" s="289"/>
      <c r="Y140" s="289"/>
      <c r="Z140" s="289"/>
      <c r="AA140" s="289"/>
      <c r="AB140" s="289"/>
      <c r="AC140" s="289"/>
      <c r="AD140" s="289"/>
      <c r="AE140" s="289"/>
      <c r="AF140" s="289"/>
      <c r="AG140" s="289"/>
      <c r="AH140" s="289"/>
      <c r="AI140" s="289"/>
      <c r="AJ140" s="289"/>
      <c r="AK140" s="289"/>
      <c r="AL140" s="289"/>
      <c r="AM140" s="289"/>
      <c r="AN140" s="289"/>
      <c r="AO140" s="289"/>
      <c r="AP140" s="289"/>
      <c r="AQ140" s="289"/>
      <c r="AR140" s="289"/>
      <c r="AS140" s="289"/>
      <c r="AT140" s="289"/>
      <c r="AU140" s="289"/>
      <c r="AV140" s="289"/>
      <c r="AW140" s="289"/>
      <c r="AX140" s="289"/>
      <c r="AY140" s="289"/>
      <c r="AZ140" s="289"/>
      <c r="BA140" s="289"/>
    </row>
    <row r="141">
      <c r="A141" s="290">
        <f>PRIX!A142</f>
        <v>45891</v>
      </c>
      <c r="B141" s="299">
        <f>IF(A141="","",PRIX!B142*'QUANTITE DETENUES'!B142)</f>
        <v>22319.01631</v>
      </c>
      <c r="C141" s="299">
        <f>IF(B141="","",PRIX!C142*'QUANTITE DETENUES'!C142)</f>
        <v>8023.190376</v>
      </c>
      <c r="D141" s="299">
        <f>IF(C141="","",PRIX!D142*'QUANTITE DETENUES'!D142)</f>
        <v>837.7732976</v>
      </c>
      <c r="E141" s="299">
        <f>IF(D141="","",PRIX!E142*'QUANTITE DETENUES'!E142)</f>
        <v>4726.850143</v>
      </c>
      <c r="F141" s="299">
        <f>IF(E141="","",PRIX!F142*'QUANTITE DETENUES'!F142)</f>
        <v>4309.051206</v>
      </c>
      <c r="G141" s="299">
        <f>IF(F141="","",PRIX!G142*'QUANTITE DETENUES'!G142)</f>
        <v>0</v>
      </c>
      <c r="H141" s="299">
        <f>IF(G141="","",PRIX!H142*'QUANTITE DETENUES'!H142)</f>
        <v>2342.0722</v>
      </c>
      <c r="I141" s="299">
        <f>IF(H141="","",PRIX!I142*'QUANTITE DETENUES'!I142)</f>
        <v>994.26404</v>
      </c>
      <c r="J141" s="299">
        <f>IF(I141="","",PRIX!J142*'QUANTITE DETENUES'!J142)</f>
        <v>276.791526</v>
      </c>
      <c r="K141" s="299">
        <f>IF(J141="","",PRIX!K142*'QUANTITE DETENUES'!K142)</f>
        <v>355.8252409</v>
      </c>
      <c r="L141" s="299">
        <f>IF(K141="","",PRIX!L142*'QUANTITE DETENUES'!L142)</f>
        <v>0</v>
      </c>
      <c r="M141" s="299">
        <f>IF(L141="","",PRIX!M142*'QUANTITE DETENUES'!M142)</f>
        <v>2751.618702</v>
      </c>
      <c r="N141" s="299">
        <f>IF(M141="","",PRIX!N142*'QUANTITE DETENUES'!N142)</f>
        <v>0</v>
      </c>
      <c r="O141" s="299">
        <f>IF(N141="","",PRIX!O142*'QUANTITE DETENUES'!O142)</f>
        <v>958.482958</v>
      </c>
      <c r="P141" s="299">
        <f>IF(O141="","",PRIX!P142*'QUANTITE DETENUES'!P142)</f>
        <v>0.00006651575157</v>
      </c>
      <c r="Q141" s="299">
        <f>IF(P141="","",PRIX!Q142*'QUANTITE DETENUES'!Q142)</f>
        <v>277.495</v>
      </c>
      <c r="R141" s="299">
        <f>IF(Q141="","",PRIX!R142*'QUANTITE DETENUES'!R142)</f>
        <v>0</v>
      </c>
      <c r="S141" s="300">
        <f>IF(R141="","",PRIX!S142*'QUANTITE DETENUES'!S142)</f>
        <v>0</v>
      </c>
      <c r="T141" s="14">
        <f>IF(A141="","",ARBITRAGES!M142)</f>
        <v>14753.86893</v>
      </c>
      <c r="U141" s="301">
        <f t="shared" si="1"/>
        <v>62926.3</v>
      </c>
      <c r="V141" s="302">
        <f t="shared" si="2"/>
        <v>0.7655373201</v>
      </c>
      <c r="W141" s="288"/>
      <c r="X141" s="289"/>
      <c r="Y141" s="289"/>
      <c r="Z141" s="289"/>
      <c r="AA141" s="289"/>
      <c r="AB141" s="289"/>
      <c r="AC141" s="289"/>
      <c r="AD141" s="289"/>
      <c r="AE141" s="289"/>
      <c r="AF141" s="289"/>
      <c r="AG141" s="289"/>
      <c r="AH141" s="289"/>
      <c r="AI141" s="289"/>
      <c r="AJ141" s="289"/>
      <c r="AK141" s="289"/>
      <c r="AL141" s="289"/>
      <c r="AM141" s="289"/>
      <c r="AN141" s="289"/>
      <c r="AO141" s="289"/>
      <c r="AP141" s="289"/>
      <c r="AQ141" s="289"/>
      <c r="AR141" s="289"/>
      <c r="AS141" s="289"/>
      <c r="AT141" s="289"/>
      <c r="AU141" s="289"/>
      <c r="AV141" s="289"/>
      <c r="AW141" s="289"/>
      <c r="AX141" s="289"/>
      <c r="AY141" s="289"/>
      <c r="AZ141" s="289"/>
      <c r="BA141" s="289"/>
    </row>
    <row r="142">
      <c r="A142" s="290">
        <f>PRIX!A143</f>
        <v>45892</v>
      </c>
      <c r="B142" s="299">
        <f>IF(A142="","",PRIX!B143*'QUANTITE DETENUES'!B143)</f>
        <v>22319.01631</v>
      </c>
      <c r="C142" s="299">
        <f>IF(B142="","",PRIX!C143*'QUANTITE DETENUES'!C143)</f>
        <v>8023.190376</v>
      </c>
      <c r="D142" s="299">
        <f>IF(C142="","",PRIX!D143*'QUANTITE DETENUES'!D143)</f>
        <v>837.7732976</v>
      </c>
      <c r="E142" s="299">
        <f>IF(D142="","",PRIX!E143*'QUANTITE DETENUES'!E143)</f>
        <v>4726.850143</v>
      </c>
      <c r="F142" s="299">
        <f>IF(E142="","",PRIX!F143*'QUANTITE DETENUES'!F143)</f>
        <v>4309.051206</v>
      </c>
      <c r="G142" s="299">
        <f>IF(F142="","",PRIX!G143*'QUANTITE DETENUES'!G143)</f>
        <v>0</v>
      </c>
      <c r="H142" s="299">
        <f>IF(G142="","",PRIX!H143*'QUANTITE DETENUES'!H143)</f>
        <v>2342.0722</v>
      </c>
      <c r="I142" s="299">
        <f>IF(H142="","",PRIX!I143*'QUANTITE DETENUES'!I143)</f>
        <v>994.26404</v>
      </c>
      <c r="J142" s="299">
        <f>IF(I142="","",PRIX!J143*'QUANTITE DETENUES'!J143)</f>
        <v>276.791526</v>
      </c>
      <c r="K142" s="299">
        <f>IF(J142="","",PRIX!K143*'QUANTITE DETENUES'!K143)</f>
        <v>355.8252409</v>
      </c>
      <c r="L142" s="299">
        <f>IF(K142="","",PRIX!L143*'QUANTITE DETENUES'!L143)</f>
        <v>0</v>
      </c>
      <c r="M142" s="299">
        <f>IF(L142="","",PRIX!M143*'QUANTITE DETENUES'!M143)</f>
        <v>2751.618702</v>
      </c>
      <c r="N142" s="299">
        <f>IF(M142="","",PRIX!N143*'QUANTITE DETENUES'!N143)</f>
        <v>0</v>
      </c>
      <c r="O142" s="299">
        <f>IF(N142="","",PRIX!O143*'QUANTITE DETENUES'!O143)</f>
        <v>868.482958</v>
      </c>
      <c r="P142" s="299">
        <f>IF(O142="","",PRIX!P143*'QUANTITE DETENUES'!P143)</f>
        <v>0.00006651575157</v>
      </c>
      <c r="Q142" s="299">
        <f>IF(P142="","",PRIX!Q143*'QUANTITE DETENUES'!Q143)</f>
        <v>277.495</v>
      </c>
      <c r="R142" s="299">
        <f>IF(Q142="","",PRIX!R143*'QUANTITE DETENUES'!R143)</f>
        <v>0</v>
      </c>
      <c r="S142" s="300">
        <f>IF(R142="","",PRIX!S143*'QUANTITE DETENUES'!S143)</f>
        <v>0</v>
      </c>
      <c r="T142" s="14">
        <f>IF(A142="","",ARBITRAGES!M143)</f>
        <v>14888.86893</v>
      </c>
      <c r="U142" s="301">
        <f t="shared" si="1"/>
        <v>62971.3</v>
      </c>
      <c r="V142" s="302">
        <f t="shared" si="2"/>
        <v>0.763561036</v>
      </c>
      <c r="W142" s="288"/>
      <c r="X142" s="289"/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289"/>
      <c r="AM142" s="289"/>
      <c r="AN142" s="289"/>
      <c r="AO142" s="289"/>
      <c r="AP142" s="289"/>
      <c r="AQ142" s="289"/>
      <c r="AR142" s="289"/>
      <c r="AS142" s="289"/>
      <c r="AT142" s="289"/>
      <c r="AU142" s="289"/>
      <c r="AV142" s="289"/>
      <c r="AW142" s="289"/>
      <c r="AX142" s="289"/>
      <c r="AY142" s="289"/>
      <c r="AZ142" s="289"/>
      <c r="BA142" s="289"/>
    </row>
    <row r="143">
      <c r="A143" s="290">
        <f>PRIX!A144</f>
        <v>45894</v>
      </c>
      <c r="B143" s="299">
        <f>IF(A143="","",PRIX!B144*'QUANTITE DETENUES'!B144)</f>
        <v>21164.58443</v>
      </c>
      <c r="C143" s="299">
        <f>IF(B143="","",PRIX!C144*'QUANTITE DETENUES'!C144)</f>
        <v>7438.166078</v>
      </c>
      <c r="D143" s="299">
        <f>IF(C143="","",PRIX!D144*'QUANTITE DETENUES'!D144)</f>
        <v>776.1723198</v>
      </c>
      <c r="E143" s="299">
        <f>IF(D143="","",PRIX!E144*'QUANTITE DETENUES'!E144)</f>
        <v>4380.983059</v>
      </c>
      <c r="F143" s="299">
        <f>IF(E143="","",PRIX!F144*'QUANTITE DETENUES'!F144)</f>
        <v>3836.826417</v>
      </c>
      <c r="G143" s="299">
        <f>IF(F143="","",PRIX!G144*'QUANTITE DETENUES'!G144)</f>
        <v>0</v>
      </c>
      <c r="H143" s="299">
        <f>IF(G143="","",PRIX!H144*'QUANTITE DETENUES'!H144)</f>
        <v>2098.85701</v>
      </c>
      <c r="I143" s="299">
        <f>IF(H143="","",PRIX!I144*'QUANTITE DETENUES'!I144)</f>
        <v>1095.05817</v>
      </c>
      <c r="J143" s="299">
        <f>IF(I143="","",PRIX!J144*'QUANTITE DETENUES'!J144)</f>
        <v>250.1375272</v>
      </c>
      <c r="K143" s="299">
        <f>IF(J143="","",PRIX!K144*'QUANTITE DETENUES'!K144)</f>
        <v>317.701108</v>
      </c>
      <c r="L143" s="299">
        <f>IF(K143="","",PRIX!L144*'QUANTITE DETENUES'!L144)</f>
        <v>0</v>
      </c>
      <c r="M143" s="299">
        <f>IF(L143="","",PRIX!M144*'QUANTITE DETENUES'!M144)</f>
        <v>2581.095853</v>
      </c>
      <c r="N143" s="299">
        <f>IF(M143="","",PRIX!N144*'QUANTITE DETENUES'!N144)</f>
        <v>0</v>
      </c>
      <c r="O143" s="299">
        <f>IF(N143="","",PRIX!O144*'QUANTITE DETENUES'!O144)</f>
        <v>767.1599462</v>
      </c>
      <c r="P143" s="299">
        <f>IF(O143="","",PRIX!P144*'QUANTITE DETENUES'!P144)</f>
        <v>0.00005783978398</v>
      </c>
      <c r="Q143" s="299">
        <f>IF(P143="","",PRIX!Q144*'QUANTITE DETENUES'!Q144)</f>
        <v>241.3</v>
      </c>
      <c r="R143" s="299">
        <f>IF(Q143="","",PRIX!R144*'QUANTITE DETENUES'!R144)</f>
        <v>0</v>
      </c>
      <c r="S143" s="300">
        <f>IF(R143="","",PRIX!S144*'QUANTITE DETENUES'!S144)</f>
        <v>0</v>
      </c>
      <c r="T143" s="14">
        <f>IF(A143="","",ARBITRAGES!M144)</f>
        <v>14666.86893</v>
      </c>
      <c r="U143" s="301">
        <f t="shared" si="1"/>
        <v>59614.91091</v>
      </c>
      <c r="V143" s="302">
        <f t="shared" si="2"/>
        <v>0.7539731469</v>
      </c>
      <c r="W143" s="288"/>
      <c r="X143" s="289"/>
      <c r="Y143" s="289"/>
      <c r="Z143" s="289"/>
      <c r="AA143" s="289"/>
      <c r="AB143" s="289"/>
      <c r="AC143" s="289"/>
      <c r="AD143" s="289"/>
      <c r="AE143" s="289"/>
      <c r="AF143" s="289"/>
      <c r="AG143" s="289"/>
      <c r="AH143" s="289"/>
      <c r="AI143" s="289"/>
      <c r="AJ143" s="289"/>
      <c r="AK143" s="289"/>
      <c r="AL143" s="289"/>
      <c r="AM143" s="289"/>
      <c r="AN143" s="289"/>
      <c r="AO143" s="289"/>
      <c r="AP143" s="289"/>
      <c r="AQ143" s="289"/>
      <c r="AR143" s="289"/>
      <c r="AS143" s="289"/>
      <c r="AT143" s="289"/>
      <c r="AU143" s="289"/>
      <c r="AV143" s="289"/>
      <c r="AW143" s="289"/>
      <c r="AX143" s="289"/>
      <c r="AY143" s="289"/>
      <c r="AZ143" s="289"/>
      <c r="BA143" s="289"/>
    </row>
    <row r="144">
      <c r="A144" s="290">
        <f>PRIX!A145</f>
        <v>45894</v>
      </c>
      <c r="B144" s="299">
        <f>IF(A144="","",PRIX!B145*'QUANTITE DETENUES'!B145)</f>
        <v>21164.58443</v>
      </c>
      <c r="C144" s="299">
        <f>IF(B144="","",PRIX!C145*'QUANTITE DETENUES'!C145)</f>
        <v>7749.666078</v>
      </c>
      <c r="D144" s="299">
        <f>IF(C144="","",PRIX!D145*'QUANTITE DETENUES'!D145)</f>
        <v>776.1723198</v>
      </c>
      <c r="E144" s="299">
        <f>IF(D144="","",PRIX!E145*'QUANTITE DETENUES'!E145)</f>
        <v>4380.983059</v>
      </c>
      <c r="F144" s="299">
        <f>IF(E144="","",PRIX!F145*'QUANTITE DETENUES'!F145)</f>
        <v>3836.826417</v>
      </c>
      <c r="G144" s="299">
        <f>IF(F144="","",PRIX!G145*'QUANTITE DETENUES'!G145)</f>
        <v>0</v>
      </c>
      <c r="H144" s="299">
        <f>IF(G144="","",PRIX!H145*'QUANTITE DETENUES'!H145)</f>
        <v>2098.85701</v>
      </c>
      <c r="I144" s="299">
        <f>IF(H144="","",PRIX!I145*'QUANTITE DETENUES'!I145)</f>
        <v>1095.05817</v>
      </c>
      <c r="J144" s="299">
        <f>IF(I144="","",PRIX!J145*'QUANTITE DETENUES'!J145)</f>
        <v>250.1375272</v>
      </c>
      <c r="K144" s="299">
        <f>IF(J144="","",PRIX!K145*'QUANTITE DETENUES'!K145)</f>
        <v>317.701108</v>
      </c>
      <c r="L144" s="299">
        <f>IF(K144="","",PRIX!L145*'QUANTITE DETENUES'!L145)</f>
        <v>0</v>
      </c>
      <c r="M144" s="299">
        <f>IF(L144="","",PRIX!M145*'QUANTITE DETENUES'!M145)</f>
        <v>2581.095853</v>
      </c>
      <c r="N144" s="299">
        <f>IF(M144="","",PRIX!N145*'QUANTITE DETENUES'!N145)</f>
        <v>0</v>
      </c>
      <c r="O144" s="299">
        <f>IF(N144="","",PRIX!O145*'QUANTITE DETENUES'!O145)</f>
        <v>767.1599462</v>
      </c>
      <c r="P144" s="299">
        <f>IF(O144="","",PRIX!P145*'QUANTITE DETENUES'!P145)</f>
        <v>0.00005783978398</v>
      </c>
      <c r="Q144" s="299">
        <f>IF(P144="","",PRIX!Q145*'QUANTITE DETENUES'!Q145)</f>
        <v>241.3</v>
      </c>
      <c r="R144" s="299">
        <f>IF(Q144="","",PRIX!R145*'QUANTITE DETENUES'!R145)</f>
        <v>0</v>
      </c>
      <c r="S144" s="300">
        <f>IF(R144="","",PRIX!S145*'QUANTITE DETENUES'!S145)</f>
        <v>0</v>
      </c>
      <c r="T144" s="14">
        <f>IF(A144="","",ARBITRAGES!M145)</f>
        <v>14355.78893</v>
      </c>
      <c r="U144" s="301">
        <f t="shared" si="1"/>
        <v>59615.33091</v>
      </c>
      <c r="V144" s="302">
        <f t="shared" si="2"/>
        <v>0.759193001</v>
      </c>
      <c r="W144" s="288"/>
      <c r="X144" s="289"/>
      <c r="Y144" s="289"/>
      <c r="Z144" s="289"/>
      <c r="AA144" s="289"/>
      <c r="AB144" s="289"/>
      <c r="AC144" s="289"/>
      <c r="AD144" s="289"/>
      <c r="AE144" s="289"/>
      <c r="AF144" s="289"/>
      <c r="AG144" s="289"/>
      <c r="AH144" s="289"/>
      <c r="AI144" s="289"/>
      <c r="AJ144" s="289"/>
      <c r="AK144" s="289"/>
      <c r="AL144" s="289"/>
      <c r="AM144" s="289"/>
      <c r="AN144" s="289"/>
      <c r="AO144" s="289"/>
      <c r="AP144" s="289"/>
      <c r="AQ144" s="289"/>
      <c r="AR144" s="289"/>
      <c r="AS144" s="289"/>
      <c r="AT144" s="289"/>
      <c r="AU144" s="289"/>
      <c r="AV144" s="289"/>
      <c r="AW144" s="289"/>
      <c r="AX144" s="289"/>
      <c r="AY144" s="289"/>
      <c r="AZ144" s="289"/>
      <c r="BA144" s="289"/>
    </row>
    <row r="145">
      <c r="A145" s="290">
        <f>PRIX!A146</f>
        <v>45894</v>
      </c>
      <c r="B145" s="299">
        <f>IF(A145="","",PRIX!B146*'QUANTITE DETENUES'!B146)</f>
        <v>21461.01104</v>
      </c>
      <c r="C145" s="299">
        <f>IF(B145="","",PRIX!C146*'QUANTITE DETENUES'!C146)</f>
        <v>7749.666078</v>
      </c>
      <c r="D145" s="299">
        <f>IF(C145="","",PRIX!D146*'QUANTITE DETENUES'!D146)</f>
        <v>776.1723198</v>
      </c>
      <c r="E145" s="299">
        <f>IF(D145="","",PRIX!E146*'QUANTITE DETENUES'!E146)</f>
        <v>4380.983059</v>
      </c>
      <c r="F145" s="299">
        <f>IF(E145="","",PRIX!F146*'QUANTITE DETENUES'!F146)</f>
        <v>3836.826417</v>
      </c>
      <c r="G145" s="299">
        <f>IF(F145="","",PRIX!G146*'QUANTITE DETENUES'!G146)</f>
        <v>0</v>
      </c>
      <c r="H145" s="299">
        <f>IF(G145="","",PRIX!H146*'QUANTITE DETENUES'!H146)</f>
        <v>2098.85701</v>
      </c>
      <c r="I145" s="299">
        <f>IF(H145="","",PRIX!I146*'QUANTITE DETENUES'!I146)</f>
        <v>1095.05817</v>
      </c>
      <c r="J145" s="299">
        <f>IF(I145="","",PRIX!J146*'QUANTITE DETENUES'!J146)</f>
        <v>250.1375272</v>
      </c>
      <c r="K145" s="299">
        <f>IF(J145="","",PRIX!K146*'QUANTITE DETENUES'!K146)</f>
        <v>317.701108</v>
      </c>
      <c r="L145" s="299">
        <f>IF(K145="","",PRIX!L146*'QUANTITE DETENUES'!L146)</f>
        <v>0</v>
      </c>
      <c r="M145" s="299">
        <f>IF(L145="","",PRIX!M146*'QUANTITE DETENUES'!M146)</f>
        <v>2581.095853</v>
      </c>
      <c r="N145" s="299">
        <f>IF(M145="","",PRIX!N146*'QUANTITE DETENUES'!N146)</f>
        <v>0</v>
      </c>
      <c r="O145" s="299">
        <f>IF(N145="","",PRIX!O146*'QUANTITE DETENUES'!O146)</f>
        <v>767.1599462</v>
      </c>
      <c r="P145" s="299">
        <f>IF(O145="","",PRIX!P146*'QUANTITE DETENUES'!P146)</f>
        <v>0.00005783978398</v>
      </c>
      <c r="Q145" s="299">
        <f>IF(P145="","",PRIX!Q146*'QUANTITE DETENUES'!Q146)</f>
        <v>241.3</v>
      </c>
      <c r="R145" s="299">
        <f>IF(Q145="","",PRIX!R146*'QUANTITE DETENUES'!R146)</f>
        <v>0</v>
      </c>
      <c r="S145" s="300">
        <f>IF(R145="","",PRIX!S146*'QUANTITE DETENUES'!S146)</f>
        <v>0</v>
      </c>
      <c r="T145" s="14">
        <f>IF(A145="","",ARBITRAGES!M146)</f>
        <v>14058.2844</v>
      </c>
      <c r="U145" s="301">
        <f t="shared" si="1"/>
        <v>59614.25299</v>
      </c>
      <c r="V145" s="302">
        <f t="shared" si="2"/>
        <v>0.7641791401</v>
      </c>
      <c r="W145" s="288"/>
      <c r="X145" s="289"/>
      <c r="Y145" s="289"/>
      <c r="Z145" s="289"/>
      <c r="AA145" s="289"/>
      <c r="AB145" s="289"/>
      <c r="AC145" s="289"/>
      <c r="AD145" s="289"/>
      <c r="AE145" s="289"/>
      <c r="AF145" s="289"/>
      <c r="AG145" s="289"/>
      <c r="AH145" s="289"/>
      <c r="AI145" s="289"/>
      <c r="AJ145" s="289"/>
      <c r="AK145" s="289"/>
      <c r="AL145" s="289"/>
      <c r="AM145" s="289"/>
      <c r="AN145" s="289"/>
      <c r="AO145" s="289"/>
      <c r="AP145" s="289"/>
      <c r="AQ145" s="289"/>
      <c r="AR145" s="289"/>
      <c r="AS145" s="289"/>
      <c r="AT145" s="289"/>
      <c r="AU145" s="289"/>
      <c r="AV145" s="289"/>
      <c r="AW145" s="289"/>
      <c r="AX145" s="289"/>
      <c r="AY145" s="289"/>
      <c r="AZ145" s="289"/>
      <c r="BA145" s="289"/>
    </row>
    <row r="146">
      <c r="A146" s="290">
        <f>PRIX!A147</f>
        <v>45894</v>
      </c>
      <c r="B146" s="299">
        <f>IF(A146="","",PRIX!B147*'QUANTITE DETENUES'!B147)</f>
        <v>21461.01104</v>
      </c>
      <c r="C146" s="299">
        <f>IF(B146="","",PRIX!C147*'QUANTITE DETENUES'!C147)</f>
        <v>7749.666078</v>
      </c>
      <c r="D146" s="299">
        <f>IF(C146="","",PRIX!D147*'QUANTITE DETENUES'!D147)</f>
        <v>776.1723198</v>
      </c>
      <c r="E146" s="299">
        <f>IF(D146="","",PRIX!E147*'QUANTITE DETENUES'!E147)</f>
        <v>4380.983059</v>
      </c>
      <c r="F146" s="299">
        <f>IF(E146="","",PRIX!F147*'QUANTITE DETENUES'!F147)</f>
        <v>4324.326417</v>
      </c>
      <c r="G146" s="299">
        <f>IF(F146="","",PRIX!G147*'QUANTITE DETENUES'!G147)</f>
        <v>0</v>
      </c>
      <c r="H146" s="299">
        <f>IF(G146="","",PRIX!H147*'QUANTITE DETENUES'!H147)</f>
        <v>2098.85701</v>
      </c>
      <c r="I146" s="299">
        <f>IF(H146="","",PRIX!I147*'QUANTITE DETENUES'!I147)</f>
        <v>1095.05817</v>
      </c>
      <c r="J146" s="299">
        <f>IF(I146="","",PRIX!J147*'QUANTITE DETENUES'!J147)</f>
        <v>250.1375272</v>
      </c>
      <c r="K146" s="299">
        <f>IF(J146="","",PRIX!K147*'QUANTITE DETENUES'!K147)</f>
        <v>317.701108</v>
      </c>
      <c r="L146" s="299">
        <f>IF(K146="","",PRIX!L147*'QUANTITE DETENUES'!L147)</f>
        <v>0</v>
      </c>
      <c r="M146" s="299">
        <f>IF(L146="","",PRIX!M147*'QUANTITE DETENUES'!M147)</f>
        <v>2581.095853</v>
      </c>
      <c r="N146" s="299">
        <f>IF(M146="","",PRIX!N147*'QUANTITE DETENUES'!N147)</f>
        <v>0</v>
      </c>
      <c r="O146" s="299">
        <f>IF(N146="","",PRIX!O147*'QUANTITE DETENUES'!O147)</f>
        <v>767.1599462</v>
      </c>
      <c r="P146" s="299">
        <f>IF(O146="","",PRIX!P147*'QUANTITE DETENUES'!P147)</f>
        <v>0.00005783978398</v>
      </c>
      <c r="Q146" s="299">
        <f>IF(P146="","",PRIX!Q147*'QUANTITE DETENUES'!Q147)</f>
        <v>241.3</v>
      </c>
      <c r="R146" s="299">
        <f>IF(Q146="","",PRIX!R147*'QUANTITE DETENUES'!R147)</f>
        <v>0</v>
      </c>
      <c r="S146" s="300">
        <f>IF(R146="","",PRIX!S147*'QUANTITE DETENUES'!S147)</f>
        <v>0</v>
      </c>
      <c r="T146" s="14">
        <f>IF(A146="","",ARBITRAGES!M147)</f>
        <v>13558.7844</v>
      </c>
      <c r="U146" s="301">
        <f t="shared" si="1"/>
        <v>59602.25299</v>
      </c>
      <c r="V146" s="302">
        <f t="shared" si="2"/>
        <v>0.7725122169</v>
      </c>
      <c r="W146" s="288"/>
      <c r="X146" s="289"/>
      <c r="Y146" s="289"/>
      <c r="Z146" s="289"/>
      <c r="AA146" s="289"/>
      <c r="AB146" s="289"/>
      <c r="AC146" s="289"/>
      <c r="AD146" s="289"/>
      <c r="AE146" s="289"/>
      <c r="AF146" s="289"/>
      <c r="AG146" s="289"/>
      <c r="AH146" s="289"/>
      <c r="AI146" s="289"/>
      <c r="AJ146" s="289"/>
      <c r="AK146" s="289"/>
      <c r="AL146" s="289"/>
      <c r="AM146" s="289"/>
      <c r="AN146" s="289"/>
      <c r="AO146" s="289"/>
      <c r="AP146" s="289"/>
      <c r="AQ146" s="289"/>
      <c r="AR146" s="289"/>
      <c r="AS146" s="289"/>
      <c r="AT146" s="289"/>
      <c r="AU146" s="289"/>
      <c r="AV146" s="289"/>
      <c r="AW146" s="289"/>
      <c r="AX146" s="289"/>
      <c r="AY146" s="289"/>
      <c r="AZ146" s="289"/>
      <c r="BA146" s="289"/>
    </row>
    <row r="147">
      <c r="A147" s="290">
        <f>PRIX!A148</f>
        <v>45895</v>
      </c>
      <c r="B147" s="299">
        <f>IF(A147="","",PRIX!B148*'QUANTITE DETENUES'!B148)</f>
        <v>21852.99589</v>
      </c>
      <c r="C147" s="299">
        <f>IF(B147="","",PRIX!C148*'QUANTITE DETENUES'!C148)</f>
        <v>7749.666078</v>
      </c>
      <c r="D147" s="299">
        <f>IF(C147="","",PRIX!D148*'QUANTITE DETENUES'!D148)</f>
        <v>776.1723198</v>
      </c>
      <c r="E147" s="299">
        <f>IF(D147="","",PRIX!E148*'QUANTITE DETENUES'!E148)</f>
        <v>4726.850143</v>
      </c>
      <c r="F147" s="299">
        <f>IF(E147="","",PRIX!F148*'QUANTITE DETENUES'!F148)</f>
        <v>4390.854515</v>
      </c>
      <c r="G147" s="299">
        <f>IF(F147="","",PRIX!G148*'QUANTITE DETENUES'!G148)</f>
        <v>0</v>
      </c>
      <c r="H147" s="299">
        <f>IF(G147="","",PRIX!H148*'QUANTITE DETENUES'!H148)</f>
        <v>2139.392875</v>
      </c>
      <c r="I147" s="299">
        <f>IF(H147="","",PRIX!I148*'QUANTITE DETENUES'!I148)</f>
        <v>1128.71244</v>
      </c>
      <c r="J147" s="299">
        <f>IF(I147="","",PRIX!J148*'QUANTITE DETENUES'!J148)</f>
        <v>256.28845</v>
      </c>
      <c r="K147" s="299">
        <f>IF(J147="","",PRIX!K148*'QUANTITE DETENUES'!K148)</f>
        <v>317.701108</v>
      </c>
      <c r="L147" s="299">
        <f>IF(K147="","",PRIX!L148*'QUANTITE DETENUES'!L148)</f>
        <v>0</v>
      </c>
      <c r="M147" s="299">
        <f>IF(L147="","",PRIX!M148*'QUANTITE DETENUES'!M148)</f>
        <v>2519.087544</v>
      </c>
      <c r="N147" s="299">
        <f>IF(M147="","",PRIX!N148*'QUANTITE DETENUES'!N148)</f>
        <v>0</v>
      </c>
      <c r="O147" s="299">
        <f>IF(N147="","",PRIX!O148*'QUANTITE DETENUES'!O148)</f>
        <v>702.0237244</v>
      </c>
      <c r="P147" s="299">
        <f>IF(O147="","",PRIX!P148*'QUANTITE DETENUES'!P148)</f>
        <v>0.00005783978398</v>
      </c>
      <c r="Q147" s="299">
        <f>IF(P147="","",PRIX!Q148*'QUANTITE DETENUES'!Q148)</f>
        <v>241.3</v>
      </c>
      <c r="R147" s="299">
        <f>IF(Q147="","",PRIX!R148*'QUANTITE DETENUES'!R148)</f>
        <v>0</v>
      </c>
      <c r="S147" s="300">
        <f>IF(R147="","",PRIX!S148*'QUANTITE DETENUES'!S148)</f>
        <v>0</v>
      </c>
      <c r="T147" s="14">
        <f>IF(A147="","",ARBITRAGES!M148)</f>
        <v>13063.7844</v>
      </c>
      <c r="U147" s="301">
        <f t="shared" si="1"/>
        <v>59864.82955</v>
      </c>
      <c r="V147" s="302">
        <f t="shared" si="2"/>
        <v>0.781778642</v>
      </c>
      <c r="W147" s="288"/>
      <c r="X147" s="220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308"/>
      <c r="AI147" s="220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0"/>
      <c r="AZ147" s="220"/>
      <c r="BA147" s="220"/>
    </row>
    <row r="148">
      <c r="A148" s="290">
        <f>PRIX!A149</f>
        <v>45908</v>
      </c>
      <c r="B148" s="299">
        <f>IF(A148="","",PRIX!B149*'QUANTITE DETENUES'!B149)</f>
        <v>22155.11104</v>
      </c>
      <c r="C148" s="299">
        <f>IF(B148="","",PRIX!C149*'QUANTITE DETENUES'!C149)</f>
        <v>7954.263779</v>
      </c>
      <c r="D148" s="299">
        <f>IF(C148="","",PRIX!D149*'QUANTITE DETENUES'!D149)</f>
        <v>776.1723198</v>
      </c>
      <c r="E148" s="299">
        <f>IF(D148="","",PRIX!E149*'QUANTITE DETENUES'!E149)</f>
        <v>4380.983059</v>
      </c>
      <c r="F148" s="299">
        <f>IF(E148="","",PRIX!F149*'QUANTITE DETENUES'!F149)</f>
        <v>4324.326417</v>
      </c>
      <c r="G148" s="299">
        <f>IF(F148="","",PRIX!G149*'QUANTITE DETENUES'!G149)</f>
        <v>0</v>
      </c>
      <c r="H148" s="299">
        <f>IF(G148="","",PRIX!H149*'QUANTITE DETENUES'!H149)</f>
        <v>2098.85701</v>
      </c>
      <c r="I148" s="299">
        <f>IF(H148="","",PRIX!I149*'QUANTITE DETENUES'!I149)</f>
        <v>1095.05817</v>
      </c>
      <c r="J148" s="299">
        <f>IF(I148="","",PRIX!J149*'QUANTITE DETENUES'!J149)</f>
        <v>250.1375272</v>
      </c>
      <c r="K148" s="299">
        <f>IF(J148="","",PRIX!K149*'QUANTITE DETENUES'!K149)</f>
        <v>317.701108</v>
      </c>
      <c r="L148" s="299">
        <f>IF(K148="","",PRIX!L149*'QUANTITE DETENUES'!L149)</f>
        <v>0</v>
      </c>
      <c r="M148" s="299">
        <f>IF(L148="","",PRIX!M149*'QUANTITE DETENUES'!M149)</f>
        <v>2581.095853</v>
      </c>
      <c r="N148" s="299">
        <f>IF(M148="","",PRIX!N149*'QUANTITE DETENUES'!N149)</f>
        <v>0</v>
      </c>
      <c r="O148" s="299">
        <f>IF(N148="","",PRIX!O149*'QUANTITE DETENUES'!O149)</f>
        <v>767.1599462</v>
      </c>
      <c r="P148" s="299">
        <f>IF(O148="","",PRIX!P149*'QUANTITE DETENUES'!P149)</f>
        <v>0.00005783978398</v>
      </c>
      <c r="Q148" s="299">
        <f>IF(P148="","",PRIX!Q149*'QUANTITE DETENUES'!Q149)</f>
        <v>241.3</v>
      </c>
      <c r="R148" s="299">
        <f>IF(Q148="","",PRIX!R149*'QUANTITE DETENUES'!R149)</f>
        <v>0</v>
      </c>
      <c r="S148" s="300">
        <f>IF(R148="","",PRIX!S149*'QUANTITE DETENUES'!S149)</f>
        <v>0</v>
      </c>
      <c r="T148" s="14">
        <f>IF(A148="","",ARBITRAGES!M149)</f>
        <v>12863.7844</v>
      </c>
      <c r="U148" s="301">
        <f t="shared" si="1"/>
        <v>59805.95069</v>
      </c>
      <c r="V148" s="302">
        <f t="shared" si="2"/>
        <v>0.7849079522</v>
      </c>
      <c r="W148" s="288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308"/>
      <c r="AI148" s="220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  <c r="AV148" s="220"/>
      <c r="AW148" s="220"/>
      <c r="AX148" s="220"/>
      <c r="AY148" s="220"/>
      <c r="AZ148" s="220"/>
      <c r="BA148" s="220"/>
    </row>
    <row r="149">
      <c r="A149" s="290">
        <f>PRIX!A150</f>
        <v>45908</v>
      </c>
      <c r="B149" s="299">
        <f>IF(A149="","",PRIX!B150*'QUANTITE DETENUES'!B150)</f>
        <v>22155.11104</v>
      </c>
      <c r="C149" s="299">
        <f>IF(B149="","",PRIX!C150*'QUANTITE DETENUES'!C150)</f>
        <v>8262.934299</v>
      </c>
      <c r="D149" s="299">
        <f>IF(C149="","",PRIX!D150*'QUANTITE DETENUES'!D150)</f>
        <v>776.1723198</v>
      </c>
      <c r="E149" s="299">
        <f>IF(D149="","",PRIX!E150*'QUANTITE DETENUES'!E150)</f>
        <v>4380.983059</v>
      </c>
      <c r="F149" s="299">
        <f>IF(E149="","",PRIX!F150*'QUANTITE DETENUES'!F150)</f>
        <v>4324.326417</v>
      </c>
      <c r="G149" s="299">
        <f>IF(F149="","",PRIX!G150*'QUANTITE DETENUES'!G150)</f>
        <v>0</v>
      </c>
      <c r="H149" s="299">
        <f>IF(G149="","",PRIX!H150*'QUANTITE DETENUES'!H150)</f>
        <v>2098.85701</v>
      </c>
      <c r="I149" s="299">
        <f>IF(H149="","",PRIX!I150*'QUANTITE DETENUES'!I150)</f>
        <v>1095.05817</v>
      </c>
      <c r="J149" s="299">
        <f>IF(I149="","",PRIX!J150*'QUANTITE DETENUES'!J150)</f>
        <v>250.1375272</v>
      </c>
      <c r="K149" s="299">
        <f>IF(J149="","",PRIX!K150*'QUANTITE DETENUES'!K150)</f>
        <v>317.701108</v>
      </c>
      <c r="L149" s="299">
        <f>IF(K149="","",PRIX!L150*'QUANTITE DETENUES'!L150)</f>
        <v>0</v>
      </c>
      <c r="M149" s="299">
        <f>IF(L149="","",PRIX!M150*'QUANTITE DETENUES'!M150)</f>
        <v>2581.095853</v>
      </c>
      <c r="N149" s="299">
        <f>IF(M149="","",PRIX!N150*'QUANTITE DETENUES'!N150)</f>
        <v>0</v>
      </c>
      <c r="O149" s="299">
        <f>IF(N149="","",PRIX!O150*'QUANTITE DETENUES'!O150)</f>
        <v>767.1599462</v>
      </c>
      <c r="P149" s="299">
        <f>IF(O149="","",PRIX!P150*'QUANTITE DETENUES'!P150)</f>
        <v>0.00005783978398</v>
      </c>
      <c r="Q149" s="299">
        <f>IF(P149="","",PRIX!Q150*'QUANTITE DETENUES'!Q150)</f>
        <v>241.3</v>
      </c>
      <c r="R149" s="299">
        <f>IF(Q149="","",PRIX!R150*'QUANTITE DETENUES'!R150)</f>
        <v>0</v>
      </c>
      <c r="S149" s="300">
        <f>IF(R149="","",PRIX!S150*'QUANTITE DETENUES'!S150)</f>
        <v>0</v>
      </c>
      <c r="T149" s="14">
        <f>IF(A149="","",ARBITRAGES!M150)</f>
        <v>12563.7844</v>
      </c>
      <c r="U149" s="301">
        <f t="shared" si="1"/>
        <v>59814.62121</v>
      </c>
      <c r="V149" s="302">
        <f t="shared" si="2"/>
        <v>0.7899546273</v>
      </c>
      <c r="W149" s="288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308"/>
      <c r="AI149" s="220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  <c r="AV149" s="220"/>
      <c r="AW149" s="220"/>
      <c r="AX149" s="220"/>
      <c r="AY149" s="220"/>
      <c r="AZ149" s="220"/>
      <c r="BA149" s="220"/>
    </row>
    <row r="150">
      <c r="A150" s="290">
        <f>PRIX!A151</f>
        <v>45909</v>
      </c>
      <c r="B150" s="299">
        <f>IF(A150="","",PRIX!B151*'QUANTITE DETENUES'!B151)</f>
        <v>22155.11104</v>
      </c>
      <c r="C150" s="299">
        <f>IF(B150="","",PRIX!C151*'QUANTITE DETENUES'!C151)</f>
        <v>8262.934299</v>
      </c>
      <c r="D150" s="299">
        <f>IF(C150="","",PRIX!D151*'QUANTITE DETENUES'!D151)</f>
        <v>776.1723198</v>
      </c>
      <c r="E150" s="299">
        <f>IF(D150="","",PRIX!E151*'QUANTITE DETENUES'!E151)</f>
        <v>4174.684236</v>
      </c>
      <c r="F150" s="299">
        <f>IF(E150="","",PRIX!F151*'QUANTITE DETENUES'!F151)</f>
        <v>4324.326417</v>
      </c>
      <c r="G150" s="299">
        <f>IF(F150="","",PRIX!G151*'QUANTITE DETENUES'!G151)</f>
        <v>0</v>
      </c>
      <c r="H150" s="299">
        <f>IF(G150="","",PRIX!H151*'QUANTITE DETENUES'!H151)</f>
        <v>2098.85701</v>
      </c>
      <c r="I150" s="299">
        <f>IF(H150="","",PRIX!I151*'QUANTITE DETENUES'!I151)</f>
        <v>1095.05817</v>
      </c>
      <c r="J150" s="299">
        <f>IF(I150="","",PRIX!J151*'QUANTITE DETENUES'!J151)</f>
        <v>250.1375272</v>
      </c>
      <c r="K150" s="299">
        <f>IF(J150="","",PRIX!K151*'QUANTITE DETENUES'!K151)</f>
        <v>317.701108</v>
      </c>
      <c r="L150" s="299">
        <f>IF(K150="","",PRIX!L151*'QUANTITE DETENUES'!L151)</f>
        <v>0</v>
      </c>
      <c r="M150" s="299">
        <f>IF(L150="","",PRIX!M151*'QUANTITE DETENUES'!M151)</f>
        <v>2581.095853</v>
      </c>
      <c r="N150" s="299">
        <f>IF(M150="","",PRIX!N151*'QUANTITE DETENUES'!N151)</f>
        <v>0</v>
      </c>
      <c r="O150" s="299">
        <f>IF(N150="","",PRIX!O151*'QUANTITE DETENUES'!O151)</f>
        <v>767.1599462</v>
      </c>
      <c r="P150" s="299">
        <f>IF(O150="","",PRIX!P151*'QUANTITE DETENUES'!P151)</f>
        <v>0.00005783978398</v>
      </c>
      <c r="Q150" s="299">
        <f>IF(P150="","",PRIX!Q151*'QUANTITE DETENUES'!Q151)</f>
        <v>241.3</v>
      </c>
      <c r="R150" s="299">
        <f>IF(Q150="","",PRIX!R151*'QUANTITE DETENUES'!R151)</f>
        <v>0</v>
      </c>
      <c r="S150" s="300">
        <f>IF(R150="","",PRIX!S151*'QUANTITE DETENUES'!S151)</f>
        <v>0</v>
      </c>
      <c r="T150" s="14">
        <f>IF(A150="","",ARBITRAGES!M151)</f>
        <v>12799.39938</v>
      </c>
      <c r="U150" s="301">
        <f t="shared" si="1"/>
        <v>59843.93736</v>
      </c>
      <c r="V150" s="302">
        <f t="shared" si="2"/>
        <v>0.7861203667</v>
      </c>
      <c r="W150" s="288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308"/>
      <c r="AI150" s="220"/>
      <c r="AJ150" s="220"/>
      <c r="AK150" s="220"/>
      <c r="AL150" s="220"/>
      <c r="AM150" s="220"/>
      <c r="AN150" s="220"/>
      <c r="AO150" s="220"/>
      <c r="AP150" s="220"/>
      <c r="AQ150" s="220"/>
      <c r="AR150" s="220"/>
      <c r="AS150" s="220"/>
      <c r="AT150" s="220"/>
      <c r="AU150" s="220"/>
      <c r="AV150" s="220"/>
      <c r="AW150" s="220"/>
      <c r="AX150" s="220"/>
      <c r="AY150" s="220"/>
      <c r="AZ150" s="220"/>
      <c r="BA150" s="220"/>
    </row>
    <row r="151">
      <c r="A151" s="290">
        <f>PRIX!A152</f>
        <v>45911</v>
      </c>
      <c r="B151" s="299">
        <f>IF(A151="","",PRIX!B152*'QUANTITE DETENUES'!B152)</f>
        <v>23262.8666</v>
      </c>
      <c r="C151" s="299">
        <f>IF(B151="","",PRIX!C152*'QUANTITE DETENUES'!C152)</f>
        <v>8541.460174</v>
      </c>
      <c r="D151" s="299">
        <f>IF(C151="","",PRIX!D152*'QUANTITE DETENUES'!D152)</f>
        <v>788.4925154</v>
      </c>
      <c r="E151" s="299">
        <f>IF(D151="","",PRIX!E152*'QUANTITE DETENUES'!E152)</f>
        <v>5273.285351</v>
      </c>
      <c r="F151" s="299">
        <f>IF(E151="","",PRIX!F152*'QUANTITE DETENUES'!F152)</f>
        <v>4723.495009</v>
      </c>
      <c r="G151" s="299">
        <f>IF(F151="","",PRIX!G152*'QUANTITE DETENUES'!G152)</f>
        <v>0</v>
      </c>
      <c r="H151" s="299">
        <f>IF(G151="","",PRIX!H152*'QUANTITE DETENUES'!H152)</f>
        <v>2251.9925</v>
      </c>
      <c r="I151" s="299">
        <f>IF(H151="","",PRIX!I152*'QUANTITE DETENUES'!I152)</f>
        <v>1244.23628</v>
      </c>
      <c r="J151" s="299">
        <f>IF(I151="","",PRIX!J152*'QUANTITE DETENUES'!J152)</f>
        <v>272.6909108</v>
      </c>
      <c r="K151" s="299">
        <f>IF(J151="","",PRIX!K152*'QUANTITE DETENUES'!K152)</f>
        <v>330.4091523</v>
      </c>
      <c r="L151" s="299">
        <f>IF(K151="","",PRIX!L152*'QUANTITE DETENUES'!L152)</f>
        <v>0</v>
      </c>
      <c r="M151" s="299">
        <f>IF(L151="","",PRIX!M152*'QUANTITE DETENUES'!M152)</f>
        <v>2441.577158</v>
      </c>
      <c r="N151" s="299">
        <f>IF(M151="","",PRIX!N152*'QUANTITE DETENUES'!N152)</f>
        <v>0</v>
      </c>
      <c r="O151" s="299">
        <f>IF(N151="","",PRIX!O152*'QUANTITE DETENUES'!O152)</f>
        <v>759.9225882</v>
      </c>
      <c r="P151" s="299">
        <f>IF(O151="","",PRIX!P152*'QUANTITE DETENUES'!P152)</f>
        <v>0.00005783978398</v>
      </c>
      <c r="Q151" s="299">
        <f>IF(P151="","",PRIX!Q152*'QUANTITE DETENUES'!Q152)</f>
        <v>253.365</v>
      </c>
      <c r="R151" s="299">
        <f>IF(Q151="","",PRIX!R152*'QUANTITE DETENUES'!R152)</f>
        <v>0</v>
      </c>
      <c r="S151" s="300">
        <f>IF(R151="","",PRIX!S152*'QUANTITE DETENUES'!S152)</f>
        <v>0</v>
      </c>
      <c r="T151" s="14">
        <f>IF(A151="","",ARBITRAGES!M152)</f>
        <v>12924.39938</v>
      </c>
      <c r="U151" s="301">
        <f t="shared" si="1"/>
        <v>63068.19267</v>
      </c>
      <c r="V151" s="302">
        <f t="shared" si="2"/>
        <v>0.7950726217</v>
      </c>
      <c r="W151" s="288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308"/>
      <c r="AI151" s="220"/>
      <c r="AJ151" s="220"/>
      <c r="AK151" s="220"/>
      <c r="AL151" s="220"/>
      <c r="AM151" s="220"/>
      <c r="AN151" s="220"/>
      <c r="AO151" s="220"/>
      <c r="AP151" s="220"/>
      <c r="AQ151" s="220"/>
      <c r="AR151" s="220"/>
      <c r="AS151" s="220"/>
      <c r="AT151" s="220"/>
      <c r="AU151" s="220"/>
      <c r="AV151" s="220"/>
      <c r="AW151" s="220"/>
      <c r="AX151" s="220"/>
      <c r="AY151" s="220"/>
      <c r="AZ151" s="220"/>
      <c r="BA151" s="220"/>
    </row>
    <row r="152">
      <c r="A152" s="290">
        <f>PRIX!A153</f>
        <v>45911</v>
      </c>
      <c r="B152" s="299">
        <f>IF(A152="","",PRIX!B153*'QUANTITE DETENUES'!B153)</f>
        <v>23262.8666</v>
      </c>
      <c r="C152" s="299">
        <f>IF(B152="","",PRIX!C153*'QUANTITE DETENUES'!C153)</f>
        <v>8876.520456</v>
      </c>
      <c r="D152" s="299">
        <f>IF(C152="","",PRIX!D153*'QUANTITE DETENUES'!D153)</f>
        <v>788.4925154</v>
      </c>
      <c r="E152" s="299">
        <f>IF(D152="","",PRIX!E153*'QUANTITE DETENUES'!E153)</f>
        <v>5273.285351</v>
      </c>
      <c r="F152" s="299">
        <f>IF(E152="","",PRIX!F153*'QUANTITE DETENUES'!F153)</f>
        <v>4723.495009</v>
      </c>
      <c r="G152" s="299">
        <f>IF(F152="","",PRIX!G153*'QUANTITE DETENUES'!G153)</f>
        <v>0</v>
      </c>
      <c r="H152" s="299">
        <f>IF(G152="","",PRIX!H153*'QUANTITE DETENUES'!H153)</f>
        <v>2251.9925</v>
      </c>
      <c r="I152" s="299">
        <f>IF(H152="","",PRIX!I153*'QUANTITE DETENUES'!I153)</f>
        <v>1244.23628</v>
      </c>
      <c r="J152" s="299">
        <f>IF(I152="","",PRIX!J153*'QUANTITE DETENUES'!J153)</f>
        <v>272.6909108</v>
      </c>
      <c r="K152" s="299">
        <f>IF(J152="","",PRIX!K153*'QUANTITE DETENUES'!K153)</f>
        <v>330.4091523</v>
      </c>
      <c r="L152" s="299">
        <f>IF(K152="","",PRIX!L153*'QUANTITE DETENUES'!L153)</f>
        <v>0</v>
      </c>
      <c r="M152" s="299">
        <f>IF(L152="","",PRIX!M153*'QUANTITE DETENUES'!M153)</f>
        <v>2441.577158</v>
      </c>
      <c r="N152" s="299">
        <f>IF(M152="","",PRIX!N153*'QUANTITE DETENUES'!N153)</f>
        <v>0</v>
      </c>
      <c r="O152" s="299">
        <f>IF(N152="","",PRIX!O153*'QUANTITE DETENUES'!O153)</f>
        <v>654.9750882</v>
      </c>
      <c r="P152" s="299">
        <f>IF(O152="","",PRIX!P153*'QUANTITE DETENUES'!P153)</f>
        <v>0.00005783978398</v>
      </c>
      <c r="Q152" s="299">
        <f>IF(P152="","",PRIX!Q153*'QUANTITE DETENUES'!Q153)</f>
        <v>253.365</v>
      </c>
      <c r="R152" s="299">
        <f>IF(Q152="","",PRIX!R153*'QUANTITE DETENUES'!R153)</f>
        <v>0</v>
      </c>
      <c r="S152" s="300">
        <f>IF(R152="","",PRIX!S153*'QUANTITE DETENUES'!S153)</f>
        <v>0</v>
      </c>
      <c r="T152" s="14">
        <f>IF(A152="","",ARBITRAGES!M153)</f>
        <v>13028.39938</v>
      </c>
      <c r="U152" s="301">
        <f t="shared" si="1"/>
        <v>63402.30545</v>
      </c>
      <c r="V152" s="302">
        <f t="shared" si="2"/>
        <v>0.794512214</v>
      </c>
      <c r="W152" s="288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308"/>
      <c r="AI152" s="220"/>
      <c r="AJ152" s="220"/>
      <c r="AK152" s="220"/>
      <c r="AL152" s="220"/>
      <c r="AM152" s="220"/>
      <c r="AN152" s="220"/>
      <c r="AO152" s="220"/>
      <c r="AP152" s="220"/>
      <c r="AQ152" s="220"/>
      <c r="AR152" s="220"/>
      <c r="AS152" s="220"/>
      <c r="AT152" s="220"/>
      <c r="AU152" s="220"/>
      <c r="AV152" s="220"/>
      <c r="AW152" s="220"/>
      <c r="AX152" s="220"/>
      <c r="AY152" s="220"/>
      <c r="AZ152" s="220"/>
      <c r="BA152" s="220"/>
    </row>
    <row r="153">
      <c r="A153" s="290">
        <f>PRIX!A154</f>
        <v>45911</v>
      </c>
      <c r="B153" s="299">
        <f>IF(A153="","",PRIX!B154*'QUANTITE DETENUES'!B154)</f>
        <v>23262.8666</v>
      </c>
      <c r="C153" s="299">
        <f>IF(B153="","",PRIX!C154*'QUANTITE DETENUES'!C154)</f>
        <v>8876.520456</v>
      </c>
      <c r="D153" s="299">
        <f>IF(C153="","",PRIX!D154*'QUANTITE DETENUES'!D154)</f>
        <v>788.4925154</v>
      </c>
      <c r="E153" s="299">
        <f>IF(D153="","",PRIX!E154*'QUANTITE DETENUES'!E154)</f>
        <v>5033.285351</v>
      </c>
      <c r="F153" s="299">
        <f>IF(E153="","",PRIX!F154*'QUANTITE DETENUES'!F154)</f>
        <v>4723.495009</v>
      </c>
      <c r="G153" s="299">
        <f>IF(F153="","",PRIX!G154*'QUANTITE DETENUES'!G154)</f>
        <v>0</v>
      </c>
      <c r="H153" s="299">
        <f>IF(G153="","",PRIX!H154*'QUANTITE DETENUES'!H154)</f>
        <v>2251.9925</v>
      </c>
      <c r="I153" s="299">
        <f>IF(H153="","",PRIX!I154*'QUANTITE DETENUES'!I154)</f>
        <v>1244.23628</v>
      </c>
      <c r="J153" s="299">
        <f>IF(I153="","",PRIX!J154*'QUANTITE DETENUES'!J154)</f>
        <v>272.6909108</v>
      </c>
      <c r="K153" s="299">
        <f>IF(J153="","",PRIX!K154*'QUANTITE DETENUES'!K154)</f>
        <v>330.4091523</v>
      </c>
      <c r="L153" s="299">
        <f>IF(K153="","",PRIX!L154*'QUANTITE DETENUES'!L154)</f>
        <v>0</v>
      </c>
      <c r="M153" s="299">
        <f>IF(L153="","",PRIX!M154*'QUANTITE DETENUES'!M154)</f>
        <v>2441.577158</v>
      </c>
      <c r="N153" s="299">
        <f>IF(M153="","",PRIX!N154*'QUANTITE DETENUES'!N154)</f>
        <v>0</v>
      </c>
      <c r="O153" s="299">
        <f>IF(N153="","",PRIX!O154*'QUANTITE DETENUES'!O154)</f>
        <v>654.9750882</v>
      </c>
      <c r="P153" s="299">
        <f>IF(O153="","",PRIX!P154*'QUANTITE DETENUES'!P154)</f>
        <v>0.00005783978398</v>
      </c>
      <c r="Q153" s="299">
        <f>IF(P153="","",PRIX!Q154*'QUANTITE DETENUES'!Q154)</f>
        <v>253.365</v>
      </c>
      <c r="R153" s="299">
        <f>IF(Q153="","",PRIX!R154*'QUANTITE DETENUES'!R154)</f>
        <v>0</v>
      </c>
      <c r="S153" s="300">
        <f>IF(R153="","",PRIX!S154*'QUANTITE DETENUES'!S154)</f>
        <v>0</v>
      </c>
      <c r="T153" s="14">
        <f>IF(A153="","",ARBITRAGES!M154)</f>
        <v>13263.39938</v>
      </c>
      <c r="U153" s="301">
        <f t="shared" si="1"/>
        <v>63397.30545</v>
      </c>
      <c r="V153" s="302">
        <f t="shared" si="2"/>
        <v>0.7907892255</v>
      </c>
      <c r="W153" s="288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308"/>
      <c r="AI153" s="220"/>
      <c r="AJ153" s="220"/>
      <c r="AK153" s="220"/>
      <c r="AL153" s="220"/>
      <c r="AM153" s="220"/>
      <c r="AN153" s="220"/>
      <c r="AO153" s="220"/>
      <c r="AP153" s="220"/>
      <c r="AQ153" s="220"/>
      <c r="AR153" s="220"/>
      <c r="AS153" s="220"/>
      <c r="AT153" s="220"/>
      <c r="AU153" s="220"/>
      <c r="AV153" s="220"/>
      <c r="AW153" s="220"/>
      <c r="AX153" s="220"/>
      <c r="AY153" s="220"/>
      <c r="AZ153" s="220"/>
      <c r="BA153" s="220"/>
    </row>
    <row r="154">
      <c r="A154" s="290">
        <f>PRIX!A155</f>
        <v>45912</v>
      </c>
      <c r="B154" s="299">
        <f>IF(A154="","",PRIX!B155*'QUANTITE DETENUES'!B155)</f>
        <v>23262.8666</v>
      </c>
      <c r="C154" s="299">
        <f>IF(B154="","",PRIX!C155*'QUANTITE DETENUES'!C155)</f>
        <v>8876.520456</v>
      </c>
      <c r="D154" s="299">
        <f>IF(C154="","",PRIX!D155*'QUANTITE DETENUES'!D155)</f>
        <v>788.9725154</v>
      </c>
      <c r="E154" s="299">
        <f>IF(D154="","",PRIX!E155*'QUANTITE DETENUES'!E155)</f>
        <v>4561.685351</v>
      </c>
      <c r="F154" s="299">
        <f>IF(E154="","",PRIX!F155*'QUANTITE DETENUES'!F155)</f>
        <v>4723.495009</v>
      </c>
      <c r="G154" s="299">
        <f>IF(F154="","",PRIX!G155*'QUANTITE DETENUES'!G155)</f>
        <v>0</v>
      </c>
      <c r="H154" s="299">
        <f>IF(G154="","",PRIX!H155*'QUANTITE DETENUES'!H155)</f>
        <v>2251.9925</v>
      </c>
      <c r="I154" s="299">
        <f>IF(H154="","",PRIX!I155*'QUANTITE DETENUES'!I155)</f>
        <v>1244.23628</v>
      </c>
      <c r="J154" s="299">
        <f>IF(I154="","",PRIX!J155*'QUANTITE DETENUES'!J155)</f>
        <v>272.6909108</v>
      </c>
      <c r="K154" s="299">
        <f>IF(J154="","",PRIX!K155*'QUANTITE DETENUES'!K155)</f>
        <v>330.4091523</v>
      </c>
      <c r="L154" s="299">
        <f>IF(K154="","",PRIX!L155*'QUANTITE DETENUES'!L155)</f>
        <v>0</v>
      </c>
      <c r="M154" s="299">
        <f>IF(L154="","",PRIX!M155*'QUANTITE DETENUES'!M155)</f>
        <v>2441.577158</v>
      </c>
      <c r="N154" s="299">
        <f>IF(M154="","",PRIX!N155*'QUANTITE DETENUES'!N155)</f>
        <v>0</v>
      </c>
      <c r="O154" s="299">
        <f>IF(N154="","",PRIX!O155*'QUANTITE DETENUES'!O155)</f>
        <v>654.9750882</v>
      </c>
      <c r="P154" s="299">
        <f>IF(O154="","",PRIX!P155*'QUANTITE DETENUES'!P155)</f>
        <v>0.00005783978398</v>
      </c>
      <c r="Q154" s="299">
        <f>IF(P154="","",PRIX!Q155*'QUANTITE DETENUES'!Q155)</f>
        <v>253.5225</v>
      </c>
      <c r="R154" s="299">
        <f>IF(Q154="","",PRIX!R155*'QUANTITE DETENUES'!R155)</f>
        <v>0</v>
      </c>
      <c r="S154" s="300">
        <f>IF(R154="","",PRIX!S155*'QUANTITE DETENUES'!S155)</f>
        <v>0</v>
      </c>
      <c r="T154" s="14">
        <f>IF(A154="","",ARBITRAGES!M155)</f>
        <v>13453.39938</v>
      </c>
      <c r="U154" s="301">
        <f t="shared" si="1"/>
        <v>63116.34295</v>
      </c>
      <c r="V154" s="302">
        <f t="shared" si="2"/>
        <v>0.7868476096</v>
      </c>
      <c r="W154" s="288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308"/>
      <c r="AI154" s="220"/>
      <c r="AJ154" s="220"/>
      <c r="AK154" s="220"/>
      <c r="AL154" s="220"/>
      <c r="AM154" s="220"/>
      <c r="AN154" s="220"/>
      <c r="AO154" s="220"/>
      <c r="AP154" s="220"/>
      <c r="AQ154" s="220"/>
      <c r="AR154" s="220"/>
      <c r="AS154" s="220"/>
      <c r="AT154" s="220"/>
      <c r="AU154" s="220"/>
      <c r="AV154" s="220"/>
      <c r="AW154" s="220"/>
      <c r="AX154" s="220"/>
      <c r="AY154" s="220"/>
      <c r="AZ154" s="220"/>
      <c r="BA154" s="220"/>
    </row>
    <row r="155">
      <c r="A155" s="290">
        <f>PRIX!A156</f>
        <v>45914</v>
      </c>
      <c r="B155" s="299">
        <f>IF(A155="","",PRIX!B156*'QUANTITE DETENUES'!B156)</f>
        <v>23464.2767</v>
      </c>
      <c r="C155" s="299">
        <f>IF(B155="","",PRIX!C156*'QUANTITE DETENUES'!C156)</f>
        <v>9069.488292</v>
      </c>
      <c r="D155" s="299">
        <f>IF(C155="","",PRIX!D156*'QUANTITE DETENUES'!D156)</f>
        <v>813.6279065</v>
      </c>
      <c r="E155" s="299">
        <f>IF(D155="","",PRIX!E156*'QUANTITE DETENUES'!E156)</f>
        <v>4411.720462</v>
      </c>
      <c r="F155" s="299">
        <f>IF(E155="","",PRIX!F156*'QUANTITE DETENUES'!F156)</f>
        <v>4723.495009</v>
      </c>
      <c r="G155" s="299">
        <f>IF(F155="","",PRIX!G156*'QUANTITE DETENUES'!G156)</f>
        <v>0</v>
      </c>
      <c r="H155" s="299">
        <f>IF(G155="","",PRIX!H156*'QUANTITE DETENUES'!H156)</f>
        <v>2197.94468</v>
      </c>
      <c r="I155" s="299">
        <f>IF(H155="","",PRIX!I156*'QUANTITE DETENUES'!I156)</f>
        <v>1356.4982</v>
      </c>
      <c r="J155" s="299">
        <f>IF(I155="","",PRIX!J156*'QUANTITE DETENUES'!J156)</f>
        <v>282.9424488</v>
      </c>
      <c r="K155" s="299">
        <f>IF(J155="","",PRIX!K156*'QUANTITE DETENUES'!K156)</f>
        <v>330.4091523</v>
      </c>
      <c r="L155" s="299">
        <f>IF(K155="","",PRIX!L156*'QUANTITE DETENUES'!L156)</f>
        <v>0</v>
      </c>
      <c r="M155" s="299">
        <f>IF(L155="","",PRIX!M156*'QUANTITE DETENUES'!M156)</f>
        <v>2402.821965</v>
      </c>
      <c r="N155" s="299">
        <f>IF(M155="","",PRIX!N156*'QUANTITE DETENUES'!N156)</f>
        <v>0</v>
      </c>
      <c r="O155" s="299">
        <f>IF(N155="","",PRIX!O156*'QUANTITE DETENUES'!O156)</f>
        <v>623.7857983</v>
      </c>
      <c r="P155" s="299">
        <f>IF(O155="","",PRIX!P156*'QUANTITE DETENUES'!P156)</f>
        <v>0.00005783978398</v>
      </c>
      <c r="Q155" s="299">
        <f>IF(P155="","",PRIX!Q156*'QUANTITE DETENUES'!Q156)</f>
        <v>253.5225</v>
      </c>
      <c r="R155" s="299">
        <f>IF(Q155="","",PRIX!R156*'QUANTITE DETENUES'!R156)</f>
        <v>0</v>
      </c>
      <c r="S155" s="300">
        <f>IF(R155="","",PRIX!S156*'QUANTITE DETENUES'!S156)</f>
        <v>0</v>
      </c>
      <c r="T155" s="14">
        <f>IF(A155="","",ARBITRAGES!M156)</f>
        <v>13698.39938</v>
      </c>
      <c r="U155" s="301">
        <f t="shared" si="1"/>
        <v>63628.93254</v>
      </c>
      <c r="V155" s="302">
        <f t="shared" si="2"/>
        <v>0.7847142985</v>
      </c>
      <c r="W155" s="288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308"/>
      <c r="AI155" s="220"/>
      <c r="AJ155" s="220"/>
      <c r="AK155" s="220"/>
      <c r="AL155" s="220"/>
      <c r="AM155" s="220"/>
      <c r="AN155" s="220"/>
      <c r="AO155" s="220"/>
      <c r="AP155" s="220"/>
      <c r="AQ155" s="220"/>
      <c r="AR155" s="220"/>
      <c r="AS155" s="220"/>
      <c r="AT155" s="220"/>
      <c r="AU155" s="220"/>
      <c r="AV155" s="220"/>
      <c r="AW155" s="220"/>
      <c r="AX155" s="220"/>
      <c r="AY155" s="220"/>
      <c r="AZ155" s="220"/>
      <c r="BA155" s="220"/>
    </row>
    <row r="156">
      <c r="A156" s="290">
        <f>PRIX!A157</f>
        <v>45918</v>
      </c>
      <c r="B156" s="299">
        <f>IF(A156="","",PRIX!B157*'QUANTITE DETENUES'!B157)</f>
        <v>23262.8666</v>
      </c>
      <c r="C156" s="299">
        <f>IF(B156="","",PRIX!C157*'QUANTITE DETENUES'!C157)</f>
        <v>8780.036538</v>
      </c>
      <c r="D156" s="299">
        <f>IF(C156="","",PRIX!D157*'QUANTITE DETENUES'!D157)</f>
        <v>788.9725154</v>
      </c>
      <c r="E156" s="299">
        <f>IF(D156="","",PRIX!E157*'QUANTITE DETENUES'!E157)</f>
        <v>4231.650239</v>
      </c>
      <c r="F156" s="299">
        <f>IF(E156="","",PRIX!F157*'QUANTITE DETENUES'!F157)</f>
        <v>4446.96691</v>
      </c>
      <c r="G156" s="299">
        <f>IF(F156="","",PRIX!G157*'QUANTITE DETENUES'!G157)</f>
        <v>0</v>
      </c>
      <c r="H156" s="299">
        <f>IF(G156="","",PRIX!H157*'QUANTITE DETENUES'!H157)</f>
        <v>2139.392875</v>
      </c>
      <c r="I156" s="299">
        <f>IF(H156="","",PRIX!I157*'QUANTITE DETENUES'!I157)</f>
        <v>1262.9466</v>
      </c>
      <c r="J156" s="299">
        <f>IF(I156="","",PRIX!J157*'QUANTITE DETENUES'!J157)</f>
        <v>268.5902956</v>
      </c>
      <c r="K156" s="299">
        <f>IF(J156="","",PRIX!K157*'QUANTITE DETENUES'!K157)</f>
        <v>317.701108</v>
      </c>
      <c r="L156" s="299">
        <f>IF(K156="","",PRIX!L157*'QUANTITE DETENUES'!L157)</f>
        <v>0</v>
      </c>
      <c r="M156" s="299">
        <f>IF(L156="","",PRIX!M157*'QUANTITE DETENUES'!M157)</f>
        <v>2325.311579</v>
      </c>
      <c r="N156" s="299">
        <f>IF(M156="","",PRIX!N157*'QUANTITE DETENUES'!N157)</f>
        <v>0</v>
      </c>
      <c r="O156" s="299">
        <f>IF(N156="","",PRIX!O157*'QUANTITE DETENUES'!O157)</f>
        <v>623.7857983</v>
      </c>
      <c r="P156" s="299">
        <f>IF(O156="","",PRIX!P157*'QUANTITE DETENUES'!P157)</f>
        <v>0.00005783978398</v>
      </c>
      <c r="Q156" s="299">
        <f>IF(P156="","",PRIX!Q157*'QUANTITE DETENUES'!Q157)</f>
        <v>253.5225</v>
      </c>
      <c r="R156" s="299">
        <f>IF(Q156="","",PRIX!R157*'QUANTITE DETENUES'!R157)</f>
        <v>0</v>
      </c>
      <c r="S156" s="300">
        <f>IF(R156="","",PRIX!S157*'QUANTITE DETENUES'!S157)</f>
        <v>0</v>
      </c>
      <c r="T156" s="14">
        <f>IF(A156="","",ARBITRAGES!M157)</f>
        <v>13920.39938</v>
      </c>
      <c r="U156" s="301">
        <f t="shared" si="1"/>
        <v>62622.14299</v>
      </c>
      <c r="V156" s="302">
        <f t="shared" si="2"/>
        <v>0.7777080325</v>
      </c>
      <c r="W156" s="288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308"/>
      <c r="AI156" s="220"/>
      <c r="AJ156" s="220"/>
      <c r="AK156" s="220"/>
      <c r="AL156" s="220"/>
      <c r="AM156" s="220"/>
      <c r="AN156" s="220"/>
      <c r="AO156" s="220"/>
      <c r="AP156" s="220"/>
      <c r="AQ156" s="220"/>
      <c r="AR156" s="220"/>
      <c r="AS156" s="220"/>
      <c r="AT156" s="220"/>
      <c r="AU156" s="220"/>
      <c r="AV156" s="220"/>
      <c r="AW156" s="220"/>
      <c r="AX156" s="220"/>
      <c r="AY156" s="220"/>
      <c r="AZ156" s="220"/>
      <c r="BA156" s="220"/>
    </row>
    <row r="157">
      <c r="A157" s="290">
        <f>PRIX!A158</f>
        <v>45918</v>
      </c>
      <c r="B157" s="299">
        <f>IF(A157="","",PRIX!B158*'QUANTITE DETENUES'!B158)</f>
        <v>23262.8666</v>
      </c>
      <c r="C157" s="299">
        <f>IF(B157="","",PRIX!C158*'QUANTITE DETENUES'!C158)</f>
        <v>8780.036538</v>
      </c>
      <c r="D157" s="299">
        <f>IF(C157="","",PRIX!D158*'QUANTITE DETENUES'!D158)</f>
        <v>788.9725154</v>
      </c>
      <c r="E157" s="299">
        <f>IF(D157="","",PRIX!E158*'QUANTITE DETENUES'!E158)</f>
        <v>3996.650239</v>
      </c>
      <c r="F157" s="299">
        <f>IF(E157="","",PRIX!F158*'QUANTITE DETENUES'!F158)</f>
        <v>4446.96691</v>
      </c>
      <c r="G157" s="299">
        <f>IF(F157="","",PRIX!G158*'QUANTITE DETENUES'!G158)</f>
        <v>0</v>
      </c>
      <c r="H157" s="299">
        <f>IF(G157="","",PRIX!H158*'QUANTITE DETENUES'!H158)</f>
        <v>2139.392875</v>
      </c>
      <c r="I157" s="299">
        <f>IF(H157="","",PRIX!I158*'QUANTITE DETENUES'!I158)</f>
        <v>1262.9466</v>
      </c>
      <c r="J157" s="299">
        <f>IF(I157="","",PRIX!J158*'QUANTITE DETENUES'!J158)</f>
        <v>268.5902956</v>
      </c>
      <c r="K157" s="299">
        <f>IF(J157="","",PRIX!K158*'QUANTITE DETENUES'!K158)</f>
        <v>317.701108</v>
      </c>
      <c r="L157" s="299">
        <f>IF(K157="","",PRIX!L158*'QUANTITE DETENUES'!L158)</f>
        <v>0</v>
      </c>
      <c r="M157" s="299">
        <f>IF(L157="","",PRIX!M158*'QUANTITE DETENUES'!M158)</f>
        <v>2325.311579</v>
      </c>
      <c r="N157" s="299">
        <f>IF(M157="","",PRIX!N158*'QUANTITE DETENUES'!N158)</f>
        <v>0</v>
      </c>
      <c r="O157" s="299">
        <f>IF(N157="","",PRIX!O158*'QUANTITE DETENUES'!O158)</f>
        <v>623.7857983</v>
      </c>
      <c r="P157" s="299">
        <f>IF(O157="","",PRIX!P158*'QUANTITE DETENUES'!P158)</f>
        <v>0.00005783978398</v>
      </c>
      <c r="Q157" s="299">
        <f>IF(P157="","",PRIX!Q158*'QUANTITE DETENUES'!Q158)</f>
        <v>253.5225</v>
      </c>
      <c r="R157" s="299">
        <f>IF(Q157="","",PRIX!R158*'QUANTITE DETENUES'!R158)</f>
        <v>0</v>
      </c>
      <c r="S157" s="300">
        <f>IF(R157="","",PRIX!S158*'QUANTITE DETENUES'!S158)</f>
        <v>0</v>
      </c>
      <c r="T157" s="14">
        <f>IF(A157="","",ARBITRAGES!M158)</f>
        <v>14170.39938</v>
      </c>
      <c r="U157" s="301">
        <f t="shared" si="1"/>
        <v>62637.14299</v>
      </c>
      <c r="V157" s="302">
        <f t="shared" si="2"/>
        <v>0.7737700237</v>
      </c>
      <c r="W157" s="288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308"/>
      <c r="AI157" s="220"/>
      <c r="AJ157" s="220"/>
      <c r="AK157" s="220"/>
      <c r="AL157" s="220"/>
      <c r="AM157" s="220"/>
      <c r="AN157" s="220"/>
      <c r="AO157" s="220"/>
      <c r="AP157" s="220"/>
      <c r="AQ157" s="220"/>
      <c r="AR157" s="220"/>
      <c r="AS157" s="220"/>
      <c r="AT157" s="220"/>
      <c r="AU157" s="220"/>
      <c r="AV157" s="220"/>
      <c r="AW157" s="220"/>
      <c r="AX157" s="220"/>
      <c r="AY157" s="220"/>
      <c r="AZ157" s="220"/>
      <c r="BA157" s="220"/>
    </row>
    <row r="158">
      <c r="A158" s="290">
        <f>PRIX!A159</f>
        <v>45919</v>
      </c>
      <c r="B158" s="299">
        <f>IF(A158="","",PRIX!B159*'QUANTITE DETENUES'!B159)</f>
        <v>23262.8666</v>
      </c>
      <c r="C158" s="299">
        <f>IF(B158="","",PRIX!C159*'QUANTITE DETENUES'!C159)</f>
        <v>8780.036538</v>
      </c>
      <c r="D158" s="299">
        <f>IF(C158="","",PRIX!D159*'QUANTITE DETENUES'!D159)</f>
        <v>788.9725154</v>
      </c>
      <c r="E158" s="299">
        <f>IF(D158="","",PRIX!E159*'QUANTITE DETENUES'!E159)</f>
        <v>3996.650239</v>
      </c>
      <c r="F158" s="299">
        <f>IF(E158="","",PRIX!F159*'QUANTITE DETENUES'!F159)</f>
        <v>4202.31691</v>
      </c>
      <c r="G158" s="299">
        <f>IF(F158="","",PRIX!G159*'QUANTITE DETENUES'!G159)</f>
        <v>0</v>
      </c>
      <c r="H158" s="299">
        <f>IF(G158="","",PRIX!H159*'QUANTITE DETENUES'!H159)</f>
        <v>2139.392875</v>
      </c>
      <c r="I158" s="299">
        <f>IF(H158="","",PRIX!I159*'QUANTITE DETENUES'!I159)</f>
        <v>1262.9466</v>
      </c>
      <c r="J158" s="299">
        <f>IF(I158="","",PRIX!J159*'QUANTITE DETENUES'!J159)</f>
        <v>268.5902956</v>
      </c>
      <c r="K158" s="299">
        <f>IF(J158="","",PRIX!K159*'QUANTITE DETENUES'!K159)</f>
        <v>317.701108</v>
      </c>
      <c r="L158" s="299">
        <f>IF(K158="","",PRIX!L159*'QUANTITE DETENUES'!L159)</f>
        <v>0</v>
      </c>
      <c r="M158" s="299">
        <f>IF(L158="","",PRIX!M159*'QUANTITE DETENUES'!M159)</f>
        <v>2325.311579</v>
      </c>
      <c r="N158" s="299">
        <f>IF(M158="","",PRIX!N159*'QUANTITE DETENUES'!N159)</f>
        <v>0</v>
      </c>
      <c r="O158" s="299">
        <f>IF(N158="","",PRIX!O159*'QUANTITE DETENUES'!O159)</f>
        <v>623.7857983</v>
      </c>
      <c r="P158" s="299">
        <f>IF(O158="","",PRIX!P159*'QUANTITE DETENUES'!P159)</f>
        <v>0.00005783978398</v>
      </c>
      <c r="Q158" s="299">
        <f>IF(P158="","",PRIX!Q159*'QUANTITE DETENUES'!Q159)</f>
        <v>253.5225</v>
      </c>
      <c r="R158" s="299">
        <f>IF(Q158="","",PRIX!R159*'QUANTITE DETENUES'!R159)</f>
        <v>0</v>
      </c>
      <c r="S158" s="300">
        <f>IF(R158="","",PRIX!S159*'QUANTITE DETENUES'!S159)</f>
        <v>0</v>
      </c>
      <c r="T158" s="14">
        <f>IF(A158="","",ARBITRAGES!M159)</f>
        <v>14420.29938</v>
      </c>
      <c r="U158" s="301">
        <f t="shared" si="1"/>
        <v>62642.39299</v>
      </c>
      <c r="V158" s="302">
        <f t="shared" si="2"/>
        <v>0.7697996726</v>
      </c>
      <c r="W158" s="288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308"/>
      <c r="AI158" s="220"/>
      <c r="AJ158" s="220"/>
      <c r="AK158" s="220"/>
      <c r="AL158" s="220"/>
      <c r="AM158" s="220"/>
      <c r="AN158" s="220"/>
      <c r="AO158" s="220"/>
      <c r="AP158" s="220"/>
      <c r="AQ158" s="220"/>
      <c r="AR158" s="220"/>
      <c r="AS158" s="220"/>
      <c r="AT158" s="220"/>
      <c r="AU158" s="220"/>
      <c r="AV158" s="220"/>
      <c r="AW158" s="220"/>
      <c r="AX158" s="220"/>
      <c r="AY158" s="220"/>
      <c r="AZ158" s="220"/>
      <c r="BA158" s="220"/>
    </row>
    <row r="159">
      <c r="A159" s="290">
        <f>PRIX!A160</f>
        <v>45922</v>
      </c>
      <c r="B159" s="299">
        <f>IF(A159="","",PRIX!B160*'QUANTITE DETENUES'!B160)</f>
        <v>22759.34135</v>
      </c>
      <c r="C159" s="299">
        <f>IF(B159="","",PRIX!C160*'QUANTITE DETENUES'!C160)</f>
        <v>8818.649112</v>
      </c>
      <c r="D159" s="299">
        <f>IF(C159="","",PRIX!D160*'QUANTITE DETENUES'!D160)</f>
        <v>702.6786465</v>
      </c>
      <c r="E159" s="299">
        <f>IF(D159="","",PRIX!E160*'QUANTITE DETENUES'!E160)</f>
        <v>3741.544905</v>
      </c>
      <c r="F159" s="299">
        <f>IF(E159="","",PRIX!F160*'QUANTITE DETENUES'!F160)</f>
        <v>3842.118318</v>
      </c>
      <c r="G159" s="299">
        <f>IF(F159="","",PRIX!G160*'QUANTITE DETENUES'!G160)</f>
        <v>0</v>
      </c>
      <c r="H159" s="299">
        <f>IF(G159="","",PRIX!H160*'QUANTITE DETENUES'!H160)</f>
        <v>1968.241445</v>
      </c>
      <c r="I159" s="299">
        <f>IF(H159="","",PRIX!I160*'QUANTITE DETENUES'!I160)</f>
        <v>1122.6192</v>
      </c>
      <c r="J159" s="299">
        <f>IF(I159="","",PRIX!J160*'QUANTITE DETENUES'!J160)</f>
        <v>250.1375272</v>
      </c>
      <c r="K159" s="299">
        <f>IF(J159="","",PRIX!K160*'QUANTITE DETENUES'!K160)</f>
        <v>349.4712188</v>
      </c>
      <c r="L159" s="299">
        <f>IF(K159="","",PRIX!L160*'QUANTITE DETENUES'!L160)</f>
        <v>0</v>
      </c>
      <c r="M159" s="299">
        <f>IF(L159="","",PRIX!M160*'QUANTITE DETENUES'!M160)</f>
        <v>2131.535614</v>
      </c>
      <c r="N159" s="299">
        <f>IF(M159="","",PRIX!N160*'QUANTITE DETENUES'!N160)</f>
        <v>0</v>
      </c>
      <c r="O159" s="299">
        <f>IF(N159="","",PRIX!O160*'QUANTITE DETENUES'!O160)</f>
        <v>611.3100823</v>
      </c>
      <c r="P159" s="299">
        <f>IF(O159="","",PRIX!P160*'QUANTITE DETENUES'!P160)</f>
        <v>0.00004916381638</v>
      </c>
      <c r="Q159" s="299">
        <f>IF(P159="","",PRIX!Q160*'QUANTITE DETENUES'!Q160)</f>
        <v>231.792</v>
      </c>
      <c r="R159" s="299">
        <f>IF(Q159="","",PRIX!R160*'QUANTITE DETENUES'!R160)</f>
        <v>0</v>
      </c>
      <c r="S159" s="300">
        <f>IF(R159="","",PRIX!S160*'QUANTITE DETENUES'!S160)</f>
        <v>0</v>
      </c>
      <c r="T159" s="14">
        <f>IF(A159="","",ARBITRAGES!M160)</f>
        <v>14129.79938</v>
      </c>
      <c r="U159" s="301">
        <f t="shared" si="1"/>
        <v>60659.23884</v>
      </c>
      <c r="V159" s="302">
        <f t="shared" si="2"/>
        <v>0.767062699</v>
      </c>
      <c r="W159" s="288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220"/>
      <c r="AH159" s="308"/>
      <c r="AI159" s="220"/>
      <c r="AJ159" s="220"/>
      <c r="AK159" s="220"/>
      <c r="AL159" s="220"/>
      <c r="AM159" s="220"/>
      <c r="AN159" s="220"/>
      <c r="AO159" s="220"/>
      <c r="AP159" s="220"/>
      <c r="AQ159" s="220"/>
      <c r="AR159" s="220"/>
      <c r="AS159" s="220"/>
      <c r="AT159" s="220"/>
      <c r="AU159" s="220"/>
      <c r="AV159" s="220"/>
      <c r="AW159" s="220"/>
      <c r="AX159" s="220"/>
      <c r="AY159" s="220"/>
      <c r="AZ159" s="220"/>
      <c r="BA159" s="220"/>
    </row>
    <row r="160">
      <c r="A160" s="290">
        <f>PRIX!A161</f>
        <v>45923</v>
      </c>
      <c r="B160" s="299">
        <f>IF(A160="","",PRIX!B161*'QUANTITE DETENUES'!B161)</f>
        <v>22760.24535</v>
      </c>
      <c r="C160" s="299">
        <f>IF(B160="","",PRIX!C161*'QUANTITE DETENUES'!C161)</f>
        <v>8818.649112</v>
      </c>
      <c r="D160" s="299">
        <f>IF(C160="","",PRIX!D161*'QUANTITE DETENUES'!D161)</f>
        <v>702.6786465</v>
      </c>
      <c r="E160" s="299">
        <f>IF(D160="","",PRIX!E161*'QUANTITE DETENUES'!E161)</f>
        <v>3854.844905</v>
      </c>
      <c r="F160" s="299">
        <f>IF(E160="","",PRIX!F161*'QUANTITE DETENUES'!F161)</f>
        <v>3842.118318</v>
      </c>
      <c r="G160" s="299">
        <f>IF(F160="","",PRIX!G161*'QUANTITE DETENUES'!G161)</f>
        <v>0</v>
      </c>
      <c r="H160" s="299">
        <f>IF(G160="","",PRIX!H161*'QUANTITE DETENUES'!H161)</f>
        <v>1968.241445</v>
      </c>
      <c r="I160" s="299">
        <f>IF(H160="","",PRIX!I161*'QUANTITE DETENUES'!I161)</f>
        <v>1122.6192</v>
      </c>
      <c r="J160" s="299">
        <f>IF(I160="","",PRIX!J161*'QUANTITE DETENUES'!J161)</f>
        <v>250.1375272</v>
      </c>
      <c r="K160" s="299">
        <f>IF(J160="","",PRIX!K161*'QUANTITE DETENUES'!K161)</f>
        <v>349.4712188</v>
      </c>
      <c r="L160" s="299">
        <f>IF(K160="","",PRIX!L161*'QUANTITE DETENUES'!L161)</f>
        <v>0</v>
      </c>
      <c r="M160" s="299">
        <f>IF(L160="","",PRIX!M161*'QUANTITE DETENUES'!M161)</f>
        <v>2131.535614</v>
      </c>
      <c r="N160" s="299">
        <f>IF(M160="","",PRIX!N161*'QUANTITE DETENUES'!N161)</f>
        <v>0</v>
      </c>
      <c r="O160" s="299">
        <f>IF(N160="","",PRIX!O161*'QUANTITE DETENUES'!O161)</f>
        <v>611.3100823</v>
      </c>
      <c r="P160" s="299">
        <f>IF(O160="","",PRIX!P161*'QUANTITE DETENUES'!P161)</f>
        <v>0.00004916381638</v>
      </c>
      <c r="Q160" s="299">
        <f>IF(P160="","",PRIX!Q161*'QUANTITE DETENUES'!Q161)</f>
        <v>231.792</v>
      </c>
      <c r="R160" s="299">
        <f>IF(Q160="","",PRIX!R161*'QUANTITE DETENUES'!R161)</f>
        <v>0</v>
      </c>
      <c r="S160" s="300">
        <f>IF(R160="","",PRIX!S161*'QUANTITE DETENUES'!S161)</f>
        <v>0</v>
      </c>
      <c r="T160" s="14">
        <f>IF(A160="","",ARBITRAGES!M161)</f>
        <v>14020.79938</v>
      </c>
      <c r="U160" s="301">
        <f t="shared" si="1"/>
        <v>60664.44284</v>
      </c>
      <c r="V160" s="302">
        <f t="shared" si="2"/>
        <v>0.7688794503</v>
      </c>
      <c r="W160" s="288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308"/>
      <c r="AI160" s="220"/>
      <c r="AJ160" s="220"/>
      <c r="AK160" s="220"/>
      <c r="AL160" s="220"/>
      <c r="AM160" s="220"/>
      <c r="AN160" s="220"/>
      <c r="AO160" s="220"/>
      <c r="AP160" s="220"/>
      <c r="AQ160" s="220"/>
      <c r="AR160" s="220"/>
      <c r="AS160" s="220"/>
      <c r="AT160" s="220"/>
      <c r="AU160" s="220"/>
      <c r="AV160" s="220"/>
      <c r="AW160" s="220"/>
      <c r="AX160" s="220"/>
      <c r="AY160" s="220"/>
      <c r="AZ160" s="220"/>
      <c r="BA160" s="220"/>
    </row>
    <row r="161">
      <c r="A161" s="290">
        <f>PRIX!A162</f>
        <v>45924</v>
      </c>
      <c r="B161" s="299">
        <f>IF(A161="","",PRIX!B162*'QUANTITE DETENUES'!B162)</f>
        <v>22458.11819</v>
      </c>
      <c r="C161" s="299">
        <f>IF(B161="","",PRIX!C162*'QUANTITE DETENUES'!C162)</f>
        <v>8398.71344</v>
      </c>
      <c r="D161" s="299">
        <f>IF(C161="","",PRIX!D162*'QUANTITE DETENUES'!D162)</f>
        <v>685.4198727</v>
      </c>
      <c r="E161" s="299">
        <f>IF(D161="","",PRIX!E162*'QUANTITE DETENUES'!E162)</f>
        <v>3504.404459</v>
      </c>
      <c r="F161" s="299">
        <f>IF(E161="","",PRIX!F162*'QUANTITE DETENUES'!F162)</f>
        <v>3751.985923</v>
      </c>
      <c r="G161" s="299">
        <f>IF(F161="","",PRIX!G162*'QUANTITE DETENUES'!G162)</f>
        <v>0</v>
      </c>
      <c r="H161" s="299">
        <f>IF(G161="","",PRIX!H162*'QUANTITE DETENUES'!H162)</f>
        <v>1968.241445</v>
      </c>
      <c r="I161" s="299">
        <f>IF(H161="","",PRIX!I162*'QUANTITE DETENUES'!I162)</f>
        <v>1085.19856</v>
      </c>
      <c r="J161" s="299">
        <f>IF(I161="","",PRIX!J162*'QUANTITE DETENUES'!J162)</f>
        <v>250.1375272</v>
      </c>
      <c r="K161" s="299">
        <f>IF(J161="","",PRIX!K162*'QUANTITE DETENUES'!K162)</f>
        <v>343.1171966</v>
      </c>
      <c r="L161" s="299">
        <f>IF(K161="","",PRIX!L162*'QUANTITE DETENUES'!L162)</f>
        <v>0</v>
      </c>
      <c r="M161" s="299">
        <f>IF(L161="","",PRIX!M162*'QUANTITE DETENUES'!M162)</f>
        <v>2092.780421</v>
      </c>
      <c r="N161" s="299">
        <f>IF(M161="","",PRIX!N162*'QUANTITE DETENUES'!N162)</f>
        <v>0</v>
      </c>
      <c r="O161" s="299">
        <f>IF(N161="","",PRIX!O162*'QUANTITE DETENUES'!O162)</f>
        <v>573.8829344</v>
      </c>
      <c r="P161" s="299">
        <f>IF(O161="","",PRIX!P162*'QUANTITE DETENUES'!P162)</f>
        <v>0.00004627182718</v>
      </c>
      <c r="Q161" s="299">
        <f>IF(P161="","",PRIX!Q162*'QUANTITE DETENUES'!Q162)</f>
        <v>226.963</v>
      </c>
      <c r="R161" s="299">
        <f>IF(Q161="","",PRIX!R162*'QUANTITE DETENUES'!R162)</f>
        <v>0</v>
      </c>
      <c r="S161" s="300">
        <f>IF(R161="","",PRIX!S162*'QUANTITE DETENUES'!S162)</f>
        <v>0</v>
      </c>
      <c r="T161" s="14">
        <f>IF(A161="","",ARBITRAGES!M162)</f>
        <v>13868.29938</v>
      </c>
      <c r="U161" s="301">
        <f t="shared" si="1"/>
        <v>59207.2624</v>
      </c>
      <c r="V161" s="302">
        <f t="shared" si="2"/>
        <v>0.7657669209</v>
      </c>
      <c r="W161" s="288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220"/>
      <c r="AH161" s="308"/>
      <c r="AI161" s="220"/>
      <c r="AJ161" s="220"/>
      <c r="AK161" s="220"/>
      <c r="AL161" s="220"/>
      <c r="AM161" s="220"/>
      <c r="AN161" s="220"/>
      <c r="AO161" s="220"/>
      <c r="AP161" s="220"/>
      <c r="AQ161" s="220"/>
      <c r="AR161" s="220"/>
      <c r="AS161" s="220"/>
      <c r="AT161" s="220"/>
      <c r="AU161" s="220"/>
      <c r="AV161" s="220"/>
      <c r="AW161" s="220"/>
      <c r="AX161" s="220"/>
      <c r="AY161" s="220"/>
      <c r="AZ161" s="220"/>
      <c r="BA161" s="220"/>
    </row>
    <row r="162">
      <c r="A162" s="290">
        <f>PRIX!A163</f>
        <v>45925</v>
      </c>
      <c r="B162" s="299">
        <f>IF(A162="","",PRIX!B163*'QUANTITE DETENUES'!B163)</f>
        <v>22458.11819</v>
      </c>
      <c r="C162" s="299">
        <f>IF(B162="","",PRIX!C163*'QUANTITE DETENUES'!C163)</f>
        <v>8398.71344</v>
      </c>
      <c r="D162" s="299">
        <f>IF(C162="","",PRIX!D163*'QUANTITE DETENUES'!D163)</f>
        <v>685.4198727</v>
      </c>
      <c r="E162" s="299">
        <f>IF(D162="","",PRIX!E163*'QUANTITE DETENUES'!E163)</f>
        <v>3504.404459</v>
      </c>
      <c r="F162" s="299">
        <f>IF(E162="","",PRIX!F163*'QUANTITE DETENUES'!F163)</f>
        <v>3751.985923</v>
      </c>
      <c r="G162" s="299">
        <f>IF(F162="","",PRIX!G163*'QUANTITE DETENUES'!G163)</f>
        <v>0</v>
      </c>
      <c r="H162" s="299">
        <f>IF(G162="","",PRIX!H163*'QUANTITE DETENUES'!H163)</f>
        <v>1968.241445</v>
      </c>
      <c r="I162" s="299">
        <f>IF(H162="","",PRIX!I163*'QUANTITE DETENUES'!I163)</f>
        <v>1143.43056</v>
      </c>
      <c r="J162" s="299">
        <f>IF(I162="","",PRIX!J163*'QUANTITE DETENUES'!J163)</f>
        <v>250.1375272</v>
      </c>
      <c r="K162" s="299">
        <f>IF(J162="","",PRIX!K163*'QUANTITE DETENUES'!K163)</f>
        <v>343.1171966</v>
      </c>
      <c r="L162" s="299">
        <f>IF(K162="","",PRIX!L163*'QUANTITE DETENUES'!L163)</f>
        <v>0</v>
      </c>
      <c r="M162" s="299">
        <f>IF(L162="","",PRIX!M163*'QUANTITE DETENUES'!M163)</f>
        <v>2092.780421</v>
      </c>
      <c r="N162" s="299">
        <f>IF(M162="","",PRIX!N163*'QUANTITE DETENUES'!N163)</f>
        <v>0</v>
      </c>
      <c r="O162" s="299">
        <f>IF(N162="","",PRIX!O163*'QUANTITE DETENUES'!O163)</f>
        <v>573.8829344</v>
      </c>
      <c r="P162" s="299">
        <f>IF(O162="","",PRIX!P163*'QUANTITE DETENUES'!P163)</f>
        <v>0.00004627182718</v>
      </c>
      <c r="Q162" s="299">
        <f>IF(P162="","",PRIX!Q163*'QUANTITE DETENUES'!Q163)</f>
        <v>226.963</v>
      </c>
      <c r="R162" s="299">
        <f>IF(Q162="","",PRIX!R163*'QUANTITE DETENUES'!R163)</f>
        <v>0</v>
      </c>
      <c r="S162" s="300">
        <f>IF(R162="","",PRIX!S163*'QUANTITE DETENUES'!S163)</f>
        <v>0</v>
      </c>
      <c r="T162" s="14">
        <f>IF(A162="","",ARBITRAGES!M163)</f>
        <v>13810.79938</v>
      </c>
      <c r="U162" s="301">
        <f t="shared" si="1"/>
        <v>59207.9944</v>
      </c>
      <c r="V162" s="302">
        <f t="shared" si="2"/>
        <v>0.7667409694</v>
      </c>
      <c r="W162" s="288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308"/>
      <c r="AI162" s="220"/>
      <c r="AJ162" s="220"/>
      <c r="AK162" s="220"/>
      <c r="AL162" s="220"/>
      <c r="AM162" s="220"/>
      <c r="AN162" s="220"/>
      <c r="AO162" s="220"/>
      <c r="AP162" s="220"/>
      <c r="AQ162" s="220"/>
      <c r="AR162" s="220"/>
      <c r="AS162" s="220"/>
      <c r="AT162" s="220"/>
      <c r="AU162" s="220"/>
      <c r="AV162" s="220"/>
      <c r="AW162" s="220"/>
      <c r="AX162" s="220"/>
      <c r="AY162" s="220"/>
      <c r="AZ162" s="220"/>
      <c r="BA162" s="220"/>
    </row>
    <row r="163">
      <c r="A163" s="290">
        <f>PRIX!A164</f>
        <v>45928</v>
      </c>
      <c r="B163" s="299">
        <f>IF(A163="","",PRIX!B164*'QUANTITE DETENUES'!B164)</f>
        <v>22155.99104</v>
      </c>
      <c r="C163" s="299">
        <f>IF(B163="","",PRIX!C164*'QUANTITE DETENUES'!C164)</f>
        <v>8440.707007</v>
      </c>
      <c r="D163" s="299">
        <f>IF(C163="","",PRIX!D164*'QUANTITE DETENUES'!D164)</f>
        <v>665.6955599</v>
      </c>
      <c r="E163" s="299">
        <f>IF(D163="","",PRIX!E164*'QUANTITE DETENUES'!E164)</f>
        <v>3521.926481</v>
      </c>
      <c r="F163" s="299">
        <f>IF(E163="","",PRIX!F164*'QUANTITE DETENUES'!F164)</f>
        <v>4051.985923</v>
      </c>
      <c r="G163" s="299">
        <f>IF(F163="","",PRIX!G164*'QUANTITE DETENUES'!G164)</f>
        <v>0</v>
      </c>
      <c r="H163" s="299">
        <f>IF(G163="","",PRIX!H164*'QUANTITE DETENUES'!H164)</f>
        <v>1891.6737</v>
      </c>
      <c r="I163" s="299">
        <f>IF(H163="","",PRIX!I164*'QUANTITE DETENUES'!I164)</f>
        <v>1133.5734</v>
      </c>
      <c r="J163" s="299">
        <f>IF(I163="","",PRIX!J164*'QUANTITE DETENUES'!J164)</f>
        <v>246.036912</v>
      </c>
      <c r="K163" s="299">
        <f>IF(J163="","",PRIX!K164*'QUANTITE DETENUES'!K164)</f>
        <v>330.4091523</v>
      </c>
      <c r="L163" s="299">
        <f>IF(K163="","",PRIX!L164*'QUANTITE DETENUES'!L164)</f>
        <v>0</v>
      </c>
      <c r="M163" s="299">
        <f>IF(L163="","",PRIX!M164*'QUANTITE DETENUES'!M164)</f>
        <v>2054.025228</v>
      </c>
      <c r="N163" s="299">
        <f>IF(M163="","",PRIX!N164*'QUANTITE DETENUES'!N164)</f>
        <v>0</v>
      </c>
      <c r="O163" s="299">
        <f>IF(N163="","",PRIX!O164*'QUANTITE DETENUES'!O164)</f>
        <v>573.8829344</v>
      </c>
      <c r="P163" s="299">
        <f>IF(O163="","",PRIX!P164*'QUANTITE DETENUES'!P164)</f>
        <v>0.00004627182718</v>
      </c>
      <c r="Q163" s="299">
        <f>IF(P163="","",PRIX!Q164*'QUANTITE DETENUES'!Q164)</f>
        <v>222.134</v>
      </c>
      <c r="R163" s="299">
        <f>IF(Q163="","",PRIX!R164*'QUANTITE DETENUES'!R164)</f>
        <v>0</v>
      </c>
      <c r="S163" s="300">
        <f>IF(R163="","",PRIX!S164*'QUANTITE DETENUES'!S164)</f>
        <v>0</v>
      </c>
      <c r="T163" s="14">
        <f>IF(A163="","",ARBITRAGES!M164)</f>
        <v>13515.79938</v>
      </c>
      <c r="U163" s="301">
        <f t="shared" si="1"/>
        <v>58803.84076</v>
      </c>
      <c r="V163" s="302">
        <f t="shared" si="2"/>
        <v>0.7701544797</v>
      </c>
      <c r="W163" s="288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308"/>
      <c r="AI163" s="220"/>
      <c r="AJ163" s="220"/>
      <c r="AK163" s="220"/>
      <c r="AL163" s="220"/>
      <c r="AM163" s="220"/>
      <c r="AN163" s="220"/>
      <c r="AO163" s="220"/>
      <c r="AP163" s="220"/>
      <c r="AQ163" s="220"/>
      <c r="AR163" s="220"/>
      <c r="AS163" s="220"/>
      <c r="AT163" s="220"/>
      <c r="AU163" s="220"/>
      <c r="AV163" s="220"/>
      <c r="AW163" s="220"/>
      <c r="AX163" s="220"/>
      <c r="AY163" s="220"/>
      <c r="AZ163" s="220"/>
      <c r="BA163" s="220"/>
    </row>
    <row r="164">
      <c r="A164" s="290">
        <f>PRIX!A165</f>
        <v>45905</v>
      </c>
      <c r="B164" s="299">
        <f>IF(A164="","",PRIX!B165*'QUANTITE DETENUES'!B165)</f>
        <v>24805.84757</v>
      </c>
      <c r="C164" s="299">
        <f>IF(B164="","",PRIX!C165*'QUANTITE DETENUES'!C165)</f>
        <v>9288.52396</v>
      </c>
      <c r="D164" s="299">
        <f>IF(C164="","",PRIX!D165*'QUANTITE DETENUES'!D165)</f>
        <v>695.2820292</v>
      </c>
      <c r="E164" s="299">
        <f>IF(D164="","",PRIX!E165*'QUANTITE DETENUES'!E165)</f>
        <v>4127.075239</v>
      </c>
      <c r="F164" s="299">
        <f>IF(E164="","",PRIX!F165*'QUANTITE DETENUES'!F165)</f>
        <v>4389.651417</v>
      </c>
      <c r="G164" s="299">
        <f>IF(F164="","",PRIX!G165*'QUANTITE DETENUES'!G165)</f>
        <v>0</v>
      </c>
      <c r="H164" s="299">
        <f>IF(G164="","",PRIX!H165*'QUANTITE DETENUES'!H165)</f>
        <v>2071.8331</v>
      </c>
      <c r="I164" s="299">
        <f>IF(H164="","",PRIX!I165*'QUANTITE DETENUES'!I165)</f>
        <v>1281.4308</v>
      </c>
      <c r="J164" s="299">
        <f>IF(I164="","",PRIX!J165*'QUANTITE DETENUES'!J165)</f>
        <v>26.6539988</v>
      </c>
      <c r="K164" s="299">
        <f>IF(J164="","",PRIX!K165*'QUANTITE DETENUES'!K165)</f>
        <v>463.8436176</v>
      </c>
      <c r="L164" s="299">
        <f>IF(K164="","",PRIX!L165*'QUANTITE DETENUES'!L165)</f>
        <v>0</v>
      </c>
      <c r="M164" s="299">
        <f>IF(L164="","",PRIX!M165*'QUANTITE DETENUES'!M165)</f>
        <v>2247.801193</v>
      </c>
      <c r="N164" s="299">
        <f>IF(M164="","",PRIX!N165*'QUANTITE DETENUES'!N165)</f>
        <v>0</v>
      </c>
      <c r="O164" s="299">
        <f>IF(N164="","",PRIX!O165*'QUANTITE DETENUES'!O165)</f>
        <v>605.0722244</v>
      </c>
      <c r="P164" s="299">
        <f>IF(O164="","",PRIX!P165*'QUANTITE DETENUES'!P165)</f>
        <v>0.00005032061206</v>
      </c>
      <c r="Q164" s="299">
        <f>IF(P164="","",PRIX!Q165*'QUANTITE DETENUES'!Q165)</f>
        <v>24.145</v>
      </c>
      <c r="R164" s="299">
        <f>IF(Q164="","",PRIX!R165*'QUANTITE DETENUES'!R165)</f>
        <v>0</v>
      </c>
      <c r="S164" s="300">
        <f>IF(R164="","",PRIX!S165*'QUANTITE DETENUES'!S165)</f>
        <v>0</v>
      </c>
      <c r="T164" s="14">
        <f>IF(A164="","",ARBITRAGES!M165)</f>
        <v>13743.29938</v>
      </c>
      <c r="U164" s="301">
        <f t="shared" si="1"/>
        <v>63770.45958</v>
      </c>
      <c r="V164" s="302">
        <f t="shared" si="2"/>
        <v>0.7844879986</v>
      </c>
      <c r="W164" s="288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308"/>
      <c r="AI164" s="220"/>
      <c r="AJ164" s="220"/>
      <c r="AK164" s="220"/>
      <c r="AL164" s="220"/>
      <c r="AM164" s="220"/>
      <c r="AN164" s="220"/>
      <c r="AO164" s="220"/>
      <c r="AP164" s="220"/>
      <c r="AQ164" s="220"/>
      <c r="AR164" s="220"/>
      <c r="AS164" s="220"/>
      <c r="AT164" s="220"/>
      <c r="AU164" s="220"/>
      <c r="AV164" s="220"/>
      <c r="AW164" s="220"/>
      <c r="AX164" s="220"/>
      <c r="AY164" s="220"/>
      <c r="AZ164" s="220"/>
      <c r="BA164" s="220"/>
    </row>
    <row r="165">
      <c r="A165" s="290">
        <f>PRIX!A166</f>
        <v>45939</v>
      </c>
      <c r="B165" s="299">
        <f>IF(A165="","",PRIX!B166*'QUANTITE DETENUES'!B166)</f>
        <v>24573.00825</v>
      </c>
      <c r="C165" s="299">
        <f>IF(B165="","",PRIX!C166*'QUANTITE DETENUES'!C166)</f>
        <v>8894.350866</v>
      </c>
      <c r="D165" s="299">
        <f>IF(C165="","",PRIX!D166*'QUANTITE DETENUES'!D166)</f>
        <v>678.0232554</v>
      </c>
      <c r="E165" s="299">
        <f>IF(D165="","",PRIX!E166*'QUANTITE DETENUES'!E166)</f>
        <v>3898.76895</v>
      </c>
      <c r="F165" s="299">
        <f>IF(E165="","",PRIX!F166*'QUANTITE DETENUES'!F166)</f>
        <v>5072.581786</v>
      </c>
      <c r="G165" s="299">
        <f>IF(F165="","",PRIX!G166*'QUANTITE DETENUES'!G166)</f>
        <v>0</v>
      </c>
      <c r="H165" s="299">
        <f>IF(G165="","",PRIX!H166*'QUANTITE DETENUES'!H166)</f>
        <v>2026.79325</v>
      </c>
      <c r="I165" s="299">
        <f>IF(H165="","",PRIX!I166*'QUANTITE DETENUES'!I166)</f>
        <v>1232.145</v>
      </c>
      <c r="J165" s="299">
        <f>IF(I165="","",PRIX!J166*'QUANTITE DETENUES'!J166)</f>
        <v>24.6036912</v>
      </c>
      <c r="K165" s="299">
        <f>IF(J165="","",PRIX!K166*'QUANTITE DETENUES'!K166)</f>
        <v>470.1976398</v>
      </c>
      <c r="L165" s="299">
        <f>IF(K165="","",PRIX!L166*'QUANTITE DETENUES'!L166)</f>
        <v>0</v>
      </c>
      <c r="M165" s="299">
        <f>IF(L165="","",PRIX!M166*'QUANTITE DETENUES'!M166)</f>
        <v>2170.290807</v>
      </c>
      <c r="N165" s="299">
        <f>IF(M165="","",PRIX!N166*'QUANTITE DETENUES'!N166)</f>
        <v>0</v>
      </c>
      <c r="O165" s="299">
        <f>IF(N165="","",PRIX!O166*'QUANTITE DETENUES'!O166)</f>
        <v>586.3586504</v>
      </c>
      <c r="P165" s="299">
        <f>IF(O165="","",PRIX!P166*'QUANTITE DETENUES'!P166)</f>
        <v>0.00004742862286</v>
      </c>
      <c r="Q165" s="299">
        <f>IF(P165="","",PRIX!Q166*'QUANTITE DETENUES'!Q166)</f>
        <v>224.5485</v>
      </c>
      <c r="R165" s="299">
        <f>IF(Q165="","",PRIX!R166*'QUANTITE DETENUES'!R166)</f>
        <v>0</v>
      </c>
      <c r="S165" s="300">
        <f>IF(R165="","",PRIX!S166*'QUANTITE DETENUES'!S166)</f>
        <v>0</v>
      </c>
      <c r="T165" s="14">
        <f>IF(A165="","",ARBITRAGES!M166)</f>
        <v>13937.49379</v>
      </c>
      <c r="U165" s="301">
        <f t="shared" si="1"/>
        <v>63789.16448</v>
      </c>
      <c r="V165" s="302">
        <f t="shared" si="2"/>
        <v>0.7815068765</v>
      </c>
      <c r="W165" s="288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220"/>
      <c r="AH165" s="308"/>
      <c r="AI165" s="220"/>
      <c r="AJ165" s="220"/>
      <c r="AK165" s="220"/>
      <c r="AL165" s="220"/>
      <c r="AM165" s="220"/>
      <c r="AN165" s="220"/>
      <c r="AO165" s="220"/>
      <c r="AP165" s="220"/>
      <c r="AQ165" s="220"/>
      <c r="AR165" s="220"/>
      <c r="AS165" s="220"/>
      <c r="AT165" s="220"/>
      <c r="AU165" s="220"/>
      <c r="AV165" s="220"/>
      <c r="AW165" s="220"/>
      <c r="AX165" s="220"/>
      <c r="AY165" s="220"/>
      <c r="AZ165" s="220"/>
      <c r="BA165" s="220"/>
    </row>
    <row r="166">
      <c r="A166" s="290">
        <f>PRIX!A167</f>
        <v>45939</v>
      </c>
      <c r="B166" s="299">
        <f>IF(A166="","",PRIX!B167*'QUANTITE DETENUES'!B167)</f>
        <v>24573.00825</v>
      </c>
      <c r="C166" s="299">
        <f>IF(B166="","",PRIX!C167*'QUANTITE DETENUES'!C167)</f>
        <v>8894.350866</v>
      </c>
      <c r="D166" s="299">
        <f>IF(C166="","",PRIX!D167*'QUANTITE DETENUES'!D167)</f>
        <v>678.0232554</v>
      </c>
      <c r="E166" s="299">
        <f>IF(D166="","",PRIX!E167*'QUANTITE DETENUES'!E167)</f>
        <v>3898.76895</v>
      </c>
      <c r="F166" s="299">
        <f>IF(E166="","",PRIX!F167*'QUANTITE DETENUES'!F167)</f>
        <v>4877.581786</v>
      </c>
      <c r="G166" s="299">
        <f>IF(F166="","",PRIX!G167*'QUANTITE DETENUES'!G167)</f>
        <v>0</v>
      </c>
      <c r="H166" s="299">
        <f>IF(G166="","",PRIX!H167*'QUANTITE DETENUES'!H167)</f>
        <v>2026.79325</v>
      </c>
      <c r="I166" s="299">
        <f>IF(H166="","",PRIX!I167*'QUANTITE DETENUES'!I167)</f>
        <v>1232.145</v>
      </c>
      <c r="J166" s="299">
        <f>IF(I166="","",PRIX!J167*'QUANTITE DETENUES'!J167)</f>
        <v>24.6036912</v>
      </c>
      <c r="K166" s="299">
        <f>IF(J166="","",PRIX!K167*'QUANTITE DETENUES'!K167)</f>
        <v>470.1976398</v>
      </c>
      <c r="L166" s="299">
        <f>IF(K166="","",PRIX!L167*'QUANTITE DETENUES'!L167)</f>
        <v>0</v>
      </c>
      <c r="M166" s="299">
        <f>IF(L166="","",PRIX!M167*'QUANTITE DETENUES'!M167)</f>
        <v>2170.290807</v>
      </c>
      <c r="N166" s="299">
        <f>IF(M166="","",PRIX!N167*'QUANTITE DETENUES'!N167)</f>
        <v>0</v>
      </c>
      <c r="O166" s="299">
        <f>IF(N166="","",PRIX!O167*'QUANTITE DETENUES'!O167)</f>
        <v>586.3586504</v>
      </c>
      <c r="P166" s="299">
        <f>IF(O166="","",PRIX!P167*'QUANTITE DETENUES'!P167)</f>
        <v>0.00004742862286</v>
      </c>
      <c r="Q166" s="299">
        <f>IF(P166="","",PRIX!Q167*'QUANTITE DETENUES'!Q167)</f>
        <v>224.5485</v>
      </c>
      <c r="R166" s="299">
        <f>IF(Q166="","",PRIX!R167*'QUANTITE DETENUES'!R167)</f>
        <v>0</v>
      </c>
      <c r="S166" s="300">
        <f>IF(R166="","",PRIX!S167*'QUANTITE DETENUES'!S167)</f>
        <v>0</v>
      </c>
      <c r="T166" s="14">
        <f>IF(A166="","",ARBITRAGES!M167)</f>
        <v>14134.99379</v>
      </c>
      <c r="U166" s="301">
        <f t="shared" si="1"/>
        <v>63791.66448</v>
      </c>
      <c r="V166" s="302">
        <f t="shared" si="2"/>
        <v>0.7784194235</v>
      </c>
      <c r="W166" s="288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308"/>
      <c r="AI166" s="220"/>
      <c r="AJ166" s="220"/>
      <c r="AK166" s="220"/>
      <c r="AL166" s="220"/>
      <c r="AM166" s="220"/>
      <c r="AN166" s="220"/>
      <c r="AO166" s="220"/>
      <c r="AP166" s="220"/>
      <c r="AQ166" s="220"/>
      <c r="AR166" s="220"/>
      <c r="AS166" s="220"/>
      <c r="AT166" s="220"/>
      <c r="AU166" s="220"/>
      <c r="AV166" s="220"/>
      <c r="AW166" s="220"/>
      <c r="AX166" s="220"/>
      <c r="AY166" s="220"/>
      <c r="AZ166" s="220"/>
      <c r="BA166" s="220"/>
    </row>
    <row r="167">
      <c r="A167" s="290">
        <f>PRIX!A168</f>
        <v>45940</v>
      </c>
      <c r="B167" s="299">
        <f>IF(A167="","",PRIX!B168*'QUANTITE DETENUES'!B168)</f>
        <v>24573.00825</v>
      </c>
      <c r="C167" s="299">
        <f>IF(B167="","",PRIX!C168*'QUANTITE DETENUES'!C168)</f>
        <v>8668.803366</v>
      </c>
      <c r="D167" s="299">
        <f>IF(C167="","",PRIX!D168*'QUANTITE DETENUES'!D168)</f>
        <v>678.1662554</v>
      </c>
      <c r="E167" s="299">
        <f>IF(D167="","",PRIX!E168*'QUANTITE DETENUES'!E168)</f>
        <v>3898.76895</v>
      </c>
      <c r="F167" s="299">
        <f>IF(E167="","",PRIX!F168*'QUANTITE DETENUES'!F168)</f>
        <v>4877.581786</v>
      </c>
      <c r="G167" s="299">
        <f>IF(F167="","",PRIX!G168*'QUANTITE DETENUES'!G168)</f>
        <v>0</v>
      </c>
      <c r="H167" s="299">
        <f>IF(G167="","",PRIX!H168*'QUANTITE DETENUES'!H168)</f>
        <v>2026.79325</v>
      </c>
      <c r="I167" s="299">
        <f>IF(H167="","",PRIX!I168*'QUANTITE DETENUES'!I168)</f>
        <v>1232.145</v>
      </c>
      <c r="J167" s="299">
        <f>IF(I167="","",PRIX!J168*'QUANTITE DETENUES'!J168)</f>
        <v>24.6036912</v>
      </c>
      <c r="K167" s="299">
        <f>IF(J167="","",PRIX!K168*'QUANTITE DETENUES'!K168)</f>
        <v>470.1976398</v>
      </c>
      <c r="L167" s="299">
        <f>IF(K167="","",PRIX!L168*'QUANTITE DETENUES'!L168)</f>
        <v>0</v>
      </c>
      <c r="M167" s="299">
        <f>IF(L167="","",PRIX!M168*'QUANTITE DETENUES'!M168)</f>
        <v>2170.290807</v>
      </c>
      <c r="N167" s="299">
        <f>IF(M167="","",PRIX!N168*'QUANTITE DETENUES'!N168)</f>
        <v>0</v>
      </c>
      <c r="O167" s="299">
        <f>IF(N167="","",PRIX!O168*'QUANTITE DETENUES'!O168)</f>
        <v>586.3586504</v>
      </c>
      <c r="P167" s="299">
        <f>IF(O167="","",PRIX!P168*'QUANTITE DETENUES'!P168)</f>
        <v>0.00004742862286</v>
      </c>
      <c r="Q167" s="299">
        <f>IF(P167="","",PRIX!Q168*'QUANTITE DETENUES'!Q168)</f>
        <v>224.5485</v>
      </c>
      <c r="R167" s="299">
        <f>IF(Q167="","",PRIX!R168*'QUANTITE DETENUES'!R168)</f>
        <v>0</v>
      </c>
      <c r="S167" s="300">
        <f>IF(R167="","",PRIX!S168*'QUANTITE DETENUES'!S168)</f>
        <v>0</v>
      </c>
      <c r="T167" s="14">
        <f>IF(A167="","",ARBITRAGES!M168)</f>
        <v>13591.898</v>
      </c>
      <c r="U167" s="301">
        <f t="shared" si="1"/>
        <v>63023.16419</v>
      </c>
      <c r="V167" s="302">
        <f t="shared" si="2"/>
        <v>0.7843348843</v>
      </c>
      <c r="W167" s="288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220"/>
      <c r="AH167" s="308"/>
      <c r="AI167" s="220"/>
      <c r="AJ167" s="220"/>
      <c r="AK167" s="220"/>
      <c r="AL167" s="220"/>
      <c r="AM167" s="220"/>
      <c r="AN167" s="220"/>
      <c r="AO167" s="220"/>
      <c r="AP167" s="220"/>
      <c r="AQ167" s="220"/>
      <c r="AR167" s="220"/>
      <c r="AS167" s="220"/>
      <c r="AT167" s="220"/>
      <c r="AU167" s="220"/>
      <c r="AV167" s="220"/>
      <c r="AW167" s="220"/>
      <c r="AX167" s="220"/>
      <c r="AY167" s="220"/>
      <c r="AZ167" s="220"/>
      <c r="BA167" s="220"/>
    </row>
    <row r="168">
      <c r="A168" s="290">
        <f>PRIX!A169</f>
        <v>45941</v>
      </c>
      <c r="B168" s="299">
        <f>IF(A168="","",PRIX!B169*'QUANTITE DETENUES'!B169)</f>
        <v>22659.5363</v>
      </c>
      <c r="C168" s="299">
        <f>IF(B168="","",PRIX!C169*'QUANTITE DETENUES'!C169)</f>
        <v>7850.030604</v>
      </c>
      <c r="D168" s="299">
        <f>IF(C168="","",PRIX!D169*'QUANTITE DETENUES'!D169)</f>
        <v>554.8632999</v>
      </c>
      <c r="E168" s="299">
        <f>IF(D168="","",PRIX!E169*'QUANTITE DETENUES'!E169)</f>
        <v>3248.974125</v>
      </c>
      <c r="F168" s="299">
        <f>IF(E168="","",PRIX!F169*'QUANTITE DETENUES'!F169)</f>
        <v>4002.118388</v>
      </c>
      <c r="G168" s="299">
        <f>IF(F168="","",PRIX!G169*'QUANTITE DETENUES'!G169)</f>
        <v>0</v>
      </c>
      <c r="H168" s="299">
        <f>IF(G168="","",PRIX!H169*'QUANTITE DETENUES'!H169)</f>
        <v>1621.4346</v>
      </c>
      <c r="I168" s="299">
        <f>IF(H168="","",PRIX!I169*'QUANTITE DETENUES'!I169)</f>
        <v>961.0731</v>
      </c>
      <c r="J168" s="299">
        <f>IF(I168="","",PRIX!J169*'QUANTITE DETENUES'!J169)</f>
        <v>21.5282298</v>
      </c>
      <c r="K168" s="299">
        <f>IF(J168="","",PRIX!K169*'QUANTITE DETENUES'!K169)</f>
        <v>362.1792631</v>
      </c>
      <c r="L168" s="299">
        <f>IF(K168="","",PRIX!L169*'QUANTITE DETENUES'!L169)</f>
        <v>0</v>
      </c>
      <c r="M168" s="299">
        <f>IF(L168="","",PRIX!M169*'QUANTITE DETENUES'!M169)</f>
        <v>1899.004456</v>
      </c>
      <c r="N168" s="299">
        <f>IF(M168="","",PRIX!N169*'QUANTITE DETENUES'!N169)</f>
        <v>0</v>
      </c>
      <c r="O168" s="299">
        <f>IF(N168="","",PRIX!O169*'QUANTITE DETENUES'!O169)</f>
        <v>461.6014907</v>
      </c>
      <c r="P168" s="299">
        <f>IF(O168="","",PRIX!P169*'QUANTITE DETENUES'!P169)</f>
        <v>0.00002891989199</v>
      </c>
      <c r="Q168" s="299">
        <f>IF(P168="","",PRIX!Q169*'QUANTITE DETENUES'!Q169)</f>
        <v>173.844</v>
      </c>
      <c r="R168" s="299">
        <f>IF(Q168="","",PRIX!R169*'QUANTITE DETENUES'!R169)</f>
        <v>0</v>
      </c>
      <c r="S168" s="300">
        <f>IF(R168="","",PRIX!S169*'QUANTITE DETENUES'!S169)</f>
        <v>0</v>
      </c>
      <c r="T168" s="14">
        <f>IF(A168="","",ARBITRAGES!M169)</f>
        <v>13515.798</v>
      </c>
      <c r="U168" s="301">
        <f t="shared" si="1"/>
        <v>57331.98588</v>
      </c>
      <c r="V168" s="302">
        <f t="shared" si="2"/>
        <v>0.7642537967</v>
      </c>
      <c r="W168" s="288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308"/>
      <c r="AI168" s="220"/>
      <c r="AJ168" s="220"/>
      <c r="AK168" s="220"/>
      <c r="AL168" s="220"/>
      <c r="AM168" s="220"/>
      <c r="AN168" s="220"/>
      <c r="AO168" s="220"/>
      <c r="AP168" s="220"/>
      <c r="AQ168" s="220"/>
      <c r="AR168" s="220"/>
      <c r="AS168" s="220"/>
      <c r="AT168" s="220"/>
      <c r="AU168" s="220"/>
      <c r="AV168" s="220"/>
      <c r="AW168" s="220"/>
      <c r="AX168" s="220"/>
      <c r="AY168" s="220"/>
      <c r="AZ168" s="220"/>
      <c r="BA168" s="220"/>
    </row>
    <row r="169">
      <c r="A169" s="290">
        <f>PRIX!A170</f>
        <v>45941</v>
      </c>
      <c r="B169" s="299">
        <f>IF(A169="","",PRIX!B170*'QUANTITE DETENUES'!B170)</f>
        <v>23163.08155</v>
      </c>
      <c r="C169" s="299">
        <f>IF(B169="","",PRIX!C170*'QUANTITE DETENUES'!C170)</f>
        <v>8456.987694</v>
      </c>
      <c r="D169" s="299">
        <f>IF(C169="","",PRIX!D170*'QUANTITE DETENUES'!D170)</f>
        <v>567.1935954</v>
      </c>
      <c r="E169" s="299">
        <f>IF(D169="","",PRIX!E170*'QUANTITE DETENUES'!E170)</f>
        <v>3512.404459</v>
      </c>
      <c r="F169" s="299">
        <f>IF(E169="","",PRIX!F170*'QUANTITE DETENUES'!F170)</f>
        <v>5190.247285</v>
      </c>
      <c r="G169" s="299">
        <f>IF(F169="","",PRIX!G170*'QUANTITE DETENUES'!G170)</f>
        <v>0</v>
      </c>
      <c r="H169" s="299">
        <f>IF(G169="","",PRIX!H170*'QUANTITE DETENUES'!H170)</f>
        <v>1801.594</v>
      </c>
      <c r="I169" s="299">
        <f>IF(H169="","",PRIX!I170*'QUANTITE DETENUES'!I170)</f>
        <v>1039.93038</v>
      </c>
      <c r="J169" s="299">
        <f>IF(I169="","",PRIX!J170*'QUANTITE DETENUES'!J170)</f>
        <v>22.5533836</v>
      </c>
      <c r="K169" s="299">
        <f>IF(J169="","",PRIX!K170*'QUANTITE DETENUES'!K170)</f>
        <v>444.7815512</v>
      </c>
      <c r="L169" s="299">
        <f>IF(K169="","",PRIX!L170*'QUANTITE DETENUES'!L170)</f>
        <v>0</v>
      </c>
      <c r="M169" s="299">
        <f>IF(L169="","",PRIX!M170*'QUANTITE DETENUES'!M170)</f>
        <v>1976.514842</v>
      </c>
      <c r="N169" s="299">
        <f>IF(M169="","",PRIX!N170*'QUANTITE DETENUES'!N170)</f>
        <v>0</v>
      </c>
      <c r="O169" s="299">
        <f>IF(N169="","",PRIX!O170*'QUANTITE DETENUES'!O170)</f>
        <v>486.5529227</v>
      </c>
      <c r="P169" s="299">
        <f>IF(O169="","",PRIX!P170*'QUANTITE DETENUES'!P170)</f>
        <v>0.00003470387039</v>
      </c>
      <c r="Q169" s="299">
        <f>IF(P169="","",PRIX!Q170*'QUANTITE DETENUES'!Q170)</f>
        <v>183.502</v>
      </c>
      <c r="R169" s="299">
        <f>IF(Q169="","",PRIX!R170*'QUANTITE DETENUES'!R170)</f>
        <v>0</v>
      </c>
      <c r="S169" s="300">
        <f>IF(R169="","",PRIX!S170*'QUANTITE DETENUES'!S170)</f>
        <v>0</v>
      </c>
      <c r="T169" s="14">
        <f>IF(A169="","",ARBITRAGES!M170)</f>
        <v>13421.798</v>
      </c>
      <c r="U169" s="301">
        <f t="shared" si="1"/>
        <v>60267.14169</v>
      </c>
      <c r="V169" s="302">
        <f t="shared" si="2"/>
        <v>0.7772949302</v>
      </c>
      <c r="W169" s="288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308"/>
      <c r="AI169" s="220"/>
      <c r="AJ169" s="220"/>
      <c r="AK169" s="220"/>
      <c r="AL169" s="220"/>
      <c r="AM169" s="220"/>
      <c r="AN169" s="220"/>
      <c r="AO169" s="220"/>
      <c r="AP169" s="220"/>
      <c r="AQ169" s="220"/>
      <c r="AR169" s="220"/>
      <c r="AS169" s="220"/>
      <c r="AT169" s="220"/>
      <c r="AU169" s="220"/>
      <c r="AV169" s="220"/>
      <c r="AW169" s="220"/>
      <c r="AX169" s="220"/>
      <c r="AY169" s="220"/>
      <c r="AZ169" s="220"/>
      <c r="BA169" s="220"/>
    </row>
    <row r="170">
      <c r="A170" s="290">
        <f>PRIX!A171</f>
        <v>45942</v>
      </c>
      <c r="B170" s="299">
        <f>IF(A170="","",PRIX!B171*'QUANTITE DETENUES'!B171)</f>
        <v>23163.08155</v>
      </c>
      <c r="C170" s="299">
        <f>IF(B170="","",PRIX!C171*'QUANTITE DETENUES'!C171)</f>
        <v>8569.867694</v>
      </c>
      <c r="D170" s="299">
        <f>IF(C170="","",PRIX!D171*'QUANTITE DETENUES'!D171)</f>
        <v>567.1935954</v>
      </c>
      <c r="E170" s="299">
        <f>IF(D170="","",PRIX!E171*'QUANTITE DETENUES'!E171)</f>
        <v>3512.404459</v>
      </c>
      <c r="F170" s="299">
        <f>IF(E170="","",PRIX!F171*'QUANTITE DETENUES'!F171)</f>
        <v>5190.247285</v>
      </c>
      <c r="G170" s="299">
        <f>IF(F170="","",PRIX!G171*'QUANTITE DETENUES'!G171)</f>
        <v>0</v>
      </c>
      <c r="H170" s="299">
        <f>IF(G170="","",PRIX!H171*'QUANTITE DETENUES'!H171)</f>
        <v>1801.594</v>
      </c>
      <c r="I170" s="299">
        <f>IF(H170="","",PRIX!I171*'QUANTITE DETENUES'!I171)</f>
        <v>1039.93038</v>
      </c>
      <c r="J170" s="299">
        <f>IF(I170="","",PRIX!J171*'QUANTITE DETENUES'!J171)</f>
        <v>22.5533836</v>
      </c>
      <c r="K170" s="299">
        <f>IF(J170="","",PRIX!K171*'QUANTITE DETENUES'!K171)</f>
        <v>444.7815512</v>
      </c>
      <c r="L170" s="299">
        <f>IF(K170="","",PRIX!L171*'QUANTITE DETENUES'!L171)</f>
        <v>0</v>
      </c>
      <c r="M170" s="299">
        <f>IF(L170="","",PRIX!M171*'QUANTITE DETENUES'!M171)</f>
        <v>1976.514842</v>
      </c>
      <c r="N170" s="299">
        <f>IF(M170="","",PRIX!N171*'QUANTITE DETENUES'!N171)</f>
        <v>0</v>
      </c>
      <c r="O170" s="299">
        <f>IF(N170="","",PRIX!O171*'QUANTITE DETENUES'!O171)</f>
        <v>486.5529227</v>
      </c>
      <c r="P170" s="299">
        <f>IF(O170="","",PRIX!P171*'QUANTITE DETENUES'!P171)</f>
        <v>0.00003470387039</v>
      </c>
      <c r="Q170" s="299">
        <f>IF(P170="","",PRIX!Q171*'QUANTITE DETENUES'!Q171)</f>
        <v>183.502</v>
      </c>
      <c r="R170" s="299">
        <f>IF(Q170="","",PRIX!R171*'QUANTITE DETENUES'!R171)</f>
        <v>0</v>
      </c>
      <c r="S170" s="300">
        <f>IF(R170="","",PRIX!S171*'QUANTITE DETENUES'!S171)</f>
        <v>0</v>
      </c>
      <c r="T170" s="14">
        <f>IF(A170="","",ARBITRAGES!M171)</f>
        <v>13321.358</v>
      </c>
      <c r="U170" s="301">
        <f t="shared" si="1"/>
        <v>60279.58169</v>
      </c>
      <c r="V170" s="302">
        <f t="shared" si="2"/>
        <v>0.779007126</v>
      </c>
      <c r="W170" s="288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308"/>
      <c r="AI170" s="220"/>
      <c r="AJ170" s="220"/>
      <c r="AK170" s="220"/>
      <c r="AL170" s="220"/>
      <c r="AM170" s="220"/>
      <c r="AN170" s="220"/>
      <c r="AO170" s="220"/>
      <c r="AP170" s="220"/>
      <c r="AQ170" s="220"/>
      <c r="AR170" s="220"/>
      <c r="AS170" s="220"/>
      <c r="AT170" s="220"/>
      <c r="AU170" s="220"/>
      <c r="AV170" s="220"/>
      <c r="AW170" s="220"/>
      <c r="AX170" s="220"/>
      <c r="AY170" s="220"/>
      <c r="AZ170" s="220"/>
      <c r="BA170" s="220"/>
    </row>
    <row r="171">
      <c r="A171" s="290">
        <f>PRIX!A172</f>
        <v>45945</v>
      </c>
      <c r="B171" s="299">
        <f>IF(A171="","",PRIX!B172*'QUANTITE DETENUES'!B172)</f>
        <v>22379.76655</v>
      </c>
      <c r="C171" s="299">
        <f>IF(B171="","",PRIX!C172*'QUANTITE DETENUES'!C172)</f>
        <v>8260.11344</v>
      </c>
      <c r="D171" s="299">
        <f>IF(C171="","",PRIX!D172*'QUANTITE DETENUES'!D172)</f>
        <v>554.8632999</v>
      </c>
      <c r="E171" s="299">
        <f>IF(D171="","",PRIX!E172*'QUANTITE DETENUES'!E172)</f>
        <v>3512.404459</v>
      </c>
      <c r="F171" s="299">
        <f>IF(E171="","",PRIX!F172*'QUANTITE DETENUES'!F172)</f>
        <v>4802.647985</v>
      </c>
      <c r="G171" s="299">
        <f>IF(F171="","",PRIX!G172*'QUANTITE DETENUES'!G172)</f>
        <v>0</v>
      </c>
      <c r="H171" s="299">
        <f>IF(G171="","",PRIX!H172*'QUANTITE DETENUES'!H172)</f>
        <v>1640.351337</v>
      </c>
      <c r="I171" s="299">
        <f>IF(H171="","",PRIX!I172*'QUANTITE DETENUES'!I172)</f>
        <v>985.716</v>
      </c>
      <c r="J171" s="299">
        <f>IF(I171="","",PRIX!J172*'QUANTITE DETENUES'!J172)</f>
        <v>205.03076</v>
      </c>
      <c r="K171" s="299">
        <f>IF(J171="","",PRIX!K172*'QUANTITE DETENUES'!K172)</f>
        <v>432.0735068</v>
      </c>
      <c r="L171" s="299">
        <f>IF(K171="","",PRIX!L172*'QUANTITE DETENUES'!L172)</f>
        <v>0</v>
      </c>
      <c r="M171" s="299">
        <f>IF(L171="","",PRIX!M172*'QUANTITE DETENUES'!M172)</f>
        <v>1899.004456</v>
      </c>
      <c r="N171" s="299">
        <f>IF(M171="","",PRIX!N172*'QUANTITE DETENUES'!N172)</f>
        <v>0</v>
      </c>
      <c r="O171" s="299">
        <f>IF(N171="","",PRIX!O172*'QUANTITE DETENUES'!O172)</f>
        <v>417.9364849</v>
      </c>
      <c r="P171" s="299">
        <f>IF(O171="","",PRIX!P172*'QUANTITE DETENUES'!P172)</f>
        <v>0.00003267947795</v>
      </c>
      <c r="Q171" s="299">
        <f>IF(P171="","",PRIX!Q172*'QUANTITE DETENUES'!Q172)</f>
        <v>169.015</v>
      </c>
      <c r="R171" s="299">
        <f>IF(Q171="","",PRIX!R172*'QUANTITE DETENUES'!R172)</f>
        <v>0</v>
      </c>
      <c r="S171" s="300">
        <f>IF(R171="","",PRIX!S172*'QUANTITE DETENUES'!S172)</f>
        <v>0</v>
      </c>
      <c r="T171" s="14">
        <f>IF(A171="","",ARBITRAGES!M172)</f>
        <v>13543.858</v>
      </c>
      <c r="U171" s="301">
        <f t="shared" si="1"/>
        <v>58802.78132</v>
      </c>
      <c r="V171" s="302">
        <f t="shared" si="2"/>
        <v>0.7696731737</v>
      </c>
      <c r="W171" s="288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308"/>
      <c r="AI171" s="220"/>
      <c r="AJ171" s="220"/>
      <c r="AK171" s="220"/>
      <c r="AL171" s="220"/>
      <c r="AM171" s="220"/>
      <c r="AN171" s="220"/>
      <c r="AO171" s="220"/>
      <c r="AP171" s="220"/>
      <c r="AQ171" s="220"/>
      <c r="AR171" s="220"/>
      <c r="AS171" s="220"/>
      <c r="AT171" s="220"/>
      <c r="AU171" s="220"/>
      <c r="AV171" s="220"/>
      <c r="AW171" s="220"/>
      <c r="AX171" s="220"/>
      <c r="AY171" s="220"/>
      <c r="AZ171" s="220"/>
      <c r="BA171" s="220"/>
    </row>
    <row r="172">
      <c r="A172" s="290">
        <f>PRIX!A173</f>
        <v>45949</v>
      </c>
      <c r="B172" s="299">
        <f>IF(A172="","",PRIX!B173*'QUANTITE DETENUES'!B173)</f>
        <v>22458.11819</v>
      </c>
      <c r="C172" s="299">
        <f>IF(B172="","",PRIX!C173*'QUANTITE DETENUES'!C173)</f>
        <v>8404.665425</v>
      </c>
      <c r="D172" s="299">
        <f>IF(C172="","",PRIX!D173*'QUANTITE DETENUES'!D173)</f>
        <v>554.8632999</v>
      </c>
      <c r="E172" s="299">
        <f>IF(D172="","",PRIX!E173*'QUANTITE DETENUES'!E173)</f>
        <v>3424.594348</v>
      </c>
      <c r="F172" s="299">
        <f>IF(E172="","",PRIX!F173*'QUANTITE DETENUES'!F173)</f>
        <v>5235.512083</v>
      </c>
      <c r="G172" s="299">
        <f>IF(F172="","",PRIX!G173*'QUANTITE DETENUES'!G173)</f>
        <v>0</v>
      </c>
      <c r="H172" s="299">
        <f>IF(G172="","",PRIX!H173*'QUANTITE DETENUES'!H173)</f>
        <v>1621.4346</v>
      </c>
      <c r="I172" s="299">
        <f>IF(H172="","",PRIX!I173*'QUANTITE DETENUES'!I173)</f>
        <v>990.64458</v>
      </c>
      <c r="J172" s="299">
        <f>IF(I172="","",PRIX!J173*'QUANTITE DETENUES'!J173)</f>
        <v>205.03076</v>
      </c>
      <c r="K172" s="299">
        <f>IF(J172="","",PRIX!K173*'QUANTITE DETENUES'!K173)</f>
        <v>381.2413296</v>
      </c>
      <c r="L172" s="299">
        <f>IF(K172="","",PRIX!L173*'QUANTITE DETENUES'!L173)</f>
        <v>0</v>
      </c>
      <c r="M172" s="299">
        <f>IF(L172="","",PRIX!M173*'QUANTITE DETENUES'!M173)</f>
        <v>1782.738877</v>
      </c>
      <c r="N172" s="299">
        <f>IF(M172="","",PRIX!N173*'QUANTITE DETENUES'!N173)</f>
        <v>0</v>
      </c>
      <c r="O172" s="299">
        <f>IF(N172="","",PRIX!O173*'QUANTITE DETENUES'!O173)</f>
        <v>406.7083405</v>
      </c>
      <c r="P172" s="299">
        <f>IF(O172="","",PRIX!P173*'QUANTITE DETENUES'!P173)</f>
        <v>0.00003181188119</v>
      </c>
      <c r="Q172" s="299">
        <f>IF(P172="","",PRIX!Q173*'QUANTITE DETENUES'!Q173)</f>
        <v>169.015</v>
      </c>
      <c r="R172" s="299">
        <f>IF(Q172="","",PRIX!R173*'QUANTITE DETENUES'!R173)</f>
        <v>0</v>
      </c>
      <c r="S172" s="300">
        <f>IF(R172="","",PRIX!S173*'QUANTITE DETENUES'!S173)</f>
        <v>0</v>
      </c>
      <c r="T172" s="14">
        <f>IF(A172="","",ARBITRAGES!M173)</f>
        <v>13768.858</v>
      </c>
      <c r="U172" s="301">
        <f t="shared" si="1"/>
        <v>59403.42487</v>
      </c>
      <c r="V172" s="302">
        <f t="shared" si="2"/>
        <v>0.768214408</v>
      </c>
      <c r="W172" s="288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308"/>
      <c r="AI172" s="220"/>
      <c r="AJ172" s="220"/>
      <c r="AK172" s="220"/>
      <c r="AL172" s="220"/>
      <c r="AM172" s="220"/>
      <c r="AN172" s="220"/>
      <c r="AO172" s="220"/>
      <c r="AP172" s="220"/>
      <c r="AQ172" s="220"/>
      <c r="AR172" s="220"/>
      <c r="AS172" s="220"/>
      <c r="AT172" s="220"/>
      <c r="AU172" s="220"/>
      <c r="AV172" s="220"/>
      <c r="AW172" s="220"/>
      <c r="AX172" s="220"/>
      <c r="AY172" s="220"/>
      <c r="AZ172" s="220"/>
      <c r="BA172" s="220"/>
    </row>
    <row r="173">
      <c r="A173" s="290">
        <f>PRIX!A174</f>
        <v>45950</v>
      </c>
      <c r="B173" s="299">
        <f>IF(A173="","",PRIX!B174*'QUANTITE DETENUES'!B174)</f>
        <v>22458.11819</v>
      </c>
      <c r="C173" s="299">
        <f>IF(B173="","",PRIX!C174*'QUANTITE DETENUES'!C174)</f>
        <v>8404.665425</v>
      </c>
      <c r="D173" s="299">
        <f>IF(C173="","",PRIX!D174*'QUANTITE DETENUES'!D174)</f>
        <v>554.8632999</v>
      </c>
      <c r="E173" s="299">
        <f>IF(D173="","",PRIX!E174*'QUANTITE DETENUES'!E174)</f>
        <v>3424.594348</v>
      </c>
      <c r="F173" s="299">
        <f>IF(E173="","",PRIX!F174*'QUANTITE DETENUES'!F174)</f>
        <v>5008.012083</v>
      </c>
      <c r="G173" s="299">
        <f>IF(F173="","",PRIX!G174*'QUANTITE DETENUES'!G174)</f>
        <v>0</v>
      </c>
      <c r="H173" s="299">
        <f>IF(G173="","",PRIX!H174*'QUANTITE DETENUES'!H174)</f>
        <v>1621.4346</v>
      </c>
      <c r="I173" s="299">
        <f>IF(H173="","",PRIX!I174*'QUANTITE DETENUES'!I174)</f>
        <v>990.64458</v>
      </c>
      <c r="J173" s="299">
        <f>IF(I173="","",PRIX!J174*'QUANTITE DETENUES'!J174)</f>
        <v>205.03076</v>
      </c>
      <c r="K173" s="299">
        <f>IF(J173="","",PRIX!K174*'QUANTITE DETENUES'!K174)</f>
        <v>381.2413296</v>
      </c>
      <c r="L173" s="299">
        <f>IF(K173="","",PRIX!L174*'QUANTITE DETENUES'!L174)</f>
        <v>0</v>
      </c>
      <c r="M173" s="299">
        <f>IF(L173="","",PRIX!M174*'QUANTITE DETENUES'!M174)</f>
        <v>1782.738877</v>
      </c>
      <c r="N173" s="299">
        <f>IF(M173="","",PRIX!N174*'QUANTITE DETENUES'!N174)</f>
        <v>0</v>
      </c>
      <c r="O173" s="299">
        <f>IF(N173="","",PRIX!O174*'QUANTITE DETENUES'!O174)</f>
        <v>406.7083405</v>
      </c>
      <c r="P173" s="299">
        <f>IF(O173="","",PRIX!P174*'QUANTITE DETENUES'!P174)</f>
        <v>0.00003181188119</v>
      </c>
      <c r="Q173" s="299">
        <f>IF(P173="","",PRIX!Q174*'QUANTITE DETENUES'!Q174)</f>
        <v>169.015</v>
      </c>
      <c r="R173" s="299">
        <f>IF(Q173="","",PRIX!R174*'QUANTITE DETENUES'!R174)</f>
        <v>0</v>
      </c>
      <c r="S173" s="300">
        <f>IF(R173="","",PRIX!S174*'QUANTITE DETENUES'!S174)</f>
        <v>0</v>
      </c>
      <c r="T173" s="14">
        <f>IF(A173="","",ARBITRAGES!M174)</f>
        <v>13997.358</v>
      </c>
      <c r="U173" s="301">
        <f t="shared" si="1"/>
        <v>59404.42487</v>
      </c>
      <c r="V173" s="302">
        <f t="shared" si="2"/>
        <v>0.764371795</v>
      </c>
      <c r="W173" s="288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308"/>
      <c r="AI173" s="220"/>
      <c r="AJ173" s="220"/>
      <c r="AK173" s="220"/>
      <c r="AL173" s="220"/>
      <c r="AM173" s="220"/>
      <c r="AN173" s="220"/>
      <c r="AO173" s="220"/>
      <c r="AP173" s="220"/>
      <c r="AQ173" s="220"/>
      <c r="AR173" s="220"/>
      <c r="AS173" s="220"/>
      <c r="AT173" s="220"/>
      <c r="AU173" s="220"/>
      <c r="AV173" s="220"/>
      <c r="AW173" s="220"/>
      <c r="AX173" s="220"/>
      <c r="AY173" s="220"/>
      <c r="AZ173" s="220"/>
      <c r="BA173" s="220"/>
    </row>
    <row r="174">
      <c r="A174" s="290">
        <f>PRIX!A175</f>
        <v>45952</v>
      </c>
      <c r="B174" s="299">
        <f>IF(A174="","",PRIX!B175*'QUANTITE DETENUES'!B175)</f>
        <v>21793.43846</v>
      </c>
      <c r="C174" s="299">
        <f>IF(B174="","",PRIX!C175*'QUANTITE DETENUES'!C175)</f>
        <v>7950.359186</v>
      </c>
      <c r="D174" s="299">
        <f>IF(C174="","",PRIX!D175*'QUANTITE DETENUES'!D175)</f>
        <v>0.002989078723</v>
      </c>
      <c r="E174" s="299">
        <f>IF(D174="","",PRIX!E175*'QUANTITE DETENUES'!E175)</f>
        <v>3248.974125</v>
      </c>
      <c r="F174" s="299">
        <f>IF(E174="","",PRIX!F175*'QUANTITE DETENUES'!F175)</f>
        <v>4292.581786</v>
      </c>
      <c r="G174" s="299">
        <f>IF(F174="","",PRIX!G175*'QUANTITE DETENUES'!G175)</f>
        <v>0</v>
      </c>
      <c r="H174" s="299">
        <f>IF(G174="","",PRIX!H175*'QUANTITE DETENUES'!H175)</f>
        <v>1585.40272</v>
      </c>
      <c r="I174" s="299">
        <f>IF(H174="","",PRIX!I175*'QUANTITE DETENUES'!I175)</f>
        <v>946.28736</v>
      </c>
      <c r="J174" s="299">
        <f>IF(I174="","",PRIX!J175*'QUANTITE DETENUES'!J175)</f>
        <v>205.03076</v>
      </c>
      <c r="K174" s="299">
        <f>IF(J174="","",PRIX!K175*'QUANTITE DETENUES'!K175)</f>
        <v>349.4712188</v>
      </c>
      <c r="L174" s="299">
        <f>IF(K174="","",PRIX!L175*'QUANTITE DETENUES'!L175)</f>
        <v>0</v>
      </c>
      <c r="M174" s="299">
        <f>IF(L174="","",PRIX!M175*'QUANTITE DETENUES'!M175)</f>
        <v>1705.228491</v>
      </c>
      <c r="N174" s="299">
        <f>IF(M174="","",PRIX!N175*'QUANTITE DETENUES'!N175)</f>
        <v>0</v>
      </c>
      <c r="O174" s="299">
        <f>IF(N174="","",PRIX!O175*'QUANTITE DETENUES'!O175)</f>
        <v>399.2229109</v>
      </c>
      <c r="P174" s="299">
        <f>IF(O174="","",PRIX!P175*'QUANTITE DETENUES'!P175)</f>
        <v>0.00002891989199</v>
      </c>
      <c r="Q174" s="299">
        <f>IF(P174="","",PRIX!Q175*'QUANTITE DETENUES'!Q175)</f>
        <v>169.015</v>
      </c>
      <c r="R174" s="299">
        <f>IF(Q174="","",PRIX!R175*'QUANTITE DETENUES'!R175)</f>
        <v>0</v>
      </c>
      <c r="S174" s="300">
        <f>IF(R174="","",PRIX!S175*'QUANTITE DETENUES'!S175)</f>
        <v>0</v>
      </c>
      <c r="T174" s="14">
        <f>IF(A174="","",ARBITRAGES!M175)</f>
        <v>14564.6059</v>
      </c>
      <c r="U174" s="301">
        <f t="shared" si="1"/>
        <v>57209.62094</v>
      </c>
      <c r="V174" s="302">
        <f t="shared" si="2"/>
        <v>0.7454168432</v>
      </c>
      <c r="W174" s="288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308"/>
      <c r="AI174" s="220"/>
      <c r="AJ174" s="220"/>
      <c r="AK174" s="220"/>
      <c r="AL174" s="220"/>
      <c r="AM174" s="220"/>
      <c r="AN174" s="220"/>
      <c r="AO174" s="220"/>
      <c r="AP174" s="220"/>
      <c r="AQ174" s="220"/>
      <c r="AR174" s="220"/>
      <c r="AS174" s="220"/>
      <c r="AT174" s="220"/>
      <c r="AU174" s="220"/>
      <c r="AV174" s="220"/>
      <c r="AW174" s="220"/>
      <c r="AX174" s="220"/>
      <c r="AY174" s="220"/>
      <c r="AZ174" s="220"/>
      <c r="BA174" s="220"/>
    </row>
    <row r="175">
      <c r="A175" s="290">
        <f>PRIX!A176</f>
        <v>45953</v>
      </c>
      <c r="B175" s="299">
        <f>IF(A175="","",PRIX!B176*'QUANTITE DETENUES'!B176)</f>
        <v>22256.70009</v>
      </c>
      <c r="C175" s="299">
        <f>IF(B175="","",PRIX!C176*'QUANTITE DETENUES'!C176)</f>
        <v>8053.610604</v>
      </c>
      <c r="D175" s="299">
        <f>IF(C175="","",PRIX!D176*'QUANTITE DETENUES'!D176)</f>
        <v>0.003058592182</v>
      </c>
      <c r="E175" s="299">
        <f>IF(D175="","",PRIX!E176*'QUANTITE DETENUES'!E176)</f>
        <v>3354.346258</v>
      </c>
      <c r="F175" s="299">
        <f>IF(E175="","",PRIX!F176*'QUANTITE DETENUES'!F176)</f>
        <v>4237.548686</v>
      </c>
      <c r="G175" s="299">
        <f>IF(F175="","",PRIX!G176*'QUANTITE DETENUES'!G176)</f>
        <v>0</v>
      </c>
      <c r="H175" s="299">
        <f>IF(G175="","",PRIX!H176*'QUANTITE DETENUES'!H176)</f>
        <v>1594.41069</v>
      </c>
      <c r="I175" s="299">
        <f>IF(H175="","",PRIX!I176*'QUANTITE DETENUES'!I176)</f>
        <v>961.0731</v>
      </c>
      <c r="J175" s="299">
        <f>IF(I175="","",PRIX!J176*'QUANTITE DETENUES'!J176)</f>
        <v>205.03076</v>
      </c>
      <c r="K175" s="299">
        <f>IF(J175="","",PRIX!K176*'QUANTITE DETENUES'!K176)</f>
        <v>336.7631744</v>
      </c>
      <c r="L175" s="299">
        <f>IF(K175="","",PRIX!L176*'QUANTITE DETENUES'!L176)</f>
        <v>0</v>
      </c>
      <c r="M175" s="299">
        <f>IF(L175="","",PRIX!M176*'QUANTITE DETENUES'!M176)</f>
        <v>1782.738877</v>
      </c>
      <c r="N175" s="299">
        <f>IF(M175="","",PRIX!N176*'QUANTITE DETENUES'!N176)</f>
        <v>0</v>
      </c>
      <c r="O175" s="299">
        <f>IF(N175="","",PRIX!O176*'QUANTITE DETENUES'!O176)</f>
        <v>392.9850529</v>
      </c>
      <c r="P175" s="299">
        <f>IF(O175="","",PRIX!P176*'QUANTITE DETENUES'!P176)</f>
        <v>0.00002891989199</v>
      </c>
      <c r="Q175" s="299">
        <f>IF(P175="","",PRIX!Q176*'QUANTITE DETENUES'!Q176)</f>
        <v>0.0000002799999833</v>
      </c>
      <c r="R175" s="299">
        <f>IF(Q175="","",PRIX!R176*'QUANTITE DETENUES'!R176)</f>
        <v>0</v>
      </c>
      <c r="S175" s="300">
        <f>IF(R175="","",PRIX!S176*'QUANTITE DETENUES'!S176)</f>
        <v>0</v>
      </c>
      <c r="T175" s="14">
        <f>IF(A175="","",ARBITRAGES!M176)</f>
        <v>14733.61277</v>
      </c>
      <c r="U175" s="301">
        <f t="shared" si="1"/>
        <v>57908.82315</v>
      </c>
      <c r="V175" s="302">
        <f t="shared" si="2"/>
        <v>0.7455722295</v>
      </c>
      <c r="W175" s="288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220"/>
      <c r="AH175" s="308"/>
      <c r="AI175" s="220"/>
      <c r="AJ175" s="220"/>
      <c r="AK175" s="220"/>
      <c r="AL175" s="220"/>
      <c r="AM175" s="220"/>
      <c r="AN175" s="220"/>
      <c r="AO175" s="220"/>
      <c r="AP175" s="220"/>
      <c r="AQ175" s="220"/>
      <c r="AR175" s="220"/>
      <c r="AS175" s="220"/>
      <c r="AT175" s="220"/>
      <c r="AU175" s="220"/>
      <c r="AV175" s="220"/>
      <c r="AW175" s="220"/>
      <c r="AX175" s="220"/>
      <c r="AY175" s="220"/>
      <c r="AZ175" s="220"/>
      <c r="BA175" s="220"/>
    </row>
    <row r="176">
      <c r="A176" s="290">
        <f>PRIX!A177</f>
        <v>45957</v>
      </c>
      <c r="B176" s="299">
        <f>IF(A176="","",PRIX!B177*'QUANTITE DETENUES'!B177)</f>
        <v>21917.3725</v>
      </c>
      <c r="C176" s="299">
        <f>IF(B176="","",PRIX!C177*'QUANTITE DETENUES'!C177)</f>
        <v>8569.867694</v>
      </c>
      <c r="D176" s="299">
        <f>IF(C176="","",PRIX!D177*'QUANTITE DETENUES'!D177)</f>
        <v>0.003169813716</v>
      </c>
      <c r="E176" s="299">
        <f>IF(D176="","",PRIX!E177*'QUANTITE DETENUES'!E177)</f>
        <v>3512.404459</v>
      </c>
      <c r="F176" s="299">
        <f>IF(E176="","",PRIX!F177*'QUANTITE DETENUES'!F177)</f>
        <v>4952.978984</v>
      </c>
      <c r="G176" s="299">
        <f>IF(F176="","",PRIX!G177*'QUANTITE DETENUES'!G177)</f>
        <v>0</v>
      </c>
      <c r="H176" s="299">
        <f>IF(G176="","",PRIX!H177*'QUANTITE DETENUES'!H177)</f>
        <v>1666.47445</v>
      </c>
      <c r="I176" s="299">
        <f>IF(H176="","",PRIX!I177*'QUANTITE DETENUES'!I177)</f>
        <v>961.0731</v>
      </c>
      <c r="J176" s="299">
        <f>IF(I176="","",PRIX!J177*'QUANTITE DETENUES'!J177)</f>
        <v>215.282298</v>
      </c>
      <c r="K176" s="299">
        <f>IF(J176="","",PRIX!K177*'QUANTITE DETENUES'!K177)</f>
        <v>343.1171966</v>
      </c>
      <c r="L176" s="299">
        <f>IF(K176="","",PRIX!L177*'QUANTITE DETENUES'!L177)</f>
        <v>0</v>
      </c>
      <c r="M176" s="299">
        <f>IF(L176="","",PRIX!M177*'QUANTITE DETENUES'!M177)</f>
        <v>1782.738877</v>
      </c>
      <c r="N176" s="299">
        <f>IF(M176="","",PRIX!N177*'QUANTITE DETENUES'!N177)</f>
        <v>0</v>
      </c>
      <c r="O176" s="299">
        <f>IF(N176="","",PRIX!O177*'QUANTITE DETENUES'!O177)</f>
        <v>411.6986269</v>
      </c>
      <c r="P176" s="299">
        <f>IF(O176="","",PRIX!P177*'QUANTITE DETENUES'!P177)</f>
        <v>0.00003181188119</v>
      </c>
      <c r="Q176" s="299">
        <f>IF(P176="","",PRIX!Q177*'QUANTITE DETENUES'!Q177)</f>
        <v>0.0000002871999829</v>
      </c>
      <c r="R176" s="299">
        <f>IF(Q176="","",PRIX!R177*'QUANTITE DETENUES'!R177)</f>
        <v>0</v>
      </c>
      <c r="S176" s="300">
        <f>IF(R176="","",PRIX!S177*'QUANTITE DETENUES'!S177)</f>
        <v>0</v>
      </c>
      <c r="T176" s="14">
        <f>IF(A176="","",ARBITRAGES!M177)</f>
        <v>15878.61277</v>
      </c>
      <c r="U176" s="301">
        <f t="shared" si="1"/>
        <v>60211.62415</v>
      </c>
      <c r="V176" s="302">
        <f t="shared" si="2"/>
        <v>0.7362865893</v>
      </c>
      <c r="W176" s="288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308"/>
      <c r="AI176" s="220"/>
      <c r="AJ176" s="220"/>
      <c r="AK176" s="220"/>
      <c r="AL176" s="220"/>
      <c r="AM176" s="220"/>
      <c r="AN176" s="220"/>
      <c r="AO176" s="220"/>
      <c r="AP176" s="220"/>
      <c r="AQ176" s="220"/>
      <c r="AR176" s="220"/>
      <c r="AS176" s="220"/>
      <c r="AT176" s="220"/>
      <c r="AU176" s="220"/>
      <c r="AV176" s="220"/>
      <c r="AW176" s="220"/>
      <c r="AX176" s="220"/>
      <c r="AY176" s="220"/>
      <c r="AZ176" s="220"/>
      <c r="BA176" s="220"/>
    </row>
    <row r="177">
      <c r="A177" s="290">
        <f>PRIX!A178</f>
        <v>45957</v>
      </c>
      <c r="B177" s="299">
        <f>IF(A177="","",PRIX!B178*'QUANTITE DETENUES'!B178)</f>
        <v>21917.3725</v>
      </c>
      <c r="C177" s="299">
        <f>IF(B177="","",PRIX!C178*'QUANTITE DETENUES'!C178)</f>
        <v>7739.867694</v>
      </c>
      <c r="D177" s="299">
        <f>IF(C177="","",PRIX!D178*'QUANTITE DETENUES'!D178)</f>
        <v>0.003169813716</v>
      </c>
      <c r="E177" s="299">
        <f>IF(D177="","",PRIX!E178*'QUANTITE DETENUES'!E178)</f>
        <v>3512.404459</v>
      </c>
      <c r="F177" s="299">
        <f>IF(E177="","",PRIX!F178*'QUANTITE DETENUES'!F178)</f>
        <v>4952.978984</v>
      </c>
      <c r="G177" s="299">
        <f>IF(F177="","",PRIX!G178*'QUANTITE DETENUES'!G178)</f>
        <v>0</v>
      </c>
      <c r="H177" s="299">
        <f>IF(G177="","",PRIX!H178*'QUANTITE DETENUES'!H178)</f>
        <v>1666.47445</v>
      </c>
      <c r="I177" s="299">
        <f>IF(H177="","",PRIX!I178*'QUANTITE DETENUES'!I178)</f>
        <v>961.0731</v>
      </c>
      <c r="J177" s="299">
        <f>IF(I177="","",PRIX!J178*'QUANTITE DETENUES'!J178)</f>
        <v>215.282298</v>
      </c>
      <c r="K177" s="299">
        <f>IF(J177="","",PRIX!K178*'QUANTITE DETENUES'!K178)</f>
        <v>343.1171966</v>
      </c>
      <c r="L177" s="299">
        <f>IF(K177="","",PRIX!L178*'QUANTITE DETENUES'!L178)</f>
        <v>0</v>
      </c>
      <c r="M177" s="299">
        <f>IF(L177="","",PRIX!M178*'QUANTITE DETENUES'!M178)</f>
        <v>1782.738877</v>
      </c>
      <c r="N177" s="299">
        <f>IF(M177="","",PRIX!N178*'QUANTITE DETENUES'!N178)</f>
        <v>0</v>
      </c>
      <c r="O177" s="299">
        <f>IF(N177="","",PRIX!O178*'QUANTITE DETENUES'!O178)</f>
        <v>411.6986269</v>
      </c>
      <c r="P177" s="299">
        <f>IF(O177="","",PRIX!P178*'QUANTITE DETENUES'!P178)</f>
        <v>0.00003181188119</v>
      </c>
      <c r="Q177" s="299">
        <f>IF(P177="","",PRIX!Q178*'QUANTITE DETENUES'!Q178)</f>
        <v>0.0000002871999829</v>
      </c>
      <c r="R177" s="299">
        <f>IF(Q177="","",PRIX!R178*'QUANTITE DETENUES'!R178)</f>
        <v>0</v>
      </c>
      <c r="S177" s="300">
        <f>IF(R177="","",PRIX!S178*'QUANTITE DETENUES'!S178)</f>
        <v>0</v>
      </c>
      <c r="T177" s="14">
        <f>IF(A177="","",ARBITRAGES!M178)</f>
        <v>16703.61277</v>
      </c>
      <c r="U177" s="301">
        <f t="shared" si="1"/>
        <v>60206.62415</v>
      </c>
      <c r="V177" s="302">
        <f t="shared" si="2"/>
        <v>0.7225618775</v>
      </c>
      <c r="W177" s="288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308"/>
      <c r="AI177" s="220"/>
      <c r="AJ177" s="220"/>
      <c r="AK177" s="220"/>
      <c r="AL177" s="220"/>
      <c r="AM177" s="220"/>
      <c r="AN177" s="220"/>
      <c r="AO177" s="220"/>
      <c r="AP177" s="220"/>
      <c r="AQ177" s="220"/>
      <c r="AR177" s="220"/>
      <c r="AS177" s="220"/>
      <c r="AT177" s="220"/>
      <c r="AU177" s="220"/>
      <c r="AV177" s="220"/>
      <c r="AW177" s="220"/>
      <c r="AX177" s="220"/>
      <c r="AY177" s="220"/>
      <c r="AZ177" s="220"/>
      <c r="BA177" s="220"/>
    </row>
    <row r="178">
      <c r="A178" s="290">
        <f>PRIX!A179</f>
        <v>45958</v>
      </c>
      <c r="B178" s="299">
        <f>IF(A178="","",PRIX!B179*'QUANTITE DETENUES'!B179)</f>
        <v>21917.3725</v>
      </c>
      <c r="C178" s="299">
        <f>IF(B178="","",PRIX!C179*'QUANTITE DETENUES'!C179)</f>
        <v>7739.867694</v>
      </c>
      <c r="D178" s="299">
        <f>IF(C178="","",PRIX!D179*'QUANTITE DETENUES'!D179)</f>
        <v>0.003169813716</v>
      </c>
      <c r="E178" s="299">
        <f>IF(D178="","",PRIX!E179*'QUANTITE DETENUES'!E179)</f>
        <v>3512.404459</v>
      </c>
      <c r="F178" s="299">
        <f>IF(E178="","",PRIX!F179*'QUANTITE DETENUES'!F179)</f>
        <v>4503.878984</v>
      </c>
      <c r="G178" s="299">
        <f>IF(F178="","",PRIX!G179*'QUANTITE DETENUES'!G179)</f>
        <v>0</v>
      </c>
      <c r="H178" s="299">
        <f>IF(G178="","",PRIX!H179*'QUANTITE DETENUES'!H179)</f>
        <v>1666.47445</v>
      </c>
      <c r="I178" s="299">
        <f>IF(H178="","",PRIX!I179*'QUANTITE DETENUES'!I179)</f>
        <v>961.0731</v>
      </c>
      <c r="J178" s="299">
        <f>IF(I178="","",PRIX!J179*'QUANTITE DETENUES'!J179)</f>
        <v>215.282298</v>
      </c>
      <c r="K178" s="299">
        <f>IF(J178="","",PRIX!K179*'QUANTITE DETENUES'!K179)</f>
        <v>343.1171966</v>
      </c>
      <c r="L178" s="299">
        <f>IF(K178="","",PRIX!L179*'QUANTITE DETENUES'!L179)</f>
        <v>0</v>
      </c>
      <c r="M178" s="299">
        <f>IF(L178="","",PRIX!M179*'QUANTITE DETENUES'!M179)</f>
        <v>1782.738877</v>
      </c>
      <c r="N178" s="299">
        <f>IF(M178="","",PRIX!N179*'QUANTITE DETENUES'!N179)</f>
        <v>0</v>
      </c>
      <c r="O178" s="299">
        <f>IF(N178="","",PRIX!O179*'QUANTITE DETENUES'!O179)</f>
        <v>411.6986269</v>
      </c>
      <c r="P178" s="299">
        <f>IF(O178="","",PRIX!P179*'QUANTITE DETENUES'!P179)</f>
        <v>0.00003181188119</v>
      </c>
      <c r="Q178" s="299">
        <f>IF(P178="","",PRIX!Q179*'QUANTITE DETENUES'!Q179)</f>
        <v>0.0000002871999829</v>
      </c>
      <c r="R178" s="299">
        <f>IF(Q178="","",PRIX!R179*'QUANTITE DETENUES'!R179)</f>
        <v>0</v>
      </c>
      <c r="S178" s="300">
        <f>IF(R178="","",PRIX!S179*'QUANTITE DETENUES'!S179)</f>
        <v>0</v>
      </c>
      <c r="T178" s="14">
        <f>IF(A178="","",ARBITRAGES!M179)</f>
        <v>17183.61277</v>
      </c>
      <c r="U178" s="301">
        <f t="shared" si="1"/>
        <v>60237.52415</v>
      </c>
      <c r="V178" s="302">
        <f t="shared" si="2"/>
        <v>0.7147357397</v>
      </c>
      <c r="W178" s="288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308"/>
      <c r="AI178" s="220"/>
      <c r="AJ178" s="220"/>
      <c r="AK178" s="220"/>
      <c r="AL178" s="220"/>
      <c r="AM178" s="220"/>
      <c r="AN178" s="220"/>
      <c r="AO178" s="220"/>
      <c r="AP178" s="220"/>
      <c r="AQ178" s="220"/>
      <c r="AR178" s="220"/>
      <c r="AS178" s="220"/>
      <c r="AT178" s="220"/>
      <c r="AU178" s="220"/>
      <c r="AV178" s="220"/>
      <c r="AW178" s="220"/>
      <c r="AX178" s="220"/>
      <c r="AY178" s="220"/>
      <c r="AZ178" s="220"/>
      <c r="BA178" s="220"/>
    </row>
    <row r="179">
      <c r="A179" s="290">
        <f>PRIX!A180</f>
        <v>45960</v>
      </c>
      <c r="B179" s="299">
        <f>IF(A179="","",PRIX!B180*'QUANTITE DETENUES'!B180)</f>
        <v>21247.40914</v>
      </c>
      <c r="C179" s="299">
        <f>IF(B179="","",PRIX!C180*'QUANTITE DETENUES'!C180)</f>
        <v>7273.610604</v>
      </c>
      <c r="D179" s="299">
        <f>IF(C179="","",PRIX!D180*'QUANTITE DETENUES'!D180)</f>
        <v>0.003128105641</v>
      </c>
      <c r="E179" s="299">
        <f>IF(D179="","",PRIX!E180*'QUANTITE DETENUES'!E180)</f>
        <v>3336.784236</v>
      </c>
      <c r="F179" s="299">
        <f>IF(E179="","",PRIX!F180*'QUANTITE DETENUES'!F180)</f>
        <v>4280.044483</v>
      </c>
      <c r="G179" s="299">
        <f>IF(F179="","",PRIX!G180*'QUANTITE DETENUES'!G180)</f>
        <v>0</v>
      </c>
      <c r="H179" s="299">
        <f>IF(G179="","",PRIX!H180*'QUANTITE DETENUES'!H180)</f>
        <v>1576.39475</v>
      </c>
      <c r="I179" s="299">
        <f>IF(H179="","",PRIX!I180*'QUANTITE DETENUES'!I180)</f>
        <v>921.64446</v>
      </c>
      <c r="J179" s="299">
        <f>IF(I179="","",PRIX!J180*'QUANTITE DETENUES'!J180)</f>
        <v>205.03076</v>
      </c>
      <c r="K179" s="299">
        <f>IF(J179="","",PRIX!K180*'QUANTITE DETENUES'!K180)</f>
        <v>311.3470858</v>
      </c>
      <c r="L179" s="299">
        <f>IF(K179="","",PRIX!L180*'QUANTITE DETENUES'!L180)</f>
        <v>0</v>
      </c>
      <c r="M179" s="299">
        <f>IF(L179="","",PRIX!M180*'QUANTITE DETENUES'!M180)</f>
        <v>1705.228491</v>
      </c>
      <c r="N179" s="299">
        <f>IF(M179="","",PRIX!N180*'QUANTITE DETENUES'!N180)</f>
        <v>0</v>
      </c>
      <c r="O179" s="299">
        <f>IF(N179="","",PRIX!O180*'QUANTITE DETENUES'!O180)</f>
        <v>386.7471949</v>
      </c>
      <c r="P179" s="299">
        <f>IF(O179="","",PRIX!P180*'QUANTITE DETENUES'!P180)</f>
        <v>0.00002891989199</v>
      </c>
      <c r="Q179" s="299">
        <f>IF(P179="","",PRIX!Q180*'QUANTITE DETENUES'!Q180)</f>
        <v>0.0000002599999845</v>
      </c>
      <c r="R179" s="299">
        <f>IF(Q179="","",PRIX!R180*'QUANTITE DETENUES'!R180)</f>
        <v>0</v>
      </c>
      <c r="S179" s="300">
        <f>IF(R179="","",PRIX!S180*'QUANTITE DETENUES'!S180)</f>
        <v>0</v>
      </c>
      <c r="T179" s="14">
        <f>IF(A179="","",ARBITRAGES!M180)</f>
        <v>17648.61277</v>
      </c>
      <c r="U179" s="301">
        <f t="shared" si="1"/>
        <v>58892.85713</v>
      </c>
      <c r="V179" s="302">
        <f t="shared" si="2"/>
        <v>0.7003267692</v>
      </c>
      <c r="W179" s="288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220"/>
      <c r="AH179" s="308"/>
      <c r="AI179" s="220"/>
      <c r="AJ179" s="220"/>
      <c r="AK179" s="220"/>
      <c r="AL179" s="220"/>
      <c r="AM179" s="220"/>
      <c r="AN179" s="220"/>
      <c r="AO179" s="220"/>
      <c r="AP179" s="220"/>
      <c r="AQ179" s="220"/>
      <c r="AR179" s="220"/>
      <c r="AS179" s="220"/>
      <c r="AT179" s="220"/>
      <c r="AU179" s="220"/>
      <c r="AV179" s="220"/>
      <c r="AW179" s="220"/>
      <c r="AX179" s="220"/>
      <c r="AY179" s="220"/>
      <c r="AZ179" s="220"/>
      <c r="BA179" s="220"/>
    </row>
    <row r="180">
      <c r="A180" s="290">
        <f>PRIX!A181</f>
        <v>45961</v>
      </c>
      <c r="B180" s="299">
        <f>IF(A180="","",PRIX!B181*'QUANTITE DETENUES'!B181)</f>
        <v>21247.40914</v>
      </c>
      <c r="C180" s="299">
        <f>IF(B180="","",PRIX!C181*'QUANTITE DETENUES'!C181)</f>
        <v>7273.610604</v>
      </c>
      <c r="D180" s="299">
        <f>IF(C180="","",PRIX!D181*'QUANTITE DETENUES'!D181)</f>
        <v>0.003128105641</v>
      </c>
      <c r="E180" s="299">
        <f>IF(D180="","",PRIX!E181*'QUANTITE DETENUES'!E181)</f>
        <v>3336.784236</v>
      </c>
      <c r="F180" s="299">
        <f>IF(E180="","",PRIX!F181*'QUANTITE DETENUES'!F181)</f>
        <v>3568.494483</v>
      </c>
      <c r="G180" s="299">
        <f>IF(F180="","",PRIX!G181*'QUANTITE DETENUES'!G181)</f>
        <v>0</v>
      </c>
      <c r="H180" s="299">
        <f>IF(G180="","",PRIX!H181*'QUANTITE DETENUES'!H181)</f>
        <v>1576.39475</v>
      </c>
      <c r="I180" s="299">
        <f>IF(H180="","",PRIX!I181*'QUANTITE DETENUES'!I181)</f>
        <v>921.64446</v>
      </c>
      <c r="J180" s="299">
        <f>IF(I180="","",PRIX!J181*'QUANTITE DETENUES'!J181)</f>
        <v>205.03076</v>
      </c>
      <c r="K180" s="299">
        <f>IF(J180="","",PRIX!K181*'QUANTITE DETENUES'!K181)</f>
        <v>311.3470858</v>
      </c>
      <c r="L180" s="299">
        <f>IF(K180="","",PRIX!L181*'QUANTITE DETENUES'!L181)</f>
        <v>0</v>
      </c>
      <c r="M180" s="299">
        <f>IF(L180="","",PRIX!M181*'QUANTITE DETENUES'!M181)</f>
        <v>1705.228491</v>
      </c>
      <c r="N180" s="299">
        <f>IF(M180="","",PRIX!N181*'QUANTITE DETENUES'!N181)</f>
        <v>0</v>
      </c>
      <c r="O180" s="299">
        <f>IF(N180="","",PRIX!O181*'QUANTITE DETENUES'!O181)</f>
        <v>386.7471949</v>
      </c>
      <c r="P180" s="299">
        <f>IF(O180="","",PRIX!P181*'QUANTITE DETENUES'!P181)</f>
        <v>0.00002891989199</v>
      </c>
      <c r="Q180" s="299">
        <f>IF(P180="","",PRIX!Q181*'QUANTITE DETENUES'!Q181)</f>
        <v>0.0000002599999845</v>
      </c>
      <c r="R180" s="299">
        <f>IF(Q180="","",PRIX!R181*'QUANTITE DETENUES'!R181)</f>
        <v>0</v>
      </c>
      <c r="S180" s="300">
        <f>IF(R180="","",PRIX!S181*'QUANTITE DETENUES'!S181)</f>
        <v>0</v>
      </c>
      <c r="T180" s="14">
        <f>IF(A180="","",ARBITRAGES!M181)</f>
        <v>18353.61277</v>
      </c>
      <c r="U180" s="301">
        <f t="shared" si="1"/>
        <v>58886.30713</v>
      </c>
      <c r="V180" s="302">
        <f t="shared" si="2"/>
        <v>0.6883212132</v>
      </c>
      <c r="W180" s="288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308"/>
      <c r="AI180" s="220"/>
      <c r="AJ180" s="220"/>
      <c r="AK180" s="220"/>
      <c r="AL180" s="220"/>
      <c r="AM180" s="220"/>
      <c r="AN180" s="220"/>
      <c r="AO180" s="220"/>
      <c r="AP180" s="220"/>
      <c r="AQ180" s="220"/>
      <c r="AR180" s="220"/>
      <c r="AS180" s="220"/>
      <c r="AT180" s="220"/>
      <c r="AU180" s="220"/>
      <c r="AV180" s="220"/>
      <c r="AW180" s="220"/>
      <c r="AX180" s="220"/>
      <c r="AY180" s="220"/>
      <c r="AZ180" s="220"/>
      <c r="BA180" s="220"/>
    </row>
    <row r="181">
      <c r="A181" s="290">
        <f>PRIX!A182</f>
        <v>45961</v>
      </c>
      <c r="B181" s="299">
        <f>IF(A181="","",PRIX!B182*'QUANTITE DETENUES'!B182)</f>
        <v>21247.40914</v>
      </c>
      <c r="C181" s="299">
        <f>IF(B181="","",PRIX!C182*'QUANTITE DETENUES'!C182)</f>
        <v>7273.610604</v>
      </c>
      <c r="D181" s="299">
        <f>IF(C181="","",PRIX!D182*'QUANTITE DETENUES'!D182)</f>
        <v>0.003128105641</v>
      </c>
      <c r="E181" s="299">
        <f>IF(D181="","",PRIX!E182*'QUANTITE DETENUES'!E182)</f>
        <v>3336.784236</v>
      </c>
      <c r="F181" s="299">
        <f>IF(E181="","",PRIX!F182*'QUANTITE DETENUES'!F182)</f>
        <v>3189.444483</v>
      </c>
      <c r="G181" s="299">
        <f>IF(F181="","",PRIX!G182*'QUANTITE DETENUES'!G182)</f>
        <v>0</v>
      </c>
      <c r="H181" s="299">
        <f>IF(G181="","",PRIX!H182*'QUANTITE DETENUES'!H182)</f>
        <v>1576.39475</v>
      </c>
      <c r="I181" s="299">
        <f>IF(H181="","",PRIX!I182*'QUANTITE DETENUES'!I182)</f>
        <v>921.64446</v>
      </c>
      <c r="J181" s="299">
        <f>IF(I181="","",PRIX!J182*'QUANTITE DETENUES'!J182)</f>
        <v>205.03076</v>
      </c>
      <c r="K181" s="299">
        <f>IF(J181="","",PRIX!K182*'QUANTITE DETENUES'!K182)</f>
        <v>311.3470858</v>
      </c>
      <c r="L181" s="299">
        <f>IF(K181="","",PRIX!L182*'QUANTITE DETENUES'!L182)</f>
        <v>0</v>
      </c>
      <c r="M181" s="299">
        <f>IF(L181="","",PRIX!M182*'QUANTITE DETENUES'!M182)</f>
        <v>1705.228491</v>
      </c>
      <c r="N181" s="299">
        <f>IF(M181="","",PRIX!N182*'QUANTITE DETENUES'!N182)</f>
        <v>0</v>
      </c>
      <c r="O181" s="299">
        <f>IF(N181="","",PRIX!O182*'QUANTITE DETENUES'!O182)</f>
        <v>386.7471949</v>
      </c>
      <c r="P181" s="299">
        <f>IF(O181="","",PRIX!P182*'QUANTITE DETENUES'!P182)</f>
        <v>0.00002891989199</v>
      </c>
      <c r="Q181" s="299">
        <f>IF(P181="","",PRIX!Q182*'QUANTITE DETENUES'!Q182)</f>
        <v>0.0000002599999845</v>
      </c>
      <c r="R181" s="299">
        <f>IF(Q181="","",PRIX!R182*'QUANTITE DETENUES'!R182)</f>
        <v>0</v>
      </c>
      <c r="S181" s="300">
        <f>IF(R181="","",PRIX!S182*'QUANTITE DETENUES'!S182)</f>
        <v>0</v>
      </c>
      <c r="T181" s="14">
        <f>IF(A181="","",ARBITRAGES!M182)</f>
        <v>18753.61277</v>
      </c>
      <c r="U181" s="301">
        <f t="shared" si="1"/>
        <v>58907.25713</v>
      </c>
      <c r="V181" s="302">
        <f t="shared" si="2"/>
        <v>0.681641725</v>
      </c>
      <c r="W181" s="288"/>
      <c r="X181" s="220"/>
      <c r="Y181" s="220"/>
      <c r="Z181" s="220"/>
      <c r="AA181" s="220"/>
      <c r="AB181" s="220"/>
      <c r="AC181" s="220"/>
      <c r="AD181" s="220"/>
      <c r="AE181" s="220"/>
      <c r="AF181" s="220"/>
      <c r="AG181" s="220"/>
      <c r="AH181" s="308"/>
      <c r="AI181" s="220"/>
      <c r="AJ181" s="220"/>
      <c r="AK181" s="220"/>
      <c r="AL181" s="220"/>
      <c r="AM181" s="220"/>
      <c r="AN181" s="220"/>
      <c r="AO181" s="220"/>
      <c r="AP181" s="220"/>
      <c r="AQ181" s="220"/>
      <c r="AR181" s="220"/>
      <c r="AS181" s="220"/>
      <c r="AT181" s="220"/>
      <c r="AU181" s="220"/>
      <c r="AV181" s="220"/>
      <c r="AW181" s="220"/>
      <c r="AX181" s="220"/>
      <c r="AY181" s="220"/>
      <c r="AZ181" s="220"/>
      <c r="BA181" s="220"/>
    </row>
    <row r="182">
      <c r="A182" s="290">
        <f>PRIX!A183</f>
        <v>45962</v>
      </c>
      <c r="B182" s="299">
        <f>IF(A182="","",PRIX!B183*'QUANTITE DETENUES'!B183)</f>
        <v>21055.99104</v>
      </c>
      <c r="C182" s="299">
        <f>IF(B182="","",PRIX!C183*'QUANTITE DETENUES'!C183)</f>
        <v>7273.610604</v>
      </c>
      <c r="D182" s="299">
        <f>IF(C182="","",PRIX!D183*'QUANTITE DETENUES'!D183)</f>
        <v>0.003197619099</v>
      </c>
      <c r="E182" s="299">
        <f>IF(D182="","",PRIX!E183*'QUANTITE DETENUES'!E183)</f>
        <v>3248.974125</v>
      </c>
      <c r="F182" s="299">
        <f>IF(E182="","",PRIX!F183*'QUANTITE DETENUES'!F183)</f>
        <v>3291.098581</v>
      </c>
      <c r="G182" s="299">
        <f>IF(F182="","",PRIX!G183*'QUANTITE DETENUES'!G183)</f>
        <v>0</v>
      </c>
      <c r="H182" s="299">
        <f>IF(G182="","",PRIX!H183*'QUANTITE DETENUES'!H183)</f>
        <v>1576.39475</v>
      </c>
      <c r="I182" s="299">
        <f>IF(H182="","",PRIX!I183*'QUANTITE DETENUES'!I183)</f>
        <v>921.64446</v>
      </c>
      <c r="J182" s="299">
        <f>IF(I182="","",PRIX!J183*'QUANTITE DETENUES'!J183)</f>
        <v>205.03076</v>
      </c>
      <c r="K182" s="299">
        <f>IF(J182="","",PRIX!K183*'QUANTITE DETENUES'!K183)</f>
        <v>317.701108</v>
      </c>
      <c r="L182" s="299">
        <f>IF(K182="","",PRIX!L183*'QUANTITE DETENUES'!L183)</f>
        <v>0</v>
      </c>
      <c r="M182" s="299">
        <f>IF(L182="","",PRIX!M183*'QUANTITE DETENUES'!M183)</f>
        <v>1743.983684</v>
      </c>
      <c r="N182" s="299">
        <f>IF(M182="","",PRIX!N183*'QUANTITE DETENUES'!N183)</f>
        <v>0</v>
      </c>
      <c r="O182" s="299">
        <f>IF(N182="","",PRIX!O183*'QUANTITE DETENUES'!O183)</f>
        <v>392.9850529</v>
      </c>
      <c r="P182" s="299">
        <f>IF(O182="","",PRIX!P183*'QUANTITE DETENUES'!P183)</f>
        <v>0.00002891989199</v>
      </c>
      <c r="Q182" s="299">
        <f>IF(P182="","",PRIX!Q183*'QUANTITE DETENUES'!Q183)</f>
        <v>0.0000002599999845</v>
      </c>
      <c r="R182" s="299">
        <f>IF(Q182="","",PRIX!R183*'QUANTITE DETENUES'!R183)</f>
        <v>0</v>
      </c>
      <c r="S182" s="300">
        <f>IF(R182="","",PRIX!S183*'QUANTITE DETENUES'!S183)</f>
        <v>0</v>
      </c>
      <c r="T182" s="14">
        <f>IF(A182="","",ARBITRAGES!M183)</f>
        <v>19018.61277</v>
      </c>
      <c r="U182" s="301">
        <f t="shared" si="1"/>
        <v>59046.03016</v>
      </c>
      <c r="V182" s="302">
        <f t="shared" si="2"/>
        <v>0.677901923</v>
      </c>
      <c r="W182" s="288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308"/>
      <c r="AI182" s="220"/>
      <c r="AJ182" s="220"/>
      <c r="AK182" s="220"/>
      <c r="AL182" s="220"/>
      <c r="AM182" s="220"/>
      <c r="AN182" s="220"/>
      <c r="AO182" s="220"/>
      <c r="AP182" s="220"/>
      <c r="AQ182" s="220"/>
      <c r="AR182" s="220"/>
      <c r="AS182" s="220"/>
      <c r="AT182" s="220"/>
      <c r="AU182" s="220"/>
      <c r="AV182" s="220"/>
      <c r="AW182" s="220"/>
      <c r="AX182" s="220"/>
      <c r="AY182" s="220"/>
      <c r="AZ182" s="220"/>
      <c r="BA182" s="220"/>
    </row>
    <row r="183">
      <c r="A183" s="290">
        <f>PRIX!A184</f>
        <v>45963</v>
      </c>
      <c r="B183" s="299">
        <f>IF(A183="","",PRIX!B184*'QUANTITE DETENUES'!B184)</f>
        <v>21055.99104</v>
      </c>
      <c r="C183" s="299">
        <f>IF(B183="","",PRIX!C184*'QUANTITE DETENUES'!C184)</f>
        <v>7273.610604</v>
      </c>
      <c r="D183" s="299">
        <f>IF(C183="","",PRIX!D184*'QUANTITE DETENUES'!D184)</f>
        <v>0.003197619099</v>
      </c>
      <c r="E183" s="299">
        <f>IF(D183="","",PRIX!E184*'QUANTITE DETENUES'!E184)</f>
        <v>3248.974125</v>
      </c>
      <c r="F183" s="299">
        <f>IF(E183="","",PRIX!F184*'QUANTITE DETENUES'!F184)</f>
        <v>3291.098581</v>
      </c>
      <c r="G183" s="299">
        <f>IF(F183="","",PRIX!G184*'QUANTITE DETENUES'!G184)</f>
        <v>0</v>
      </c>
      <c r="H183" s="299">
        <f>IF(G183="","",PRIX!H184*'QUANTITE DETENUES'!H184)</f>
        <v>1576.39475</v>
      </c>
      <c r="I183" s="299">
        <f>IF(H183="","",PRIX!I184*'QUANTITE DETENUES'!I184)</f>
        <v>921.64446</v>
      </c>
      <c r="J183" s="299">
        <f>IF(I183="","",PRIX!J184*'QUANTITE DETENUES'!J184)</f>
        <v>-0.0000001945258975</v>
      </c>
      <c r="K183" s="299">
        <f>IF(J183="","",PRIX!K184*'QUANTITE DETENUES'!K184)</f>
        <v>317.701108</v>
      </c>
      <c r="L183" s="299">
        <f>IF(K183="","",PRIX!L184*'QUANTITE DETENUES'!L184)</f>
        <v>0</v>
      </c>
      <c r="M183" s="299">
        <f>IF(L183="","",PRIX!M184*'QUANTITE DETENUES'!M184)</f>
        <v>1743.983684</v>
      </c>
      <c r="N183" s="299">
        <f>IF(M183="","",PRIX!N184*'QUANTITE DETENUES'!N184)</f>
        <v>0</v>
      </c>
      <c r="O183" s="299">
        <f>IF(N183="","",PRIX!O184*'QUANTITE DETENUES'!O184)</f>
        <v>392.9850529</v>
      </c>
      <c r="P183" s="299">
        <f>IF(O183="","",PRIX!P184*'QUANTITE DETENUES'!P184)</f>
        <v>0.00002891989199</v>
      </c>
      <c r="Q183" s="299">
        <f>IF(P183="","",PRIX!Q184*'QUANTITE DETENUES'!Q184)</f>
        <v>0.0000002599999845</v>
      </c>
      <c r="R183" s="299">
        <f>IF(Q183="","",PRIX!R184*'QUANTITE DETENUES'!R184)</f>
        <v>0</v>
      </c>
      <c r="S183" s="300">
        <f>IF(R183="","",PRIX!S184*'QUANTITE DETENUES'!S184)</f>
        <v>0</v>
      </c>
      <c r="T183" s="14">
        <f>IF(A183="","",ARBITRAGES!M184)</f>
        <v>19228.37173</v>
      </c>
      <c r="U183" s="301">
        <f t="shared" si="1"/>
        <v>59050.75837</v>
      </c>
      <c r="V183" s="302">
        <f t="shared" si="2"/>
        <v>0.6743755328</v>
      </c>
      <c r="W183" s="288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220"/>
      <c r="AH183" s="308"/>
      <c r="AI183" s="220"/>
      <c r="AJ183" s="220"/>
      <c r="AK183" s="220"/>
      <c r="AL183" s="220"/>
      <c r="AM183" s="220"/>
      <c r="AN183" s="220"/>
      <c r="AO183" s="220"/>
      <c r="AP183" s="220"/>
      <c r="AQ183" s="220"/>
      <c r="AR183" s="220"/>
      <c r="AS183" s="220"/>
      <c r="AT183" s="220"/>
      <c r="AU183" s="220"/>
      <c r="AV183" s="220"/>
      <c r="AW183" s="220"/>
      <c r="AX183" s="220"/>
      <c r="AY183" s="220"/>
      <c r="AZ183" s="220"/>
      <c r="BA183" s="220"/>
    </row>
    <row r="184">
      <c r="A184" s="290">
        <f>PRIX!A185</f>
        <v>45964</v>
      </c>
      <c r="B184" s="299">
        <f>IF(A184="","",PRIX!B185*'QUANTITE DETENUES'!B185)</f>
        <v>19539.01909</v>
      </c>
      <c r="C184" s="299">
        <f>IF(B184="","",PRIX!C185*'QUANTITE DETENUES'!C185)</f>
        <v>5968.090752</v>
      </c>
      <c r="D184" s="299">
        <f>IF(C184="","",PRIX!D185*'QUANTITE DETENUES'!D185)</f>
        <v>0.00264151143</v>
      </c>
      <c r="E184" s="299">
        <f>IF(D184="","",PRIX!E185*'QUANTITE DETENUES'!E185)</f>
        <v>2722.113456</v>
      </c>
      <c r="F184" s="299">
        <f>IF(E184="","",PRIX!F185*'QUANTITE DETENUES'!F185)</f>
        <v>2483.847985</v>
      </c>
      <c r="G184" s="299">
        <f>IF(F184="","",PRIX!G185*'QUANTITE DETENUES'!G185)</f>
        <v>0</v>
      </c>
      <c r="H184" s="299">
        <f>IF(G184="","",PRIX!H185*'QUANTITE DETENUES'!H185)</f>
        <v>1283.635725</v>
      </c>
      <c r="I184" s="299">
        <f>IF(H184="","",PRIX!I185*'QUANTITE DETENUES'!I185)</f>
        <v>788.5728</v>
      </c>
      <c r="J184" s="299">
        <f>IF(I184="","",PRIX!J185*'QUANTITE DETENUES'!J185)</f>
        <v>-0.0000001692375308</v>
      </c>
      <c r="K184" s="299">
        <f>IF(J184="","",PRIX!K185*'QUANTITE DETENUES'!K185)</f>
        <v>273.2229529</v>
      </c>
      <c r="L184" s="299">
        <f>IF(K184="","",PRIX!L185*'QUANTITE DETENUES'!L185)</f>
        <v>0</v>
      </c>
      <c r="M184" s="299">
        <f>IF(L184="","",PRIX!M185*'QUANTITE DETENUES'!M185)</f>
        <v>1472.697333</v>
      </c>
      <c r="N184" s="299">
        <f>IF(M184="","",PRIX!N185*'QUANTITE DETENUES'!N185)</f>
        <v>0</v>
      </c>
      <c r="O184" s="299">
        <f>IF(N184="","",PRIX!O185*'QUANTITE DETENUES'!O185)</f>
        <v>320.6259003</v>
      </c>
      <c r="P184" s="299">
        <f>IF(O184="","",PRIX!P185*'QUANTITE DETENUES'!P185)</f>
        <v>0.00002313591359</v>
      </c>
      <c r="Q184" s="299">
        <f>IF(P184="","",PRIX!Q185*'QUANTITE DETENUES'!Q185)</f>
        <v>0.000000218399987</v>
      </c>
      <c r="R184" s="299">
        <f>IF(Q184="","",PRIX!R185*'QUANTITE DETENUES'!R185)</f>
        <v>0</v>
      </c>
      <c r="S184" s="300">
        <f>IF(R184="","",PRIX!S185*'QUANTITE DETENUES'!S185)</f>
        <v>0</v>
      </c>
      <c r="T184" s="14">
        <f>IF(A184="","",ARBITRAGES!M185)</f>
        <v>18928.37173</v>
      </c>
      <c r="U184" s="301">
        <f t="shared" si="1"/>
        <v>53780.20039</v>
      </c>
      <c r="V184" s="302">
        <f t="shared" si="2"/>
        <v>0.6480420007</v>
      </c>
      <c r="W184" s="288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308"/>
      <c r="AI184" s="220"/>
      <c r="AJ184" s="220"/>
      <c r="AK184" s="220"/>
      <c r="AL184" s="220"/>
      <c r="AM184" s="220"/>
      <c r="AN184" s="220"/>
      <c r="AO184" s="220"/>
      <c r="AP184" s="220"/>
      <c r="AQ184" s="220"/>
      <c r="AR184" s="220"/>
      <c r="AS184" s="220"/>
      <c r="AT184" s="220"/>
      <c r="AU184" s="220"/>
      <c r="AV184" s="220"/>
      <c r="AW184" s="220"/>
      <c r="AX184" s="220"/>
      <c r="AY184" s="220"/>
      <c r="AZ184" s="220"/>
      <c r="BA184" s="220"/>
    </row>
    <row r="185">
      <c r="A185" s="290">
        <f>PRIX!A186</f>
        <v>45964</v>
      </c>
      <c r="B185" s="299">
        <f>IF(A185="","",PRIX!B186*'QUANTITE DETENUES'!B186)</f>
        <v>20544.52184</v>
      </c>
      <c r="C185" s="299">
        <f>IF(B185="","",PRIX!C186*'QUANTITE DETENUES'!C186)</f>
        <v>5968.090752</v>
      </c>
      <c r="D185" s="299">
        <f>IF(C185="","",PRIX!D186*'QUANTITE DETENUES'!D186)</f>
        <v>0.00264151143</v>
      </c>
      <c r="E185" s="299">
        <f>IF(D185="","",PRIX!E186*'QUANTITE DETENUES'!E186)</f>
        <v>2722.113456</v>
      </c>
      <c r="F185" s="299">
        <f>IF(E185="","",PRIX!F186*'QUANTITE DETENUES'!F186)</f>
        <v>2483.847985</v>
      </c>
      <c r="G185" s="299">
        <f>IF(F185="","",PRIX!G186*'QUANTITE DETENUES'!G186)</f>
        <v>0</v>
      </c>
      <c r="H185" s="299">
        <f>IF(G185="","",PRIX!H186*'QUANTITE DETENUES'!H186)</f>
        <v>1283.635725</v>
      </c>
      <c r="I185" s="299">
        <f>IF(H185="","",PRIX!I186*'QUANTITE DETENUES'!I186)</f>
        <v>788.5728</v>
      </c>
      <c r="J185" s="299">
        <f>IF(I185="","",PRIX!J186*'QUANTITE DETENUES'!J186)</f>
        <v>-0.0000001692375308</v>
      </c>
      <c r="K185" s="299">
        <f>IF(J185="","",PRIX!K186*'QUANTITE DETENUES'!K186)</f>
        <v>273.2229529</v>
      </c>
      <c r="L185" s="299">
        <f>IF(K185="","",PRIX!L186*'QUANTITE DETENUES'!L186)</f>
        <v>0</v>
      </c>
      <c r="M185" s="299">
        <f>IF(L185="","",PRIX!M186*'QUANTITE DETENUES'!M186)</f>
        <v>1472.697333</v>
      </c>
      <c r="N185" s="299">
        <f>IF(M185="","",PRIX!N186*'QUANTITE DETENUES'!N186)</f>
        <v>0</v>
      </c>
      <c r="O185" s="299">
        <f>IF(N185="","",PRIX!O186*'QUANTITE DETENUES'!O186)</f>
        <v>320.6259003</v>
      </c>
      <c r="P185" s="299">
        <f>IF(O185="","",PRIX!P186*'QUANTITE DETENUES'!P186)</f>
        <v>0.00002313591359</v>
      </c>
      <c r="Q185" s="299">
        <f>IF(P185="","",PRIX!Q186*'QUANTITE DETENUES'!Q186)</f>
        <v>0.000000218399987</v>
      </c>
      <c r="R185" s="299">
        <f>IF(Q185="","",PRIX!R186*'QUANTITE DETENUES'!R186)</f>
        <v>0</v>
      </c>
      <c r="S185" s="300">
        <f>IF(R185="","",PRIX!S186*'QUANTITE DETENUES'!S186)</f>
        <v>0</v>
      </c>
      <c r="T185" s="14">
        <f>IF(A185="","",ARBITRAGES!M186)</f>
        <v>17928.37173</v>
      </c>
      <c r="U185" s="301">
        <f t="shared" si="1"/>
        <v>53785.70314</v>
      </c>
      <c r="V185" s="302">
        <f t="shared" si="2"/>
        <v>0.6666703104</v>
      </c>
      <c r="W185" s="288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220"/>
      <c r="AH185" s="308"/>
      <c r="AI185" s="220"/>
      <c r="AJ185" s="220"/>
      <c r="AK185" s="220"/>
      <c r="AL185" s="220"/>
      <c r="AM185" s="220"/>
      <c r="AN185" s="220"/>
      <c r="AO185" s="220"/>
      <c r="AP185" s="220"/>
      <c r="AQ185" s="220"/>
      <c r="AR185" s="220"/>
      <c r="AS185" s="220"/>
      <c r="AT185" s="220"/>
      <c r="AU185" s="220"/>
      <c r="AV185" s="220"/>
      <c r="AW185" s="220"/>
      <c r="AX185" s="220"/>
      <c r="AY185" s="220"/>
      <c r="AZ185" s="220"/>
      <c r="BA185" s="220"/>
    </row>
    <row r="186">
      <c r="A186" s="290">
        <f>PRIX!A187</f>
        <v>45964</v>
      </c>
      <c r="B186" s="299">
        <f>IF(A186="","",PRIX!B187*'QUANTITE DETENUES'!B187)</f>
        <v>20544.52184</v>
      </c>
      <c r="C186" s="299">
        <f>IF(B186="","",PRIX!C187*'QUANTITE DETENUES'!C187)</f>
        <v>6384.090752</v>
      </c>
      <c r="D186" s="299">
        <f>IF(C186="","",PRIX!D187*'QUANTITE DETENUES'!D187)</f>
        <v>0.00264151143</v>
      </c>
      <c r="E186" s="299">
        <f>IF(D186="","",PRIX!E187*'QUANTITE DETENUES'!E187)</f>
        <v>2722.113456</v>
      </c>
      <c r="F186" s="299">
        <f>IF(E186="","",PRIX!F187*'QUANTITE DETENUES'!F187)</f>
        <v>2483.847985</v>
      </c>
      <c r="G186" s="299">
        <f>IF(F186="","",PRIX!G187*'QUANTITE DETENUES'!G187)</f>
        <v>0</v>
      </c>
      <c r="H186" s="299">
        <f>IF(G186="","",PRIX!H187*'QUANTITE DETENUES'!H187)</f>
        <v>1283.635725</v>
      </c>
      <c r="I186" s="299">
        <f>IF(H186="","",PRIX!I187*'QUANTITE DETENUES'!I187)</f>
        <v>788.5728</v>
      </c>
      <c r="J186" s="299">
        <f>IF(I186="","",PRIX!J187*'QUANTITE DETENUES'!J187)</f>
        <v>-0.0000001692375308</v>
      </c>
      <c r="K186" s="299">
        <f>IF(J186="","",PRIX!K187*'QUANTITE DETENUES'!K187)</f>
        <v>273.2229529</v>
      </c>
      <c r="L186" s="299">
        <f>IF(K186="","",PRIX!L187*'QUANTITE DETENUES'!L187)</f>
        <v>0</v>
      </c>
      <c r="M186" s="299">
        <f>IF(L186="","",PRIX!M187*'QUANTITE DETENUES'!M187)</f>
        <v>1472.697333</v>
      </c>
      <c r="N186" s="299">
        <f>IF(M186="","",PRIX!N187*'QUANTITE DETENUES'!N187)</f>
        <v>0</v>
      </c>
      <c r="O186" s="299">
        <f>IF(N186="","",PRIX!O187*'QUANTITE DETENUES'!O187)</f>
        <v>320.6259003</v>
      </c>
      <c r="P186" s="299">
        <f>IF(O186="","",PRIX!P187*'QUANTITE DETENUES'!P187)</f>
        <v>0.00002313591359</v>
      </c>
      <c r="Q186" s="299">
        <f>IF(P186="","",PRIX!Q187*'QUANTITE DETENUES'!Q187)</f>
        <v>0.000000218399987</v>
      </c>
      <c r="R186" s="299">
        <f>IF(Q186="","",PRIX!R187*'QUANTITE DETENUES'!R187)</f>
        <v>0</v>
      </c>
      <c r="S186" s="300">
        <f>IF(R186="","",PRIX!S187*'QUANTITE DETENUES'!S187)</f>
        <v>0</v>
      </c>
      <c r="T186" s="14">
        <f>IF(A186="","",ARBITRAGES!M187)</f>
        <v>17525.37173</v>
      </c>
      <c r="U186" s="301">
        <f t="shared" si="1"/>
        <v>53798.70314</v>
      </c>
      <c r="V186" s="302">
        <f t="shared" si="2"/>
        <v>0.6742417436</v>
      </c>
      <c r="W186" s="288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220"/>
      <c r="AH186" s="308"/>
      <c r="AI186" s="220"/>
      <c r="AJ186" s="220"/>
      <c r="AK186" s="220"/>
      <c r="AL186" s="220"/>
      <c r="AM186" s="220"/>
      <c r="AN186" s="220"/>
      <c r="AO186" s="220"/>
      <c r="AP186" s="220"/>
      <c r="AQ186" s="220"/>
      <c r="AR186" s="220"/>
      <c r="AS186" s="220"/>
      <c r="AT186" s="220"/>
      <c r="AU186" s="220"/>
      <c r="AV186" s="220"/>
      <c r="AW186" s="220"/>
      <c r="AX186" s="220"/>
      <c r="AY186" s="220"/>
      <c r="AZ186" s="220"/>
      <c r="BA186" s="220"/>
    </row>
    <row r="187">
      <c r="A187" s="290">
        <f>PRIX!A188</f>
        <v>45965</v>
      </c>
      <c r="B187" s="299">
        <f>IF(A187="","",PRIX!B188*'QUANTITE DETENUES'!B188)</f>
        <v>20849.0673</v>
      </c>
      <c r="C187" s="299">
        <f>IF(B187="","",PRIX!C188*'QUANTITE DETENUES'!C188)</f>
        <v>6384.090752</v>
      </c>
      <c r="D187" s="299">
        <f>IF(C187="","",PRIX!D188*'QUANTITE DETENUES'!D188)</f>
        <v>0.00264151143</v>
      </c>
      <c r="E187" s="299">
        <f>IF(D187="","",PRIX!E188*'QUANTITE DETENUES'!E188)</f>
        <v>2722.113456</v>
      </c>
      <c r="F187" s="299">
        <f>IF(E187="","",PRIX!F188*'QUANTITE DETENUES'!F188)</f>
        <v>2483.847985</v>
      </c>
      <c r="G187" s="299">
        <f>IF(F187="","",PRIX!G188*'QUANTITE DETENUES'!G188)</f>
        <v>0</v>
      </c>
      <c r="H187" s="299">
        <f>IF(G187="","",PRIX!H188*'QUANTITE DETENUES'!H188)</f>
        <v>1283.635725</v>
      </c>
      <c r="I187" s="299">
        <f>IF(H187="","",PRIX!I188*'QUANTITE DETENUES'!I188)</f>
        <v>788.5728</v>
      </c>
      <c r="J187" s="299">
        <f>IF(I187="","",PRIX!J188*'QUANTITE DETENUES'!J188)</f>
        <v>-0.0000001692375308</v>
      </c>
      <c r="K187" s="299">
        <f>IF(J187="","",PRIX!K188*'QUANTITE DETENUES'!K188)</f>
        <v>273.2229529</v>
      </c>
      <c r="L187" s="299">
        <f>IF(K187="","",PRIX!L188*'QUANTITE DETENUES'!L188)</f>
        <v>0</v>
      </c>
      <c r="M187" s="299">
        <f>IF(L187="","",PRIX!M188*'QUANTITE DETENUES'!M188)</f>
        <v>1472.697333</v>
      </c>
      <c r="N187" s="299">
        <f>IF(M187="","",PRIX!N188*'QUANTITE DETENUES'!N188)</f>
        <v>0</v>
      </c>
      <c r="O187" s="299">
        <f>IF(N187="","",PRIX!O188*'QUANTITE DETENUES'!O188)</f>
        <v>320.6259003</v>
      </c>
      <c r="P187" s="299">
        <f>IF(O187="","",PRIX!P188*'QUANTITE DETENUES'!P188)</f>
        <v>0.00002313591359</v>
      </c>
      <c r="Q187" s="299">
        <f>IF(P187="","",PRIX!Q188*'QUANTITE DETENUES'!Q188)</f>
        <v>0.000000218399987</v>
      </c>
      <c r="R187" s="299">
        <f>IF(Q187="","",PRIX!R188*'QUANTITE DETENUES'!R188)</f>
        <v>0</v>
      </c>
      <c r="S187" s="300">
        <f>IF(R187="","",PRIX!S188*'QUANTITE DETENUES'!S188)</f>
        <v>0</v>
      </c>
      <c r="T187" s="14">
        <f>IF(A187="","",ARBITRAGES!M188)</f>
        <v>17225.37173</v>
      </c>
      <c r="U187" s="301">
        <f t="shared" si="1"/>
        <v>53803.2486</v>
      </c>
      <c r="V187" s="302">
        <f t="shared" si="2"/>
        <v>0.6798451361</v>
      </c>
      <c r="W187" s="288"/>
      <c r="X187" s="220"/>
      <c r="Y187" s="220"/>
      <c r="Z187" s="220"/>
      <c r="AA187" s="220"/>
      <c r="AB187" s="220"/>
      <c r="AC187" s="220"/>
      <c r="AD187" s="220"/>
      <c r="AE187" s="220"/>
      <c r="AF187" s="220"/>
      <c r="AG187" s="220"/>
      <c r="AH187" s="308"/>
      <c r="AI187" s="220"/>
      <c r="AJ187" s="220"/>
      <c r="AK187" s="220"/>
      <c r="AL187" s="220"/>
      <c r="AM187" s="220"/>
      <c r="AN187" s="220"/>
      <c r="AO187" s="220"/>
      <c r="AP187" s="220"/>
      <c r="AQ187" s="220"/>
      <c r="AR187" s="220"/>
      <c r="AS187" s="220"/>
      <c r="AT187" s="220"/>
      <c r="AU187" s="220"/>
      <c r="AV187" s="220"/>
      <c r="AW187" s="220"/>
      <c r="AX187" s="220"/>
      <c r="AY187" s="220"/>
      <c r="AZ187" s="220"/>
      <c r="BA187" s="220"/>
    </row>
    <row r="188">
      <c r="A188" s="290">
        <f>PRIX!A189</f>
        <v>45968</v>
      </c>
      <c r="B188" s="299">
        <f>IF(A188="","",PRIX!B189*'QUANTITE DETENUES'!B189)</f>
        <v>22170.1484</v>
      </c>
      <c r="C188" s="299">
        <f>IF(B188="","",PRIX!C189*'QUANTITE DETENUES'!C189)</f>
        <v>6583.593588</v>
      </c>
      <c r="D188" s="299">
        <f>IF(C188="","",PRIX!D189*'QUANTITE DETENUES'!D189)</f>
        <v>0.002752732964</v>
      </c>
      <c r="E188" s="299">
        <f>IF(D188="","",PRIX!E189*'QUANTITE DETENUES'!E189)</f>
        <v>2809.923567</v>
      </c>
      <c r="F188" s="299">
        <f>IF(E188="","",PRIX!F189*'QUANTITE DETENUES'!F189)</f>
        <v>2421.751786</v>
      </c>
      <c r="G188" s="299">
        <f>IF(F188="","",PRIX!G189*'QUANTITE DETENUES'!G189)</f>
        <v>0</v>
      </c>
      <c r="H188" s="299">
        <f>IF(G188="","",PRIX!H189*'QUANTITE DETENUES'!H189)</f>
        <v>1364.707455</v>
      </c>
      <c r="I188" s="299">
        <f>IF(H188="","",PRIX!I189*'QUANTITE DETENUES'!I189)</f>
        <v>823.07286</v>
      </c>
      <c r="J188" s="299">
        <f>IF(I188="","",PRIX!J189*'QUANTITE DETENUES'!J189)</f>
        <v>-0.0000001847996026</v>
      </c>
      <c r="K188" s="299">
        <f>IF(J188="","",PRIX!K189*'QUANTITE DETENUES'!K189)</f>
        <v>292.2850193</v>
      </c>
      <c r="L188" s="299">
        <f>IF(K188="","",PRIX!L189*'QUANTITE DETENUES'!L189)</f>
        <v>0</v>
      </c>
      <c r="M188" s="299">
        <f>IF(L188="","",PRIX!M189*'QUANTITE DETENUES'!M189)</f>
        <v>1550.207719</v>
      </c>
      <c r="N188" s="299">
        <f>IF(M188="","",PRIX!N189*'QUANTITE DETENUES'!N189)</f>
        <v>0</v>
      </c>
      <c r="O188" s="299">
        <f>IF(N188="","",PRIX!O189*'QUANTITE DETENUES'!O189)</f>
        <v>336.8443311</v>
      </c>
      <c r="P188" s="299">
        <f>IF(O188="","",PRIX!P189*'QUANTITE DETENUES'!P189)</f>
        <v>0.00002487110711</v>
      </c>
      <c r="Q188" s="299">
        <f>IF(P188="","",PRIX!Q189*'QUANTITE DETENUES'!Q189)</f>
        <v>0.0000002279999864</v>
      </c>
      <c r="R188" s="299">
        <f>IF(Q188="","",PRIX!R189*'QUANTITE DETENUES'!R189)</f>
        <v>0</v>
      </c>
      <c r="S188" s="300">
        <f>IF(R188="","",PRIX!S189*'QUANTITE DETENUES'!S189)</f>
        <v>0</v>
      </c>
      <c r="T188" s="14">
        <f>IF(A188="","",ARBITRAGES!M189)</f>
        <v>16225.37173</v>
      </c>
      <c r="U188" s="301">
        <f t="shared" si="1"/>
        <v>54577.90923</v>
      </c>
      <c r="V188" s="302">
        <f t="shared" si="2"/>
        <v>0.7027117388</v>
      </c>
      <c r="W188" s="288"/>
      <c r="X188" s="220"/>
      <c r="Y188" s="220"/>
      <c r="Z188" s="220"/>
      <c r="AA188" s="220"/>
      <c r="AB188" s="220"/>
      <c r="AC188" s="220"/>
      <c r="AD188" s="220"/>
      <c r="AE188" s="220"/>
      <c r="AF188" s="220"/>
      <c r="AG188" s="220"/>
      <c r="AH188" s="308"/>
      <c r="AI188" s="220"/>
      <c r="AJ188" s="220"/>
      <c r="AK188" s="220"/>
      <c r="AL188" s="220"/>
      <c r="AM188" s="220"/>
      <c r="AN188" s="220"/>
      <c r="AO188" s="220"/>
      <c r="AP188" s="220"/>
      <c r="AQ188" s="220"/>
      <c r="AR188" s="220"/>
      <c r="AS188" s="220"/>
      <c r="AT188" s="220"/>
      <c r="AU188" s="220"/>
      <c r="AV188" s="220"/>
      <c r="AW188" s="220"/>
      <c r="AX188" s="220"/>
      <c r="AY188" s="220"/>
      <c r="AZ188" s="220"/>
      <c r="BA188" s="220"/>
    </row>
    <row r="189">
      <c r="A189" s="290">
        <f>PRIX!A190</f>
        <v>45970</v>
      </c>
      <c r="B189" s="299">
        <f>IF(A189="","",PRIX!B190*'QUANTITE DETENUES'!B190)</f>
        <v>23550.12997</v>
      </c>
      <c r="C189" s="299">
        <f>IF(B189="","",PRIX!C190*'QUANTITE DETENUES'!C190)</f>
        <v>7281.853514</v>
      </c>
      <c r="D189" s="299">
        <f>IF(C189="","",PRIX!D190*'QUANTITE DETENUES'!D190)</f>
        <v>0.002989078723</v>
      </c>
      <c r="E189" s="299">
        <f>IF(D189="","",PRIX!E190*'QUANTITE DETENUES'!E190)</f>
        <v>2985.54379</v>
      </c>
      <c r="F189" s="299">
        <f>IF(E189="","",PRIX!F190*'QUANTITE DETENUES'!F190)</f>
        <v>2483.847985</v>
      </c>
      <c r="G189" s="299">
        <f>IF(F189="","",PRIX!G190*'QUANTITE DETENUES'!G190)</f>
        <v>0</v>
      </c>
      <c r="H189" s="299">
        <f>IF(G189="","",PRIX!H190*'QUANTITE DETENUES'!H190)</f>
        <v>1486.31505</v>
      </c>
      <c r="I189" s="299">
        <f>IF(H189="","",PRIX!I190*'QUANTITE DETENUES'!I190)</f>
        <v>911.7873</v>
      </c>
      <c r="J189" s="299">
        <f>IF(I189="","",PRIX!J190*'QUANTITE DETENUES'!J190)</f>
        <v>-0.00000001964711565</v>
      </c>
      <c r="K189" s="299">
        <f>IF(J189="","",PRIX!K190*'QUANTITE DETENUES'!K190)</f>
        <v>317.701108</v>
      </c>
      <c r="L189" s="299">
        <f>IF(K189="","",PRIX!L190*'QUANTITE DETENUES'!L190)</f>
        <v>0</v>
      </c>
      <c r="M189" s="299">
        <f>IF(L189="","",PRIX!M190*'QUANTITE DETENUES'!M190)</f>
        <v>1743.983684</v>
      </c>
      <c r="N189" s="299">
        <f>IF(M189="","",PRIX!N190*'QUANTITE DETENUES'!N190)</f>
        <v>0</v>
      </c>
      <c r="O189" s="299">
        <f>IF(N189="","",PRIX!O190*'QUANTITE DETENUES'!O190)</f>
        <v>349.320047</v>
      </c>
      <c r="P189" s="299">
        <f>IF(O189="","",PRIX!P190*'QUANTITE DETENUES'!P190)</f>
        <v>0.00002834149415</v>
      </c>
      <c r="Q189" s="299">
        <f>IF(P189="","",PRIX!Q190*'QUANTITE DETENUES'!Q190)</f>
        <v>0.0000002479999852</v>
      </c>
      <c r="R189" s="299">
        <f>IF(Q189="","",PRIX!R190*'QUANTITE DETENUES'!R190)</f>
        <v>0</v>
      </c>
      <c r="S189" s="300">
        <f>IF(R189="","",PRIX!S190*'QUANTITE DETENUES'!S190)</f>
        <v>0</v>
      </c>
      <c r="T189" s="14">
        <f>IF(A189="","",ARBITRAGES!M190)</f>
        <v>15825.37173</v>
      </c>
      <c r="U189" s="301">
        <f t="shared" si="1"/>
        <v>56935.8572</v>
      </c>
      <c r="V189" s="302">
        <f t="shared" si="2"/>
        <v>0.7220491179</v>
      </c>
      <c r="W189" s="288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308"/>
      <c r="AI189" s="220"/>
      <c r="AJ189" s="220"/>
      <c r="AK189" s="220"/>
      <c r="AL189" s="220"/>
      <c r="AM189" s="220"/>
      <c r="AN189" s="220"/>
      <c r="AO189" s="220"/>
      <c r="AP189" s="220"/>
      <c r="AQ189" s="220"/>
      <c r="AR189" s="220"/>
      <c r="AS189" s="220"/>
      <c r="AT189" s="220"/>
      <c r="AU189" s="220"/>
      <c r="AV189" s="220"/>
      <c r="AW189" s="220"/>
      <c r="AX189" s="220"/>
      <c r="AY189" s="220"/>
      <c r="AZ189" s="220"/>
      <c r="BA189" s="220"/>
    </row>
    <row r="190">
      <c r="A190" s="290">
        <f>PRIX!A191</f>
        <v>45971</v>
      </c>
      <c r="B190" s="299">
        <f>IF(A190="","",PRIX!B191*'QUANTITE DETENUES'!B191)</f>
        <v>23550.12997</v>
      </c>
      <c r="C190" s="299">
        <f>IF(B190="","",PRIX!C191*'QUANTITE DETENUES'!C191)</f>
        <v>7281.853514</v>
      </c>
      <c r="D190" s="299">
        <f>IF(C190="","",PRIX!D191*'QUANTITE DETENUES'!D191)</f>
        <v>0.002989078723</v>
      </c>
      <c r="E190" s="299">
        <f>IF(D190="","",PRIX!E191*'QUANTITE DETENUES'!E191)</f>
        <v>2985.54379</v>
      </c>
      <c r="F190" s="299">
        <f>IF(E190="","",PRIX!F191*'QUANTITE DETENUES'!F191)</f>
        <v>2483.847985</v>
      </c>
      <c r="G190" s="299">
        <f>IF(F190="","",PRIX!G191*'QUANTITE DETENUES'!G191)</f>
        <v>0</v>
      </c>
      <c r="H190" s="299">
        <f>IF(G190="","",PRIX!H191*'QUANTITE DETENUES'!H191)</f>
        <v>1486.31505</v>
      </c>
      <c r="I190" s="299">
        <f>IF(H190="","",PRIX!I191*'QUANTITE DETENUES'!I191)</f>
        <v>911.7873</v>
      </c>
      <c r="J190" s="299">
        <f>IF(I190="","",PRIX!J191*'QUANTITE DETENUES'!J191)</f>
        <v>-0.0000001906353796</v>
      </c>
      <c r="K190" s="299">
        <f>IF(J190="","",PRIX!K191*'QUANTITE DETENUES'!K191)</f>
        <v>317.701108</v>
      </c>
      <c r="L190" s="299">
        <f>IF(K190="","",PRIX!L191*'QUANTITE DETENUES'!L191)</f>
        <v>0</v>
      </c>
      <c r="M190" s="299">
        <f>IF(L190="","",PRIX!M191*'QUANTITE DETENUES'!M191)</f>
        <v>1743.983684</v>
      </c>
      <c r="N190" s="299">
        <f>IF(M190="","",PRIX!N191*'QUANTITE DETENUES'!N191)</f>
        <v>0</v>
      </c>
      <c r="O190" s="299">
        <f>IF(N190="","",PRIX!O191*'QUANTITE DETENUES'!O191)</f>
        <v>0.004091616094</v>
      </c>
      <c r="P190" s="299">
        <f>IF(O190="","",PRIX!P191*'QUANTITE DETENUES'!P191)</f>
        <v>0.00002834149415</v>
      </c>
      <c r="Q190" s="299">
        <f>IF(P190="","",PRIX!Q191*'QUANTITE DETENUES'!Q191)</f>
        <v>0.0000002479999852</v>
      </c>
      <c r="R190" s="299">
        <f>IF(Q190="","",PRIX!R191*'QUANTITE DETENUES'!R191)</f>
        <v>0</v>
      </c>
      <c r="S190" s="300">
        <f>IF(R190="","",PRIX!S191*'QUANTITE DETENUES'!S191)</f>
        <v>0</v>
      </c>
      <c r="T190" s="14">
        <f>IF(A190="","",ARBITRAGES!M191)</f>
        <v>16187.42716</v>
      </c>
      <c r="U190" s="301">
        <f t="shared" si="1"/>
        <v>56948.59667</v>
      </c>
      <c r="V190" s="302">
        <f t="shared" si="2"/>
        <v>0.7157537129</v>
      </c>
      <c r="W190" s="288"/>
      <c r="X190" s="220"/>
      <c r="Y190" s="220"/>
      <c r="Z190" s="220"/>
      <c r="AA190" s="220"/>
      <c r="AB190" s="220"/>
      <c r="AC190" s="220"/>
      <c r="AD190" s="220"/>
      <c r="AE190" s="220"/>
      <c r="AF190" s="220"/>
      <c r="AG190" s="220"/>
      <c r="AH190" s="308"/>
      <c r="AI190" s="220"/>
      <c r="AJ190" s="220"/>
      <c r="AK190" s="220"/>
      <c r="AL190" s="220"/>
      <c r="AM190" s="220"/>
      <c r="AN190" s="220"/>
      <c r="AO190" s="220"/>
      <c r="AP190" s="220"/>
      <c r="AQ190" s="220"/>
      <c r="AR190" s="220"/>
      <c r="AS190" s="220"/>
      <c r="AT190" s="220"/>
      <c r="AU190" s="220"/>
      <c r="AV190" s="220"/>
      <c r="AW190" s="220"/>
      <c r="AX190" s="220"/>
      <c r="AY190" s="220"/>
      <c r="AZ190" s="220"/>
      <c r="BA190" s="220"/>
    </row>
    <row r="191">
      <c r="A191" s="290">
        <f>PRIX!A192</f>
        <v>45971</v>
      </c>
      <c r="B191" s="299">
        <f>IF(A191="","",PRIX!B192*'QUANTITE DETENUES'!B192)</f>
        <v>23101.31002</v>
      </c>
      <c r="C191" s="299">
        <f>IF(B191="","",PRIX!C192*'QUANTITE DETENUES'!C192)</f>
        <v>6982.59926</v>
      </c>
      <c r="D191" s="299">
        <f>IF(C191="","",PRIX!D192*'QUANTITE DETENUES'!D192)</f>
        <v>0.002850051806</v>
      </c>
      <c r="E191" s="299">
        <f>IF(D191="","",PRIX!E192*'QUANTITE DETENUES'!E192)</f>
        <v>2809.923567</v>
      </c>
      <c r="F191" s="299">
        <f>IF(E191="","",PRIX!F192*'QUANTITE DETENUES'!F192)</f>
        <v>2359.655586</v>
      </c>
      <c r="G191" s="299">
        <f>IF(F191="","",PRIX!G192*'QUANTITE DETENUES'!G192)</f>
        <v>0</v>
      </c>
      <c r="H191" s="299">
        <f>IF(G191="","",PRIX!H192*'QUANTITE DETENUES'!H192)</f>
        <v>1441.2752</v>
      </c>
      <c r="I191" s="299">
        <f>IF(H191="","",PRIX!I192*'QUANTITE DETENUES'!I192)</f>
        <v>862.5015</v>
      </c>
      <c r="J191" s="299">
        <f>IF(I191="","",PRIX!J192*'QUANTITE DETENUES'!J192)</f>
        <v>-0.0000001906353796</v>
      </c>
      <c r="K191" s="299">
        <f>IF(J191="","",PRIX!K192*'QUANTITE DETENUES'!K192)</f>
        <v>336.7631744</v>
      </c>
      <c r="L191" s="299">
        <f>IF(K191="","",PRIX!L192*'QUANTITE DETENUES'!L192)</f>
        <v>0</v>
      </c>
      <c r="M191" s="299">
        <f>IF(L191="","",PRIX!M192*'QUANTITE DETENUES'!M192)</f>
        <v>1666.473298</v>
      </c>
      <c r="N191" s="299">
        <f>IF(M191="","",PRIX!N192*'QUANTITE DETENUES'!N192)</f>
        <v>0</v>
      </c>
      <c r="O191" s="299">
        <f>IF(N191="","",PRIX!O192*'QUANTITE DETENUES'!O192)</f>
        <v>0.00404777735</v>
      </c>
      <c r="P191" s="299">
        <f>IF(O191="","",PRIX!P192*'QUANTITE DETENUES'!P192)</f>
        <v>0.00002718469847</v>
      </c>
      <c r="Q191" s="299">
        <f>IF(P191="","",PRIX!Q192*'QUANTITE DETENUES'!Q192)</f>
        <v>0.0000002399999857</v>
      </c>
      <c r="R191" s="299">
        <f>IF(Q191="","",PRIX!R192*'QUANTITE DETENUES'!R192)</f>
        <v>0</v>
      </c>
      <c r="S191" s="300">
        <f>IF(R191="","",PRIX!S192*'QUANTITE DETENUES'!S192)</f>
        <v>0</v>
      </c>
      <c r="T191" s="14">
        <f>IF(A191="","",ARBITRAGES!M192)</f>
        <v>16082.42716</v>
      </c>
      <c r="U191" s="301">
        <f t="shared" si="1"/>
        <v>55642.93569</v>
      </c>
      <c r="V191" s="302">
        <f t="shared" si="2"/>
        <v>0.7109709083</v>
      </c>
      <c r="W191" s="288"/>
      <c r="X191" s="220"/>
      <c r="Y191" s="220"/>
      <c r="Z191" s="220"/>
      <c r="AA191" s="220"/>
      <c r="AB191" s="220"/>
      <c r="AC191" s="220"/>
      <c r="AD191" s="220"/>
      <c r="AE191" s="220"/>
      <c r="AF191" s="220"/>
      <c r="AG191" s="220"/>
      <c r="AH191" s="308"/>
      <c r="AI191" s="220"/>
      <c r="AJ191" s="220"/>
      <c r="AK191" s="220"/>
      <c r="AL191" s="220"/>
      <c r="AM191" s="220"/>
      <c r="AN191" s="220"/>
      <c r="AO191" s="220"/>
      <c r="AP191" s="220"/>
      <c r="AQ191" s="220"/>
      <c r="AR191" s="220"/>
      <c r="AS191" s="220"/>
      <c r="AT191" s="220"/>
      <c r="AU191" s="220"/>
      <c r="AV191" s="220"/>
      <c r="AW191" s="220"/>
      <c r="AX191" s="220"/>
      <c r="AY191" s="220"/>
      <c r="AZ191" s="220"/>
      <c r="BA191" s="220"/>
    </row>
    <row r="192">
      <c r="A192" s="290">
        <f>PRIX!A193</f>
        <v>45972</v>
      </c>
      <c r="B192" s="299">
        <f>IF(A192="","",PRIX!B193*'QUANTITE DETENUES'!B193)</f>
        <v>23309.31002</v>
      </c>
      <c r="C192" s="299">
        <f>IF(B192="","",PRIX!C193*'QUANTITE DETENUES'!C193)</f>
        <v>6982.59926</v>
      </c>
      <c r="D192" s="299">
        <f>IF(C192="","",PRIX!D193*'QUANTITE DETENUES'!D193)</f>
        <v>0.002850051806</v>
      </c>
      <c r="E192" s="299">
        <f>IF(D192="","",PRIX!E193*'QUANTITE DETENUES'!E193)</f>
        <v>2809.923567</v>
      </c>
      <c r="F192" s="299">
        <f>IF(E192="","",PRIX!F193*'QUANTITE DETENUES'!F193)</f>
        <v>2359.655586</v>
      </c>
      <c r="G192" s="299">
        <f>IF(F192="","",PRIX!G193*'QUANTITE DETENUES'!G193)</f>
        <v>0</v>
      </c>
      <c r="H192" s="299">
        <f>IF(G192="","",PRIX!H193*'QUANTITE DETENUES'!H193)</f>
        <v>1441.2752</v>
      </c>
      <c r="I192" s="299">
        <f>IF(H192="","",PRIX!I193*'QUANTITE DETENUES'!I193)</f>
        <v>862.5015</v>
      </c>
      <c r="J192" s="299">
        <f>IF(I192="","",PRIX!J193*'QUANTITE DETENUES'!J193)</f>
        <v>-0.0000001906353796</v>
      </c>
      <c r="K192" s="299">
        <f>IF(J192="","",PRIX!K193*'QUANTITE DETENUES'!K193)</f>
        <v>336.7631744</v>
      </c>
      <c r="L192" s="299">
        <f>IF(K192="","",PRIX!L193*'QUANTITE DETENUES'!L193)</f>
        <v>0</v>
      </c>
      <c r="M192" s="299">
        <f>IF(L192="","",PRIX!M193*'QUANTITE DETENUES'!M193)</f>
        <v>1666.473298</v>
      </c>
      <c r="N192" s="299">
        <f>IF(M192="","",PRIX!N193*'QUANTITE DETENUES'!N193)</f>
        <v>0</v>
      </c>
      <c r="O192" s="299">
        <f>IF(N192="","",PRIX!O193*'QUANTITE DETENUES'!O193)</f>
        <v>0.00404777735</v>
      </c>
      <c r="P192" s="299">
        <f>IF(O192="","",PRIX!P193*'QUANTITE DETENUES'!P193)</f>
        <v>0.00002718469847</v>
      </c>
      <c r="Q192" s="299">
        <f>IF(P192="","",PRIX!Q193*'QUANTITE DETENUES'!Q193)</f>
        <v>0.0000002399999857</v>
      </c>
      <c r="R192" s="299">
        <f>IF(Q192="","",PRIX!R193*'QUANTITE DETENUES'!R193)</f>
        <v>0</v>
      </c>
      <c r="S192" s="300">
        <f>IF(R192="","",PRIX!S193*'QUANTITE DETENUES'!S193)</f>
        <v>0</v>
      </c>
      <c r="T192" s="14">
        <f>IF(A192="","",ARBITRAGES!M193)</f>
        <v>16074.42716</v>
      </c>
      <c r="U192" s="301">
        <f t="shared" si="1"/>
        <v>55842.93569</v>
      </c>
      <c r="V192" s="302">
        <f t="shared" si="2"/>
        <v>0.7121493174</v>
      </c>
      <c r="W192" s="288"/>
      <c r="X192" s="220"/>
      <c r="Y192" s="220"/>
      <c r="Z192" s="220"/>
      <c r="AA192" s="220"/>
      <c r="AB192" s="220"/>
      <c r="AC192" s="220"/>
      <c r="AD192" s="220"/>
      <c r="AE192" s="220"/>
      <c r="AF192" s="220"/>
      <c r="AG192" s="220"/>
      <c r="AH192" s="308"/>
      <c r="AI192" s="220"/>
      <c r="AJ192" s="220"/>
      <c r="AK192" s="220"/>
      <c r="AL192" s="220"/>
      <c r="AM192" s="220"/>
      <c r="AN192" s="220"/>
      <c r="AO192" s="220"/>
      <c r="AP192" s="220"/>
      <c r="AQ192" s="220"/>
      <c r="AR192" s="220"/>
      <c r="AS192" s="220"/>
      <c r="AT192" s="220"/>
      <c r="AU192" s="220"/>
      <c r="AV192" s="220"/>
      <c r="AW192" s="220"/>
      <c r="AX192" s="220"/>
      <c r="AY192" s="220"/>
      <c r="AZ192" s="220"/>
      <c r="BA192" s="220"/>
    </row>
    <row r="193">
      <c r="A193" s="290">
        <f>PRIX!A194</f>
        <v>45974</v>
      </c>
      <c r="B193" s="299">
        <f>IF(A193="","",PRIX!B194*'QUANTITE DETENUES'!B194)</f>
        <v>23064.54213</v>
      </c>
      <c r="C193" s="299">
        <f>IF(B193="","",PRIX!C194*'QUANTITE DETENUES'!C194)</f>
        <v>6384.090752</v>
      </c>
      <c r="D193" s="299">
        <f>IF(C193="","",PRIX!D194*'QUANTITE DETENUES'!D194)</f>
        <v>0.002780538347</v>
      </c>
      <c r="E193" s="299">
        <f>IF(D193="","",PRIX!E194*'QUANTITE DETENUES'!E194)</f>
        <v>2634.303344</v>
      </c>
      <c r="F193" s="299">
        <f>IF(E193="","",PRIX!F194*'QUANTITE DETENUES'!F194)</f>
        <v>2067.803448</v>
      </c>
      <c r="G193" s="299">
        <f>IF(F193="","",PRIX!G194*'QUANTITE DETENUES'!G194)</f>
        <v>0</v>
      </c>
      <c r="H193" s="299">
        <f>IF(G193="","",PRIX!H194*'QUANTITE DETENUES'!H194)</f>
        <v>1319.667605</v>
      </c>
      <c r="I193" s="299">
        <f>IF(H193="","",PRIX!I194*'QUANTITE DETENUES'!I194)</f>
        <v>813.2157</v>
      </c>
      <c r="J193" s="299">
        <f>IF(I193="","",PRIX!J194*'QUANTITE DETENUES'!J194)</f>
        <v>-0.0000001809090847</v>
      </c>
      <c r="K193" s="299">
        <f>IF(J193="","",PRIX!K194*'QUANTITE DETENUES'!K194)</f>
        <v>292.2850193</v>
      </c>
      <c r="L193" s="299">
        <f>IF(K193="","",PRIX!L194*'QUANTITE DETENUES'!L194)</f>
        <v>0</v>
      </c>
      <c r="M193" s="299">
        <f>IF(L193="","",PRIX!M194*'QUANTITE DETENUES'!M194)</f>
        <v>1550.207719</v>
      </c>
      <c r="N193" s="299">
        <f>IF(M193="","",PRIX!N194*'QUANTITE DETENUES'!N194)</f>
        <v>0</v>
      </c>
      <c r="O193" s="299">
        <f>IF(N193="","",PRIX!O194*'QUANTITE DETENUES'!O194)</f>
        <v>0.003653228655</v>
      </c>
      <c r="P193" s="299">
        <f>IF(O193="","",PRIX!P194*'QUANTITE DETENUES'!P194)</f>
        <v>0.00002429270927</v>
      </c>
      <c r="Q193" s="299">
        <f>IF(P193="","",PRIX!Q194*'QUANTITE DETENUES'!Q194)</f>
        <v>0.0000002199999869</v>
      </c>
      <c r="R193" s="299">
        <f>IF(Q193="","",PRIX!R194*'QUANTITE DETENUES'!R194)</f>
        <v>0</v>
      </c>
      <c r="S193" s="300">
        <f>IF(R193="","",PRIX!S194*'QUANTITE DETENUES'!S194)</f>
        <v>0</v>
      </c>
      <c r="T193" s="14">
        <f>IF(A193="","",ARBITRAGES!M194)</f>
        <v>14974.42716</v>
      </c>
      <c r="U193" s="301">
        <f t="shared" si="1"/>
        <v>53100.54934</v>
      </c>
      <c r="V193" s="302">
        <f t="shared" si="2"/>
        <v>0.7179986395</v>
      </c>
      <c r="W193" s="288"/>
      <c r="X193" s="220"/>
      <c r="Y193" s="220"/>
      <c r="Z193" s="220"/>
      <c r="AA193" s="220"/>
      <c r="AB193" s="220"/>
      <c r="AC193" s="220"/>
      <c r="AD193" s="220"/>
      <c r="AE193" s="220"/>
      <c r="AF193" s="220"/>
      <c r="AG193" s="220"/>
      <c r="AH193" s="308"/>
      <c r="AI193" s="220"/>
      <c r="AJ193" s="220"/>
      <c r="AK193" s="220"/>
      <c r="AL193" s="220"/>
      <c r="AM193" s="220"/>
      <c r="AN193" s="220"/>
      <c r="AO193" s="220"/>
      <c r="AP193" s="220"/>
      <c r="AQ193" s="220"/>
      <c r="AR193" s="220"/>
      <c r="AS193" s="220"/>
      <c r="AT193" s="220"/>
      <c r="AU193" s="220"/>
      <c r="AV193" s="220"/>
      <c r="AW193" s="220"/>
      <c r="AX193" s="220"/>
      <c r="AY193" s="220"/>
      <c r="AZ193" s="220"/>
      <c r="BA193" s="220"/>
    </row>
    <row r="194">
      <c r="A194" s="290">
        <f>PRIX!A195</f>
        <v>45974</v>
      </c>
      <c r="B194" s="299">
        <f>IF(A194="","",PRIX!B195*'QUANTITE DETENUES'!B195)</f>
        <v>23937.27536</v>
      </c>
      <c r="C194" s="299">
        <f>IF(B194="","",PRIX!C195*'QUANTITE DETENUES'!C195)</f>
        <v>6344.190185</v>
      </c>
      <c r="D194" s="299">
        <f>IF(C194="","",PRIX!D195*'QUANTITE DETENUES'!D195)</f>
        <v>0.002711024889</v>
      </c>
      <c r="E194" s="299">
        <f>IF(D194="","",PRIX!E195*'QUANTITE DETENUES'!E195)</f>
        <v>2546.493233</v>
      </c>
      <c r="F194" s="299">
        <f>IF(E194="","",PRIX!F195*'QUANTITE DETENUES'!F195)</f>
        <v>2067.803448</v>
      </c>
      <c r="G194" s="299">
        <f>IF(F194="","",PRIX!G195*'QUANTITE DETENUES'!G195)</f>
        <v>0</v>
      </c>
      <c r="H194" s="299">
        <f>IF(G194="","",PRIX!H195*'QUANTITE DETENUES'!H195)</f>
        <v>1290.842101</v>
      </c>
      <c r="I194" s="299">
        <f>IF(H194="","",PRIX!I195*'QUANTITE DETENUES'!I195)</f>
        <v>807.301404</v>
      </c>
      <c r="J194" s="299">
        <f>IF(I194="","",PRIX!J195*'QUANTITE DETENUES'!J195)</f>
        <v>-0.0000001770185667</v>
      </c>
      <c r="K194" s="299">
        <f>IF(J194="","",PRIX!K195*'QUANTITE DETENUES'!K195)</f>
        <v>298.6390415</v>
      </c>
      <c r="L194" s="299">
        <f>IF(K194="","",PRIX!L195*'QUANTITE DETENUES'!L195)</f>
        <v>0</v>
      </c>
      <c r="M194" s="299">
        <f>IF(L194="","",PRIX!M195*'QUANTITE DETENUES'!M195)</f>
        <v>1472.697333</v>
      </c>
      <c r="N194" s="299">
        <f>IF(M194="","",PRIX!N195*'QUANTITE DETENUES'!N195)</f>
        <v>0</v>
      </c>
      <c r="O194" s="299">
        <f>IF(N194="","",PRIX!O195*'QUANTITE DETENUES'!O195)</f>
        <v>0.003580164082</v>
      </c>
      <c r="P194" s="299">
        <f>IF(O194="","",PRIX!P195*'QUANTITE DETENUES'!P195)</f>
        <v>0.00002371431143</v>
      </c>
      <c r="Q194" s="299">
        <f>IF(P194="","",PRIX!Q195*'QUANTITE DETENUES'!Q195)</f>
        <v>0.0000002119999874</v>
      </c>
      <c r="R194" s="299">
        <f>IF(Q194="","",PRIX!R195*'QUANTITE DETENUES'!R195)</f>
        <v>0</v>
      </c>
      <c r="S194" s="300">
        <f>IF(R194="","",PRIX!S195*'QUANTITE DETENUES'!S195)</f>
        <v>0</v>
      </c>
      <c r="T194" s="14">
        <f>IF(A194="","",ARBITRAGES!M195)</f>
        <v>13998.23896</v>
      </c>
      <c r="U194" s="301">
        <f t="shared" si="1"/>
        <v>52763.48738</v>
      </c>
      <c r="V194" s="302">
        <f t="shared" si="2"/>
        <v>0.7346983747</v>
      </c>
      <c r="W194" s="288"/>
      <c r="X194" s="220"/>
      <c r="Y194" s="220"/>
      <c r="Z194" s="220"/>
      <c r="AA194" s="220"/>
      <c r="AB194" s="220"/>
      <c r="AC194" s="220"/>
      <c r="AD194" s="220"/>
      <c r="AE194" s="220"/>
      <c r="AF194" s="220"/>
      <c r="AG194" s="220"/>
      <c r="AH194" s="308"/>
      <c r="AI194" s="220"/>
      <c r="AJ194" s="220"/>
      <c r="AK194" s="220"/>
      <c r="AL194" s="220"/>
      <c r="AM194" s="220"/>
      <c r="AN194" s="220"/>
      <c r="AO194" s="220"/>
      <c r="AP194" s="220"/>
      <c r="AQ194" s="220"/>
      <c r="AR194" s="220"/>
      <c r="AS194" s="220"/>
      <c r="AT194" s="220"/>
      <c r="AU194" s="220"/>
      <c r="AV194" s="220"/>
      <c r="AW194" s="220"/>
      <c r="AX194" s="220"/>
      <c r="AY194" s="220"/>
      <c r="AZ194" s="220"/>
      <c r="BA194" s="220"/>
    </row>
    <row r="195">
      <c r="A195" s="290">
        <f>PRIX!A196</f>
        <v>45974</v>
      </c>
      <c r="B195" s="299">
        <f>IF(A195="","",PRIX!B196*'QUANTITE DETENUES'!B196)</f>
        <v>23937.27536</v>
      </c>
      <c r="C195" s="299">
        <f>IF(B195="","",PRIX!C196*'QUANTITE DETENUES'!C196)</f>
        <v>7044.738085</v>
      </c>
      <c r="D195" s="299">
        <f>IF(C195="","",PRIX!D196*'QUANTITE DETENUES'!D196)</f>
        <v>0.002711024889</v>
      </c>
      <c r="E195" s="299">
        <f>IF(D195="","",PRIX!E196*'QUANTITE DETENUES'!E196)</f>
        <v>2546.493233</v>
      </c>
      <c r="F195" s="299">
        <f>IF(E195="","",PRIX!F196*'QUANTITE DETENUES'!F196)</f>
        <v>2067.803448</v>
      </c>
      <c r="G195" s="299">
        <f>IF(F195="","",PRIX!G196*'QUANTITE DETENUES'!G196)</f>
        <v>0</v>
      </c>
      <c r="H195" s="299">
        <f>IF(G195="","",PRIX!H196*'QUANTITE DETENUES'!H196)</f>
        <v>1290.842101</v>
      </c>
      <c r="I195" s="299">
        <f>IF(H195="","",PRIX!I196*'QUANTITE DETENUES'!I196)</f>
        <v>807.301404</v>
      </c>
      <c r="J195" s="299">
        <f>IF(I195="","",PRIX!J196*'QUANTITE DETENUES'!J196)</f>
        <v>-0.0000001770185667</v>
      </c>
      <c r="K195" s="299">
        <f>IF(J195="","",PRIX!K196*'QUANTITE DETENUES'!K196)</f>
        <v>298.6390415</v>
      </c>
      <c r="L195" s="299">
        <f>IF(K195="","",PRIX!L196*'QUANTITE DETENUES'!L196)</f>
        <v>0</v>
      </c>
      <c r="M195" s="299">
        <f>IF(L195="","",PRIX!M196*'QUANTITE DETENUES'!M196)</f>
        <v>1472.697333</v>
      </c>
      <c r="N195" s="299">
        <f>IF(M195="","",PRIX!N196*'QUANTITE DETENUES'!N196)</f>
        <v>0</v>
      </c>
      <c r="O195" s="299">
        <f>IF(N195="","",PRIX!O196*'QUANTITE DETENUES'!O196)</f>
        <v>0.003580164082</v>
      </c>
      <c r="P195" s="299">
        <f>IF(O195="","",PRIX!P196*'QUANTITE DETENUES'!P196)</f>
        <v>0.00002371431143</v>
      </c>
      <c r="Q195" s="299">
        <f>IF(P195="","",PRIX!Q196*'QUANTITE DETENUES'!Q196)</f>
        <v>0.0000002119999874</v>
      </c>
      <c r="R195" s="299">
        <f>IF(Q195="","",PRIX!R196*'QUANTITE DETENUES'!R196)</f>
        <v>0</v>
      </c>
      <c r="S195" s="300">
        <f>IF(R195="","",PRIX!S196*'QUANTITE DETENUES'!S196)</f>
        <v>0</v>
      </c>
      <c r="T195" s="14">
        <f>IF(A195="","",ARBITRAGES!M196)</f>
        <v>13297.69106</v>
      </c>
      <c r="U195" s="301">
        <f t="shared" si="1"/>
        <v>52763.48738</v>
      </c>
      <c r="V195" s="302">
        <f t="shared" si="2"/>
        <v>0.7479755088</v>
      </c>
      <c r="W195" s="288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220"/>
      <c r="AH195" s="308"/>
      <c r="AI195" s="220"/>
      <c r="AJ195" s="220"/>
      <c r="AK195" s="220"/>
      <c r="AL195" s="220"/>
      <c r="AM195" s="220"/>
      <c r="AN195" s="220"/>
      <c r="AO195" s="220"/>
      <c r="AP195" s="220"/>
      <c r="AQ195" s="220"/>
      <c r="AR195" s="220"/>
      <c r="AS195" s="220"/>
      <c r="AT195" s="220"/>
      <c r="AU195" s="220"/>
      <c r="AV195" s="220"/>
      <c r="AW195" s="220"/>
      <c r="AX195" s="220"/>
      <c r="AY195" s="220"/>
      <c r="AZ195" s="220"/>
      <c r="BA195" s="220"/>
    </row>
    <row r="196">
      <c r="A196" s="290">
        <f>PRIX!A197</f>
        <v>45974</v>
      </c>
      <c r="B196" s="299">
        <f>IF(A196="","",PRIX!B197*'QUANTITE DETENUES'!B197)</f>
        <v>24947.63805</v>
      </c>
      <c r="C196" s="299">
        <f>IF(B196="","",PRIX!C197*'QUANTITE DETENUES'!C197)</f>
        <v>7044.738085</v>
      </c>
      <c r="D196" s="299">
        <f>IF(C196="","",PRIX!D197*'QUANTITE DETENUES'!D197)</f>
        <v>0.002711024889</v>
      </c>
      <c r="E196" s="299">
        <f>IF(D196="","",PRIX!E197*'QUANTITE DETENUES'!E197)</f>
        <v>2546.493233</v>
      </c>
      <c r="F196" s="299">
        <f>IF(E196="","",PRIX!F197*'QUANTITE DETENUES'!F197)</f>
        <v>2067.803448</v>
      </c>
      <c r="G196" s="299">
        <f>IF(F196="","",PRIX!G197*'QUANTITE DETENUES'!G197)</f>
        <v>0</v>
      </c>
      <c r="H196" s="299">
        <f>IF(G196="","",PRIX!H197*'QUANTITE DETENUES'!H197)</f>
        <v>1290.842101</v>
      </c>
      <c r="I196" s="299">
        <f>IF(H196="","",PRIX!I197*'QUANTITE DETENUES'!I197)</f>
        <v>807.301404</v>
      </c>
      <c r="J196" s="299">
        <f>IF(I196="","",PRIX!J197*'QUANTITE DETENUES'!J197)</f>
        <v>-0.0000001770185667</v>
      </c>
      <c r="K196" s="299">
        <f>IF(J196="","",PRIX!K197*'QUANTITE DETENUES'!K197)</f>
        <v>298.6390415</v>
      </c>
      <c r="L196" s="299">
        <f>IF(K196="","",PRIX!L197*'QUANTITE DETENUES'!L197)</f>
        <v>0</v>
      </c>
      <c r="M196" s="299">
        <f>IF(L196="","",PRIX!M197*'QUANTITE DETENUES'!M197)</f>
        <v>1472.697333</v>
      </c>
      <c r="N196" s="299">
        <f>IF(M196="","",PRIX!N197*'QUANTITE DETENUES'!N197)</f>
        <v>0</v>
      </c>
      <c r="O196" s="299">
        <f>IF(N196="","",PRIX!O197*'QUANTITE DETENUES'!O197)</f>
        <v>0.003580164082</v>
      </c>
      <c r="P196" s="299">
        <f>IF(O196="","",PRIX!P197*'QUANTITE DETENUES'!P197)</f>
        <v>0.00002371431143</v>
      </c>
      <c r="Q196" s="299">
        <f>IF(P196="","",PRIX!Q197*'QUANTITE DETENUES'!Q197)</f>
        <v>0.0000002119999874</v>
      </c>
      <c r="R196" s="299">
        <f>IF(Q196="","",PRIX!R197*'QUANTITE DETENUES'!R197)</f>
        <v>0</v>
      </c>
      <c r="S196" s="300">
        <f>IF(R196="","",PRIX!S197*'QUANTITE DETENUES'!S197)</f>
        <v>0</v>
      </c>
      <c r="T196" s="14">
        <f>IF(A196="","",ARBITRAGES!M197)</f>
        <v>12297.69106</v>
      </c>
      <c r="U196" s="301">
        <f t="shared" si="1"/>
        <v>52773.85007</v>
      </c>
      <c r="V196" s="302">
        <f t="shared" si="2"/>
        <v>0.766973775</v>
      </c>
      <c r="W196" s="288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220"/>
      <c r="AH196" s="308"/>
      <c r="AI196" s="220"/>
      <c r="AJ196" s="220"/>
      <c r="AK196" s="220"/>
      <c r="AL196" s="220"/>
      <c r="AM196" s="220"/>
      <c r="AN196" s="220"/>
      <c r="AO196" s="220"/>
      <c r="AP196" s="220"/>
      <c r="AQ196" s="220"/>
      <c r="AR196" s="220"/>
      <c r="AS196" s="220"/>
      <c r="AT196" s="220"/>
      <c r="AU196" s="220"/>
      <c r="AV196" s="220"/>
      <c r="AW196" s="220"/>
      <c r="AX196" s="220"/>
      <c r="AY196" s="220"/>
      <c r="AZ196" s="220"/>
      <c r="BA196" s="220"/>
    </row>
    <row r="197">
      <c r="A197" s="290">
        <f>PRIX!A198</f>
        <v>45974</v>
      </c>
      <c r="B197" s="299">
        <f>IF(A197="","",PRIX!B198*'QUANTITE DETENUES'!B198)</f>
        <v>25963.26305</v>
      </c>
      <c r="C197" s="299">
        <f>IF(B197="","",PRIX!C198*'QUANTITE DETENUES'!C198)</f>
        <v>7044.738085</v>
      </c>
      <c r="D197" s="299">
        <f>IF(C197="","",PRIX!D198*'QUANTITE DETENUES'!D198)</f>
        <v>0.002711024889</v>
      </c>
      <c r="E197" s="299">
        <f>IF(D197="","",PRIX!E198*'QUANTITE DETENUES'!E198)</f>
        <v>2546.493233</v>
      </c>
      <c r="F197" s="299">
        <f>IF(E197="","",PRIX!F198*'QUANTITE DETENUES'!F198)</f>
        <v>2067.803448</v>
      </c>
      <c r="G197" s="299">
        <f>IF(F197="","",PRIX!G198*'QUANTITE DETENUES'!G198)</f>
        <v>0</v>
      </c>
      <c r="H197" s="299">
        <f>IF(G197="","",PRIX!H198*'QUANTITE DETENUES'!H198)</f>
        <v>1290.842101</v>
      </c>
      <c r="I197" s="299">
        <f>IF(H197="","",PRIX!I198*'QUANTITE DETENUES'!I198)</f>
        <v>807.301404</v>
      </c>
      <c r="J197" s="299">
        <f>IF(I197="","",PRIX!J198*'QUANTITE DETENUES'!J198)</f>
        <v>-0.0000001770185667</v>
      </c>
      <c r="K197" s="299">
        <f>IF(J197="","",PRIX!K198*'QUANTITE DETENUES'!K198)</f>
        <v>298.6390415</v>
      </c>
      <c r="L197" s="299">
        <f>IF(K197="","",PRIX!L198*'QUANTITE DETENUES'!L198)</f>
        <v>0</v>
      </c>
      <c r="M197" s="299">
        <f>IF(L197="","",PRIX!M198*'QUANTITE DETENUES'!M198)</f>
        <v>1472.697333</v>
      </c>
      <c r="N197" s="299">
        <f>IF(M197="","",PRIX!N198*'QUANTITE DETENUES'!N198)</f>
        <v>0</v>
      </c>
      <c r="O197" s="299">
        <f>IF(N197="","",PRIX!O198*'QUANTITE DETENUES'!O198)</f>
        <v>0.003580164082</v>
      </c>
      <c r="P197" s="299">
        <f>IF(O197="","",PRIX!P198*'QUANTITE DETENUES'!P198)</f>
        <v>0.00002371431143</v>
      </c>
      <c r="Q197" s="299">
        <f>IF(P197="","",PRIX!Q198*'QUANTITE DETENUES'!Q198)</f>
        <v>0.0000002119999874</v>
      </c>
      <c r="R197" s="299">
        <f>IF(Q197="","",PRIX!R198*'QUANTITE DETENUES'!R198)</f>
        <v>0</v>
      </c>
      <c r="S197" s="300">
        <f>IF(R197="","",PRIX!S198*'QUANTITE DETENUES'!S198)</f>
        <v>0</v>
      </c>
      <c r="T197" s="14">
        <f>IF(A197="","",ARBITRAGES!M198)</f>
        <v>11297.69106</v>
      </c>
      <c r="U197" s="301">
        <f t="shared" si="1"/>
        <v>52789.47507</v>
      </c>
      <c r="V197" s="302">
        <f t="shared" si="2"/>
        <v>0.7859859177</v>
      </c>
      <c r="W197" s="288"/>
      <c r="X197" s="220"/>
      <c r="Y197" s="220"/>
      <c r="Z197" s="220"/>
      <c r="AA197" s="220"/>
      <c r="AB197" s="220"/>
      <c r="AC197" s="220"/>
      <c r="AD197" s="220"/>
      <c r="AE197" s="220"/>
      <c r="AF197" s="220"/>
      <c r="AG197" s="220"/>
      <c r="AH197" s="308"/>
      <c r="AI197" s="220"/>
      <c r="AJ197" s="220"/>
      <c r="AK197" s="220"/>
      <c r="AL197" s="220"/>
      <c r="AM197" s="220"/>
      <c r="AN197" s="220"/>
      <c r="AO197" s="220"/>
      <c r="AP197" s="220"/>
      <c r="AQ197" s="220"/>
      <c r="AR197" s="220"/>
      <c r="AS197" s="220"/>
      <c r="AT197" s="220"/>
      <c r="AU197" s="220"/>
      <c r="AV197" s="220"/>
      <c r="AW197" s="220"/>
      <c r="AX197" s="220"/>
      <c r="AY197" s="220"/>
      <c r="AZ197" s="220"/>
      <c r="BA197" s="220"/>
    </row>
    <row r="198">
      <c r="A198" s="290">
        <f>PRIX!A199</f>
        <v>45974</v>
      </c>
      <c r="B198" s="299">
        <f>IF(A198="","",PRIX!B199*'QUANTITE DETENUES'!B199)</f>
        <v>26066.44604</v>
      </c>
      <c r="C198" s="299">
        <f>IF(B198="","",PRIX!C199*'QUANTITE DETENUES'!C199)</f>
        <v>6867.511969</v>
      </c>
      <c r="D198" s="299">
        <f>IF(C198="","",PRIX!D199*'QUANTITE DETENUES'!D199)</f>
        <v>0.00264151143</v>
      </c>
      <c r="E198" s="299">
        <f>IF(D198="","",PRIX!E199*'QUANTITE DETENUES'!E199)</f>
        <v>2458.683121</v>
      </c>
      <c r="F198" s="299">
        <f>IF(E198="","",PRIX!F199*'QUANTITE DETENUES'!F199)</f>
        <v>2018.126488</v>
      </c>
      <c r="G198" s="299">
        <f>IF(F198="","",PRIX!G199*'QUANTITE DETENUES'!G199)</f>
        <v>0</v>
      </c>
      <c r="H198" s="299">
        <f>IF(G198="","",PRIX!H199*'QUANTITE DETENUES'!H199)</f>
        <v>1274.627755</v>
      </c>
      <c r="I198" s="299">
        <f>IF(H198="","",PRIX!I199*'QUANTITE DETENUES'!I199)</f>
        <v>800.89425</v>
      </c>
      <c r="J198" s="299">
        <f>IF(I198="","",PRIX!J199*'QUANTITE DETENUES'!J199)</f>
        <v>-0.0000001770185667</v>
      </c>
      <c r="K198" s="299">
        <f>IF(J198="","",PRIX!K199*'QUANTITE DETENUES'!K199)</f>
        <v>298.6390415</v>
      </c>
      <c r="L198" s="299">
        <f>IF(K198="","",PRIX!L199*'QUANTITE DETENUES'!L199)</f>
        <v>0</v>
      </c>
      <c r="M198" s="299">
        <f>IF(L198="","",PRIX!M199*'QUANTITE DETENUES'!M199)</f>
        <v>1433.94214</v>
      </c>
      <c r="N198" s="299">
        <f>IF(M198="","",PRIX!N199*'QUANTITE DETENUES'!N199)</f>
        <v>0</v>
      </c>
      <c r="O198" s="299">
        <f>IF(N198="","",PRIX!O199*'QUANTITE DETENUES'!O199)</f>
        <v>0.003463260765</v>
      </c>
      <c r="P198" s="299">
        <f>IF(O198="","",PRIX!P199*'QUANTITE DETENUES'!P199)</f>
        <v>0.00002342511251</v>
      </c>
      <c r="Q198" s="299">
        <f>IF(P198="","",PRIX!Q199*'QUANTITE DETENUES'!Q199)</f>
        <v>0.0000002099999875</v>
      </c>
      <c r="R198" s="299">
        <f>IF(Q198="","",PRIX!R199*'QUANTITE DETENUES'!R199)</f>
        <v>0</v>
      </c>
      <c r="S198" s="300">
        <f>IF(R198="","",PRIX!S199*'QUANTITE DETENUES'!S199)</f>
        <v>0</v>
      </c>
      <c r="T198" s="14">
        <f>IF(A198="","",ARBITRAGES!M199)</f>
        <v>10797.69106</v>
      </c>
      <c r="U198" s="301">
        <f t="shared" si="1"/>
        <v>52016.56799</v>
      </c>
      <c r="V198" s="302">
        <f t="shared" si="2"/>
        <v>0.7924182337</v>
      </c>
      <c r="W198" s="288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308"/>
      <c r="AI198" s="220"/>
      <c r="AJ198" s="220"/>
      <c r="AK198" s="220"/>
      <c r="AL198" s="220"/>
      <c r="AM198" s="220"/>
      <c r="AN198" s="220"/>
      <c r="AO198" s="220"/>
      <c r="AP198" s="220"/>
      <c r="AQ198" s="220"/>
      <c r="AR198" s="220"/>
      <c r="AS198" s="220"/>
      <c r="AT198" s="220"/>
      <c r="AU198" s="220"/>
      <c r="AV198" s="220"/>
      <c r="AW198" s="220"/>
      <c r="AX198" s="220"/>
      <c r="AY198" s="220"/>
      <c r="AZ198" s="220"/>
      <c r="BA198" s="220"/>
    </row>
    <row r="199">
      <c r="A199" s="290">
        <f>PRIX!A200</f>
        <v>45974</v>
      </c>
      <c r="B199" s="299">
        <f>IF(A199="","",PRIX!B200*'QUANTITE DETENUES'!B200)</f>
        <v>27076.97235</v>
      </c>
      <c r="C199" s="299">
        <f>IF(B199="","",PRIX!C200*'QUANTITE DETENUES'!C200)</f>
        <v>6867.511969</v>
      </c>
      <c r="D199" s="299">
        <f>IF(C199="","",PRIX!D200*'QUANTITE DETENUES'!D200)</f>
        <v>0.00264151143</v>
      </c>
      <c r="E199" s="299">
        <f>IF(D199="","",PRIX!E200*'QUANTITE DETENUES'!E200)</f>
        <v>2458.683121</v>
      </c>
      <c r="F199" s="299">
        <f>IF(E199="","",PRIX!F200*'QUANTITE DETENUES'!F200)</f>
        <v>2018.126488</v>
      </c>
      <c r="G199" s="299">
        <f>IF(F199="","",PRIX!G200*'QUANTITE DETENUES'!G200)</f>
        <v>0</v>
      </c>
      <c r="H199" s="299">
        <f>IF(G199="","",PRIX!H200*'QUANTITE DETENUES'!H200)</f>
        <v>1274.627755</v>
      </c>
      <c r="I199" s="299">
        <f>IF(H199="","",PRIX!I200*'QUANTITE DETENUES'!I200)</f>
        <v>800.89425</v>
      </c>
      <c r="J199" s="299">
        <f>IF(I199="","",PRIX!J200*'QUANTITE DETENUES'!J200)</f>
        <v>-0.0000001770185667</v>
      </c>
      <c r="K199" s="299">
        <f>IF(J199="","",PRIX!K200*'QUANTITE DETENUES'!K200)</f>
        <v>298.6390415</v>
      </c>
      <c r="L199" s="299">
        <f>IF(K199="","",PRIX!L200*'QUANTITE DETENUES'!L200)</f>
        <v>0</v>
      </c>
      <c r="M199" s="299">
        <f>IF(L199="","",PRIX!M200*'QUANTITE DETENUES'!M200)</f>
        <v>1433.94214</v>
      </c>
      <c r="N199" s="299">
        <f>IF(M199="","",PRIX!N200*'QUANTITE DETENUES'!N200)</f>
        <v>0</v>
      </c>
      <c r="O199" s="299">
        <f>IF(N199="","",PRIX!O200*'QUANTITE DETENUES'!O200)</f>
        <v>0.003463260765</v>
      </c>
      <c r="P199" s="299">
        <f>IF(O199="","",PRIX!P200*'QUANTITE DETENUES'!P200)</f>
        <v>0.00002342511251</v>
      </c>
      <c r="Q199" s="299">
        <f>IF(P199="","",PRIX!Q200*'QUANTITE DETENUES'!Q200)</f>
        <v>0.0000002099999875</v>
      </c>
      <c r="R199" s="299">
        <f>IF(Q199="","",PRIX!R200*'QUANTITE DETENUES'!R200)</f>
        <v>0</v>
      </c>
      <c r="S199" s="300">
        <f>IF(R199="","",PRIX!S200*'QUANTITE DETENUES'!S200)</f>
        <v>0</v>
      </c>
      <c r="T199" s="14">
        <f>IF(A199="","",ARBITRAGES!M200)</f>
        <v>9797.69106</v>
      </c>
      <c r="U199" s="301">
        <f t="shared" si="1"/>
        <v>52027.09431</v>
      </c>
      <c r="V199" s="302">
        <f t="shared" si="2"/>
        <v>0.8116809868</v>
      </c>
      <c r="W199" s="288"/>
      <c r="X199" s="220"/>
      <c r="Y199" s="220"/>
      <c r="Z199" s="220"/>
      <c r="AA199" s="220"/>
      <c r="AB199" s="220"/>
      <c r="AC199" s="220"/>
      <c r="AD199" s="220"/>
      <c r="AE199" s="220"/>
      <c r="AF199" s="220"/>
      <c r="AG199" s="220"/>
      <c r="AH199" s="308"/>
      <c r="AI199" s="220"/>
      <c r="AJ199" s="220"/>
      <c r="AK199" s="220"/>
      <c r="AL199" s="220"/>
      <c r="AM199" s="220"/>
      <c r="AN199" s="220"/>
      <c r="AO199" s="220"/>
      <c r="AP199" s="220"/>
      <c r="AQ199" s="220"/>
      <c r="AR199" s="220"/>
      <c r="AS199" s="220"/>
      <c r="AT199" s="220"/>
      <c r="AU199" s="220"/>
      <c r="AV199" s="220"/>
      <c r="AW199" s="220"/>
      <c r="AX199" s="220"/>
      <c r="AY199" s="220"/>
      <c r="AZ199" s="220"/>
      <c r="BA199" s="220"/>
    </row>
    <row r="200">
      <c r="A200" s="290">
        <f>PRIX!A201</f>
        <v>45974</v>
      </c>
      <c r="B200" s="299">
        <f>IF(A200="","",PRIX!B201*'QUANTITE DETENUES'!B201)</f>
        <v>27808.59435</v>
      </c>
      <c r="C200" s="299">
        <f>IF(B200="","",PRIX!C201*'QUANTITE DETENUES'!C201)</f>
        <v>7044.738085</v>
      </c>
      <c r="D200" s="299">
        <f>IF(C200="","",PRIX!D201*'QUANTITE DETENUES'!D201)</f>
        <v>0.002711024889</v>
      </c>
      <c r="E200" s="299">
        <f>IF(D200="","",PRIX!E201*'QUANTITE DETENUES'!E201)</f>
        <v>2546.493233</v>
      </c>
      <c r="F200" s="299">
        <f>IF(E200="","",PRIX!F201*'QUANTITE DETENUES'!F201)</f>
        <v>2067.803448</v>
      </c>
      <c r="G200" s="299">
        <f>IF(F200="","",PRIX!G201*'QUANTITE DETENUES'!G201)</f>
        <v>0</v>
      </c>
      <c r="H200" s="299">
        <f>IF(G200="","",PRIX!H201*'QUANTITE DETENUES'!H201)</f>
        <v>1290.842101</v>
      </c>
      <c r="I200" s="299">
        <f>IF(H200="","",PRIX!I201*'QUANTITE DETENUES'!I201)</f>
        <v>807.301404</v>
      </c>
      <c r="J200" s="299">
        <f>IF(I200="","",PRIX!J201*'QUANTITE DETENUES'!J201)</f>
        <v>-0.0000001770185667</v>
      </c>
      <c r="K200" s="299">
        <f>IF(J200="","",PRIX!K201*'QUANTITE DETENUES'!K201)</f>
        <v>298.6390415</v>
      </c>
      <c r="L200" s="299">
        <f>IF(K200="","",PRIX!L201*'QUANTITE DETENUES'!L201)</f>
        <v>0</v>
      </c>
      <c r="M200" s="299">
        <f>IF(L200="","",PRIX!M201*'QUANTITE DETENUES'!M201)</f>
        <v>1472.697333</v>
      </c>
      <c r="N200" s="299">
        <f>IF(M200="","",PRIX!N201*'QUANTITE DETENUES'!N201)</f>
        <v>0</v>
      </c>
      <c r="O200" s="299">
        <f>IF(N200="","",PRIX!O201*'QUANTITE DETENUES'!O201)</f>
        <v>0.003580164082</v>
      </c>
      <c r="P200" s="299">
        <f>IF(O200="","",PRIX!P201*'QUANTITE DETENUES'!P201)</f>
        <v>0.00002371431143</v>
      </c>
      <c r="Q200" s="299">
        <f>IF(P200="","",PRIX!Q201*'QUANTITE DETENUES'!Q201)</f>
        <v>0.0000002119999874</v>
      </c>
      <c r="R200" s="299">
        <f>IF(Q200="","",PRIX!R201*'QUANTITE DETENUES'!R201)</f>
        <v>0</v>
      </c>
      <c r="S200" s="300">
        <f>IF(R200="","",PRIX!S201*'QUANTITE DETENUES'!S201)</f>
        <v>0</v>
      </c>
      <c r="T200" s="14">
        <f>IF(A200="","",ARBITRAGES!M201)</f>
        <v>9497.69106</v>
      </c>
      <c r="U200" s="301">
        <f t="shared" si="1"/>
        <v>52834.80637</v>
      </c>
      <c r="V200" s="302">
        <f t="shared" si="2"/>
        <v>0.8202379887</v>
      </c>
      <c r="W200" s="288"/>
      <c r="X200" s="220"/>
      <c r="Y200" s="220"/>
      <c r="Z200" s="220"/>
      <c r="AA200" s="220"/>
      <c r="AB200" s="220"/>
      <c r="AC200" s="220"/>
      <c r="AD200" s="220"/>
      <c r="AE200" s="220"/>
      <c r="AF200" s="220"/>
      <c r="AG200" s="220"/>
      <c r="AH200" s="308"/>
      <c r="AI200" s="220"/>
      <c r="AJ200" s="220"/>
      <c r="AK200" s="220"/>
      <c r="AL200" s="220"/>
      <c r="AM200" s="220"/>
      <c r="AN200" s="220"/>
      <c r="AO200" s="220"/>
      <c r="AP200" s="220"/>
      <c r="AQ200" s="220"/>
      <c r="AR200" s="220"/>
      <c r="AS200" s="220"/>
      <c r="AT200" s="220"/>
      <c r="AU200" s="220"/>
      <c r="AV200" s="220"/>
      <c r="AW200" s="220"/>
      <c r="AX200" s="220"/>
      <c r="AY200" s="220"/>
      <c r="AZ200" s="220"/>
      <c r="BA200" s="220"/>
    </row>
    <row r="201">
      <c r="A201" s="290">
        <f>PRIX!A202</f>
        <v>45975</v>
      </c>
      <c r="B201" s="299">
        <f>IF(A201="","",PRIX!B202*'QUANTITE DETENUES'!B202)</f>
        <v>28323.92205</v>
      </c>
      <c r="C201" s="299">
        <f>IF(B201="","",PRIX!C202*'QUANTITE DETENUES'!C202)</f>
        <v>7044.738085</v>
      </c>
      <c r="D201" s="299">
        <f>IF(C201="","",PRIX!D202*'QUANTITE DETENUES'!D202)</f>
        <v>0.002711024889</v>
      </c>
      <c r="E201" s="299">
        <f>IF(D201="","",PRIX!E202*'QUANTITE DETENUES'!E202)</f>
        <v>2546.493233</v>
      </c>
      <c r="F201" s="299">
        <f>IF(E201="","",PRIX!F202*'QUANTITE DETENUES'!F202)</f>
        <v>2067.803448</v>
      </c>
      <c r="G201" s="299">
        <f>IF(F201="","",PRIX!G202*'QUANTITE DETENUES'!G202)</f>
        <v>0</v>
      </c>
      <c r="H201" s="299">
        <f>IF(G201="","",PRIX!H202*'QUANTITE DETENUES'!H202)</f>
        <v>1290.842101</v>
      </c>
      <c r="I201" s="299">
        <f>IF(H201="","",PRIX!I202*'QUANTITE DETENUES'!I202)</f>
        <v>807.301404</v>
      </c>
      <c r="J201" s="299">
        <f>IF(I201="","",PRIX!J202*'QUANTITE DETENUES'!J202)</f>
        <v>-0.0000001770185667</v>
      </c>
      <c r="K201" s="299">
        <f>IF(J201="","",PRIX!K202*'QUANTITE DETENUES'!K202)</f>
        <v>298.6390415</v>
      </c>
      <c r="L201" s="299">
        <f>IF(K201="","",PRIX!L202*'QUANTITE DETENUES'!L202)</f>
        <v>0</v>
      </c>
      <c r="M201" s="299">
        <f>IF(L201="","",PRIX!M202*'QUANTITE DETENUES'!M202)</f>
        <v>1472.697333</v>
      </c>
      <c r="N201" s="299">
        <f>IF(M201="","",PRIX!N202*'QUANTITE DETENUES'!N202)</f>
        <v>0</v>
      </c>
      <c r="O201" s="299">
        <f>IF(N201="","",PRIX!O202*'QUANTITE DETENUES'!O202)</f>
        <v>0.003580164082</v>
      </c>
      <c r="P201" s="299">
        <f>IF(O201="","",PRIX!P202*'QUANTITE DETENUES'!P202)</f>
        <v>0.00002371431143</v>
      </c>
      <c r="Q201" s="299">
        <f>IF(P201="","",PRIX!Q202*'QUANTITE DETENUES'!Q202)</f>
        <v>0.0000002119999874</v>
      </c>
      <c r="R201" s="299">
        <f>IF(Q201="","",PRIX!R202*'QUANTITE DETENUES'!R202)</f>
        <v>0</v>
      </c>
      <c r="S201" s="300">
        <f>IF(R201="","",PRIX!S202*'QUANTITE DETENUES'!S202)</f>
        <v>0</v>
      </c>
      <c r="T201" s="14">
        <f>IF(A201="","",ARBITRAGES!M202)</f>
        <v>8997.69106</v>
      </c>
      <c r="U201" s="301">
        <f t="shared" si="1"/>
        <v>52850.13407</v>
      </c>
      <c r="V201" s="302">
        <f t="shared" si="2"/>
        <v>0.8297508375</v>
      </c>
      <c r="W201" s="288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220"/>
      <c r="AH201" s="308"/>
      <c r="AI201" s="220"/>
      <c r="AJ201" s="220"/>
      <c r="AK201" s="220"/>
      <c r="AL201" s="220"/>
      <c r="AM201" s="220"/>
      <c r="AN201" s="220"/>
      <c r="AO201" s="220"/>
      <c r="AP201" s="220"/>
      <c r="AQ201" s="220"/>
      <c r="AR201" s="220"/>
      <c r="AS201" s="220"/>
      <c r="AT201" s="220"/>
      <c r="AU201" s="220"/>
      <c r="AV201" s="220"/>
      <c r="AW201" s="220"/>
      <c r="AX201" s="220"/>
      <c r="AY201" s="220"/>
      <c r="AZ201" s="220"/>
      <c r="BA201" s="220"/>
    </row>
    <row r="202">
      <c r="A202" s="290">
        <f>PRIX!A203</f>
        <v>45977</v>
      </c>
      <c r="B202" s="299">
        <f>IF(A202="","",PRIX!B203*'QUANTITE DETENUES'!B203)</f>
        <v>27211.06699</v>
      </c>
      <c r="C202" s="299">
        <f>IF(B202="","",PRIX!C203*'QUANTITE DETENUES'!C203)</f>
        <v>6645.979325</v>
      </c>
      <c r="D202" s="299">
        <f>IF(C202="","",PRIX!D203*'QUANTITE DETENUES'!D203)</f>
        <v>0.002432971054</v>
      </c>
      <c r="E202" s="299">
        <f>IF(D202="","",PRIX!E203*'QUANTITE DETENUES'!E203)</f>
        <v>2283.062898</v>
      </c>
      <c r="F202" s="299">
        <f>IF(E202="","",PRIX!F203*'QUANTITE DETENUES'!F203)</f>
        <v>1924.982189</v>
      </c>
      <c r="G202" s="299">
        <f>IF(F202="","",PRIX!G203*'QUANTITE DETENUES'!G203)</f>
        <v>0</v>
      </c>
      <c r="H202" s="299">
        <f>IF(G202="","",PRIX!H203*'QUANTITE DETENUES'!H203)</f>
        <v>1216.07595</v>
      </c>
      <c r="I202" s="299">
        <f>IF(H202="","",PRIX!I203*'QUANTITE DETENUES'!I203)</f>
        <v>768.85848</v>
      </c>
      <c r="J202" s="299">
        <f>IF(I202="","",PRIX!J203*'QUANTITE DETENUES'!J203)</f>
        <v>-0.0000001692375308</v>
      </c>
      <c r="K202" s="299">
        <f>IF(J202="","",PRIX!K203*'QUANTITE DETENUES'!K203)</f>
        <v>296.0974326</v>
      </c>
      <c r="L202" s="299">
        <f>IF(K202="","",PRIX!L203*'QUANTITE DETENUES'!L203)</f>
        <v>0</v>
      </c>
      <c r="M202" s="299">
        <f>IF(L202="","",PRIX!M203*'QUANTITE DETENUES'!M203)</f>
        <v>1317.676561</v>
      </c>
      <c r="N202" s="299">
        <f>IF(M202="","",PRIX!N203*'QUANTITE DETENUES'!N203)</f>
        <v>0</v>
      </c>
      <c r="O202" s="299">
        <f>IF(N202="","",PRIX!O203*'QUANTITE DETENUES'!O203)</f>
        <v>0.003331744533</v>
      </c>
      <c r="P202" s="299">
        <f>IF(O202="","",PRIX!P203*'QUANTITE DETENUES'!P203)</f>
        <v>0.00002487110711</v>
      </c>
      <c r="Q202" s="299">
        <f>IF(P202="","",PRIX!Q203*'QUANTITE DETENUES'!Q203)</f>
        <v>0.0000001919999886</v>
      </c>
      <c r="R202" s="299">
        <f>IF(Q202="","",PRIX!R203*'QUANTITE DETENUES'!R203)</f>
        <v>0</v>
      </c>
      <c r="S202" s="300">
        <f>IF(R202="","",PRIX!S203*'QUANTITE DETENUES'!S203)</f>
        <v>0</v>
      </c>
      <c r="T202" s="14">
        <f>IF(A202="","",ARBITRAGES!M203)</f>
        <v>8510.15106</v>
      </c>
      <c r="U202" s="301">
        <f t="shared" si="1"/>
        <v>50173.95668</v>
      </c>
      <c r="V202" s="302">
        <f t="shared" si="2"/>
        <v>0.8303870848</v>
      </c>
      <c r="W202" s="288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308"/>
      <c r="AI202" s="220"/>
      <c r="AJ202" s="220"/>
      <c r="AK202" s="220"/>
      <c r="AL202" s="220"/>
      <c r="AM202" s="220"/>
      <c r="AN202" s="220"/>
      <c r="AO202" s="220"/>
      <c r="AP202" s="220"/>
      <c r="AQ202" s="220"/>
      <c r="AR202" s="220"/>
      <c r="AS202" s="220"/>
      <c r="AT202" s="220"/>
      <c r="AU202" s="220"/>
      <c r="AV202" s="220"/>
      <c r="AW202" s="220"/>
      <c r="AX202" s="220"/>
      <c r="AY202" s="220"/>
      <c r="AZ202" s="220"/>
      <c r="BA202" s="220"/>
    </row>
    <row r="203">
      <c r="A203" s="290">
        <f>PRIX!A204</f>
        <v>45977</v>
      </c>
      <c r="B203" s="299">
        <f>IF(A203="","",PRIX!B204*'QUANTITE DETENUES'!B204)</f>
        <v>27211.06699</v>
      </c>
      <c r="C203" s="299">
        <f>IF(B203="","",PRIX!C204*'QUANTITE DETENUES'!C204)</f>
        <v>7071.979325</v>
      </c>
      <c r="D203" s="299">
        <f>IF(C203="","",PRIX!D204*'QUANTITE DETENUES'!D204)</f>
        <v>0.002432971054</v>
      </c>
      <c r="E203" s="299">
        <f>IF(D203="","",PRIX!E204*'QUANTITE DETENUES'!E204)</f>
        <v>2283.062898</v>
      </c>
      <c r="F203" s="299">
        <f>IF(E203="","",PRIX!F204*'QUANTITE DETENUES'!F204)</f>
        <v>1924.982189</v>
      </c>
      <c r="G203" s="299">
        <f>IF(F203="","",PRIX!G204*'QUANTITE DETENUES'!G204)</f>
        <v>0</v>
      </c>
      <c r="H203" s="299">
        <f>IF(G203="","",PRIX!H204*'QUANTITE DETENUES'!H204)</f>
        <v>1216.07595</v>
      </c>
      <c r="I203" s="299">
        <f>IF(H203="","",PRIX!I204*'QUANTITE DETENUES'!I204)</f>
        <v>768.85848</v>
      </c>
      <c r="J203" s="299">
        <f>IF(I203="","",PRIX!J204*'QUANTITE DETENUES'!J204)</f>
        <v>-0.0000001692375308</v>
      </c>
      <c r="K203" s="299">
        <f>IF(J203="","",PRIX!K204*'QUANTITE DETENUES'!K204)</f>
        <v>296.0974326</v>
      </c>
      <c r="L203" s="299">
        <f>IF(K203="","",PRIX!L204*'QUANTITE DETENUES'!L204)</f>
        <v>0</v>
      </c>
      <c r="M203" s="299">
        <f>IF(L203="","",PRIX!M204*'QUANTITE DETENUES'!M204)</f>
        <v>1317.676561</v>
      </c>
      <c r="N203" s="299">
        <f>IF(M203="","",PRIX!N204*'QUANTITE DETENUES'!N204)</f>
        <v>0</v>
      </c>
      <c r="O203" s="299">
        <f>IF(N203="","",PRIX!O204*'QUANTITE DETENUES'!O204)</f>
        <v>0.003331744533</v>
      </c>
      <c r="P203" s="299">
        <f>IF(O203="","",PRIX!P204*'QUANTITE DETENUES'!P204)</f>
        <v>0.00002487110711</v>
      </c>
      <c r="Q203" s="299">
        <f>IF(P203="","",PRIX!Q204*'QUANTITE DETENUES'!Q204)</f>
        <v>0.0000001919999886</v>
      </c>
      <c r="R203" s="299">
        <f>IF(Q203="","",PRIX!R204*'QUANTITE DETENUES'!R204)</f>
        <v>0</v>
      </c>
      <c r="S203" s="300">
        <f>IF(R203="","",PRIX!S204*'QUANTITE DETENUES'!S204)</f>
        <v>0</v>
      </c>
      <c r="T203" s="14">
        <f>IF(A203="","",ARBITRAGES!M204)</f>
        <v>8097.15106</v>
      </c>
      <c r="U203" s="301">
        <f t="shared" si="1"/>
        <v>50186.95668</v>
      </c>
      <c r="V203" s="302">
        <f t="shared" si="2"/>
        <v>0.8386602497</v>
      </c>
      <c r="W203" s="288"/>
      <c r="X203" s="220"/>
      <c r="Y203" s="220"/>
      <c r="Z203" s="220"/>
      <c r="AA203" s="220"/>
      <c r="AB203" s="220"/>
      <c r="AC203" s="220"/>
      <c r="AD203" s="220"/>
      <c r="AE203" s="220"/>
      <c r="AF203" s="220"/>
      <c r="AG203" s="220"/>
      <c r="AH203" s="308"/>
      <c r="AI203" s="220"/>
      <c r="AJ203" s="220"/>
      <c r="AK203" s="220"/>
      <c r="AL203" s="220"/>
      <c r="AM203" s="220"/>
      <c r="AN203" s="220"/>
      <c r="AO203" s="220"/>
      <c r="AP203" s="220"/>
      <c r="AQ203" s="220"/>
      <c r="AR203" s="220"/>
      <c r="AS203" s="220"/>
      <c r="AT203" s="220"/>
      <c r="AU203" s="220"/>
      <c r="AV203" s="220"/>
      <c r="AW203" s="220"/>
      <c r="AX203" s="220"/>
      <c r="AY203" s="220"/>
      <c r="AZ203" s="220"/>
      <c r="BA203" s="220"/>
    </row>
    <row r="204">
      <c r="A204" s="290">
        <f>PRIX!A205</f>
        <v>45978</v>
      </c>
      <c r="B204" s="299">
        <f>IF(A204="","",PRIX!B205*'QUANTITE DETENUES'!B205)</f>
        <v>27211.06699</v>
      </c>
      <c r="C204" s="299">
        <f>IF(B204="","",PRIX!C205*'QUANTITE DETENUES'!C205)</f>
        <v>7071.979325</v>
      </c>
      <c r="D204" s="299">
        <f>IF(C204="","",PRIX!D205*'QUANTITE DETENUES'!D205)</f>
        <v>0.002432971054</v>
      </c>
      <c r="E204" s="299">
        <f>IF(D204="","",PRIX!E205*'QUANTITE DETENUES'!E205)</f>
        <v>2283.062898</v>
      </c>
      <c r="F204" s="299">
        <f>IF(E204="","",PRIX!F205*'QUANTITE DETENUES'!F205)</f>
        <v>1924.982189</v>
      </c>
      <c r="G204" s="299">
        <f>IF(F204="","",PRIX!G205*'QUANTITE DETENUES'!G205)</f>
        <v>0</v>
      </c>
      <c r="H204" s="299">
        <f>IF(G204="","",PRIX!H205*'QUANTITE DETENUES'!H205)</f>
        <v>1216.07595</v>
      </c>
      <c r="I204" s="299">
        <f>IF(H204="","",PRIX!I205*'QUANTITE DETENUES'!I205)</f>
        <v>768.85848</v>
      </c>
      <c r="J204" s="299">
        <f>IF(I204="","",PRIX!J205*'QUANTITE DETENUES'!J205)</f>
        <v>-0.0000001692375308</v>
      </c>
      <c r="K204" s="299">
        <f>IF(J204="","",PRIX!K205*'QUANTITE DETENUES'!K205)</f>
        <v>0</v>
      </c>
      <c r="L204" s="299">
        <f>IF(K204="","",PRIX!L205*'QUANTITE DETENUES'!L205)</f>
        <v>0</v>
      </c>
      <c r="M204" s="299">
        <f>IF(L204="","",PRIX!M205*'QUANTITE DETENUES'!M205)</f>
        <v>1317.676561</v>
      </c>
      <c r="N204" s="299">
        <f>IF(M204="","",PRIX!N205*'QUANTITE DETENUES'!N205)</f>
        <v>0</v>
      </c>
      <c r="O204" s="299">
        <f>IF(N204="","",PRIX!O205*'QUANTITE DETENUES'!O205)</f>
        <v>0.003331744533</v>
      </c>
      <c r="P204" s="299">
        <f>IF(O204="","",PRIX!P205*'QUANTITE DETENUES'!P205)</f>
        <v>0.00002487110711</v>
      </c>
      <c r="Q204" s="299">
        <f>IF(P204="","",PRIX!Q205*'QUANTITE DETENUES'!Q205)</f>
        <v>0.0000001919999886</v>
      </c>
      <c r="R204" s="299">
        <f>IF(Q204="","",PRIX!R205*'QUANTITE DETENUES'!R205)</f>
        <v>0</v>
      </c>
      <c r="S204" s="300">
        <f>IF(R204="","",PRIX!S205*'QUANTITE DETENUES'!S205)</f>
        <v>0</v>
      </c>
      <c r="T204" s="14">
        <f>IF(A204="","",ARBITRAGES!M205)</f>
        <v>8157.26641</v>
      </c>
      <c r="U204" s="301">
        <f t="shared" si="1"/>
        <v>49950.97459</v>
      </c>
      <c r="V204" s="302">
        <f t="shared" si="2"/>
        <v>0.8366945495</v>
      </c>
      <c r="W204" s="288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308"/>
      <c r="AI204" s="220"/>
      <c r="AJ204" s="220"/>
      <c r="AK204" s="220"/>
      <c r="AL204" s="220"/>
      <c r="AM204" s="220"/>
      <c r="AN204" s="220"/>
      <c r="AO204" s="220"/>
      <c r="AP204" s="220"/>
      <c r="AQ204" s="220"/>
      <c r="AR204" s="220"/>
      <c r="AS204" s="220"/>
      <c r="AT204" s="220"/>
      <c r="AU204" s="220"/>
      <c r="AV204" s="220"/>
      <c r="AW204" s="220"/>
      <c r="AX204" s="220"/>
      <c r="AY204" s="220"/>
      <c r="AZ204" s="220"/>
      <c r="BA204" s="220"/>
    </row>
    <row r="205">
      <c r="A205" s="290">
        <f>PRIX!A206</f>
        <v>45978</v>
      </c>
      <c r="B205" s="299">
        <f>IF(A205="","",PRIX!B206*'QUANTITE DETENUES'!B206)</f>
        <v>27063.18076</v>
      </c>
      <c r="C205" s="299">
        <f>IF(B205="","",PRIX!C206*'QUANTITE DETENUES'!C206)</f>
        <v>7189.845647</v>
      </c>
      <c r="D205" s="299">
        <f>IF(C205="","",PRIX!D206*'QUANTITE DETENUES'!D206)</f>
        <v>0.002432971054</v>
      </c>
      <c r="E205" s="299">
        <f>IF(D205="","",PRIX!E206*'QUANTITE DETENUES'!E206)</f>
        <v>2108.683121</v>
      </c>
      <c r="F205" s="299">
        <f>IF(E205="","",PRIX!F206*'QUANTITE DETENUES'!F206)</f>
        <v>2049.174588</v>
      </c>
      <c r="G205" s="299">
        <f>IF(F205="","",PRIX!G206*'QUANTITE DETENUES'!G206)</f>
        <v>0</v>
      </c>
      <c r="H205" s="299">
        <f>IF(G205="","",PRIX!H206*'QUANTITE DETENUES'!H206)</f>
        <v>1220.579935</v>
      </c>
      <c r="I205" s="299">
        <f>IF(H205="","",PRIX!I206*'QUANTITE DETENUES'!I206)</f>
        <v>768.85848</v>
      </c>
      <c r="J205" s="299">
        <f>IF(I205="","",PRIX!J206*'QUANTITE DETENUES'!J206)</f>
        <v>-0.0000001692375308</v>
      </c>
      <c r="K205" s="299">
        <f>IF(J205="","",PRIX!K206*'QUANTITE DETENUES'!K206)</f>
        <v>0</v>
      </c>
      <c r="L205" s="299">
        <f>IF(K205="","",PRIX!L206*'QUANTITE DETENUES'!L206)</f>
        <v>0</v>
      </c>
      <c r="M205" s="299">
        <f>IF(L205="","",PRIX!M206*'QUANTITE DETENUES'!M206)</f>
        <v>1356.431754</v>
      </c>
      <c r="N205" s="299">
        <f>IF(M205="","",PRIX!N206*'QUANTITE DETENUES'!N206)</f>
        <v>0</v>
      </c>
      <c r="O205" s="299">
        <f>IF(N205="","",PRIX!O206*'QUANTITE DETENUES'!O206)</f>
        <v>0.003434034936</v>
      </c>
      <c r="P205" s="299">
        <f>IF(O205="","",PRIX!P206*'QUANTITE DETENUES'!P206)</f>
        <v>0.00002313591359</v>
      </c>
      <c r="Q205" s="299">
        <f>IF(P205="","",PRIX!Q206*'QUANTITE DETENUES'!Q206)</f>
        <v>0.0000001919999886</v>
      </c>
      <c r="R205" s="299">
        <f>IF(Q205="","",PRIX!R206*'QUANTITE DETENUES'!R206)</f>
        <v>0</v>
      </c>
      <c r="S205" s="300">
        <f>IF(R205="","",PRIX!S206*'QUANTITE DETENUES'!S206)</f>
        <v>0</v>
      </c>
      <c r="T205" s="14">
        <f>IF(A205="","",ARBITRAGES!M206)</f>
        <v>8502.26641</v>
      </c>
      <c r="U205" s="301">
        <f t="shared" si="1"/>
        <v>50259.02658</v>
      </c>
      <c r="V205" s="302">
        <f t="shared" si="2"/>
        <v>0.8308310569</v>
      </c>
      <c r="W205" s="288"/>
      <c r="X205" s="220"/>
      <c r="Y205" s="220"/>
      <c r="Z205" s="220"/>
      <c r="AA205" s="220"/>
      <c r="AB205" s="220"/>
      <c r="AC205" s="220"/>
      <c r="AD205" s="220"/>
      <c r="AE205" s="220"/>
      <c r="AF205" s="220"/>
      <c r="AG205" s="220"/>
      <c r="AH205" s="308"/>
      <c r="AI205" s="220"/>
      <c r="AJ205" s="220"/>
      <c r="AK205" s="220"/>
      <c r="AL205" s="220"/>
      <c r="AM205" s="220"/>
      <c r="AN205" s="220"/>
      <c r="AO205" s="220"/>
      <c r="AP205" s="220"/>
      <c r="AQ205" s="220"/>
      <c r="AR205" s="220"/>
      <c r="AS205" s="220"/>
      <c r="AT205" s="220"/>
      <c r="AU205" s="220"/>
      <c r="AV205" s="220"/>
      <c r="AW205" s="220"/>
      <c r="AX205" s="220"/>
      <c r="AY205" s="220"/>
      <c r="AZ205" s="220"/>
      <c r="BA205" s="220"/>
    </row>
    <row r="206">
      <c r="A206" s="290">
        <f>PRIX!A207</f>
        <v>45978</v>
      </c>
      <c r="B206" s="299">
        <f>IF(A206="","",PRIX!B207*'QUANTITE DETENUES'!B207)</f>
        <v>27565.99395</v>
      </c>
      <c r="C206" s="299">
        <f>IF(B206="","",PRIX!C207*'QUANTITE DETENUES'!C207)</f>
        <v>7425.578292</v>
      </c>
      <c r="D206" s="299">
        <f>IF(C206="","",PRIX!D207*'QUANTITE DETENUES'!D207)</f>
        <v>0.002502484513</v>
      </c>
      <c r="E206" s="299">
        <f>IF(D206="","",PRIX!E207*'QUANTITE DETENUES'!E207)</f>
        <v>1832.183121</v>
      </c>
      <c r="F206" s="299">
        <f>IF(E206="","",PRIX!F207*'QUANTITE DETENUES'!F207)</f>
        <v>2049.174588</v>
      </c>
      <c r="G206" s="299">
        <f>IF(F206="","",PRIX!G207*'QUANTITE DETENUES'!G207)</f>
        <v>0</v>
      </c>
      <c r="H206" s="299">
        <f>IF(G206="","",PRIX!H207*'QUANTITE DETENUES'!H207)</f>
        <v>1234.09189</v>
      </c>
      <c r="I206" s="299">
        <f>IF(H206="","",PRIX!I207*'QUANTITE DETENUES'!I207)</f>
        <v>768.85848</v>
      </c>
      <c r="J206" s="299">
        <f>IF(I206="","",PRIX!J207*'QUANTITE DETENUES'!J207)</f>
        <v>-0.0000001711827898</v>
      </c>
      <c r="K206" s="299">
        <f>IF(J206="","",PRIX!K207*'QUANTITE DETENUES'!K207)</f>
        <v>0</v>
      </c>
      <c r="L206" s="299">
        <f>IF(K206="","",PRIX!L207*'QUANTITE DETENUES'!L207)</f>
        <v>0</v>
      </c>
      <c r="M206" s="299">
        <f>IF(L206="","",PRIX!M207*'QUANTITE DETENUES'!M207)</f>
        <v>1395.186947</v>
      </c>
      <c r="N206" s="299">
        <f>IF(M206="","",PRIX!N207*'QUANTITE DETENUES'!N207)</f>
        <v>0</v>
      </c>
      <c r="O206" s="299">
        <f>IF(N206="","",PRIX!O207*'QUANTITE DETENUES'!O207)</f>
        <v>0.003580164082</v>
      </c>
      <c r="P206" s="299">
        <f>IF(O206="","",PRIX!P207*'QUANTITE DETENUES'!P207)</f>
        <v>0.00002313591359</v>
      </c>
      <c r="Q206" s="299">
        <f>IF(P206="","",PRIX!Q207*'QUANTITE DETENUES'!Q207)</f>
        <v>0.0000001919999886</v>
      </c>
      <c r="R206" s="299">
        <f>IF(Q206="","",PRIX!R207*'QUANTITE DETENUES'!R207)</f>
        <v>0</v>
      </c>
      <c r="S206" s="300">
        <f>IF(R206="","",PRIX!S207*'QUANTITE DETENUES'!S207)</f>
        <v>0</v>
      </c>
      <c r="T206" s="14">
        <f>IF(A206="","",ARBITRAGES!M207)</f>
        <v>8782.26641</v>
      </c>
      <c r="U206" s="301">
        <f t="shared" si="1"/>
        <v>51053.33978</v>
      </c>
      <c r="V206" s="302">
        <f t="shared" si="2"/>
        <v>0.8279786112</v>
      </c>
      <c r="W206" s="288"/>
      <c r="X206" s="220"/>
      <c r="Y206" s="220"/>
      <c r="Z206" s="220"/>
      <c r="AA206" s="220"/>
      <c r="AB206" s="220"/>
      <c r="AC206" s="220"/>
      <c r="AD206" s="220"/>
      <c r="AE206" s="220"/>
      <c r="AF206" s="220"/>
      <c r="AG206" s="220"/>
      <c r="AH206" s="308"/>
      <c r="AI206" s="220"/>
      <c r="AJ206" s="220"/>
      <c r="AK206" s="220"/>
      <c r="AL206" s="220"/>
      <c r="AM206" s="220"/>
      <c r="AN206" s="220"/>
      <c r="AO206" s="220"/>
      <c r="AP206" s="220"/>
      <c r="AQ206" s="220"/>
      <c r="AR206" s="220"/>
      <c r="AS206" s="220"/>
      <c r="AT206" s="220"/>
      <c r="AU206" s="220"/>
      <c r="AV206" s="220"/>
      <c r="AW206" s="220"/>
      <c r="AX206" s="220"/>
      <c r="AY206" s="220"/>
      <c r="AZ206" s="220"/>
      <c r="BA206" s="220"/>
    </row>
    <row r="207">
      <c r="A207" s="290">
        <f>PRIX!A208</f>
        <v>45979</v>
      </c>
      <c r="B207" s="299">
        <f>IF(A207="","",PRIX!B208*'QUANTITE DETENUES'!B208)</f>
        <v>27565.99395</v>
      </c>
      <c r="C207" s="299">
        <f>IF(B207="","",PRIX!C208*'QUANTITE DETENUES'!C208)</f>
        <v>7425.578292</v>
      </c>
      <c r="D207" s="299">
        <f>IF(C207="","",PRIX!D208*'QUANTITE DETENUES'!D208)</f>
        <v>0.002502484513</v>
      </c>
      <c r="E207" s="299">
        <f>IF(D207="","",PRIX!E208*'QUANTITE DETENUES'!E208)</f>
        <v>1832.183121</v>
      </c>
      <c r="F207" s="299">
        <f>IF(E207="","",PRIX!F208*'QUANTITE DETENUES'!F208)</f>
        <v>1818.174588</v>
      </c>
      <c r="G207" s="299">
        <f>IF(F207="","",PRIX!G208*'QUANTITE DETENUES'!G208)</f>
        <v>0</v>
      </c>
      <c r="H207" s="299">
        <f>IF(G207="","",PRIX!H208*'QUANTITE DETENUES'!H208)</f>
        <v>1234.09189</v>
      </c>
      <c r="I207" s="299">
        <f>IF(H207="","",PRIX!I208*'QUANTITE DETENUES'!I208)</f>
        <v>768.85848</v>
      </c>
      <c r="J207" s="299">
        <f>IF(I207="","",PRIX!J208*'QUANTITE DETENUES'!J208)</f>
        <v>-0.0000001711827898</v>
      </c>
      <c r="K207" s="299">
        <f>IF(J207="","",PRIX!K208*'QUANTITE DETENUES'!K208)</f>
        <v>0</v>
      </c>
      <c r="L207" s="299">
        <f>IF(K207="","",PRIX!L208*'QUANTITE DETENUES'!L208)</f>
        <v>0</v>
      </c>
      <c r="M207" s="299">
        <f>IF(L207="","",PRIX!M208*'QUANTITE DETENUES'!M208)</f>
        <v>1395.186947</v>
      </c>
      <c r="N207" s="299">
        <f>IF(M207="","",PRIX!N208*'QUANTITE DETENUES'!N208)</f>
        <v>0</v>
      </c>
      <c r="O207" s="299">
        <f>IF(N207="","",PRIX!O208*'QUANTITE DETENUES'!O208)</f>
        <v>0.003580164082</v>
      </c>
      <c r="P207" s="299">
        <f>IF(O207="","",PRIX!P208*'QUANTITE DETENUES'!P208)</f>
        <v>0.00002313591359</v>
      </c>
      <c r="Q207" s="299">
        <f>IF(P207="","",PRIX!Q208*'QUANTITE DETENUES'!Q208)</f>
        <v>0.0000001919999886</v>
      </c>
      <c r="R207" s="299">
        <f>IF(Q207="","",PRIX!R208*'QUANTITE DETENUES'!R208)</f>
        <v>0</v>
      </c>
      <c r="S207" s="300">
        <f>IF(R207="","",PRIX!S208*'QUANTITE DETENUES'!S208)</f>
        <v>0</v>
      </c>
      <c r="T207" s="14">
        <f>IF(A207="","",ARBITRAGES!M208)</f>
        <v>9098.26641</v>
      </c>
      <c r="U207" s="301">
        <f t="shared" si="1"/>
        <v>51138.33978</v>
      </c>
      <c r="V207" s="302">
        <f t="shared" si="2"/>
        <v>0.8220852212</v>
      </c>
      <c r="W207" s="288"/>
      <c r="X207" s="220"/>
      <c r="Y207" s="220"/>
      <c r="Z207" s="220"/>
      <c r="AA207" s="220"/>
      <c r="AB207" s="220"/>
      <c r="AC207" s="220"/>
      <c r="AD207" s="220"/>
      <c r="AE207" s="220"/>
      <c r="AF207" s="220"/>
      <c r="AG207" s="220"/>
      <c r="AH207" s="308"/>
      <c r="AI207" s="220"/>
      <c r="AJ207" s="220"/>
      <c r="AK207" s="220"/>
      <c r="AL207" s="220"/>
      <c r="AM207" s="220"/>
      <c r="AN207" s="220"/>
      <c r="AO207" s="220"/>
      <c r="AP207" s="220"/>
      <c r="AQ207" s="220"/>
      <c r="AR207" s="220"/>
      <c r="AS207" s="220"/>
      <c r="AT207" s="220"/>
      <c r="AU207" s="220"/>
      <c r="AV207" s="220"/>
      <c r="AW207" s="220"/>
      <c r="AX207" s="220"/>
      <c r="AY207" s="220"/>
      <c r="AZ207" s="220"/>
      <c r="BA207" s="220"/>
    </row>
    <row r="208">
      <c r="A208" s="290">
        <f>PRIX!A209</f>
        <v>45980</v>
      </c>
      <c r="B208" s="299">
        <f>IF(A208="","",PRIX!B209*'QUANTITE DETENUES'!B209)</f>
        <v>25879.20478</v>
      </c>
      <c r="C208" s="299">
        <f>IF(B208="","",PRIX!C209*'QUANTITE DETENUES'!C209)</f>
        <v>6718.380359</v>
      </c>
      <c r="D208" s="299">
        <f>IF(C208="","",PRIX!D209*'QUANTITE DETENUES'!D209)</f>
        <v>0.002224430678</v>
      </c>
      <c r="E208" s="299">
        <f>IF(D208="","",PRIX!E209*'QUANTITE DETENUES'!E209)</f>
        <v>1701.312898</v>
      </c>
      <c r="F208" s="299">
        <f>IF(E208="","",PRIX!F209*'QUANTITE DETENUES'!F209)</f>
        <v>1680.434089</v>
      </c>
      <c r="G208" s="299">
        <f>IF(F208="","",PRIX!G209*'QUANTITE DETENUES'!G209)</f>
        <v>0</v>
      </c>
      <c r="H208" s="299">
        <f>IF(G208="","",PRIX!H209*'QUANTITE DETENUES'!H209)</f>
        <v>1171.0361</v>
      </c>
      <c r="I208" s="299">
        <f>IF(H208="","",PRIX!I209*'QUANTITE DETENUES'!I209)</f>
        <v>739.287</v>
      </c>
      <c r="J208" s="299">
        <f>IF(I208="","",PRIX!J209*'QUANTITE DETENUES'!J209)</f>
        <v>-0.000000159511236</v>
      </c>
      <c r="K208" s="299">
        <f>IF(J208="","",PRIX!K209*'QUANTITE DETENUES'!K209)</f>
        <v>0</v>
      </c>
      <c r="L208" s="299">
        <f>IF(K208="","",PRIX!L209*'QUANTITE DETENUES'!L209)</f>
        <v>0</v>
      </c>
      <c r="M208" s="299">
        <f>IF(L208="","",PRIX!M209*'QUANTITE DETENUES'!M209)</f>
        <v>1240.166175</v>
      </c>
      <c r="N208" s="299">
        <f>IF(M208="","",PRIX!N209*'QUANTITE DETENUES'!N209)</f>
        <v>0</v>
      </c>
      <c r="O208" s="299">
        <f>IF(N208="","",PRIX!O209*'QUANTITE DETENUES'!O209)</f>
        <v>0.003360970363</v>
      </c>
      <c r="P208" s="299">
        <f>IF(O208="","",PRIX!P209*'QUANTITE DETENUES'!P209)</f>
        <v>0.00002140072007</v>
      </c>
      <c r="Q208" s="299">
        <f>IF(P208="","",PRIX!Q209*'QUANTITE DETENUES'!Q209)</f>
        <v>0.0000001799999893</v>
      </c>
      <c r="R208" s="299">
        <f>IF(Q208="","",PRIX!R209*'QUANTITE DETENUES'!R209)</f>
        <v>0</v>
      </c>
      <c r="S208" s="300">
        <f>IF(R208="","",PRIX!S209*'QUANTITE DETENUES'!S209)</f>
        <v>0</v>
      </c>
      <c r="T208" s="14">
        <f>IF(A208="","",ARBITRAGES!M209)</f>
        <v>8798.26641</v>
      </c>
      <c r="U208" s="301">
        <f t="shared" si="1"/>
        <v>47928.09342</v>
      </c>
      <c r="V208" s="302">
        <f t="shared" si="2"/>
        <v>0.8164277821</v>
      </c>
      <c r="W208" s="288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220"/>
      <c r="AH208" s="308"/>
      <c r="AI208" s="220"/>
      <c r="AJ208" s="220"/>
      <c r="AK208" s="220"/>
      <c r="AL208" s="220"/>
      <c r="AM208" s="220"/>
      <c r="AN208" s="220"/>
      <c r="AO208" s="220"/>
      <c r="AP208" s="220"/>
      <c r="AQ208" s="220"/>
      <c r="AR208" s="220"/>
      <c r="AS208" s="220"/>
      <c r="AT208" s="220"/>
      <c r="AU208" s="220"/>
      <c r="AV208" s="220"/>
      <c r="AW208" s="220"/>
      <c r="AX208" s="220"/>
      <c r="AY208" s="220"/>
      <c r="AZ208" s="220"/>
      <c r="BA208" s="220"/>
    </row>
    <row r="209">
      <c r="A209" s="290">
        <f>PRIX!A210</f>
        <v>45981</v>
      </c>
      <c r="B209" s="299">
        <f>IF(A209="","",PRIX!B210*'QUANTITE DETENUES'!B210)</f>
        <v>26177.48065</v>
      </c>
      <c r="C209" s="299">
        <f>IF(B209="","",PRIX!C210*'QUANTITE DETENUES'!C210)</f>
        <v>6718.380359</v>
      </c>
      <c r="D209" s="299">
        <f>IF(C209="","",PRIX!D210*'QUANTITE DETENUES'!D210)</f>
        <v>0.002224430678</v>
      </c>
      <c r="E209" s="299">
        <f>IF(D209="","",PRIX!E210*'QUANTITE DETENUES'!E210)</f>
        <v>1701.312898</v>
      </c>
      <c r="F209" s="299">
        <f>IF(E209="","",PRIX!F210*'QUANTITE DETENUES'!F210)</f>
        <v>1680.434089</v>
      </c>
      <c r="G209" s="299">
        <f>IF(F209="","",PRIX!G210*'QUANTITE DETENUES'!G210)</f>
        <v>0</v>
      </c>
      <c r="H209" s="299">
        <f>IF(G209="","",PRIX!H210*'QUANTITE DETENUES'!H210)</f>
        <v>1171.0361</v>
      </c>
      <c r="I209" s="299">
        <f>IF(H209="","",PRIX!I210*'QUANTITE DETENUES'!I210)</f>
        <v>739.287</v>
      </c>
      <c r="J209" s="299">
        <f>IF(I209="","",PRIX!J210*'QUANTITE DETENUES'!J210)</f>
        <v>-0.000000159511236</v>
      </c>
      <c r="K209" s="299">
        <f>IF(J209="","",PRIX!K210*'QUANTITE DETENUES'!K210)</f>
        <v>0</v>
      </c>
      <c r="L209" s="299">
        <f>IF(K209="","",PRIX!L210*'QUANTITE DETENUES'!L210)</f>
        <v>0</v>
      </c>
      <c r="M209" s="299">
        <f>IF(L209="","",PRIX!M210*'QUANTITE DETENUES'!M210)</f>
        <v>1240.166175</v>
      </c>
      <c r="N209" s="299">
        <f>IF(M209="","",PRIX!N210*'QUANTITE DETENUES'!N210)</f>
        <v>0</v>
      </c>
      <c r="O209" s="299">
        <f>IF(N209="","",PRIX!O210*'QUANTITE DETENUES'!O210)</f>
        <v>0.003360970363</v>
      </c>
      <c r="P209" s="299">
        <f>IF(O209="","",PRIX!P210*'QUANTITE DETENUES'!P210)</f>
        <v>0.00002140072007</v>
      </c>
      <c r="Q209" s="299">
        <f>IF(P209="","",PRIX!Q210*'QUANTITE DETENUES'!Q210)</f>
        <v>0.0000001799999893</v>
      </c>
      <c r="R209" s="299">
        <f>IF(Q209="","",PRIX!R210*'QUANTITE DETENUES'!R210)</f>
        <v>0</v>
      </c>
      <c r="S209" s="300">
        <f>IF(R209="","",PRIX!S210*'QUANTITE DETENUES'!S210)</f>
        <v>0</v>
      </c>
      <c r="T209" s="14">
        <f>IF(A209="","",ARBITRAGES!M210)</f>
        <v>8498.26641</v>
      </c>
      <c r="U209" s="301">
        <f t="shared" si="1"/>
        <v>47926.36928</v>
      </c>
      <c r="V209" s="302">
        <f t="shared" si="2"/>
        <v>0.8226807802</v>
      </c>
      <c r="W209" s="288"/>
      <c r="X209" s="220"/>
      <c r="Y209" s="220"/>
      <c r="Z209" s="220"/>
      <c r="AA209" s="220"/>
      <c r="AB209" s="220"/>
      <c r="AC209" s="220"/>
      <c r="AD209" s="220"/>
      <c r="AE209" s="220"/>
      <c r="AF209" s="220"/>
      <c r="AG209" s="220"/>
      <c r="AH209" s="308"/>
      <c r="AI209" s="220"/>
      <c r="AJ209" s="220"/>
      <c r="AK209" s="220"/>
      <c r="AL209" s="220"/>
      <c r="AM209" s="220"/>
      <c r="AN209" s="220"/>
      <c r="AO209" s="220"/>
      <c r="AP209" s="220"/>
      <c r="AQ209" s="220"/>
      <c r="AR209" s="220"/>
      <c r="AS209" s="220"/>
      <c r="AT209" s="220"/>
      <c r="AU209" s="220"/>
      <c r="AV209" s="220"/>
      <c r="AW209" s="220"/>
      <c r="AX209" s="220"/>
      <c r="AY209" s="220"/>
      <c r="AZ209" s="220"/>
      <c r="BA209" s="220"/>
    </row>
    <row r="210">
      <c r="A210" s="290">
        <f>PRIX!A211</f>
        <v>45981</v>
      </c>
      <c r="B210" s="299">
        <f>IF(A210="","",PRIX!B211*'QUANTITE DETENUES'!B211)</f>
        <v>25755.05626</v>
      </c>
      <c r="C210" s="299">
        <f>IF(B210="","",PRIX!C211*'QUANTITE DETENUES'!C211)</f>
        <v>6600.514037</v>
      </c>
      <c r="D210" s="299">
        <f>IF(C210="","",PRIX!D211*'QUANTITE DETENUES'!D211)</f>
        <v>0.00208540376</v>
      </c>
      <c r="E210" s="299">
        <f>IF(D210="","",PRIX!E211*'QUANTITE DETENUES'!E211)</f>
        <v>1662.051832</v>
      </c>
      <c r="F210" s="299">
        <f>IF(E210="","",PRIX!F211*'QUANTITE DETENUES'!F211)</f>
        <v>1487.59739</v>
      </c>
      <c r="G210" s="299">
        <f>IF(F210="","",PRIX!G211*'QUANTITE DETENUES'!G211)</f>
        <v>0</v>
      </c>
      <c r="H210" s="299">
        <f>IF(G210="","",PRIX!H211*'QUANTITE DETENUES'!H211)</f>
        <v>1080.9564</v>
      </c>
      <c r="I210" s="299">
        <f>IF(H210="","",PRIX!I211*'QUANTITE DETENUES'!I211)</f>
        <v>690.0012</v>
      </c>
      <c r="J210" s="299">
        <f>IF(I210="","",PRIX!J211*'QUANTITE DETENUES'!J211)</f>
        <v>-0.0000001497849411</v>
      </c>
      <c r="K210" s="299">
        <f>IF(J210="","",PRIX!K211*'QUANTITE DETENUES'!K211)</f>
        <v>0</v>
      </c>
      <c r="L210" s="299">
        <f>IF(K210="","",PRIX!L211*'QUANTITE DETENUES'!L211)</f>
        <v>0</v>
      </c>
      <c r="M210" s="299">
        <f>IF(L210="","",PRIX!M211*'QUANTITE DETENUES'!M211)</f>
        <v>1201.410982</v>
      </c>
      <c r="N210" s="299">
        <f>IF(M210="","",PRIX!N211*'QUANTITE DETENUES'!N211)</f>
        <v>0</v>
      </c>
      <c r="O210" s="299">
        <f>IF(N210="","",PRIX!O211*'QUANTITE DETENUES'!O211)</f>
        <v>0.003214841217</v>
      </c>
      <c r="P210" s="299">
        <f>IF(O210="","",PRIX!P211*'QUANTITE DETENUES'!P211)</f>
        <v>0.00001879792979</v>
      </c>
      <c r="Q210" s="299">
        <f>IF(P210="","",PRIX!Q211*'QUANTITE DETENUES'!Q211)</f>
        <v>0.0000001639999902</v>
      </c>
      <c r="R210" s="299">
        <f>IF(Q210="","",PRIX!R211*'QUANTITE DETENUES'!R211)</f>
        <v>0</v>
      </c>
      <c r="S210" s="300">
        <f>IF(R210="","",PRIX!S211*'QUANTITE DETENUES'!S211)</f>
        <v>0</v>
      </c>
      <c r="T210" s="14">
        <f>IF(A210="","",ARBITRAGES!M211)</f>
        <v>7998.26641</v>
      </c>
      <c r="U210" s="301">
        <f t="shared" si="1"/>
        <v>46475.85983</v>
      </c>
      <c r="V210" s="302">
        <f t="shared" si="2"/>
        <v>0.8279049287</v>
      </c>
      <c r="W210" s="288"/>
      <c r="X210" s="220"/>
      <c r="Y210" s="220"/>
      <c r="Z210" s="220"/>
      <c r="AA210" s="220"/>
      <c r="AB210" s="220"/>
      <c r="AC210" s="220"/>
      <c r="AD210" s="220"/>
      <c r="AE210" s="220"/>
      <c r="AF210" s="220"/>
      <c r="AG210" s="220"/>
      <c r="AH210" s="308"/>
      <c r="AI210" s="220"/>
      <c r="AJ210" s="220"/>
      <c r="AK210" s="220"/>
      <c r="AL210" s="220"/>
      <c r="AM210" s="220"/>
      <c r="AN210" s="220"/>
      <c r="AO210" s="220"/>
      <c r="AP210" s="220"/>
      <c r="AQ210" s="220"/>
      <c r="AR210" s="220"/>
      <c r="AS210" s="220"/>
      <c r="AT210" s="220"/>
      <c r="AU210" s="220"/>
      <c r="AV210" s="220"/>
      <c r="AW210" s="220"/>
      <c r="AX210" s="220"/>
      <c r="AY210" s="220"/>
      <c r="AZ210" s="220"/>
      <c r="BA210" s="220"/>
    </row>
    <row r="211">
      <c r="A211" s="290">
        <f>PRIX!A212</f>
        <v>45981</v>
      </c>
      <c r="B211" s="299">
        <f>IF(A211="","",PRIX!B212*'QUANTITE DETENUES'!B212)</f>
        <v>25755.05626</v>
      </c>
      <c r="C211" s="299">
        <f>IF(B211="","",PRIX!C212*'QUANTITE DETENUES'!C212)</f>
        <v>6600.514037</v>
      </c>
      <c r="D211" s="299">
        <f>IF(C211="","",PRIX!D212*'QUANTITE DETENUES'!D212)</f>
        <v>0.00208540376</v>
      </c>
      <c r="E211" s="299">
        <f>IF(D211="","",PRIX!E212*'QUANTITE DETENUES'!E212)</f>
        <v>1789.051832</v>
      </c>
      <c r="F211" s="299">
        <f>IF(E211="","",PRIX!F212*'QUANTITE DETENUES'!F212)</f>
        <v>1487.59739</v>
      </c>
      <c r="G211" s="299">
        <f>IF(F211="","",PRIX!G212*'QUANTITE DETENUES'!G212)</f>
        <v>0</v>
      </c>
      <c r="H211" s="299">
        <f>IF(G211="","",PRIX!H212*'QUANTITE DETENUES'!H212)</f>
        <v>1080.9564</v>
      </c>
      <c r="I211" s="299">
        <f>IF(H211="","",PRIX!I212*'QUANTITE DETENUES'!I212)</f>
        <v>690.0012</v>
      </c>
      <c r="J211" s="299">
        <f>IF(I211="","",PRIX!J212*'QUANTITE DETENUES'!J212)</f>
        <v>-0.0000001497849411</v>
      </c>
      <c r="K211" s="299">
        <f>IF(J211="","",PRIX!K212*'QUANTITE DETENUES'!K212)</f>
        <v>0</v>
      </c>
      <c r="L211" s="299">
        <f>IF(K211="","",PRIX!L212*'QUANTITE DETENUES'!L212)</f>
        <v>0</v>
      </c>
      <c r="M211" s="299">
        <f>IF(L211="","",PRIX!M212*'QUANTITE DETENUES'!M212)</f>
        <v>1201.410982</v>
      </c>
      <c r="N211" s="299">
        <f>IF(M211="","",PRIX!N212*'QUANTITE DETENUES'!N212)</f>
        <v>0</v>
      </c>
      <c r="O211" s="299">
        <f>IF(N211="","",PRIX!O212*'QUANTITE DETENUES'!O212)</f>
        <v>0.003214841217</v>
      </c>
      <c r="P211" s="299">
        <f>IF(O211="","",PRIX!P212*'QUANTITE DETENUES'!P212)</f>
        <v>0.00001879792979</v>
      </c>
      <c r="Q211" s="299">
        <f>IF(P211="","",PRIX!Q212*'QUANTITE DETENUES'!Q212)</f>
        <v>0.0000001639999902</v>
      </c>
      <c r="R211" s="299">
        <f>IF(Q211="","",PRIX!R212*'QUANTITE DETENUES'!R212)</f>
        <v>0</v>
      </c>
      <c r="S211" s="300">
        <f>IF(R211="","",PRIX!S212*'QUANTITE DETENUES'!S212)</f>
        <v>0</v>
      </c>
      <c r="T211" s="14">
        <f>IF(A211="","",ARBITRAGES!M212)</f>
        <v>7873.26641</v>
      </c>
      <c r="U211" s="301">
        <f t="shared" si="1"/>
        <v>46477.85983</v>
      </c>
      <c r="V211" s="302">
        <f t="shared" si="2"/>
        <v>0.8306017868</v>
      </c>
      <c r="W211" s="288"/>
      <c r="X211" s="220"/>
      <c r="Y211" s="220"/>
      <c r="Z211" s="220"/>
      <c r="AA211" s="220"/>
      <c r="AB211" s="220"/>
      <c r="AC211" s="220"/>
      <c r="AD211" s="220"/>
      <c r="AE211" s="220"/>
      <c r="AF211" s="220"/>
      <c r="AG211" s="220"/>
      <c r="AH211" s="308"/>
      <c r="AI211" s="220"/>
      <c r="AJ211" s="220"/>
      <c r="AK211" s="220"/>
      <c r="AL211" s="220"/>
      <c r="AM211" s="220"/>
      <c r="AN211" s="220"/>
      <c r="AO211" s="220"/>
      <c r="AP211" s="220"/>
      <c r="AQ211" s="220"/>
      <c r="AR211" s="220"/>
      <c r="AS211" s="220"/>
      <c r="AT211" s="220"/>
      <c r="AU211" s="220"/>
      <c r="AV211" s="220"/>
      <c r="AW211" s="220"/>
      <c r="AX211" s="220"/>
      <c r="AY211" s="220"/>
      <c r="AZ211" s="220"/>
      <c r="BA211" s="220"/>
    </row>
    <row r="212">
      <c r="A212" s="290">
        <f>PRIX!A213</f>
        <v>45981</v>
      </c>
      <c r="B212" s="299">
        <f>IF(A212="","",PRIX!B213*'QUANTITE DETENUES'!B213)</f>
        <v>26021.28814</v>
      </c>
      <c r="C212" s="299">
        <f>IF(B212="","",PRIX!C213*'QUANTITE DETENUES'!C213)</f>
        <v>6600.514037</v>
      </c>
      <c r="D212" s="299">
        <f>IF(C212="","",PRIX!D213*'QUANTITE DETENUES'!D213)</f>
        <v>0.00208540376</v>
      </c>
      <c r="E212" s="299">
        <f>IF(D212="","",PRIX!E213*'QUANTITE DETENUES'!E213)</f>
        <v>1789.051832</v>
      </c>
      <c r="F212" s="299">
        <f>IF(E212="","",PRIX!F213*'QUANTITE DETENUES'!F213)</f>
        <v>1487.59739</v>
      </c>
      <c r="G212" s="299">
        <f>IF(F212="","",PRIX!G213*'QUANTITE DETENUES'!G213)</f>
        <v>0</v>
      </c>
      <c r="H212" s="299">
        <f>IF(G212="","",PRIX!H213*'QUANTITE DETENUES'!H213)</f>
        <v>1080.9564</v>
      </c>
      <c r="I212" s="299">
        <f>IF(H212="","",PRIX!I213*'QUANTITE DETENUES'!I213)</f>
        <v>690.0012</v>
      </c>
      <c r="J212" s="299">
        <f>IF(I212="","",PRIX!J213*'QUANTITE DETENUES'!J213)</f>
        <v>-0.0000001497849411</v>
      </c>
      <c r="K212" s="299">
        <f>IF(J212="","",PRIX!K213*'QUANTITE DETENUES'!K213)</f>
        <v>0</v>
      </c>
      <c r="L212" s="299">
        <f>IF(K212="","",PRIX!L213*'QUANTITE DETENUES'!L213)</f>
        <v>0</v>
      </c>
      <c r="M212" s="299">
        <f>IF(L212="","",PRIX!M213*'QUANTITE DETENUES'!M213)</f>
        <v>1201.410982</v>
      </c>
      <c r="N212" s="299">
        <f>IF(M212="","",PRIX!N213*'QUANTITE DETENUES'!N213)</f>
        <v>0</v>
      </c>
      <c r="O212" s="299">
        <f>IF(N212="","",PRIX!O213*'QUANTITE DETENUES'!O213)</f>
        <v>0.003214841217</v>
      </c>
      <c r="P212" s="299">
        <f>IF(O212="","",PRIX!P213*'QUANTITE DETENUES'!P213)</f>
        <v>0.00001879792979</v>
      </c>
      <c r="Q212" s="299">
        <f>IF(P212="","",PRIX!Q213*'QUANTITE DETENUES'!Q213)</f>
        <v>0.0000001639999902</v>
      </c>
      <c r="R212" s="299">
        <f>IF(Q212="","",PRIX!R213*'QUANTITE DETENUES'!R213)</f>
        <v>0</v>
      </c>
      <c r="S212" s="300">
        <f>IF(R212="","",PRIX!S213*'QUANTITE DETENUES'!S213)</f>
        <v>0</v>
      </c>
      <c r="T212" s="14">
        <f>IF(A212="","",ARBITRAGES!M213)</f>
        <v>7598.26641</v>
      </c>
      <c r="U212" s="301">
        <f t="shared" si="1"/>
        <v>46469.09171</v>
      </c>
      <c r="V212" s="302">
        <f t="shared" si="2"/>
        <v>0.8364877356</v>
      </c>
      <c r="W212" s="288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220"/>
      <c r="AH212" s="308"/>
      <c r="AI212" s="220"/>
      <c r="AJ212" s="220"/>
      <c r="AK212" s="220"/>
      <c r="AL212" s="220"/>
      <c r="AM212" s="220"/>
      <c r="AN212" s="220"/>
      <c r="AO212" s="220"/>
      <c r="AP212" s="220"/>
      <c r="AQ212" s="220"/>
      <c r="AR212" s="220"/>
      <c r="AS212" s="220"/>
      <c r="AT212" s="220"/>
      <c r="AU212" s="220"/>
      <c r="AV212" s="220"/>
      <c r="AW212" s="220"/>
      <c r="AX212" s="220"/>
      <c r="AY212" s="220"/>
      <c r="AZ212" s="220"/>
      <c r="BA212" s="220"/>
    </row>
    <row r="213">
      <c r="A213" s="290">
        <f>PRIX!A214</f>
        <v>45981</v>
      </c>
      <c r="B213" s="299">
        <f>IF(A213="","",PRIX!B214*'QUANTITE DETENUES'!B214)</f>
        <v>26121.28814</v>
      </c>
      <c r="C213" s="299">
        <f>IF(B213="","",PRIX!C214*'QUANTITE DETENUES'!C214)</f>
        <v>6600.514037</v>
      </c>
      <c r="D213" s="299">
        <f>IF(C213="","",PRIX!D214*'QUANTITE DETENUES'!D214)</f>
        <v>0.00208540376</v>
      </c>
      <c r="E213" s="299">
        <f>IF(D213="","",PRIX!E214*'QUANTITE DETENUES'!E214)</f>
        <v>1789.051832</v>
      </c>
      <c r="F213" s="299">
        <f>IF(E213="","",PRIX!F214*'QUANTITE DETENUES'!F214)</f>
        <v>1487.59739</v>
      </c>
      <c r="G213" s="299">
        <f>IF(F213="","",PRIX!G214*'QUANTITE DETENUES'!G214)</f>
        <v>0</v>
      </c>
      <c r="H213" s="299">
        <f>IF(G213="","",PRIX!H214*'QUANTITE DETENUES'!H214)</f>
        <v>1080.9564</v>
      </c>
      <c r="I213" s="299">
        <f>IF(H213="","",PRIX!I214*'QUANTITE DETENUES'!I214)</f>
        <v>690.0012</v>
      </c>
      <c r="J213" s="299">
        <f>IF(I213="","",PRIX!J214*'QUANTITE DETENUES'!J214)</f>
        <v>-0.0000001497849411</v>
      </c>
      <c r="K213" s="299">
        <f>IF(J213="","",PRIX!K214*'QUANTITE DETENUES'!K214)</f>
        <v>0</v>
      </c>
      <c r="L213" s="299">
        <f>IF(K213="","",PRIX!L214*'QUANTITE DETENUES'!L214)</f>
        <v>0</v>
      </c>
      <c r="M213" s="299">
        <f>IF(L213="","",PRIX!M214*'QUANTITE DETENUES'!M214)</f>
        <v>1201.410982</v>
      </c>
      <c r="N213" s="299">
        <f>IF(M213="","",PRIX!N214*'QUANTITE DETENUES'!N214)</f>
        <v>0</v>
      </c>
      <c r="O213" s="299">
        <f>IF(N213="","",PRIX!O214*'QUANTITE DETENUES'!O214)</f>
        <v>0.003214841217</v>
      </c>
      <c r="P213" s="299">
        <f>IF(O213="","",PRIX!P214*'QUANTITE DETENUES'!P214)</f>
        <v>0.00001879792979</v>
      </c>
      <c r="Q213" s="299">
        <f>IF(P213="","",PRIX!Q214*'QUANTITE DETENUES'!Q214)</f>
        <v>0.0000001639999902</v>
      </c>
      <c r="R213" s="299">
        <f>IF(Q213="","",PRIX!R214*'QUANTITE DETENUES'!R214)</f>
        <v>0</v>
      </c>
      <c r="S213" s="300">
        <f>IF(R213="","",PRIX!S214*'QUANTITE DETENUES'!S214)</f>
        <v>0</v>
      </c>
      <c r="T213" s="14">
        <f>IF(A213="","",ARBITRAGES!M214)</f>
        <v>7498.26641</v>
      </c>
      <c r="U213" s="301">
        <f t="shared" si="1"/>
        <v>46469.09171</v>
      </c>
      <c r="V213" s="302">
        <f t="shared" si="2"/>
        <v>0.8386397036</v>
      </c>
      <c r="W213" s="288"/>
      <c r="X213" s="220"/>
      <c r="Y213" s="220"/>
      <c r="Z213" s="220"/>
      <c r="AA213" s="220"/>
      <c r="AB213" s="220"/>
      <c r="AC213" s="220"/>
      <c r="AD213" s="220"/>
      <c r="AE213" s="220"/>
      <c r="AF213" s="220"/>
      <c r="AG213" s="220"/>
      <c r="AH213" s="308"/>
      <c r="AI213" s="220"/>
      <c r="AJ213" s="220"/>
      <c r="AK213" s="220"/>
      <c r="AL213" s="220"/>
      <c r="AM213" s="220"/>
      <c r="AN213" s="220"/>
      <c r="AO213" s="220"/>
      <c r="AP213" s="220"/>
      <c r="AQ213" s="220"/>
      <c r="AR213" s="220"/>
      <c r="AS213" s="220"/>
      <c r="AT213" s="220"/>
      <c r="AU213" s="220"/>
      <c r="AV213" s="220"/>
      <c r="AW213" s="220"/>
      <c r="AX213" s="220"/>
      <c r="AY213" s="220"/>
      <c r="AZ213" s="220"/>
      <c r="BA213" s="220"/>
    </row>
    <row r="214">
      <c r="A214" s="290">
        <f>PRIX!A215</f>
        <v>45981</v>
      </c>
      <c r="B214" s="299">
        <f>IF(A214="","",PRIX!B215*'QUANTITE DETENUES'!B215)</f>
        <v>26372.79417</v>
      </c>
      <c r="C214" s="299">
        <f>IF(B214="","",PRIX!C215*'QUANTITE DETENUES'!C215)</f>
        <v>6600.514037</v>
      </c>
      <c r="D214" s="299">
        <f>IF(C214="","",PRIX!D215*'QUANTITE DETENUES'!D215)</f>
        <v>0.00208540376</v>
      </c>
      <c r="E214" s="299">
        <f>IF(D214="","",PRIX!E215*'QUANTITE DETENUES'!E215)</f>
        <v>1789.051832</v>
      </c>
      <c r="F214" s="299">
        <f>IF(E214="","",PRIX!F215*'QUANTITE DETENUES'!F215)</f>
        <v>1487.59739</v>
      </c>
      <c r="G214" s="299">
        <f>IF(F214="","",PRIX!G215*'QUANTITE DETENUES'!G215)</f>
        <v>0</v>
      </c>
      <c r="H214" s="299">
        <f>IF(G214="","",PRIX!H215*'QUANTITE DETENUES'!H215)</f>
        <v>1080.9564</v>
      </c>
      <c r="I214" s="299">
        <f>IF(H214="","",PRIX!I215*'QUANTITE DETENUES'!I215)</f>
        <v>690.0012</v>
      </c>
      <c r="J214" s="299">
        <f>IF(I214="","",PRIX!J215*'QUANTITE DETENUES'!J215)</f>
        <v>-0.0000001497849411</v>
      </c>
      <c r="K214" s="299">
        <f>IF(J214="","",PRIX!K215*'QUANTITE DETENUES'!K215)</f>
        <v>0</v>
      </c>
      <c r="L214" s="299">
        <f>IF(K214="","",PRIX!L215*'QUANTITE DETENUES'!L215)</f>
        <v>0</v>
      </c>
      <c r="M214" s="299">
        <f>IF(L214="","",PRIX!M215*'QUANTITE DETENUES'!M215)</f>
        <v>1201.410982</v>
      </c>
      <c r="N214" s="299">
        <f>IF(M214="","",PRIX!N215*'QUANTITE DETENUES'!N215)</f>
        <v>0</v>
      </c>
      <c r="O214" s="299">
        <f>IF(N214="","",PRIX!O215*'QUANTITE DETENUES'!O215)</f>
        <v>0.003214841217</v>
      </c>
      <c r="P214" s="299">
        <f>IF(O214="","",PRIX!P215*'QUANTITE DETENUES'!P215)</f>
        <v>0.00001879792979</v>
      </c>
      <c r="Q214" s="299">
        <f>IF(P214="","",PRIX!Q215*'QUANTITE DETENUES'!Q215)</f>
        <v>0.0000001639999902</v>
      </c>
      <c r="R214" s="299">
        <f>IF(Q214="","",PRIX!R215*'QUANTITE DETENUES'!R215)</f>
        <v>0</v>
      </c>
      <c r="S214" s="300">
        <f>IF(R214="","",PRIX!S215*'QUANTITE DETENUES'!S215)</f>
        <v>0</v>
      </c>
      <c r="T214" s="14">
        <f>IF(A214="","",ARBITRAGES!M215)</f>
        <v>7248.26641</v>
      </c>
      <c r="U214" s="301">
        <f t="shared" si="1"/>
        <v>46470.59774</v>
      </c>
      <c r="V214" s="302">
        <f t="shared" si="2"/>
        <v>0.8440246788</v>
      </c>
      <c r="W214" s="288"/>
      <c r="X214" s="220"/>
      <c r="Y214" s="220"/>
      <c r="Z214" s="220"/>
      <c r="AA214" s="220"/>
      <c r="AB214" s="220"/>
      <c r="AC214" s="220"/>
      <c r="AD214" s="220"/>
      <c r="AE214" s="220"/>
      <c r="AF214" s="220"/>
      <c r="AG214" s="220"/>
      <c r="AH214" s="308"/>
      <c r="AI214" s="220"/>
      <c r="AJ214" s="220"/>
      <c r="AK214" s="220"/>
      <c r="AL214" s="220"/>
      <c r="AM214" s="220"/>
      <c r="AN214" s="220"/>
      <c r="AO214" s="220"/>
      <c r="AP214" s="220"/>
      <c r="AQ214" s="220"/>
      <c r="AR214" s="220"/>
      <c r="AS214" s="220"/>
      <c r="AT214" s="220"/>
      <c r="AU214" s="220"/>
      <c r="AV214" s="220"/>
      <c r="AW214" s="220"/>
      <c r="AX214" s="220"/>
      <c r="AY214" s="220"/>
      <c r="AZ214" s="220"/>
      <c r="BA214" s="220"/>
    </row>
    <row r="215">
      <c r="A215" s="290">
        <f>PRIX!A216</f>
        <v>45981</v>
      </c>
      <c r="B215" s="299">
        <f>IF(A215="","",PRIX!B216*'QUANTITE DETENUES'!B216)</f>
        <v>26524.06228</v>
      </c>
      <c r="C215" s="299">
        <f>IF(B215="","",PRIX!C216*'QUANTITE DETENUES'!C216)</f>
        <v>6600.514037</v>
      </c>
      <c r="D215" s="299">
        <f>IF(C215="","",PRIX!D216*'QUANTITE DETENUES'!D216)</f>
        <v>0.00208540376</v>
      </c>
      <c r="E215" s="299">
        <f>IF(D215="","",PRIX!E216*'QUANTITE DETENUES'!E216)</f>
        <v>1789.051832</v>
      </c>
      <c r="F215" s="299">
        <f>IF(E215="","",PRIX!F216*'QUANTITE DETENUES'!F216)</f>
        <v>1487.59739</v>
      </c>
      <c r="G215" s="299">
        <f>IF(F215="","",PRIX!G216*'QUANTITE DETENUES'!G216)</f>
        <v>0</v>
      </c>
      <c r="H215" s="299">
        <f>IF(G215="","",PRIX!H216*'QUANTITE DETENUES'!H216)</f>
        <v>1080.9564</v>
      </c>
      <c r="I215" s="299">
        <f>IF(H215="","",PRIX!I216*'QUANTITE DETENUES'!I216)</f>
        <v>690.0012</v>
      </c>
      <c r="J215" s="299">
        <f>IF(I215="","",PRIX!J216*'QUANTITE DETENUES'!J216)</f>
        <v>-0.0000001497849411</v>
      </c>
      <c r="K215" s="299">
        <f>IF(J215="","",PRIX!K216*'QUANTITE DETENUES'!K216)</f>
        <v>0</v>
      </c>
      <c r="L215" s="299">
        <f>IF(K215="","",PRIX!L216*'QUANTITE DETENUES'!L216)</f>
        <v>0</v>
      </c>
      <c r="M215" s="299">
        <f>IF(L215="","",PRIX!M216*'QUANTITE DETENUES'!M216)</f>
        <v>1201.410982</v>
      </c>
      <c r="N215" s="299">
        <f>IF(M215="","",PRIX!N216*'QUANTITE DETENUES'!N216)</f>
        <v>0</v>
      </c>
      <c r="O215" s="299">
        <f>IF(N215="","",PRIX!O216*'QUANTITE DETENUES'!O216)</f>
        <v>0.003214841217</v>
      </c>
      <c r="P215" s="299">
        <f>IF(O215="","",PRIX!P216*'QUANTITE DETENUES'!P216)</f>
        <v>0.00001879792979</v>
      </c>
      <c r="Q215" s="299">
        <f>IF(P215="","",PRIX!Q216*'QUANTITE DETENUES'!Q216)</f>
        <v>0.0000001639999902</v>
      </c>
      <c r="R215" s="299">
        <f>IF(Q215="","",PRIX!R216*'QUANTITE DETENUES'!R216)</f>
        <v>0</v>
      </c>
      <c r="S215" s="300">
        <f>IF(R215="","",PRIX!S216*'QUANTITE DETENUES'!S216)</f>
        <v>0</v>
      </c>
      <c r="T215" s="14">
        <f>IF(A215="","",ARBITRAGES!M216)</f>
        <v>7098.26641</v>
      </c>
      <c r="U215" s="301">
        <f t="shared" si="1"/>
        <v>46471.86585</v>
      </c>
      <c r="V215" s="302">
        <f t="shared" si="2"/>
        <v>0.8472566944</v>
      </c>
      <c r="W215" s="288"/>
      <c r="X215" s="220"/>
      <c r="Y215" s="220"/>
      <c r="Z215" s="220"/>
      <c r="AA215" s="220"/>
      <c r="AB215" s="220"/>
      <c r="AC215" s="220"/>
      <c r="AD215" s="220"/>
      <c r="AE215" s="220"/>
      <c r="AF215" s="220"/>
      <c r="AG215" s="220"/>
      <c r="AH215" s="308"/>
      <c r="AI215" s="220"/>
      <c r="AJ215" s="220"/>
      <c r="AK215" s="220"/>
      <c r="AL215" s="220"/>
      <c r="AM215" s="220"/>
      <c r="AN215" s="220"/>
      <c r="AO215" s="220"/>
      <c r="AP215" s="220"/>
      <c r="AQ215" s="220"/>
      <c r="AR215" s="220"/>
      <c r="AS215" s="220"/>
      <c r="AT215" s="220"/>
      <c r="AU215" s="220"/>
      <c r="AV215" s="220"/>
      <c r="AW215" s="220"/>
      <c r="AX215" s="220"/>
      <c r="AY215" s="220"/>
      <c r="AZ215" s="220"/>
      <c r="BA215" s="220"/>
    </row>
    <row r="216">
      <c r="A216" s="290">
        <f>PRIX!A217</f>
        <v>45982</v>
      </c>
      <c r="B216" s="299">
        <f>IF(A216="","",PRIX!B217*'QUANTITE DETENUES'!B217)</f>
        <v>27000.54244</v>
      </c>
      <c r="C216" s="299">
        <f>IF(B216="","",PRIX!C217*'QUANTITE DETENUES'!C217)</f>
        <v>6700.514037</v>
      </c>
      <c r="D216" s="299">
        <f>IF(C216="","",PRIX!D217*'QUANTITE DETENUES'!D217)</f>
        <v>0.002127111836</v>
      </c>
      <c r="E216" s="299">
        <f>IF(D216="","",PRIX!E217*'QUANTITE DETENUES'!E217)</f>
        <v>1789.051832</v>
      </c>
      <c r="F216" s="299">
        <f>IF(E216="","",PRIX!F217*'QUANTITE DETENUES'!F217)</f>
        <v>1542.69359</v>
      </c>
      <c r="G216" s="299">
        <f>IF(F216="","",PRIX!G217*'QUANTITE DETENUES'!G217)</f>
        <v>0</v>
      </c>
      <c r="H216" s="299">
        <f>IF(G216="","",PRIX!H217*'QUANTITE DETENUES'!H217)</f>
        <v>1107.98031</v>
      </c>
      <c r="I216" s="299">
        <f>IF(H216="","",PRIX!I217*'QUANTITE DETENUES'!I217)</f>
        <v>694.92978</v>
      </c>
      <c r="J216" s="299">
        <f>IF(I216="","",PRIX!J217*'QUANTITE DETENUES'!J217)</f>
        <v>-0.000000155620718</v>
      </c>
      <c r="K216" s="299">
        <f>IF(J216="","",PRIX!K217*'QUANTITE DETENUES'!K217)</f>
        <v>0</v>
      </c>
      <c r="L216" s="299">
        <f>IF(K216="","",PRIX!L217*'QUANTITE DETENUES'!L217)</f>
        <v>0</v>
      </c>
      <c r="M216" s="299">
        <f>IF(L216="","",PRIX!M217*'QUANTITE DETENUES'!M217)</f>
        <v>1240.166175</v>
      </c>
      <c r="N216" s="299">
        <f>IF(M216="","",PRIX!N217*'QUANTITE DETENUES'!N217)</f>
        <v>0</v>
      </c>
      <c r="O216" s="299">
        <f>IF(N216="","",PRIX!O217*'QUANTITE DETENUES'!O217)</f>
        <v>0.003214841217</v>
      </c>
      <c r="P216" s="299">
        <f>IF(O216="","",PRIX!P217*'QUANTITE DETENUES'!P217)</f>
        <v>0.00002024392439</v>
      </c>
      <c r="Q216" s="299">
        <f>IF(P216="","",PRIX!Q217*'QUANTITE DETENUES'!Q217)</f>
        <v>0.00000016799999</v>
      </c>
      <c r="R216" s="299">
        <f>IF(Q216="","",PRIX!R217*'QUANTITE DETENUES'!R217)</f>
        <v>0</v>
      </c>
      <c r="S216" s="300">
        <f>IF(R216="","",PRIX!S217*'QUANTITE DETENUES'!S217)</f>
        <v>0</v>
      </c>
      <c r="T216" s="14">
        <f>IF(A216="","",ARBITRAGES!M217)</f>
        <v>6998.26641</v>
      </c>
      <c r="U216" s="301">
        <f t="shared" si="1"/>
        <v>47074.14994</v>
      </c>
      <c r="V216" s="302">
        <f t="shared" si="2"/>
        <v>0.8513352568</v>
      </c>
      <c r="W216" s="288"/>
      <c r="X216" s="220"/>
      <c r="Y216" s="220"/>
      <c r="Z216" s="220"/>
      <c r="AA216" s="220"/>
      <c r="AB216" s="220"/>
      <c r="AC216" s="220"/>
      <c r="AD216" s="220"/>
      <c r="AE216" s="220"/>
      <c r="AF216" s="220"/>
      <c r="AG216" s="220"/>
      <c r="AH216" s="308"/>
      <c r="AI216" s="220"/>
      <c r="AJ216" s="220"/>
      <c r="AK216" s="220"/>
      <c r="AL216" s="220"/>
      <c r="AM216" s="220"/>
      <c r="AN216" s="220"/>
      <c r="AO216" s="220"/>
      <c r="AP216" s="220"/>
      <c r="AQ216" s="220"/>
      <c r="AR216" s="220"/>
      <c r="AS216" s="220"/>
      <c r="AT216" s="220"/>
      <c r="AU216" s="220"/>
      <c r="AV216" s="220"/>
      <c r="AW216" s="220"/>
      <c r="AX216" s="220"/>
      <c r="AY216" s="220"/>
      <c r="AZ216" s="220"/>
      <c r="BA216" s="220"/>
    </row>
    <row r="217">
      <c r="A217" s="290">
        <f>PRIX!A218</f>
        <v>45988</v>
      </c>
      <c r="B217" s="299">
        <f>IF(A217="","",PRIX!B218*'QUANTITE DETENUES'!B218)</f>
        <v>29382.94325</v>
      </c>
      <c r="C217" s="299">
        <f>IF(B217="","",PRIX!C218*'QUANTITE DETENUES'!C218)</f>
        <v>7358.600237</v>
      </c>
      <c r="D217" s="299">
        <f>IF(C217="","",PRIX!D218*'QUANTITE DETENUES'!D218)</f>
        <v>0.002293944136</v>
      </c>
      <c r="E217" s="299">
        <f>IF(D217="","",PRIX!E218*'QUANTITE DETENUES'!E218)</f>
        <v>2042.618233</v>
      </c>
      <c r="F217" s="299">
        <f>IF(E217="","",PRIX!F218*'QUANTITE DETENUES'!F218)</f>
        <v>1574.865203</v>
      </c>
      <c r="G217" s="299">
        <f>IF(F217="","",PRIX!G218*'QUANTITE DETENUES'!G218)</f>
        <v>0</v>
      </c>
      <c r="H217" s="299">
        <f>IF(G217="","",PRIX!H218*'QUANTITE DETENUES'!H218)</f>
        <v>1207.06798</v>
      </c>
      <c r="I217" s="299">
        <f>IF(H217="","",PRIX!I218*'QUANTITE DETENUES'!I218)</f>
        <v>763.9299</v>
      </c>
      <c r="J217" s="299">
        <f>IF(I217="","",PRIX!J218*'QUANTITE DETENUES'!J218)</f>
        <v>-0.0000001750733078</v>
      </c>
      <c r="K217" s="299">
        <f>IF(J217="","",PRIX!K218*'QUANTITE DETENUES'!K218)</f>
        <v>0</v>
      </c>
      <c r="L217" s="299">
        <f>IF(K217="","",PRIX!L218*'QUANTITE DETENUES'!L218)</f>
        <v>0</v>
      </c>
      <c r="M217" s="299">
        <f>IF(L217="","",PRIX!M218*'QUANTITE DETENUES'!M218)</f>
        <v>1472.697333</v>
      </c>
      <c r="N217" s="299">
        <f>IF(M217="","",PRIX!N218*'QUANTITE DETENUES'!N218)</f>
        <v>0</v>
      </c>
      <c r="O217" s="299">
        <f>IF(N217="","",PRIX!O218*'QUANTITE DETENUES'!O218)</f>
        <v>0.004164680667</v>
      </c>
      <c r="P217" s="299">
        <f>IF(O217="","",PRIX!P218*'QUANTITE DETENUES'!P218)</f>
        <v>0.00002226831683</v>
      </c>
      <c r="Q217" s="299">
        <f>IF(P217="","",PRIX!Q218*'QUANTITE DETENUES'!Q218)</f>
        <v>0.0000001919999886</v>
      </c>
      <c r="R217" s="299">
        <f>IF(Q217="","",PRIX!R218*'QUANTITE DETENUES'!R218)</f>
        <v>0</v>
      </c>
      <c r="S217" s="300">
        <f>IF(R217="","",PRIX!S218*'QUANTITE DETENUES'!S218)</f>
        <v>0</v>
      </c>
      <c r="T217" s="14">
        <f>IF(A217="","",ARBITRAGES!M218)</f>
        <v>7156.381256</v>
      </c>
      <c r="U217" s="301">
        <f t="shared" si="1"/>
        <v>50959.10987</v>
      </c>
      <c r="V217" s="302">
        <f t="shared" si="2"/>
        <v>0.8595662037</v>
      </c>
      <c r="W217" s="288"/>
      <c r="X217" s="220"/>
      <c r="Y217" s="220"/>
      <c r="Z217" s="220"/>
      <c r="AA217" s="220"/>
      <c r="AB217" s="220"/>
      <c r="AC217" s="220"/>
      <c r="AD217" s="220"/>
      <c r="AE217" s="220"/>
      <c r="AF217" s="220"/>
      <c r="AG217" s="220"/>
      <c r="AH217" s="308"/>
      <c r="AI217" s="220"/>
      <c r="AJ217" s="220"/>
      <c r="AK217" s="220"/>
      <c r="AL217" s="220"/>
      <c r="AM217" s="220"/>
      <c r="AN217" s="220"/>
      <c r="AO217" s="220"/>
      <c r="AP217" s="220"/>
      <c r="AQ217" s="220"/>
      <c r="AR217" s="220"/>
      <c r="AS217" s="220"/>
      <c r="AT217" s="220"/>
      <c r="AU217" s="220"/>
      <c r="AV217" s="220"/>
      <c r="AW217" s="220"/>
      <c r="AX217" s="220"/>
      <c r="AY217" s="220"/>
      <c r="AZ217" s="220"/>
      <c r="BA217" s="220"/>
    </row>
    <row r="218">
      <c r="A218" s="290">
        <f>PRIX!A219</f>
        <v>45988</v>
      </c>
      <c r="B218" s="299">
        <f>IF(A218="","",PRIX!B219*'QUANTITE DETENUES'!B219)</f>
        <v>29197.94325</v>
      </c>
      <c r="C218" s="299">
        <f>IF(B218="","",PRIX!C219*'QUANTITE DETENUES'!C219)</f>
        <v>7358.600237</v>
      </c>
      <c r="D218" s="299">
        <f>IF(C218="","",PRIX!D219*'QUANTITE DETENUES'!D219)</f>
        <v>0.002293944136</v>
      </c>
      <c r="E218" s="299">
        <f>IF(D218="","",PRIX!E219*'QUANTITE DETENUES'!E219)</f>
        <v>2042.618233</v>
      </c>
      <c r="F218" s="299">
        <f>IF(E218="","",PRIX!F219*'QUANTITE DETENUES'!F219)</f>
        <v>1574.865203</v>
      </c>
      <c r="G218" s="299">
        <f>IF(F218="","",PRIX!G219*'QUANTITE DETENUES'!G219)</f>
        <v>0</v>
      </c>
      <c r="H218" s="299">
        <f>IF(G218="","",PRIX!H219*'QUANTITE DETENUES'!H219)</f>
        <v>1207.06798</v>
      </c>
      <c r="I218" s="299">
        <f>IF(H218="","",PRIX!I219*'QUANTITE DETENUES'!I219)</f>
        <v>763.9299</v>
      </c>
      <c r="J218" s="299">
        <f>IF(I218="","",PRIX!J219*'QUANTITE DETENUES'!J219)</f>
        <v>-0.0000001750733078</v>
      </c>
      <c r="K218" s="299">
        <f>IF(J218="","",PRIX!K219*'QUANTITE DETENUES'!K219)</f>
        <v>0</v>
      </c>
      <c r="L218" s="299">
        <f>IF(K218="","",PRIX!L219*'QUANTITE DETENUES'!L219)</f>
        <v>0</v>
      </c>
      <c r="M218" s="299">
        <f>IF(L218="","",PRIX!M219*'QUANTITE DETENUES'!M219)</f>
        <v>1472.697333</v>
      </c>
      <c r="N218" s="299">
        <f>IF(M218="","",PRIX!N219*'QUANTITE DETENUES'!N219)</f>
        <v>0</v>
      </c>
      <c r="O218" s="299">
        <f>IF(N218="","",PRIX!O219*'QUANTITE DETENUES'!O219)</f>
        <v>0.004164680667</v>
      </c>
      <c r="P218" s="299">
        <f>IF(O218="","",PRIX!P219*'QUANTITE DETENUES'!P219)</f>
        <v>0.00002226831683</v>
      </c>
      <c r="Q218" s="299">
        <f>IF(P218="","",PRIX!Q219*'QUANTITE DETENUES'!Q219)</f>
        <v>0.0000001919999886</v>
      </c>
      <c r="R218" s="299">
        <f>IF(Q218="","",PRIX!R219*'QUANTITE DETENUES'!R219)</f>
        <v>0</v>
      </c>
      <c r="S218" s="300">
        <f>IF(R218="","",PRIX!S219*'QUANTITE DETENUES'!S219)</f>
        <v>0</v>
      </c>
      <c r="T218" s="14">
        <f>IF(A218="","",ARBITRAGES!M219)</f>
        <v>7339.781256</v>
      </c>
      <c r="U218" s="301">
        <f t="shared" si="1"/>
        <v>50957.50987</v>
      </c>
      <c r="V218" s="302">
        <f t="shared" si="2"/>
        <v>0.8559627173</v>
      </c>
      <c r="W218" s="288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220"/>
      <c r="AH218" s="308"/>
      <c r="AI218" s="220"/>
      <c r="AJ218" s="220"/>
      <c r="AK218" s="220"/>
      <c r="AL218" s="220"/>
      <c r="AM218" s="220"/>
      <c r="AN218" s="220"/>
      <c r="AO218" s="220"/>
      <c r="AP218" s="220"/>
      <c r="AQ218" s="220"/>
      <c r="AR218" s="220"/>
      <c r="AS218" s="220"/>
      <c r="AT218" s="220"/>
      <c r="AU218" s="220"/>
      <c r="AV218" s="220"/>
      <c r="AW218" s="220"/>
      <c r="AX218" s="220"/>
      <c r="AY218" s="220"/>
      <c r="AZ218" s="220"/>
      <c r="BA218" s="220"/>
    </row>
    <row r="219">
      <c r="A219" s="290">
        <f>PRIX!A220</f>
        <v>45988</v>
      </c>
      <c r="B219" s="299">
        <f>IF(A219="","",PRIX!B220*'QUANTITE DETENUES'!B220)</f>
        <v>28920.44325</v>
      </c>
      <c r="C219" s="299">
        <f>IF(B219="","",PRIX!C220*'QUANTITE DETENUES'!C220)</f>
        <v>7358.600237</v>
      </c>
      <c r="D219" s="299">
        <f>IF(C219="","",PRIX!D220*'QUANTITE DETENUES'!D220)</f>
        <v>0.002293944136</v>
      </c>
      <c r="E219" s="299">
        <f>IF(D219="","",PRIX!E220*'QUANTITE DETENUES'!E220)</f>
        <v>2042.618233</v>
      </c>
      <c r="F219" s="299">
        <f>IF(E219="","",PRIX!F220*'QUANTITE DETENUES'!F220)</f>
        <v>1574.865203</v>
      </c>
      <c r="G219" s="299">
        <f>IF(F219="","",PRIX!G220*'QUANTITE DETENUES'!G220)</f>
        <v>0</v>
      </c>
      <c r="H219" s="299">
        <f>IF(G219="","",PRIX!H220*'QUANTITE DETENUES'!H220)</f>
        <v>1207.06798</v>
      </c>
      <c r="I219" s="299">
        <f>IF(H219="","",PRIX!I220*'QUANTITE DETENUES'!I220)</f>
        <v>763.9299</v>
      </c>
      <c r="J219" s="299">
        <f>IF(I219="","",PRIX!J220*'QUANTITE DETENUES'!J220)</f>
        <v>-0.0000001750733078</v>
      </c>
      <c r="K219" s="299">
        <f>IF(J219="","",PRIX!K220*'QUANTITE DETENUES'!K220)</f>
        <v>0</v>
      </c>
      <c r="L219" s="299">
        <f>IF(K219="","",PRIX!L220*'QUANTITE DETENUES'!L220)</f>
        <v>0</v>
      </c>
      <c r="M219" s="299">
        <f>IF(L219="","",PRIX!M220*'QUANTITE DETENUES'!M220)</f>
        <v>1472.697333</v>
      </c>
      <c r="N219" s="299">
        <f>IF(M219="","",PRIX!N220*'QUANTITE DETENUES'!N220)</f>
        <v>0</v>
      </c>
      <c r="O219" s="299">
        <f>IF(N219="","",PRIX!O220*'QUANTITE DETENUES'!O220)</f>
        <v>0.004164680667</v>
      </c>
      <c r="P219" s="299">
        <f>IF(O219="","",PRIX!P220*'QUANTITE DETENUES'!P220)</f>
        <v>0.00002226831683</v>
      </c>
      <c r="Q219" s="299">
        <f>IF(P219="","",PRIX!Q220*'QUANTITE DETENUES'!Q220)</f>
        <v>0.0000001919999886</v>
      </c>
      <c r="R219" s="299">
        <f>IF(Q219="","",PRIX!R220*'QUANTITE DETENUES'!R220)</f>
        <v>0</v>
      </c>
      <c r="S219" s="300">
        <f>IF(R219="","",PRIX!S220*'QUANTITE DETENUES'!S220)</f>
        <v>0</v>
      </c>
      <c r="T219" s="14">
        <f>IF(A219="","",ARBITRAGES!M220)</f>
        <v>7615.781256</v>
      </c>
      <c r="U219" s="301">
        <f t="shared" si="1"/>
        <v>50956.00987</v>
      </c>
      <c r="V219" s="302">
        <f t="shared" si="2"/>
        <v>0.8505420406</v>
      </c>
      <c r="W219" s="288"/>
      <c r="X219" s="220"/>
      <c r="Y219" s="220"/>
      <c r="Z219" s="220"/>
      <c r="AA219" s="220"/>
      <c r="AB219" s="220"/>
      <c r="AC219" s="220"/>
      <c r="AD219" s="220"/>
      <c r="AE219" s="220"/>
      <c r="AF219" s="220"/>
      <c r="AG219" s="220"/>
      <c r="AH219" s="308"/>
      <c r="AI219" s="220"/>
      <c r="AJ219" s="220"/>
      <c r="AK219" s="220"/>
      <c r="AL219" s="220"/>
      <c r="AM219" s="220"/>
      <c r="AN219" s="220"/>
      <c r="AO219" s="220"/>
      <c r="AP219" s="220"/>
      <c r="AQ219" s="220"/>
      <c r="AR219" s="220"/>
      <c r="AS219" s="220"/>
      <c r="AT219" s="220"/>
      <c r="AU219" s="220"/>
      <c r="AV219" s="220"/>
      <c r="AW219" s="220"/>
      <c r="AX219" s="220"/>
      <c r="AY219" s="220"/>
      <c r="AZ219" s="220"/>
      <c r="BA219" s="220"/>
    </row>
    <row r="220">
      <c r="A220" s="290">
        <f>PRIX!A221</f>
        <v>45989</v>
      </c>
      <c r="B220" s="299">
        <f>IF(A220="","",PRIX!B221*'QUANTITE DETENUES'!B221)</f>
        <v>28920.44325</v>
      </c>
      <c r="C220" s="299">
        <f>IF(B220="","",PRIX!C221*'QUANTITE DETENUES'!C221)</f>
        <v>7358.600237</v>
      </c>
      <c r="D220" s="299">
        <f>IF(C220="","",PRIX!D221*'QUANTITE DETENUES'!D221)</f>
        <v>0.002293944136</v>
      </c>
      <c r="E220" s="299">
        <f>IF(D220="","",PRIX!E221*'QUANTITE DETENUES'!E221)</f>
        <v>1680.118233</v>
      </c>
      <c r="F220" s="299">
        <f>IF(E220="","",PRIX!F221*'QUANTITE DETENUES'!F221)</f>
        <v>1574.865203</v>
      </c>
      <c r="G220" s="299">
        <f>IF(F220="","",PRIX!G221*'QUANTITE DETENUES'!G221)</f>
        <v>0</v>
      </c>
      <c r="H220" s="299">
        <f>IF(G220="","",PRIX!H221*'QUANTITE DETENUES'!H221)</f>
        <v>1207.06798</v>
      </c>
      <c r="I220" s="299">
        <f>IF(H220="","",PRIX!I221*'QUANTITE DETENUES'!I221)</f>
        <v>763.9299</v>
      </c>
      <c r="J220" s="299">
        <f>IF(I220="","",PRIX!J221*'QUANTITE DETENUES'!J221)</f>
        <v>-0.0000001750733078</v>
      </c>
      <c r="K220" s="299">
        <f>IF(J220="","",PRIX!K221*'QUANTITE DETENUES'!K221)</f>
        <v>0</v>
      </c>
      <c r="L220" s="299">
        <f>IF(K220="","",PRIX!L221*'QUANTITE DETENUES'!L221)</f>
        <v>0</v>
      </c>
      <c r="M220" s="299">
        <f>IF(L220="","",PRIX!M221*'QUANTITE DETENUES'!M221)</f>
        <v>1472.697333</v>
      </c>
      <c r="N220" s="299">
        <f>IF(M220="","",PRIX!N221*'QUANTITE DETENUES'!N221)</f>
        <v>0</v>
      </c>
      <c r="O220" s="299">
        <f>IF(N220="","",PRIX!O221*'QUANTITE DETENUES'!O221)</f>
        <v>0.004164680667</v>
      </c>
      <c r="P220" s="299">
        <f>IF(O220="","",PRIX!P221*'QUANTITE DETENUES'!P221)</f>
        <v>0.00002226831683</v>
      </c>
      <c r="Q220" s="299">
        <f>IF(P220="","",PRIX!Q221*'QUANTITE DETENUES'!Q221)</f>
        <v>0.0000001919999886</v>
      </c>
      <c r="R220" s="299">
        <f>IF(Q220="","",PRIX!R221*'QUANTITE DETENUES'!R221)</f>
        <v>0</v>
      </c>
      <c r="S220" s="300">
        <f>IF(R220="","",PRIX!S221*'QUANTITE DETENUES'!S221)</f>
        <v>0</v>
      </c>
      <c r="T220" s="14">
        <f>IF(A220="","",ARBITRAGES!M221)</f>
        <v>7974.531256</v>
      </c>
      <c r="U220" s="301">
        <f t="shared" si="1"/>
        <v>50952.25987</v>
      </c>
      <c r="V220" s="302">
        <f t="shared" si="2"/>
        <v>0.8434901361</v>
      </c>
      <c r="W220" s="288"/>
      <c r="X220" s="220"/>
      <c r="Y220" s="220"/>
      <c r="Z220" s="220"/>
      <c r="AA220" s="220"/>
      <c r="AB220" s="220"/>
      <c r="AC220" s="220"/>
      <c r="AD220" s="220"/>
      <c r="AE220" s="220"/>
      <c r="AF220" s="220"/>
      <c r="AG220" s="220"/>
      <c r="AH220" s="308"/>
      <c r="AI220" s="220"/>
      <c r="AJ220" s="220"/>
      <c r="AK220" s="220"/>
      <c r="AL220" s="220"/>
      <c r="AM220" s="220"/>
      <c r="AN220" s="220"/>
      <c r="AO220" s="220"/>
      <c r="AP220" s="220"/>
      <c r="AQ220" s="220"/>
      <c r="AR220" s="220"/>
      <c r="AS220" s="220"/>
      <c r="AT220" s="220"/>
      <c r="AU220" s="220"/>
      <c r="AV220" s="220"/>
      <c r="AW220" s="220"/>
      <c r="AX220" s="220"/>
      <c r="AY220" s="220"/>
      <c r="AZ220" s="220"/>
      <c r="BA220" s="220"/>
    </row>
    <row r="221">
      <c r="A221" s="290">
        <f>PRIX!A222</f>
        <v>45991</v>
      </c>
      <c r="B221" s="299">
        <f>IF(A221="","",PRIX!B222*'QUANTITE DETENUES'!B222)</f>
        <v>27200.84933</v>
      </c>
      <c r="C221" s="299">
        <f>IF(B221="","",PRIX!C222*'QUANTITE DETENUES'!C222)</f>
        <v>6820.166073</v>
      </c>
      <c r="D221" s="299">
        <f>IF(C221="","",PRIX!D222*'QUANTITE DETENUES'!D222)</f>
        <v>0.00208540376</v>
      </c>
      <c r="E221" s="299">
        <f>IF(D221="","",PRIX!E222*'QUANTITE DETENUES'!E222)</f>
        <v>1506.312898</v>
      </c>
      <c r="F221" s="299">
        <f>IF(E221="","",PRIX!F222*'QUANTITE DETENUES'!F222)</f>
        <v>1374.88232</v>
      </c>
      <c r="G221" s="299">
        <f>IF(F221="","",PRIX!G222*'QUANTITE DETENUES'!G222)</f>
        <v>0</v>
      </c>
      <c r="H221" s="299">
        <f>IF(G221="","",PRIX!H222*'QUANTITE DETENUES'!H222)</f>
        <v>1098.97234</v>
      </c>
      <c r="I221" s="299">
        <f>IF(H221="","",PRIX!I222*'QUANTITE DETENUES'!I222)</f>
        <v>852.2920937</v>
      </c>
      <c r="J221" s="299">
        <f>IF(I221="","",PRIX!J222*'QUANTITE DETENUES'!J222)</f>
        <v>-0.000000155620718</v>
      </c>
      <c r="K221" s="299">
        <f>IF(J221="","",PRIX!K222*'QUANTITE DETENUES'!K222)</f>
        <v>0</v>
      </c>
      <c r="L221" s="299">
        <f>IF(K221="","",PRIX!L222*'QUANTITE DETENUES'!L222)</f>
        <v>0</v>
      </c>
      <c r="M221" s="299">
        <f>IF(L221="","",PRIX!M222*'QUANTITE DETENUES'!M222)</f>
        <v>1317.676561</v>
      </c>
      <c r="N221" s="299">
        <f>IF(M221="","",PRIX!N222*'QUANTITE DETENUES'!N222)</f>
        <v>0</v>
      </c>
      <c r="O221" s="299">
        <f>IF(N221="","",PRIX!O222*'QUANTITE DETENUES'!O222)</f>
        <v>0.003945486948</v>
      </c>
      <c r="P221" s="299">
        <f>IF(O221="","",PRIX!P222*'QUANTITE DETENUES'!P222)</f>
        <v>0.00001850873087</v>
      </c>
      <c r="Q221" s="299">
        <f>IF(P221="","",PRIX!Q222*'QUANTITE DETENUES'!Q222)</f>
        <v>0.0000001639999902</v>
      </c>
      <c r="R221" s="299">
        <f>IF(Q221="","",PRIX!R222*'QUANTITE DETENUES'!R222)</f>
        <v>0</v>
      </c>
      <c r="S221" s="300">
        <f>IF(R221="","",PRIX!S222*'QUANTITE DETENUES'!S222)</f>
        <v>0</v>
      </c>
      <c r="T221" s="14">
        <f>IF(A221="","",ARBITRAGES!M222)</f>
        <v>7788.661256</v>
      </c>
      <c r="U221" s="301">
        <f t="shared" si="1"/>
        <v>47959.81892</v>
      </c>
      <c r="V221" s="302">
        <f t="shared" si="2"/>
        <v>0.8376002781</v>
      </c>
      <c r="W221" s="288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308"/>
      <c r="AI221" s="220"/>
      <c r="AJ221" s="220"/>
      <c r="AK221" s="220"/>
      <c r="AL221" s="220"/>
      <c r="AM221" s="220"/>
      <c r="AN221" s="220"/>
      <c r="AO221" s="220"/>
      <c r="AP221" s="220"/>
      <c r="AQ221" s="220"/>
      <c r="AR221" s="220"/>
      <c r="AS221" s="220"/>
      <c r="AT221" s="220"/>
      <c r="AU221" s="220"/>
      <c r="AV221" s="220"/>
      <c r="AW221" s="220"/>
      <c r="AX221" s="220"/>
      <c r="AY221" s="220"/>
      <c r="AZ221" s="220"/>
      <c r="BA221" s="220"/>
    </row>
    <row r="222">
      <c r="A222" s="290">
        <f>PRIX!A223</f>
        <v>45992</v>
      </c>
      <c r="B222" s="299">
        <f>IF(A222="","",PRIX!B223*'QUANTITE DETENUES'!B223)</f>
        <v>27200.84933</v>
      </c>
      <c r="C222" s="299">
        <f>IF(B222="","",PRIX!C223*'QUANTITE DETENUES'!C223)</f>
        <v>6820.166073</v>
      </c>
      <c r="D222" s="299">
        <f>IF(C222="","",PRIX!D223*'QUANTITE DETENUES'!D223)</f>
        <v>0.00208540376</v>
      </c>
      <c r="E222" s="299">
        <f>IF(D222="","",PRIX!E223*'QUANTITE DETENUES'!E223)</f>
        <v>1506.312898</v>
      </c>
      <c r="F222" s="299">
        <f>IF(E222="","",PRIX!F223*'QUANTITE DETENUES'!F223)</f>
        <v>1374.88232</v>
      </c>
      <c r="G222" s="299">
        <f>IF(F222="","",PRIX!G223*'QUANTITE DETENUES'!G223)</f>
        <v>0</v>
      </c>
      <c r="H222" s="299">
        <f>IF(G222="","",PRIX!H223*'QUANTITE DETENUES'!H223)</f>
        <v>1098.97234</v>
      </c>
      <c r="I222" s="299">
        <f>IF(H222="","",PRIX!I223*'QUANTITE DETENUES'!I223)</f>
        <v>852.2920937</v>
      </c>
      <c r="J222" s="299">
        <f>IF(I222="","",PRIX!J223*'QUANTITE DETENUES'!J223)</f>
        <v>-0.000000155620718</v>
      </c>
      <c r="K222" s="299">
        <f>IF(J222="","",PRIX!K223*'QUANTITE DETENUES'!K223)</f>
        <v>0</v>
      </c>
      <c r="L222" s="299">
        <f>IF(K222="","",PRIX!L223*'QUANTITE DETENUES'!L223)</f>
        <v>0</v>
      </c>
      <c r="M222" s="299">
        <f>IF(L222="","",PRIX!M223*'QUANTITE DETENUES'!M223)</f>
        <v>850.1765614</v>
      </c>
      <c r="N222" s="299">
        <f>IF(M222="","",PRIX!N223*'QUANTITE DETENUES'!N223)</f>
        <v>0</v>
      </c>
      <c r="O222" s="299">
        <f>IF(N222="","",PRIX!O223*'QUANTITE DETENUES'!O223)</f>
        <v>0.003945486948</v>
      </c>
      <c r="P222" s="299">
        <f>IF(O222="","",PRIX!P223*'QUANTITE DETENUES'!P223)</f>
        <v>0.00001850873087</v>
      </c>
      <c r="Q222" s="299">
        <f>IF(P222="","",PRIX!Q223*'QUANTITE DETENUES'!Q223)</f>
        <v>0.0000001639999902</v>
      </c>
      <c r="R222" s="299">
        <f>IF(Q222="","",PRIX!R223*'QUANTITE DETENUES'!R223)</f>
        <v>0</v>
      </c>
      <c r="S222" s="300">
        <f>IF(R222="","",PRIX!S223*'QUANTITE DETENUES'!S223)</f>
        <v>0</v>
      </c>
      <c r="T222" s="14">
        <f>IF(A222="","",ARBITRAGES!M223)</f>
        <v>8262.661256</v>
      </c>
      <c r="U222" s="301">
        <f t="shared" si="1"/>
        <v>47966.31892</v>
      </c>
      <c r="V222" s="302">
        <f t="shared" si="2"/>
        <v>0.8277403511</v>
      </c>
      <c r="W222" s="288"/>
      <c r="X222" s="220"/>
      <c r="Y222" s="220"/>
      <c r="Z222" s="220"/>
      <c r="AA222" s="220"/>
      <c r="AB222" s="220"/>
      <c r="AC222" s="220"/>
      <c r="AD222" s="220"/>
      <c r="AE222" s="220"/>
      <c r="AF222" s="220"/>
      <c r="AG222" s="220"/>
      <c r="AH222" s="308"/>
      <c r="AI222" s="220"/>
      <c r="AJ222" s="220"/>
      <c r="AK222" s="220"/>
      <c r="AL222" s="220"/>
      <c r="AM222" s="220"/>
      <c r="AN222" s="220"/>
      <c r="AO222" s="220"/>
      <c r="AP222" s="220"/>
      <c r="AQ222" s="220"/>
      <c r="AR222" s="220"/>
      <c r="AS222" s="220"/>
      <c r="AT222" s="220"/>
      <c r="AU222" s="220"/>
      <c r="AV222" s="220"/>
      <c r="AW222" s="220"/>
      <c r="AX222" s="220"/>
      <c r="AY222" s="220"/>
      <c r="AZ222" s="220"/>
      <c r="BA222" s="220"/>
    </row>
    <row r="223">
      <c r="A223" s="290">
        <f>PRIX!A224</f>
        <v>45992</v>
      </c>
      <c r="B223" s="299">
        <f>IF(A223="","",PRIX!B224*'QUANTITE DETENUES'!B224)</f>
        <v>27200.84933</v>
      </c>
      <c r="C223" s="299">
        <f>IF(B223="","",PRIX!C224*'QUANTITE DETENUES'!C224)</f>
        <v>6820.166073</v>
      </c>
      <c r="D223" s="299">
        <f>IF(C223="","",PRIX!D224*'QUANTITE DETENUES'!D224)</f>
        <v>0.00208540376</v>
      </c>
      <c r="E223" s="299">
        <f>IF(D223="","",PRIX!E224*'QUANTITE DETENUES'!E224)</f>
        <v>1506.312898</v>
      </c>
      <c r="F223" s="299">
        <f>IF(E223="","",PRIX!F224*'QUANTITE DETENUES'!F224)</f>
        <v>1374.88232</v>
      </c>
      <c r="G223" s="299">
        <f>IF(F223="","",PRIX!G224*'QUANTITE DETENUES'!G224)</f>
        <v>0</v>
      </c>
      <c r="H223" s="299">
        <f>IF(G223="","",PRIX!H224*'QUANTITE DETENUES'!H224)</f>
        <v>488.97234</v>
      </c>
      <c r="I223" s="299">
        <f>IF(H223="","",PRIX!I224*'QUANTITE DETENUES'!I224)</f>
        <v>852.2920937</v>
      </c>
      <c r="J223" s="299">
        <f>IF(I223="","",PRIX!J224*'QUANTITE DETENUES'!J224)</f>
        <v>-0.000000155620718</v>
      </c>
      <c r="K223" s="299">
        <f>IF(J223="","",PRIX!K224*'QUANTITE DETENUES'!K224)</f>
        <v>0</v>
      </c>
      <c r="L223" s="299">
        <f>IF(K223="","",PRIX!L224*'QUANTITE DETENUES'!L224)</f>
        <v>0</v>
      </c>
      <c r="M223" s="299">
        <f>IF(L223="","",PRIX!M224*'QUANTITE DETENUES'!M224)</f>
        <v>850.1765614</v>
      </c>
      <c r="N223" s="299">
        <f>IF(M223="","",PRIX!N224*'QUANTITE DETENUES'!N224)</f>
        <v>0</v>
      </c>
      <c r="O223" s="299">
        <f>IF(N223="","",PRIX!O224*'QUANTITE DETENUES'!O224)</f>
        <v>0.003945486948</v>
      </c>
      <c r="P223" s="299">
        <f>IF(O223="","",PRIX!P224*'QUANTITE DETENUES'!P224)</f>
        <v>0.00001850873087</v>
      </c>
      <c r="Q223" s="299">
        <f>IF(P223="","",PRIX!Q224*'QUANTITE DETENUES'!Q224)</f>
        <v>0.0000001639999902</v>
      </c>
      <c r="R223" s="299">
        <f>IF(Q223="","",PRIX!R224*'QUANTITE DETENUES'!R224)</f>
        <v>0</v>
      </c>
      <c r="S223" s="300">
        <f>IF(R223="","",PRIX!S224*'QUANTITE DETENUES'!S224)</f>
        <v>0</v>
      </c>
      <c r="T223" s="14">
        <f>IF(A223="","",ARBITRAGES!M224)</f>
        <v>8862.661256</v>
      </c>
      <c r="U223" s="301">
        <f t="shared" si="1"/>
        <v>47956.31892</v>
      </c>
      <c r="V223" s="302">
        <f t="shared" si="2"/>
        <v>0.8151930453</v>
      </c>
      <c r="W223" s="288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220"/>
      <c r="AH223" s="308"/>
      <c r="AI223" s="220"/>
      <c r="AJ223" s="220"/>
      <c r="AK223" s="220"/>
      <c r="AL223" s="220"/>
      <c r="AM223" s="220"/>
      <c r="AN223" s="220"/>
      <c r="AO223" s="220"/>
      <c r="AP223" s="220"/>
      <c r="AQ223" s="220"/>
      <c r="AR223" s="220"/>
      <c r="AS223" s="220"/>
      <c r="AT223" s="220"/>
      <c r="AU223" s="220"/>
      <c r="AV223" s="220"/>
      <c r="AW223" s="220"/>
      <c r="AX223" s="220"/>
      <c r="AY223" s="220"/>
      <c r="AZ223" s="220"/>
      <c r="BA223" s="220"/>
    </row>
    <row r="224">
      <c r="A224" s="290">
        <f>PRIX!A225</f>
        <v>45992</v>
      </c>
      <c r="B224" s="299">
        <f>IF(A224="","",PRIX!B225*'QUANTITE DETENUES'!B225)</f>
        <v>27200.84933</v>
      </c>
      <c r="C224" s="299">
        <f>IF(B224="","",PRIX!C225*'QUANTITE DETENUES'!C225)</f>
        <v>6820.166073</v>
      </c>
      <c r="D224" s="299">
        <f>IF(C224="","",PRIX!D225*'QUANTITE DETENUES'!D225)</f>
        <v>0.00208540376</v>
      </c>
      <c r="E224" s="299">
        <f>IF(D224="","",PRIX!E225*'QUANTITE DETENUES'!E225)</f>
        <v>1506.312898</v>
      </c>
      <c r="F224" s="299">
        <f>IF(E224="","",PRIX!F225*'QUANTITE DETENUES'!F225)</f>
        <v>1374.88232</v>
      </c>
      <c r="G224" s="299">
        <f>IF(F224="","",PRIX!G225*'QUANTITE DETENUES'!G225)</f>
        <v>0</v>
      </c>
      <c r="H224" s="299">
        <f>IF(G224="","",PRIX!H225*'QUANTITE DETENUES'!H225)</f>
        <v>0.3234496965</v>
      </c>
      <c r="I224" s="299">
        <f>IF(H224="","",PRIX!I225*'QUANTITE DETENUES'!I225)</f>
        <v>852.2920937</v>
      </c>
      <c r="J224" s="299">
        <f>IF(I224="","",PRIX!J225*'QUANTITE DETENUES'!J225)</f>
        <v>-0.000000155620718</v>
      </c>
      <c r="K224" s="299">
        <f>IF(J224="","",PRIX!K225*'QUANTITE DETENUES'!K225)</f>
        <v>0</v>
      </c>
      <c r="L224" s="299">
        <f>IF(K224="","",PRIX!L225*'QUANTITE DETENUES'!L225)</f>
        <v>0</v>
      </c>
      <c r="M224" s="299">
        <f>IF(L224="","",PRIX!M225*'QUANTITE DETENUES'!M225)</f>
        <v>850.1765614</v>
      </c>
      <c r="N224" s="299">
        <f>IF(M224="","",PRIX!N225*'QUANTITE DETENUES'!N225)</f>
        <v>0</v>
      </c>
      <c r="O224" s="299">
        <f>IF(N224="","",PRIX!O225*'QUANTITE DETENUES'!O225)</f>
        <v>0.003945486948</v>
      </c>
      <c r="P224" s="299">
        <f>IF(O224="","",PRIX!P225*'QUANTITE DETENUES'!P225)</f>
        <v>0.00001850873087</v>
      </c>
      <c r="Q224" s="299">
        <f>IF(P224="","",PRIX!Q225*'QUANTITE DETENUES'!Q225)</f>
        <v>0.0000001639999902</v>
      </c>
      <c r="R224" s="299">
        <f>IF(Q224="","",PRIX!R225*'QUANTITE DETENUES'!R225)</f>
        <v>0</v>
      </c>
      <c r="S224" s="300">
        <f>IF(R224="","",PRIX!S225*'QUANTITE DETENUES'!S225)</f>
        <v>0</v>
      </c>
      <c r="T224" s="14">
        <f>IF(A224="","",ARBITRAGES!M225)</f>
        <v>9353.312806</v>
      </c>
      <c r="U224" s="301">
        <f t="shared" si="1"/>
        <v>47958.32158</v>
      </c>
      <c r="V224" s="302">
        <f t="shared" si="2"/>
        <v>0.8049699719</v>
      </c>
      <c r="W224" s="288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308"/>
      <c r="AI224" s="220"/>
      <c r="AJ224" s="220"/>
      <c r="AK224" s="220"/>
      <c r="AL224" s="220"/>
      <c r="AM224" s="220"/>
      <c r="AN224" s="220"/>
      <c r="AO224" s="220"/>
      <c r="AP224" s="220"/>
      <c r="AQ224" s="220"/>
      <c r="AR224" s="220"/>
      <c r="AS224" s="220"/>
      <c r="AT224" s="220"/>
      <c r="AU224" s="220"/>
      <c r="AV224" s="220"/>
      <c r="AW224" s="220"/>
      <c r="AX224" s="220"/>
      <c r="AY224" s="220"/>
      <c r="AZ224" s="220"/>
      <c r="BA224" s="220"/>
    </row>
    <row r="225">
      <c r="A225" s="290">
        <f>PRIX!A226</f>
        <v>45992</v>
      </c>
      <c r="B225" s="299">
        <f>IF(A225="","",PRIX!B226*'QUANTITE DETENUES'!B226)</f>
        <v>28138.80965</v>
      </c>
      <c r="C225" s="299">
        <f>IF(B225="","",PRIX!C226*'QUANTITE DETENUES'!C226)</f>
        <v>7011.609332</v>
      </c>
      <c r="D225" s="299">
        <f>IF(C225="","",PRIX!D226*'QUANTITE DETENUES'!D226)</f>
        <v>0.002161868565</v>
      </c>
      <c r="E225" s="299">
        <f>IF(D225="","",PRIX!E226*'QUANTITE DETENUES'!E226)</f>
        <v>1349.433292</v>
      </c>
      <c r="F225" s="299">
        <f>IF(E225="","",PRIX!F226*'QUANTITE DETENUES'!F226)</f>
        <v>1399.880181</v>
      </c>
      <c r="G225" s="299">
        <f>IF(F225="","",PRIX!G226*'QUANTITE DETENUES'!G226)</f>
        <v>0</v>
      </c>
      <c r="H225" s="299">
        <f>IF(G225="","",PRIX!H226*'QUANTITE DETENUES'!H226)</f>
        <v>0.3420082856</v>
      </c>
      <c r="I225" s="299">
        <f>IF(H225="","",PRIX!I226*'QUANTITE DETENUES'!I226)</f>
        <v>885.457373</v>
      </c>
      <c r="J225" s="299">
        <f>IF(I225="","",PRIX!J226*'QUANTITE DETENUES'!J226)</f>
        <v>-0.0000001565933475</v>
      </c>
      <c r="K225" s="299">
        <f>IF(J225="","",PRIX!K226*'QUANTITE DETENUES'!K226)</f>
        <v>0</v>
      </c>
      <c r="L225" s="299">
        <f>IF(K225="","",PRIX!L226*'QUANTITE DETENUES'!L226)</f>
        <v>0</v>
      </c>
      <c r="M225" s="299">
        <f>IF(L225="","",PRIX!M226*'QUANTITE DETENUES'!M226)</f>
        <v>900.1869474</v>
      </c>
      <c r="N225" s="299">
        <f>IF(M225="","",PRIX!N226*'QUANTITE DETENUES'!N226)</f>
        <v>0</v>
      </c>
      <c r="O225" s="299">
        <f>IF(N225="","",PRIX!O226*'QUANTITE DETENUES'!O226)</f>
        <v>0.003813970716</v>
      </c>
      <c r="P225" s="299">
        <f>IF(O225="","",PRIX!P226*'QUANTITE DETENUES'!P226)</f>
        <v>0.00001966552655</v>
      </c>
      <c r="Q225" s="299">
        <f>IF(P225="","",PRIX!Q226*'QUANTITE DETENUES'!Q226)</f>
        <v>0.00000016799999</v>
      </c>
      <c r="R225" s="299">
        <f>IF(Q225="","",PRIX!R226*'QUANTITE DETENUES'!R226)</f>
        <v>0</v>
      </c>
      <c r="S225" s="300">
        <f>IF(R225="","",PRIX!S226*'QUANTITE DETENUES'!S226)</f>
        <v>0</v>
      </c>
      <c r="T225" s="14">
        <f>IF(A225="","",ARBITRAGES!M226)</f>
        <v>9560.301423</v>
      </c>
      <c r="U225" s="301">
        <f t="shared" si="1"/>
        <v>49246.0262</v>
      </c>
      <c r="V225" s="302">
        <f t="shared" si="2"/>
        <v>0.8058665407</v>
      </c>
      <c r="W225" s="288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220"/>
      <c r="AH225" s="308"/>
      <c r="AI225" s="220"/>
      <c r="AJ225" s="220"/>
      <c r="AK225" s="220"/>
      <c r="AL225" s="220"/>
      <c r="AM225" s="220"/>
      <c r="AN225" s="220"/>
      <c r="AO225" s="220"/>
      <c r="AP225" s="220"/>
      <c r="AQ225" s="220"/>
      <c r="AR225" s="220"/>
      <c r="AS225" s="220"/>
      <c r="AT225" s="220"/>
      <c r="AU225" s="220"/>
      <c r="AV225" s="220"/>
      <c r="AW225" s="220"/>
      <c r="AX225" s="220"/>
      <c r="AY225" s="220"/>
      <c r="AZ225" s="220"/>
      <c r="BA225" s="220"/>
    </row>
    <row r="226">
      <c r="A226" s="290">
        <f>PRIX!A227</f>
        <v>45993</v>
      </c>
      <c r="B226" s="299">
        <f>IF(A226="","",PRIX!B227*'QUANTITE DETENUES'!B227)</f>
        <v>28138.80965</v>
      </c>
      <c r="C226" s="299">
        <f>IF(B226="","",PRIX!C227*'QUANTITE DETENUES'!C227)</f>
        <v>7011.609332</v>
      </c>
      <c r="D226" s="299">
        <f>IF(C226="","",PRIX!D227*'QUANTITE DETENUES'!D227)</f>
        <v>0.002161868565</v>
      </c>
      <c r="E226" s="299">
        <f>IF(D226="","",PRIX!E227*'QUANTITE DETENUES'!E227)</f>
        <v>1079.433292</v>
      </c>
      <c r="F226" s="299">
        <f>IF(E226="","",PRIX!F227*'QUANTITE DETENUES'!F227)</f>
        <v>1399.880181</v>
      </c>
      <c r="G226" s="299">
        <f>IF(F226="","",PRIX!G227*'QUANTITE DETENUES'!G227)</f>
        <v>0</v>
      </c>
      <c r="H226" s="299">
        <f>IF(G226="","",PRIX!H227*'QUANTITE DETENUES'!H227)</f>
        <v>0.3420082856</v>
      </c>
      <c r="I226" s="299">
        <f>IF(H226="","",PRIX!I227*'QUANTITE DETENUES'!I227)</f>
        <v>885.457373</v>
      </c>
      <c r="J226" s="299">
        <f>IF(I226="","",PRIX!J227*'QUANTITE DETENUES'!J227)</f>
        <v>-0.0000001565933475</v>
      </c>
      <c r="K226" s="299">
        <f>IF(J226="","",PRIX!K227*'QUANTITE DETENUES'!K227)</f>
        <v>0</v>
      </c>
      <c r="L226" s="299">
        <f>IF(K226="","",PRIX!L227*'QUANTITE DETENUES'!L227)</f>
        <v>0</v>
      </c>
      <c r="M226" s="299">
        <f>IF(L226="","",PRIX!M227*'QUANTITE DETENUES'!M227)</f>
        <v>900.1869474</v>
      </c>
      <c r="N226" s="299">
        <f>IF(M226="","",PRIX!N227*'QUANTITE DETENUES'!N227)</f>
        <v>0</v>
      </c>
      <c r="O226" s="299">
        <f>IF(N226="","",PRIX!O227*'QUANTITE DETENUES'!O227)</f>
        <v>0.003813970716</v>
      </c>
      <c r="P226" s="299">
        <f>IF(O226="","",PRIX!P227*'QUANTITE DETENUES'!P227)</f>
        <v>0.00001966552655</v>
      </c>
      <c r="Q226" s="299">
        <f>IF(P226="","",PRIX!Q227*'QUANTITE DETENUES'!Q227)</f>
        <v>0.00000016799999</v>
      </c>
      <c r="R226" s="299">
        <f>IF(Q226="","",PRIX!R227*'QUANTITE DETENUES'!R227)</f>
        <v>0</v>
      </c>
      <c r="S226" s="300">
        <f>IF(R226="","",PRIX!S227*'QUANTITE DETENUES'!S227)</f>
        <v>0</v>
      </c>
      <c r="T226" s="14">
        <f>IF(A226="","",ARBITRAGES!M227)</f>
        <v>9830.301423</v>
      </c>
      <c r="U226" s="301">
        <f t="shared" si="1"/>
        <v>49246.0262</v>
      </c>
      <c r="V226" s="302">
        <f t="shared" si="2"/>
        <v>0.8003838648</v>
      </c>
      <c r="W226" s="288"/>
      <c r="X226" s="220"/>
      <c r="Y226" s="220"/>
      <c r="Z226" s="220"/>
      <c r="AA226" s="220"/>
      <c r="AB226" s="220"/>
      <c r="AC226" s="220"/>
      <c r="AD226" s="220"/>
      <c r="AE226" s="220"/>
      <c r="AF226" s="220"/>
      <c r="AG226" s="220"/>
      <c r="AH226" s="308"/>
      <c r="AI226" s="220"/>
      <c r="AJ226" s="220"/>
      <c r="AK226" s="220"/>
      <c r="AL226" s="220"/>
      <c r="AM226" s="220"/>
      <c r="AN226" s="220"/>
      <c r="AO226" s="220"/>
      <c r="AP226" s="220"/>
      <c r="AQ226" s="220"/>
      <c r="AR226" s="220"/>
      <c r="AS226" s="220"/>
      <c r="AT226" s="220"/>
      <c r="AU226" s="220"/>
      <c r="AV226" s="220"/>
      <c r="AW226" s="220"/>
      <c r="AX226" s="220"/>
      <c r="AY226" s="220"/>
      <c r="AZ226" s="220"/>
      <c r="BA226" s="220"/>
    </row>
    <row r="227">
      <c r="A227" s="290">
        <f>PRIX!A228</f>
        <v>45993</v>
      </c>
      <c r="B227" s="299">
        <f>IF(A227="","",PRIX!B228*'QUANTITE DETENUES'!B228)</f>
        <v>29076.76997</v>
      </c>
      <c r="C227" s="299">
        <f>IF(B227="","",PRIX!C228*'QUANTITE DETENUES'!C228)</f>
        <v>7418.426255</v>
      </c>
      <c r="D227" s="299">
        <f>IF(C227="","",PRIX!D228*'QUANTITE DETENUES'!D228)</f>
        <v>0.002224430678</v>
      </c>
      <c r="E227" s="299">
        <f>IF(D227="","",PRIX!E228*'QUANTITE DETENUES'!E228)</f>
        <v>1159.391314</v>
      </c>
      <c r="F227" s="299">
        <f>IF(E227="","",PRIX!F228*'QUANTITE DETENUES'!F228)</f>
        <v>1449.875901</v>
      </c>
      <c r="G227" s="299">
        <f>IF(F227="","",PRIX!G228*'QUANTITE DETENUES'!G228)</f>
        <v>0</v>
      </c>
      <c r="H227" s="299">
        <f>IF(G227="","",PRIX!H228*'QUANTITE DETENUES'!H228)</f>
        <v>0.384427918</v>
      </c>
      <c r="I227" s="299">
        <f>IF(H227="","",PRIX!I228*'QUANTITE DETENUES'!I228)</f>
        <v>926.4044497</v>
      </c>
      <c r="J227" s="299">
        <f>IF(I227="","",PRIX!J228*'QUANTITE DETENUES'!J228)</f>
        <v>-0.0000001711827898</v>
      </c>
      <c r="K227" s="299">
        <f>IF(J227="","",PRIX!K228*'QUANTITE DETENUES'!K228)</f>
        <v>0</v>
      </c>
      <c r="L227" s="299">
        <f>IF(K227="","",PRIX!L228*'QUANTITE DETENUES'!L228)</f>
        <v>0</v>
      </c>
      <c r="M227" s="299">
        <f>IF(L227="","",PRIX!M228*'QUANTITE DETENUES'!M228)</f>
        <v>683.7750263</v>
      </c>
      <c r="N227" s="299">
        <f>IF(M227="","",PRIX!N228*'QUANTITE DETENUES'!N228)</f>
        <v>0</v>
      </c>
      <c r="O227" s="299">
        <f>IF(N227="","",PRIX!O228*'QUANTITE DETENUES'!O228)</f>
        <v>0.003945486948</v>
      </c>
      <c r="P227" s="299">
        <f>IF(O227="","",PRIX!P228*'QUANTITE DETENUES'!P228)</f>
        <v>0.00002082232223</v>
      </c>
      <c r="Q227" s="299">
        <f>IF(P227="","",PRIX!Q228*'QUANTITE DETENUES'!Q228)</f>
        <v>0.0000001919999886</v>
      </c>
      <c r="R227" s="299">
        <f>IF(Q227="","",PRIX!R228*'QUANTITE DETENUES'!R228)</f>
        <v>0</v>
      </c>
      <c r="S227" s="300">
        <f>IF(R227="","",PRIX!S228*'QUANTITE DETENUES'!S228)</f>
        <v>0</v>
      </c>
      <c r="T227" s="14">
        <f>IF(A227="","",ARBITRAGES!M228)</f>
        <v>10115.30142</v>
      </c>
      <c r="U227" s="301">
        <f t="shared" si="1"/>
        <v>50830.33496</v>
      </c>
      <c r="V227" s="302">
        <f t="shared" si="2"/>
        <v>0.8009987258</v>
      </c>
      <c r="W227" s="288"/>
      <c r="X227" s="220"/>
      <c r="Y227" s="220"/>
      <c r="Z227" s="220"/>
      <c r="AA227" s="220"/>
      <c r="AB227" s="220"/>
      <c r="AC227" s="220"/>
      <c r="AD227" s="220"/>
      <c r="AE227" s="220"/>
      <c r="AF227" s="220"/>
      <c r="AG227" s="220"/>
      <c r="AH227" s="308"/>
      <c r="AI227" s="220"/>
      <c r="AJ227" s="220"/>
      <c r="AK227" s="220"/>
      <c r="AL227" s="220"/>
      <c r="AM227" s="220"/>
      <c r="AN227" s="220"/>
      <c r="AO227" s="220"/>
      <c r="AP227" s="220"/>
      <c r="AQ227" s="220"/>
      <c r="AR227" s="220"/>
      <c r="AS227" s="220"/>
      <c r="AT227" s="220"/>
      <c r="AU227" s="220"/>
      <c r="AV227" s="220"/>
      <c r="AW227" s="220"/>
      <c r="AX227" s="220"/>
      <c r="AY227" s="220"/>
      <c r="AZ227" s="220"/>
      <c r="BA227" s="220"/>
    </row>
    <row r="228">
      <c r="A228" s="290">
        <f>PRIX!A229</f>
        <v>45993</v>
      </c>
      <c r="B228" s="299">
        <f>IF(A228="","",PRIX!B229*'QUANTITE DETENUES'!B229)</f>
        <v>29076.76997</v>
      </c>
      <c r="C228" s="299">
        <f>IF(B228="","",PRIX!C229*'QUANTITE DETENUES'!C229)</f>
        <v>7418.426255</v>
      </c>
      <c r="D228" s="299">
        <f>IF(C228="","",PRIX!D229*'QUANTITE DETENUES'!D229)</f>
        <v>0.002224430678</v>
      </c>
      <c r="E228" s="299">
        <f>IF(D228="","",PRIX!E229*'QUANTITE DETENUES'!E229)</f>
        <v>1159.391314</v>
      </c>
      <c r="F228" s="299">
        <f>IF(E228="","",PRIX!F229*'QUANTITE DETENUES'!F229)</f>
        <v>1449.875901</v>
      </c>
      <c r="G228" s="299">
        <f>IF(F228="","",PRIX!G229*'QUANTITE DETENUES'!G229)</f>
        <v>0</v>
      </c>
      <c r="H228" s="299">
        <f>IF(G228="","",PRIX!H229*'QUANTITE DETENUES'!H229)</f>
        <v>0.384427918</v>
      </c>
      <c r="I228" s="299">
        <f>IF(H228="","",PRIX!I229*'QUANTITE DETENUES'!I229)</f>
        <v>776.3744497</v>
      </c>
      <c r="J228" s="299">
        <f>IF(I228="","",PRIX!J229*'QUANTITE DETENUES'!J229)</f>
        <v>-0.0000001711827898</v>
      </c>
      <c r="K228" s="299">
        <f>IF(J228="","",PRIX!K229*'QUANTITE DETENUES'!K229)</f>
        <v>0</v>
      </c>
      <c r="L228" s="299">
        <f>IF(K228="","",PRIX!L229*'QUANTITE DETENUES'!L229)</f>
        <v>0</v>
      </c>
      <c r="M228" s="299">
        <f>IF(L228="","",PRIX!M229*'QUANTITE DETENUES'!M229)</f>
        <v>683.7750263</v>
      </c>
      <c r="N228" s="299">
        <f>IF(M228="","",PRIX!N229*'QUANTITE DETENUES'!N229)</f>
        <v>0</v>
      </c>
      <c r="O228" s="299">
        <f>IF(N228="","",PRIX!O229*'QUANTITE DETENUES'!O229)</f>
        <v>0.003945486948</v>
      </c>
      <c r="P228" s="299">
        <f>IF(O228="","",PRIX!P229*'QUANTITE DETENUES'!P229)</f>
        <v>0.00002082232223</v>
      </c>
      <c r="Q228" s="299">
        <f>IF(P228="","",PRIX!Q229*'QUANTITE DETENUES'!Q229)</f>
        <v>0.0000001919999886</v>
      </c>
      <c r="R228" s="299">
        <f>IF(Q228="","",PRIX!R229*'QUANTITE DETENUES'!R229)</f>
        <v>0</v>
      </c>
      <c r="S228" s="300">
        <f>IF(R228="","",PRIX!S229*'QUANTITE DETENUES'!S229)</f>
        <v>0</v>
      </c>
      <c r="T228" s="14">
        <f>IF(A228="","",ARBITRAGES!M229)</f>
        <v>10265.30142</v>
      </c>
      <c r="U228" s="301">
        <f t="shared" si="1"/>
        <v>50830.30496</v>
      </c>
      <c r="V228" s="302">
        <f t="shared" si="2"/>
        <v>0.7980476129</v>
      </c>
      <c r="W228" s="288"/>
      <c r="X228" s="220"/>
      <c r="Y228" s="220"/>
      <c r="Z228" s="220"/>
      <c r="AA228" s="220"/>
      <c r="AB228" s="220"/>
      <c r="AC228" s="220"/>
      <c r="AD228" s="220"/>
      <c r="AE228" s="220"/>
      <c r="AF228" s="220"/>
      <c r="AG228" s="220"/>
      <c r="AH228" s="308"/>
      <c r="AI228" s="220"/>
      <c r="AJ228" s="220"/>
      <c r="AK228" s="220"/>
      <c r="AL228" s="220"/>
      <c r="AM228" s="220"/>
      <c r="AN228" s="220"/>
      <c r="AO228" s="220"/>
      <c r="AP228" s="220"/>
      <c r="AQ228" s="220"/>
      <c r="AR228" s="220"/>
      <c r="AS228" s="220"/>
      <c r="AT228" s="220"/>
      <c r="AU228" s="220"/>
      <c r="AV228" s="220"/>
      <c r="AW228" s="220"/>
      <c r="AX228" s="220"/>
      <c r="AY228" s="220"/>
      <c r="AZ228" s="220"/>
      <c r="BA228" s="220"/>
    </row>
    <row r="229">
      <c r="A229" s="290">
        <f>PRIX!A230</f>
        <v>45994</v>
      </c>
      <c r="B229" s="299">
        <f>IF(A229="","",PRIX!B230*'QUANTITE DETENUES'!B230)</f>
        <v>28578.11048</v>
      </c>
      <c r="C229" s="299">
        <f>IF(B229="","",PRIX!C230*'QUANTITE DETENUES'!C230)</f>
        <v>7418.426255</v>
      </c>
      <c r="D229" s="299">
        <f>IF(C229="","",PRIX!D230*'QUANTITE DETENUES'!D230)</f>
        <v>0.002224430678</v>
      </c>
      <c r="E229" s="299">
        <f>IF(D229="","",PRIX!E230*'QUANTITE DETENUES'!E230)</f>
        <v>1159.391314</v>
      </c>
      <c r="F229" s="299">
        <f>IF(E229="","",PRIX!F230*'QUANTITE DETENUES'!F230)</f>
        <v>1449.875901</v>
      </c>
      <c r="G229" s="299">
        <f>IF(F229="","",PRIX!G230*'QUANTITE DETENUES'!G230)</f>
        <v>0</v>
      </c>
      <c r="H229" s="299">
        <f>IF(G229="","",PRIX!H230*'QUANTITE DETENUES'!H230)</f>
        <v>0.384427918</v>
      </c>
      <c r="I229" s="299">
        <f>IF(H229="","",PRIX!I230*'QUANTITE DETENUES'!I230)</f>
        <v>776.3744497</v>
      </c>
      <c r="J229" s="299">
        <f>IF(I229="","",PRIX!J230*'QUANTITE DETENUES'!J230)</f>
        <v>-0.0000001711827898</v>
      </c>
      <c r="K229" s="299">
        <f>IF(J229="","",PRIX!K230*'QUANTITE DETENUES'!K230)</f>
        <v>0</v>
      </c>
      <c r="L229" s="299">
        <f>IF(K229="","",PRIX!L230*'QUANTITE DETENUES'!L230)</f>
        <v>0</v>
      </c>
      <c r="M229" s="299">
        <f>IF(L229="","",PRIX!M230*'QUANTITE DETENUES'!M230)</f>
        <v>683.7750263</v>
      </c>
      <c r="N229" s="299">
        <f>IF(M229="","",PRIX!N230*'QUANTITE DETENUES'!N230)</f>
        <v>0</v>
      </c>
      <c r="O229" s="299">
        <f>IF(N229="","",PRIX!O230*'QUANTITE DETENUES'!O230)</f>
        <v>0.003945486948</v>
      </c>
      <c r="P229" s="299">
        <f>IF(O229="","",PRIX!P230*'QUANTITE DETENUES'!P230)</f>
        <v>0.00002082232223</v>
      </c>
      <c r="Q229" s="299">
        <f>IF(P229="","",PRIX!Q230*'QUANTITE DETENUES'!Q230)</f>
        <v>0.0000001919999886</v>
      </c>
      <c r="R229" s="299">
        <f>IF(Q229="","",PRIX!R230*'QUANTITE DETENUES'!R230)</f>
        <v>0</v>
      </c>
      <c r="S229" s="300">
        <f>IF(R229="","",PRIX!S230*'QUANTITE DETENUES'!S230)</f>
        <v>0</v>
      </c>
      <c r="T229" s="14">
        <f>IF(A229="","",ARBITRAGES!M230)</f>
        <v>10765.3014</v>
      </c>
      <c r="U229" s="301">
        <f t="shared" si="1"/>
        <v>50831.64544</v>
      </c>
      <c r="V229" s="302">
        <f t="shared" si="2"/>
        <v>0.788216547</v>
      </c>
      <c r="W229" s="288"/>
      <c r="X229" s="220"/>
      <c r="Y229" s="220"/>
      <c r="Z229" s="220"/>
      <c r="AA229" s="220"/>
      <c r="AB229" s="220"/>
      <c r="AC229" s="220"/>
      <c r="AD229" s="220"/>
      <c r="AE229" s="220"/>
      <c r="AF229" s="220"/>
      <c r="AG229" s="220"/>
      <c r="AH229" s="308"/>
      <c r="AI229" s="220"/>
      <c r="AJ229" s="220"/>
      <c r="AK229" s="220"/>
      <c r="AL229" s="220"/>
      <c r="AM229" s="220"/>
      <c r="AN229" s="220"/>
      <c r="AO229" s="220"/>
      <c r="AP229" s="220"/>
      <c r="AQ229" s="220"/>
      <c r="AR229" s="220"/>
      <c r="AS229" s="220"/>
      <c r="AT229" s="220"/>
      <c r="AU229" s="220"/>
      <c r="AV229" s="220"/>
      <c r="AW229" s="220"/>
      <c r="AX229" s="220"/>
      <c r="AY229" s="220"/>
      <c r="AZ229" s="220"/>
      <c r="BA229" s="220"/>
    </row>
    <row r="230">
      <c r="A230" s="290">
        <f>PRIX!A231</f>
        <v>45994</v>
      </c>
      <c r="B230" s="299">
        <f>IF(A230="","",PRIX!B231*'QUANTITE DETENUES'!B231)</f>
        <v>28578.11048</v>
      </c>
      <c r="C230" s="299">
        <f>IF(B230="","",PRIX!C231*'QUANTITE DETENUES'!C231)</f>
        <v>7418.426255</v>
      </c>
      <c r="D230" s="299">
        <f>IF(C230="","",PRIX!D231*'QUANTITE DETENUES'!D231)</f>
        <v>0.002224430678</v>
      </c>
      <c r="E230" s="299">
        <f>IF(D230="","",PRIX!E231*'QUANTITE DETENUES'!E231)</f>
        <v>1159.391314</v>
      </c>
      <c r="F230" s="299">
        <f>IF(E230="","",PRIX!F231*'QUANTITE DETENUES'!F231)</f>
        <v>1159.875901</v>
      </c>
      <c r="G230" s="299">
        <f>IF(F230="","",PRIX!G231*'QUANTITE DETENUES'!G231)</f>
        <v>0</v>
      </c>
      <c r="H230" s="299">
        <f>IF(G230="","",PRIX!H231*'QUANTITE DETENUES'!H231)</f>
        <v>0.384427918</v>
      </c>
      <c r="I230" s="299">
        <f>IF(H230="","",PRIX!I231*'QUANTITE DETENUES'!I231)</f>
        <v>776.3744497</v>
      </c>
      <c r="J230" s="299">
        <f>IF(I230="","",PRIX!J231*'QUANTITE DETENUES'!J231)</f>
        <v>-0.0000001711827898</v>
      </c>
      <c r="K230" s="299">
        <f>IF(J230="","",PRIX!K231*'QUANTITE DETENUES'!K231)</f>
        <v>0</v>
      </c>
      <c r="L230" s="299">
        <f>IF(K230="","",PRIX!L231*'QUANTITE DETENUES'!L231)</f>
        <v>0</v>
      </c>
      <c r="M230" s="299">
        <f>IF(L230="","",PRIX!M231*'QUANTITE DETENUES'!M231)</f>
        <v>683.7750263</v>
      </c>
      <c r="N230" s="299">
        <f>IF(M230="","",PRIX!N231*'QUANTITE DETENUES'!N231)</f>
        <v>0</v>
      </c>
      <c r="O230" s="299">
        <f>IF(N230="","",PRIX!O231*'QUANTITE DETENUES'!O231)</f>
        <v>0.003945486948</v>
      </c>
      <c r="P230" s="299">
        <f>IF(O230="","",PRIX!P231*'QUANTITE DETENUES'!P231)</f>
        <v>0.00002082232223</v>
      </c>
      <c r="Q230" s="299">
        <f>IF(P230="","",PRIX!Q231*'QUANTITE DETENUES'!Q231)</f>
        <v>0.0000001919999886</v>
      </c>
      <c r="R230" s="299">
        <f>IF(Q230="","",PRIX!R231*'QUANTITE DETENUES'!R231)</f>
        <v>0</v>
      </c>
      <c r="S230" s="300">
        <f>IF(R230="","",PRIX!S231*'QUANTITE DETENUES'!S231)</f>
        <v>0</v>
      </c>
      <c r="T230" s="14">
        <f>IF(A230="","",ARBITRAGES!M231)</f>
        <v>11055.3014</v>
      </c>
      <c r="U230" s="301">
        <f t="shared" si="1"/>
        <v>50831.64544</v>
      </c>
      <c r="V230" s="302">
        <f t="shared" si="2"/>
        <v>0.7825114395</v>
      </c>
      <c r="W230" s="288"/>
      <c r="X230" s="220"/>
      <c r="Y230" s="220"/>
      <c r="Z230" s="220"/>
      <c r="AA230" s="220"/>
      <c r="AB230" s="220"/>
      <c r="AC230" s="220"/>
      <c r="AD230" s="220"/>
      <c r="AE230" s="220"/>
      <c r="AF230" s="220"/>
      <c r="AG230" s="220"/>
      <c r="AH230" s="308"/>
      <c r="AI230" s="220"/>
      <c r="AJ230" s="220"/>
      <c r="AK230" s="220"/>
      <c r="AL230" s="220"/>
      <c r="AM230" s="220"/>
      <c r="AN230" s="220"/>
      <c r="AO230" s="220"/>
      <c r="AP230" s="220"/>
      <c r="AQ230" s="220"/>
      <c r="AR230" s="220"/>
      <c r="AS230" s="220"/>
      <c r="AT230" s="220"/>
      <c r="AU230" s="220"/>
      <c r="AV230" s="220"/>
      <c r="AW230" s="220"/>
      <c r="AX230" s="220"/>
      <c r="AY230" s="220"/>
      <c r="AZ230" s="220"/>
      <c r="BA230" s="220"/>
    </row>
    <row r="231">
      <c r="A231" s="290">
        <f>PRIX!A232</f>
        <v>45995</v>
      </c>
      <c r="B231" s="299">
        <f>IF(A231="","",PRIX!B232*'QUANTITE DETENUES'!B232)</f>
        <v>28578.11048</v>
      </c>
      <c r="C231" s="299">
        <f>IF(B231="","",PRIX!C232*'QUANTITE DETENUES'!C232)</f>
        <v>7240.775433</v>
      </c>
      <c r="D231" s="299">
        <f>IF(C231="","",PRIX!D232*'QUANTITE DETENUES'!D232)</f>
        <v>0.002224430678</v>
      </c>
      <c r="E231" s="299">
        <f>IF(D231="","",PRIX!E232*'QUANTITE DETENUES'!E232)</f>
        <v>1159.391314</v>
      </c>
      <c r="F231" s="299">
        <f>IF(E231="","",PRIX!F232*'QUANTITE DETENUES'!F232)</f>
        <v>1159.875901</v>
      </c>
      <c r="G231" s="299">
        <f>IF(F231="","",PRIX!G232*'QUANTITE DETENUES'!G232)</f>
        <v>0</v>
      </c>
      <c r="H231" s="299">
        <f>IF(G231="","",PRIX!H232*'QUANTITE DETENUES'!H232)</f>
        <v>0.384427918</v>
      </c>
      <c r="I231" s="299">
        <f>IF(H231="","",PRIX!I232*'QUANTITE DETENUES'!I232)</f>
        <v>776.3744497</v>
      </c>
      <c r="J231" s="299">
        <f>IF(I231="","",PRIX!J232*'QUANTITE DETENUES'!J232)</f>
        <v>-0.0000001711827898</v>
      </c>
      <c r="K231" s="299">
        <f>IF(J231="","",PRIX!K232*'QUANTITE DETENUES'!K232)</f>
        <v>0</v>
      </c>
      <c r="L231" s="299">
        <f>IF(K231="","",PRIX!L232*'QUANTITE DETENUES'!L232)</f>
        <v>0</v>
      </c>
      <c r="M231" s="299">
        <f>IF(L231="","",PRIX!M232*'QUANTITE DETENUES'!M232)</f>
        <v>683.7750263</v>
      </c>
      <c r="N231" s="299">
        <f>IF(M231="","",PRIX!N232*'QUANTITE DETENUES'!N232)</f>
        <v>0</v>
      </c>
      <c r="O231" s="299">
        <f>IF(N231="","",PRIX!O232*'QUANTITE DETENUES'!O232)</f>
        <v>0.003945486948</v>
      </c>
      <c r="P231" s="299">
        <f>IF(O231="","",PRIX!P232*'QUANTITE DETENUES'!P232)</f>
        <v>0.00002082232223</v>
      </c>
      <c r="Q231" s="299">
        <f>IF(P231="","",PRIX!Q232*'QUANTITE DETENUES'!Q232)</f>
        <v>0.0000001919999886</v>
      </c>
      <c r="R231" s="299">
        <f>IF(Q231="","",PRIX!R232*'QUANTITE DETENUES'!R232)</f>
        <v>0</v>
      </c>
      <c r="S231" s="300">
        <f>IF(R231="","",PRIX!S232*'QUANTITE DETENUES'!S232)</f>
        <v>0</v>
      </c>
      <c r="T231" s="14">
        <f>IF(A231="","",ARBITRAGES!M232)</f>
        <v>11352.60425</v>
      </c>
      <c r="U231" s="301">
        <f t="shared" si="1"/>
        <v>50951.29748</v>
      </c>
      <c r="V231" s="302">
        <f t="shared" si="2"/>
        <v>0.7771871411</v>
      </c>
      <c r="W231" s="288"/>
      <c r="X231" s="220"/>
      <c r="Y231" s="220"/>
      <c r="Z231" s="220"/>
      <c r="AA231" s="220"/>
      <c r="AB231" s="220"/>
      <c r="AC231" s="220"/>
      <c r="AD231" s="220"/>
      <c r="AE231" s="220"/>
      <c r="AF231" s="220"/>
      <c r="AG231" s="220"/>
      <c r="AH231" s="308"/>
      <c r="AI231" s="220"/>
      <c r="AJ231" s="220"/>
      <c r="AK231" s="220"/>
      <c r="AL231" s="220"/>
      <c r="AM231" s="220"/>
      <c r="AN231" s="220"/>
      <c r="AO231" s="220"/>
      <c r="AP231" s="220"/>
      <c r="AQ231" s="220"/>
      <c r="AR231" s="220"/>
      <c r="AS231" s="220"/>
      <c r="AT231" s="220"/>
      <c r="AU231" s="220"/>
      <c r="AV231" s="220"/>
      <c r="AW231" s="220"/>
      <c r="AX231" s="220"/>
      <c r="AY231" s="220"/>
      <c r="AZ231" s="220"/>
      <c r="BA231" s="220"/>
    </row>
    <row r="232">
      <c r="A232" s="290">
        <f>PRIX!A233</f>
        <v>46001</v>
      </c>
      <c r="B232" s="299">
        <f>IF(A232="","",PRIX!B233*'QUANTITE DETENUES'!B233)</f>
        <v>28578.11048</v>
      </c>
      <c r="C232" s="299">
        <f>IF(B232="","",PRIX!C233*'QUANTITE DETENUES'!C233)</f>
        <v>7326.337087</v>
      </c>
      <c r="D232" s="299">
        <f>IF(C232="","",PRIX!D233*'QUANTITE DETENUES'!D233)</f>
        <v>0.002293944136</v>
      </c>
      <c r="E232" s="299">
        <f>IF(D232="","",PRIX!E233*'QUANTITE DETENUES'!E233)</f>
        <v>1119.412303</v>
      </c>
      <c r="F232" s="299">
        <f>IF(E232="","",PRIX!F233*'QUANTITE DETENUES'!F233)</f>
        <v>1199.871622</v>
      </c>
      <c r="G232" s="299">
        <f>IF(F232="","",PRIX!G233*'QUANTITE DETENUES'!G233)</f>
        <v>0</v>
      </c>
      <c r="H232" s="299">
        <f>IF(G232="","",PRIX!H233*'QUANTITE DETENUES'!H233)</f>
        <v>0.3764742369</v>
      </c>
      <c r="I232" s="299">
        <f>IF(H232="","",PRIX!I233*'QUANTITE DETENUES'!I233)</f>
        <v>760.8469607</v>
      </c>
      <c r="J232" s="299">
        <f>IF(I232="","",PRIX!J233*'QUANTITE DETENUES'!J233)</f>
        <v>-0.0000001672922719</v>
      </c>
      <c r="K232" s="299">
        <f>IF(J232="","",PRIX!K233*'QUANTITE DETENUES'!K233)</f>
        <v>0</v>
      </c>
      <c r="L232" s="299">
        <f>IF(K232="","",PRIX!L233*'QUANTITE DETENUES'!L233)</f>
        <v>0</v>
      </c>
      <c r="M232" s="299">
        <f>IF(L232="","",PRIX!M233*'QUANTITE DETENUES'!M233)</f>
        <v>701.3077193</v>
      </c>
      <c r="N232" s="299">
        <f>IF(M232="","",PRIX!N233*'QUANTITE DETENUES'!N233)</f>
        <v>0</v>
      </c>
      <c r="O232" s="299">
        <f>IF(N232="","",PRIX!O233*'QUANTITE DETENUES'!O233)</f>
        <v>0.003434034936</v>
      </c>
      <c r="P232" s="299">
        <f>IF(O232="","",PRIX!P233*'QUANTITE DETENUES'!P233)</f>
        <v>0.00002168991899</v>
      </c>
      <c r="Q232" s="299">
        <f>IF(P232="","",PRIX!Q233*'QUANTITE DETENUES'!Q233)</f>
        <v>0.0000001879999888</v>
      </c>
      <c r="R232" s="299">
        <f>IF(Q232="","",PRIX!R233*'QUANTITE DETENUES'!R233)</f>
        <v>0</v>
      </c>
      <c r="S232" s="300">
        <f>IF(R232="","",PRIX!S233*'QUANTITE DETENUES'!S233)</f>
        <v>0</v>
      </c>
      <c r="T232" s="14">
        <f>IF(A232="","",ARBITRAGES!M233)</f>
        <v>11689.47235</v>
      </c>
      <c r="U232" s="301">
        <f t="shared" si="1"/>
        <v>51375.74074</v>
      </c>
      <c r="V232" s="302">
        <f t="shared" si="2"/>
        <v>0.7724709721</v>
      </c>
      <c r="W232" s="288"/>
      <c r="X232" s="220"/>
      <c r="Y232" s="220"/>
      <c r="Z232" s="220"/>
      <c r="AA232" s="220"/>
      <c r="AB232" s="220"/>
      <c r="AC232" s="220"/>
      <c r="AD232" s="220"/>
      <c r="AE232" s="220"/>
      <c r="AF232" s="220"/>
      <c r="AG232" s="220"/>
      <c r="AH232" s="308"/>
      <c r="AI232" s="220"/>
      <c r="AJ232" s="220"/>
      <c r="AK232" s="220"/>
      <c r="AL232" s="220"/>
      <c r="AM232" s="220"/>
      <c r="AN232" s="220"/>
      <c r="AO232" s="220"/>
      <c r="AP232" s="220"/>
      <c r="AQ232" s="220"/>
      <c r="AR232" s="220"/>
      <c r="AS232" s="220"/>
      <c r="AT232" s="220"/>
      <c r="AU232" s="220"/>
      <c r="AV232" s="220"/>
      <c r="AW232" s="220"/>
      <c r="AX232" s="220"/>
      <c r="AY232" s="220"/>
      <c r="AZ232" s="220"/>
      <c r="BA232" s="220"/>
    </row>
    <row r="233">
      <c r="A233" s="290">
        <f>PRIX!A234</f>
        <v>46026</v>
      </c>
      <c r="B233" s="299">
        <f>IF(A233="","",PRIX!B234*'QUANTITE DETENUES'!B234)</f>
        <v>27817.17321</v>
      </c>
      <c r="C233" s="299">
        <f>IF(B233="","",PRIX!C234*'QUANTITE DETENUES'!C234)</f>
        <v>6930.318867</v>
      </c>
      <c r="D233" s="299">
        <f>IF(C233="","",PRIX!D234*'QUANTITE DETENUES'!D234)</f>
        <v>0.002571997971</v>
      </c>
      <c r="E233" s="299">
        <f>IF(D233="","",PRIX!E234*'QUANTITE DETENUES'!E234)</f>
        <v>1079.433292</v>
      </c>
      <c r="F233" s="299">
        <f>IF(E233="","",PRIX!F234*'QUANTITE DETENUES'!F234)</f>
        <v>1079.88446</v>
      </c>
      <c r="G233" s="299">
        <f>IF(F233="","",PRIX!G234*'QUANTITE DETENUES'!G234)</f>
        <v>0</v>
      </c>
      <c r="H233" s="299">
        <f>IF(G233="","",PRIX!H234*'QUANTITE DETENUES'!H234)</f>
        <v>0.3552644207</v>
      </c>
      <c r="I233" s="299">
        <f>IF(H233="","",PRIX!I234*'QUANTITE DETENUES'!I234)</f>
        <v>784.1381942</v>
      </c>
      <c r="J233" s="299">
        <f>IF(I233="","",PRIX!J234*'QUANTITE DETENUES'!J234)</f>
        <v>-0.0000001750733078</v>
      </c>
      <c r="K233" s="299">
        <f>IF(J233="","",PRIX!K234*'QUANTITE DETENUES'!K234)</f>
        <v>0</v>
      </c>
      <c r="L233" s="299">
        <f>IF(K233="","",PRIX!L234*'QUANTITE DETENUES'!L234)</f>
        <v>0</v>
      </c>
      <c r="M233" s="299">
        <f>IF(L233="","",PRIX!M234*'QUANTITE DETENUES'!M234)</f>
        <v>578.5788684</v>
      </c>
      <c r="N233" s="299">
        <f>IF(M233="","",PRIX!N234*'QUANTITE DETENUES'!N234)</f>
        <v>0</v>
      </c>
      <c r="O233" s="299">
        <f>IF(N233="","",PRIX!O234*'QUANTITE DETENUES'!O234)</f>
        <v>0.00328790579</v>
      </c>
      <c r="P233" s="299">
        <f>IF(O233="","",PRIX!P234*'QUANTITE DETENUES'!P234)</f>
        <v>0.00002313591359</v>
      </c>
      <c r="Q233" s="299">
        <f>IF(P233="","",PRIX!Q234*'QUANTITE DETENUES'!Q234)</f>
        <v>0.0000002999999821</v>
      </c>
      <c r="R233" s="299">
        <f>IF(Q233="","",PRIX!R234*'QUANTITE DETENUES'!R234)</f>
        <v>0</v>
      </c>
      <c r="S233" s="300">
        <f>IF(R233="","",PRIX!S234*'QUANTITE DETENUES'!S234)</f>
        <v>0</v>
      </c>
      <c r="T233" s="14">
        <f>IF(A233="","",ARBITRAGES!M234)</f>
        <v>11989.47235</v>
      </c>
      <c r="U233" s="301">
        <f t="shared" si="1"/>
        <v>50259.36039</v>
      </c>
      <c r="V233" s="302">
        <f t="shared" si="2"/>
        <v>0.761447972</v>
      </c>
      <c r="W233" s="288"/>
      <c r="X233" s="220"/>
      <c r="Y233" s="220"/>
      <c r="Z233" s="220"/>
      <c r="AA233" s="220"/>
      <c r="AB233" s="220"/>
      <c r="AC233" s="220"/>
      <c r="AD233" s="220"/>
      <c r="AE233" s="220"/>
      <c r="AF233" s="220"/>
      <c r="AG233" s="220"/>
      <c r="AH233" s="308"/>
      <c r="AI233" s="220"/>
      <c r="AJ233" s="220"/>
      <c r="AK233" s="220"/>
      <c r="AL233" s="220"/>
      <c r="AM233" s="220"/>
      <c r="AN233" s="220"/>
      <c r="AO233" s="220"/>
      <c r="AP233" s="220"/>
      <c r="AQ233" s="220"/>
      <c r="AR233" s="220"/>
      <c r="AS233" s="220"/>
      <c r="AT233" s="220"/>
      <c r="AU233" s="220"/>
      <c r="AV233" s="220"/>
      <c r="AW233" s="220"/>
      <c r="AX233" s="220"/>
      <c r="AY233" s="220"/>
      <c r="AZ233" s="220"/>
      <c r="BA233" s="220"/>
    </row>
    <row r="234">
      <c r="A234" s="290">
        <f>PRIX!A235</f>
        <v>46039</v>
      </c>
      <c r="B234" s="299">
        <f>IF(A234="","",PRIX!B235*'QUANTITE DETENUES'!B235)</f>
        <v>28029.98219</v>
      </c>
      <c r="C234" s="299">
        <f>IF(B234="","",PRIX!C235*'QUANTITE DETENUES'!C235)</f>
        <v>6522.968377</v>
      </c>
      <c r="D234" s="299">
        <f>IF(C234="","",PRIX!D235*'QUANTITE DETENUES'!D235)</f>
        <v>0.002224430678</v>
      </c>
      <c r="E234" s="299">
        <f>IF(D234="","",PRIX!E235*'QUANTITE DETENUES'!E235)</f>
        <v>1039.454282</v>
      </c>
      <c r="F234" s="299">
        <f>IF(E234="","",PRIX!F235*'QUANTITE DETENUES'!F235)</f>
        <v>979.895158</v>
      </c>
      <c r="G234" s="299">
        <f>IF(F234="","",PRIX!G235*'QUANTITE DETENUES'!G235)</f>
        <v>0</v>
      </c>
      <c r="H234" s="299">
        <f>IF(G234="","",PRIX!H235*'QUANTITE DETENUES'!H235)</f>
        <v>0.3314033776</v>
      </c>
      <c r="I234" s="299">
        <f>IF(H234="","",PRIX!I235*'QUANTITE DETENUES'!I235)</f>
        <v>646.9787081</v>
      </c>
      <c r="J234" s="299">
        <f>IF(I234="","",PRIX!J235*'QUANTITE DETENUES'!J235)</f>
        <v>-0.0000001517302001</v>
      </c>
      <c r="K234" s="299">
        <f>IF(J234="","",PRIX!K235*'QUANTITE DETENUES'!K235)</f>
        <v>0</v>
      </c>
      <c r="L234" s="299">
        <f>IF(K234="","",PRIX!L235*'QUANTITE DETENUES'!L235)</f>
        <v>0</v>
      </c>
      <c r="M234" s="299">
        <f>IF(L234="","",PRIX!M235*'QUANTITE DETENUES'!M235)</f>
        <v>561.0461754</v>
      </c>
      <c r="N234" s="299">
        <f>IF(M234="","",PRIX!N235*'QUANTITE DETENUES'!N235)</f>
        <v>0</v>
      </c>
      <c r="O234" s="299">
        <f>IF(N234="","",PRIX!O235*'QUANTITE DETENUES'!O235)</f>
        <v>0.002922582924</v>
      </c>
      <c r="P234" s="299">
        <f>IF(O234="","",PRIX!P235*'QUANTITE DETENUES'!P235)</f>
        <v>0.00001735193519</v>
      </c>
      <c r="Q234" s="299">
        <f>IF(P234="","",PRIX!Q235*'QUANTITE DETENUES'!Q235)</f>
        <v>0.0000002039999878</v>
      </c>
      <c r="R234" s="299">
        <f>IF(Q234="","",PRIX!R235*'QUANTITE DETENUES'!R235)</f>
        <v>0</v>
      </c>
      <c r="S234" s="300">
        <f>IF(R234="","",PRIX!S235*'QUANTITE DETENUES'!S235)</f>
        <v>0</v>
      </c>
      <c r="T234" s="14">
        <f>IF(A234="","",ARBITRAGES!M235)</f>
        <v>12320.53153</v>
      </c>
      <c r="U234" s="301">
        <f t="shared" si="1"/>
        <v>50101.19299</v>
      </c>
      <c r="V234" s="302">
        <f t="shared" si="2"/>
        <v>0.7540870627</v>
      </c>
      <c r="W234" s="288"/>
      <c r="X234" s="220"/>
      <c r="Y234" s="220"/>
      <c r="Z234" s="220"/>
      <c r="AA234" s="220"/>
      <c r="AB234" s="220"/>
      <c r="AC234" s="220"/>
      <c r="AD234" s="220"/>
      <c r="AE234" s="220"/>
      <c r="AF234" s="220"/>
      <c r="AG234" s="220"/>
      <c r="AH234" s="308"/>
      <c r="AI234" s="220"/>
      <c r="AJ234" s="220"/>
      <c r="AK234" s="220"/>
      <c r="AL234" s="220"/>
      <c r="AM234" s="220"/>
      <c r="AN234" s="220"/>
      <c r="AO234" s="220"/>
      <c r="AP234" s="220"/>
      <c r="AQ234" s="220"/>
      <c r="AR234" s="220"/>
      <c r="AS234" s="220"/>
      <c r="AT234" s="220"/>
      <c r="AU234" s="220"/>
      <c r="AV234" s="220"/>
      <c r="AW234" s="220"/>
      <c r="AX234" s="220"/>
      <c r="AY234" s="220"/>
      <c r="AZ234" s="220"/>
      <c r="BA234" s="220"/>
    </row>
    <row r="235">
      <c r="A235" s="290">
        <f>PRIX!A236</f>
        <v>46045</v>
      </c>
      <c r="B235" s="299">
        <f>IF(A235="","",PRIX!B236*'QUANTITE DETENUES'!B236)</f>
        <v>27057.14116</v>
      </c>
      <c r="C235" s="299">
        <f>IF(B235="","",PRIX!C236*'QUANTITE DETENUES'!C236)</f>
        <v>6228.382709</v>
      </c>
      <c r="D235" s="299">
        <f>IF(C235="","",PRIX!D236*'QUANTITE DETENUES'!D236)</f>
        <v>0.002134063182</v>
      </c>
      <c r="E235" s="299">
        <f>IF(D235="","",PRIX!E236*'QUANTITE DETENUES'!E236)</f>
        <v>1039.454282</v>
      </c>
      <c r="F235" s="299">
        <f>IF(E235="","",PRIX!F236*'QUANTITE DETENUES'!F236)</f>
        <v>959.8972977</v>
      </c>
      <c r="G235" s="299">
        <f>IF(F235="","",PRIX!G236*'QUANTITE DETENUES'!G236)</f>
        <v>0</v>
      </c>
      <c r="H235" s="299">
        <f>IF(G235="","",PRIX!H236*'QUANTITE DETENUES'!H236)</f>
        <v>0.322124083</v>
      </c>
      <c r="I235" s="299">
        <f>IF(H235="","",PRIX!I236*'QUANTITE DETENUES'!I236)</f>
        <v>330.4649636</v>
      </c>
      <c r="J235" s="299">
        <f>IF(I235="","",PRIX!J236*'QUANTITE DETENUES'!J236)</f>
        <v>-0.0000001517302001</v>
      </c>
      <c r="K235" s="299">
        <f>IF(J235="","",PRIX!K236*'QUANTITE DETENUES'!K236)</f>
        <v>0</v>
      </c>
      <c r="L235" s="299">
        <f>IF(K235="","",PRIX!L236*'QUANTITE DETENUES'!L236)</f>
        <v>0</v>
      </c>
      <c r="M235" s="299">
        <f>IF(L235="","",PRIX!M236*'QUANTITE DETENUES'!M236)</f>
        <v>543.5134825</v>
      </c>
      <c r="N235" s="299">
        <f>IF(M235="","",PRIX!N236*'QUANTITE DETENUES'!N236)</f>
        <v>0</v>
      </c>
      <c r="O235" s="299">
        <f>IF(N235="","",PRIX!O236*'QUANTITE DETENUES'!O236)</f>
        <v>0.002922582924</v>
      </c>
      <c r="P235" s="299">
        <f>IF(O235="","",PRIX!P236*'QUANTITE DETENUES'!P236)</f>
        <v>0.00001677353735</v>
      </c>
      <c r="Q235" s="299">
        <f>IF(P235="","",PRIX!Q236*'QUANTITE DETENUES'!Q236)</f>
        <v>0.0000001999999881</v>
      </c>
      <c r="R235" s="299">
        <f>IF(Q235="","",PRIX!R236*'QUANTITE DETENUES'!R236)</f>
        <v>0</v>
      </c>
      <c r="S235" s="300">
        <f>IF(R235="","",PRIX!S236*'QUANTITE DETENUES'!S236)</f>
        <v>0</v>
      </c>
      <c r="T235" s="14">
        <f>IF(A235="","",ARBITRAGES!M236)</f>
        <v>12633.03153</v>
      </c>
      <c r="U235" s="301">
        <f t="shared" si="1"/>
        <v>48792.21262</v>
      </c>
      <c r="V235" s="302">
        <f t="shared" si="2"/>
        <v>0.7410850861</v>
      </c>
      <c r="W235" s="288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308"/>
      <c r="AI235" s="220"/>
      <c r="AJ235" s="220"/>
      <c r="AK235" s="220"/>
      <c r="AL235" s="220"/>
      <c r="AM235" s="220"/>
      <c r="AN235" s="220"/>
      <c r="AO235" s="220"/>
      <c r="AP235" s="220"/>
      <c r="AQ235" s="220"/>
      <c r="AR235" s="220"/>
      <c r="AS235" s="220"/>
      <c r="AT235" s="220"/>
      <c r="AU235" s="220"/>
      <c r="AV235" s="220"/>
      <c r="AW235" s="220"/>
      <c r="AX235" s="220"/>
      <c r="AY235" s="220"/>
      <c r="AZ235" s="220"/>
      <c r="BA235" s="220"/>
    </row>
    <row r="236">
      <c r="A236" s="290">
        <f>PRIX!A237</f>
        <v>46046</v>
      </c>
      <c r="B236" s="299">
        <f>IF(A236="","",PRIX!B237*'QUANTITE DETENUES'!B237)</f>
        <v>26065.49782</v>
      </c>
      <c r="C236" s="299">
        <f>IF(B236="","",PRIX!C237*'QUANTITE DETENUES'!C237)</f>
        <v>6228.382709</v>
      </c>
      <c r="D236" s="299">
        <f>IF(C236="","",PRIX!D237*'QUANTITE DETENUES'!D237)</f>
        <v>0.002134063182</v>
      </c>
      <c r="E236" s="299">
        <f>IF(D236="","",PRIX!E237*'QUANTITE DETENUES'!E237)</f>
        <v>1039.454282</v>
      </c>
      <c r="F236" s="299">
        <f>IF(E236="","",PRIX!F237*'QUANTITE DETENUES'!F237)</f>
        <v>959.8972977</v>
      </c>
      <c r="G236" s="299">
        <f>IF(F236="","",PRIX!G237*'QUANTITE DETENUES'!G237)</f>
        <v>0</v>
      </c>
      <c r="H236" s="299">
        <f>IF(G236="","",PRIX!H237*'QUANTITE DETENUES'!H237)</f>
        <v>0.322124083</v>
      </c>
      <c r="I236" s="299">
        <f>IF(H236="","",PRIX!I237*'QUANTITE DETENUES'!I237)</f>
        <v>330.4649636</v>
      </c>
      <c r="J236" s="299">
        <f>IF(I236="","",PRIX!J237*'QUANTITE DETENUES'!J237)</f>
        <v>-0.0000001517302001</v>
      </c>
      <c r="K236" s="299">
        <f>IF(J236="","",PRIX!K237*'QUANTITE DETENUES'!K237)</f>
        <v>0</v>
      </c>
      <c r="L236" s="299">
        <f>IF(K236="","",PRIX!L237*'QUANTITE DETENUES'!L237)</f>
        <v>0</v>
      </c>
      <c r="M236" s="299">
        <f>IF(L236="","",PRIX!M237*'QUANTITE DETENUES'!M237)</f>
        <v>543.5134825</v>
      </c>
      <c r="N236" s="299">
        <f>IF(M236="","",PRIX!N237*'QUANTITE DETENUES'!N237)</f>
        <v>0</v>
      </c>
      <c r="O236" s="299">
        <f>IF(N236="","",PRIX!O237*'QUANTITE DETENUES'!O237)</f>
        <v>0.002922582924</v>
      </c>
      <c r="P236" s="299">
        <f>IF(O236="","",PRIX!P237*'QUANTITE DETENUES'!P237)</f>
        <v>0.00001677353735</v>
      </c>
      <c r="Q236" s="299">
        <f>IF(P236="","",PRIX!Q237*'QUANTITE DETENUES'!Q237)</f>
        <v>0.0000001999999881</v>
      </c>
      <c r="R236" s="299">
        <f>IF(Q236="","",PRIX!R237*'QUANTITE DETENUES'!R237)</f>
        <v>0</v>
      </c>
      <c r="S236" s="300">
        <f>IF(R236="","",PRIX!S237*'QUANTITE DETENUES'!S237)</f>
        <v>0</v>
      </c>
      <c r="T236" s="14">
        <f>IF(A236="","",ARBITRAGES!M237)</f>
        <v>13633.03142</v>
      </c>
      <c r="U236" s="301">
        <f t="shared" si="1"/>
        <v>48800.56917</v>
      </c>
      <c r="V236" s="302">
        <f t="shared" si="2"/>
        <v>0.7206378604</v>
      </c>
      <c r="W236" s="288"/>
      <c r="X236" s="220"/>
      <c r="Y236" s="220"/>
      <c r="Z236" s="220"/>
      <c r="AA236" s="220"/>
      <c r="AB236" s="220"/>
      <c r="AC236" s="220"/>
      <c r="AD236" s="220"/>
      <c r="AE236" s="220"/>
      <c r="AF236" s="220"/>
      <c r="AG236" s="220"/>
      <c r="AH236" s="308"/>
      <c r="AI236" s="220"/>
      <c r="AJ236" s="220"/>
      <c r="AK236" s="220"/>
      <c r="AL236" s="220"/>
      <c r="AM236" s="220"/>
      <c r="AN236" s="220"/>
      <c r="AO236" s="220"/>
      <c r="AP236" s="220"/>
      <c r="AQ236" s="220"/>
      <c r="AR236" s="220"/>
      <c r="AS236" s="220"/>
      <c r="AT236" s="220"/>
      <c r="AU236" s="220"/>
      <c r="AV236" s="220"/>
      <c r="AW236" s="220"/>
      <c r="AX236" s="220"/>
      <c r="AY236" s="220"/>
      <c r="AZ236" s="220"/>
      <c r="BA236" s="220"/>
    </row>
    <row r="237">
      <c r="A237" s="290">
        <f>PRIX!A238</f>
        <v>46047</v>
      </c>
      <c r="B237" s="299">
        <f>IF(A237="","",PRIX!B238*'QUANTITE DETENUES'!B238)</f>
        <v>25772.62706</v>
      </c>
      <c r="C237" s="299">
        <f>IF(B237="","",PRIX!C238*'QUANTITE DETENUES'!C238)</f>
        <v>6102.131708</v>
      </c>
      <c r="D237" s="299">
        <f>IF(C237="","",PRIX!D238*'QUANTITE DETENUES'!D238)</f>
        <v>0.00208540376</v>
      </c>
      <c r="E237" s="299">
        <f>IF(D237="","",PRIX!E238*'QUANTITE DETENUES'!E238)</f>
        <v>999.4752707</v>
      </c>
      <c r="F237" s="299">
        <f>IF(E237="","",PRIX!F238*'QUANTITE DETENUES'!F238)</f>
        <v>923.901149</v>
      </c>
      <c r="G237" s="299">
        <f>IF(F237="","",PRIX!G238*'QUANTITE DETENUES'!G238)</f>
        <v>0</v>
      </c>
      <c r="H237" s="299">
        <f>IF(G237="","",PRIX!H238*'QUANTITE DETENUES'!H238)</f>
        <v>295.3128448</v>
      </c>
      <c r="I237" s="299">
        <f>IF(H237="","",PRIX!I238*'QUANTITE DETENUES'!I238)</f>
        <v>323.7753894</v>
      </c>
      <c r="J237" s="299">
        <f>IF(I237="","",PRIX!J238*'QUANTITE DETENUES'!J238)</f>
        <v>-0.0000001488123116</v>
      </c>
      <c r="K237" s="299">
        <f>IF(J237="","",PRIX!K238*'QUANTITE DETENUES'!K238)</f>
        <v>0</v>
      </c>
      <c r="L237" s="299">
        <f>IF(K237="","",PRIX!L238*'QUANTITE DETENUES'!L238)</f>
        <v>0</v>
      </c>
      <c r="M237" s="299">
        <f>IF(L237="","",PRIX!M238*'QUANTITE DETENUES'!M238)</f>
        <v>532.9938667</v>
      </c>
      <c r="N237" s="299">
        <f>IF(M237="","",PRIX!N238*'QUANTITE DETENUES'!N238)</f>
        <v>0</v>
      </c>
      <c r="O237" s="299">
        <f>IF(N237="","",PRIX!O238*'QUANTITE DETENUES'!O238)</f>
        <v>0.002776453778</v>
      </c>
      <c r="P237" s="299">
        <f>IF(O237="","",PRIX!P238*'QUANTITE DETENUES'!P238)</f>
        <v>0.00001619513951</v>
      </c>
      <c r="Q237" s="299">
        <f>IF(P237="","",PRIX!Q238*'QUANTITE DETENUES'!Q238)</f>
        <v>0.0000001919999886</v>
      </c>
      <c r="R237" s="299">
        <f>IF(Q237="","",PRIX!R238*'QUANTITE DETENUES'!R238)</f>
        <v>0</v>
      </c>
      <c r="S237" s="300">
        <f>IF(R237="","",PRIX!S238*'QUANTITE DETENUES'!S238)</f>
        <v>0</v>
      </c>
      <c r="T237" s="14">
        <f>IF(A237="","",ARBITRAGES!M238)</f>
        <v>13336.78142</v>
      </c>
      <c r="U237" s="301">
        <f t="shared" si="1"/>
        <v>48287.00358</v>
      </c>
      <c r="V237" s="302">
        <f t="shared" si="2"/>
        <v>0.7238018426</v>
      </c>
      <c r="W237" s="288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220"/>
      <c r="AH237" s="308"/>
      <c r="AI237" s="220"/>
      <c r="AJ237" s="220"/>
      <c r="AK237" s="220"/>
      <c r="AL237" s="220"/>
      <c r="AM237" s="220"/>
      <c r="AN237" s="220"/>
      <c r="AO237" s="220"/>
      <c r="AP237" s="220"/>
      <c r="AQ237" s="220"/>
      <c r="AR237" s="220"/>
      <c r="AS237" s="220"/>
      <c r="AT237" s="220"/>
      <c r="AU237" s="220"/>
      <c r="AV237" s="220"/>
      <c r="AW237" s="220"/>
      <c r="AX237" s="220"/>
      <c r="AY237" s="220"/>
      <c r="AZ237" s="220"/>
      <c r="BA237" s="220"/>
    </row>
    <row r="238">
      <c r="A238" s="290">
        <f>PRIX!A239</f>
        <v>46048</v>
      </c>
      <c r="B238" s="299">
        <f>IF(A238="","",PRIX!B239*'QUANTITE DETENUES'!B239)</f>
        <v>25973.76991</v>
      </c>
      <c r="C238" s="299">
        <f>IF(B238="","",PRIX!C239*'QUANTITE DETENUES'!C239)</f>
        <v>6102.131708</v>
      </c>
      <c r="D238" s="299">
        <f>IF(C238="","",PRIX!D239*'QUANTITE DETENUES'!D239)</f>
        <v>0.00208540376</v>
      </c>
      <c r="E238" s="299">
        <f>IF(D238="","",PRIX!E239*'QUANTITE DETENUES'!E239)</f>
        <v>999.4752707</v>
      </c>
      <c r="F238" s="299">
        <f>IF(E238="","",PRIX!F239*'QUANTITE DETENUES'!F239)</f>
        <v>923.901149</v>
      </c>
      <c r="G238" s="299">
        <f>IF(F238="","",PRIX!G239*'QUANTITE DETENUES'!G239)</f>
        <v>0</v>
      </c>
      <c r="H238" s="299">
        <f>IF(G238="","",PRIX!H239*'QUANTITE DETENUES'!H239)</f>
        <v>295.3128448</v>
      </c>
      <c r="I238" s="299">
        <f>IF(H238="","",PRIX!I239*'QUANTITE DETENUES'!I239)</f>
        <v>323.7753894</v>
      </c>
      <c r="J238" s="299">
        <f>IF(I238="","",PRIX!J239*'QUANTITE DETENUES'!J239)</f>
        <v>-0.0000001488123116</v>
      </c>
      <c r="K238" s="299">
        <f>IF(J238="","",PRIX!K239*'QUANTITE DETENUES'!K239)</f>
        <v>0</v>
      </c>
      <c r="L238" s="299">
        <f>IF(K238="","",PRIX!L239*'QUANTITE DETENUES'!L239)</f>
        <v>0</v>
      </c>
      <c r="M238" s="299">
        <f>IF(L238="","",PRIX!M239*'QUANTITE DETENUES'!M239)</f>
        <v>532.9938667</v>
      </c>
      <c r="N238" s="299">
        <f>IF(M238="","",PRIX!N239*'QUANTITE DETENUES'!N239)</f>
        <v>0</v>
      </c>
      <c r="O238" s="299">
        <f>IF(N238="","",PRIX!O239*'QUANTITE DETENUES'!O239)</f>
        <v>0.002776453778</v>
      </c>
      <c r="P238" s="299">
        <f>IF(O238="","",PRIX!P239*'QUANTITE DETENUES'!P239)</f>
        <v>0.00001619513951</v>
      </c>
      <c r="Q238" s="299">
        <f>IF(P238="","",PRIX!Q239*'QUANTITE DETENUES'!Q239)</f>
        <v>0.0000001919999886</v>
      </c>
      <c r="R238" s="299">
        <f>IF(Q238="","",PRIX!R239*'QUANTITE DETENUES'!R239)</f>
        <v>0</v>
      </c>
      <c r="S238" s="300">
        <f>IF(R238="","",PRIX!S239*'QUANTITE DETENUES'!S239)</f>
        <v>0</v>
      </c>
      <c r="T238" s="14">
        <f>IF(A238="","",ARBITRAGES!M239)</f>
        <v>13136.78142</v>
      </c>
      <c r="U238" s="301">
        <f t="shared" si="1"/>
        <v>48288.14644</v>
      </c>
      <c r="V238" s="302">
        <f t="shared" si="2"/>
        <v>0.7279501827</v>
      </c>
      <c r="W238" s="288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308"/>
      <c r="AI238" s="220"/>
      <c r="AJ238" s="220"/>
      <c r="AK238" s="220"/>
      <c r="AL238" s="220"/>
      <c r="AM238" s="220"/>
      <c r="AN238" s="220"/>
      <c r="AO238" s="220"/>
      <c r="AP238" s="220"/>
      <c r="AQ238" s="220"/>
      <c r="AR238" s="220"/>
      <c r="AS238" s="220"/>
      <c r="AT238" s="220"/>
      <c r="AU238" s="220"/>
      <c r="AV238" s="220"/>
      <c r="AW238" s="220"/>
      <c r="AX238" s="220"/>
      <c r="AY238" s="220"/>
      <c r="AZ238" s="220"/>
      <c r="BA238" s="220"/>
    </row>
    <row r="239">
      <c r="A239" s="290">
        <f>PRIX!A240</f>
        <v>46053</v>
      </c>
      <c r="B239" s="299">
        <f>IF(A239="","",PRIX!B240*'QUANTITE DETENUES'!B240)</f>
        <v>25597.73753</v>
      </c>
      <c r="C239" s="299">
        <f>IF(B239="","",PRIX!C240*'QUANTITE DETENUES'!C240)</f>
        <v>5618.169538</v>
      </c>
      <c r="D239" s="299">
        <f>IF(C239="","",PRIX!D240*'QUANTITE DETENUES'!D240)</f>
        <v>0.001946376843</v>
      </c>
      <c r="E239" s="299">
        <f>IF(D239="","",PRIX!E240*'QUANTITE DETENUES'!E240)</f>
        <v>935.5088534</v>
      </c>
      <c r="F239" s="299">
        <f>IF(E239="","",PRIX!F240*'QUANTITE DETENUES'!F240)</f>
        <v>839.9101355</v>
      </c>
      <c r="G239" s="299">
        <f>IF(F239="","",PRIX!G240*'QUANTITE DETENUES'!G240)</f>
        <v>0</v>
      </c>
      <c r="H239" s="299">
        <f>IF(G239="","",PRIX!H240*'QUANTITE DETENUES'!H240)</f>
        <v>262.7783788</v>
      </c>
      <c r="I239" s="299">
        <f>IF(H239="","",PRIX!I240*'QUANTITE DETENUES'!I240)</f>
        <v>302.3687521</v>
      </c>
      <c r="J239" s="299">
        <f>IF(I239="","",PRIX!J240*'QUANTITE DETENUES'!J240)</f>
        <v>-0.0000001361681283</v>
      </c>
      <c r="K239" s="299">
        <f>IF(J239="","",PRIX!K240*'QUANTITE DETENUES'!K240)</f>
        <v>0</v>
      </c>
      <c r="L239" s="299">
        <f>IF(K239="","",PRIX!L240*'QUANTITE DETENUES'!L240)</f>
        <v>0</v>
      </c>
      <c r="M239" s="299">
        <f>IF(L239="","",PRIX!M240*'QUANTITE DETENUES'!M240)</f>
        <v>473.3827105</v>
      </c>
      <c r="N239" s="299">
        <f>IF(M239="","",PRIX!N240*'QUANTITE DETENUES'!N240)</f>
        <v>0</v>
      </c>
      <c r="O239" s="299">
        <f>IF(N239="","",PRIX!O240*'QUANTITE DETENUES'!O240)</f>
        <v>0.002557260059</v>
      </c>
      <c r="P239" s="299">
        <f>IF(O239="","",PRIX!P240*'QUANTITE DETENUES'!P240)</f>
        <v>0.00001561674167</v>
      </c>
      <c r="Q239" s="299">
        <f>IF(P239="","",PRIX!Q240*'QUANTITE DETENUES'!Q240)</f>
        <v>0.0000001759999895</v>
      </c>
      <c r="R239" s="299">
        <f>IF(Q239="","",PRIX!R240*'QUANTITE DETENUES'!R240)</f>
        <v>0</v>
      </c>
      <c r="S239" s="300">
        <f>IF(R239="","",PRIX!S240*'QUANTITE DETENUES'!S240)</f>
        <v>0</v>
      </c>
      <c r="T239" s="14">
        <f>IF(A239="","",ARBITRAGES!M240)</f>
        <v>12037.03142</v>
      </c>
      <c r="U239" s="301">
        <f t="shared" si="1"/>
        <v>46066.89183</v>
      </c>
      <c r="V239" s="302">
        <f t="shared" si="2"/>
        <v>0.7387053709</v>
      </c>
      <c r="W239" s="288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308"/>
      <c r="AI239" s="220"/>
      <c r="AJ239" s="220"/>
      <c r="AK239" s="220"/>
      <c r="AL239" s="220"/>
      <c r="AM239" s="220"/>
      <c r="AN239" s="220"/>
      <c r="AO239" s="220"/>
      <c r="AP239" s="220"/>
      <c r="AQ239" s="220"/>
      <c r="AR239" s="220"/>
      <c r="AS239" s="220"/>
      <c r="AT239" s="220"/>
      <c r="AU239" s="220"/>
      <c r="AV239" s="220"/>
      <c r="AW239" s="220"/>
      <c r="AX239" s="220"/>
      <c r="AY239" s="220"/>
      <c r="AZ239" s="220"/>
      <c r="BA239" s="220"/>
    </row>
    <row r="240">
      <c r="A240" s="290">
        <f>PRIX!A241</f>
        <v>46053</v>
      </c>
      <c r="B240" s="299">
        <f>IF(A240="","",PRIX!B241*'QUANTITE DETENUES'!B241)</f>
        <v>26095.73753</v>
      </c>
      <c r="C240" s="299">
        <f>IF(B240="","",PRIX!C241*'QUANTITE DETENUES'!C241)</f>
        <v>5618.169538</v>
      </c>
      <c r="D240" s="299">
        <f>IF(C240="","",PRIX!D241*'QUANTITE DETENUES'!D241)</f>
        <v>0.001946376843</v>
      </c>
      <c r="E240" s="299">
        <f>IF(D240="","",PRIX!E241*'QUANTITE DETENUES'!E241)</f>
        <v>935.5088534</v>
      </c>
      <c r="F240" s="299">
        <f>IF(E240="","",PRIX!F241*'QUANTITE DETENUES'!F241)</f>
        <v>839.9101355</v>
      </c>
      <c r="G240" s="299">
        <f>IF(F240="","",PRIX!G241*'QUANTITE DETENUES'!G241)</f>
        <v>0</v>
      </c>
      <c r="H240" s="299">
        <f>IF(G240="","",PRIX!H241*'QUANTITE DETENUES'!H241)</f>
        <v>262.7783788</v>
      </c>
      <c r="I240" s="299">
        <f>IF(H240="","",PRIX!I241*'QUANTITE DETENUES'!I241)</f>
        <v>302.3687521</v>
      </c>
      <c r="J240" s="299">
        <f>IF(I240="","",PRIX!J241*'QUANTITE DETENUES'!J241)</f>
        <v>-0.0000001361681283</v>
      </c>
      <c r="K240" s="299">
        <f>IF(J240="","",PRIX!K241*'QUANTITE DETENUES'!K241)</f>
        <v>0</v>
      </c>
      <c r="L240" s="299">
        <f>IF(K240="","",PRIX!L241*'QUANTITE DETENUES'!L241)</f>
        <v>0</v>
      </c>
      <c r="M240" s="299">
        <f>IF(L240="","",PRIX!M241*'QUANTITE DETENUES'!M241)</f>
        <v>473.3827105</v>
      </c>
      <c r="N240" s="299">
        <f>IF(M240="","",PRIX!N241*'QUANTITE DETENUES'!N241)</f>
        <v>0</v>
      </c>
      <c r="O240" s="299">
        <f>IF(N240="","",PRIX!O241*'QUANTITE DETENUES'!O241)</f>
        <v>0.002557260059</v>
      </c>
      <c r="P240" s="299">
        <f>IF(O240="","",PRIX!P241*'QUANTITE DETENUES'!P241)</f>
        <v>0.00001561674167</v>
      </c>
      <c r="Q240" s="299">
        <f>IF(P240="","",PRIX!Q241*'QUANTITE DETENUES'!Q241)</f>
        <v>0.0000001759999895</v>
      </c>
      <c r="R240" s="299">
        <f>IF(Q240="","",PRIX!R241*'QUANTITE DETENUES'!R241)</f>
        <v>0</v>
      </c>
      <c r="S240" s="300">
        <f>IF(R240="","",PRIX!S241*'QUANTITE DETENUES'!S241)</f>
        <v>0</v>
      </c>
      <c r="T240" s="14">
        <f>IF(A240="","",ARBITRAGES!M241)</f>
        <v>11542.03142</v>
      </c>
      <c r="U240" s="301">
        <f t="shared" si="1"/>
        <v>46069.89183</v>
      </c>
      <c r="V240" s="302">
        <f t="shared" si="2"/>
        <v>0.7494669304</v>
      </c>
      <c r="W240" s="288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220"/>
      <c r="AH240" s="308"/>
      <c r="AI240" s="220"/>
      <c r="AJ240" s="220"/>
      <c r="AK240" s="220"/>
      <c r="AL240" s="220"/>
      <c r="AM240" s="220"/>
      <c r="AN240" s="220"/>
      <c r="AO240" s="220"/>
      <c r="AP240" s="220"/>
      <c r="AQ240" s="220"/>
      <c r="AR240" s="220"/>
      <c r="AS240" s="220"/>
      <c r="AT240" s="220"/>
      <c r="AU240" s="220"/>
      <c r="AV240" s="220"/>
      <c r="AW240" s="220"/>
      <c r="AX240" s="220"/>
      <c r="AY240" s="220"/>
      <c r="AZ240" s="220"/>
      <c r="BA240" s="220"/>
    </row>
    <row r="241">
      <c r="A241" s="290">
        <f>PRIX!A242</f>
        <v>46053</v>
      </c>
      <c r="B241" s="299">
        <f>IF(A241="","",PRIX!B242*'QUANTITE DETENUES'!B242)</f>
        <v>26095.73753</v>
      </c>
      <c r="C241" s="299">
        <f>IF(B241="","",PRIX!C242*'QUANTITE DETENUES'!C242)</f>
        <v>5618.169538</v>
      </c>
      <c r="D241" s="299">
        <f>IF(C241="","",PRIX!D242*'QUANTITE DETENUES'!D242)</f>
        <v>0.001946376843</v>
      </c>
      <c r="E241" s="299">
        <f>IF(D241="","",PRIX!E242*'QUANTITE DETENUES'!E242)</f>
        <v>935.5088534</v>
      </c>
      <c r="F241" s="299">
        <f>IF(E241="","",PRIX!F242*'QUANTITE DETENUES'!F242)</f>
        <v>839.9101355</v>
      </c>
      <c r="G241" s="299">
        <f>IF(F241="","",PRIX!G242*'QUANTITE DETENUES'!G242)</f>
        <v>0</v>
      </c>
      <c r="H241" s="299">
        <f>IF(G241="","",PRIX!H242*'QUANTITE DETENUES'!H242)</f>
        <v>262.7783788</v>
      </c>
      <c r="I241" s="299">
        <f>IF(H241="","",PRIX!I242*'QUANTITE DETENUES'!I242)</f>
        <v>-0.004719348034</v>
      </c>
      <c r="J241" s="299">
        <f>IF(I241="","",PRIX!J242*'QUANTITE DETENUES'!J242)</f>
        <v>-0.0000001361681283</v>
      </c>
      <c r="K241" s="299">
        <f>IF(J241="","",PRIX!K242*'QUANTITE DETENUES'!K242)</f>
        <v>0</v>
      </c>
      <c r="L241" s="299">
        <f>IF(K241="","",PRIX!L242*'QUANTITE DETENUES'!L242)</f>
        <v>0</v>
      </c>
      <c r="M241" s="299">
        <f>IF(L241="","",PRIX!M242*'QUANTITE DETENUES'!M242)</f>
        <v>473.3827105</v>
      </c>
      <c r="N241" s="299">
        <f>IF(M241="","",PRIX!N242*'QUANTITE DETENUES'!N242)</f>
        <v>0</v>
      </c>
      <c r="O241" s="299">
        <f>IF(N241="","",PRIX!O242*'QUANTITE DETENUES'!O242)</f>
        <v>0.002557260059</v>
      </c>
      <c r="P241" s="299">
        <f>IF(O241="","",PRIX!P242*'QUANTITE DETENUES'!P242)</f>
        <v>0.00001561674167</v>
      </c>
      <c r="Q241" s="299">
        <f>IF(P241="","",PRIX!Q242*'QUANTITE DETENUES'!Q242)</f>
        <v>0.0000001759999895</v>
      </c>
      <c r="R241" s="299">
        <f>IF(Q241="","",PRIX!R242*'QUANTITE DETENUES'!R242)</f>
        <v>0</v>
      </c>
      <c r="S241" s="300">
        <f>IF(R241="","",PRIX!S242*'QUANTITE DETENUES'!S242)</f>
        <v>0</v>
      </c>
      <c r="T241" s="14">
        <f>IF(A241="","",ARBITRAGES!M242)</f>
        <v>11842.03142</v>
      </c>
      <c r="U241" s="301">
        <f t="shared" si="1"/>
        <v>46067.51836</v>
      </c>
      <c r="V241" s="302">
        <f t="shared" si="2"/>
        <v>0.742941842</v>
      </c>
      <c r="W241" s="288"/>
      <c r="X241" s="220"/>
      <c r="Y241" s="220"/>
      <c r="Z241" s="220"/>
      <c r="AA241" s="220"/>
      <c r="AB241" s="220"/>
      <c r="AC241" s="220"/>
      <c r="AD241" s="220"/>
      <c r="AE241" s="220"/>
      <c r="AF241" s="220"/>
      <c r="AG241" s="220"/>
      <c r="AH241" s="308"/>
      <c r="AI241" s="220"/>
      <c r="AJ241" s="220"/>
      <c r="AK241" s="220"/>
      <c r="AL241" s="220"/>
      <c r="AM241" s="220"/>
      <c r="AN241" s="220"/>
      <c r="AO241" s="220"/>
      <c r="AP241" s="220"/>
      <c r="AQ241" s="220"/>
      <c r="AR241" s="220"/>
      <c r="AS241" s="220"/>
      <c r="AT241" s="220"/>
      <c r="AU241" s="220"/>
      <c r="AV241" s="220"/>
      <c r="AW241" s="220"/>
      <c r="AX241" s="220"/>
      <c r="AY241" s="220"/>
      <c r="AZ241" s="220"/>
      <c r="BA241" s="220"/>
    </row>
    <row r="242">
      <c r="A242" s="290">
        <f>PRIX!A243</f>
        <v>46053</v>
      </c>
      <c r="B242" s="299">
        <f>IF(A242="","",PRIX!B243*'QUANTITE DETENUES'!B243)</f>
        <v>27669.42758</v>
      </c>
      <c r="C242" s="299">
        <f>IF(B242="","",PRIX!C243*'QUANTITE DETENUES'!C243)</f>
        <v>5618.169538</v>
      </c>
      <c r="D242" s="299">
        <f>IF(C242="","",PRIX!D243*'QUANTITE DETENUES'!D243)</f>
        <v>0.001946376843</v>
      </c>
      <c r="E242" s="299">
        <f>IF(D242="","",PRIX!E243*'QUANTITE DETENUES'!E243)</f>
        <v>935.5088534</v>
      </c>
      <c r="F242" s="299">
        <f>IF(E242="","",PRIX!F243*'QUANTITE DETENUES'!F243)</f>
        <v>839.9101355</v>
      </c>
      <c r="G242" s="299">
        <f>IF(F242="","",PRIX!G243*'QUANTITE DETENUES'!G243)</f>
        <v>0</v>
      </c>
      <c r="H242" s="299">
        <f>IF(G242="","",PRIX!H243*'QUANTITE DETENUES'!H243)</f>
        <v>262.7783788</v>
      </c>
      <c r="I242" s="299">
        <f>IF(H242="","",PRIX!I243*'QUANTITE DETENUES'!I243)</f>
        <v>-0.004719348034</v>
      </c>
      <c r="J242" s="299">
        <f>IF(I242="","",PRIX!J243*'QUANTITE DETENUES'!J243)</f>
        <v>-0.0000001361681283</v>
      </c>
      <c r="K242" s="299">
        <f>IF(J242="","",PRIX!K243*'QUANTITE DETENUES'!K243)</f>
        <v>0</v>
      </c>
      <c r="L242" s="299">
        <f>IF(K242="","",PRIX!L243*'QUANTITE DETENUES'!L243)</f>
        <v>0</v>
      </c>
      <c r="M242" s="299">
        <f>IF(L242="","",PRIX!M243*'QUANTITE DETENUES'!M243)</f>
        <v>473.3827105</v>
      </c>
      <c r="N242" s="299">
        <f>IF(M242="","",PRIX!N243*'QUANTITE DETENUES'!N243)</f>
        <v>0</v>
      </c>
      <c r="O242" s="299">
        <f>IF(N242="","",PRIX!O243*'QUANTITE DETENUES'!O243)</f>
        <v>0.002557260059</v>
      </c>
      <c r="P242" s="299">
        <f>IF(O242="","",PRIX!P243*'QUANTITE DETENUES'!P243)</f>
        <v>0.00001561674167</v>
      </c>
      <c r="Q242" s="299">
        <f>IF(P242="","",PRIX!Q243*'QUANTITE DETENUES'!Q243)</f>
        <v>0.0000001759999895</v>
      </c>
      <c r="R242" s="299">
        <f>IF(Q242="","",PRIX!R243*'QUANTITE DETENUES'!R243)</f>
        <v>0</v>
      </c>
      <c r="S242" s="300">
        <f>IF(R242="","",PRIX!S243*'QUANTITE DETENUES'!S243)</f>
        <v>0</v>
      </c>
      <c r="T242" s="14">
        <f>IF(A242="","",ARBITRAGES!M243)</f>
        <v>10372.62204</v>
      </c>
      <c r="U242" s="301">
        <f t="shared" si="1"/>
        <v>46171.79903</v>
      </c>
      <c r="V242" s="302">
        <f t="shared" si="2"/>
        <v>0.7753472411</v>
      </c>
      <c r="W242" s="288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220"/>
      <c r="AH242" s="308"/>
      <c r="AI242" s="220"/>
      <c r="AJ242" s="220"/>
      <c r="AK242" s="220"/>
      <c r="AL242" s="220"/>
      <c r="AM242" s="220"/>
      <c r="AN242" s="220"/>
      <c r="AO242" s="220"/>
      <c r="AP242" s="220"/>
      <c r="AQ242" s="220"/>
      <c r="AR242" s="220"/>
      <c r="AS242" s="220"/>
      <c r="AT242" s="220"/>
      <c r="AU242" s="220"/>
      <c r="AV242" s="220"/>
      <c r="AW242" s="220"/>
      <c r="AX242" s="220"/>
      <c r="AY242" s="220"/>
      <c r="AZ242" s="220"/>
      <c r="BA242" s="220"/>
    </row>
    <row r="243">
      <c r="A243" s="290">
        <f>PRIX!A244</f>
        <v>46053</v>
      </c>
      <c r="B243" s="299">
        <f>IF(A243="","",PRIX!B244*'QUANTITE DETENUES'!B244)</f>
        <v>27669.42758</v>
      </c>
      <c r="C243" s="299">
        <f>IF(B243="","",PRIX!C244*'QUANTITE DETENUES'!C244)</f>
        <v>5618.169538</v>
      </c>
      <c r="D243" s="299">
        <f>IF(C243="","",PRIX!D244*'QUANTITE DETENUES'!D244)</f>
        <v>0.001946376843</v>
      </c>
      <c r="E243" s="299">
        <f>IF(D243="","",PRIX!E244*'QUANTITE DETENUES'!E244)</f>
        <v>935.5088534</v>
      </c>
      <c r="F243" s="299">
        <f>IF(E243="","",PRIX!F244*'QUANTITE DETENUES'!F244)</f>
        <v>1050.246135</v>
      </c>
      <c r="G243" s="299">
        <f>IF(F243="","",PRIX!G244*'QUANTITE DETENUES'!G244)</f>
        <v>0</v>
      </c>
      <c r="H243" s="299">
        <f>IF(G243="","",PRIX!H244*'QUANTITE DETENUES'!H244)</f>
        <v>262.7783788</v>
      </c>
      <c r="I243" s="299">
        <f>IF(H243="","",PRIX!I244*'QUANTITE DETENUES'!I244)</f>
        <v>-0.004719348034</v>
      </c>
      <c r="J243" s="299">
        <f>IF(I243="","",PRIX!J244*'QUANTITE DETENUES'!J244)</f>
        <v>-0.0000001361681283</v>
      </c>
      <c r="K243" s="299">
        <f>IF(J243="","",PRIX!K244*'QUANTITE DETENUES'!K244)</f>
        <v>0</v>
      </c>
      <c r="L243" s="299">
        <f>IF(K243="","",PRIX!L244*'QUANTITE DETENUES'!L244)</f>
        <v>0</v>
      </c>
      <c r="M243" s="299">
        <f>IF(L243="","",PRIX!M244*'QUANTITE DETENUES'!M244)</f>
        <v>473.3827105</v>
      </c>
      <c r="N243" s="299">
        <f>IF(M243="","",PRIX!N244*'QUANTITE DETENUES'!N244)</f>
        <v>0</v>
      </c>
      <c r="O243" s="299">
        <f>IF(N243="","",PRIX!O244*'QUANTITE DETENUES'!O244)</f>
        <v>0.002557260059</v>
      </c>
      <c r="P243" s="299">
        <f>IF(O243="","",PRIX!P244*'QUANTITE DETENUES'!P244)</f>
        <v>0.00001561674167</v>
      </c>
      <c r="Q243" s="299">
        <f>IF(P243="","",PRIX!Q244*'QUANTITE DETENUES'!Q244)</f>
        <v>0.0000001759999895</v>
      </c>
      <c r="R243" s="299">
        <f>IF(Q243="","",PRIX!R244*'QUANTITE DETENUES'!R244)</f>
        <v>0</v>
      </c>
      <c r="S243" s="300">
        <f>IF(R243="","",PRIX!S244*'QUANTITE DETENUES'!S244)</f>
        <v>0</v>
      </c>
      <c r="T243" s="14">
        <f>IF(A243="","",ARBITRAGES!M244)</f>
        <v>10172.62204</v>
      </c>
      <c r="U243" s="301">
        <f t="shared" si="1"/>
        <v>46182.13503</v>
      </c>
      <c r="V243" s="302">
        <f t="shared" si="2"/>
        <v>0.7797281995</v>
      </c>
      <c r="W243" s="288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220"/>
      <c r="AH243" s="308"/>
      <c r="AI243" s="220"/>
      <c r="AJ243" s="220"/>
      <c r="AK243" s="220"/>
      <c r="AL243" s="220"/>
      <c r="AM243" s="220"/>
      <c r="AN243" s="220"/>
      <c r="AO243" s="220"/>
      <c r="AP243" s="220"/>
      <c r="AQ243" s="220"/>
      <c r="AR243" s="220"/>
      <c r="AS243" s="220"/>
      <c r="AT243" s="220"/>
      <c r="AU243" s="220"/>
      <c r="AV243" s="220"/>
      <c r="AW243" s="220"/>
      <c r="AX243" s="220"/>
      <c r="AY243" s="220"/>
      <c r="AZ243" s="220"/>
      <c r="BA243" s="220"/>
    </row>
    <row r="244">
      <c r="A244" s="290">
        <f>PRIX!A245</f>
        <v>46053</v>
      </c>
      <c r="B244" s="299">
        <f>IF(A244="","",PRIX!B245*'QUANTITE DETENUES'!B245)</f>
        <v>27669.42758</v>
      </c>
      <c r="C244" s="299">
        <f>IF(B244="","",PRIX!C245*'QUANTITE DETENUES'!C245)</f>
        <v>5618.169538</v>
      </c>
      <c r="D244" s="299">
        <f>IF(C244="","",PRIX!D245*'QUANTITE DETENUES'!D245)</f>
        <v>0.001946376843</v>
      </c>
      <c r="E244" s="299">
        <f>IF(D244="","",PRIX!E245*'QUANTITE DETENUES'!E245)</f>
        <v>1196.418853</v>
      </c>
      <c r="F244" s="299">
        <f>IF(E244="","",PRIX!F245*'QUANTITE DETENUES'!F245)</f>
        <v>1050.246135</v>
      </c>
      <c r="G244" s="299">
        <f>IF(F244="","",PRIX!G245*'QUANTITE DETENUES'!G245)</f>
        <v>0</v>
      </c>
      <c r="H244" s="299">
        <f>IF(G244="","",PRIX!H245*'QUANTITE DETENUES'!H245)</f>
        <v>262.7783788</v>
      </c>
      <c r="I244" s="299">
        <f>IF(H244="","",PRIX!I245*'QUANTITE DETENUES'!I245)</f>
        <v>-0.004719348034</v>
      </c>
      <c r="J244" s="299">
        <f>IF(I244="","",PRIX!J245*'QUANTITE DETENUES'!J245)</f>
        <v>-0.0000001361681283</v>
      </c>
      <c r="K244" s="299">
        <f>IF(J244="","",PRIX!K245*'QUANTITE DETENUES'!K245)</f>
        <v>0</v>
      </c>
      <c r="L244" s="299">
        <f>IF(K244="","",PRIX!L245*'QUANTITE DETENUES'!L245)</f>
        <v>0</v>
      </c>
      <c r="M244" s="299">
        <f>IF(L244="","",PRIX!M245*'QUANTITE DETENUES'!M245)</f>
        <v>473.3827105</v>
      </c>
      <c r="N244" s="299">
        <f>IF(M244="","",PRIX!N245*'QUANTITE DETENUES'!N245)</f>
        <v>0</v>
      </c>
      <c r="O244" s="299">
        <f>IF(N244="","",PRIX!O245*'QUANTITE DETENUES'!O245)</f>
        <v>0.002557260059</v>
      </c>
      <c r="P244" s="299">
        <f>IF(O244="","",PRIX!P245*'QUANTITE DETENUES'!P245)</f>
        <v>0.00001561674167</v>
      </c>
      <c r="Q244" s="299">
        <f>IF(P244="","",PRIX!Q245*'QUANTITE DETENUES'!Q245)</f>
        <v>0.0000001759999895</v>
      </c>
      <c r="R244" s="299">
        <f>IF(Q244="","",PRIX!R245*'QUANTITE DETENUES'!R245)</f>
        <v>0</v>
      </c>
      <c r="S244" s="300">
        <f>IF(R244="","",PRIX!S245*'QUANTITE DETENUES'!S245)</f>
        <v>0</v>
      </c>
      <c r="T244" s="14">
        <f>IF(A244="","",ARBITRAGES!M245)</f>
        <v>9930.622036</v>
      </c>
      <c r="U244" s="301">
        <f t="shared" si="1"/>
        <v>46201.04503</v>
      </c>
      <c r="V244" s="302">
        <f t="shared" si="2"/>
        <v>0.785056333</v>
      </c>
      <c r="W244" s="288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308"/>
      <c r="AI244" s="220"/>
      <c r="AJ244" s="220"/>
      <c r="AK244" s="220"/>
      <c r="AL244" s="220"/>
      <c r="AM244" s="220"/>
      <c r="AN244" s="220"/>
      <c r="AO244" s="220"/>
      <c r="AP244" s="220"/>
      <c r="AQ244" s="220"/>
      <c r="AR244" s="220"/>
      <c r="AS244" s="220"/>
      <c r="AT244" s="220"/>
      <c r="AU244" s="220"/>
      <c r="AV244" s="220"/>
      <c r="AW244" s="220"/>
      <c r="AX244" s="220"/>
      <c r="AY244" s="220"/>
      <c r="AZ244" s="220"/>
      <c r="BA244" s="220"/>
    </row>
    <row r="245">
      <c r="A245" s="290">
        <f>PRIX!A246</f>
        <v>46053</v>
      </c>
      <c r="B245" s="299">
        <f>IF(A245="","",PRIX!B246*'QUANTITE DETENUES'!B246)</f>
        <v>27669.42768</v>
      </c>
      <c r="C245" s="299">
        <f>IF(B245="","",PRIX!C246*'QUANTITE DETENUES'!C246)</f>
        <v>5618.169538</v>
      </c>
      <c r="D245" s="299">
        <f>IF(C245="","",PRIX!D246*'QUANTITE DETENUES'!D246)</f>
        <v>0.001946376843</v>
      </c>
      <c r="E245" s="299">
        <f>IF(D245="","",PRIX!E246*'QUANTITE DETENUES'!E246)</f>
        <v>1196.418853</v>
      </c>
      <c r="F245" s="299">
        <f>IF(E245="","",PRIX!F246*'QUANTITE DETENUES'!F246)</f>
        <v>1050.246135</v>
      </c>
      <c r="G245" s="299">
        <f>IF(F245="","",PRIX!G246*'QUANTITE DETENUES'!G246)</f>
        <v>0</v>
      </c>
      <c r="H245" s="299">
        <f>IF(G245="","",PRIX!H246*'QUANTITE DETENUES'!H246)</f>
        <v>262.7783788</v>
      </c>
      <c r="I245" s="299">
        <f>IF(H245="","",PRIX!I246*'QUANTITE DETENUES'!I246)</f>
        <v>-0.004719348034</v>
      </c>
      <c r="J245" s="299">
        <f>IF(I245="","",PRIX!J246*'QUANTITE DETENUES'!J246)</f>
        <v>-0.0000001361681283</v>
      </c>
      <c r="K245" s="299">
        <f>IF(J245="","",PRIX!K246*'QUANTITE DETENUES'!K246)</f>
        <v>0</v>
      </c>
      <c r="L245" s="299">
        <f>IF(K245="","",PRIX!L246*'QUANTITE DETENUES'!L246)</f>
        <v>0</v>
      </c>
      <c r="M245" s="299">
        <f>IF(L245="","",PRIX!M246*'QUANTITE DETENUES'!M246)</f>
        <v>473.3827105</v>
      </c>
      <c r="N245" s="299">
        <f>IF(M245="","",PRIX!N246*'QUANTITE DETENUES'!N246)</f>
        <v>0</v>
      </c>
      <c r="O245" s="299">
        <f>IF(N245="","",PRIX!O246*'QUANTITE DETENUES'!O246)</f>
        <v>0.002557260059</v>
      </c>
      <c r="P245" s="299">
        <f>IF(O245="","",PRIX!P246*'QUANTITE DETENUES'!P246)</f>
        <v>0.00001561674167</v>
      </c>
      <c r="Q245" s="299">
        <f>IF(P245="","",PRIX!Q246*'QUANTITE DETENUES'!Q246)</f>
        <v>0.0000001759999895</v>
      </c>
      <c r="R245" s="299">
        <f>IF(Q245="","",PRIX!R246*'QUANTITE DETENUES'!R246)</f>
        <v>0</v>
      </c>
      <c r="S245" s="300">
        <f>IF(R245="","",PRIX!S246*'QUANTITE DETENUES'!S246)</f>
        <v>0</v>
      </c>
      <c r="T245" s="14">
        <f>IF(A245="","",ARBITRAGES!M246)</f>
        <v>9930.621936</v>
      </c>
      <c r="U245" s="301">
        <f t="shared" si="1"/>
        <v>46201.04504</v>
      </c>
      <c r="V245" s="302">
        <f t="shared" si="2"/>
        <v>0.7850563352</v>
      </c>
      <c r="W245" s="288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220"/>
      <c r="AH245" s="308"/>
      <c r="AI245" s="220"/>
      <c r="AJ245" s="220"/>
      <c r="AK245" s="220"/>
      <c r="AL245" s="220"/>
      <c r="AM245" s="220"/>
      <c r="AN245" s="220"/>
      <c r="AO245" s="220"/>
      <c r="AP245" s="220"/>
      <c r="AQ245" s="220"/>
      <c r="AR245" s="220"/>
      <c r="AS245" s="220"/>
      <c r="AT245" s="220"/>
      <c r="AU245" s="220"/>
      <c r="AV245" s="220"/>
      <c r="AW245" s="220"/>
      <c r="AX245" s="220"/>
      <c r="AY245" s="220"/>
      <c r="AZ245" s="220"/>
      <c r="BA245" s="220"/>
    </row>
    <row r="246">
      <c r="A246" s="290">
        <f>PRIX!A247</f>
        <v>46054</v>
      </c>
      <c r="B246" s="299">
        <f>IF(A246="","",PRIX!B247*'QUANTITE DETENUES'!B247)</f>
        <v>26561.77799</v>
      </c>
      <c r="C246" s="299">
        <f>IF(B246="","",PRIX!C247*'QUANTITE DETENUES'!C247)</f>
        <v>5050.040034</v>
      </c>
      <c r="D246" s="299">
        <f>IF(C246="","",PRIX!D247*'QUANTITE DETENUES'!D247)</f>
        <v>0.001890766076</v>
      </c>
      <c r="E246" s="299">
        <f>IF(D246="","",PRIX!E247*'QUANTITE DETENUES'!E247)</f>
        <v>1073.709227</v>
      </c>
      <c r="F246" s="299">
        <f>IF(E246="","",PRIX!F247*'QUANTITE DETENUES'!F247)</f>
        <v>975.2285544</v>
      </c>
      <c r="G246" s="299">
        <f>IF(F246="","",PRIX!G247*'QUANTITE DETENUES'!G247)</f>
        <v>0</v>
      </c>
      <c r="H246" s="299">
        <f>IF(G246="","",PRIX!H247*'QUANTITE DETENUES'!H247)</f>
        <v>246.5111459</v>
      </c>
      <c r="I246" s="299">
        <f>IF(H246="","",PRIX!I247*'QUANTITE DETENUES'!I247)</f>
        <v>-0.004385234899</v>
      </c>
      <c r="J246" s="299">
        <f>IF(I246="","",PRIX!J247*'QUANTITE DETENUES'!J247)</f>
        <v>-0.0000001322776103</v>
      </c>
      <c r="K246" s="299">
        <f>IF(J246="","",PRIX!K247*'QUANTITE DETENUES'!K247)</f>
        <v>0</v>
      </c>
      <c r="L246" s="299">
        <f>IF(K246="","",PRIX!L247*'QUANTITE DETENUES'!L247)</f>
        <v>0</v>
      </c>
      <c r="M246" s="299">
        <f>IF(L246="","",PRIX!M247*'QUANTITE DETENUES'!M247)</f>
        <v>445.3304018</v>
      </c>
      <c r="N246" s="299">
        <f>IF(M246="","",PRIX!N247*'QUANTITE DETENUES'!N247)</f>
        <v>0</v>
      </c>
      <c r="O246" s="299">
        <f>IF(N246="","",PRIX!O247*'QUANTITE DETENUES'!O247)</f>
        <v>0.002367292169</v>
      </c>
      <c r="P246" s="299">
        <f>IF(O246="","",PRIX!P247*'QUANTITE DETENUES'!P247)</f>
        <v>0.00001388154815</v>
      </c>
      <c r="Q246" s="299">
        <f>IF(P246="","",PRIX!Q247*'QUANTITE DETENUES'!Q247)</f>
        <v>0.0000001719999897</v>
      </c>
      <c r="R246" s="299">
        <f>IF(Q246="","",PRIX!R247*'QUANTITE DETENUES'!R247)</f>
        <v>0</v>
      </c>
      <c r="S246" s="300">
        <f>IF(R246="","",PRIX!S247*'QUANTITE DETENUES'!S247)</f>
        <v>0</v>
      </c>
      <c r="T246" s="14">
        <f>IF(A246="","",ARBITRAGES!M247)</f>
        <v>9545.621936</v>
      </c>
      <c r="U246" s="301">
        <f t="shared" si="1"/>
        <v>43898.21918</v>
      </c>
      <c r="V246" s="302">
        <f t="shared" si="2"/>
        <v>0.7825510439</v>
      </c>
      <c r="W246" s="288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308"/>
      <c r="AI246" s="220"/>
      <c r="AJ246" s="220"/>
      <c r="AK246" s="220"/>
      <c r="AL246" s="220"/>
      <c r="AM246" s="220"/>
      <c r="AN246" s="220"/>
      <c r="AO246" s="220"/>
      <c r="AP246" s="220"/>
      <c r="AQ246" s="220"/>
      <c r="AR246" s="220"/>
      <c r="AS246" s="220"/>
      <c r="AT246" s="220"/>
      <c r="AU246" s="220"/>
      <c r="AV246" s="220"/>
      <c r="AW246" s="220"/>
      <c r="AX246" s="220"/>
      <c r="AY246" s="220"/>
      <c r="AZ246" s="220"/>
      <c r="BA246" s="220"/>
    </row>
    <row r="247">
      <c r="A247" s="290">
        <f>PRIX!A248</f>
        <v>46054</v>
      </c>
      <c r="B247" s="299">
        <f>IF(A247="","",PRIX!B248*'QUANTITE DETENUES'!B248)</f>
        <v>26561.77799</v>
      </c>
      <c r="C247" s="299">
        <f>IF(B247="","",PRIX!C248*'QUANTITE DETENUES'!C248)</f>
        <v>5167.486842</v>
      </c>
      <c r="D247" s="299">
        <f>IF(C247="","",PRIX!D248*'QUANTITE DETENUES'!D248)</f>
        <v>0.001890766076</v>
      </c>
      <c r="E247" s="299">
        <f>IF(D247="","",PRIX!E248*'QUANTITE DETENUES'!E248)</f>
        <v>1073.709227</v>
      </c>
      <c r="F247" s="299">
        <f>IF(E247="","",PRIX!F248*'QUANTITE DETENUES'!F248)</f>
        <v>975.2285544</v>
      </c>
      <c r="G247" s="299">
        <f>IF(F247="","",PRIX!G248*'QUANTITE DETENUES'!G248)</f>
        <v>0</v>
      </c>
      <c r="H247" s="299">
        <f>IF(G247="","",PRIX!H248*'QUANTITE DETENUES'!H248)</f>
        <v>246.5111459</v>
      </c>
      <c r="I247" s="299">
        <f>IF(H247="","",PRIX!I248*'QUANTITE DETENUES'!I248)</f>
        <v>-0.004385234899</v>
      </c>
      <c r="J247" s="299">
        <f>IF(I247="","",PRIX!J248*'QUANTITE DETENUES'!J248)</f>
        <v>-0.0000001322776103</v>
      </c>
      <c r="K247" s="299">
        <f>IF(J247="","",PRIX!K248*'QUANTITE DETENUES'!K248)</f>
        <v>0</v>
      </c>
      <c r="L247" s="299">
        <f>IF(K247="","",PRIX!L248*'QUANTITE DETENUES'!L248)</f>
        <v>0</v>
      </c>
      <c r="M247" s="299">
        <f>IF(L247="","",PRIX!M248*'QUANTITE DETENUES'!M248)</f>
        <v>445.3304018</v>
      </c>
      <c r="N247" s="299">
        <f>IF(M247="","",PRIX!N248*'QUANTITE DETENUES'!N248)</f>
        <v>0</v>
      </c>
      <c r="O247" s="299">
        <f>IF(N247="","",PRIX!O248*'QUANTITE DETENUES'!O248)</f>
        <v>0.002367292169</v>
      </c>
      <c r="P247" s="299">
        <f>IF(O247="","",PRIX!P248*'QUANTITE DETENUES'!P248)</f>
        <v>0.00001388154815</v>
      </c>
      <c r="Q247" s="299">
        <f>IF(P247="","",PRIX!Q248*'QUANTITE DETENUES'!Q248)</f>
        <v>0.0000001719999897</v>
      </c>
      <c r="R247" s="299">
        <f>IF(Q247="","",PRIX!R248*'QUANTITE DETENUES'!R248)</f>
        <v>0</v>
      </c>
      <c r="S247" s="300">
        <f>IF(R247="","",PRIX!S248*'QUANTITE DETENUES'!S248)</f>
        <v>0</v>
      </c>
      <c r="T247" s="14">
        <f>IF(A247="","",ARBITRAGES!M248)</f>
        <v>9430.621936</v>
      </c>
      <c r="U247" s="301">
        <f t="shared" si="1"/>
        <v>43900.66599</v>
      </c>
      <c r="V247" s="302">
        <f t="shared" si="2"/>
        <v>0.7851827137</v>
      </c>
      <c r="W247" s="288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220"/>
      <c r="AH247" s="308"/>
      <c r="AI247" s="220"/>
      <c r="AJ247" s="220"/>
      <c r="AK247" s="220"/>
      <c r="AL247" s="220"/>
      <c r="AM247" s="220"/>
      <c r="AN247" s="220"/>
      <c r="AO247" s="220"/>
      <c r="AP247" s="220"/>
      <c r="AQ247" s="220"/>
      <c r="AR247" s="220"/>
      <c r="AS247" s="220"/>
      <c r="AT247" s="220"/>
      <c r="AU247" s="220"/>
      <c r="AV247" s="220"/>
      <c r="AW247" s="220"/>
      <c r="AX247" s="220"/>
      <c r="AY247" s="220"/>
      <c r="AZ247" s="220"/>
      <c r="BA247" s="220"/>
    </row>
    <row r="248">
      <c r="A248" s="290">
        <f>PRIX!A249</f>
        <v>46054</v>
      </c>
      <c r="B248" s="299">
        <f>IF(A248="","",PRIX!B249*'QUANTITE DETENUES'!B249)</f>
        <v>26561.77799</v>
      </c>
      <c r="C248" s="299">
        <f>IF(B248="","",PRIX!C249*'QUANTITE DETENUES'!C249)</f>
        <v>5527.486842</v>
      </c>
      <c r="D248" s="299">
        <f>IF(C248="","",PRIX!D249*'QUANTITE DETENUES'!D249)</f>
        <v>0.001890766076</v>
      </c>
      <c r="E248" s="299">
        <f>IF(D248="","",PRIX!E249*'QUANTITE DETENUES'!E249)</f>
        <v>1073.709227</v>
      </c>
      <c r="F248" s="299">
        <f>IF(E248="","",PRIX!F249*'QUANTITE DETENUES'!F249)</f>
        <v>975.2285544</v>
      </c>
      <c r="G248" s="299">
        <f>IF(F248="","",PRIX!G249*'QUANTITE DETENUES'!G249)</f>
        <v>0</v>
      </c>
      <c r="H248" s="299">
        <f>IF(G248="","",PRIX!H249*'QUANTITE DETENUES'!H249)</f>
        <v>246.5111459</v>
      </c>
      <c r="I248" s="299">
        <f>IF(H248="","",PRIX!I249*'QUANTITE DETENUES'!I249)</f>
        <v>-0.004385234899</v>
      </c>
      <c r="J248" s="299">
        <f>IF(I248="","",PRIX!J249*'QUANTITE DETENUES'!J249)</f>
        <v>-0.0000001322776103</v>
      </c>
      <c r="K248" s="299">
        <f>IF(J248="","",PRIX!K249*'QUANTITE DETENUES'!K249)</f>
        <v>0</v>
      </c>
      <c r="L248" s="299">
        <f>IF(K248="","",PRIX!L249*'QUANTITE DETENUES'!L249)</f>
        <v>0</v>
      </c>
      <c r="M248" s="299">
        <f>IF(L248="","",PRIX!M249*'QUANTITE DETENUES'!M249)</f>
        <v>445.3304018</v>
      </c>
      <c r="N248" s="299">
        <f>IF(M248="","",PRIX!N249*'QUANTITE DETENUES'!N249)</f>
        <v>0</v>
      </c>
      <c r="O248" s="299">
        <f>IF(N248="","",PRIX!O249*'QUANTITE DETENUES'!O249)</f>
        <v>0.002367292169</v>
      </c>
      <c r="P248" s="299">
        <f>IF(O248="","",PRIX!P249*'QUANTITE DETENUES'!P249)</f>
        <v>0.00001388154815</v>
      </c>
      <c r="Q248" s="299">
        <f>IF(P248="","",PRIX!Q249*'QUANTITE DETENUES'!Q249)</f>
        <v>0.0000001719999897</v>
      </c>
      <c r="R248" s="299">
        <f>IF(Q248="","",PRIX!R249*'QUANTITE DETENUES'!R249)</f>
        <v>0</v>
      </c>
      <c r="S248" s="300">
        <f>IF(R248="","",PRIX!S249*'QUANTITE DETENUES'!S249)</f>
        <v>0</v>
      </c>
      <c r="T248" s="14">
        <f>IF(A248="","",ARBITRAGES!M249)</f>
        <v>9085.621936</v>
      </c>
      <c r="U248" s="301">
        <f t="shared" si="1"/>
        <v>43915.66599</v>
      </c>
      <c r="V248" s="302">
        <f t="shared" si="2"/>
        <v>0.7931120539</v>
      </c>
      <c r="W248" s="288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308"/>
      <c r="AI248" s="220"/>
      <c r="AJ248" s="220"/>
      <c r="AK248" s="220"/>
      <c r="AL248" s="220"/>
      <c r="AM248" s="220"/>
      <c r="AN248" s="220"/>
      <c r="AO248" s="220"/>
      <c r="AP248" s="220"/>
      <c r="AQ248" s="220"/>
      <c r="AR248" s="220"/>
      <c r="AS248" s="220"/>
      <c r="AT248" s="220"/>
      <c r="AU248" s="220"/>
      <c r="AV248" s="220"/>
      <c r="AW248" s="220"/>
      <c r="AX248" s="220"/>
      <c r="AY248" s="220"/>
      <c r="AZ248" s="220"/>
      <c r="BA248" s="220"/>
    </row>
    <row r="249">
      <c r="A249" s="290">
        <f>PRIX!A250</f>
        <v>46055</v>
      </c>
      <c r="B249" s="299">
        <f>IF(A249="","",PRIX!B250*'QUANTITE DETENUES'!B250)</f>
        <v>26363.76809</v>
      </c>
      <c r="C249" s="299">
        <f>IF(B249="","",PRIX!C250*'QUANTITE DETENUES'!C250)</f>
        <v>5182.018915</v>
      </c>
      <c r="D249" s="299">
        <f>IF(C249="","",PRIX!D250*'QUANTITE DETENUES'!D250)</f>
        <v>0.001849058001</v>
      </c>
      <c r="E249" s="299">
        <f>IF(D249="","",PRIX!E250*'QUANTITE DETENUES'!E250)</f>
        <v>1022.580217</v>
      </c>
      <c r="F249" s="299">
        <f>IF(E249="","",PRIX!F250*'QUANTITE DETENUES'!F250)</f>
        <v>950.222694</v>
      </c>
      <c r="G249" s="299">
        <f>IF(F249="","",PRIX!G250*'QUANTITE DETENUES'!G250)</f>
        <v>0</v>
      </c>
      <c r="H249" s="299">
        <f>IF(G249="","",PRIX!H250*'QUANTITE DETENUES'!H250)</f>
        <v>240.2545178</v>
      </c>
      <c r="I249" s="299">
        <f>IF(H249="","",PRIX!I250*'QUANTITE DETENUES'!I250)</f>
        <v>-0.004385234899</v>
      </c>
      <c r="J249" s="299">
        <f>IF(I249="","",PRIX!J250*'QUANTITE DETENUES'!J250)</f>
        <v>-0.0000001283870924</v>
      </c>
      <c r="K249" s="299">
        <f>IF(J249="","",PRIX!K250*'QUANTITE DETENUES'!K250)</f>
        <v>0</v>
      </c>
      <c r="L249" s="299">
        <f>IF(K249="","",PRIX!L250*'QUANTITE DETENUES'!L250)</f>
        <v>0</v>
      </c>
      <c r="M249" s="299">
        <f>IF(L249="","",PRIX!M250*'QUANTITE DETENUES'!M250)</f>
        <v>438.3173246</v>
      </c>
      <c r="N249" s="299">
        <f>IF(M249="","",PRIX!N250*'QUANTITE DETENUES'!N250)</f>
        <v>0</v>
      </c>
      <c r="O249" s="299">
        <f>IF(N249="","",PRIX!O250*'QUANTITE DETENUES'!O250)</f>
        <v>0.002279614681</v>
      </c>
      <c r="P249" s="299">
        <f>IF(O249="","",PRIX!P250*'QUANTITE DETENUES'!P250)</f>
        <v>0.00001330315031</v>
      </c>
      <c r="Q249" s="299">
        <f>IF(P249="","",PRIX!Q250*'QUANTITE DETENUES'!Q250)</f>
        <v>0.0000001599999905</v>
      </c>
      <c r="R249" s="299">
        <f>IF(Q249="","",PRIX!R250*'QUANTITE DETENUES'!R250)</f>
        <v>0</v>
      </c>
      <c r="S249" s="300">
        <f>IF(R249="","",PRIX!S250*'QUANTITE DETENUES'!S250)</f>
        <v>0</v>
      </c>
      <c r="T249" s="14">
        <f>IF(A249="","",ARBITRAGES!M250)</f>
        <v>8851.621936</v>
      </c>
      <c r="U249" s="301">
        <f t="shared" si="1"/>
        <v>43048.78345</v>
      </c>
      <c r="V249" s="302">
        <f t="shared" si="2"/>
        <v>0.7943816009</v>
      </c>
      <c r="W249" s="288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308"/>
      <c r="AI249" s="220"/>
      <c r="AJ249" s="220"/>
      <c r="AK249" s="220"/>
      <c r="AL249" s="220"/>
      <c r="AM249" s="220"/>
      <c r="AN249" s="220"/>
      <c r="AO249" s="220"/>
      <c r="AP249" s="220"/>
      <c r="AQ249" s="220"/>
      <c r="AR249" s="220"/>
      <c r="AS249" s="220"/>
      <c r="AT249" s="220"/>
      <c r="AU249" s="220"/>
      <c r="AV249" s="220"/>
      <c r="AW249" s="220"/>
      <c r="AX249" s="220"/>
      <c r="AY249" s="220"/>
      <c r="AZ249" s="220"/>
      <c r="BA249" s="220"/>
    </row>
    <row r="250">
      <c r="A250" s="290">
        <f>PRIX!A251</f>
        <v>46055</v>
      </c>
      <c r="B250" s="299">
        <f>IF(A250="","",PRIX!B251*'QUANTITE DETENUES'!B251)</f>
        <v>26363.76809</v>
      </c>
      <c r="C250" s="299">
        <f>IF(B250="","",PRIX!C251*'QUANTITE DETENUES'!C251)</f>
        <v>4889.177275</v>
      </c>
      <c r="D250" s="299">
        <f>IF(C250="","",PRIX!D251*'QUANTITE DETENUES'!D251)</f>
        <v>0.001849058001</v>
      </c>
      <c r="E250" s="299">
        <f>IF(D250="","",PRIX!E251*'QUANTITE DETENUES'!E251)</f>
        <v>1022.580217</v>
      </c>
      <c r="F250" s="299">
        <f>IF(E250="","",PRIX!F251*'QUANTITE DETENUES'!F251)</f>
        <v>950.222694</v>
      </c>
      <c r="G250" s="299">
        <f>IF(F250="","",PRIX!G251*'QUANTITE DETENUES'!G251)</f>
        <v>0</v>
      </c>
      <c r="H250" s="299">
        <f>IF(G250="","",PRIX!H251*'QUANTITE DETENUES'!H251)</f>
        <v>240.2545178</v>
      </c>
      <c r="I250" s="299">
        <f>IF(H250="","",PRIX!I251*'QUANTITE DETENUES'!I251)</f>
        <v>-0.004385234899</v>
      </c>
      <c r="J250" s="299">
        <f>IF(I250="","",PRIX!J251*'QUANTITE DETENUES'!J251)</f>
        <v>-0.0000001283870924</v>
      </c>
      <c r="K250" s="299">
        <f>IF(J250="","",PRIX!K251*'QUANTITE DETENUES'!K251)</f>
        <v>0</v>
      </c>
      <c r="L250" s="299">
        <f>IF(K250="","",PRIX!L251*'QUANTITE DETENUES'!L251)</f>
        <v>0</v>
      </c>
      <c r="M250" s="299">
        <f>IF(L250="","",PRIX!M251*'QUANTITE DETENUES'!M251)</f>
        <v>438.3173246</v>
      </c>
      <c r="N250" s="299">
        <f>IF(M250="","",PRIX!N251*'QUANTITE DETENUES'!N251)</f>
        <v>0</v>
      </c>
      <c r="O250" s="299">
        <f>IF(N250="","",PRIX!O251*'QUANTITE DETENUES'!O251)</f>
        <v>0.002279614681</v>
      </c>
      <c r="P250" s="299">
        <f>IF(O250="","",PRIX!P251*'QUANTITE DETENUES'!P251)</f>
        <v>0.00001330315031</v>
      </c>
      <c r="Q250" s="299">
        <f>IF(P250="","",PRIX!Q251*'QUANTITE DETENUES'!Q251)</f>
        <v>0.0000001599999905</v>
      </c>
      <c r="R250" s="299">
        <f>IF(Q250="","",PRIX!R251*'QUANTITE DETENUES'!R251)</f>
        <v>0</v>
      </c>
      <c r="S250" s="300">
        <f>IF(R250="","",PRIX!S251*'QUANTITE DETENUES'!S251)</f>
        <v>0</v>
      </c>
      <c r="T250" s="14">
        <f>IF(A250="","",ARBITRAGES!M251)</f>
        <v>9151.621927</v>
      </c>
      <c r="U250" s="301">
        <f t="shared" si="1"/>
        <v>43055.9418</v>
      </c>
      <c r="V250" s="302">
        <f t="shared" si="2"/>
        <v>0.7874481072</v>
      </c>
      <c r="W250" s="288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308"/>
      <c r="AI250" s="220"/>
      <c r="AJ250" s="220"/>
      <c r="AK250" s="220"/>
      <c r="AL250" s="220"/>
      <c r="AM250" s="220"/>
      <c r="AN250" s="220"/>
      <c r="AO250" s="220"/>
      <c r="AP250" s="220"/>
      <c r="AQ250" s="220"/>
      <c r="AR250" s="220"/>
      <c r="AS250" s="220"/>
      <c r="AT250" s="220"/>
      <c r="AU250" s="220"/>
      <c r="AV250" s="220"/>
      <c r="AW250" s="220"/>
      <c r="AX250" s="220"/>
      <c r="AY250" s="220"/>
      <c r="AZ250" s="220"/>
      <c r="BA250" s="220"/>
    </row>
    <row r="251">
      <c r="A251" s="290">
        <f>PRIX!A252</f>
        <v>46055</v>
      </c>
      <c r="B251" s="299">
        <f>IF(A251="","",PRIX!B252*'QUANTITE DETENUES'!B252)</f>
        <v>26594.76809</v>
      </c>
      <c r="C251" s="299">
        <f>IF(B251="","",PRIX!C252*'QUANTITE DETENUES'!C252)</f>
        <v>4889.177275</v>
      </c>
      <c r="D251" s="299">
        <f>IF(C251="","",PRIX!D252*'QUANTITE DETENUES'!D252)</f>
        <v>0.001849058001</v>
      </c>
      <c r="E251" s="299">
        <f>IF(D251="","",PRIX!E252*'QUANTITE DETENUES'!E252)</f>
        <v>1022.580217</v>
      </c>
      <c r="F251" s="299">
        <f>IF(E251="","",PRIX!F252*'QUANTITE DETENUES'!F252)</f>
        <v>950.222694</v>
      </c>
      <c r="G251" s="299">
        <f>IF(F251="","",PRIX!G252*'QUANTITE DETENUES'!G252)</f>
        <v>0</v>
      </c>
      <c r="H251" s="299">
        <f>IF(G251="","",PRIX!H252*'QUANTITE DETENUES'!H252)</f>
        <v>240.2545178</v>
      </c>
      <c r="I251" s="299">
        <f>IF(H251="","",PRIX!I252*'QUANTITE DETENUES'!I252)</f>
        <v>-0.004385234899</v>
      </c>
      <c r="J251" s="299">
        <f>IF(I251="","",PRIX!J252*'QUANTITE DETENUES'!J252)</f>
        <v>-0.0000001283870924</v>
      </c>
      <c r="K251" s="299">
        <f>IF(J251="","",PRIX!K252*'QUANTITE DETENUES'!K252)</f>
        <v>0</v>
      </c>
      <c r="L251" s="299">
        <f>IF(K251="","",PRIX!L252*'QUANTITE DETENUES'!L252)</f>
        <v>0</v>
      </c>
      <c r="M251" s="299">
        <f>IF(L251="","",PRIX!M252*'QUANTITE DETENUES'!M252)</f>
        <v>438.3173246</v>
      </c>
      <c r="N251" s="299">
        <f>IF(M251="","",PRIX!N252*'QUANTITE DETENUES'!N252)</f>
        <v>0</v>
      </c>
      <c r="O251" s="299">
        <f>IF(N251="","",PRIX!O252*'QUANTITE DETENUES'!O252)</f>
        <v>0.002279614681</v>
      </c>
      <c r="P251" s="299">
        <f>IF(O251="","",PRIX!P252*'QUANTITE DETENUES'!P252)</f>
        <v>0.00001330315031</v>
      </c>
      <c r="Q251" s="299">
        <f>IF(P251="","",PRIX!Q252*'QUANTITE DETENUES'!Q252)</f>
        <v>0.0000001599999905</v>
      </c>
      <c r="R251" s="299">
        <f>IF(Q251="","",PRIX!R252*'QUANTITE DETENUES'!R252)</f>
        <v>0</v>
      </c>
      <c r="S251" s="300">
        <f>IF(R251="","",PRIX!S252*'QUANTITE DETENUES'!S252)</f>
        <v>0</v>
      </c>
      <c r="T251" s="14">
        <f>IF(A251="","",ARBITRAGES!M252)</f>
        <v>8920.621927</v>
      </c>
      <c r="U251" s="301">
        <f t="shared" si="1"/>
        <v>43055.9418</v>
      </c>
      <c r="V251" s="302">
        <f t="shared" si="2"/>
        <v>0.7928132204</v>
      </c>
      <c r="W251" s="288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308"/>
      <c r="AI251" s="220"/>
      <c r="AJ251" s="220"/>
      <c r="AK251" s="220"/>
      <c r="AL251" s="220"/>
      <c r="AM251" s="220"/>
      <c r="AN251" s="220"/>
      <c r="AO251" s="220"/>
      <c r="AP251" s="220"/>
      <c r="AQ251" s="220"/>
      <c r="AR251" s="220"/>
      <c r="AS251" s="220"/>
      <c r="AT251" s="220"/>
      <c r="AU251" s="220"/>
      <c r="AV251" s="220"/>
      <c r="AW251" s="220"/>
      <c r="AX251" s="220"/>
      <c r="AY251" s="220"/>
      <c r="AZ251" s="220"/>
      <c r="BA251" s="220"/>
    </row>
    <row r="252">
      <c r="A252" s="290">
        <f>PRIX!A253</f>
        <v>46055</v>
      </c>
      <c r="B252" s="299">
        <f>IF(A252="","",PRIX!B253*'QUANTITE DETENUES'!B253)</f>
        <v>26857.74624</v>
      </c>
      <c r="C252" s="299">
        <f>IF(B252="","",PRIX!C253*'QUANTITE DETENUES'!C253)</f>
        <v>4889.177275</v>
      </c>
      <c r="D252" s="299">
        <f>IF(C252="","",PRIX!D253*'QUANTITE DETENUES'!D253)</f>
        <v>0.001849058001</v>
      </c>
      <c r="E252" s="299">
        <f>IF(D252="","",PRIX!E253*'QUANTITE DETENUES'!E253)</f>
        <v>1022.580217</v>
      </c>
      <c r="F252" s="299">
        <f>IF(E252="","",PRIX!F253*'QUANTITE DETENUES'!F253)</f>
        <v>950.222694</v>
      </c>
      <c r="G252" s="299">
        <f>IF(F252="","",PRIX!G253*'QUANTITE DETENUES'!G253)</f>
        <v>0</v>
      </c>
      <c r="H252" s="299">
        <f>IF(G252="","",PRIX!H253*'QUANTITE DETENUES'!H253)</f>
        <v>240.2545178</v>
      </c>
      <c r="I252" s="299">
        <f>IF(H252="","",PRIX!I253*'QUANTITE DETENUES'!I253)</f>
        <v>-0.004385234899</v>
      </c>
      <c r="J252" s="299">
        <f>IF(I252="","",PRIX!J253*'QUANTITE DETENUES'!J253)</f>
        <v>-0.0000001283870924</v>
      </c>
      <c r="K252" s="299">
        <f>IF(J252="","",PRIX!K253*'QUANTITE DETENUES'!K253)</f>
        <v>0</v>
      </c>
      <c r="L252" s="299">
        <f>IF(K252="","",PRIX!L253*'QUANTITE DETENUES'!L253)</f>
        <v>0</v>
      </c>
      <c r="M252" s="299">
        <f>IF(L252="","",PRIX!M253*'QUANTITE DETENUES'!M253)</f>
        <v>438.3173246</v>
      </c>
      <c r="N252" s="299">
        <f>IF(M252="","",PRIX!N253*'QUANTITE DETENUES'!N253)</f>
        <v>0</v>
      </c>
      <c r="O252" s="299">
        <f>IF(N252="","",PRIX!O253*'QUANTITE DETENUES'!O253)</f>
        <v>0.002279614681</v>
      </c>
      <c r="P252" s="299">
        <f>IF(O252="","",PRIX!P253*'QUANTITE DETENUES'!P253)</f>
        <v>0.00001330315031</v>
      </c>
      <c r="Q252" s="299">
        <f>IF(P252="","",PRIX!Q253*'QUANTITE DETENUES'!Q253)</f>
        <v>0.0000001599999905</v>
      </c>
      <c r="R252" s="299">
        <f>IF(Q252="","",PRIX!R253*'QUANTITE DETENUES'!R253)</f>
        <v>0</v>
      </c>
      <c r="S252" s="300">
        <f>IF(R252="","",PRIX!S253*'QUANTITE DETENUES'!S253)</f>
        <v>0</v>
      </c>
      <c r="T252" s="14">
        <f>IF(A252="","",ARBITRAGES!M253)</f>
        <v>8670.621927</v>
      </c>
      <c r="U252" s="301">
        <f t="shared" si="1"/>
        <v>43068.91995</v>
      </c>
      <c r="V252" s="302">
        <f t="shared" si="2"/>
        <v>0.7986803027</v>
      </c>
      <c r="W252" s="288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308"/>
      <c r="AI252" s="220"/>
      <c r="AJ252" s="220"/>
      <c r="AK252" s="220"/>
      <c r="AL252" s="220"/>
      <c r="AM252" s="220"/>
      <c r="AN252" s="220"/>
      <c r="AO252" s="220"/>
      <c r="AP252" s="220"/>
      <c r="AQ252" s="220"/>
      <c r="AR252" s="220"/>
      <c r="AS252" s="220"/>
      <c r="AT252" s="220"/>
      <c r="AU252" s="220"/>
      <c r="AV252" s="220"/>
      <c r="AW252" s="220"/>
      <c r="AX252" s="220"/>
      <c r="AY252" s="220"/>
      <c r="AZ252" s="220"/>
      <c r="BA252" s="220"/>
    </row>
    <row r="253">
      <c r="A253" s="290">
        <f>PRIX!A254</f>
        <v>46055</v>
      </c>
      <c r="B253" s="299">
        <f>IF(A253="","",PRIX!B254*'QUANTITE DETENUES'!B254)</f>
        <v>27073.34624</v>
      </c>
      <c r="C253" s="299">
        <f>IF(B253="","",PRIX!C254*'QUANTITE DETENUES'!C254)</f>
        <v>4889.177275</v>
      </c>
      <c r="D253" s="299">
        <f>IF(C253="","",PRIX!D254*'QUANTITE DETENUES'!D254)</f>
        <v>0.001849058001</v>
      </c>
      <c r="E253" s="299">
        <f>IF(D253="","",PRIX!E254*'QUANTITE DETENUES'!E254)</f>
        <v>1022.580217</v>
      </c>
      <c r="F253" s="299">
        <f>IF(E253="","",PRIX!F254*'QUANTITE DETENUES'!F254)</f>
        <v>950.222694</v>
      </c>
      <c r="G253" s="299">
        <f>IF(F253="","",PRIX!G254*'QUANTITE DETENUES'!G254)</f>
        <v>0</v>
      </c>
      <c r="H253" s="299">
        <f>IF(G253="","",PRIX!H254*'QUANTITE DETENUES'!H254)</f>
        <v>240.2545178</v>
      </c>
      <c r="I253" s="299">
        <f>IF(H253="","",PRIX!I254*'QUANTITE DETENUES'!I254)</f>
        <v>-0.004385234899</v>
      </c>
      <c r="J253" s="299">
        <f>IF(I253="","",PRIX!J254*'QUANTITE DETENUES'!J254)</f>
        <v>-0.0000001283870924</v>
      </c>
      <c r="K253" s="299">
        <f>IF(J253="","",PRIX!K254*'QUANTITE DETENUES'!K254)</f>
        <v>0</v>
      </c>
      <c r="L253" s="299">
        <f>IF(K253="","",PRIX!L254*'QUANTITE DETENUES'!L254)</f>
        <v>0</v>
      </c>
      <c r="M253" s="299">
        <f>IF(L253="","",PRIX!M254*'QUANTITE DETENUES'!M254)</f>
        <v>438.3173246</v>
      </c>
      <c r="N253" s="299">
        <f>IF(M253="","",PRIX!N254*'QUANTITE DETENUES'!N254)</f>
        <v>0</v>
      </c>
      <c r="O253" s="299">
        <f>IF(N253="","",PRIX!O254*'QUANTITE DETENUES'!O254)</f>
        <v>0.002279614681</v>
      </c>
      <c r="P253" s="299">
        <f>IF(O253="","",PRIX!P254*'QUANTITE DETENUES'!P254)</f>
        <v>0.00001330315031</v>
      </c>
      <c r="Q253" s="299">
        <f>IF(P253="","",PRIX!Q254*'QUANTITE DETENUES'!Q254)</f>
        <v>0.0000001599999905</v>
      </c>
      <c r="R253" s="299">
        <f>IF(Q253="","",PRIX!R254*'QUANTITE DETENUES'!R254)</f>
        <v>0</v>
      </c>
      <c r="S253" s="300">
        <f>IF(R253="","",PRIX!S254*'QUANTITE DETENUES'!S254)</f>
        <v>0</v>
      </c>
      <c r="T253" s="14">
        <f>IF(A253="","",ARBITRAGES!M254)</f>
        <v>8465.941927</v>
      </c>
      <c r="U253" s="301">
        <f t="shared" si="1"/>
        <v>43079.83995</v>
      </c>
      <c r="V253" s="302">
        <f t="shared" si="2"/>
        <v>0.8034825121</v>
      </c>
      <c r="W253" s="288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308"/>
      <c r="AI253" s="220"/>
      <c r="AJ253" s="220"/>
      <c r="AK253" s="220"/>
      <c r="AL253" s="220"/>
      <c r="AM253" s="220"/>
      <c r="AN253" s="220"/>
      <c r="AO253" s="220"/>
      <c r="AP253" s="220"/>
      <c r="AQ253" s="220"/>
      <c r="AR253" s="220"/>
      <c r="AS253" s="220"/>
      <c r="AT253" s="220"/>
      <c r="AU253" s="220"/>
      <c r="AV253" s="220"/>
      <c r="AW253" s="220"/>
      <c r="AX253" s="220"/>
      <c r="AY253" s="220"/>
      <c r="AZ253" s="220"/>
      <c r="BA253" s="220"/>
    </row>
    <row r="254">
      <c r="A254" s="290">
        <f>PRIX!A255</f>
        <v>46056</v>
      </c>
      <c r="B254" s="299">
        <f>IF(A254="","",PRIX!B255*'QUANTITE DETENUES'!B255)</f>
        <v>27578.39529</v>
      </c>
      <c r="C254" s="299">
        <f>IF(B254="","",PRIX!C255*'QUANTITE DETENUES'!C255)</f>
        <v>4997.825659</v>
      </c>
      <c r="D254" s="299">
        <f>IF(C254="","",PRIX!D255*'QUANTITE DETENUES'!D255)</f>
        <v>0.001946376843</v>
      </c>
      <c r="E254" s="299">
        <f>IF(D254="","",PRIX!E255*'QUANTITE DETENUES'!E255)</f>
        <v>1002.128612</v>
      </c>
      <c r="F254" s="299">
        <f>IF(E254="","",PRIX!F255*'QUANTITE DETENUES'!F255)</f>
        <v>975.2285544</v>
      </c>
      <c r="G254" s="299">
        <f>IF(F254="","",PRIX!G255*'QUANTITE DETENUES'!G255)</f>
        <v>0</v>
      </c>
      <c r="H254" s="299">
        <f>IF(G254="","",PRIX!H255*'QUANTITE DETENUES'!H255)</f>
        <v>242.757169</v>
      </c>
      <c r="I254" s="299">
        <f>IF(H254="","",PRIX!I255*'QUANTITE DETENUES'!I255)</f>
        <v>-0.004510527325</v>
      </c>
      <c r="J254" s="299">
        <f>IF(I254="","",PRIX!J255*'QUANTITE DETENUES'!J255)</f>
        <v>-0.0000001322776103</v>
      </c>
      <c r="K254" s="299">
        <f>IF(J254="","",PRIX!K255*'QUANTITE DETENUES'!K255)</f>
        <v>0</v>
      </c>
      <c r="L254" s="299">
        <f>IF(K254="","",PRIX!L255*'QUANTITE DETENUES'!L255)</f>
        <v>0</v>
      </c>
      <c r="M254" s="299">
        <f>IF(L254="","",PRIX!M255*'QUANTITE DETENUES'!M255)</f>
        <v>448.8369404</v>
      </c>
      <c r="N254" s="299">
        <f>IF(M254="","",PRIX!N255*'QUANTITE DETENUES'!N255)</f>
        <v>0</v>
      </c>
      <c r="O254" s="299">
        <f>IF(N254="","",PRIX!O255*'QUANTITE DETENUES'!O255)</f>
        <v>0.002279614681</v>
      </c>
      <c r="P254" s="299">
        <f>IF(O254="","",PRIX!P255*'QUANTITE DETENUES'!P255)</f>
        <v>0.00001388154815</v>
      </c>
      <c r="Q254" s="299">
        <f>IF(P254="","",PRIX!Q255*'QUANTITE DETENUES'!Q255)</f>
        <v>0.0000001699999899</v>
      </c>
      <c r="R254" s="299">
        <f>IF(Q254="","",PRIX!R255*'QUANTITE DETENUES'!R255)</f>
        <v>0</v>
      </c>
      <c r="S254" s="300">
        <f>IF(R254="","",PRIX!S255*'QUANTITE DETENUES'!S255)</f>
        <v>0</v>
      </c>
      <c r="T254" s="14">
        <f>IF(A254="","",ARBITRAGES!M255)</f>
        <v>7816.241927</v>
      </c>
      <c r="U254" s="301">
        <f t="shared" si="1"/>
        <v>43061.41388</v>
      </c>
      <c r="V254" s="302">
        <f t="shared" si="2"/>
        <v>0.8184861754</v>
      </c>
      <c r="W254" s="288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308"/>
      <c r="AI254" s="220"/>
      <c r="AJ254" s="220"/>
      <c r="AK254" s="220"/>
      <c r="AL254" s="220"/>
      <c r="AM254" s="220"/>
      <c r="AN254" s="220"/>
      <c r="AO254" s="220"/>
      <c r="AP254" s="220"/>
      <c r="AQ254" s="220"/>
      <c r="AR254" s="220"/>
      <c r="AS254" s="220"/>
      <c r="AT254" s="220"/>
      <c r="AU254" s="220"/>
      <c r="AV254" s="220"/>
      <c r="AW254" s="220"/>
      <c r="AX254" s="220"/>
      <c r="AY254" s="220"/>
      <c r="AZ254" s="220"/>
      <c r="BA254" s="220"/>
    </row>
    <row r="255">
      <c r="A255" s="290">
        <f>PRIX!A256</f>
        <v>46057</v>
      </c>
      <c r="B255" s="299">
        <f>IF(A255="","",PRIX!B256*'QUANTITE DETENUES'!B256)</f>
        <v>25553.13294</v>
      </c>
      <c r="C255" s="299">
        <f>IF(B255="","",PRIX!C256*'QUANTITE DETENUES'!C256)</f>
        <v>4498.043093</v>
      </c>
      <c r="D255" s="299">
        <f>IF(C255="","",PRIX!D256*'QUANTITE DETENUES'!D256)</f>
        <v>0.00191857146</v>
      </c>
      <c r="E255" s="299">
        <f>IF(D255="","",PRIX!E256*'QUANTITE DETENUES'!E256)</f>
        <v>910.0963927</v>
      </c>
      <c r="F255" s="299">
        <f>IF(E255="","",PRIX!F256*'QUANTITE DETENUES'!F256)</f>
        <v>900.2109733</v>
      </c>
      <c r="G255" s="299">
        <f>IF(F255="","",PRIX!G256*'QUANTITE DETENUES'!G256)</f>
        <v>0</v>
      </c>
      <c r="H255" s="299">
        <f>IF(G255="","",PRIX!H256*'QUANTITE DETENUES'!H256)</f>
        <v>220.9841033</v>
      </c>
      <c r="I255" s="299">
        <f>IF(H255="","",PRIX!I256*'QUANTITE DETENUES'!I256)</f>
        <v>-0.004092885906</v>
      </c>
      <c r="J255" s="299">
        <f>IF(I255="","",PRIX!J256*'QUANTITE DETENUES'!J256)</f>
        <v>-0.0000001206060565</v>
      </c>
      <c r="K255" s="299">
        <f>IF(J255="","",PRIX!K256*'QUANTITE DETENUES'!K256)</f>
        <v>0</v>
      </c>
      <c r="L255" s="299">
        <f>IF(K255="","",PRIX!L256*'QUANTITE DETENUES'!L256)</f>
        <v>0</v>
      </c>
      <c r="M255" s="299">
        <f>IF(L255="","",PRIX!M256*'QUANTITE DETENUES'!M256)</f>
        <v>413.7715544</v>
      </c>
      <c r="N255" s="299">
        <f>IF(M255="","",PRIX!N256*'QUANTITE DETENUES'!N256)</f>
        <v>0</v>
      </c>
      <c r="O255" s="299">
        <f>IF(N255="","",PRIX!O256*'QUANTITE DETENUES'!O256)</f>
        <v>0.001972743474</v>
      </c>
      <c r="P255" s="299">
        <f>IF(O255="","",PRIX!P256*'QUANTITE DETENUES'!P256)</f>
        <v>0.00001301395139</v>
      </c>
      <c r="Q255" s="299">
        <f>IF(P255="","",PRIX!Q256*'QUANTITE DETENUES'!Q256)</f>
        <v>0.0000001599999905</v>
      </c>
      <c r="R255" s="299">
        <f>IF(Q255="","",PRIX!R256*'QUANTITE DETENUES'!R256)</f>
        <v>0</v>
      </c>
      <c r="S255" s="300">
        <f>IF(R255="","",PRIX!S256*'QUANTITE DETENUES'!S256)</f>
        <v>0</v>
      </c>
      <c r="T255" s="14">
        <f>IF(A255="","",ARBITRAGES!M256)</f>
        <v>7500.241927</v>
      </c>
      <c r="U255" s="301">
        <f t="shared" si="1"/>
        <v>39996.4808</v>
      </c>
      <c r="V255" s="302">
        <f t="shared" si="2"/>
        <v>0.8124774536</v>
      </c>
      <c r="W255" s="288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308"/>
      <c r="AI255" s="220"/>
      <c r="AJ255" s="220"/>
      <c r="AK255" s="220"/>
      <c r="AL255" s="220"/>
      <c r="AM255" s="220"/>
      <c r="AN255" s="220"/>
      <c r="AO255" s="220"/>
      <c r="AP255" s="220"/>
      <c r="AQ255" s="220"/>
      <c r="AR255" s="220"/>
      <c r="AS255" s="220"/>
      <c r="AT255" s="220"/>
      <c r="AU255" s="220"/>
      <c r="AV255" s="220"/>
      <c r="AW255" s="220"/>
      <c r="AX255" s="220"/>
      <c r="AY255" s="220"/>
      <c r="AZ255" s="220"/>
      <c r="BA255" s="220"/>
    </row>
    <row r="256">
      <c r="A256" s="290">
        <f>PRIX!A257</f>
        <v>46058</v>
      </c>
      <c r="B256" s="299">
        <f>IF(A256="","",PRIX!B257*'QUANTITE DETENUES'!B257)</f>
        <v>23362.8644</v>
      </c>
      <c r="C256" s="299">
        <f>IF(B256="","",PRIX!C257*'QUANTITE DETENUES'!C257)</f>
        <v>4063.449557</v>
      </c>
      <c r="D256" s="299">
        <f>IF(C256="","",PRIX!D257*'QUANTITE DETENUES'!D257)</f>
        <v>0.001807349926</v>
      </c>
      <c r="E256" s="299">
        <f>IF(D256="","",PRIX!E257*'QUANTITE DETENUES'!E257)</f>
        <v>818.0641732</v>
      </c>
      <c r="F256" s="299">
        <f>IF(E256="","",PRIX!F257*'QUANTITE DETENUES'!F257)</f>
        <v>825.1933922</v>
      </c>
      <c r="G256" s="299">
        <f>IF(F256="","",PRIX!G257*'QUANTITE DETENUES'!G257)</f>
        <v>0</v>
      </c>
      <c r="H256" s="299">
        <f>IF(G256="","",PRIX!H257*'QUANTITE DETENUES'!H257)</f>
        <v>0</v>
      </c>
      <c r="I256" s="299">
        <f>IF(H256="","",PRIX!I257*'QUANTITE DETENUES'!I257)</f>
        <v>-0.003758772771</v>
      </c>
      <c r="J256" s="299">
        <f>IF(I256="","",PRIX!J257*'QUANTITE DETENUES'!J257)</f>
        <v>-0.0000001089345026</v>
      </c>
      <c r="K256" s="299">
        <f>IF(J256="","",PRIX!K257*'QUANTITE DETENUES'!K257)</f>
        <v>0</v>
      </c>
      <c r="L256" s="299">
        <f>IF(K256="","",PRIX!L257*'QUANTITE DETENUES'!L257)</f>
        <v>0</v>
      </c>
      <c r="M256" s="299">
        <f>IF(L256="","",PRIX!M257*'QUANTITE DETENUES'!M257)</f>
        <v>371.6930912</v>
      </c>
      <c r="N256" s="299">
        <f>IF(M256="","",PRIX!N257*'QUANTITE DETENUES'!N257)</f>
        <v>0</v>
      </c>
      <c r="O256" s="299">
        <f>IF(N256="","",PRIX!O257*'QUANTITE DETENUES'!O257)</f>
        <v>0.001607420608</v>
      </c>
      <c r="P256" s="299">
        <f>IF(O256="","",PRIX!P257*'QUANTITE DETENUES'!P257)</f>
        <v>0.000009832763276</v>
      </c>
      <c r="Q256" s="299">
        <f>IF(P256="","",PRIX!Q257*'QUANTITE DETENUES'!Q257)</f>
        <v>0.0000001419999915</v>
      </c>
      <c r="R256" s="299">
        <f>IF(Q256="","",PRIX!R257*'QUANTITE DETENUES'!R257)</f>
        <v>0</v>
      </c>
      <c r="S256" s="300">
        <f>IF(R256="","",PRIX!S257*'QUANTITE DETENUES'!S257)</f>
        <v>0</v>
      </c>
      <c r="T256" s="14">
        <f>IF(A256="","",ARBITRAGES!M257)</f>
        <v>7725.241927</v>
      </c>
      <c r="U256" s="301">
        <f t="shared" si="1"/>
        <v>37166.50621</v>
      </c>
      <c r="V256" s="302">
        <f t="shared" si="2"/>
        <v>0.7921450598</v>
      </c>
      <c r="W256" s="288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308"/>
      <c r="AI256" s="220"/>
      <c r="AJ256" s="220"/>
      <c r="AK256" s="220"/>
      <c r="AL256" s="220"/>
      <c r="AM256" s="220"/>
      <c r="AN256" s="220"/>
      <c r="AO256" s="220"/>
      <c r="AP256" s="220"/>
      <c r="AQ256" s="220"/>
      <c r="AR256" s="220"/>
      <c r="AS256" s="220"/>
      <c r="AT256" s="220"/>
      <c r="AU256" s="220"/>
      <c r="AV256" s="220"/>
      <c r="AW256" s="220"/>
      <c r="AX256" s="220"/>
      <c r="AY256" s="220"/>
      <c r="AZ256" s="220"/>
      <c r="BA256" s="220"/>
    </row>
    <row r="257">
      <c r="A257" s="290">
        <f>PRIX!A258</f>
        <v>46058</v>
      </c>
      <c r="B257" s="299">
        <f>IF(A257="","",PRIX!B258*'QUANTITE DETENUES'!B258)</f>
        <v>23582.71173</v>
      </c>
      <c r="C257" s="299">
        <f>IF(B257="","",PRIX!C258*'QUANTITE DETENUES'!C258)</f>
        <v>4063.449557</v>
      </c>
      <c r="D257" s="299">
        <f>IF(C257="","",PRIX!D258*'QUANTITE DETENUES'!D258)</f>
        <v>0.001807349926</v>
      </c>
      <c r="E257" s="299">
        <f>IF(D257="","",PRIX!E258*'QUANTITE DETENUES'!E258)</f>
        <v>818.0641732</v>
      </c>
      <c r="F257" s="299">
        <f>IF(E257="","",PRIX!F258*'QUANTITE DETENUES'!F258)</f>
        <v>825.1933922</v>
      </c>
      <c r="G257" s="299">
        <f>IF(F257="","",PRIX!G258*'QUANTITE DETENUES'!G258)</f>
        <v>0</v>
      </c>
      <c r="H257" s="299">
        <f>IF(G257="","",PRIX!H258*'QUANTITE DETENUES'!H258)</f>
        <v>0</v>
      </c>
      <c r="I257" s="299">
        <f>IF(H257="","",PRIX!I258*'QUANTITE DETENUES'!I258)</f>
        <v>-0.003758772771</v>
      </c>
      <c r="J257" s="299">
        <f>IF(I257="","",PRIX!J258*'QUANTITE DETENUES'!J258)</f>
        <v>-0.0000001089345026</v>
      </c>
      <c r="K257" s="299">
        <f>IF(J257="","",PRIX!K258*'QUANTITE DETENUES'!K258)</f>
        <v>0</v>
      </c>
      <c r="L257" s="299">
        <f>IF(K257="","",PRIX!L258*'QUANTITE DETENUES'!L258)</f>
        <v>0</v>
      </c>
      <c r="M257" s="299">
        <f>IF(L257="","",PRIX!M258*'QUANTITE DETENUES'!M258)</f>
        <v>371.6930912</v>
      </c>
      <c r="N257" s="299">
        <f>IF(M257="","",PRIX!N258*'QUANTITE DETENUES'!N258)</f>
        <v>0</v>
      </c>
      <c r="O257" s="299">
        <f>IF(N257="","",PRIX!O258*'QUANTITE DETENUES'!O258)</f>
        <v>0.001607420608</v>
      </c>
      <c r="P257" s="299">
        <f>IF(O257="","",PRIX!P258*'QUANTITE DETENUES'!P258)</f>
        <v>0.000009832763276</v>
      </c>
      <c r="Q257" s="299">
        <f>IF(P257="","",PRIX!Q258*'QUANTITE DETENUES'!Q258)</f>
        <v>0.0000001419999915</v>
      </c>
      <c r="R257" s="299">
        <f>IF(Q257="","",PRIX!R258*'QUANTITE DETENUES'!R258)</f>
        <v>0</v>
      </c>
      <c r="S257" s="300">
        <f>IF(R257="","",PRIX!S258*'QUANTITE DETENUES'!S258)</f>
        <v>0</v>
      </c>
      <c r="T257" s="14">
        <f>IF(A257="","",ARBITRAGES!M258)</f>
        <v>7500.241927</v>
      </c>
      <c r="U257" s="301">
        <f t="shared" si="1"/>
        <v>37161.35354</v>
      </c>
      <c r="V257" s="302">
        <f t="shared" si="2"/>
        <v>0.7981709165</v>
      </c>
      <c r="W257" s="288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308"/>
      <c r="AI257" s="220"/>
      <c r="AJ257" s="220"/>
      <c r="AK257" s="220"/>
      <c r="AL257" s="220"/>
      <c r="AM257" s="220"/>
      <c r="AN257" s="220"/>
      <c r="AO257" s="220"/>
      <c r="AP257" s="220"/>
      <c r="AQ257" s="220"/>
      <c r="AR257" s="220"/>
      <c r="AS257" s="220"/>
      <c r="AT257" s="220"/>
      <c r="AU257" s="220"/>
      <c r="AV257" s="220"/>
      <c r="AW257" s="220"/>
      <c r="AX257" s="220"/>
      <c r="AY257" s="220"/>
      <c r="AZ257" s="220"/>
      <c r="BA257" s="220"/>
    </row>
    <row r="258">
      <c r="A258" s="290">
        <f>PRIX!A259</f>
        <v>46059</v>
      </c>
      <c r="B258" s="299">
        <f>IF(A258="","",PRIX!B259*'QUANTITE DETENUES'!B259)</f>
        <v>22957.58708</v>
      </c>
      <c r="C258" s="299">
        <f>IF(B258="","",PRIX!C259*'QUANTITE DETENUES'!C259)</f>
        <v>3911.34182</v>
      </c>
      <c r="D258" s="299">
        <f>IF(C258="","",PRIX!D259*'QUANTITE DETENUES'!D259)</f>
        <v>0.001737836467</v>
      </c>
      <c r="E258" s="299">
        <f>IF(D258="","",PRIX!E259*'QUANTITE DETENUES'!E259)</f>
        <v>766.9351624</v>
      </c>
      <c r="F258" s="299">
        <f>IF(E258="","",PRIX!F259*'QUANTITE DETENUES'!F259)</f>
        <v>775.1816714</v>
      </c>
      <c r="G258" s="299">
        <f>IF(F258="","",PRIX!G259*'QUANTITE DETENUES'!G259)</f>
        <v>0</v>
      </c>
      <c r="H258" s="299">
        <f>IF(G258="","",PRIX!H259*'QUANTITE DETENUES'!H259)</f>
        <v>0</v>
      </c>
      <c r="I258" s="299">
        <f>IF(H258="","",PRIX!I259*'QUANTITE DETENUES'!I259)</f>
        <v>-0.003633480345</v>
      </c>
      <c r="J258" s="299">
        <f>IF(I258="","",PRIX!J259*'QUANTITE DETENUES'!J259)</f>
        <v>-0.0000001050439847</v>
      </c>
      <c r="K258" s="299">
        <f>IF(J258="","",PRIX!K259*'QUANTITE DETENUES'!K259)</f>
        <v>0</v>
      </c>
      <c r="L258" s="299">
        <f>IF(K258="","",PRIX!L259*'QUANTITE DETENUES'!L259)</f>
        <v>0</v>
      </c>
      <c r="M258" s="299">
        <f>IF(L258="","",PRIX!M259*'QUANTITE DETENUES'!M259)</f>
        <v>350.6538596</v>
      </c>
      <c r="N258" s="299">
        <f>IF(M258="","",PRIX!N259*'QUANTITE DETENUES'!N259)</f>
        <v>0</v>
      </c>
      <c r="O258" s="299">
        <f>IF(N258="","",PRIX!O259*'QUANTITE DETENUES'!O259)</f>
        <v>0.001607420608</v>
      </c>
      <c r="P258" s="299">
        <f>IF(O258="","",PRIX!P259*'QUANTITE DETENUES'!P259)</f>
        <v>0.000009832763276</v>
      </c>
      <c r="Q258" s="299">
        <f>IF(P258="","",PRIX!Q259*'QUANTITE DETENUES'!Q259)</f>
        <v>0.0000001359999919</v>
      </c>
      <c r="R258" s="299">
        <f>IF(Q258="","",PRIX!R259*'QUANTITE DETENUES'!R259)</f>
        <v>0</v>
      </c>
      <c r="S258" s="300">
        <f>IF(R258="","",PRIX!S259*'QUANTITE DETENUES'!S259)</f>
        <v>0</v>
      </c>
      <c r="T258" s="14">
        <f>IF(A258="","",ARBITRAGES!M259)</f>
        <v>7000.241927</v>
      </c>
      <c r="U258" s="301">
        <f t="shared" si="1"/>
        <v>35761.94124</v>
      </c>
      <c r="V258" s="302">
        <f t="shared" si="2"/>
        <v>0.8042544201</v>
      </c>
      <c r="W258" s="288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308"/>
      <c r="AI258" s="220"/>
      <c r="AJ258" s="220"/>
      <c r="AK258" s="220"/>
      <c r="AL258" s="220"/>
      <c r="AM258" s="220"/>
      <c r="AN258" s="220"/>
      <c r="AO258" s="220"/>
      <c r="AP258" s="220"/>
      <c r="AQ258" s="220"/>
      <c r="AR258" s="220"/>
      <c r="AS258" s="220"/>
      <c r="AT258" s="220"/>
      <c r="AU258" s="220"/>
      <c r="AV258" s="220"/>
      <c r="AW258" s="220"/>
      <c r="AX258" s="220"/>
      <c r="AY258" s="220"/>
      <c r="AZ258" s="220"/>
      <c r="BA258" s="220"/>
    </row>
    <row r="259">
      <c r="A259" s="290">
        <f>PRIX!A260</f>
        <v>46060</v>
      </c>
      <c r="B259" s="299">
        <f>IF(A259="","",PRIX!B260*'QUANTITE DETENUES'!B260)</f>
        <v>25215.7104</v>
      </c>
      <c r="C259" s="299">
        <f>IF(B259="","",PRIX!C260*'QUANTITE DETENUES'!C260)</f>
        <v>4237.286971</v>
      </c>
      <c r="D259" s="299">
        <f>IF(C259="","",PRIX!D260*'QUANTITE DETENUES'!D260)</f>
        <v>0.001807349926</v>
      </c>
      <c r="E259" s="299">
        <f>IF(D259="","",PRIX!E260*'QUANTITE DETENUES'!E260)</f>
        <v>848.7415797</v>
      </c>
      <c r="F259" s="299">
        <f>IF(E259="","",PRIX!F260*'QUANTITE DETENUES'!F260)</f>
        <v>850.1992525</v>
      </c>
      <c r="G259" s="299">
        <f>IF(F259="","",PRIX!G260*'QUANTITE DETENUES'!G260)</f>
        <v>0</v>
      </c>
      <c r="H259" s="299">
        <f>IF(G259="","",PRIX!H260*'QUANTITE DETENUES'!H260)</f>
        <v>0</v>
      </c>
      <c r="I259" s="299">
        <f>IF(H259="","",PRIX!I260*'QUANTITE DETENUES'!I260)</f>
        <v>-0.003925829338</v>
      </c>
      <c r="J259" s="299">
        <f>IF(I259="","",PRIX!J260*'QUANTITE DETENUES'!J260)</f>
        <v>-0.0000001167155385</v>
      </c>
      <c r="K259" s="299">
        <f>IF(J259="","",PRIX!K260*'QUANTITE DETENUES'!K260)</f>
        <v>0</v>
      </c>
      <c r="L259" s="299">
        <f>IF(K259="","",PRIX!L260*'QUANTITE DETENUES'!L260)</f>
        <v>0</v>
      </c>
      <c r="M259" s="299">
        <f>IF(L259="","",PRIX!M260*'QUANTITE DETENUES'!M260)</f>
        <v>0</v>
      </c>
      <c r="N259" s="299">
        <f>IF(M259="","",PRIX!N260*'QUANTITE DETENUES'!N260)</f>
        <v>0</v>
      </c>
      <c r="O259" s="299">
        <f>IF(N259="","",PRIX!O260*'QUANTITE DETENUES'!O260)</f>
        <v>0.001680485181</v>
      </c>
      <c r="P259" s="299">
        <f>IF(O259="","",PRIX!P260*'QUANTITE DETENUES'!P260)</f>
        <v>0.00001185715572</v>
      </c>
      <c r="Q259" s="299">
        <f>IF(P259="","",PRIX!Q260*'QUANTITE DETENUES'!Q260)</f>
        <v>0.0000001479999912</v>
      </c>
      <c r="R259" s="299">
        <f>IF(Q259="","",PRIX!R260*'QUANTITE DETENUES'!R260)</f>
        <v>0</v>
      </c>
      <c r="S259" s="300">
        <f>IF(R259="","",PRIX!S260*'QUANTITE DETENUES'!S260)</f>
        <v>0</v>
      </c>
      <c r="T259" s="14">
        <f>IF(A259="","",ARBITRAGES!M260)</f>
        <v>7385.844473</v>
      </c>
      <c r="U259" s="301">
        <f t="shared" si="1"/>
        <v>38537.78225</v>
      </c>
      <c r="V259" s="302">
        <f t="shared" si="2"/>
        <v>0.8083479629</v>
      </c>
      <c r="W259" s="288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308"/>
      <c r="AI259" s="220"/>
      <c r="AJ259" s="220"/>
      <c r="AK259" s="220"/>
      <c r="AL259" s="220"/>
      <c r="AM259" s="220"/>
      <c r="AN259" s="220"/>
      <c r="AO259" s="220"/>
      <c r="AP259" s="220"/>
      <c r="AQ259" s="220"/>
      <c r="AR259" s="220"/>
      <c r="AS259" s="220"/>
      <c r="AT259" s="220"/>
      <c r="AU259" s="220"/>
      <c r="AV259" s="220"/>
      <c r="AW259" s="220"/>
      <c r="AX259" s="220"/>
      <c r="AY259" s="220"/>
      <c r="AZ259" s="220"/>
      <c r="BA259" s="220"/>
    </row>
    <row r="260">
      <c r="A260" s="290">
        <f>PRIX!A261</f>
        <v>46060</v>
      </c>
      <c r="B260" s="299">
        <f>IF(A260="","",PRIX!B261*'QUANTITE DETENUES'!B261)</f>
        <v>25215.7104</v>
      </c>
      <c r="C260" s="299">
        <f>IF(B260="","",PRIX!C261*'QUANTITE DETENUES'!C261)</f>
        <v>4237.286971</v>
      </c>
      <c r="D260" s="299">
        <f>IF(C260="","",PRIX!D261*'QUANTITE DETENUES'!D261)</f>
        <v>0.001807349926</v>
      </c>
      <c r="E260" s="299">
        <f>IF(D260="","",PRIX!E261*'QUANTITE DETENUES'!E261)</f>
        <v>848.7415797</v>
      </c>
      <c r="F260" s="299">
        <f>IF(E260="","",PRIX!F261*'QUANTITE DETENUES'!F261)</f>
        <v>0</v>
      </c>
      <c r="G260" s="299">
        <f>IF(F260="","",PRIX!G261*'QUANTITE DETENUES'!G261)</f>
        <v>0</v>
      </c>
      <c r="H260" s="299">
        <f>IF(G260="","",PRIX!H261*'QUANTITE DETENUES'!H261)</f>
        <v>0</v>
      </c>
      <c r="I260" s="299">
        <f>IF(H260="","",PRIX!I261*'QUANTITE DETENUES'!I261)</f>
        <v>-0.003925829338</v>
      </c>
      <c r="J260" s="299">
        <f>IF(I260="","",PRIX!J261*'QUANTITE DETENUES'!J261)</f>
        <v>-0.0000001167155385</v>
      </c>
      <c r="K260" s="299">
        <f>IF(J260="","",PRIX!K261*'QUANTITE DETENUES'!K261)</f>
        <v>0</v>
      </c>
      <c r="L260" s="299">
        <f>IF(K260="","",PRIX!L261*'QUANTITE DETENUES'!L261)</f>
        <v>0</v>
      </c>
      <c r="M260" s="299">
        <f>IF(L260="","",PRIX!M261*'QUANTITE DETENUES'!M261)</f>
        <v>0</v>
      </c>
      <c r="N260" s="299">
        <f>IF(M260="","",PRIX!N261*'QUANTITE DETENUES'!N261)</f>
        <v>0</v>
      </c>
      <c r="O260" s="299">
        <f>IF(N260="","",PRIX!O261*'QUANTITE DETENUES'!O261)</f>
        <v>0.001680485181</v>
      </c>
      <c r="P260" s="299">
        <f>IF(O260="","",PRIX!P261*'QUANTITE DETENUES'!P261)</f>
        <v>0.00001185715572</v>
      </c>
      <c r="Q260" s="299">
        <f>IF(P260="","",PRIX!Q261*'QUANTITE DETENUES'!Q261)</f>
        <v>0.0000001479999912</v>
      </c>
      <c r="R260" s="299">
        <f>IF(Q260="","",PRIX!R261*'QUANTITE DETENUES'!R261)</f>
        <v>0</v>
      </c>
      <c r="S260" s="300">
        <f>IF(R260="","",PRIX!S261*'QUANTITE DETENUES'!S261)</f>
        <v>0</v>
      </c>
      <c r="T260" s="14">
        <f>IF(A260="","",ARBITRAGES!M261)</f>
        <v>8261.143581</v>
      </c>
      <c r="U260" s="301">
        <f t="shared" si="1"/>
        <v>38562.88211</v>
      </c>
      <c r="V260" s="302">
        <f t="shared" si="2"/>
        <v>0.7857747365</v>
      </c>
      <c r="W260" s="288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308"/>
      <c r="AI260" s="220"/>
      <c r="AJ260" s="220"/>
      <c r="AK260" s="220"/>
      <c r="AL260" s="220"/>
      <c r="AM260" s="220"/>
      <c r="AN260" s="220"/>
      <c r="AO260" s="220"/>
      <c r="AP260" s="220"/>
      <c r="AQ260" s="220"/>
      <c r="AR260" s="220"/>
      <c r="AS260" s="220"/>
      <c r="AT260" s="220"/>
      <c r="AU260" s="220"/>
      <c r="AV260" s="220"/>
      <c r="AW260" s="220"/>
      <c r="AX260" s="220"/>
      <c r="AY260" s="220"/>
      <c r="AZ260" s="220"/>
      <c r="BA260" s="220"/>
    </row>
    <row r="261">
      <c r="A261" s="290">
        <f>PRIX!A262</f>
        <v>46061</v>
      </c>
      <c r="B261" s="299">
        <f>IF(A261="","",PRIX!B262*'QUANTITE DETENUES'!B262)</f>
        <v>25968.41817</v>
      </c>
      <c r="C261" s="299">
        <f>IF(B261="","",PRIX!C262*'QUANTITE DETENUES'!C262)</f>
        <v>4454.583739</v>
      </c>
      <c r="D261" s="299">
        <f>IF(C261="","",PRIX!D262*'QUANTITE DETENUES'!D262)</f>
        <v>0.001849058001</v>
      </c>
      <c r="E261" s="299">
        <f>IF(D261="","",PRIX!E262*'QUANTITE DETENUES'!E262)</f>
        <v>0</v>
      </c>
      <c r="F261" s="299">
        <f>IF(E261="","",PRIX!F262*'QUANTITE DETENUES'!F262)</f>
        <v>0</v>
      </c>
      <c r="G261" s="299">
        <f>IF(F261="","",PRIX!G262*'QUANTITE DETENUES'!G262)</f>
        <v>0</v>
      </c>
      <c r="H261" s="299">
        <f>IF(G261="","",PRIX!H262*'QUANTITE DETENUES'!H262)</f>
        <v>0</v>
      </c>
      <c r="I261" s="299">
        <f>IF(H261="","",PRIX!I262*'QUANTITE DETENUES'!I262)</f>
        <v>-0.004009357622</v>
      </c>
      <c r="J261" s="299">
        <f>IF(I261="","",PRIX!J262*'QUANTITE DETENUES'!J262)</f>
        <v>-0.0000001206060565</v>
      </c>
      <c r="K261" s="299">
        <f>IF(J261="","",PRIX!K262*'QUANTITE DETENUES'!K262)</f>
        <v>0</v>
      </c>
      <c r="L261" s="299">
        <f>IF(K261="","",PRIX!L262*'QUANTITE DETENUES'!L262)</f>
        <v>0</v>
      </c>
      <c r="M261" s="299">
        <f>IF(L261="","",PRIX!M262*'QUANTITE DETENUES'!M262)</f>
        <v>0</v>
      </c>
      <c r="N261" s="299">
        <f>IF(M261="","",PRIX!N262*'QUANTITE DETENUES'!N262)</f>
        <v>0</v>
      </c>
      <c r="O261" s="299">
        <f>IF(N261="","",PRIX!O262*'QUANTITE DETENUES'!O262)</f>
        <v>0.001753549754</v>
      </c>
      <c r="P261" s="299">
        <f>IF(O261="","",PRIX!P262*'QUANTITE DETENUES'!P262)</f>
        <v>0.00001214635464</v>
      </c>
      <c r="Q261" s="299">
        <f>IF(P261="","",PRIX!Q262*'QUANTITE DETENUES'!Q262)</f>
        <v>0.0000001519999909</v>
      </c>
      <c r="R261" s="299">
        <f>IF(Q261="","",PRIX!R262*'QUANTITE DETENUES'!R262)</f>
        <v>0</v>
      </c>
      <c r="S261" s="300">
        <f>IF(R261="","",PRIX!S262*'QUANTITE DETENUES'!S262)</f>
        <v>0</v>
      </c>
      <c r="T261" s="14">
        <f>IF(A261="","",ARBITRAGES!M262)</f>
        <v>9131.085093</v>
      </c>
      <c r="U261" s="301">
        <f t="shared" si="1"/>
        <v>39554.08661</v>
      </c>
      <c r="V261" s="302">
        <f t="shared" si="2"/>
        <v>0.7691493882</v>
      </c>
      <c r="W261" s="288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308"/>
      <c r="AI261" s="220"/>
      <c r="AJ261" s="220"/>
      <c r="AK261" s="220"/>
      <c r="AL261" s="220"/>
      <c r="AM261" s="220"/>
      <c r="AN261" s="220"/>
      <c r="AO261" s="220"/>
      <c r="AP261" s="220"/>
      <c r="AQ261" s="220"/>
      <c r="AR261" s="220"/>
      <c r="AS261" s="220"/>
      <c r="AT261" s="220"/>
      <c r="AU261" s="220"/>
      <c r="AV261" s="220"/>
      <c r="AW261" s="220"/>
      <c r="AX261" s="220"/>
      <c r="AY261" s="220"/>
      <c r="AZ261" s="220"/>
      <c r="BA261" s="220"/>
    </row>
    <row r="262">
      <c r="A262" s="290">
        <f>PRIX!A263</f>
        <v>46061</v>
      </c>
      <c r="B262" s="299">
        <f>IF(A262="","",PRIX!B263*'QUANTITE DETENUES'!B263)</f>
        <v>25968.41817</v>
      </c>
      <c r="C262" s="299">
        <f>IF(B262="","",PRIX!C263*'QUANTITE DETENUES'!C263)</f>
        <v>4313.550402</v>
      </c>
      <c r="D262" s="299">
        <f>IF(C262="","",PRIX!D263*'QUANTITE DETENUES'!D263)</f>
        <v>0.001849058001</v>
      </c>
      <c r="E262" s="299">
        <f>IF(D262="","",PRIX!E263*'QUANTITE DETENUES'!E263)</f>
        <v>0</v>
      </c>
      <c r="F262" s="299">
        <f>IF(E262="","",PRIX!F263*'QUANTITE DETENUES'!F263)</f>
        <v>0</v>
      </c>
      <c r="G262" s="299">
        <f>IF(F262="","",PRIX!G263*'QUANTITE DETENUES'!G263)</f>
        <v>0</v>
      </c>
      <c r="H262" s="299">
        <f>IF(G262="","",PRIX!H263*'QUANTITE DETENUES'!H263)</f>
        <v>0</v>
      </c>
      <c r="I262" s="299">
        <f>IF(H262="","",PRIX!I263*'QUANTITE DETENUES'!I263)</f>
        <v>-0.004009357622</v>
      </c>
      <c r="J262" s="299">
        <f>IF(I262="","",PRIX!J263*'QUANTITE DETENUES'!J263)</f>
        <v>-0.0000001206060565</v>
      </c>
      <c r="K262" s="299">
        <f>IF(J262="","",PRIX!K263*'QUANTITE DETENUES'!K263)</f>
        <v>0</v>
      </c>
      <c r="L262" s="299">
        <f>IF(K262="","",PRIX!L263*'QUANTITE DETENUES'!L263)</f>
        <v>0</v>
      </c>
      <c r="M262" s="299">
        <f>IF(L262="","",PRIX!M263*'QUANTITE DETENUES'!M263)</f>
        <v>0</v>
      </c>
      <c r="N262" s="299">
        <f>IF(M262="","",PRIX!N263*'QUANTITE DETENUES'!N263)</f>
        <v>0</v>
      </c>
      <c r="O262" s="299">
        <f>IF(N262="","",PRIX!O263*'QUANTITE DETENUES'!O263)</f>
        <v>0.001753549754</v>
      </c>
      <c r="P262" s="299">
        <f>IF(O262="","",PRIX!P263*'QUANTITE DETENUES'!P263)</f>
        <v>0.00001214635464</v>
      </c>
      <c r="Q262" s="299">
        <f>IF(P262="","",PRIX!Q263*'QUANTITE DETENUES'!Q263)</f>
        <v>0.0000001519999909</v>
      </c>
      <c r="R262" s="299">
        <f>IF(Q262="","",PRIX!R263*'QUANTITE DETENUES'!R263)</f>
        <v>0</v>
      </c>
      <c r="S262" s="300">
        <f>IF(R262="","",PRIX!S263*'QUANTITE DETENUES'!S263)</f>
        <v>0</v>
      </c>
      <c r="T262" s="14">
        <f>IF(A262="","",ARBITRAGES!M263)</f>
        <v>9275.558268</v>
      </c>
      <c r="U262" s="301">
        <f t="shared" si="1"/>
        <v>39557.52645</v>
      </c>
      <c r="V262" s="302">
        <f t="shared" si="2"/>
        <v>0.7655172327</v>
      </c>
      <c r="W262" s="288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308"/>
      <c r="AI262" s="220"/>
      <c r="AJ262" s="220"/>
      <c r="AK262" s="220"/>
      <c r="AL262" s="220"/>
      <c r="AM262" s="220"/>
      <c r="AN262" s="220"/>
      <c r="AO262" s="220"/>
      <c r="AP262" s="220"/>
      <c r="AQ262" s="220"/>
      <c r="AR262" s="220"/>
      <c r="AS262" s="220"/>
      <c r="AT262" s="220"/>
      <c r="AU262" s="220"/>
      <c r="AV262" s="220"/>
      <c r="AW262" s="220"/>
      <c r="AX262" s="220"/>
      <c r="AY262" s="220"/>
      <c r="AZ262" s="220"/>
      <c r="BA262" s="220"/>
    </row>
    <row r="263">
      <c r="A263" s="290">
        <f>PRIX!A264</f>
        <v>46062</v>
      </c>
      <c r="B263" s="299">
        <f>IF(A263="","",PRIX!B264*'QUANTITE DETENUES'!B264)</f>
        <v>25871.23512</v>
      </c>
      <c r="C263" s="299">
        <f>IF(B263="","",PRIX!C264*'QUANTITE DETENUES'!C264)</f>
        <v>4250.425274</v>
      </c>
      <c r="D263" s="299">
        <f>IF(C263="","",PRIX!D264*'QUANTITE DETENUES'!D264)</f>
        <v>0.001862960693</v>
      </c>
      <c r="E263" s="299">
        <f>IF(D263="","",PRIX!E264*'QUANTITE DETENUES'!E264)</f>
        <v>0</v>
      </c>
      <c r="F263" s="299">
        <f>IF(E263="","",PRIX!F264*'QUANTITE DETENUES'!F264)</f>
        <v>0</v>
      </c>
      <c r="G263" s="299">
        <f>IF(F263="","",PRIX!G264*'QUANTITE DETENUES'!G264)</f>
        <v>0</v>
      </c>
      <c r="H263" s="299">
        <f>IF(G263="","",PRIX!H264*'QUANTITE DETENUES'!H264)</f>
        <v>0</v>
      </c>
      <c r="I263" s="299">
        <f>IF(H263="","",PRIX!I264*'QUANTITE DETENUES'!I264)</f>
        <v>-0.003879888782</v>
      </c>
      <c r="J263" s="299">
        <f>IF(I263="","",PRIX!J264*'QUANTITE DETENUES'!J264)</f>
        <v>-0.0000001167155385</v>
      </c>
      <c r="K263" s="299">
        <f>IF(J263="","",PRIX!K264*'QUANTITE DETENUES'!K264)</f>
        <v>0</v>
      </c>
      <c r="L263" s="299">
        <f>IF(K263="","",PRIX!L264*'QUANTITE DETENUES'!L264)</f>
        <v>0</v>
      </c>
      <c r="M263" s="299">
        <f>IF(L263="","",PRIX!M264*'QUANTITE DETENUES'!M264)</f>
        <v>0</v>
      </c>
      <c r="N263" s="299">
        <f>IF(M263="","",PRIX!N264*'QUANTITE DETENUES'!N264)</f>
        <v>0</v>
      </c>
      <c r="O263" s="299">
        <f>IF(N263="","",PRIX!O264*'QUANTITE DETENUES'!O264)</f>
        <v>0.001680485181</v>
      </c>
      <c r="P263" s="299">
        <f>IF(O263="","",PRIX!P264*'QUANTITE DETENUES'!P264)</f>
        <v>0.0000115679568</v>
      </c>
      <c r="Q263" s="299">
        <f>IF(P263="","",PRIX!Q264*'QUANTITE DETENUES'!Q264)</f>
        <v>0.0000001459999913</v>
      </c>
      <c r="R263" s="299">
        <f>IF(Q263="","",PRIX!R264*'QUANTITE DETENUES'!R264)</f>
        <v>0</v>
      </c>
      <c r="S263" s="300">
        <f>IF(R263="","",PRIX!S264*'QUANTITE DETENUES'!S264)</f>
        <v>0</v>
      </c>
      <c r="T263" s="14">
        <f>IF(A263="","",ARBITRAGES!M264)</f>
        <v>9375.558218</v>
      </c>
      <c r="U263" s="301">
        <f t="shared" si="1"/>
        <v>39497.21829</v>
      </c>
      <c r="V263" s="302">
        <f t="shared" si="2"/>
        <v>0.7626273792</v>
      </c>
      <c r="W263" s="288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308"/>
      <c r="AI263" s="220"/>
      <c r="AJ263" s="220"/>
      <c r="AK263" s="220"/>
      <c r="AL263" s="220"/>
      <c r="AM263" s="220"/>
      <c r="AN263" s="220"/>
      <c r="AO263" s="220"/>
      <c r="AP263" s="220"/>
      <c r="AQ263" s="220"/>
      <c r="AR263" s="220"/>
      <c r="AS263" s="220"/>
      <c r="AT263" s="220"/>
      <c r="AU263" s="220"/>
      <c r="AV263" s="220"/>
      <c r="AW263" s="220"/>
      <c r="AX263" s="220"/>
      <c r="AY263" s="220"/>
      <c r="AZ263" s="220"/>
      <c r="BA263" s="220"/>
    </row>
    <row r="264">
      <c r="A264" s="290">
        <f>PRIX!A265</f>
        <v>46063</v>
      </c>
      <c r="B264" s="299">
        <f>IF(A264="","",PRIX!B265*'QUANTITE DETENUES'!B265)</f>
        <v>24746.39881</v>
      </c>
      <c r="C264" s="299">
        <f>IF(B264="","",PRIX!C265*'QUANTITE DETENUES'!C265)</f>
        <v>3997.924763</v>
      </c>
      <c r="D264" s="299">
        <f>IF(C264="","",PRIX!D265*'QUANTITE DETENUES'!D265)</f>
        <v>0.001807349926</v>
      </c>
      <c r="E264" s="299">
        <f>IF(D264="","",PRIX!E265*'QUANTITE DETENUES'!E265)</f>
        <v>0</v>
      </c>
      <c r="F264" s="299">
        <f>IF(E264="","",PRIX!F265*'QUANTITE DETENUES'!F265)</f>
        <v>0</v>
      </c>
      <c r="G264" s="299">
        <f>IF(F264="","",PRIX!G265*'QUANTITE DETENUES'!G265)</f>
        <v>0</v>
      </c>
      <c r="H264" s="299">
        <f>IF(G264="","",PRIX!H265*'QUANTITE DETENUES'!H265)</f>
        <v>0</v>
      </c>
      <c r="I264" s="299">
        <f>IF(H264="","",PRIX!I265*'QUANTITE DETENUES'!I265)</f>
        <v>200.1073503</v>
      </c>
      <c r="J264" s="299">
        <f>IF(I264="","",PRIX!J265*'QUANTITE DETENUES'!J265)</f>
        <v>-0.0000001128250206</v>
      </c>
      <c r="K264" s="299">
        <f>IF(J264="","",PRIX!K265*'QUANTITE DETENUES'!K265)</f>
        <v>0</v>
      </c>
      <c r="L264" s="299">
        <f>IF(K264="","",PRIX!L265*'QUANTITE DETENUES'!L265)</f>
        <v>0</v>
      </c>
      <c r="M264" s="299">
        <f>IF(L264="","",PRIX!M265*'QUANTITE DETENUES'!M265)</f>
        <v>0</v>
      </c>
      <c r="N264" s="299">
        <f>IF(M264="","",PRIX!N265*'QUANTITE DETENUES'!N265)</f>
        <v>0</v>
      </c>
      <c r="O264" s="299">
        <f>IF(N264="","",PRIX!O265*'QUANTITE DETENUES'!O265)</f>
        <v>0.001607420608</v>
      </c>
      <c r="P264" s="299">
        <f>IF(O264="","",PRIX!P265*'QUANTITE DETENUES'!P265)</f>
        <v>0.00001041116112</v>
      </c>
      <c r="Q264" s="299">
        <f>IF(P264="","",PRIX!Q265*'QUANTITE DETENUES'!Q265)</f>
        <v>0.0000001399999917</v>
      </c>
      <c r="R264" s="299">
        <f>IF(Q264="","",PRIX!R265*'QUANTITE DETENUES'!R265)</f>
        <v>0</v>
      </c>
      <c r="S264" s="300">
        <f>IF(R264="","",PRIX!S265*'QUANTITE DETENUES'!S265)</f>
        <v>0</v>
      </c>
      <c r="T264" s="14">
        <f>IF(A264="","",ARBITRAGES!M265)</f>
        <v>9175.558218</v>
      </c>
      <c r="U264" s="301">
        <f t="shared" si="1"/>
        <v>38119.99257</v>
      </c>
      <c r="V264" s="302">
        <f t="shared" si="2"/>
        <v>0.7592980061</v>
      </c>
      <c r="W264" s="288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308"/>
      <c r="AI264" s="220"/>
      <c r="AJ264" s="220"/>
      <c r="AK264" s="220"/>
      <c r="AL264" s="220"/>
      <c r="AM264" s="220"/>
      <c r="AN264" s="220"/>
      <c r="AO264" s="220"/>
      <c r="AP264" s="220"/>
      <c r="AQ264" s="220"/>
      <c r="AR264" s="220"/>
      <c r="AS264" s="220"/>
      <c r="AT264" s="220"/>
      <c r="AU264" s="220"/>
      <c r="AV264" s="220"/>
      <c r="AW264" s="220"/>
      <c r="AX264" s="220"/>
      <c r="AY264" s="220"/>
      <c r="AZ264" s="220"/>
      <c r="BA264" s="220"/>
    </row>
    <row r="265">
      <c r="A265" s="290">
        <f>PRIX!A266</f>
        <v>46064</v>
      </c>
      <c r="B265" s="299">
        <f>IF(A265="","",PRIX!B266*'QUANTITE DETENUES'!B266)</f>
        <v>25008.86062</v>
      </c>
      <c r="C265" s="299">
        <f>IF(B265="","",PRIX!C266*'QUANTITE DETENUES'!C266)</f>
        <v>4103.133309</v>
      </c>
      <c r="D265" s="299">
        <f>IF(C265="","",PRIX!D266*'QUANTITE DETENUES'!D266)</f>
        <v>0.001807349926</v>
      </c>
      <c r="E265" s="299">
        <f>IF(D265="","",PRIX!E266*'QUANTITE DETENUES'!E266)</f>
        <v>0</v>
      </c>
      <c r="F265" s="299">
        <f>IF(E265="","",PRIX!F266*'QUANTITE DETENUES'!F266)</f>
        <v>0</v>
      </c>
      <c r="G265" s="299">
        <f>IF(F265="","",PRIX!G266*'QUANTITE DETENUES'!G266)</f>
        <v>0</v>
      </c>
      <c r="H265" s="299">
        <f>IF(G265="","",PRIX!H266*'QUANTITE DETENUES'!H266)</f>
        <v>0</v>
      </c>
      <c r="I265" s="299">
        <f>IF(H265="","",PRIX!I266*'QUANTITE DETENUES'!I266)</f>
        <v>-0.003760528014</v>
      </c>
      <c r="J265" s="299">
        <f>IF(I265="","",PRIX!J266*'QUANTITE DETENUES'!J266)</f>
        <v>-0.0000001128250206</v>
      </c>
      <c r="K265" s="299">
        <f>IF(J265="","",PRIX!K266*'QUANTITE DETENUES'!K266)</f>
        <v>0</v>
      </c>
      <c r="L265" s="299">
        <f>IF(K265="","",PRIX!L266*'QUANTITE DETENUES'!L266)</f>
        <v>0</v>
      </c>
      <c r="M265" s="299">
        <f>IF(L265="","",PRIX!M266*'QUANTITE DETENUES'!M266)</f>
        <v>0</v>
      </c>
      <c r="N265" s="299">
        <f>IF(M265="","",PRIX!N266*'QUANTITE DETENUES'!N266)</f>
        <v>0</v>
      </c>
      <c r="O265" s="299">
        <f>IF(N265="","",PRIX!O266*'QUANTITE DETENUES'!O266)</f>
        <v>0.001607420608</v>
      </c>
      <c r="P265" s="299">
        <f>IF(O265="","",PRIX!P266*'QUANTITE DETENUES'!P266)</f>
        <v>0.00001041116112</v>
      </c>
      <c r="Q265" s="299">
        <f>IF(P265="","",PRIX!Q266*'QUANTITE DETENUES'!Q266)</f>
        <v>0.0000001399999917</v>
      </c>
      <c r="R265" s="299">
        <f>IF(Q265="","",PRIX!R266*'QUANTITE DETENUES'!R266)</f>
        <v>0</v>
      </c>
      <c r="S265" s="300">
        <f>IF(R265="","",PRIX!S266*'QUANTITE DETENUES'!S266)</f>
        <v>0</v>
      </c>
      <c r="T265" s="14">
        <f>IF(A265="","",ARBITRAGES!M266)</f>
        <v>9375.891551</v>
      </c>
      <c r="U265" s="301">
        <f t="shared" si="1"/>
        <v>38487.88514</v>
      </c>
      <c r="V265" s="302">
        <f t="shared" si="2"/>
        <v>0.7563936933</v>
      </c>
      <c r="W265" s="288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308"/>
      <c r="AI265" s="220"/>
      <c r="AJ265" s="220"/>
      <c r="AK265" s="220"/>
      <c r="AL265" s="220"/>
      <c r="AM265" s="220"/>
      <c r="AN265" s="220"/>
      <c r="AO265" s="220"/>
      <c r="AP265" s="220"/>
      <c r="AQ265" s="220"/>
      <c r="AR265" s="220"/>
      <c r="AS265" s="220"/>
      <c r="AT265" s="220"/>
      <c r="AU265" s="220"/>
      <c r="AV265" s="220"/>
      <c r="AW265" s="220"/>
      <c r="AX265" s="220"/>
      <c r="AY265" s="220"/>
      <c r="AZ265" s="220"/>
      <c r="BA265" s="220"/>
    </row>
    <row r="266">
      <c r="A266" s="290">
        <f>PRIX!A267</f>
        <v>46065</v>
      </c>
      <c r="B266" s="299">
        <f>IF(A266="","",PRIX!B267*'QUANTITE DETENUES'!B267)</f>
        <v>24971.31697</v>
      </c>
      <c r="C266" s="299">
        <f>IF(B266="","",PRIX!C267*'QUANTITE DETENUES'!C267)</f>
        <v>4103.133309</v>
      </c>
      <c r="D266" s="299">
        <f>IF(C266="","",PRIX!D267*'QUANTITE DETENUES'!D267)</f>
        <v>0.00200198761</v>
      </c>
      <c r="E266" s="299">
        <f>IF(D266="","",PRIX!E267*'QUANTITE DETENUES'!E267)</f>
        <v>0</v>
      </c>
      <c r="F266" s="299">
        <f>IF(E266="","",PRIX!F267*'QUANTITE DETENUES'!F267)</f>
        <v>0</v>
      </c>
      <c r="G266" s="299">
        <f>IF(F266="","",PRIX!G267*'QUANTITE DETENUES'!G267)</f>
        <v>0</v>
      </c>
      <c r="H266" s="299">
        <f>IF(G266="","",PRIX!H267*'QUANTITE DETENUES'!H267)</f>
        <v>0</v>
      </c>
      <c r="I266" s="299">
        <f>IF(H266="","",PRIX!I267*'QUANTITE DETENUES'!I267)</f>
        <v>-0.004171868391</v>
      </c>
      <c r="J266" s="299">
        <f>IF(I266="","",PRIX!J267*'QUANTITE DETENUES'!J267)</f>
        <v>-0.0000001264418334</v>
      </c>
      <c r="K266" s="299">
        <f>IF(J266="","",PRIX!K267*'QUANTITE DETENUES'!K267)</f>
        <v>0</v>
      </c>
      <c r="L266" s="299">
        <f>IF(K266="","",PRIX!L267*'QUANTITE DETENUES'!L267)</f>
        <v>0</v>
      </c>
      <c r="M266" s="299">
        <f>IF(L266="","",PRIX!M267*'QUANTITE DETENUES'!M267)</f>
        <v>0</v>
      </c>
      <c r="N266" s="299">
        <f>IF(M266="","",PRIX!N267*'QUANTITE DETENUES'!N267)</f>
        <v>0</v>
      </c>
      <c r="O266" s="299">
        <f>IF(N266="","",PRIX!O267*'QUANTITE DETENUES'!O267)</f>
        <v>0.001753549754</v>
      </c>
      <c r="P266" s="299">
        <f>IF(O266="","",PRIX!P267*'QUANTITE DETENUES'!P267)</f>
        <v>0.00001243555355</v>
      </c>
      <c r="Q266" s="299">
        <f>IF(P266="","",PRIX!Q267*'QUANTITE DETENUES'!Q267)</f>
        <v>0.0000001759999895</v>
      </c>
      <c r="R266" s="299">
        <f>IF(Q266="","",PRIX!R267*'QUANTITE DETENUES'!R267)</f>
        <v>0</v>
      </c>
      <c r="S266" s="300">
        <f>IF(R266="","",PRIX!S267*'QUANTITE DETENUES'!S267)</f>
        <v>0</v>
      </c>
      <c r="T266" s="14">
        <f>IF(A266="","",ARBITRAGES!M267)</f>
        <v>9713.391551</v>
      </c>
      <c r="U266" s="301">
        <f t="shared" si="1"/>
        <v>38787.84142</v>
      </c>
      <c r="V266" s="302">
        <f t="shared" si="2"/>
        <v>0.7495763828</v>
      </c>
      <c r="W266" s="288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308"/>
      <c r="AI266" s="220"/>
      <c r="AJ266" s="220"/>
      <c r="AK266" s="220"/>
      <c r="AL266" s="220"/>
      <c r="AM266" s="220"/>
      <c r="AN266" s="220"/>
      <c r="AO266" s="220"/>
      <c r="AP266" s="220"/>
      <c r="AQ266" s="220"/>
      <c r="AR266" s="220"/>
      <c r="AS266" s="220"/>
      <c r="AT266" s="220"/>
      <c r="AU266" s="220"/>
      <c r="AV266" s="220"/>
      <c r="AW266" s="220"/>
      <c r="AX266" s="220"/>
      <c r="AY266" s="220"/>
      <c r="AZ266" s="220"/>
      <c r="BA266" s="220"/>
    </row>
    <row r="267">
      <c r="A267" s="290">
        <f>PRIX!A268</f>
        <v>46066</v>
      </c>
      <c r="B267" s="299">
        <f>IF(A267="","",PRIX!B268*'QUANTITE DETENUES'!B268)</f>
        <v>24971.31697</v>
      </c>
      <c r="C267" s="299">
        <f>IF(B267="","",PRIX!C268*'QUANTITE DETENUES'!C268)</f>
        <v>3517.642481</v>
      </c>
      <c r="D267" s="299">
        <f>IF(C267="","",PRIX!D268*'QUANTITE DETENUES'!D268)</f>
        <v>0.00200198761</v>
      </c>
      <c r="E267" s="299">
        <f>IF(D267="","",PRIX!E268*'QUANTITE DETENUES'!E268)</f>
        <v>0</v>
      </c>
      <c r="F267" s="299">
        <f>IF(E267="","",PRIX!F268*'QUANTITE DETENUES'!F268)</f>
        <v>0</v>
      </c>
      <c r="G267" s="299">
        <f>IF(F267="","",PRIX!G268*'QUANTITE DETENUES'!G268)</f>
        <v>0</v>
      </c>
      <c r="H267" s="299">
        <f>IF(G267="","",PRIX!H268*'QUANTITE DETENUES'!H268)</f>
        <v>0</v>
      </c>
      <c r="I267" s="299">
        <f>IF(H267="","",PRIX!I268*'QUANTITE DETENUES'!I268)</f>
        <v>-0.004171868391</v>
      </c>
      <c r="J267" s="299">
        <f>IF(I267="","",PRIX!J268*'QUANTITE DETENUES'!J268)</f>
        <v>-0.0000001264418334</v>
      </c>
      <c r="K267" s="299">
        <f>IF(J267="","",PRIX!K268*'QUANTITE DETENUES'!K268)</f>
        <v>0</v>
      </c>
      <c r="L267" s="299">
        <f>IF(K267="","",PRIX!L268*'QUANTITE DETENUES'!L268)</f>
        <v>0</v>
      </c>
      <c r="M267" s="299">
        <f>IF(L267="","",PRIX!M268*'QUANTITE DETENUES'!M268)</f>
        <v>0</v>
      </c>
      <c r="N267" s="299">
        <f>IF(M267="","",PRIX!N268*'QUANTITE DETENUES'!N268)</f>
        <v>0</v>
      </c>
      <c r="O267" s="299">
        <f>IF(N267="","",PRIX!O268*'QUANTITE DETENUES'!O268)</f>
        <v>0.001753549754</v>
      </c>
      <c r="P267" s="299">
        <f>IF(O267="","",PRIX!P268*'QUANTITE DETENUES'!P268)</f>
        <v>0.00001243555355</v>
      </c>
      <c r="Q267" s="299">
        <f>IF(P267="","",PRIX!Q268*'QUANTITE DETENUES'!Q268)</f>
        <v>0.0000001759999895</v>
      </c>
      <c r="R267" s="299">
        <f>IF(Q267="","",PRIX!R268*'QUANTITE DETENUES'!R268)</f>
        <v>0</v>
      </c>
      <c r="S267" s="300">
        <f>IF(R267="","",PRIX!S268*'QUANTITE DETENUES'!S268)</f>
        <v>0</v>
      </c>
      <c r="T267" s="14">
        <f>IF(A267="","",ARBITRAGES!M268)</f>
        <v>10332.39371</v>
      </c>
      <c r="U267" s="301">
        <f t="shared" si="1"/>
        <v>38821.35275</v>
      </c>
      <c r="V267" s="302">
        <f t="shared" si="2"/>
        <v>0.7338476644</v>
      </c>
      <c r="W267" s="288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308"/>
      <c r="AI267" s="220"/>
      <c r="AJ267" s="220"/>
      <c r="AK267" s="220"/>
      <c r="AL267" s="220"/>
      <c r="AM267" s="220"/>
      <c r="AN267" s="220"/>
      <c r="AO267" s="220"/>
      <c r="AP267" s="220"/>
      <c r="AQ267" s="220"/>
      <c r="AR267" s="220"/>
      <c r="AS267" s="220"/>
      <c r="AT267" s="220"/>
      <c r="AU267" s="220"/>
      <c r="AV267" s="220"/>
      <c r="AW267" s="220"/>
      <c r="AX267" s="220"/>
      <c r="AY267" s="220"/>
      <c r="AZ267" s="220"/>
      <c r="BA267" s="220"/>
    </row>
    <row r="268">
      <c r="A268" s="290" t="str">
        <f>PRIX!A269</f>
        <v/>
      </c>
      <c r="B268" s="299" t="str">
        <f>IF(A268="","",PRIX!B269*'QUANTITE DETENUES'!B269)</f>
        <v/>
      </c>
      <c r="C268" s="299" t="str">
        <f>IF(B268="","",PRIX!C269*'QUANTITE DETENUES'!C269)</f>
        <v/>
      </c>
      <c r="D268" s="299" t="str">
        <f>IF(C268="","",PRIX!D269*'QUANTITE DETENUES'!D269)</f>
        <v/>
      </c>
      <c r="E268" s="299" t="str">
        <f>IF(D268="","",PRIX!E269*'QUANTITE DETENUES'!E269)</f>
        <v/>
      </c>
      <c r="F268" s="299" t="str">
        <f>IF(E268="","",PRIX!F269*'QUANTITE DETENUES'!F269)</f>
        <v/>
      </c>
      <c r="G268" s="299" t="str">
        <f>IF(F268="","",PRIX!G269*'QUANTITE DETENUES'!G269)</f>
        <v/>
      </c>
      <c r="H268" s="299" t="str">
        <f>IF(G268="","",PRIX!H269*'QUANTITE DETENUES'!H269)</f>
        <v/>
      </c>
      <c r="I268" s="299" t="str">
        <f>IF(H268="","",PRIX!I269*'QUANTITE DETENUES'!I269)</f>
        <v/>
      </c>
      <c r="J268" s="299" t="str">
        <f>IF(I268="","",PRIX!J269*'QUANTITE DETENUES'!J269)</f>
        <v/>
      </c>
      <c r="K268" s="299" t="str">
        <f>IF(J268="","",PRIX!K269*'QUANTITE DETENUES'!K269)</f>
        <v/>
      </c>
      <c r="L268" s="299" t="str">
        <f>IF(K268="","",PRIX!L269*'QUANTITE DETENUES'!L269)</f>
        <v/>
      </c>
      <c r="M268" s="299" t="str">
        <f>IF(L268="","",PRIX!M269*'QUANTITE DETENUES'!M269)</f>
        <v/>
      </c>
      <c r="N268" s="299" t="str">
        <f>IF(M268="","",PRIX!N269*'QUANTITE DETENUES'!N269)</f>
        <v/>
      </c>
      <c r="O268" s="299" t="str">
        <f>IF(N268="","",PRIX!O269*'QUANTITE DETENUES'!O269)</f>
        <v/>
      </c>
      <c r="P268" s="299" t="str">
        <f>IF(O268="","",PRIX!P269*'QUANTITE DETENUES'!P269)</f>
        <v/>
      </c>
      <c r="Q268" s="299" t="str">
        <f>IF(P268="","",PRIX!Q269*'QUANTITE DETENUES'!Q269)</f>
        <v/>
      </c>
      <c r="R268" s="299" t="str">
        <f>IF(Q268="","",PRIX!R269*'QUANTITE DETENUES'!R269)</f>
        <v/>
      </c>
      <c r="S268" s="300" t="str">
        <f>IF(R268="","",PRIX!S269*'QUANTITE DETENUES'!S269)</f>
        <v/>
      </c>
      <c r="T268" s="14" t="str">
        <f>IF(A268="","",ARBITRAGES!M269)</f>
        <v/>
      </c>
      <c r="U268" s="301" t="str">
        <f t="shared" si="1"/>
        <v/>
      </c>
      <c r="V268" s="302" t="str">
        <f t="shared" si="2"/>
        <v/>
      </c>
      <c r="W268" s="288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308"/>
      <c r="AI268" s="220"/>
      <c r="AJ268" s="220"/>
      <c r="AK268" s="220"/>
      <c r="AL268" s="220"/>
      <c r="AM268" s="220"/>
      <c r="AN268" s="220"/>
      <c r="AO268" s="220"/>
      <c r="AP268" s="220"/>
      <c r="AQ268" s="220"/>
      <c r="AR268" s="220"/>
      <c r="AS268" s="220"/>
      <c r="AT268" s="220"/>
      <c r="AU268" s="220"/>
      <c r="AV268" s="220"/>
      <c r="AW268" s="220"/>
      <c r="AX268" s="220"/>
      <c r="AY268" s="220"/>
      <c r="AZ268" s="220"/>
      <c r="BA268" s="220"/>
    </row>
    <row r="269">
      <c r="A269" s="290" t="str">
        <f>PRIX!A270</f>
        <v/>
      </c>
      <c r="B269" s="299" t="str">
        <f>IF(A269="","",PRIX!B270*'QUANTITE DETENUES'!B270)</f>
        <v/>
      </c>
      <c r="C269" s="299" t="str">
        <f>IF(B269="","",PRIX!C270*'QUANTITE DETENUES'!C270)</f>
        <v/>
      </c>
      <c r="D269" s="299" t="str">
        <f>IF(C269="","",PRIX!D270*'QUANTITE DETENUES'!D270)</f>
        <v/>
      </c>
      <c r="E269" s="299" t="str">
        <f>IF(D269="","",PRIX!E270*'QUANTITE DETENUES'!E270)</f>
        <v/>
      </c>
      <c r="F269" s="299" t="str">
        <f>IF(E269="","",PRIX!F270*'QUANTITE DETENUES'!F270)</f>
        <v/>
      </c>
      <c r="G269" s="299" t="str">
        <f>IF(F269="","",PRIX!G270*'QUANTITE DETENUES'!G270)</f>
        <v/>
      </c>
      <c r="H269" s="299" t="str">
        <f>IF(G269="","",PRIX!H270*'QUANTITE DETENUES'!H270)</f>
        <v/>
      </c>
      <c r="I269" s="299" t="str">
        <f>IF(H269="","",PRIX!I270*'QUANTITE DETENUES'!I270)</f>
        <v/>
      </c>
      <c r="J269" s="299" t="str">
        <f>IF(I269="","",PRIX!J270*'QUANTITE DETENUES'!J270)</f>
        <v/>
      </c>
      <c r="K269" s="299" t="str">
        <f>IF(J269="","",PRIX!K270*'QUANTITE DETENUES'!K270)</f>
        <v/>
      </c>
      <c r="L269" s="299" t="str">
        <f>IF(K269="","",PRIX!L270*'QUANTITE DETENUES'!L270)</f>
        <v/>
      </c>
      <c r="M269" s="299" t="str">
        <f>IF(L269="","",PRIX!M270*'QUANTITE DETENUES'!M270)</f>
        <v/>
      </c>
      <c r="N269" s="299" t="str">
        <f>IF(M269="","",PRIX!N270*'QUANTITE DETENUES'!N270)</f>
        <v/>
      </c>
      <c r="O269" s="299" t="str">
        <f>IF(N269="","",PRIX!O270*'QUANTITE DETENUES'!O270)</f>
        <v/>
      </c>
      <c r="P269" s="299" t="str">
        <f>IF(O269="","",PRIX!P270*'QUANTITE DETENUES'!P270)</f>
        <v/>
      </c>
      <c r="Q269" s="299" t="str">
        <f>IF(P269="","",PRIX!Q270*'QUANTITE DETENUES'!Q270)</f>
        <v/>
      </c>
      <c r="R269" s="299" t="str">
        <f>IF(Q269="","",PRIX!R270*'QUANTITE DETENUES'!R270)</f>
        <v/>
      </c>
      <c r="S269" s="300" t="str">
        <f>IF(R269="","",PRIX!S270*'QUANTITE DETENUES'!S270)</f>
        <v/>
      </c>
      <c r="T269" s="14" t="str">
        <f>IF(A269="","",ARBITRAGES!M270)</f>
        <v/>
      </c>
      <c r="U269" s="301" t="str">
        <f t="shared" si="1"/>
        <v/>
      </c>
      <c r="V269" s="302" t="str">
        <f t="shared" si="2"/>
        <v/>
      </c>
      <c r="W269" s="288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308"/>
      <c r="AI269" s="220"/>
      <c r="AJ269" s="220"/>
      <c r="AK269" s="220"/>
      <c r="AL269" s="220"/>
      <c r="AM269" s="220"/>
      <c r="AN269" s="220"/>
      <c r="AO269" s="220"/>
      <c r="AP269" s="220"/>
      <c r="AQ269" s="220"/>
      <c r="AR269" s="220"/>
      <c r="AS269" s="220"/>
      <c r="AT269" s="220"/>
      <c r="AU269" s="220"/>
      <c r="AV269" s="220"/>
      <c r="AW269" s="220"/>
      <c r="AX269" s="220"/>
      <c r="AY269" s="220"/>
      <c r="AZ269" s="220"/>
      <c r="BA269" s="220"/>
    </row>
    <row r="270">
      <c r="A270" s="290" t="str">
        <f>PRIX!A271</f>
        <v/>
      </c>
      <c r="B270" s="299" t="str">
        <f>IF(A270="","",PRIX!B271*'QUANTITE DETENUES'!B271)</f>
        <v/>
      </c>
      <c r="C270" s="299" t="str">
        <f>IF(B270="","",PRIX!C271*'QUANTITE DETENUES'!C271)</f>
        <v/>
      </c>
      <c r="D270" s="299" t="str">
        <f>IF(C270="","",PRIX!D271*'QUANTITE DETENUES'!D271)</f>
        <v/>
      </c>
      <c r="E270" s="299" t="str">
        <f>IF(D270="","",PRIX!E271*'QUANTITE DETENUES'!E271)</f>
        <v/>
      </c>
      <c r="F270" s="299" t="str">
        <f>IF(E270="","",PRIX!F271*'QUANTITE DETENUES'!F271)</f>
        <v/>
      </c>
      <c r="G270" s="299" t="str">
        <f>IF(F270="","",PRIX!G271*'QUANTITE DETENUES'!G271)</f>
        <v/>
      </c>
      <c r="H270" s="299" t="str">
        <f>IF(G270="","",PRIX!H271*'QUANTITE DETENUES'!H271)</f>
        <v/>
      </c>
      <c r="I270" s="299" t="str">
        <f>IF(H270="","",PRIX!I271*'QUANTITE DETENUES'!I271)</f>
        <v/>
      </c>
      <c r="J270" s="299" t="str">
        <f>IF(I270="","",PRIX!J271*'QUANTITE DETENUES'!J271)</f>
        <v/>
      </c>
      <c r="K270" s="299" t="str">
        <f>IF(J270="","",PRIX!K271*'QUANTITE DETENUES'!K271)</f>
        <v/>
      </c>
      <c r="L270" s="299" t="str">
        <f>IF(K270="","",PRIX!L271*'QUANTITE DETENUES'!L271)</f>
        <v/>
      </c>
      <c r="M270" s="299" t="str">
        <f>IF(L270="","",PRIX!M271*'QUANTITE DETENUES'!M271)</f>
        <v/>
      </c>
      <c r="N270" s="299" t="str">
        <f>IF(M270="","",PRIX!N271*'QUANTITE DETENUES'!N271)</f>
        <v/>
      </c>
      <c r="O270" s="299" t="str">
        <f>IF(N270="","",PRIX!O271*'QUANTITE DETENUES'!O271)</f>
        <v/>
      </c>
      <c r="P270" s="299" t="str">
        <f>IF(O270="","",PRIX!P271*'QUANTITE DETENUES'!P271)</f>
        <v/>
      </c>
      <c r="Q270" s="299" t="str">
        <f>IF(P270="","",PRIX!Q271*'QUANTITE DETENUES'!Q271)</f>
        <v/>
      </c>
      <c r="R270" s="299" t="str">
        <f>IF(Q270="","",PRIX!R271*'QUANTITE DETENUES'!R271)</f>
        <v/>
      </c>
      <c r="S270" s="300" t="str">
        <f>IF(R270="","",PRIX!S271*'QUANTITE DETENUES'!S271)</f>
        <v/>
      </c>
      <c r="T270" s="14" t="str">
        <f>IF(A270="","",ARBITRAGES!M271)</f>
        <v/>
      </c>
      <c r="U270" s="301" t="str">
        <f t="shared" si="1"/>
        <v/>
      </c>
      <c r="V270" s="302" t="str">
        <f t="shared" si="2"/>
        <v/>
      </c>
      <c r="W270" s="288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308"/>
      <c r="AI270" s="220"/>
      <c r="AJ270" s="220"/>
      <c r="AK270" s="220"/>
      <c r="AL270" s="220"/>
      <c r="AM270" s="220"/>
      <c r="AN270" s="220"/>
      <c r="AO270" s="220"/>
      <c r="AP270" s="220"/>
      <c r="AQ270" s="220"/>
      <c r="AR270" s="220"/>
      <c r="AS270" s="220"/>
      <c r="AT270" s="220"/>
      <c r="AU270" s="220"/>
      <c r="AV270" s="220"/>
      <c r="AW270" s="220"/>
      <c r="AX270" s="220"/>
      <c r="AY270" s="220"/>
      <c r="AZ270" s="220"/>
      <c r="BA270" s="220"/>
    </row>
    <row r="271">
      <c r="A271" s="290" t="str">
        <f>PRIX!A272</f>
        <v/>
      </c>
      <c r="B271" s="299" t="str">
        <f>IF(A271="","",PRIX!B272*'QUANTITE DETENUES'!B272)</f>
        <v/>
      </c>
      <c r="C271" s="299" t="str">
        <f>IF(B271="","",PRIX!C272*'QUANTITE DETENUES'!C272)</f>
        <v/>
      </c>
      <c r="D271" s="299" t="str">
        <f>IF(C271="","",PRIX!D272*'QUANTITE DETENUES'!D272)</f>
        <v/>
      </c>
      <c r="E271" s="299" t="str">
        <f>IF(D271="","",PRIX!E272*'QUANTITE DETENUES'!E272)</f>
        <v/>
      </c>
      <c r="F271" s="299" t="str">
        <f>IF(E271="","",PRIX!F272*'QUANTITE DETENUES'!F272)</f>
        <v/>
      </c>
      <c r="G271" s="299" t="str">
        <f>IF(F271="","",PRIX!G272*'QUANTITE DETENUES'!G272)</f>
        <v/>
      </c>
      <c r="H271" s="299" t="str">
        <f>IF(G271="","",PRIX!H272*'QUANTITE DETENUES'!H272)</f>
        <v/>
      </c>
      <c r="I271" s="299" t="str">
        <f>IF(H271="","",PRIX!I272*'QUANTITE DETENUES'!I272)</f>
        <v/>
      </c>
      <c r="J271" s="299" t="str">
        <f>IF(I271="","",PRIX!J272*'QUANTITE DETENUES'!J272)</f>
        <v/>
      </c>
      <c r="K271" s="299" t="str">
        <f>IF(J271="","",PRIX!K272*'QUANTITE DETENUES'!K272)</f>
        <v/>
      </c>
      <c r="L271" s="299" t="str">
        <f>IF(K271="","",PRIX!L272*'QUANTITE DETENUES'!L272)</f>
        <v/>
      </c>
      <c r="M271" s="299" t="str">
        <f>IF(L271="","",PRIX!M272*'QUANTITE DETENUES'!M272)</f>
        <v/>
      </c>
      <c r="N271" s="299" t="str">
        <f>IF(M271="","",PRIX!N272*'QUANTITE DETENUES'!N272)</f>
        <v/>
      </c>
      <c r="O271" s="299" t="str">
        <f>IF(N271="","",PRIX!O272*'QUANTITE DETENUES'!O272)</f>
        <v/>
      </c>
      <c r="P271" s="299" t="str">
        <f>IF(O271="","",PRIX!P272*'QUANTITE DETENUES'!P272)</f>
        <v/>
      </c>
      <c r="Q271" s="299" t="str">
        <f>IF(P271="","",PRIX!Q272*'QUANTITE DETENUES'!Q272)</f>
        <v/>
      </c>
      <c r="R271" s="299" t="str">
        <f>IF(Q271="","",PRIX!R272*'QUANTITE DETENUES'!R272)</f>
        <v/>
      </c>
      <c r="S271" s="300" t="str">
        <f>IF(R271="","",PRIX!S272*'QUANTITE DETENUES'!S272)</f>
        <v/>
      </c>
      <c r="T271" s="14" t="str">
        <f>IF(A271="","",ARBITRAGES!M272)</f>
        <v/>
      </c>
      <c r="U271" s="301" t="str">
        <f t="shared" si="1"/>
        <v/>
      </c>
      <c r="V271" s="302" t="str">
        <f t="shared" si="2"/>
        <v/>
      </c>
      <c r="W271" s="288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308"/>
      <c r="AI271" s="220"/>
      <c r="AJ271" s="220"/>
      <c r="AK271" s="220"/>
      <c r="AL271" s="220"/>
      <c r="AM271" s="220"/>
      <c r="AN271" s="220"/>
      <c r="AO271" s="220"/>
      <c r="AP271" s="220"/>
      <c r="AQ271" s="220"/>
      <c r="AR271" s="220"/>
      <c r="AS271" s="220"/>
      <c r="AT271" s="220"/>
      <c r="AU271" s="220"/>
      <c r="AV271" s="220"/>
      <c r="AW271" s="220"/>
      <c r="AX271" s="220"/>
      <c r="AY271" s="220"/>
      <c r="AZ271" s="220"/>
      <c r="BA271" s="220"/>
    </row>
    <row r="272">
      <c r="A272" s="290" t="str">
        <f>PRIX!A273</f>
        <v/>
      </c>
      <c r="B272" s="299" t="str">
        <f>IF(A272="","",PRIX!B273*'QUANTITE DETENUES'!B273)</f>
        <v/>
      </c>
      <c r="C272" s="299" t="str">
        <f>IF(B272="","",PRIX!C273*'QUANTITE DETENUES'!C273)</f>
        <v/>
      </c>
      <c r="D272" s="299" t="str">
        <f>IF(C272="","",PRIX!D273*'QUANTITE DETENUES'!D273)</f>
        <v/>
      </c>
      <c r="E272" s="299" t="str">
        <f>IF(D272="","",PRIX!E273*'QUANTITE DETENUES'!E273)</f>
        <v/>
      </c>
      <c r="F272" s="299" t="str">
        <f>IF(E272="","",PRIX!F273*'QUANTITE DETENUES'!F273)</f>
        <v/>
      </c>
      <c r="G272" s="299" t="str">
        <f>IF(F272="","",PRIX!G273*'QUANTITE DETENUES'!G273)</f>
        <v/>
      </c>
      <c r="H272" s="299" t="str">
        <f>IF(G272="","",PRIX!H273*'QUANTITE DETENUES'!H273)</f>
        <v/>
      </c>
      <c r="I272" s="299" t="str">
        <f>IF(H272="","",PRIX!I273*'QUANTITE DETENUES'!I273)</f>
        <v/>
      </c>
      <c r="J272" s="299" t="str">
        <f>IF(I272="","",PRIX!J273*'QUANTITE DETENUES'!J273)</f>
        <v/>
      </c>
      <c r="K272" s="299" t="str">
        <f>IF(J272="","",PRIX!K273*'QUANTITE DETENUES'!K273)</f>
        <v/>
      </c>
      <c r="L272" s="299" t="str">
        <f>IF(K272="","",PRIX!L273*'QUANTITE DETENUES'!L273)</f>
        <v/>
      </c>
      <c r="M272" s="299" t="str">
        <f>IF(L272="","",PRIX!M273*'QUANTITE DETENUES'!M273)</f>
        <v/>
      </c>
      <c r="N272" s="299" t="str">
        <f>IF(M272="","",PRIX!N273*'QUANTITE DETENUES'!N273)</f>
        <v/>
      </c>
      <c r="O272" s="299" t="str">
        <f>IF(N272="","",PRIX!O273*'QUANTITE DETENUES'!O273)</f>
        <v/>
      </c>
      <c r="P272" s="299" t="str">
        <f>IF(O272="","",PRIX!P273*'QUANTITE DETENUES'!P273)</f>
        <v/>
      </c>
      <c r="Q272" s="299" t="str">
        <f>IF(P272="","",PRIX!Q273*'QUANTITE DETENUES'!Q273)</f>
        <v/>
      </c>
      <c r="R272" s="299" t="str">
        <f>IF(Q272="","",PRIX!R273*'QUANTITE DETENUES'!R273)</f>
        <v/>
      </c>
      <c r="S272" s="300" t="str">
        <f>IF(R272="","",PRIX!S273*'QUANTITE DETENUES'!S273)</f>
        <v/>
      </c>
      <c r="T272" s="14" t="str">
        <f>IF(A272="","",ARBITRAGES!M273)</f>
        <v/>
      </c>
      <c r="U272" s="301" t="str">
        <f t="shared" si="1"/>
        <v/>
      </c>
      <c r="V272" s="302" t="str">
        <f t="shared" si="2"/>
        <v/>
      </c>
      <c r="W272" s="288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308"/>
      <c r="AI272" s="220"/>
      <c r="AJ272" s="220"/>
      <c r="AK272" s="220"/>
      <c r="AL272" s="220"/>
      <c r="AM272" s="220"/>
      <c r="AN272" s="220"/>
      <c r="AO272" s="220"/>
      <c r="AP272" s="220"/>
      <c r="AQ272" s="220"/>
      <c r="AR272" s="220"/>
      <c r="AS272" s="220"/>
      <c r="AT272" s="220"/>
      <c r="AU272" s="220"/>
      <c r="AV272" s="220"/>
      <c r="AW272" s="220"/>
      <c r="AX272" s="220"/>
      <c r="AY272" s="220"/>
      <c r="AZ272" s="220"/>
      <c r="BA272" s="220"/>
    </row>
    <row r="273">
      <c r="A273" s="290" t="str">
        <f>PRIX!A274</f>
        <v/>
      </c>
      <c r="B273" s="299" t="str">
        <f>IF(A273="","",PRIX!B274*'QUANTITE DETENUES'!B274)</f>
        <v/>
      </c>
      <c r="C273" s="299" t="str">
        <f>IF(B273="","",PRIX!C274*'QUANTITE DETENUES'!C274)</f>
        <v/>
      </c>
      <c r="D273" s="299" t="str">
        <f>IF(C273="","",PRIX!D274*'QUANTITE DETENUES'!D274)</f>
        <v/>
      </c>
      <c r="E273" s="299" t="str">
        <f>IF(D273="","",PRIX!E274*'QUANTITE DETENUES'!E274)</f>
        <v/>
      </c>
      <c r="F273" s="299" t="str">
        <f>IF(E273="","",PRIX!F274*'QUANTITE DETENUES'!F274)</f>
        <v/>
      </c>
      <c r="G273" s="299" t="str">
        <f>IF(F273="","",PRIX!G274*'QUANTITE DETENUES'!G274)</f>
        <v/>
      </c>
      <c r="H273" s="299" t="str">
        <f>IF(G273="","",PRIX!H274*'QUANTITE DETENUES'!H274)</f>
        <v/>
      </c>
      <c r="I273" s="299" t="str">
        <f>IF(H273="","",PRIX!I274*'QUANTITE DETENUES'!I274)</f>
        <v/>
      </c>
      <c r="J273" s="299" t="str">
        <f>IF(I273="","",PRIX!J274*'QUANTITE DETENUES'!J274)</f>
        <v/>
      </c>
      <c r="K273" s="299" t="str">
        <f>IF(J273="","",PRIX!K274*'QUANTITE DETENUES'!K274)</f>
        <v/>
      </c>
      <c r="L273" s="299" t="str">
        <f>IF(K273="","",PRIX!L274*'QUANTITE DETENUES'!L274)</f>
        <v/>
      </c>
      <c r="M273" s="299" t="str">
        <f>IF(L273="","",PRIX!M274*'QUANTITE DETENUES'!M274)</f>
        <v/>
      </c>
      <c r="N273" s="299" t="str">
        <f>IF(M273="","",PRIX!N274*'QUANTITE DETENUES'!N274)</f>
        <v/>
      </c>
      <c r="O273" s="299" t="str">
        <f>IF(N273="","",PRIX!O274*'QUANTITE DETENUES'!O274)</f>
        <v/>
      </c>
      <c r="P273" s="299" t="str">
        <f>IF(O273="","",PRIX!P274*'QUANTITE DETENUES'!P274)</f>
        <v/>
      </c>
      <c r="Q273" s="299" t="str">
        <f>IF(P273="","",PRIX!Q274*'QUANTITE DETENUES'!Q274)</f>
        <v/>
      </c>
      <c r="R273" s="299" t="str">
        <f>IF(Q273="","",PRIX!R274*'QUANTITE DETENUES'!R274)</f>
        <v/>
      </c>
      <c r="S273" s="300" t="str">
        <f>IF(R273="","",PRIX!S274*'QUANTITE DETENUES'!S274)</f>
        <v/>
      </c>
      <c r="T273" s="14" t="str">
        <f>IF(A273="","",ARBITRAGES!M274)</f>
        <v/>
      </c>
      <c r="U273" s="301" t="str">
        <f t="shared" si="1"/>
        <v/>
      </c>
      <c r="V273" s="302" t="str">
        <f t="shared" si="2"/>
        <v/>
      </c>
      <c r="W273" s="288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308"/>
      <c r="AI273" s="220"/>
      <c r="AJ273" s="220"/>
      <c r="AK273" s="220"/>
      <c r="AL273" s="220"/>
      <c r="AM273" s="220"/>
      <c r="AN273" s="220"/>
      <c r="AO273" s="220"/>
      <c r="AP273" s="220"/>
      <c r="AQ273" s="220"/>
      <c r="AR273" s="220"/>
      <c r="AS273" s="220"/>
      <c r="AT273" s="220"/>
      <c r="AU273" s="220"/>
      <c r="AV273" s="220"/>
      <c r="AW273" s="220"/>
      <c r="AX273" s="220"/>
      <c r="AY273" s="220"/>
      <c r="AZ273" s="220"/>
      <c r="BA273" s="220"/>
    </row>
    <row r="274">
      <c r="A274" s="290" t="str">
        <f>PRIX!A275</f>
        <v/>
      </c>
      <c r="B274" s="299" t="str">
        <f>IF(A274="","",PRIX!B275*'QUANTITE DETENUES'!B275)</f>
        <v/>
      </c>
      <c r="C274" s="299" t="str">
        <f>IF(B274="","",PRIX!C275*'QUANTITE DETENUES'!C275)</f>
        <v/>
      </c>
      <c r="D274" s="299" t="str">
        <f>IF(C274="","",PRIX!D275*'QUANTITE DETENUES'!D275)</f>
        <v/>
      </c>
      <c r="E274" s="299" t="str">
        <f>IF(D274="","",PRIX!E275*'QUANTITE DETENUES'!E275)</f>
        <v/>
      </c>
      <c r="F274" s="299" t="str">
        <f>IF(E274="","",PRIX!F275*'QUANTITE DETENUES'!F275)</f>
        <v/>
      </c>
      <c r="G274" s="299" t="str">
        <f>IF(F274="","",PRIX!G275*'QUANTITE DETENUES'!G275)</f>
        <v/>
      </c>
      <c r="H274" s="299" t="str">
        <f>IF(G274="","",PRIX!H275*'QUANTITE DETENUES'!H275)</f>
        <v/>
      </c>
      <c r="I274" s="299" t="str">
        <f>IF(H274="","",PRIX!I275*'QUANTITE DETENUES'!I275)</f>
        <v/>
      </c>
      <c r="J274" s="299" t="str">
        <f>IF(I274="","",PRIX!J275*'QUANTITE DETENUES'!J275)</f>
        <v/>
      </c>
      <c r="K274" s="299" t="str">
        <f>IF(J274="","",PRIX!K275*'QUANTITE DETENUES'!K275)</f>
        <v/>
      </c>
      <c r="L274" s="299" t="str">
        <f>IF(K274="","",PRIX!L275*'QUANTITE DETENUES'!L275)</f>
        <v/>
      </c>
      <c r="M274" s="299" t="str">
        <f>IF(L274="","",PRIX!M275*'QUANTITE DETENUES'!M275)</f>
        <v/>
      </c>
      <c r="N274" s="299" t="str">
        <f>IF(M274="","",PRIX!N275*'QUANTITE DETENUES'!N275)</f>
        <v/>
      </c>
      <c r="O274" s="299" t="str">
        <f>IF(N274="","",PRIX!O275*'QUANTITE DETENUES'!O275)</f>
        <v/>
      </c>
      <c r="P274" s="299" t="str">
        <f>IF(O274="","",PRIX!P275*'QUANTITE DETENUES'!P275)</f>
        <v/>
      </c>
      <c r="Q274" s="299" t="str">
        <f>IF(P274="","",PRIX!Q275*'QUANTITE DETENUES'!Q275)</f>
        <v/>
      </c>
      <c r="R274" s="299" t="str">
        <f>IF(Q274="","",PRIX!R275*'QUANTITE DETENUES'!R275)</f>
        <v/>
      </c>
      <c r="S274" s="300" t="str">
        <f>IF(R274="","",PRIX!S275*'QUANTITE DETENUES'!S275)</f>
        <v/>
      </c>
      <c r="T274" s="14" t="str">
        <f>IF(A274="","",ARBITRAGES!M275)</f>
        <v/>
      </c>
      <c r="U274" s="301" t="str">
        <f t="shared" si="1"/>
        <v/>
      </c>
      <c r="V274" s="302" t="str">
        <f t="shared" si="2"/>
        <v/>
      </c>
      <c r="W274" s="288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308"/>
      <c r="AI274" s="220"/>
      <c r="AJ274" s="220"/>
      <c r="AK274" s="220"/>
      <c r="AL274" s="220"/>
      <c r="AM274" s="220"/>
      <c r="AN274" s="220"/>
      <c r="AO274" s="220"/>
      <c r="AP274" s="220"/>
      <c r="AQ274" s="220"/>
      <c r="AR274" s="220"/>
      <c r="AS274" s="220"/>
      <c r="AT274" s="220"/>
      <c r="AU274" s="220"/>
      <c r="AV274" s="220"/>
      <c r="AW274" s="220"/>
      <c r="AX274" s="220"/>
      <c r="AY274" s="220"/>
      <c r="AZ274" s="220"/>
      <c r="BA274" s="220"/>
    </row>
    <row r="275">
      <c r="A275" s="290" t="str">
        <f>PRIX!A276</f>
        <v/>
      </c>
      <c r="B275" s="299" t="str">
        <f>IF(A275="","",PRIX!B276*'QUANTITE DETENUES'!B276)</f>
        <v/>
      </c>
      <c r="C275" s="299" t="str">
        <f>IF(B275="","",PRIX!C276*'QUANTITE DETENUES'!C276)</f>
        <v/>
      </c>
      <c r="D275" s="299" t="str">
        <f>IF(C275="","",PRIX!D276*'QUANTITE DETENUES'!D276)</f>
        <v/>
      </c>
      <c r="E275" s="299" t="str">
        <f>IF(D275="","",PRIX!E276*'QUANTITE DETENUES'!E276)</f>
        <v/>
      </c>
      <c r="F275" s="299" t="str">
        <f>IF(E275="","",PRIX!F276*'QUANTITE DETENUES'!F276)</f>
        <v/>
      </c>
      <c r="G275" s="299" t="str">
        <f>IF(F275="","",PRIX!G276*'QUANTITE DETENUES'!G276)</f>
        <v/>
      </c>
      <c r="H275" s="299" t="str">
        <f>IF(G275="","",PRIX!H276*'QUANTITE DETENUES'!H276)</f>
        <v/>
      </c>
      <c r="I275" s="299" t="str">
        <f>IF(H275="","",PRIX!I276*'QUANTITE DETENUES'!I276)</f>
        <v/>
      </c>
      <c r="J275" s="299" t="str">
        <f>IF(I275="","",PRIX!J276*'QUANTITE DETENUES'!J276)</f>
        <v/>
      </c>
      <c r="K275" s="299" t="str">
        <f>IF(J275="","",PRIX!K276*'QUANTITE DETENUES'!K276)</f>
        <v/>
      </c>
      <c r="L275" s="299" t="str">
        <f>IF(K275="","",PRIX!L276*'QUANTITE DETENUES'!L276)</f>
        <v/>
      </c>
      <c r="M275" s="299" t="str">
        <f>IF(L275="","",PRIX!M276*'QUANTITE DETENUES'!M276)</f>
        <v/>
      </c>
      <c r="N275" s="299" t="str">
        <f>IF(M275="","",PRIX!N276*'QUANTITE DETENUES'!N276)</f>
        <v/>
      </c>
      <c r="O275" s="299" t="str">
        <f>IF(N275="","",PRIX!O276*'QUANTITE DETENUES'!O276)</f>
        <v/>
      </c>
      <c r="P275" s="299" t="str">
        <f>IF(O275="","",PRIX!P276*'QUANTITE DETENUES'!P276)</f>
        <v/>
      </c>
      <c r="Q275" s="299" t="str">
        <f>IF(P275="","",PRIX!Q276*'QUANTITE DETENUES'!Q276)</f>
        <v/>
      </c>
      <c r="R275" s="299" t="str">
        <f>IF(Q275="","",PRIX!R276*'QUANTITE DETENUES'!R276)</f>
        <v/>
      </c>
      <c r="S275" s="300" t="str">
        <f>IF(R275="","",PRIX!S276*'QUANTITE DETENUES'!S276)</f>
        <v/>
      </c>
      <c r="T275" s="14" t="str">
        <f>IF(A275="","",ARBITRAGES!M276)</f>
        <v/>
      </c>
      <c r="U275" s="301" t="str">
        <f t="shared" si="1"/>
        <v/>
      </c>
      <c r="V275" s="302" t="str">
        <f t="shared" si="2"/>
        <v/>
      </c>
      <c r="W275" s="288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308"/>
      <c r="AI275" s="220"/>
      <c r="AJ275" s="220"/>
      <c r="AK275" s="220"/>
      <c r="AL275" s="220"/>
      <c r="AM275" s="220"/>
      <c r="AN275" s="220"/>
      <c r="AO275" s="220"/>
      <c r="AP275" s="220"/>
      <c r="AQ275" s="220"/>
      <c r="AR275" s="220"/>
      <c r="AS275" s="220"/>
      <c r="AT275" s="220"/>
      <c r="AU275" s="220"/>
      <c r="AV275" s="220"/>
      <c r="AW275" s="220"/>
      <c r="AX275" s="220"/>
      <c r="AY275" s="220"/>
      <c r="AZ275" s="220"/>
      <c r="BA275" s="220"/>
    </row>
    <row r="276">
      <c r="A276" s="290" t="str">
        <f>PRIX!A277</f>
        <v/>
      </c>
      <c r="B276" s="299" t="str">
        <f>IF(A276="","",PRIX!B277*'QUANTITE DETENUES'!B277)</f>
        <v/>
      </c>
      <c r="C276" s="299" t="str">
        <f>IF(B276="","",PRIX!C277*'QUANTITE DETENUES'!C277)</f>
        <v/>
      </c>
      <c r="D276" s="299" t="str">
        <f>IF(C276="","",PRIX!D277*'QUANTITE DETENUES'!D277)</f>
        <v/>
      </c>
      <c r="E276" s="299" t="str">
        <f>IF(D276="","",PRIX!E277*'QUANTITE DETENUES'!E277)</f>
        <v/>
      </c>
      <c r="F276" s="299" t="str">
        <f>IF(E276="","",PRIX!F277*'QUANTITE DETENUES'!F277)</f>
        <v/>
      </c>
      <c r="G276" s="299" t="str">
        <f>IF(F276="","",PRIX!G277*'QUANTITE DETENUES'!G277)</f>
        <v/>
      </c>
      <c r="H276" s="299" t="str">
        <f>IF(G276="","",PRIX!H277*'QUANTITE DETENUES'!H277)</f>
        <v/>
      </c>
      <c r="I276" s="299" t="str">
        <f>IF(H276="","",PRIX!I277*'QUANTITE DETENUES'!I277)</f>
        <v/>
      </c>
      <c r="J276" s="299" t="str">
        <f>IF(I276="","",PRIX!J277*'QUANTITE DETENUES'!J277)</f>
        <v/>
      </c>
      <c r="K276" s="299" t="str">
        <f>IF(J276="","",PRIX!K277*'QUANTITE DETENUES'!K277)</f>
        <v/>
      </c>
      <c r="L276" s="299" t="str">
        <f>IF(K276="","",PRIX!L277*'QUANTITE DETENUES'!L277)</f>
        <v/>
      </c>
      <c r="M276" s="299" t="str">
        <f>IF(L276="","",PRIX!M277*'QUANTITE DETENUES'!M277)</f>
        <v/>
      </c>
      <c r="N276" s="299" t="str">
        <f>IF(M276="","",PRIX!N277*'QUANTITE DETENUES'!N277)</f>
        <v/>
      </c>
      <c r="O276" s="299" t="str">
        <f>IF(N276="","",PRIX!O277*'QUANTITE DETENUES'!O277)</f>
        <v/>
      </c>
      <c r="P276" s="299" t="str">
        <f>IF(O276="","",PRIX!P277*'QUANTITE DETENUES'!P277)</f>
        <v/>
      </c>
      <c r="Q276" s="299" t="str">
        <f>IF(P276="","",PRIX!Q277*'QUANTITE DETENUES'!Q277)</f>
        <v/>
      </c>
      <c r="R276" s="299" t="str">
        <f>IF(Q276="","",PRIX!R277*'QUANTITE DETENUES'!R277)</f>
        <v/>
      </c>
      <c r="S276" s="300" t="str">
        <f>IF(R276="","",PRIX!S277*'QUANTITE DETENUES'!S277)</f>
        <v/>
      </c>
      <c r="T276" s="14" t="str">
        <f>IF(A276="","",ARBITRAGES!M277)</f>
        <v/>
      </c>
      <c r="U276" s="301" t="str">
        <f t="shared" si="1"/>
        <v/>
      </c>
      <c r="V276" s="302" t="str">
        <f t="shared" si="2"/>
        <v/>
      </c>
      <c r="W276" s="288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308"/>
      <c r="AI276" s="220"/>
      <c r="AJ276" s="220"/>
      <c r="AK276" s="220"/>
      <c r="AL276" s="220"/>
      <c r="AM276" s="220"/>
      <c r="AN276" s="220"/>
      <c r="AO276" s="220"/>
      <c r="AP276" s="220"/>
      <c r="AQ276" s="220"/>
      <c r="AR276" s="220"/>
      <c r="AS276" s="220"/>
      <c r="AT276" s="220"/>
      <c r="AU276" s="220"/>
      <c r="AV276" s="220"/>
      <c r="AW276" s="220"/>
      <c r="AX276" s="220"/>
      <c r="AY276" s="220"/>
      <c r="AZ276" s="220"/>
      <c r="BA276" s="220"/>
    </row>
    <row r="277">
      <c r="A277" s="290" t="str">
        <f>PRIX!A278</f>
        <v/>
      </c>
      <c r="B277" s="299" t="str">
        <f>IF(A277="","",PRIX!B278*'QUANTITE DETENUES'!B278)</f>
        <v/>
      </c>
      <c r="C277" s="299" t="str">
        <f>IF(B277="","",PRIX!C278*'QUANTITE DETENUES'!C278)</f>
        <v/>
      </c>
      <c r="D277" s="299" t="str">
        <f>IF(C277="","",PRIX!D278*'QUANTITE DETENUES'!D278)</f>
        <v/>
      </c>
      <c r="E277" s="299" t="str">
        <f>IF(D277="","",PRIX!E278*'QUANTITE DETENUES'!E278)</f>
        <v/>
      </c>
      <c r="F277" s="299" t="str">
        <f>IF(E277="","",PRIX!F278*'QUANTITE DETENUES'!F278)</f>
        <v/>
      </c>
      <c r="G277" s="299" t="str">
        <f>IF(F277="","",PRIX!G278*'QUANTITE DETENUES'!G278)</f>
        <v/>
      </c>
      <c r="H277" s="299" t="str">
        <f>IF(G277="","",PRIX!H278*'QUANTITE DETENUES'!H278)</f>
        <v/>
      </c>
      <c r="I277" s="299" t="str">
        <f>IF(H277="","",PRIX!I278*'QUANTITE DETENUES'!I278)</f>
        <v/>
      </c>
      <c r="J277" s="299" t="str">
        <f>IF(I277="","",PRIX!J278*'QUANTITE DETENUES'!J278)</f>
        <v/>
      </c>
      <c r="K277" s="299" t="str">
        <f>IF(J277="","",PRIX!K278*'QUANTITE DETENUES'!K278)</f>
        <v/>
      </c>
      <c r="L277" s="299" t="str">
        <f>IF(K277="","",PRIX!L278*'QUANTITE DETENUES'!L278)</f>
        <v/>
      </c>
      <c r="M277" s="299" t="str">
        <f>IF(L277="","",PRIX!M278*'QUANTITE DETENUES'!M278)</f>
        <v/>
      </c>
      <c r="N277" s="299" t="str">
        <f>IF(M277="","",PRIX!N278*'QUANTITE DETENUES'!N278)</f>
        <v/>
      </c>
      <c r="O277" s="299" t="str">
        <f>IF(N277="","",PRIX!O278*'QUANTITE DETENUES'!O278)</f>
        <v/>
      </c>
      <c r="P277" s="299" t="str">
        <f>IF(O277="","",PRIX!P278*'QUANTITE DETENUES'!P278)</f>
        <v/>
      </c>
      <c r="Q277" s="299" t="str">
        <f>IF(P277="","",PRIX!Q278*'QUANTITE DETENUES'!Q278)</f>
        <v/>
      </c>
      <c r="R277" s="299" t="str">
        <f>IF(Q277="","",PRIX!R278*'QUANTITE DETENUES'!R278)</f>
        <v/>
      </c>
      <c r="S277" s="300" t="str">
        <f>IF(R277="","",PRIX!S278*'QUANTITE DETENUES'!S278)</f>
        <v/>
      </c>
      <c r="T277" s="14" t="str">
        <f>IF(A277="","",ARBITRAGES!M278)</f>
        <v/>
      </c>
      <c r="U277" s="301" t="str">
        <f t="shared" si="1"/>
        <v/>
      </c>
      <c r="V277" s="302" t="str">
        <f t="shared" si="2"/>
        <v/>
      </c>
      <c r="W277" s="288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308"/>
      <c r="AI277" s="220"/>
      <c r="AJ277" s="220"/>
      <c r="AK277" s="220"/>
      <c r="AL277" s="220"/>
      <c r="AM277" s="220"/>
      <c r="AN277" s="220"/>
      <c r="AO277" s="220"/>
      <c r="AP277" s="220"/>
      <c r="AQ277" s="220"/>
      <c r="AR277" s="220"/>
      <c r="AS277" s="220"/>
      <c r="AT277" s="220"/>
      <c r="AU277" s="220"/>
      <c r="AV277" s="220"/>
      <c r="AW277" s="220"/>
      <c r="AX277" s="220"/>
      <c r="AY277" s="220"/>
      <c r="AZ277" s="220"/>
      <c r="BA277" s="220"/>
    </row>
    <row r="278">
      <c r="A278" s="290" t="str">
        <f>PRIX!A279</f>
        <v/>
      </c>
      <c r="B278" s="299" t="str">
        <f>IF(A278="","",PRIX!B279*'QUANTITE DETENUES'!B279)</f>
        <v/>
      </c>
      <c r="C278" s="299" t="str">
        <f>IF(B278="","",PRIX!C279*'QUANTITE DETENUES'!C279)</f>
        <v/>
      </c>
      <c r="D278" s="299" t="str">
        <f>IF(C278="","",PRIX!D279*'QUANTITE DETENUES'!D279)</f>
        <v/>
      </c>
      <c r="E278" s="299" t="str">
        <f>IF(D278="","",PRIX!E279*'QUANTITE DETENUES'!E279)</f>
        <v/>
      </c>
      <c r="F278" s="299" t="str">
        <f>IF(E278="","",PRIX!F279*'QUANTITE DETENUES'!F279)</f>
        <v/>
      </c>
      <c r="G278" s="299" t="str">
        <f>IF(F278="","",PRIX!G279*'QUANTITE DETENUES'!G279)</f>
        <v/>
      </c>
      <c r="H278" s="299" t="str">
        <f>IF(G278="","",PRIX!H279*'QUANTITE DETENUES'!H279)</f>
        <v/>
      </c>
      <c r="I278" s="299" t="str">
        <f>IF(H278="","",PRIX!I279*'QUANTITE DETENUES'!I279)</f>
        <v/>
      </c>
      <c r="J278" s="299" t="str">
        <f>IF(I278="","",PRIX!J279*'QUANTITE DETENUES'!J279)</f>
        <v/>
      </c>
      <c r="K278" s="299" t="str">
        <f>IF(J278="","",PRIX!K279*'QUANTITE DETENUES'!K279)</f>
        <v/>
      </c>
      <c r="L278" s="299" t="str">
        <f>IF(K278="","",PRIX!L279*'QUANTITE DETENUES'!L279)</f>
        <v/>
      </c>
      <c r="M278" s="299" t="str">
        <f>IF(L278="","",PRIX!M279*'QUANTITE DETENUES'!M279)</f>
        <v/>
      </c>
      <c r="N278" s="299" t="str">
        <f>IF(M278="","",PRIX!N279*'QUANTITE DETENUES'!N279)</f>
        <v/>
      </c>
      <c r="O278" s="299" t="str">
        <f>IF(N278="","",PRIX!O279*'QUANTITE DETENUES'!O279)</f>
        <v/>
      </c>
      <c r="P278" s="299" t="str">
        <f>IF(O278="","",PRIX!P279*'QUANTITE DETENUES'!P279)</f>
        <v/>
      </c>
      <c r="Q278" s="299" t="str">
        <f>IF(P278="","",PRIX!Q279*'QUANTITE DETENUES'!Q279)</f>
        <v/>
      </c>
      <c r="R278" s="299" t="str">
        <f>IF(Q278="","",PRIX!R279*'QUANTITE DETENUES'!R279)</f>
        <v/>
      </c>
      <c r="S278" s="300" t="str">
        <f>IF(R278="","",PRIX!S279*'QUANTITE DETENUES'!S279)</f>
        <v/>
      </c>
      <c r="T278" s="14" t="str">
        <f>IF(A278="","",ARBITRAGES!M279)</f>
        <v/>
      </c>
      <c r="U278" s="301" t="str">
        <f t="shared" si="1"/>
        <v/>
      </c>
      <c r="V278" s="302" t="str">
        <f t="shared" si="2"/>
        <v/>
      </c>
      <c r="W278" s="288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308"/>
      <c r="AI278" s="220"/>
      <c r="AJ278" s="220"/>
      <c r="AK278" s="220"/>
      <c r="AL278" s="220"/>
      <c r="AM278" s="220"/>
      <c r="AN278" s="220"/>
      <c r="AO278" s="220"/>
      <c r="AP278" s="220"/>
      <c r="AQ278" s="220"/>
      <c r="AR278" s="220"/>
      <c r="AS278" s="220"/>
      <c r="AT278" s="220"/>
      <c r="AU278" s="220"/>
      <c r="AV278" s="220"/>
      <c r="AW278" s="220"/>
      <c r="AX278" s="220"/>
      <c r="AY278" s="220"/>
      <c r="AZ278" s="220"/>
      <c r="BA278" s="220"/>
    </row>
    <row r="279">
      <c r="A279" s="290" t="str">
        <f>PRIX!A280</f>
        <v/>
      </c>
      <c r="B279" s="299" t="str">
        <f>IF(A279="","",PRIX!B280*'QUANTITE DETENUES'!B280)</f>
        <v/>
      </c>
      <c r="C279" s="299" t="str">
        <f>IF(B279="","",PRIX!C280*'QUANTITE DETENUES'!C280)</f>
        <v/>
      </c>
      <c r="D279" s="299" t="str">
        <f>IF(C279="","",PRIX!D280*'QUANTITE DETENUES'!D280)</f>
        <v/>
      </c>
      <c r="E279" s="299" t="str">
        <f>IF(D279="","",PRIX!E280*'QUANTITE DETENUES'!E280)</f>
        <v/>
      </c>
      <c r="F279" s="299" t="str">
        <f>IF(E279="","",PRIX!F280*'QUANTITE DETENUES'!F280)</f>
        <v/>
      </c>
      <c r="G279" s="299" t="str">
        <f>IF(F279="","",PRIX!G280*'QUANTITE DETENUES'!G280)</f>
        <v/>
      </c>
      <c r="H279" s="299" t="str">
        <f>IF(G279="","",PRIX!H280*'QUANTITE DETENUES'!H280)</f>
        <v/>
      </c>
      <c r="I279" s="299" t="str">
        <f>IF(H279="","",PRIX!I280*'QUANTITE DETENUES'!I280)</f>
        <v/>
      </c>
      <c r="J279" s="299" t="str">
        <f>IF(I279="","",PRIX!J280*'QUANTITE DETENUES'!J280)</f>
        <v/>
      </c>
      <c r="K279" s="299" t="str">
        <f>IF(J279="","",PRIX!K280*'QUANTITE DETENUES'!K280)</f>
        <v/>
      </c>
      <c r="L279" s="299" t="str">
        <f>IF(K279="","",PRIX!L280*'QUANTITE DETENUES'!L280)</f>
        <v/>
      </c>
      <c r="M279" s="299" t="str">
        <f>IF(L279="","",PRIX!M280*'QUANTITE DETENUES'!M280)</f>
        <v/>
      </c>
      <c r="N279" s="299" t="str">
        <f>IF(M279="","",PRIX!N280*'QUANTITE DETENUES'!N280)</f>
        <v/>
      </c>
      <c r="O279" s="299" t="str">
        <f>IF(N279="","",PRIX!O280*'QUANTITE DETENUES'!O280)</f>
        <v/>
      </c>
      <c r="P279" s="299" t="str">
        <f>IF(O279="","",PRIX!P280*'QUANTITE DETENUES'!P280)</f>
        <v/>
      </c>
      <c r="Q279" s="299" t="str">
        <f>IF(P279="","",PRIX!Q280*'QUANTITE DETENUES'!Q280)</f>
        <v/>
      </c>
      <c r="R279" s="299" t="str">
        <f>IF(Q279="","",PRIX!R280*'QUANTITE DETENUES'!R280)</f>
        <v/>
      </c>
      <c r="S279" s="300" t="str">
        <f>IF(R279="","",PRIX!S280*'QUANTITE DETENUES'!S280)</f>
        <v/>
      </c>
      <c r="T279" s="14" t="str">
        <f>IF(A279="","",ARBITRAGES!M280)</f>
        <v/>
      </c>
      <c r="U279" s="301" t="str">
        <f t="shared" si="1"/>
        <v/>
      </c>
      <c r="V279" s="302" t="str">
        <f t="shared" si="2"/>
        <v/>
      </c>
      <c r="W279" s="288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308"/>
      <c r="AI279" s="220"/>
      <c r="AJ279" s="220"/>
      <c r="AK279" s="220"/>
      <c r="AL279" s="220"/>
      <c r="AM279" s="220"/>
      <c r="AN279" s="220"/>
      <c r="AO279" s="220"/>
      <c r="AP279" s="220"/>
      <c r="AQ279" s="220"/>
      <c r="AR279" s="220"/>
      <c r="AS279" s="220"/>
      <c r="AT279" s="220"/>
      <c r="AU279" s="220"/>
      <c r="AV279" s="220"/>
      <c r="AW279" s="220"/>
      <c r="AX279" s="220"/>
      <c r="AY279" s="220"/>
      <c r="AZ279" s="220"/>
      <c r="BA279" s="220"/>
    </row>
    <row r="280">
      <c r="A280" s="290" t="str">
        <f>PRIX!A281</f>
        <v/>
      </c>
      <c r="B280" s="299" t="str">
        <f>IF(A280="","",PRIX!B281*'QUANTITE DETENUES'!B281)</f>
        <v/>
      </c>
      <c r="C280" s="299" t="str">
        <f>IF(B280="","",PRIX!C281*'QUANTITE DETENUES'!C281)</f>
        <v/>
      </c>
      <c r="D280" s="299" t="str">
        <f>IF(C280="","",PRIX!D281*'QUANTITE DETENUES'!D281)</f>
        <v/>
      </c>
      <c r="E280" s="299" t="str">
        <f>IF(D280="","",PRIX!E281*'QUANTITE DETENUES'!E281)</f>
        <v/>
      </c>
      <c r="F280" s="299" t="str">
        <f>IF(E280="","",PRIX!F281*'QUANTITE DETENUES'!F281)</f>
        <v/>
      </c>
      <c r="G280" s="299" t="str">
        <f>IF(F280="","",PRIX!G281*'QUANTITE DETENUES'!G281)</f>
        <v/>
      </c>
      <c r="H280" s="299" t="str">
        <f>IF(G280="","",PRIX!H281*'QUANTITE DETENUES'!H281)</f>
        <v/>
      </c>
      <c r="I280" s="299" t="str">
        <f>IF(H280="","",PRIX!I281*'QUANTITE DETENUES'!I281)</f>
        <v/>
      </c>
      <c r="J280" s="299" t="str">
        <f>IF(I280="","",PRIX!J281*'QUANTITE DETENUES'!J281)</f>
        <v/>
      </c>
      <c r="K280" s="299" t="str">
        <f>IF(J280="","",PRIX!K281*'QUANTITE DETENUES'!K281)</f>
        <v/>
      </c>
      <c r="L280" s="299" t="str">
        <f>IF(K280="","",PRIX!L281*'QUANTITE DETENUES'!L281)</f>
        <v/>
      </c>
      <c r="M280" s="299" t="str">
        <f>IF(L280="","",PRIX!M281*'QUANTITE DETENUES'!M281)</f>
        <v/>
      </c>
      <c r="N280" s="299" t="str">
        <f>IF(M280="","",PRIX!N281*'QUANTITE DETENUES'!N281)</f>
        <v/>
      </c>
      <c r="O280" s="299" t="str">
        <f>IF(N280="","",PRIX!O281*'QUANTITE DETENUES'!O281)</f>
        <v/>
      </c>
      <c r="P280" s="299" t="str">
        <f>IF(O280="","",PRIX!P281*'QUANTITE DETENUES'!P281)</f>
        <v/>
      </c>
      <c r="Q280" s="299" t="str">
        <f>IF(P280="","",PRIX!Q281*'QUANTITE DETENUES'!Q281)</f>
        <v/>
      </c>
      <c r="R280" s="299" t="str">
        <f>IF(Q280="","",PRIX!R281*'QUANTITE DETENUES'!R281)</f>
        <v/>
      </c>
      <c r="S280" s="300" t="str">
        <f>IF(R280="","",PRIX!S281*'QUANTITE DETENUES'!S281)</f>
        <v/>
      </c>
      <c r="T280" s="14" t="str">
        <f>IF(A280="","",ARBITRAGES!M281)</f>
        <v/>
      </c>
      <c r="U280" s="301" t="str">
        <f t="shared" si="1"/>
        <v/>
      </c>
      <c r="V280" s="302" t="str">
        <f t="shared" si="2"/>
        <v/>
      </c>
      <c r="W280" s="288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308"/>
      <c r="AI280" s="220"/>
      <c r="AJ280" s="220"/>
      <c r="AK280" s="220"/>
      <c r="AL280" s="220"/>
      <c r="AM280" s="220"/>
      <c r="AN280" s="220"/>
      <c r="AO280" s="220"/>
      <c r="AP280" s="220"/>
      <c r="AQ280" s="220"/>
      <c r="AR280" s="220"/>
      <c r="AS280" s="220"/>
      <c r="AT280" s="220"/>
      <c r="AU280" s="220"/>
      <c r="AV280" s="220"/>
      <c r="AW280" s="220"/>
      <c r="AX280" s="220"/>
      <c r="AY280" s="220"/>
      <c r="AZ280" s="220"/>
      <c r="BA280" s="220"/>
    </row>
    <row r="281">
      <c r="A281" s="290" t="str">
        <f>PRIX!A282</f>
        <v/>
      </c>
      <c r="B281" s="299" t="str">
        <f>IF(A281="","",PRIX!B282*'QUANTITE DETENUES'!B282)</f>
        <v/>
      </c>
      <c r="C281" s="299" t="str">
        <f>IF(B281="","",PRIX!C282*'QUANTITE DETENUES'!C282)</f>
        <v/>
      </c>
      <c r="D281" s="299" t="str">
        <f>IF(C281="","",PRIX!D282*'QUANTITE DETENUES'!D282)</f>
        <v/>
      </c>
      <c r="E281" s="299" t="str">
        <f>IF(D281="","",PRIX!E282*'QUANTITE DETENUES'!E282)</f>
        <v/>
      </c>
      <c r="F281" s="299" t="str">
        <f>IF(E281="","",PRIX!F282*'QUANTITE DETENUES'!F282)</f>
        <v/>
      </c>
      <c r="G281" s="299" t="str">
        <f>IF(F281="","",PRIX!G282*'QUANTITE DETENUES'!G282)</f>
        <v/>
      </c>
      <c r="H281" s="299" t="str">
        <f>IF(G281="","",PRIX!H282*'QUANTITE DETENUES'!H282)</f>
        <v/>
      </c>
      <c r="I281" s="299" t="str">
        <f>IF(H281="","",PRIX!I282*'QUANTITE DETENUES'!I282)</f>
        <v/>
      </c>
      <c r="J281" s="299" t="str">
        <f>IF(I281="","",PRIX!J282*'QUANTITE DETENUES'!J282)</f>
        <v/>
      </c>
      <c r="K281" s="299" t="str">
        <f>IF(J281="","",PRIX!K282*'QUANTITE DETENUES'!K282)</f>
        <v/>
      </c>
      <c r="L281" s="299" t="str">
        <f>IF(K281="","",PRIX!L282*'QUANTITE DETENUES'!L282)</f>
        <v/>
      </c>
      <c r="M281" s="299" t="str">
        <f>IF(L281="","",PRIX!M282*'QUANTITE DETENUES'!M282)</f>
        <v/>
      </c>
      <c r="N281" s="299" t="str">
        <f>IF(M281="","",PRIX!N282*'QUANTITE DETENUES'!N282)</f>
        <v/>
      </c>
      <c r="O281" s="299" t="str">
        <f>IF(N281="","",PRIX!O282*'QUANTITE DETENUES'!O282)</f>
        <v/>
      </c>
      <c r="P281" s="299" t="str">
        <f>IF(O281="","",PRIX!P282*'QUANTITE DETENUES'!P282)</f>
        <v/>
      </c>
      <c r="Q281" s="299" t="str">
        <f>IF(P281="","",PRIX!Q282*'QUANTITE DETENUES'!Q282)</f>
        <v/>
      </c>
      <c r="R281" s="299" t="str">
        <f>IF(Q281="","",PRIX!R282*'QUANTITE DETENUES'!R282)</f>
        <v/>
      </c>
      <c r="S281" s="300" t="str">
        <f>IF(R281="","",PRIX!S282*'QUANTITE DETENUES'!S282)</f>
        <v/>
      </c>
      <c r="T281" s="14" t="str">
        <f>IF(A281="","",ARBITRAGES!M282)</f>
        <v/>
      </c>
      <c r="U281" s="301" t="str">
        <f t="shared" si="1"/>
        <v/>
      </c>
      <c r="V281" s="302" t="str">
        <f t="shared" si="2"/>
        <v/>
      </c>
      <c r="W281" s="288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308"/>
      <c r="AI281" s="220"/>
      <c r="AJ281" s="220"/>
      <c r="AK281" s="220"/>
      <c r="AL281" s="220"/>
      <c r="AM281" s="220"/>
      <c r="AN281" s="220"/>
      <c r="AO281" s="220"/>
      <c r="AP281" s="220"/>
      <c r="AQ281" s="220"/>
      <c r="AR281" s="220"/>
      <c r="AS281" s="220"/>
      <c r="AT281" s="220"/>
      <c r="AU281" s="220"/>
      <c r="AV281" s="220"/>
      <c r="AW281" s="220"/>
      <c r="AX281" s="220"/>
      <c r="AY281" s="220"/>
      <c r="AZ281" s="220"/>
      <c r="BA281" s="220"/>
    </row>
    <row r="282">
      <c r="A282" s="290" t="str">
        <f>PRIX!A283</f>
        <v/>
      </c>
      <c r="B282" s="299" t="str">
        <f>IF(A282="","",PRIX!B283*'QUANTITE DETENUES'!B283)</f>
        <v/>
      </c>
      <c r="C282" s="299" t="str">
        <f>IF(B282="","",PRIX!C283*'QUANTITE DETENUES'!C283)</f>
        <v/>
      </c>
      <c r="D282" s="299" t="str">
        <f>IF(C282="","",PRIX!D283*'QUANTITE DETENUES'!D283)</f>
        <v/>
      </c>
      <c r="E282" s="299" t="str">
        <f>IF(D282="","",PRIX!E283*'QUANTITE DETENUES'!E283)</f>
        <v/>
      </c>
      <c r="F282" s="299" t="str">
        <f>IF(E282="","",PRIX!F283*'QUANTITE DETENUES'!F283)</f>
        <v/>
      </c>
      <c r="G282" s="299" t="str">
        <f>IF(F282="","",PRIX!G283*'QUANTITE DETENUES'!G283)</f>
        <v/>
      </c>
      <c r="H282" s="299" t="str">
        <f>IF(G282="","",PRIX!H283*'QUANTITE DETENUES'!H283)</f>
        <v/>
      </c>
      <c r="I282" s="299" t="str">
        <f>IF(H282="","",PRIX!I283*'QUANTITE DETENUES'!I283)</f>
        <v/>
      </c>
      <c r="J282" s="299" t="str">
        <f>IF(I282="","",PRIX!J283*'QUANTITE DETENUES'!J283)</f>
        <v/>
      </c>
      <c r="K282" s="299" t="str">
        <f>IF(J282="","",PRIX!K283*'QUANTITE DETENUES'!K283)</f>
        <v/>
      </c>
      <c r="L282" s="299" t="str">
        <f>IF(K282="","",PRIX!L283*'QUANTITE DETENUES'!L283)</f>
        <v/>
      </c>
      <c r="M282" s="299" t="str">
        <f>IF(L282="","",PRIX!M283*'QUANTITE DETENUES'!M283)</f>
        <v/>
      </c>
      <c r="N282" s="299" t="str">
        <f>IF(M282="","",PRIX!N283*'QUANTITE DETENUES'!N283)</f>
        <v/>
      </c>
      <c r="O282" s="299" t="str">
        <f>IF(N282="","",PRIX!O283*'QUANTITE DETENUES'!O283)</f>
        <v/>
      </c>
      <c r="P282" s="299" t="str">
        <f>IF(O282="","",PRIX!P283*'QUANTITE DETENUES'!P283)</f>
        <v/>
      </c>
      <c r="Q282" s="299" t="str">
        <f>IF(P282="","",PRIX!Q283*'QUANTITE DETENUES'!Q283)</f>
        <v/>
      </c>
      <c r="R282" s="299" t="str">
        <f>IF(Q282="","",PRIX!R283*'QUANTITE DETENUES'!R283)</f>
        <v/>
      </c>
      <c r="S282" s="300" t="str">
        <f>IF(R282="","",PRIX!S283*'QUANTITE DETENUES'!S283)</f>
        <v/>
      </c>
      <c r="T282" s="14" t="str">
        <f>IF(A282="","",ARBITRAGES!M283)</f>
        <v/>
      </c>
      <c r="U282" s="301" t="str">
        <f t="shared" si="1"/>
        <v/>
      </c>
      <c r="V282" s="302" t="str">
        <f t="shared" si="2"/>
        <v/>
      </c>
      <c r="W282" s="288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308"/>
      <c r="AI282" s="220"/>
      <c r="AJ282" s="220"/>
      <c r="AK282" s="220"/>
      <c r="AL282" s="220"/>
      <c r="AM282" s="220"/>
      <c r="AN282" s="220"/>
      <c r="AO282" s="220"/>
      <c r="AP282" s="220"/>
      <c r="AQ282" s="220"/>
      <c r="AR282" s="220"/>
      <c r="AS282" s="220"/>
      <c r="AT282" s="220"/>
      <c r="AU282" s="220"/>
      <c r="AV282" s="220"/>
      <c r="AW282" s="220"/>
      <c r="AX282" s="220"/>
      <c r="AY282" s="220"/>
      <c r="AZ282" s="220"/>
      <c r="BA282" s="220"/>
    </row>
    <row r="283">
      <c r="A283" s="290" t="str">
        <f>PRIX!A284</f>
        <v/>
      </c>
      <c r="B283" s="299" t="str">
        <f>IF(A283="","",PRIX!B284*'QUANTITE DETENUES'!B284)</f>
        <v/>
      </c>
      <c r="C283" s="299" t="str">
        <f>IF(B283="","",PRIX!C284*'QUANTITE DETENUES'!C284)</f>
        <v/>
      </c>
      <c r="D283" s="299" t="str">
        <f>IF(C283="","",PRIX!D284*'QUANTITE DETENUES'!D284)</f>
        <v/>
      </c>
      <c r="E283" s="299" t="str">
        <f>IF(D283="","",PRIX!E284*'QUANTITE DETENUES'!E284)</f>
        <v/>
      </c>
      <c r="F283" s="299" t="str">
        <f>IF(E283="","",PRIX!F284*'QUANTITE DETENUES'!F284)</f>
        <v/>
      </c>
      <c r="G283" s="299" t="str">
        <f>IF(F283="","",PRIX!G284*'QUANTITE DETENUES'!G284)</f>
        <v/>
      </c>
      <c r="H283" s="299" t="str">
        <f>IF(G283="","",PRIX!H284*'QUANTITE DETENUES'!H284)</f>
        <v/>
      </c>
      <c r="I283" s="299" t="str">
        <f>IF(H283="","",PRIX!I284*'QUANTITE DETENUES'!I284)</f>
        <v/>
      </c>
      <c r="J283" s="299" t="str">
        <f>IF(I283="","",PRIX!J284*'QUANTITE DETENUES'!J284)</f>
        <v/>
      </c>
      <c r="K283" s="299" t="str">
        <f>IF(J283="","",PRIX!K284*'QUANTITE DETENUES'!K284)</f>
        <v/>
      </c>
      <c r="L283" s="299" t="str">
        <f>IF(K283="","",PRIX!L284*'QUANTITE DETENUES'!L284)</f>
        <v/>
      </c>
      <c r="M283" s="299" t="str">
        <f>IF(L283="","",PRIX!M284*'QUANTITE DETENUES'!M284)</f>
        <v/>
      </c>
      <c r="N283" s="299" t="str">
        <f>IF(M283="","",PRIX!N284*'QUANTITE DETENUES'!N284)</f>
        <v/>
      </c>
      <c r="O283" s="299" t="str">
        <f>IF(N283="","",PRIX!O284*'QUANTITE DETENUES'!O284)</f>
        <v/>
      </c>
      <c r="P283" s="299" t="str">
        <f>IF(O283="","",PRIX!P284*'QUANTITE DETENUES'!P284)</f>
        <v/>
      </c>
      <c r="Q283" s="299" t="str">
        <f>IF(P283="","",PRIX!Q284*'QUANTITE DETENUES'!Q284)</f>
        <v/>
      </c>
      <c r="R283" s="299" t="str">
        <f>IF(Q283="","",PRIX!R284*'QUANTITE DETENUES'!R284)</f>
        <v/>
      </c>
      <c r="S283" s="300" t="str">
        <f>IF(R283="","",PRIX!S284*'QUANTITE DETENUES'!S284)</f>
        <v/>
      </c>
      <c r="T283" s="14" t="str">
        <f>IF(A283="","",ARBITRAGES!M284)</f>
        <v/>
      </c>
      <c r="U283" s="301" t="str">
        <f t="shared" si="1"/>
        <v/>
      </c>
      <c r="V283" s="302" t="str">
        <f t="shared" si="2"/>
        <v/>
      </c>
      <c r="W283" s="288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308"/>
      <c r="AI283" s="220"/>
      <c r="AJ283" s="220"/>
      <c r="AK283" s="220"/>
      <c r="AL283" s="220"/>
      <c r="AM283" s="220"/>
      <c r="AN283" s="220"/>
      <c r="AO283" s="220"/>
      <c r="AP283" s="220"/>
      <c r="AQ283" s="220"/>
      <c r="AR283" s="220"/>
      <c r="AS283" s="220"/>
      <c r="AT283" s="220"/>
      <c r="AU283" s="220"/>
      <c r="AV283" s="220"/>
      <c r="AW283" s="220"/>
      <c r="AX283" s="220"/>
      <c r="AY283" s="220"/>
      <c r="AZ283" s="220"/>
      <c r="BA283" s="220"/>
    </row>
    <row r="284">
      <c r="A284" s="290" t="str">
        <f>PRIX!A285</f>
        <v/>
      </c>
      <c r="B284" s="299" t="str">
        <f>IF(A284="","",PRIX!B285*'QUANTITE DETENUES'!B285)</f>
        <v/>
      </c>
      <c r="C284" s="299" t="str">
        <f>IF(B284="","",PRIX!C285*'QUANTITE DETENUES'!C285)</f>
        <v/>
      </c>
      <c r="D284" s="299" t="str">
        <f>IF(C284="","",PRIX!D285*'QUANTITE DETENUES'!D285)</f>
        <v/>
      </c>
      <c r="E284" s="299" t="str">
        <f>IF(D284="","",PRIX!E285*'QUANTITE DETENUES'!E285)</f>
        <v/>
      </c>
      <c r="F284" s="299" t="str">
        <f>IF(E284="","",PRIX!F285*'QUANTITE DETENUES'!F285)</f>
        <v/>
      </c>
      <c r="G284" s="299" t="str">
        <f>IF(F284="","",PRIX!G285*'QUANTITE DETENUES'!G285)</f>
        <v/>
      </c>
      <c r="H284" s="299" t="str">
        <f>IF(G284="","",PRIX!H285*'QUANTITE DETENUES'!H285)</f>
        <v/>
      </c>
      <c r="I284" s="299" t="str">
        <f>IF(H284="","",PRIX!I285*'QUANTITE DETENUES'!I285)</f>
        <v/>
      </c>
      <c r="J284" s="299" t="str">
        <f>IF(I284="","",PRIX!J285*'QUANTITE DETENUES'!J285)</f>
        <v/>
      </c>
      <c r="K284" s="299" t="str">
        <f>IF(J284="","",PRIX!K285*'QUANTITE DETENUES'!K285)</f>
        <v/>
      </c>
      <c r="L284" s="299" t="str">
        <f>IF(K284="","",PRIX!L285*'QUANTITE DETENUES'!L285)</f>
        <v/>
      </c>
      <c r="M284" s="299" t="str">
        <f>IF(L284="","",PRIX!M285*'QUANTITE DETENUES'!M285)</f>
        <v/>
      </c>
      <c r="N284" s="299" t="str">
        <f>IF(M284="","",PRIX!N285*'QUANTITE DETENUES'!N285)</f>
        <v/>
      </c>
      <c r="O284" s="299" t="str">
        <f>IF(N284="","",PRIX!O285*'QUANTITE DETENUES'!O285)</f>
        <v/>
      </c>
      <c r="P284" s="299" t="str">
        <f>IF(O284="","",PRIX!P285*'QUANTITE DETENUES'!P285)</f>
        <v/>
      </c>
      <c r="Q284" s="299" t="str">
        <f>IF(P284="","",PRIX!Q285*'QUANTITE DETENUES'!Q285)</f>
        <v/>
      </c>
      <c r="R284" s="299" t="str">
        <f>IF(Q284="","",PRIX!R285*'QUANTITE DETENUES'!R285)</f>
        <v/>
      </c>
      <c r="S284" s="300" t="str">
        <f>IF(R284="","",PRIX!S285*'QUANTITE DETENUES'!S285)</f>
        <v/>
      </c>
      <c r="T284" s="14" t="str">
        <f>IF(A284="","",ARBITRAGES!M285)</f>
        <v/>
      </c>
      <c r="U284" s="301" t="str">
        <f t="shared" si="1"/>
        <v/>
      </c>
      <c r="V284" s="302" t="str">
        <f t="shared" si="2"/>
        <v/>
      </c>
      <c r="W284" s="288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308"/>
      <c r="AI284" s="220"/>
      <c r="AJ284" s="220"/>
      <c r="AK284" s="220"/>
      <c r="AL284" s="220"/>
      <c r="AM284" s="220"/>
      <c r="AN284" s="220"/>
      <c r="AO284" s="220"/>
      <c r="AP284" s="220"/>
      <c r="AQ284" s="220"/>
      <c r="AR284" s="220"/>
      <c r="AS284" s="220"/>
      <c r="AT284" s="220"/>
      <c r="AU284" s="220"/>
      <c r="AV284" s="220"/>
      <c r="AW284" s="220"/>
      <c r="AX284" s="220"/>
      <c r="AY284" s="220"/>
      <c r="AZ284" s="220"/>
      <c r="BA284" s="220"/>
    </row>
    <row r="285">
      <c r="A285" s="290" t="str">
        <f>PRIX!A286</f>
        <v/>
      </c>
      <c r="B285" s="299" t="str">
        <f>IF(A285="","",PRIX!B286*'QUANTITE DETENUES'!B286)</f>
        <v/>
      </c>
      <c r="C285" s="299" t="str">
        <f>IF(B285="","",PRIX!C286*'QUANTITE DETENUES'!C286)</f>
        <v/>
      </c>
      <c r="D285" s="299" t="str">
        <f>IF(C285="","",PRIX!D286*'QUANTITE DETENUES'!D286)</f>
        <v/>
      </c>
      <c r="E285" s="299" t="str">
        <f>IF(D285="","",PRIX!E286*'QUANTITE DETENUES'!E286)</f>
        <v/>
      </c>
      <c r="F285" s="299" t="str">
        <f>IF(E285="","",PRIX!F286*'QUANTITE DETENUES'!F286)</f>
        <v/>
      </c>
      <c r="G285" s="299" t="str">
        <f>IF(F285="","",PRIX!G286*'QUANTITE DETENUES'!G286)</f>
        <v/>
      </c>
      <c r="H285" s="299" t="str">
        <f>IF(G285="","",PRIX!H286*'QUANTITE DETENUES'!H286)</f>
        <v/>
      </c>
      <c r="I285" s="299" t="str">
        <f>IF(H285="","",PRIX!I286*'QUANTITE DETENUES'!I286)</f>
        <v/>
      </c>
      <c r="J285" s="299" t="str">
        <f>IF(I285="","",PRIX!J286*'QUANTITE DETENUES'!J286)</f>
        <v/>
      </c>
      <c r="K285" s="299" t="str">
        <f>IF(J285="","",PRIX!K286*'QUANTITE DETENUES'!K286)</f>
        <v/>
      </c>
      <c r="L285" s="299" t="str">
        <f>IF(K285="","",PRIX!L286*'QUANTITE DETENUES'!L286)</f>
        <v/>
      </c>
      <c r="M285" s="299" t="str">
        <f>IF(L285="","",PRIX!M286*'QUANTITE DETENUES'!M286)</f>
        <v/>
      </c>
      <c r="N285" s="299" t="str">
        <f>IF(M285="","",PRIX!N286*'QUANTITE DETENUES'!N286)</f>
        <v/>
      </c>
      <c r="O285" s="299" t="str">
        <f>IF(N285="","",PRIX!O286*'QUANTITE DETENUES'!O286)</f>
        <v/>
      </c>
      <c r="P285" s="299" t="str">
        <f>IF(O285="","",PRIX!P286*'QUANTITE DETENUES'!P286)</f>
        <v/>
      </c>
      <c r="Q285" s="299" t="str">
        <f>IF(P285="","",PRIX!Q286*'QUANTITE DETENUES'!Q286)</f>
        <v/>
      </c>
      <c r="R285" s="299" t="str">
        <f>IF(Q285="","",PRIX!R286*'QUANTITE DETENUES'!R286)</f>
        <v/>
      </c>
      <c r="S285" s="300" t="str">
        <f>IF(R285="","",PRIX!S286*'QUANTITE DETENUES'!S286)</f>
        <v/>
      </c>
      <c r="T285" s="14" t="str">
        <f>IF(A285="","",ARBITRAGES!M286)</f>
        <v/>
      </c>
      <c r="U285" s="301" t="str">
        <f t="shared" si="1"/>
        <v/>
      </c>
      <c r="V285" s="302" t="str">
        <f t="shared" si="2"/>
        <v/>
      </c>
      <c r="W285" s="288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308"/>
      <c r="AI285" s="220"/>
      <c r="AJ285" s="220"/>
      <c r="AK285" s="220"/>
      <c r="AL285" s="220"/>
      <c r="AM285" s="220"/>
      <c r="AN285" s="220"/>
      <c r="AO285" s="220"/>
      <c r="AP285" s="220"/>
      <c r="AQ285" s="220"/>
      <c r="AR285" s="220"/>
      <c r="AS285" s="220"/>
      <c r="AT285" s="220"/>
      <c r="AU285" s="220"/>
      <c r="AV285" s="220"/>
      <c r="AW285" s="220"/>
      <c r="AX285" s="220"/>
      <c r="AY285" s="220"/>
      <c r="AZ285" s="220"/>
      <c r="BA285" s="220"/>
    </row>
    <row r="286">
      <c r="A286" s="290" t="str">
        <f>PRIX!A287</f>
        <v/>
      </c>
      <c r="B286" s="299" t="str">
        <f>IF(A286="","",PRIX!B287*'QUANTITE DETENUES'!B287)</f>
        <v/>
      </c>
      <c r="C286" s="299" t="str">
        <f>IF(B286="","",PRIX!C287*'QUANTITE DETENUES'!C287)</f>
        <v/>
      </c>
      <c r="D286" s="299" t="str">
        <f>IF(C286="","",PRIX!D287*'QUANTITE DETENUES'!D287)</f>
        <v/>
      </c>
      <c r="E286" s="299" t="str">
        <f>IF(D286="","",PRIX!E287*'QUANTITE DETENUES'!E287)</f>
        <v/>
      </c>
      <c r="F286" s="299" t="str">
        <f>IF(E286="","",PRIX!F287*'QUANTITE DETENUES'!F287)</f>
        <v/>
      </c>
      <c r="G286" s="299" t="str">
        <f>IF(F286="","",PRIX!G287*'QUANTITE DETENUES'!G287)</f>
        <v/>
      </c>
      <c r="H286" s="299" t="str">
        <f>IF(G286="","",PRIX!H287*'QUANTITE DETENUES'!H287)</f>
        <v/>
      </c>
      <c r="I286" s="299" t="str">
        <f>IF(H286="","",PRIX!I287*'QUANTITE DETENUES'!I287)</f>
        <v/>
      </c>
      <c r="J286" s="299" t="str">
        <f>IF(I286="","",PRIX!J287*'QUANTITE DETENUES'!J287)</f>
        <v/>
      </c>
      <c r="K286" s="299" t="str">
        <f>IF(J286="","",PRIX!K287*'QUANTITE DETENUES'!K287)</f>
        <v/>
      </c>
      <c r="L286" s="299" t="str">
        <f>IF(K286="","",PRIX!L287*'QUANTITE DETENUES'!L287)</f>
        <v/>
      </c>
      <c r="M286" s="299" t="str">
        <f>IF(L286="","",PRIX!M287*'QUANTITE DETENUES'!M287)</f>
        <v/>
      </c>
      <c r="N286" s="299" t="str">
        <f>IF(M286="","",PRIX!N287*'QUANTITE DETENUES'!N287)</f>
        <v/>
      </c>
      <c r="O286" s="299" t="str">
        <f>IF(N286="","",PRIX!O287*'QUANTITE DETENUES'!O287)</f>
        <v/>
      </c>
      <c r="P286" s="299" t="str">
        <f>IF(O286="","",PRIX!P287*'QUANTITE DETENUES'!P287)</f>
        <v/>
      </c>
      <c r="Q286" s="299" t="str">
        <f>IF(P286="","",PRIX!Q287*'QUANTITE DETENUES'!Q287)</f>
        <v/>
      </c>
      <c r="R286" s="299" t="str">
        <f>IF(Q286="","",PRIX!R287*'QUANTITE DETENUES'!R287)</f>
        <v/>
      </c>
      <c r="S286" s="300" t="str">
        <f>IF(R286="","",PRIX!S287*'QUANTITE DETENUES'!S287)</f>
        <v/>
      </c>
      <c r="T286" s="14" t="str">
        <f>IF(A286="","",ARBITRAGES!M287)</f>
        <v/>
      </c>
      <c r="U286" s="301" t="str">
        <f t="shared" si="1"/>
        <v/>
      </c>
      <c r="V286" s="302" t="str">
        <f t="shared" si="2"/>
        <v/>
      </c>
      <c r="W286" s="288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308"/>
      <c r="AI286" s="220"/>
      <c r="AJ286" s="220"/>
      <c r="AK286" s="220"/>
      <c r="AL286" s="220"/>
      <c r="AM286" s="220"/>
      <c r="AN286" s="220"/>
      <c r="AO286" s="220"/>
      <c r="AP286" s="220"/>
      <c r="AQ286" s="220"/>
      <c r="AR286" s="220"/>
      <c r="AS286" s="220"/>
      <c r="AT286" s="220"/>
      <c r="AU286" s="220"/>
      <c r="AV286" s="220"/>
      <c r="AW286" s="220"/>
      <c r="AX286" s="220"/>
      <c r="AY286" s="220"/>
      <c r="AZ286" s="220"/>
      <c r="BA286" s="220"/>
    </row>
    <row r="287">
      <c r="A287" s="290" t="str">
        <f>PRIX!A288</f>
        <v/>
      </c>
      <c r="B287" s="299" t="str">
        <f>IF(A287="","",PRIX!B288*'QUANTITE DETENUES'!B288)</f>
        <v/>
      </c>
      <c r="C287" s="299" t="str">
        <f>IF(B287="","",PRIX!C288*'QUANTITE DETENUES'!C288)</f>
        <v/>
      </c>
      <c r="D287" s="299" t="str">
        <f>IF(C287="","",PRIX!D288*'QUANTITE DETENUES'!D288)</f>
        <v/>
      </c>
      <c r="E287" s="299" t="str">
        <f>IF(D287="","",PRIX!E288*'QUANTITE DETENUES'!E288)</f>
        <v/>
      </c>
      <c r="F287" s="299" t="str">
        <f>IF(E287="","",PRIX!F288*'QUANTITE DETENUES'!F288)</f>
        <v/>
      </c>
      <c r="G287" s="299" t="str">
        <f>IF(F287="","",PRIX!G288*'QUANTITE DETENUES'!G288)</f>
        <v/>
      </c>
      <c r="H287" s="299" t="str">
        <f>IF(G287="","",PRIX!H288*'QUANTITE DETENUES'!H288)</f>
        <v/>
      </c>
      <c r="I287" s="299" t="str">
        <f>IF(H287="","",PRIX!I288*'QUANTITE DETENUES'!I288)</f>
        <v/>
      </c>
      <c r="J287" s="299" t="str">
        <f>IF(I287="","",PRIX!J288*'QUANTITE DETENUES'!J288)</f>
        <v/>
      </c>
      <c r="K287" s="299" t="str">
        <f>IF(J287="","",PRIX!K288*'QUANTITE DETENUES'!K288)</f>
        <v/>
      </c>
      <c r="L287" s="299" t="str">
        <f>IF(K287="","",PRIX!L288*'QUANTITE DETENUES'!L288)</f>
        <v/>
      </c>
      <c r="M287" s="299" t="str">
        <f>IF(L287="","",PRIX!M288*'QUANTITE DETENUES'!M288)</f>
        <v/>
      </c>
      <c r="N287" s="299" t="str">
        <f>IF(M287="","",PRIX!N288*'QUANTITE DETENUES'!N288)</f>
        <v/>
      </c>
      <c r="O287" s="299" t="str">
        <f>IF(N287="","",PRIX!O288*'QUANTITE DETENUES'!O288)</f>
        <v/>
      </c>
      <c r="P287" s="299" t="str">
        <f>IF(O287="","",PRIX!P288*'QUANTITE DETENUES'!P288)</f>
        <v/>
      </c>
      <c r="Q287" s="299" t="str">
        <f>IF(P287="","",PRIX!Q288*'QUANTITE DETENUES'!Q288)</f>
        <v/>
      </c>
      <c r="R287" s="299" t="str">
        <f>IF(Q287="","",PRIX!R288*'QUANTITE DETENUES'!R288)</f>
        <v/>
      </c>
      <c r="S287" s="300" t="str">
        <f>IF(R287="","",PRIX!S288*'QUANTITE DETENUES'!S288)</f>
        <v/>
      </c>
      <c r="T287" s="14" t="str">
        <f>IF(A287="","",ARBITRAGES!M288)</f>
        <v/>
      </c>
      <c r="U287" s="301" t="str">
        <f t="shared" si="1"/>
        <v/>
      </c>
      <c r="V287" s="302" t="str">
        <f t="shared" si="2"/>
        <v/>
      </c>
      <c r="W287" s="288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308"/>
      <c r="AI287" s="220"/>
      <c r="AJ287" s="220"/>
      <c r="AK287" s="220"/>
      <c r="AL287" s="220"/>
      <c r="AM287" s="220"/>
      <c r="AN287" s="220"/>
      <c r="AO287" s="220"/>
      <c r="AP287" s="220"/>
      <c r="AQ287" s="220"/>
      <c r="AR287" s="220"/>
      <c r="AS287" s="220"/>
      <c r="AT287" s="220"/>
      <c r="AU287" s="220"/>
      <c r="AV287" s="220"/>
      <c r="AW287" s="220"/>
      <c r="AX287" s="220"/>
      <c r="AY287" s="220"/>
      <c r="AZ287" s="220"/>
      <c r="BA287" s="220"/>
    </row>
    <row r="288">
      <c r="A288" s="290" t="str">
        <f>PRIX!A289</f>
        <v/>
      </c>
      <c r="B288" s="299" t="str">
        <f>IF(A288="","",PRIX!B289*'QUANTITE DETENUES'!B289)</f>
        <v/>
      </c>
      <c r="C288" s="299" t="str">
        <f>IF(B288="","",PRIX!C289*'QUANTITE DETENUES'!C289)</f>
        <v/>
      </c>
      <c r="D288" s="299" t="str">
        <f>IF(C288="","",PRIX!D289*'QUANTITE DETENUES'!D289)</f>
        <v/>
      </c>
      <c r="E288" s="299" t="str">
        <f>IF(D288="","",PRIX!E289*'QUANTITE DETENUES'!E289)</f>
        <v/>
      </c>
      <c r="F288" s="299" t="str">
        <f>IF(E288="","",PRIX!F289*'QUANTITE DETENUES'!F289)</f>
        <v/>
      </c>
      <c r="G288" s="299" t="str">
        <f>IF(F288="","",PRIX!G289*'QUANTITE DETENUES'!G289)</f>
        <v/>
      </c>
      <c r="H288" s="299" t="str">
        <f>IF(G288="","",PRIX!H289*'QUANTITE DETENUES'!H289)</f>
        <v/>
      </c>
      <c r="I288" s="299" t="str">
        <f>IF(H288="","",PRIX!I289*'QUANTITE DETENUES'!I289)</f>
        <v/>
      </c>
      <c r="J288" s="299" t="str">
        <f>IF(I288="","",PRIX!J289*'QUANTITE DETENUES'!J289)</f>
        <v/>
      </c>
      <c r="K288" s="299" t="str">
        <f>IF(J288="","",PRIX!K289*'QUANTITE DETENUES'!K289)</f>
        <v/>
      </c>
      <c r="L288" s="299" t="str">
        <f>IF(K288="","",PRIX!L289*'QUANTITE DETENUES'!L289)</f>
        <v/>
      </c>
      <c r="M288" s="299" t="str">
        <f>IF(L288="","",PRIX!M289*'QUANTITE DETENUES'!M289)</f>
        <v/>
      </c>
      <c r="N288" s="299" t="str">
        <f>IF(M288="","",PRIX!N289*'QUANTITE DETENUES'!N289)</f>
        <v/>
      </c>
      <c r="O288" s="299" t="str">
        <f>IF(N288="","",PRIX!O289*'QUANTITE DETENUES'!O289)</f>
        <v/>
      </c>
      <c r="P288" s="299" t="str">
        <f>IF(O288="","",PRIX!P289*'QUANTITE DETENUES'!P289)</f>
        <v/>
      </c>
      <c r="Q288" s="299" t="str">
        <f>IF(P288="","",PRIX!Q289*'QUANTITE DETENUES'!Q289)</f>
        <v/>
      </c>
      <c r="R288" s="299" t="str">
        <f>IF(Q288="","",PRIX!R289*'QUANTITE DETENUES'!R289)</f>
        <v/>
      </c>
      <c r="S288" s="300" t="str">
        <f>IF(R288="","",PRIX!S289*'QUANTITE DETENUES'!S289)</f>
        <v/>
      </c>
      <c r="T288" s="14" t="str">
        <f>IF(A288="","",ARBITRAGES!M289)</f>
        <v/>
      </c>
      <c r="U288" s="301" t="str">
        <f t="shared" si="1"/>
        <v/>
      </c>
      <c r="V288" s="302" t="str">
        <f t="shared" si="2"/>
        <v/>
      </c>
      <c r="W288" s="288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308"/>
      <c r="AI288" s="220"/>
      <c r="AJ288" s="220"/>
      <c r="AK288" s="220"/>
      <c r="AL288" s="220"/>
      <c r="AM288" s="220"/>
      <c r="AN288" s="220"/>
      <c r="AO288" s="220"/>
      <c r="AP288" s="220"/>
      <c r="AQ288" s="220"/>
      <c r="AR288" s="220"/>
      <c r="AS288" s="220"/>
      <c r="AT288" s="220"/>
      <c r="AU288" s="220"/>
      <c r="AV288" s="220"/>
      <c r="AW288" s="220"/>
      <c r="AX288" s="220"/>
      <c r="AY288" s="220"/>
      <c r="AZ288" s="220"/>
      <c r="BA288" s="220"/>
    </row>
    <row r="289">
      <c r="A289" s="290" t="str">
        <f>PRIX!A290</f>
        <v/>
      </c>
      <c r="B289" s="299" t="str">
        <f>IF(A289="","",PRIX!B290*'QUANTITE DETENUES'!B290)</f>
        <v/>
      </c>
      <c r="C289" s="299" t="str">
        <f>IF(B289="","",PRIX!C290*'QUANTITE DETENUES'!C290)</f>
        <v/>
      </c>
      <c r="D289" s="299" t="str">
        <f>IF(C289="","",PRIX!D290*'QUANTITE DETENUES'!D290)</f>
        <v/>
      </c>
      <c r="E289" s="299" t="str">
        <f>IF(D289="","",PRIX!E290*'QUANTITE DETENUES'!E290)</f>
        <v/>
      </c>
      <c r="F289" s="299" t="str">
        <f>IF(E289="","",PRIX!F290*'QUANTITE DETENUES'!F290)</f>
        <v/>
      </c>
      <c r="G289" s="299" t="str">
        <f>IF(F289="","",PRIX!G290*'QUANTITE DETENUES'!G290)</f>
        <v/>
      </c>
      <c r="H289" s="299" t="str">
        <f>IF(G289="","",PRIX!H290*'QUANTITE DETENUES'!H290)</f>
        <v/>
      </c>
      <c r="I289" s="299" t="str">
        <f>IF(H289="","",PRIX!I290*'QUANTITE DETENUES'!I290)</f>
        <v/>
      </c>
      <c r="J289" s="299" t="str">
        <f>IF(I289="","",PRIX!J290*'QUANTITE DETENUES'!J290)</f>
        <v/>
      </c>
      <c r="K289" s="299" t="str">
        <f>IF(J289="","",PRIX!K290*'QUANTITE DETENUES'!K290)</f>
        <v/>
      </c>
      <c r="L289" s="299" t="str">
        <f>IF(K289="","",PRIX!L290*'QUANTITE DETENUES'!L290)</f>
        <v/>
      </c>
      <c r="M289" s="299" t="str">
        <f>IF(L289="","",PRIX!M290*'QUANTITE DETENUES'!M290)</f>
        <v/>
      </c>
      <c r="N289" s="299" t="str">
        <f>IF(M289="","",PRIX!N290*'QUANTITE DETENUES'!N290)</f>
        <v/>
      </c>
      <c r="O289" s="299" t="str">
        <f>IF(N289="","",PRIX!O290*'QUANTITE DETENUES'!O290)</f>
        <v/>
      </c>
      <c r="P289" s="299" t="str">
        <f>IF(O289="","",PRIX!P290*'QUANTITE DETENUES'!P290)</f>
        <v/>
      </c>
      <c r="Q289" s="299" t="str">
        <f>IF(P289="","",PRIX!Q290*'QUANTITE DETENUES'!Q290)</f>
        <v/>
      </c>
      <c r="R289" s="299" t="str">
        <f>IF(Q289="","",PRIX!R290*'QUANTITE DETENUES'!R290)</f>
        <v/>
      </c>
      <c r="S289" s="300" t="str">
        <f>IF(R289="","",PRIX!S290*'QUANTITE DETENUES'!S290)</f>
        <v/>
      </c>
      <c r="T289" s="14" t="str">
        <f>IF(A289="","",ARBITRAGES!M290)</f>
        <v/>
      </c>
      <c r="U289" s="301" t="str">
        <f t="shared" si="1"/>
        <v/>
      </c>
      <c r="V289" s="302" t="str">
        <f t="shared" si="2"/>
        <v/>
      </c>
      <c r="W289" s="288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308"/>
      <c r="AI289" s="220"/>
      <c r="AJ289" s="220"/>
      <c r="AK289" s="220"/>
      <c r="AL289" s="220"/>
      <c r="AM289" s="220"/>
      <c r="AN289" s="220"/>
      <c r="AO289" s="220"/>
      <c r="AP289" s="220"/>
      <c r="AQ289" s="220"/>
      <c r="AR289" s="220"/>
      <c r="AS289" s="220"/>
      <c r="AT289" s="220"/>
      <c r="AU289" s="220"/>
      <c r="AV289" s="220"/>
      <c r="AW289" s="220"/>
      <c r="AX289" s="220"/>
      <c r="AY289" s="220"/>
      <c r="AZ289" s="220"/>
      <c r="BA289" s="220"/>
    </row>
    <row r="290">
      <c r="A290" s="290" t="str">
        <f>PRIX!A291</f>
        <v/>
      </c>
      <c r="B290" s="299" t="str">
        <f>IF(A290="","",PRIX!B291*'QUANTITE DETENUES'!B291)</f>
        <v/>
      </c>
      <c r="C290" s="299" t="str">
        <f>IF(B290="","",PRIX!C291*'QUANTITE DETENUES'!C291)</f>
        <v/>
      </c>
      <c r="D290" s="299" t="str">
        <f>IF(C290="","",PRIX!D291*'QUANTITE DETENUES'!D291)</f>
        <v/>
      </c>
      <c r="E290" s="299" t="str">
        <f>IF(D290="","",PRIX!E291*'QUANTITE DETENUES'!E291)</f>
        <v/>
      </c>
      <c r="F290" s="299" t="str">
        <f>IF(E290="","",PRIX!F291*'QUANTITE DETENUES'!F291)</f>
        <v/>
      </c>
      <c r="G290" s="299" t="str">
        <f>IF(F290="","",PRIX!G291*'QUANTITE DETENUES'!G291)</f>
        <v/>
      </c>
      <c r="H290" s="299" t="str">
        <f>IF(G290="","",PRIX!H291*'QUANTITE DETENUES'!H291)</f>
        <v/>
      </c>
      <c r="I290" s="299" t="str">
        <f>IF(H290="","",PRIX!I291*'QUANTITE DETENUES'!I291)</f>
        <v/>
      </c>
      <c r="J290" s="299" t="str">
        <f>IF(I290="","",PRIX!J291*'QUANTITE DETENUES'!J291)</f>
        <v/>
      </c>
      <c r="K290" s="299" t="str">
        <f>IF(J290="","",PRIX!K291*'QUANTITE DETENUES'!K291)</f>
        <v/>
      </c>
      <c r="L290" s="299" t="str">
        <f>IF(K290="","",PRIX!L291*'QUANTITE DETENUES'!L291)</f>
        <v/>
      </c>
      <c r="M290" s="299" t="str">
        <f>IF(L290="","",PRIX!M291*'QUANTITE DETENUES'!M291)</f>
        <v/>
      </c>
      <c r="N290" s="299" t="str">
        <f>IF(M290="","",PRIX!N291*'QUANTITE DETENUES'!N291)</f>
        <v/>
      </c>
      <c r="O290" s="299" t="str">
        <f>IF(N290="","",PRIX!O291*'QUANTITE DETENUES'!O291)</f>
        <v/>
      </c>
      <c r="P290" s="299" t="str">
        <f>IF(O290="","",PRIX!P291*'QUANTITE DETENUES'!P291)</f>
        <v/>
      </c>
      <c r="Q290" s="299" t="str">
        <f>IF(P290="","",PRIX!Q291*'QUANTITE DETENUES'!Q291)</f>
        <v/>
      </c>
      <c r="R290" s="299" t="str">
        <f>IF(Q290="","",PRIX!R291*'QUANTITE DETENUES'!R291)</f>
        <v/>
      </c>
      <c r="S290" s="300" t="str">
        <f>IF(R290="","",PRIX!S291*'QUANTITE DETENUES'!S291)</f>
        <v/>
      </c>
      <c r="T290" s="14" t="str">
        <f>IF(A290="","",ARBITRAGES!M291)</f>
        <v/>
      </c>
      <c r="U290" s="301" t="str">
        <f t="shared" si="1"/>
        <v/>
      </c>
      <c r="V290" s="302" t="str">
        <f t="shared" si="2"/>
        <v/>
      </c>
      <c r="W290" s="288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308"/>
      <c r="AI290" s="220"/>
      <c r="AJ290" s="220"/>
      <c r="AK290" s="220"/>
      <c r="AL290" s="220"/>
      <c r="AM290" s="220"/>
      <c r="AN290" s="220"/>
      <c r="AO290" s="220"/>
      <c r="AP290" s="220"/>
      <c r="AQ290" s="220"/>
      <c r="AR290" s="220"/>
      <c r="AS290" s="220"/>
      <c r="AT290" s="220"/>
      <c r="AU290" s="220"/>
      <c r="AV290" s="220"/>
      <c r="AW290" s="220"/>
      <c r="AX290" s="220"/>
      <c r="AY290" s="220"/>
      <c r="AZ290" s="220"/>
      <c r="BA290" s="220"/>
    </row>
    <row r="291">
      <c r="A291" s="290" t="str">
        <f>PRIX!A292</f>
        <v/>
      </c>
      <c r="B291" s="299" t="str">
        <f>IF(A291="","",PRIX!B292*'QUANTITE DETENUES'!B292)</f>
        <v/>
      </c>
      <c r="C291" s="299" t="str">
        <f>IF(B291="","",PRIX!C292*'QUANTITE DETENUES'!C292)</f>
        <v/>
      </c>
      <c r="D291" s="299" t="str">
        <f>IF(C291="","",PRIX!D292*'QUANTITE DETENUES'!D292)</f>
        <v/>
      </c>
      <c r="E291" s="299" t="str">
        <f>IF(D291="","",PRIX!E292*'QUANTITE DETENUES'!E292)</f>
        <v/>
      </c>
      <c r="F291" s="299" t="str">
        <f>IF(E291="","",PRIX!F292*'QUANTITE DETENUES'!F292)</f>
        <v/>
      </c>
      <c r="G291" s="299" t="str">
        <f>IF(F291="","",PRIX!G292*'QUANTITE DETENUES'!G292)</f>
        <v/>
      </c>
      <c r="H291" s="299" t="str">
        <f>IF(G291="","",PRIX!H292*'QUANTITE DETENUES'!H292)</f>
        <v/>
      </c>
      <c r="I291" s="299" t="str">
        <f>IF(H291="","",PRIX!I292*'QUANTITE DETENUES'!I292)</f>
        <v/>
      </c>
      <c r="J291" s="299" t="str">
        <f>IF(I291="","",PRIX!J292*'QUANTITE DETENUES'!J292)</f>
        <v/>
      </c>
      <c r="K291" s="299" t="str">
        <f>IF(J291="","",PRIX!K292*'QUANTITE DETENUES'!K292)</f>
        <v/>
      </c>
      <c r="L291" s="299" t="str">
        <f>IF(K291="","",PRIX!L292*'QUANTITE DETENUES'!L292)</f>
        <v/>
      </c>
      <c r="M291" s="299" t="str">
        <f>IF(L291="","",PRIX!M292*'QUANTITE DETENUES'!M292)</f>
        <v/>
      </c>
      <c r="N291" s="299" t="str">
        <f>IF(M291="","",PRIX!N292*'QUANTITE DETENUES'!N292)</f>
        <v/>
      </c>
      <c r="O291" s="299" t="str">
        <f>IF(N291="","",PRIX!O292*'QUANTITE DETENUES'!O292)</f>
        <v/>
      </c>
      <c r="P291" s="299" t="str">
        <f>IF(O291="","",PRIX!P292*'QUANTITE DETENUES'!P292)</f>
        <v/>
      </c>
      <c r="Q291" s="299" t="str">
        <f>IF(P291="","",PRIX!Q292*'QUANTITE DETENUES'!Q292)</f>
        <v/>
      </c>
      <c r="R291" s="299" t="str">
        <f>IF(Q291="","",PRIX!R292*'QUANTITE DETENUES'!R292)</f>
        <v/>
      </c>
      <c r="S291" s="300" t="str">
        <f>IF(R291="","",PRIX!S292*'QUANTITE DETENUES'!S292)</f>
        <v/>
      </c>
      <c r="T291" s="14" t="str">
        <f>IF(A291="","",ARBITRAGES!M292)</f>
        <v/>
      </c>
      <c r="U291" s="301" t="str">
        <f t="shared" si="1"/>
        <v/>
      </c>
      <c r="V291" s="302" t="str">
        <f t="shared" si="2"/>
        <v/>
      </c>
      <c r="W291" s="288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308"/>
      <c r="AI291" s="220"/>
      <c r="AJ291" s="220"/>
      <c r="AK291" s="220"/>
      <c r="AL291" s="220"/>
      <c r="AM291" s="220"/>
      <c r="AN291" s="220"/>
      <c r="AO291" s="220"/>
      <c r="AP291" s="220"/>
      <c r="AQ291" s="220"/>
      <c r="AR291" s="220"/>
      <c r="AS291" s="220"/>
      <c r="AT291" s="220"/>
      <c r="AU291" s="220"/>
      <c r="AV291" s="220"/>
      <c r="AW291" s="220"/>
      <c r="AX291" s="220"/>
      <c r="AY291" s="220"/>
      <c r="AZ291" s="220"/>
      <c r="BA291" s="220"/>
    </row>
    <row r="292">
      <c r="A292" s="290" t="str">
        <f>PRIX!A293</f>
        <v/>
      </c>
      <c r="B292" s="299" t="str">
        <f>IF(A292="","",PRIX!B293*'QUANTITE DETENUES'!B293)</f>
        <v/>
      </c>
      <c r="C292" s="299" t="str">
        <f>IF(B292="","",PRIX!C293*'QUANTITE DETENUES'!C293)</f>
        <v/>
      </c>
      <c r="D292" s="299" t="str">
        <f>IF(C292="","",PRIX!D293*'QUANTITE DETENUES'!D293)</f>
        <v/>
      </c>
      <c r="E292" s="299" t="str">
        <f>IF(D292="","",PRIX!E293*'QUANTITE DETENUES'!E293)</f>
        <v/>
      </c>
      <c r="F292" s="299" t="str">
        <f>IF(E292="","",PRIX!F293*'QUANTITE DETENUES'!F293)</f>
        <v/>
      </c>
      <c r="G292" s="299" t="str">
        <f>IF(F292="","",PRIX!G293*'QUANTITE DETENUES'!G293)</f>
        <v/>
      </c>
      <c r="H292" s="299" t="str">
        <f>IF(G292="","",PRIX!H293*'QUANTITE DETENUES'!H293)</f>
        <v/>
      </c>
      <c r="I292" s="299" t="str">
        <f>IF(H292="","",PRIX!I293*'QUANTITE DETENUES'!I293)</f>
        <v/>
      </c>
      <c r="J292" s="299" t="str">
        <f>IF(I292="","",PRIX!J293*'QUANTITE DETENUES'!J293)</f>
        <v/>
      </c>
      <c r="K292" s="299" t="str">
        <f>IF(J292="","",PRIX!K293*'QUANTITE DETENUES'!K293)</f>
        <v/>
      </c>
      <c r="L292" s="299" t="str">
        <f>IF(K292="","",PRIX!L293*'QUANTITE DETENUES'!L293)</f>
        <v/>
      </c>
      <c r="M292" s="299" t="str">
        <f>IF(L292="","",PRIX!M293*'QUANTITE DETENUES'!M293)</f>
        <v/>
      </c>
      <c r="N292" s="299" t="str">
        <f>IF(M292="","",PRIX!N293*'QUANTITE DETENUES'!N293)</f>
        <v/>
      </c>
      <c r="O292" s="299" t="str">
        <f>IF(N292="","",PRIX!O293*'QUANTITE DETENUES'!O293)</f>
        <v/>
      </c>
      <c r="P292" s="299" t="str">
        <f>IF(O292="","",PRIX!P293*'QUANTITE DETENUES'!P293)</f>
        <v/>
      </c>
      <c r="Q292" s="299" t="str">
        <f>IF(P292="","",PRIX!Q293*'QUANTITE DETENUES'!Q293)</f>
        <v/>
      </c>
      <c r="R292" s="299" t="str">
        <f>IF(Q292="","",PRIX!R293*'QUANTITE DETENUES'!R293)</f>
        <v/>
      </c>
      <c r="S292" s="300" t="str">
        <f>IF(R292="","",PRIX!S293*'QUANTITE DETENUES'!S293)</f>
        <v/>
      </c>
      <c r="T292" s="14" t="str">
        <f>IF(A292="","",ARBITRAGES!M293)</f>
        <v/>
      </c>
      <c r="U292" s="301" t="str">
        <f t="shared" si="1"/>
        <v/>
      </c>
      <c r="V292" s="302" t="str">
        <f t="shared" si="2"/>
        <v/>
      </c>
      <c r="W292" s="288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308"/>
      <c r="AI292" s="220"/>
      <c r="AJ292" s="220"/>
      <c r="AK292" s="220"/>
      <c r="AL292" s="220"/>
      <c r="AM292" s="220"/>
      <c r="AN292" s="220"/>
      <c r="AO292" s="220"/>
      <c r="AP292" s="220"/>
      <c r="AQ292" s="220"/>
      <c r="AR292" s="220"/>
      <c r="AS292" s="220"/>
      <c r="AT292" s="220"/>
      <c r="AU292" s="220"/>
      <c r="AV292" s="220"/>
      <c r="AW292" s="220"/>
      <c r="AX292" s="220"/>
      <c r="AY292" s="220"/>
      <c r="AZ292" s="220"/>
      <c r="BA292" s="220"/>
    </row>
    <row r="293">
      <c r="A293" s="290" t="str">
        <f>PRIX!A294</f>
        <v/>
      </c>
      <c r="B293" s="299" t="str">
        <f>IF(A293="","",PRIX!B294*'QUANTITE DETENUES'!B294)</f>
        <v/>
      </c>
      <c r="C293" s="299" t="str">
        <f>IF(B293="","",PRIX!C294*'QUANTITE DETENUES'!C294)</f>
        <v/>
      </c>
      <c r="D293" s="299" t="str">
        <f>IF(C293="","",PRIX!D294*'QUANTITE DETENUES'!D294)</f>
        <v/>
      </c>
      <c r="E293" s="299" t="str">
        <f>IF(D293="","",PRIX!E294*'QUANTITE DETENUES'!E294)</f>
        <v/>
      </c>
      <c r="F293" s="299" t="str">
        <f>IF(E293="","",PRIX!F294*'QUANTITE DETENUES'!F294)</f>
        <v/>
      </c>
      <c r="G293" s="299" t="str">
        <f>IF(F293="","",PRIX!G294*'QUANTITE DETENUES'!G294)</f>
        <v/>
      </c>
      <c r="H293" s="299" t="str">
        <f>IF(G293="","",PRIX!H294*'QUANTITE DETENUES'!H294)</f>
        <v/>
      </c>
      <c r="I293" s="299" t="str">
        <f>IF(H293="","",PRIX!I294*'QUANTITE DETENUES'!I294)</f>
        <v/>
      </c>
      <c r="J293" s="299" t="str">
        <f>IF(I293="","",PRIX!J294*'QUANTITE DETENUES'!J294)</f>
        <v/>
      </c>
      <c r="K293" s="299" t="str">
        <f>IF(J293="","",PRIX!K294*'QUANTITE DETENUES'!K294)</f>
        <v/>
      </c>
      <c r="L293" s="299" t="str">
        <f>IF(K293="","",PRIX!L294*'QUANTITE DETENUES'!L294)</f>
        <v/>
      </c>
      <c r="M293" s="299" t="str">
        <f>IF(L293="","",PRIX!M294*'QUANTITE DETENUES'!M294)</f>
        <v/>
      </c>
      <c r="N293" s="299" t="str">
        <f>IF(M293="","",PRIX!N294*'QUANTITE DETENUES'!N294)</f>
        <v/>
      </c>
      <c r="O293" s="299" t="str">
        <f>IF(N293="","",PRIX!O294*'QUANTITE DETENUES'!O294)</f>
        <v/>
      </c>
      <c r="P293" s="299" t="str">
        <f>IF(O293="","",PRIX!P294*'QUANTITE DETENUES'!P294)</f>
        <v/>
      </c>
      <c r="Q293" s="299" t="str">
        <f>IF(P293="","",PRIX!Q294*'QUANTITE DETENUES'!Q294)</f>
        <v/>
      </c>
      <c r="R293" s="299" t="str">
        <f>IF(Q293="","",PRIX!R294*'QUANTITE DETENUES'!R294)</f>
        <v/>
      </c>
      <c r="S293" s="300" t="str">
        <f>IF(R293="","",PRIX!S294*'QUANTITE DETENUES'!S294)</f>
        <v/>
      </c>
      <c r="T293" s="14" t="str">
        <f>IF(A293="","",ARBITRAGES!M294)</f>
        <v/>
      </c>
      <c r="U293" s="301" t="str">
        <f t="shared" si="1"/>
        <v/>
      </c>
      <c r="V293" s="302" t="str">
        <f t="shared" si="2"/>
        <v/>
      </c>
      <c r="W293" s="288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308"/>
      <c r="AI293" s="220"/>
      <c r="AJ293" s="220"/>
      <c r="AK293" s="220"/>
      <c r="AL293" s="220"/>
      <c r="AM293" s="220"/>
      <c r="AN293" s="220"/>
      <c r="AO293" s="220"/>
      <c r="AP293" s="220"/>
      <c r="AQ293" s="220"/>
      <c r="AR293" s="220"/>
      <c r="AS293" s="220"/>
      <c r="AT293" s="220"/>
      <c r="AU293" s="220"/>
      <c r="AV293" s="220"/>
      <c r="AW293" s="220"/>
      <c r="AX293" s="220"/>
      <c r="AY293" s="220"/>
      <c r="AZ293" s="220"/>
      <c r="BA293" s="220"/>
    </row>
    <row r="294">
      <c r="A294" s="290" t="str">
        <f>PRIX!A295</f>
        <v/>
      </c>
      <c r="B294" s="299" t="str">
        <f>IF(A294="","",PRIX!B295*'QUANTITE DETENUES'!B295)</f>
        <v/>
      </c>
      <c r="C294" s="299" t="str">
        <f>IF(B294="","",PRIX!C295*'QUANTITE DETENUES'!C295)</f>
        <v/>
      </c>
      <c r="D294" s="299" t="str">
        <f>IF(C294="","",PRIX!D295*'QUANTITE DETENUES'!D295)</f>
        <v/>
      </c>
      <c r="E294" s="299" t="str">
        <f>IF(D294="","",PRIX!E295*'QUANTITE DETENUES'!E295)</f>
        <v/>
      </c>
      <c r="F294" s="299" t="str">
        <f>IF(E294="","",PRIX!F295*'QUANTITE DETENUES'!F295)</f>
        <v/>
      </c>
      <c r="G294" s="299" t="str">
        <f>IF(F294="","",PRIX!G295*'QUANTITE DETENUES'!G295)</f>
        <v/>
      </c>
      <c r="H294" s="299" t="str">
        <f>IF(G294="","",PRIX!H295*'QUANTITE DETENUES'!H295)</f>
        <v/>
      </c>
      <c r="I294" s="299" t="str">
        <f>IF(H294="","",PRIX!I295*'QUANTITE DETENUES'!I295)</f>
        <v/>
      </c>
      <c r="J294" s="299" t="str">
        <f>IF(I294="","",PRIX!J295*'QUANTITE DETENUES'!J295)</f>
        <v/>
      </c>
      <c r="K294" s="299" t="str">
        <f>IF(J294="","",PRIX!K295*'QUANTITE DETENUES'!K295)</f>
        <v/>
      </c>
      <c r="L294" s="299" t="str">
        <f>IF(K294="","",PRIX!L295*'QUANTITE DETENUES'!L295)</f>
        <v/>
      </c>
      <c r="M294" s="299" t="str">
        <f>IF(L294="","",PRIX!M295*'QUANTITE DETENUES'!M295)</f>
        <v/>
      </c>
      <c r="N294" s="299" t="str">
        <f>IF(M294="","",PRIX!N295*'QUANTITE DETENUES'!N295)</f>
        <v/>
      </c>
      <c r="O294" s="299" t="str">
        <f>IF(N294="","",PRIX!O295*'QUANTITE DETENUES'!O295)</f>
        <v/>
      </c>
      <c r="P294" s="299" t="str">
        <f>IF(O294="","",PRIX!P295*'QUANTITE DETENUES'!P295)</f>
        <v/>
      </c>
      <c r="Q294" s="299" t="str">
        <f>IF(P294="","",PRIX!Q295*'QUANTITE DETENUES'!Q295)</f>
        <v/>
      </c>
      <c r="R294" s="299" t="str">
        <f>IF(Q294="","",PRIX!R295*'QUANTITE DETENUES'!R295)</f>
        <v/>
      </c>
      <c r="S294" s="300" t="str">
        <f>IF(R294="","",PRIX!S295*'QUANTITE DETENUES'!S295)</f>
        <v/>
      </c>
      <c r="T294" s="14" t="str">
        <f>IF(A294="","",ARBITRAGES!M295)</f>
        <v/>
      </c>
      <c r="U294" s="301" t="str">
        <f t="shared" si="1"/>
        <v/>
      </c>
      <c r="V294" s="302" t="str">
        <f t="shared" si="2"/>
        <v/>
      </c>
      <c r="W294" s="288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308"/>
      <c r="AI294" s="220"/>
      <c r="AJ294" s="220"/>
      <c r="AK294" s="220"/>
      <c r="AL294" s="220"/>
      <c r="AM294" s="220"/>
      <c r="AN294" s="220"/>
      <c r="AO294" s="220"/>
      <c r="AP294" s="220"/>
      <c r="AQ294" s="220"/>
      <c r="AR294" s="220"/>
      <c r="AS294" s="220"/>
      <c r="AT294" s="220"/>
      <c r="AU294" s="220"/>
      <c r="AV294" s="220"/>
      <c r="AW294" s="220"/>
      <c r="AX294" s="220"/>
      <c r="AY294" s="220"/>
      <c r="AZ294" s="220"/>
      <c r="BA294" s="220"/>
    </row>
    <row r="295">
      <c r="A295" s="290" t="str">
        <f>PRIX!A296</f>
        <v/>
      </c>
      <c r="B295" s="299" t="str">
        <f>IF(A295="","",PRIX!B296*'QUANTITE DETENUES'!B296)</f>
        <v/>
      </c>
      <c r="C295" s="299" t="str">
        <f>IF(B295="","",PRIX!C296*'QUANTITE DETENUES'!C296)</f>
        <v/>
      </c>
      <c r="D295" s="299" t="str">
        <f>IF(C295="","",PRIX!D296*'QUANTITE DETENUES'!D296)</f>
        <v/>
      </c>
      <c r="E295" s="299" t="str">
        <f>IF(D295="","",PRIX!E296*'QUANTITE DETENUES'!E296)</f>
        <v/>
      </c>
      <c r="F295" s="299" t="str">
        <f>IF(E295="","",PRIX!F296*'QUANTITE DETENUES'!F296)</f>
        <v/>
      </c>
      <c r="G295" s="299" t="str">
        <f>IF(F295="","",PRIX!G296*'QUANTITE DETENUES'!G296)</f>
        <v/>
      </c>
      <c r="H295" s="299" t="str">
        <f>IF(G295="","",PRIX!H296*'QUANTITE DETENUES'!H296)</f>
        <v/>
      </c>
      <c r="I295" s="299" t="str">
        <f>IF(H295="","",PRIX!I296*'QUANTITE DETENUES'!I296)</f>
        <v/>
      </c>
      <c r="J295" s="299" t="str">
        <f>IF(I295="","",PRIX!J296*'QUANTITE DETENUES'!J296)</f>
        <v/>
      </c>
      <c r="K295" s="299" t="str">
        <f>IF(J295="","",PRIX!K296*'QUANTITE DETENUES'!K296)</f>
        <v/>
      </c>
      <c r="L295" s="299" t="str">
        <f>IF(K295="","",PRIX!L296*'QUANTITE DETENUES'!L296)</f>
        <v/>
      </c>
      <c r="M295" s="299" t="str">
        <f>IF(L295="","",PRIX!M296*'QUANTITE DETENUES'!M296)</f>
        <v/>
      </c>
      <c r="N295" s="299" t="str">
        <f>IF(M295="","",PRIX!N296*'QUANTITE DETENUES'!N296)</f>
        <v/>
      </c>
      <c r="O295" s="299" t="str">
        <f>IF(N295="","",PRIX!O296*'QUANTITE DETENUES'!O296)</f>
        <v/>
      </c>
      <c r="P295" s="299" t="str">
        <f>IF(O295="","",PRIX!P296*'QUANTITE DETENUES'!P296)</f>
        <v/>
      </c>
      <c r="Q295" s="299" t="str">
        <f>IF(P295="","",PRIX!Q296*'QUANTITE DETENUES'!Q296)</f>
        <v/>
      </c>
      <c r="R295" s="299" t="str">
        <f>IF(Q295="","",PRIX!R296*'QUANTITE DETENUES'!R296)</f>
        <v/>
      </c>
      <c r="S295" s="300" t="str">
        <f>IF(R295="","",PRIX!S296*'QUANTITE DETENUES'!S296)</f>
        <v/>
      </c>
      <c r="T295" s="14" t="str">
        <f>IF(A295="","",ARBITRAGES!M296)</f>
        <v/>
      </c>
      <c r="U295" s="301" t="str">
        <f t="shared" si="1"/>
        <v/>
      </c>
      <c r="V295" s="302" t="str">
        <f t="shared" si="2"/>
        <v/>
      </c>
      <c r="W295" s="288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308"/>
      <c r="AI295" s="220"/>
      <c r="AJ295" s="220"/>
      <c r="AK295" s="220"/>
      <c r="AL295" s="220"/>
      <c r="AM295" s="220"/>
      <c r="AN295" s="220"/>
      <c r="AO295" s="220"/>
      <c r="AP295" s="220"/>
      <c r="AQ295" s="220"/>
      <c r="AR295" s="220"/>
      <c r="AS295" s="220"/>
      <c r="AT295" s="220"/>
      <c r="AU295" s="220"/>
      <c r="AV295" s="220"/>
      <c r="AW295" s="220"/>
      <c r="AX295" s="220"/>
      <c r="AY295" s="220"/>
      <c r="AZ295" s="220"/>
      <c r="BA295" s="220"/>
    </row>
    <row r="296">
      <c r="A296" s="290" t="str">
        <f>PRIX!A297</f>
        <v/>
      </c>
      <c r="B296" s="299" t="str">
        <f>IF(A296="","",PRIX!B297*'QUANTITE DETENUES'!B297)</f>
        <v/>
      </c>
      <c r="C296" s="299" t="str">
        <f>IF(B296="","",PRIX!C297*'QUANTITE DETENUES'!C297)</f>
        <v/>
      </c>
      <c r="D296" s="299" t="str">
        <f>IF(C296="","",PRIX!D297*'QUANTITE DETENUES'!D297)</f>
        <v/>
      </c>
      <c r="E296" s="299" t="str">
        <f>IF(D296="","",PRIX!E297*'QUANTITE DETENUES'!E297)</f>
        <v/>
      </c>
      <c r="F296" s="299" t="str">
        <f>IF(E296="","",PRIX!F297*'QUANTITE DETENUES'!F297)</f>
        <v/>
      </c>
      <c r="G296" s="299" t="str">
        <f>IF(F296="","",PRIX!G297*'QUANTITE DETENUES'!G297)</f>
        <v/>
      </c>
      <c r="H296" s="299" t="str">
        <f>IF(G296="","",PRIX!H297*'QUANTITE DETENUES'!H297)</f>
        <v/>
      </c>
      <c r="I296" s="299" t="str">
        <f>IF(H296="","",PRIX!I297*'QUANTITE DETENUES'!I297)</f>
        <v/>
      </c>
      <c r="J296" s="299" t="str">
        <f>IF(I296="","",PRIX!J297*'QUANTITE DETENUES'!J297)</f>
        <v/>
      </c>
      <c r="K296" s="299" t="str">
        <f>IF(J296="","",PRIX!K297*'QUANTITE DETENUES'!K297)</f>
        <v/>
      </c>
      <c r="L296" s="299" t="str">
        <f>IF(K296="","",PRIX!L297*'QUANTITE DETENUES'!L297)</f>
        <v/>
      </c>
      <c r="M296" s="299" t="str">
        <f>IF(L296="","",PRIX!M297*'QUANTITE DETENUES'!M297)</f>
        <v/>
      </c>
      <c r="N296" s="299" t="str">
        <f>IF(M296="","",PRIX!N297*'QUANTITE DETENUES'!N297)</f>
        <v/>
      </c>
      <c r="O296" s="299" t="str">
        <f>IF(N296="","",PRIX!O297*'QUANTITE DETENUES'!O297)</f>
        <v/>
      </c>
      <c r="P296" s="299" t="str">
        <f>IF(O296="","",PRIX!P297*'QUANTITE DETENUES'!P297)</f>
        <v/>
      </c>
      <c r="Q296" s="299" t="str">
        <f>IF(P296="","",PRIX!Q297*'QUANTITE DETENUES'!Q297)</f>
        <v/>
      </c>
      <c r="R296" s="299" t="str">
        <f>IF(Q296="","",PRIX!R297*'QUANTITE DETENUES'!R297)</f>
        <v/>
      </c>
      <c r="S296" s="300" t="str">
        <f>IF(R296="","",PRIX!S297*'QUANTITE DETENUES'!S297)</f>
        <v/>
      </c>
      <c r="T296" s="14" t="str">
        <f>IF(A296="","",ARBITRAGES!M297)</f>
        <v/>
      </c>
      <c r="U296" s="301" t="str">
        <f t="shared" si="1"/>
        <v/>
      </c>
      <c r="V296" s="302" t="str">
        <f t="shared" si="2"/>
        <v/>
      </c>
      <c r="W296" s="288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308"/>
      <c r="AI296" s="220"/>
      <c r="AJ296" s="220"/>
      <c r="AK296" s="220"/>
      <c r="AL296" s="220"/>
      <c r="AM296" s="220"/>
      <c r="AN296" s="220"/>
      <c r="AO296" s="220"/>
      <c r="AP296" s="220"/>
      <c r="AQ296" s="220"/>
      <c r="AR296" s="220"/>
      <c r="AS296" s="220"/>
      <c r="AT296" s="220"/>
      <c r="AU296" s="220"/>
      <c r="AV296" s="220"/>
      <c r="AW296" s="220"/>
      <c r="AX296" s="220"/>
      <c r="AY296" s="220"/>
      <c r="AZ296" s="220"/>
      <c r="BA296" s="220"/>
    </row>
    <row r="297">
      <c r="A297" s="290" t="str">
        <f>PRIX!A298</f>
        <v/>
      </c>
      <c r="B297" s="299" t="str">
        <f>IF(A297="","",PRIX!B298*'QUANTITE DETENUES'!B298)</f>
        <v/>
      </c>
      <c r="C297" s="299" t="str">
        <f>IF(B297="","",PRIX!C298*'QUANTITE DETENUES'!C298)</f>
        <v/>
      </c>
      <c r="D297" s="299" t="str">
        <f>IF(C297="","",PRIX!D298*'QUANTITE DETENUES'!D298)</f>
        <v/>
      </c>
      <c r="E297" s="299" t="str">
        <f>IF(D297="","",PRIX!E298*'QUANTITE DETENUES'!E298)</f>
        <v/>
      </c>
      <c r="F297" s="299" t="str">
        <f>IF(E297="","",PRIX!F298*'QUANTITE DETENUES'!F298)</f>
        <v/>
      </c>
      <c r="G297" s="299" t="str">
        <f>IF(F297="","",PRIX!G298*'QUANTITE DETENUES'!G298)</f>
        <v/>
      </c>
      <c r="H297" s="299" t="str">
        <f>IF(G297="","",PRIX!H298*'QUANTITE DETENUES'!H298)</f>
        <v/>
      </c>
      <c r="I297" s="299" t="str">
        <f>IF(H297="","",PRIX!I298*'QUANTITE DETENUES'!I298)</f>
        <v/>
      </c>
      <c r="J297" s="299" t="str">
        <f>IF(I297="","",PRIX!J298*'QUANTITE DETENUES'!J298)</f>
        <v/>
      </c>
      <c r="K297" s="299" t="str">
        <f>IF(J297="","",PRIX!K298*'QUANTITE DETENUES'!K298)</f>
        <v/>
      </c>
      <c r="L297" s="299" t="str">
        <f>IF(K297="","",PRIX!L298*'QUANTITE DETENUES'!L298)</f>
        <v/>
      </c>
      <c r="M297" s="299" t="str">
        <f>IF(L297="","",PRIX!M298*'QUANTITE DETENUES'!M298)</f>
        <v/>
      </c>
      <c r="N297" s="299" t="str">
        <f>IF(M297="","",PRIX!N298*'QUANTITE DETENUES'!N298)</f>
        <v/>
      </c>
      <c r="O297" s="299" t="str">
        <f>IF(N297="","",PRIX!O298*'QUANTITE DETENUES'!O298)</f>
        <v/>
      </c>
      <c r="P297" s="299" t="str">
        <f>IF(O297="","",PRIX!P298*'QUANTITE DETENUES'!P298)</f>
        <v/>
      </c>
      <c r="Q297" s="299" t="str">
        <f>IF(P297="","",PRIX!Q298*'QUANTITE DETENUES'!Q298)</f>
        <v/>
      </c>
      <c r="R297" s="299" t="str">
        <f>IF(Q297="","",PRIX!R298*'QUANTITE DETENUES'!R298)</f>
        <v/>
      </c>
      <c r="S297" s="300" t="str">
        <f>IF(R297="","",PRIX!S298*'QUANTITE DETENUES'!S298)</f>
        <v/>
      </c>
      <c r="T297" s="14" t="str">
        <f>IF(A297="","",ARBITRAGES!M298)</f>
        <v/>
      </c>
      <c r="U297" s="301" t="str">
        <f t="shared" si="1"/>
        <v/>
      </c>
      <c r="V297" s="302" t="str">
        <f t="shared" si="2"/>
        <v/>
      </c>
      <c r="W297" s="288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308"/>
      <c r="AI297" s="220"/>
      <c r="AJ297" s="220"/>
      <c r="AK297" s="220"/>
      <c r="AL297" s="220"/>
      <c r="AM297" s="220"/>
      <c r="AN297" s="220"/>
      <c r="AO297" s="220"/>
      <c r="AP297" s="220"/>
      <c r="AQ297" s="220"/>
      <c r="AR297" s="220"/>
      <c r="AS297" s="220"/>
      <c r="AT297" s="220"/>
      <c r="AU297" s="220"/>
      <c r="AV297" s="220"/>
      <c r="AW297" s="220"/>
      <c r="AX297" s="220"/>
      <c r="AY297" s="220"/>
      <c r="AZ297" s="220"/>
      <c r="BA297" s="220"/>
    </row>
    <row r="298">
      <c r="A298" s="290" t="str">
        <f>PRIX!A299</f>
        <v/>
      </c>
      <c r="B298" s="299" t="str">
        <f>IF(A298="","",PRIX!B299*'QUANTITE DETENUES'!B299)</f>
        <v/>
      </c>
      <c r="C298" s="299" t="str">
        <f>IF(B298="","",PRIX!C299*'QUANTITE DETENUES'!C299)</f>
        <v/>
      </c>
      <c r="D298" s="299" t="str">
        <f>IF(C298="","",PRIX!D299*'QUANTITE DETENUES'!D299)</f>
        <v/>
      </c>
      <c r="E298" s="299" t="str">
        <f>IF(D298="","",PRIX!E299*'QUANTITE DETENUES'!E299)</f>
        <v/>
      </c>
      <c r="F298" s="299" t="str">
        <f>IF(E298="","",PRIX!F299*'QUANTITE DETENUES'!F299)</f>
        <v/>
      </c>
      <c r="G298" s="299" t="str">
        <f>IF(F298="","",PRIX!G299*'QUANTITE DETENUES'!G299)</f>
        <v/>
      </c>
      <c r="H298" s="299" t="str">
        <f>IF(G298="","",PRIX!H299*'QUANTITE DETENUES'!H299)</f>
        <v/>
      </c>
      <c r="I298" s="299" t="str">
        <f>IF(H298="","",PRIX!I299*'QUANTITE DETENUES'!I299)</f>
        <v/>
      </c>
      <c r="J298" s="299" t="str">
        <f>IF(I298="","",PRIX!J299*'QUANTITE DETENUES'!J299)</f>
        <v/>
      </c>
      <c r="K298" s="299" t="str">
        <f>IF(J298="","",PRIX!K299*'QUANTITE DETENUES'!K299)</f>
        <v/>
      </c>
      <c r="L298" s="299" t="str">
        <f>IF(K298="","",PRIX!L299*'QUANTITE DETENUES'!L299)</f>
        <v/>
      </c>
      <c r="M298" s="299" t="str">
        <f>IF(L298="","",PRIX!M299*'QUANTITE DETENUES'!M299)</f>
        <v/>
      </c>
      <c r="N298" s="299" t="str">
        <f>IF(M298="","",PRIX!N299*'QUANTITE DETENUES'!N299)</f>
        <v/>
      </c>
      <c r="O298" s="299" t="str">
        <f>IF(N298="","",PRIX!O299*'QUANTITE DETENUES'!O299)</f>
        <v/>
      </c>
      <c r="P298" s="299" t="str">
        <f>IF(O298="","",PRIX!P299*'QUANTITE DETENUES'!P299)</f>
        <v/>
      </c>
      <c r="Q298" s="299" t="str">
        <f>IF(P298="","",PRIX!Q299*'QUANTITE DETENUES'!Q299)</f>
        <v/>
      </c>
      <c r="R298" s="299" t="str">
        <f>IF(Q298="","",PRIX!R299*'QUANTITE DETENUES'!R299)</f>
        <v/>
      </c>
      <c r="S298" s="300" t="str">
        <f>IF(R298="","",PRIX!S299*'QUANTITE DETENUES'!S299)</f>
        <v/>
      </c>
      <c r="T298" s="14" t="str">
        <f>IF(A298="","",ARBITRAGES!M299)</f>
        <v/>
      </c>
      <c r="U298" s="301" t="str">
        <f t="shared" si="1"/>
        <v/>
      </c>
      <c r="V298" s="302" t="str">
        <f t="shared" si="2"/>
        <v/>
      </c>
      <c r="W298" s="288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308"/>
      <c r="AI298" s="220"/>
      <c r="AJ298" s="220"/>
      <c r="AK298" s="220"/>
      <c r="AL298" s="220"/>
      <c r="AM298" s="220"/>
      <c r="AN298" s="220"/>
      <c r="AO298" s="220"/>
      <c r="AP298" s="220"/>
      <c r="AQ298" s="220"/>
      <c r="AR298" s="220"/>
      <c r="AS298" s="220"/>
      <c r="AT298" s="220"/>
      <c r="AU298" s="220"/>
      <c r="AV298" s="220"/>
      <c r="AW298" s="220"/>
      <c r="AX298" s="220"/>
      <c r="AY298" s="220"/>
      <c r="AZ298" s="220"/>
      <c r="BA298" s="220"/>
    </row>
    <row r="299">
      <c r="A299" s="290" t="str">
        <f>PRIX!A300</f>
        <v/>
      </c>
      <c r="B299" s="299" t="str">
        <f>IF(A299="","",PRIX!B300*'QUANTITE DETENUES'!B300)</f>
        <v/>
      </c>
      <c r="C299" s="299" t="str">
        <f>IF(B299="","",PRIX!C300*'QUANTITE DETENUES'!C300)</f>
        <v/>
      </c>
      <c r="D299" s="299" t="str">
        <f>IF(C299="","",PRIX!D300*'QUANTITE DETENUES'!D300)</f>
        <v/>
      </c>
      <c r="E299" s="299" t="str">
        <f>IF(D299="","",PRIX!E300*'QUANTITE DETENUES'!E300)</f>
        <v/>
      </c>
      <c r="F299" s="299" t="str">
        <f>IF(E299="","",PRIX!F300*'QUANTITE DETENUES'!F300)</f>
        <v/>
      </c>
      <c r="G299" s="299" t="str">
        <f>IF(F299="","",PRIX!G300*'QUANTITE DETENUES'!G300)</f>
        <v/>
      </c>
      <c r="H299" s="299" t="str">
        <f>IF(G299="","",PRIX!H300*'QUANTITE DETENUES'!H300)</f>
        <v/>
      </c>
      <c r="I299" s="299" t="str">
        <f>IF(H299="","",PRIX!I300*'QUANTITE DETENUES'!I300)</f>
        <v/>
      </c>
      <c r="J299" s="299" t="str">
        <f>IF(I299="","",PRIX!J300*'QUANTITE DETENUES'!J300)</f>
        <v/>
      </c>
      <c r="K299" s="299" t="str">
        <f>IF(J299="","",PRIX!K300*'QUANTITE DETENUES'!K300)</f>
        <v/>
      </c>
      <c r="L299" s="299" t="str">
        <f>IF(K299="","",PRIX!L300*'QUANTITE DETENUES'!L300)</f>
        <v/>
      </c>
      <c r="M299" s="299" t="str">
        <f>IF(L299="","",PRIX!M300*'QUANTITE DETENUES'!M300)</f>
        <v/>
      </c>
      <c r="N299" s="299" t="str">
        <f>IF(M299="","",PRIX!N300*'QUANTITE DETENUES'!N300)</f>
        <v/>
      </c>
      <c r="O299" s="299" t="str">
        <f>IF(N299="","",PRIX!O300*'QUANTITE DETENUES'!O300)</f>
        <v/>
      </c>
      <c r="P299" s="299" t="str">
        <f>IF(O299="","",PRIX!P300*'QUANTITE DETENUES'!P300)</f>
        <v/>
      </c>
      <c r="Q299" s="299" t="str">
        <f>IF(P299="","",PRIX!Q300*'QUANTITE DETENUES'!Q300)</f>
        <v/>
      </c>
      <c r="R299" s="299" t="str">
        <f>IF(Q299="","",PRIX!R300*'QUANTITE DETENUES'!R300)</f>
        <v/>
      </c>
      <c r="S299" s="300" t="str">
        <f>IF(R299="","",PRIX!S300*'QUANTITE DETENUES'!S300)</f>
        <v/>
      </c>
      <c r="T299" s="14" t="str">
        <f>IF(A299="","",ARBITRAGES!M300)</f>
        <v/>
      </c>
      <c r="U299" s="301" t="str">
        <f t="shared" si="1"/>
        <v/>
      </c>
      <c r="V299" s="302" t="str">
        <f t="shared" si="2"/>
        <v/>
      </c>
      <c r="W299" s="288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308"/>
      <c r="AI299" s="220"/>
      <c r="AJ299" s="220"/>
      <c r="AK299" s="220"/>
      <c r="AL299" s="220"/>
      <c r="AM299" s="220"/>
      <c r="AN299" s="220"/>
      <c r="AO299" s="220"/>
      <c r="AP299" s="220"/>
      <c r="AQ299" s="220"/>
      <c r="AR299" s="220"/>
      <c r="AS299" s="220"/>
      <c r="AT299" s="220"/>
      <c r="AU299" s="220"/>
      <c r="AV299" s="220"/>
      <c r="AW299" s="220"/>
      <c r="AX299" s="220"/>
      <c r="AY299" s="220"/>
      <c r="AZ299" s="220"/>
      <c r="BA299" s="220"/>
    </row>
    <row r="300">
      <c r="A300" s="290" t="str">
        <f>PRIX!A301</f>
        <v/>
      </c>
      <c r="B300" s="299" t="str">
        <f>IF(A300="","",PRIX!B301*'QUANTITE DETENUES'!B301)</f>
        <v/>
      </c>
      <c r="C300" s="299" t="str">
        <f>IF(B300="","",PRIX!C301*'QUANTITE DETENUES'!C301)</f>
        <v/>
      </c>
      <c r="D300" s="299" t="str">
        <f>IF(C300="","",PRIX!D301*'QUANTITE DETENUES'!D301)</f>
        <v/>
      </c>
      <c r="E300" s="299" t="str">
        <f>IF(D300="","",PRIX!E301*'QUANTITE DETENUES'!E301)</f>
        <v/>
      </c>
      <c r="F300" s="299" t="str">
        <f>IF(E300="","",PRIX!F301*'QUANTITE DETENUES'!F301)</f>
        <v/>
      </c>
      <c r="G300" s="299" t="str">
        <f>IF(F300="","",PRIX!G301*'QUANTITE DETENUES'!G301)</f>
        <v/>
      </c>
      <c r="H300" s="299" t="str">
        <f>IF(G300="","",PRIX!H301*'QUANTITE DETENUES'!H301)</f>
        <v/>
      </c>
      <c r="I300" s="299" t="str">
        <f>IF(H300="","",PRIX!I301*'QUANTITE DETENUES'!I301)</f>
        <v/>
      </c>
      <c r="J300" s="299" t="str">
        <f>IF(I300="","",PRIX!J301*'QUANTITE DETENUES'!J301)</f>
        <v/>
      </c>
      <c r="K300" s="299" t="str">
        <f>IF(J300="","",PRIX!K301*'QUANTITE DETENUES'!K301)</f>
        <v/>
      </c>
      <c r="L300" s="299" t="str">
        <f>IF(K300="","",PRIX!L301*'QUANTITE DETENUES'!L301)</f>
        <v/>
      </c>
      <c r="M300" s="299" t="str">
        <f>IF(L300="","",PRIX!M301*'QUANTITE DETENUES'!M301)</f>
        <v/>
      </c>
      <c r="N300" s="299" t="str">
        <f>IF(M300="","",PRIX!N301*'QUANTITE DETENUES'!N301)</f>
        <v/>
      </c>
      <c r="O300" s="299" t="str">
        <f>IF(N300="","",PRIX!O301*'QUANTITE DETENUES'!O301)</f>
        <v/>
      </c>
      <c r="P300" s="299" t="str">
        <f>IF(O300="","",PRIX!P301*'QUANTITE DETENUES'!P301)</f>
        <v/>
      </c>
      <c r="Q300" s="299" t="str">
        <f>IF(P300="","",PRIX!Q301*'QUANTITE DETENUES'!Q301)</f>
        <v/>
      </c>
      <c r="R300" s="299" t="str">
        <f>IF(Q300="","",PRIX!R301*'QUANTITE DETENUES'!R301)</f>
        <v/>
      </c>
      <c r="S300" s="300" t="str">
        <f>IF(R300="","",PRIX!S301*'QUANTITE DETENUES'!S301)</f>
        <v/>
      </c>
      <c r="T300" s="14" t="str">
        <f>IF(A300="","",ARBITRAGES!M301)</f>
        <v/>
      </c>
      <c r="U300" s="301" t="str">
        <f t="shared" si="1"/>
        <v/>
      </c>
      <c r="V300" s="302" t="str">
        <f t="shared" si="2"/>
        <v/>
      </c>
      <c r="W300" s="288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308"/>
      <c r="AI300" s="220"/>
      <c r="AJ300" s="220"/>
      <c r="AK300" s="220"/>
      <c r="AL300" s="220"/>
      <c r="AM300" s="220"/>
      <c r="AN300" s="220"/>
      <c r="AO300" s="220"/>
      <c r="AP300" s="220"/>
      <c r="AQ300" s="220"/>
      <c r="AR300" s="220"/>
      <c r="AS300" s="220"/>
      <c r="AT300" s="220"/>
      <c r="AU300" s="220"/>
      <c r="AV300" s="220"/>
      <c r="AW300" s="220"/>
      <c r="AX300" s="220"/>
      <c r="AY300" s="220"/>
      <c r="AZ300" s="220"/>
      <c r="BA300" s="220"/>
    </row>
    <row r="301">
      <c r="A301" s="290" t="str">
        <f>PRIX!A302</f>
        <v/>
      </c>
      <c r="B301" s="299" t="str">
        <f>IF(A301="","",PRIX!B302*'QUANTITE DETENUES'!B302)</f>
        <v/>
      </c>
      <c r="C301" s="299" t="str">
        <f>IF(B301="","",PRIX!C302*'QUANTITE DETENUES'!C302)</f>
        <v/>
      </c>
      <c r="D301" s="299" t="str">
        <f>IF(C301="","",PRIX!D302*'QUANTITE DETENUES'!D302)</f>
        <v/>
      </c>
      <c r="E301" s="299" t="str">
        <f>IF(D301="","",PRIX!E302*'QUANTITE DETENUES'!E302)</f>
        <v/>
      </c>
      <c r="F301" s="299" t="str">
        <f>IF(E301="","",PRIX!F302*'QUANTITE DETENUES'!F302)</f>
        <v/>
      </c>
      <c r="G301" s="299" t="str">
        <f>IF(F301="","",PRIX!G302*'QUANTITE DETENUES'!G302)</f>
        <v/>
      </c>
      <c r="H301" s="299" t="str">
        <f>IF(G301="","",PRIX!H302*'QUANTITE DETENUES'!H302)</f>
        <v/>
      </c>
      <c r="I301" s="299" t="str">
        <f>IF(H301="","",PRIX!I302*'QUANTITE DETENUES'!I302)</f>
        <v/>
      </c>
      <c r="J301" s="299" t="str">
        <f>IF(I301="","",PRIX!J302*'QUANTITE DETENUES'!J302)</f>
        <v/>
      </c>
      <c r="K301" s="299" t="str">
        <f>IF(J301="","",PRIX!K302*'QUANTITE DETENUES'!K302)</f>
        <v/>
      </c>
      <c r="L301" s="299" t="str">
        <f>IF(K301="","",PRIX!L302*'QUANTITE DETENUES'!L302)</f>
        <v/>
      </c>
      <c r="M301" s="299" t="str">
        <f>IF(L301="","",PRIX!M302*'QUANTITE DETENUES'!M302)</f>
        <v/>
      </c>
      <c r="N301" s="299" t="str">
        <f>IF(M301="","",PRIX!N302*'QUANTITE DETENUES'!N302)</f>
        <v/>
      </c>
      <c r="O301" s="299" t="str">
        <f>IF(N301="","",PRIX!O302*'QUANTITE DETENUES'!O302)</f>
        <v/>
      </c>
      <c r="P301" s="299" t="str">
        <f>IF(O301="","",PRIX!P302*'QUANTITE DETENUES'!P302)</f>
        <v/>
      </c>
      <c r="Q301" s="299" t="str">
        <f>IF(P301="","",PRIX!Q302*'QUANTITE DETENUES'!Q302)</f>
        <v/>
      </c>
      <c r="R301" s="299" t="str">
        <f>IF(Q301="","",PRIX!R302*'QUANTITE DETENUES'!R302)</f>
        <v/>
      </c>
      <c r="S301" s="300" t="str">
        <f>IF(R301="","",PRIX!S302*'QUANTITE DETENUES'!S302)</f>
        <v/>
      </c>
      <c r="T301" s="14" t="str">
        <f>IF(A301="","",ARBITRAGES!M302)</f>
        <v/>
      </c>
      <c r="U301" s="301" t="str">
        <f t="shared" si="1"/>
        <v/>
      </c>
      <c r="V301" s="302" t="str">
        <f t="shared" si="2"/>
        <v/>
      </c>
      <c r="W301" s="288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308"/>
      <c r="AI301" s="220"/>
      <c r="AJ301" s="220"/>
      <c r="AK301" s="220"/>
      <c r="AL301" s="220"/>
      <c r="AM301" s="220"/>
      <c r="AN301" s="220"/>
      <c r="AO301" s="220"/>
      <c r="AP301" s="220"/>
      <c r="AQ301" s="220"/>
      <c r="AR301" s="220"/>
      <c r="AS301" s="220"/>
      <c r="AT301" s="220"/>
      <c r="AU301" s="220"/>
      <c r="AV301" s="220"/>
      <c r="AW301" s="220"/>
      <c r="AX301" s="220"/>
      <c r="AY301" s="220"/>
      <c r="AZ301" s="220"/>
      <c r="BA301" s="220"/>
    </row>
    <row r="302">
      <c r="A302" s="290" t="str">
        <f>PRIX!A303</f>
        <v/>
      </c>
      <c r="B302" s="299" t="str">
        <f>IF(A302="","",PRIX!B303*'QUANTITE DETENUES'!B303)</f>
        <v/>
      </c>
      <c r="C302" s="299" t="str">
        <f>IF(B302="","",PRIX!C303*'QUANTITE DETENUES'!C303)</f>
        <v/>
      </c>
      <c r="D302" s="299" t="str">
        <f>IF(C302="","",PRIX!D303*'QUANTITE DETENUES'!D303)</f>
        <v/>
      </c>
      <c r="E302" s="299" t="str">
        <f>IF(D302="","",PRIX!E303*'QUANTITE DETENUES'!E303)</f>
        <v/>
      </c>
      <c r="F302" s="299" t="str">
        <f>IF(E302="","",PRIX!F303*'QUANTITE DETENUES'!F303)</f>
        <v/>
      </c>
      <c r="G302" s="299" t="str">
        <f>IF(F302="","",PRIX!G303*'QUANTITE DETENUES'!G303)</f>
        <v/>
      </c>
      <c r="H302" s="299" t="str">
        <f>IF(G302="","",PRIX!H303*'QUANTITE DETENUES'!H303)</f>
        <v/>
      </c>
      <c r="I302" s="299" t="str">
        <f>IF(H302="","",PRIX!I303*'QUANTITE DETENUES'!I303)</f>
        <v/>
      </c>
      <c r="J302" s="299" t="str">
        <f>IF(I302="","",PRIX!J303*'QUANTITE DETENUES'!J303)</f>
        <v/>
      </c>
      <c r="K302" s="299" t="str">
        <f>IF(J302="","",PRIX!K303*'QUANTITE DETENUES'!K303)</f>
        <v/>
      </c>
      <c r="L302" s="299" t="str">
        <f>IF(K302="","",PRIX!L303*'QUANTITE DETENUES'!L303)</f>
        <v/>
      </c>
      <c r="M302" s="299" t="str">
        <f>IF(L302="","",PRIX!M303*'QUANTITE DETENUES'!M303)</f>
        <v/>
      </c>
      <c r="N302" s="299" t="str">
        <f>IF(M302="","",PRIX!N303*'QUANTITE DETENUES'!N303)</f>
        <v/>
      </c>
      <c r="O302" s="299" t="str">
        <f>IF(N302="","",PRIX!O303*'QUANTITE DETENUES'!O303)</f>
        <v/>
      </c>
      <c r="P302" s="299" t="str">
        <f>IF(O302="","",PRIX!P303*'QUANTITE DETENUES'!P303)</f>
        <v/>
      </c>
      <c r="Q302" s="299" t="str">
        <f>IF(P302="","",PRIX!Q303*'QUANTITE DETENUES'!Q303)</f>
        <v/>
      </c>
      <c r="R302" s="299" t="str">
        <f>IF(Q302="","",PRIX!R303*'QUANTITE DETENUES'!R303)</f>
        <v/>
      </c>
      <c r="S302" s="300" t="str">
        <f>IF(R302="","",PRIX!S303*'QUANTITE DETENUES'!S303)</f>
        <v/>
      </c>
      <c r="T302" s="14" t="str">
        <f>IF(A302="","",ARBITRAGES!M303)</f>
        <v/>
      </c>
      <c r="U302" s="301" t="str">
        <f t="shared" si="1"/>
        <v/>
      </c>
      <c r="V302" s="302" t="str">
        <f t="shared" si="2"/>
        <v/>
      </c>
      <c r="W302" s="288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308"/>
      <c r="AI302" s="220"/>
      <c r="AJ302" s="220"/>
      <c r="AK302" s="220"/>
      <c r="AL302" s="220"/>
      <c r="AM302" s="220"/>
      <c r="AN302" s="220"/>
      <c r="AO302" s="220"/>
      <c r="AP302" s="220"/>
      <c r="AQ302" s="220"/>
      <c r="AR302" s="220"/>
      <c r="AS302" s="220"/>
      <c r="AT302" s="220"/>
      <c r="AU302" s="220"/>
      <c r="AV302" s="220"/>
      <c r="AW302" s="220"/>
      <c r="AX302" s="220"/>
      <c r="AY302" s="220"/>
      <c r="AZ302" s="220"/>
      <c r="BA302" s="220"/>
    </row>
    <row r="303">
      <c r="A303" s="290" t="str">
        <f>PRIX!A304</f>
        <v/>
      </c>
      <c r="B303" s="299" t="str">
        <f>IF(A303="","",PRIX!B304*'QUANTITE DETENUES'!B304)</f>
        <v/>
      </c>
      <c r="C303" s="299" t="str">
        <f>IF(B303="","",PRIX!C304*'QUANTITE DETENUES'!C304)</f>
        <v/>
      </c>
      <c r="D303" s="299" t="str">
        <f>IF(C303="","",PRIX!D304*'QUANTITE DETENUES'!D304)</f>
        <v/>
      </c>
      <c r="E303" s="299" t="str">
        <f>IF(D303="","",PRIX!E304*'QUANTITE DETENUES'!E304)</f>
        <v/>
      </c>
      <c r="F303" s="299" t="str">
        <f>IF(E303="","",PRIX!F304*'QUANTITE DETENUES'!F304)</f>
        <v/>
      </c>
      <c r="G303" s="299" t="str">
        <f>IF(F303="","",PRIX!G304*'QUANTITE DETENUES'!G304)</f>
        <v/>
      </c>
      <c r="H303" s="299" t="str">
        <f>IF(G303="","",PRIX!H304*'QUANTITE DETENUES'!H304)</f>
        <v/>
      </c>
      <c r="I303" s="299" t="str">
        <f>IF(H303="","",PRIX!I304*'QUANTITE DETENUES'!I304)</f>
        <v/>
      </c>
      <c r="J303" s="299" t="str">
        <f>IF(I303="","",PRIX!J304*'QUANTITE DETENUES'!J304)</f>
        <v/>
      </c>
      <c r="K303" s="299" t="str">
        <f>IF(J303="","",PRIX!K304*'QUANTITE DETENUES'!K304)</f>
        <v/>
      </c>
      <c r="L303" s="299" t="str">
        <f>IF(K303="","",PRIX!L304*'QUANTITE DETENUES'!L304)</f>
        <v/>
      </c>
      <c r="M303" s="299" t="str">
        <f>IF(L303="","",PRIX!M304*'QUANTITE DETENUES'!M304)</f>
        <v/>
      </c>
      <c r="N303" s="299" t="str">
        <f>IF(M303="","",PRIX!N304*'QUANTITE DETENUES'!N304)</f>
        <v/>
      </c>
      <c r="O303" s="299" t="str">
        <f>IF(N303="","",PRIX!O304*'QUANTITE DETENUES'!O304)</f>
        <v/>
      </c>
      <c r="P303" s="299" t="str">
        <f>IF(O303="","",PRIX!P304*'QUANTITE DETENUES'!P304)</f>
        <v/>
      </c>
      <c r="Q303" s="299" t="str">
        <f>IF(P303="","",PRIX!Q304*'QUANTITE DETENUES'!Q304)</f>
        <v/>
      </c>
      <c r="R303" s="299" t="str">
        <f>IF(Q303="","",PRIX!R304*'QUANTITE DETENUES'!R304)</f>
        <v/>
      </c>
      <c r="S303" s="300" t="str">
        <f>IF(R303="","",PRIX!S304*'QUANTITE DETENUES'!S304)</f>
        <v/>
      </c>
      <c r="T303" s="14" t="str">
        <f>IF(A303="","",ARBITRAGES!M304)</f>
        <v/>
      </c>
      <c r="U303" s="301" t="str">
        <f t="shared" si="1"/>
        <v/>
      </c>
      <c r="V303" s="302" t="str">
        <f t="shared" si="2"/>
        <v/>
      </c>
      <c r="W303" s="288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308"/>
      <c r="AI303" s="220"/>
      <c r="AJ303" s="220"/>
      <c r="AK303" s="220"/>
      <c r="AL303" s="220"/>
      <c r="AM303" s="220"/>
      <c r="AN303" s="220"/>
      <c r="AO303" s="220"/>
      <c r="AP303" s="220"/>
      <c r="AQ303" s="220"/>
      <c r="AR303" s="220"/>
      <c r="AS303" s="220"/>
      <c r="AT303" s="220"/>
      <c r="AU303" s="220"/>
      <c r="AV303" s="220"/>
      <c r="AW303" s="220"/>
      <c r="AX303" s="220"/>
      <c r="AY303" s="220"/>
      <c r="AZ303" s="220"/>
      <c r="BA303" s="220"/>
    </row>
    <row r="304">
      <c r="A304" s="290" t="str">
        <f>PRIX!A305</f>
        <v/>
      </c>
      <c r="B304" s="299" t="str">
        <f>IF(A304="","",PRIX!B305*'QUANTITE DETENUES'!B305)</f>
        <v/>
      </c>
      <c r="C304" s="299" t="str">
        <f>IF(B304="","",PRIX!C305*'QUANTITE DETENUES'!C305)</f>
        <v/>
      </c>
      <c r="D304" s="299" t="str">
        <f>IF(C304="","",PRIX!D305*'QUANTITE DETENUES'!D305)</f>
        <v/>
      </c>
      <c r="E304" s="299" t="str">
        <f>IF(D304="","",PRIX!E305*'QUANTITE DETENUES'!E305)</f>
        <v/>
      </c>
      <c r="F304" s="299" t="str">
        <f>IF(E304="","",PRIX!F305*'QUANTITE DETENUES'!F305)</f>
        <v/>
      </c>
      <c r="G304" s="299" t="str">
        <f>IF(F304="","",PRIX!G305*'QUANTITE DETENUES'!G305)</f>
        <v/>
      </c>
      <c r="H304" s="299" t="str">
        <f>IF(G304="","",PRIX!H305*'QUANTITE DETENUES'!H305)</f>
        <v/>
      </c>
      <c r="I304" s="299" t="str">
        <f>IF(H304="","",PRIX!I305*'QUANTITE DETENUES'!I305)</f>
        <v/>
      </c>
      <c r="J304" s="299" t="str">
        <f>IF(I304="","",PRIX!J305*'QUANTITE DETENUES'!J305)</f>
        <v/>
      </c>
      <c r="K304" s="299" t="str">
        <f>IF(J304="","",PRIX!K305*'QUANTITE DETENUES'!K305)</f>
        <v/>
      </c>
      <c r="L304" s="299" t="str">
        <f>IF(K304="","",PRIX!L305*'QUANTITE DETENUES'!L305)</f>
        <v/>
      </c>
      <c r="M304" s="299" t="str">
        <f>IF(L304="","",PRIX!M305*'QUANTITE DETENUES'!M305)</f>
        <v/>
      </c>
      <c r="N304" s="299" t="str">
        <f>IF(M304="","",PRIX!N305*'QUANTITE DETENUES'!N305)</f>
        <v/>
      </c>
      <c r="O304" s="299" t="str">
        <f>IF(N304="","",PRIX!O305*'QUANTITE DETENUES'!O305)</f>
        <v/>
      </c>
      <c r="P304" s="299" t="str">
        <f>IF(O304="","",PRIX!P305*'QUANTITE DETENUES'!P305)</f>
        <v/>
      </c>
      <c r="Q304" s="299" t="str">
        <f>IF(P304="","",PRIX!Q305*'QUANTITE DETENUES'!Q305)</f>
        <v/>
      </c>
      <c r="R304" s="299" t="str">
        <f>IF(Q304="","",PRIX!R305*'QUANTITE DETENUES'!R305)</f>
        <v/>
      </c>
      <c r="S304" s="300" t="str">
        <f>IF(R304="","",PRIX!S305*'QUANTITE DETENUES'!S305)</f>
        <v/>
      </c>
      <c r="T304" s="14" t="str">
        <f>IF(A304="","",ARBITRAGES!M305)</f>
        <v/>
      </c>
      <c r="U304" s="301" t="str">
        <f t="shared" si="1"/>
        <v/>
      </c>
      <c r="V304" s="302" t="str">
        <f t="shared" si="2"/>
        <v/>
      </c>
      <c r="W304" s="288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308"/>
      <c r="AI304" s="220"/>
      <c r="AJ304" s="220"/>
      <c r="AK304" s="220"/>
      <c r="AL304" s="220"/>
      <c r="AM304" s="220"/>
      <c r="AN304" s="220"/>
      <c r="AO304" s="220"/>
      <c r="AP304" s="220"/>
      <c r="AQ304" s="220"/>
      <c r="AR304" s="220"/>
      <c r="AS304" s="220"/>
      <c r="AT304" s="220"/>
      <c r="AU304" s="220"/>
      <c r="AV304" s="220"/>
      <c r="AW304" s="220"/>
      <c r="AX304" s="220"/>
      <c r="AY304" s="220"/>
      <c r="AZ304" s="220"/>
      <c r="BA304" s="220"/>
    </row>
    <row r="305">
      <c r="A305" s="290" t="str">
        <f>PRIX!A306</f>
        <v/>
      </c>
      <c r="B305" s="299" t="str">
        <f>IF(A305="","",PRIX!B306*'QUANTITE DETENUES'!B306)</f>
        <v/>
      </c>
      <c r="C305" s="299" t="str">
        <f>IF(B305="","",PRIX!C306*'QUANTITE DETENUES'!C306)</f>
        <v/>
      </c>
      <c r="D305" s="299" t="str">
        <f>IF(C305="","",PRIX!D306*'QUANTITE DETENUES'!D306)</f>
        <v/>
      </c>
      <c r="E305" s="299" t="str">
        <f>IF(D305="","",PRIX!E306*'QUANTITE DETENUES'!E306)</f>
        <v/>
      </c>
      <c r="F305" s="299" t="str">
        <f>IF(E305="","",PRIX!F306*'QUANTITE DETENUES'!F306)</f>
        <v/>
      </c>
      <c r="G305" s="299" t="str">
        <f>IF(F305="","",PRIX!G306*'QUANTITE DETENUES'!G306)</f>
        <v/>
      </c>
      <c r="H305" s="299" t="str">
        <f>IF(G305="","",PRIX!H306*'QUANTITE DETENUES'!H306)</f>
        <v/>
      </c>
      <c r="I305" s="299" t="str">
        <f>IF(H305="","",PRIX!I306*'QUANTITE DETENUES'!I306)</f>
        <v/>
      </c>
      <c r="J305" s="299" t="str">
        <f>IF(I305="","",PRIX!J306*'QUANTITE DETENUES'!J306)</f>
        <v/>
      </c>
      <c r="K305" s="299" t="str">
        <f>IF(J305="","",PRIX!K306*'QUANTITE DETENUES'!K306)</f>
        <v/>
      </c>
      <c r="L305" s="299" t="str">
        <f>IF(K305="","",PRIX!L306*'QUANTITE DETENUES'!L306)</f>
        <v/>
      </c>
      <c r="M305" s="299" t="str">
        <f>IF(L305="","",PRIX!M306*'QUANTITE DETENUES'!M306)</f>
        <v/>
      </c>
      <c r="N305" s="299" t="str">
        <f>IF(M305="","",PRIX!N306*'QUANTITE DETENUES'!N306)</f>
        <v/>
      </c>
      <c r="O305" s="299" t="str">
        <f>IF(N305="","",PRIX!O306*'QUANTITE DETENUES'!O306)</f>
        <v/>
      </c>
      <c r="P305" s="299" t="str">
        <f>IF(O305="","",PRIX!P306*'QUANTITE DETENUES'!P306)</f>
        <v/>
      </c>
      <c r="Q305" s="299" t="str">
        <f>IF(P305="","",PRIX!Q306*'QUANTITE DETENUES'!Q306)</f>
        <v/>
      </c>
      <c r="R305" s="299" t="str">
        <f>IF(Q305="","",PRIX!R306*'QUANTITE DETENUES'!R306)</f>
        <v/>
      </c>
      <c r="S305" s="300" t="str">
        <f>IF(R305="","",PRIX!S306*'QUANTITE DETENUES'!S306)</f>
        <v/>
      </c>
      <c r="T305" s="14" t="str">
        <f>IF(A305="","",ARBITRAGES!M306)</f>
        <v/>
      </c>
      <c r="U305" s="301" t="str">
        <f t="shared" si="1"/>
        <v/>
      </c>
      <c r="V305" s="302" t="str">
        <f t="shared" si="2"/>
        <v/>
      </c>
      <c r="W305" s="309"/>
      <c r="X305" s="310"/>
      <c r="Y305" s="310"/>
      <c r="Z305" s="310"/>
      <c r="AA305" s="310"/>
      <c r="AB305" s="310"/>
      <c r="AC305" s="310"/>
      <c r="AD305" s="310"/>
      <c r="AE305" s="220"/>
      <c r="AF305" s="220"/>
      <c r="AG305" s="220"/>
      <c r="AH305" s="308"/>
      <c r="AI305" s="220"/>
      <c r="AJ305" s="220"/>
      <c r="AK305" s="220"/>
      <c r="AL305" s="220"/>
      <c r="AM305" s="220"/>
      <c r="AN305" s="220"/>
      <c r="AO305" s="220"/>
      <c r="AP305" s="220"/>
      <c r="AQ305" s="220"/>
      <c r="AR305" s="220"/>
      <c r="AS305" s="220"/>
      <c r="AT305" s="220"/>
      <c r="AU305" s="220"/>
      <c r="AV305" s="220"/>
      <c r="AW305" s="220"/>
      <c r="AX305" s="220"/>
      <c r="AY305" s="220"/>
      <c r="AZ305" s="202" t="s">
        <v>7</v>
      </c>
      <c r="BA305" s="310">
        <v>4.755</v>
      </c>
    </row>
    <row r="306">
      <c r="A306" s="290" t="str">
        <f>PRIX!A307</f>
        <v/>
      </c>
      <c r="B306" s="299" t="str">
        <f>IF(A306="","",PRIX!B307*'QUANTITE DETENUES'!B307)</f>
        <v/>
      </c>
      <c r="C306" s="299" t="str">
        <f>IF(B306="","",PRIX!C307*'QUANTITE DETENUES'!C307)</f>
        <v/>
      </c>
      <c r="D306" s="299" t="str">
        <f>IF(C306="","",PRIX!D307*'QUANTITE DETENUES'!D307)</f>
        <v/>
      </c>
      <c r="E306" s="299" t="str">
        <f>IF(D306="","",PRIX!E307*'QUANTITE DETENUES'!E307)</f>
        <v/>
      </c>
      <c r="F306" s="299" t="str">
        <f>IF(E306="","",PRIX!F307*'QUANTITE DETENUES'!F307)</f>
        <v/>
      </c>
      <c r="G306" s="299" t="str">
        <f>IF(F306="","",PRIX!G307*'QUANTITE DETENUES'!G307)</f>
        <v/>
      </c>
      <c r="H306" s="299" t="str">
        <f>IF(G306="","",PRIX!H307*'QUANTITE DETENUES'!H307)</f>
        <v/>
      </c>
      <c r="I306" s="299" t="str">
        <f>IF(H306="","",PRIX!I307*'QUANTITE DETENUES'!I307)</f>
        <v/>
      </c>
      <c r="J306" s="299" t="str">
        <f>IF(I306="","",PRIX!J307*'QUANTITE DETENUES'!J307)</f>
        <v/>
      </c>
      <c r="K306" s="299" t="str">
        <f>IF(J306="","",PRIX!K307*'QUANTITE DETENUES'!K307)</f>
        <v/>
      </c>
      <c r="L306" s="299" t="str">
        <f>IF(K306="","",PRIX!L307*'QUANTITE DETENUES'!L307)</f>
        <v/>
      </c>
      <c r="M306" s="299" t="str">
        <f>IF(L306="","",PRIX!M307*'QUANTITE DETENUES'!M307)</f>
        <v/>
      </c>
      <c r="N306" s="299" t="str">
        <f>IF(M306="","",PRIX!N307*'QUANTITE DETENUES'!N307)</f>
        <v/>
      </c>
      <c r="O306" s="299" t="str">
        <f>IF(N306="","",PRIX!O307*'QUANTITE DETENUES'!O307)</f>
        <v/>
      </c>
      <c r="P306" s="299" t="str">
        <f>IF(O306="","",PRIX!P307*'QUANTITE DETENUES'!P307)</f>
        <v/>
      </c>
      <c r="Q306" s="299" t="str">
        <f>IF(P306="","",PRIX!Q307*'QUANTITE DETENUES'!Q307)</f>
        <v/>
      </c>
      <c r="R306" s="299" t="str">
        <f>IF(Q306="","",PRIX!R307*'QUANTITE DETENUES'!R307)</f>
        <v/>
      </c>
      <c r="S306" s="300" t="str">
        <f>IF(R306="","",PRIX!S307*'QUANTITE DETENUES'!S307)</f>
        <v/>
      </c>
      <c r="T306" s="14" t="str">
        <f>IF(A306="","",ARBITRAGES!M307)</f>
        <v/>
      </c>
      <c r="U306" s="301" t="str">
        <f t="shared" si="1"/>
        <v/>
      </c>
      <c r="V306" s="302" t="str">
        <f t="shared" si="2"/>
        <v/>
      </c>
      <c r="W306" s="309"/>
      <c r="X306" s="310"/>
      <c r="Y306" s="310"/>
      <c r="Z306" s="310"/>
      <c r="AA306" s="310"/>
      <c r="AB306" s="310"/>
      <c r="AC306" s="310"/>
      <c r="AD306" s="310"/>
      <c r="AE306" s="220"/>
      <c r="AF306" s="220"/>
      <c r="AG306" s="220"/>
      <c r="AH306" s="308"/>
      <c r="AI306" s="220"/>
      <c r="AJ306" s="220"/>
      <c r="AK306" s="220"/>
      <c r="AL306" s="220"/>
      <c r="AM306" s="220"/>
      <c r="AN306" s="220"/>
      <c r="AO306" s="220"/>
      <c r="AP306" s="220"/>
      <c r="AQ306" s="220"/>
      <c r="AR306" s="220"/>
      <c r="AS306" s="220"/>
      <c r="AT306" s="220"/>
      <c r="AU306" s="220"/>
      <c r="AV306" s="220"/>
      <c r="AW306" s="220"/>
      <c r="AX306" s="220"/>
      <c r="AY306" s="220"/>
      <c r="AZ306" s="202" t="s">
        <v>6</v>
      </c>
      <c r="BA306" s="310">
        <v>2700.0</v>
      </c>
    </row>
    <row r="307">
      <c r="A307" s="290" t="str">
        <f>PRIX!A308</f>
        <v/>
      </c>
      <c r="B307" s="299" t="str">
        <f>IF(A307="","",PRIX!B308*'QUANTITE DETENUES'!B308)</f>
        <v/>
      </c>
      <c r="C307" s="299" t="str">
        <f>IF(B307="","",PRIX!C308*'QUANTITE DETENUES'!C308)</f>
        <v/>
      </c>
      <c r="D307" s="299" t="str">
        <f>IF(C307="","",PRIX!D308*'QUANTITE DETENUES'!D308)</f>
        <v/>
      </c>
      <c r="E307" s="299" t="str">
        <f>IF(D307="","",PRIX!E308*'QUANTITE DETENUES'!E308)</f>
        <v/>
      </c>
      <c r="F307" s="299" t="str">
        <f>IF(E307="","",PRIX!F308*'QUANTITE DETENUES'!F308)</f>
        <v/>
      </c>
      <c r="G307" s="299" t="str">
        <f>IF(F307="","",PRIX!G308*'QUANTITE DETENUES'!G308)</f>
        <v/>
      </c>
      <c r="H307" s="299" t="str">
        <f>IF(G307="","",PRIX!H308*'QUANTITE DETENUES'!H308)</f>
        <v/>
      </c>
      <c r="I307" s="299" t="str">
        <f>IF(H307="","",PRIX!I308*'QUANTITE DETENUES'!I308)</f>
        <v/>
      </c>
      <c r="J307" s="299" t="str">
        <f>IF(I307="","",PRIX!J308*'QUANTITE DETENUES'!J308)</f>
        <v/>
      </c>
      <c r="K307" s="299" t="str">
        <f>IF(J307="","",PRIX!K308*'QUANTITE DETENUES'!K308)</f>
        <v/>
      </c>
      <c r="L307" s="299" t="str">
        <f>IF(K307="","",PRIX!L308*'QUANTITE DETENUES'!L308)</f>
        <v/>
      </c>
      <c r="M307" s="299" t="str">
        <f>IF(L307="","",PRIX!M308*'QUANTITE DETENUES'!M308)</f>
        <v/>
      </c>
      <c r="N307" s="299" t="str">
        <f>IF(M307="","",PRIX!N308*'QUANTITE DETENUES'!N308)</f>
        <v/>
      </c>
      <c r="O307" s="299" t="str">
        <f>IF(N307="","",PRIX!O308*'QUANTITE DETENUES'!O308)</f>
        <v/>
      </c>
      <c r="P307" s="299" t="str">
        <f>IF(O307="","",PRIX!P308*'QUANTITE DETENUES'!P308)</f>
        <v/>
      </c>
      <c r="Q307" s="299" t="str">
        <f>IF(P307="","",PRIX!Q308*'QUANTITE DETENUES'!Q308)</f>
        <v/>
      </c>
      <c r="R307" s="299" t="str">
        <f>IF(Q307="","",PRIX!R308*'QUANTITE DETENUES'!R308)</f>
        <v/>
      </c>
      <c r="S307" s="300" t="str">
        <f>IF(R307="","",PRIX!S308*'QUANTITE DETENUES'!S308)</f>
        <v/>
      </c>
      <c r="T307" s="14" t="str">
        <f>IF(A307="","",ARBITRAGES!M308)</f>
        <v/>
      </c>
      <c r="U307" s="301" t="str">
        <f t="shared" si="1"/>
        <v/>
      </c>
      <c r="V307" s="302" t="str">
        <f t="shared" si="2"/>
        <v/>
      </c>
      <c r="W307" s="309"/>
      <c r="X307" s="310"/>
      <c r="Y307" s="310"/>
      <c r="Z307" s="310"/>
      <c r="AA307" s="310"/>
      <c r="AB307" s="310"/>
      <c r="AC307" s="310"/>
      <c r="AD307" s="310"/>
      <c r="AE307" s="220"/>
      <c r="AF307" s="220"/>
      <c r="AG307" s="220"/>
      <c r="AH307" s="308"/>
      <c r="AI307" s="220"/>
      <c r="AJ307" s="220"/>
      <c r="AK307" s="220"/>
      <c r="AL307" s="220"/>
      <c r="AM307" s="220"/>
      <c r="AN307" s="220"/>
      <c r="AO307" s="220"/>
      <c r="AP307" s="220"/>
      <c r="AQ307" s="220"/>
      <c r="AR307" s="220"/>
      <c r="AS307" s="220"/>
      <c r="AT307" s="220"/>
      <c r="AU307" s="220"/>
      <c r="AV307" s="220"/>
      <c r="AW307" s="220"/>
      <c r="AX307" s="220"/>
      <c r="AY307" s="220"/>
      <c r="AZ307" s="202" t="s">
        <v>6</v>
      </c>
      <c r="BA307" s="310">
        <v>2700.0</v>
      </c>
    </row>
    <row r="308">
      <c r="A308" s="290" t="str">
        <f>PRIX!A309</f>
        <v/>
      </c>
      <c r="B308" s="299" t="str">
        <f>IF(A308="","",PRIX!B309*'QUANTITE DETENUES'!B309)</f>
        <v/>
      </c>
      <c r="C308" s="299" t="str">
        <f>IF(B308="","",PRIX!C309*'QUANTITE DETENUES'!C309)</f>
        <v/>
      </c>
      <c r="D308" s="299" t="str">
        <f>IF(C308="","",PRIX!D309*'QUANTITE DETENUES'!D309)</f>
        <v/>
      </c>
      <c r="E308" s="299" t="str">
        <f>IF(D308="","",PRIX!E309*'QUANTITE DETENUES'!E309)</f>
        <v/>
      </c>
      <c r="F308" s="299" t="str">
        <f>IF(E308="","",PRIX!F309*'QUANTITE DETENUES'!F309)</f>
        <v/>
      </c>
      <c r="G308" s="299" t="str">
        <f>IF(F308="","",PRIX!G309*'QUANTITE DETENUES'!G309)</f>
        <v/>
      </c>
      <c r="H308" s="299" t="str">
        <f>IF(G308="","",PRIX!H309*'QUANTITE DETENUES'!H309)</f>
        <v/>
      </c>
      <c r="I308" s="299" t="str">
        <f>IF(H308="","",PRIX!I309*'QUANTITE DETENUES'!I309)</f>
        <v/>
      </c>
      <c r="J308" s="299" t="str">
        <f>IF(I308="","",PRIX!J309*'QUANTITE DETENUES'!J309)</f>
        <v/>
      </c>
      <c r="K308" s="299" t="str">
        <f>IF(J308="","",PRIX!K309*'QUANTITE DETENUES'!K309)</f>
        <v/>
      </c>
      <c r="L308" s="299" t="str">
        <f>IF(K308="","",PRIX!L309*'QUANTITE DETENUES'!L309)</f>
        <v/>
      </c>
      <c r="M308" s="299" t="str">
        <f>IF(L308="","",PRIX!M309*'QUANTITE DETENUES'!M309)</f>
        <v/>
      </c>
      <c r="N308" s="299" t="str">
        <f>IF(M308="","",PRIX!N309*'QUANTITE DETENUES'!N309)</f>
        <v/>
      </c>
      <c r="O308" s="299" t="str">
        <f>IF(N308="","",PRIX!O309*'QUANTITE DETENUES'!O309)</f>
        <v/>
      </c>
      <c r="P308" s="299" t="str">
        <f>IF(O308="","",PRIX!P309*'QUANTITE DETENUES'!P309)</f>
        <v/>
      </c>
      <c r="Q308" s="299" t="str">
        <f>IF(P308="","",PRIX!Q309*'QUANTITE DETENUES'!Q309)</f>
        <v/>
      </c>
      <c r="R308" s="299" t="str">
        <f>IF(Q308="","",PRIX!R309*'QUANTITE DETENUES'!R309)</f>
        <v/>
      </c>
      <c r="S308" s="300" t="str">
        <f>IF(R308="","",PRIX!S309*'QUANTITE DETENUES'!S309)</f>
        <v/>
      </c>
      <c r="T308" s="14" t="str">
        <f>IF(A308="","",ARBITRAGES!M309)</f>
        <v/>
      </c>
      <c r="U308" s="301" t="str">
        <f t="shared" si="1"/>
        <v/>
      </c>
      <c r="V308" s="302" t="str">
        <f t="shared" si="2"/>
        <v/>
      </c>
      <c r="W308" s="309"/>
      <c r="X308" s="310"/>
      <c r="Y308" s="310"/>
      <c r="Z308" s="310"/>
      <c r="AA308" s="310"/>
      <c r="AB308" s="310"/>
      <c r="AC308" s="310"/>
      <c r="AD308" s="310"/>
      <c r="AE308" s="220"/>
      <c r="AF308" s="220"/>
      <c r="AG308" s="220"/>
      <c r="AH308" s="308"/>
      <c r="AI308" s="220"/>
      <c r="AJ308" s="220"/>
      <c r="AK308" s="220"/>
      <c r="AL308" s="220"/>
      <c r="AM308" s="220"/>
      <c r="AN308" s="220"/>
      <c r="AO308" s="220"/>
      <c r="AP308" s="220"/>
      <c r="AQ308" s="220"/>
      <c r="AR308" s="220"/>
      <c r="AS308" s="220"/>
      <c r="AT308" s="220"/>
      <c r="AU308" s="220"/>
      <c r="AV308" s="220"/>
      <c r="AW308" s="220"/>
      <c r="AX308" s="220"/>
      <c r="AY308" s="220"/>
      <c r="AZ308" s="202" t="s">
        <v>6</v>
      </c>
      <c r="BA308" s="310">
        <v>2700.0</v>
      </c>
    </row>
    <row r="309">
      <c r="A309" s="290" t="str">
        <f>PRIX!A310</f>
        <v/>
      </c>
      <c r="B309" s="299" t="str">
        <f>IF(A309="","",PRIX!B310*'QUANTITE DETENUES'!B310)</f>
        <v/>
      </c>
      <c r="C309" s="299" t="str">
        <f>IF(B309="","",PRIX!C310*'QUANTITE DETENUES'!C310)</f>
        <v/>
      </c>
      <c r="D309" s="299" t="str">
        <f>IF(C309="","",PRIX!D310*'QUANTITE DETENUES'!D310)</f>
        <v/>
      </c>
      <c r="E309" s="299" t="str">
        <f>IF(D309="","",PRIX!E310*'QUANTITE DETENUES'!E310)</f>
        <v/>
      </c>
      <c r="F309" s="299" t="str">
        <f>IF(E309="","",PRIX!F310*'QUANTITE DETENUES'!F310)</f>
        <v/>
      </c>
      <c r="G309" s="299" t="str">
        <f>IF(F309="","",PRIX!G310*'QUANTITE DETENUES'!G310)</f>
        <v/>
      </c>
      <c r="H309" s="299" t="str">
        <f>IF(G309="","",PRIX!H310*'QUANTITE DETENUES'!H310)</f>
        <v/>
      </c>
      <c r="I309" s="299" t="str">
        <f>IF(H309="","",PRIX!I310*'QUANTITE DETENUES'!I310)</f>
        <v/>
      </c>
      <c r="J309" s="299" t="str">
        <f>IF(I309="","",PRIX!J310*'QUANTITE DETENUES'!J310)</f>
        <v/>
      </c>
      <c r="K309" s="299" t="str">
        <f>IF(J309="","",PRIX!K310*'QUANTITE DETENUES'!K310)</f>
        <v/>
      </c>
      <c r="L309" s="299" t="str">
        <f>IF(K309="","",PRIX!L310*'QUANTITE DETENUES'!L310)</f>
        <v/>
      </c>
      <c r="M309" s="299" t="str">
        <f>IF(L309="","",PRIX!M310*'QUANTITE DETENUES'!M310)</f>
        <v/>
      </c>
      <c r="N309" s="299" t="str">
        <f>IF(M309="","",PRIX!N310*'QUANTITE DETENUES'!N310)</f>
        <v/>
      </c>
      <c r="O309" s="299" t="str">
        <f>IF(N309="","",PRIX!O310*'QUANTITE DETENUES'!O310)</f>
        <v/>
      </c>
      <c r="P309" s="299" t="str">
        <f>IF(O309="","",PRIX!P310*'QUANTITE DETENUES'!P310)</f>
        <v/>
      </c>
      <c r="Q309" s="299" t="str">
        <f>IF(P309="","",PRIX!Q310*'QUANTITE DETENUES'!Q310)</f>
        <v/>
      </c>
      <c r="R309" s="299" t="str">
        <f>IF(Q309="","",PRIX!R310*'QUANTITE DETENUES'!R310)</f>
        <v/>
      </c>
      <c r="S309" s="300" t="str">
        <f>IF(R309="","",PRIX!S310*'QUANTITE DETENUES'!S310)</f>
        <v/>
      </c>
      <c r="T309" s="14" t="str">
        <f>IF(A309="","",ARBITRAGES!M310)</f>
        <v/>
      </c>
      <c r="U309" s="301" t="str">
        <f t="shared" si="1"/>
        <v/>
      </c>
      <c r="V309" s="302" t="str">
        <f t="shared" si="2"/>
        <v/>
      </c>
      <c r="W309" s="309"/>
      <c r="X309" s="310"/>
      <c r="Y309" s="310"/>
      <c r="Z309" s="310"/>
      <c r="AA309" s="310"/>
      <c r="AB309" s="310"/>
      <c r="AC309" s="310"/>
      <c r="AD309" s="310"/>
      <c r="AE309" s="220"/>
      <c r="AF309" s="220"/>
      <c r="AG309" s="220"/>
      <c r="AH309" s="308"/>
      <c r="AI309" s="220"/>
      <c r="AJ309" s="220"/>
      <c r="AK309" s="220"/>
      <c r="AL309" s="220"/>
      <c r="AM309" s="220"/>
      <c r="AN309" s="220"/>
      <c r="AO309" s="220"/>
      <c r="AP309" s="220"/>
      <c r="AQ309" s="220"/>
      <c r="AR309" s="220"/>
      <c r="AS309" s="220"/>
      <c r="AT309" s="220"/>
      <c r="AU309" s="220"/>
      <c r="AV309" s="220"/>
      <c r="AW309" s="220"/>
      <c r="AX309" s="220"/>
      <c r="AY309" s="220"/>
      <c r="AZ309" s="202" t="s">
        <v>7</v>
      </c>
      <c r="BA309" s="310">
        <v>4.755</v>
      </c>
    </row>
    <row r="310">
      <c r="A310" s="290" t="str">
        <f>PRIX!A311</f>
        <v/>
      </c>
      <c r="B310" s="299" t="str">
        <f>IF(A310="","",PRIX!B311*'QUANTITE DETENUES'!B311)</f>
        <v/>
      </c>
      <c r="C310" s="299" t="str">
        <f>IF(B310="","",PRIX!C311*'QUANTITE DETENUES'!C311)</f>
        <v/>
      </c>
      <c r="D310" s="299" t="str">
        <f>IF(C310="","",PRIX!D311*'QUANTITE DETENUES'!D311)</f>
        <v/>
      </c>
      <c r="E310" s="299" t="str">
        <f>IF(D310="","",PRIX!E311*'QUANTITE DETENUES'!E311)</f>
        <v/>
      </c>
      <c r="F310" s="299" t="str">
        <f>IF(E310="","",PRIX!F311*'QUANTITE DETENUES'!F311)</f>
        <v/>
      </c>
      <c r="G310" s="299" t="str">
        <f>IF(F310="","",PRIX!G311*'QUANTITE DETENUES'!G311)</f>
        <v/>
      </c>
      <c r="H310" s="299" t="str">
        <f>IF(G310="","",PRIX!H311*'QUANTITE DETENUES'!H311)</f>
        <v/>
      </c>
      <c r="I310" s="299" t="str">
        <f>IF(H310="","",PRIX!I311*'QUANTITE DETENUES'!I311)</f>
        <v/>
      </c>
      <c r="J310" s="299" t="str">
        <f>IF(I310="","",PRIX!J311*'QUANTITE DETENUES'!J311)</f>
        <v/>
      </c>
      <c r="K310" s="299" t="str">
        <f>IF(J310="","",PRIX!K311*'QUANTITE DETENUES'!K311)</f>
        <v/>
      </c>
      <c r="L310" s="299" t="str">
        <f>IF(K310="","",PRIX!L311*'QUANTITE DETENUES'!L311)</f>
        <v/>
      </c>
      <c r="M310" s="299" t="str">
        <f>IF(L310="","",PRIX!M311*'QUANTITE DETENUES'!M311)</f>
        <v/>
      </c>
      <c r="N310" s="299" t="str">
        <f>IF(M310="","",PRIX!N311*'QUANTITE DETENUES'!N311)</f>
        <v/>
      </c>
      <c r="O310" s="299" t="str">
        <f>IF(N310="","",PRIX!O311*'QUANTITE DETENUES'!O311)</f>
        <v/>
      </c>
      <c r="P310" s="299" t="str">
        <f>IF(O310="","",PRIX!P311*'QUANTITE DETENUES'!P311)</f>
        <v/>
      </c>
      <c r="Q310" s="299" t="str">
        <f>IF(P310="","",PRIX!Q311*'QUANTITE DETENUES'!Q311)</f>
        <v/>
      </c>
      <c r="R310" s="299" t="str">
        <f>IF(Q310="","",PRIX!R311*'QUANTITE DETENUES'!R311)</f>
        <v/>
      </c>
      <c r="S310" s="300" t="str">
        <f>IF(R310="","",PRIX!S311*'QUANTITE DETENUES'!S311)</f>
        <v/>
      </c>
      <c r="T310" s="14" t="str">
        <f>IF(A310="","",ARBITRAGES!M311)</f>
        <v/>
      </c>
      <c r="U310" s="301" t="str">
        <f t="shared" si="1"/>
        <v/>
      </c>
      <c r="V310" s="302" t="str">
        <f t="shared" si="2"/>
        <v/>
      </c>
      <c r="W310" s="309"/>
      <c r="X310" s="310"/>
      <c r="Y310" s="310"/>
      <c r="Z310" s="310"/>
      <c r="AA310" s="310"/>
      <c r="AB310" s="310"/>
      <c r="AC310" s="310"/>
      <c r="AD310" s="310"/>
      <c r="AE310" s="220"/>
      <c r="AF310" s="220"/>
      <c r="AG310" s="220"/>
      <c r="AH310" s="308"/>
      <c r="AI310" s="220"/>
      <c r="AJ310" s="220"/>
      <c r="AK310" s="220"/>
      <c r="AL310" s="220"/>
      <c r="AM310" s="220"/>
      <c r="AN310" s="220"/>
      <c r="AO310" s="220"/>
      <c r="AP310" s="220"/>
      <c r="AQ310" s="220"/>
      <c r="AR310" s="220"/>
      <c r="AS310" s="220"/>
      <c r="AT310" s="220"/>
      <c r="AU310" s="220"/>
      <c r="AV310" s="220"/>
      <c r="AW310" s="220"/>
      <c r="AX310" s="220"/>
      <c r="AY310" s="220"/>
      <c r="AZ310" s="202" t="s">
        <v>7</v>
      </c>
      <c r="BA310" s="310">
        <v>4.755</v>
      </c>
    </row>
    <row r="311">
      <c r="A311" s="290" t="str">
        <f>PRIX!A312</f>
        <v/>
      </c>
      <c r="B311" s="299" t="str">
        <f>IF(A311="","",PRIX!B312*'QUANTITE DETENUES'!B312)</f>
        <v/>
      </c>
      <c r="C311" s="299" t="str">
        <f>IF(B311="","",PRIX!C312*'QUANTITE DETENUES'!C312)</f>
        <v/>
      </c>
      <c r="D311" s="299" t="str">
        <f>IF(C311="","",PRIX!D312*'QUANTITE DETENUES'!D312)</f>
        <v/>
      </c>
      <c r="E311" s="299" t="str">
        <f>IF(D311="","",PRIX!E312*'QUANTITE DETENUES'!E312)</f>
        <v/>
      </c>
      <c r="F311" s="299" t="str">
        <f>IF(E311="","",PRIX!F312*'QUANTITE DETENUES'!F312)</f>
        <v/>
      </c>
      <c r="G311" s="299" t="str">
        <f>IF(F311="","",PRIX!G312*'QUANTITE DETENUES'!G312)</f>
        <v/>
      </c>
      <c r="H311" s="299" t="str">
        <f>IF(G311="","",PRIX!H312*'QUANTITE DETENUES'!H312)</f>
        <v/>
      </c>
      <c r="I311" s="299" t="str">
        <f>IF(H311="","",PRIX!I312*'QUANTITE DETENUES'!I312)</f>
        <v/>
      </c>
      <c r="J311" s="299" t="str">
        <f>IF(I311="","",PRIX!J312*'QUANTITE DETENUES'!J312)</f>
        <v/>
      </c>
      <c r="K311" s="299" t="str">
        <f>IF(J311="","",PRIX!K312*'QUANTITE DETENUES'!K312)</f>
        <v/>
      </c>
      <c r="L311" s="299" t="str">
        <f>IF(K311="","",PRIX!L312*'QUANTITE DETENUES'!L312)</f>
        <v/>
      </c>
      <c r="M311" s="299" t="str">
        <f>IF(L311="","",PRIX!M312*'QUANTITE DETENUES'!M312)</f>
        <v/>
      </c>
      <c r="N311" s="299" t="str">
        <f>IF(M311="","",PRIX!N312*'QUANTITE DETENUES'!N312)</f>
        <v/>
      </c>
      <c r="O311" s="299" t="str">
        <f>IF(N311="","",PRIX!O312*'QUANTITE DETENUES'!O312)</f>
        <v/>
      </c>
      <c r="P311" s="299" t="str">
        <f>IF(O311="","",PRIX!P312*'QUANTITE DETENUES'!P312)</f>
        <v/>
      </c>
      <c r="Q311" s="299" t="str">
        <f>IF(P311="","",PRIX!Q312*'QUANTITE DETENUES'!Q312)</f>
        <v/>
      </c>
      <c r="R311" s="299" t="str">
        <f>IF(Q311="","",PRIX!R312*'QUANTITE DETENUES'!R312)</f>
        <v/>
      </c>
      <c r="S311" s="300" t="str">
        <f>IF(R311="","",PRIX!S312*'QUANTITE DETENUES'!S312)</f>
        <v/>
      </c>
      <c r="T311" s="14" t="str">
        <f>IF(A311="","",ARBITRAGES!M312)</f>
        <v/>
      </c>
      <c r="U311" s="301" t="str">
        <f t="shared" si="1"/>
        <v/>
      </c>
      <c r="V311" s="302" t="str">
        <f t="shared" si="2"/>
        <v/>
      </c>
      <c r="W311" s="309"/>
      <c r="X311" s="310"/>
      <c r="Y311" s="310"/>
      <c r="Z311" s="310"/>
      <c r="AA311" s="310"/>
      <c r="AB311" s="310"/>
      <c r="AC311" s="310"/>
      <c r="AD311" s="310"/>
      <c r="AE311" s="220"/>
      <c r="AF311" s="220"/>
      <c r="AG311" s="220"/>
      <c r="AH311" s="308"/>
      <c r="AI311" s="220"/>
      <c r="AJ311" s="220"/>
      <c r="AK311" s="220"/>
      <c r="AL311" s="220"/>
      <c r="AM311" s="220"/>
      <c r="AN311" s="220"/>
      <c r="AO311" s="220"/>
      <c r="AP311" s="220"/>
      <c r="AQ311" s="220"/>
      <c r="AR311" s="220"/>
      <c r="AS311" s="220"/>
      <c r="AT311" s="220"/>
      <c r="AU311" s="220"/>
      <c r="AV311" s="220"/>
      <c r="AW311" s="220"/>
      <c r="AX311" s="220"/>
      <c r="AY311" s="220"/>
      <c r="AZ311" s="202" t="s">
        <v>7</v>
      </c>
      <c r="BA311" s="310">
        <v>4.755</v>
      </c>
    </row>
    <row r="312">
      <c r="A312" s="290" t="str">
        <f>PRIX!A313</f>
        <v/>
      </c>
      <c r="B312" s="299" t="str">
        <f>IF(A312="","",PRIX!B313*'QUANTITE DETENUES'!B313)</f>
        <v/>
      </c>
      <c r="C312" s="299" t="str">
        <f>IF(B312="","",PRIX!C313*'QUANTITE DETENUES'!C313)</f>
        <v/>
      </c>
      <c r="D312" s="299" t="str">
        <f>IF(C312="","",PRIX!D313*'QUANTITE DETENUES'!D313)</f>
        <v/>
      </c>
      <c r="E312" s="299" t="str">
        <f>IF(D312="","",PRIX!E313*'QUANTITE DETENUES'!E313)</f>
        <v/>
      </c>
      <c r="F312" s="299" t="str">
        <f>IF(E312="","",PRIX!F313*'QUANTITE DETENUES'!F313)</f>
        <v/>
      </c>
      <c r="G312" s="299" t="str">
        <f>IF(F312="","",PRIX!G313*'QUANTITE DETENUES'!G313)</f>
        <v/>
      </c>
      <c r="H312" s="299" t="str">
        <f>IF(G312="","",PRIX!H313*'QUANTITE DETENUES'!H313)</f>
        <v/>
      </c>
      <c r="I312" s="299" t="str">
        <f>IF(H312="","",PRIX!I313*'QUANTITE DETENUES'!I313)</f>
        <v/>
      </c>
      <c r="J312" s="299" t="str">
        <f>IF(I312="","",PRIX!J313*'QUANTITE DETENUES'!J313)</f>
        <v/>
      </c>
      <c r="K312" s="299" t="str">
        <f>IF(J312="","",PRIX!K313*'QUANTITE DETENUES'!K313)</f>
        <v/>
      </c>
      <c r="L312" s="299" t="str">
        <f>IF(K312="","",PRIX!L313*'QUANTITE DETENUES'!L313)</f>
        <v/>
      </c>
      <c r="M312" s="299" t="str">
        <f>IF(L312="","",PRIX!M313*'QUANTITE DETENUES'!M313)</f>
        <v/>
      </c>
      <c r="N312" s="299" t="str">
        <f>IF(M312="","",PRIX!N313*'QUANTITE DETENUES'!N313)</f>
        <v/>
      </c>
      <c r="O312" s="299" t="str">
        <f>IF(N312="","",PRIX!O313*'QUANTITE DETENUES'!O313)</f>
        <v/>
      </c>
      <c r="P312" s="299" t="str">
        <f>IF(O312="","",PRIX!P313*'QUANTITE DETENUES'!P313)</f>
        <v/>
      </c>
      <c r="Q312" s="299" t="str">
        <f>IF(P312="","",PRIX!Q313*'QUANTITE DETENUES'!Q313)</f>
        <v/>
      </c>
      <c r="R312" s="299" t="str">
        <f>IF(Q312="","",PRIX!R313*'QUANTITE DETENUES'!R313)</f>
        <v/>
      </c>
      <c r="S312" s="300" t="str">
        <f>IF(R312="","",PRIX!S313*'QUANTITE DETENUES'!S313)</f>
        <v/>
      </c>
      <c r="T312" s="14" t="str">
        <f>IF(A312="","",ARBITRAGES!M313)</f>
        <v/>
      </c>
      <c r="U312" s="301" t="str">
        <f t="shared" si="1"/>
        <v/>
      </c>
      <c r="V312" s="302" t="str">
        <f t="shared" si="2"/>
        <v/>
      </c>
      <c r="W312" s="309"/>
      <c r="X312" s="310"/>
      <c r="Y312" s="310"/>
      <c r="Z312" s="310"/>
      <c r="AA312" s="310"/>
      <c r="AB312" s="310"/>
      <c r="AC312" s="310"/>
      <c r="AD312" s="310"/>
      <c r="AE312" s="220"/>
      <c r="AF312" s="220"/>
      <c r="AG312" s="220"/>
      <c r="AH312" s="308"/>
      <c r="AI312" s="220"/>
      <c r="AJ312" s="220"/>
      <c r="AK312" s="220"/>
      <c r="AL312" s="220"/>
      <c r="AM312" s="220"/>
      <c r="AN312" s="220"/>
      <c r="AO312" s="220"/>
      <c r="AP312" s="220"/>
      <c r="AQ312" s="220"/>
      <c r="AR312" s="220"/>
      <c r="AS312" s="220"/>
      <c r="AT312" s="220"/>
      <c r="AU312" s="220"/>
      <c r="AV312" s="220"/>
      <c r="AW312" s="220"/>
      <c r="AX312" s="220"/>
      <c r="AY312" s="220"/>
      <c r="AZ312" s="202" t="s">
        <v>7</v>
      </c>
      <c r="BA312" s="310">
        <v>4.755</v>
      </c>
    </row>
    <row r="313">
      <c r="A313" s="290" t="str">
        <f>PRIX!A314</f>
        <v/>
      </c>
      <c r="B313" s="299" t="str">
        <f>IF(A313="","",PRIX!B314*'QUANTITE DETENUES'!B314)</f>
        <v/>
      </c>
      <c r="C313" s="299" t="str">
        <f>IF(B313="","",PRIX!C314*'QUANTITE DETENUES'!C314)</f>
        <v/>
      </c>
      <c r="D313" s="299" t="str">
        <f>IF(C313="","",PRIX!D314*'QUANTITE DETENUES'!D314)</f>
        <v/>
      </c>
      <c r="E313" s="299" t="str">
        <f>IF(D313="","",PRIX!E314*'QUANTITE DETENUES'!E314)</f>
        <v/>
      </c>
      <c r="F313" s="299" t="str">
        <f>IF(E313="","",PRIX!F314*'QUANTITE DETENUES'!F314)</f>
        <v/>
      </c>
      <c r="G313" s="299" t="str">
        <f>IF(F313="","",PRIX!G314*'QUANTITE DETENUES'!G314)</f>
        <v/>
      </c>
      <c r="H313" s="299" t="str">
        <f>IF(G313="","",PRIX!H314*'QUANTITE DETENUES'!H314)</f>
        <v/>
      </c>
      <c r="I313" s="299" t="str">
        <f>IF(H313="","",PRIX!I314*'QUANTITE DETENUES'!I314)</f>
        <v/>
      </c>
      <c r="J313" s="299" t="str">
        <f>IF(I313="","",PRIX!J314*'QUANTITE DETENUES'!J314)</f>
        <v/>
      </c>
      <c r="K313" s="299" t="str">
        <f>IF(J313="","",PRIX!K314*'QUANTITE DETENUES'!K314)</f>
        <v/>
      </c>
      <c r="L313" s="299" t="str">
        <f>IF(K313="","",PRIX!L314*'QUANTITE DETENUES'!L314)</f>
        <v/>
      </c>
      <c r="M313" s="299" t="str">
        <f>IF(L313="","",PRIX!M314*'QUANTITE DETENUES'!M314)</f>
        <v/>
      </c>
      <c r="N313" s="299" t="str">
        <f>IF(M313="","",PRIX!N314*'QUANTITE DETENUES'!N314)</f>
        <v/>
      </c>
      <c r="O313" s="299" t="str">
        <f>IF(N313="","",PRIX!O314*'QUANTITE DETENUES'!O314)</f>
        <v/>
      </c>
      <c r="P313" s="299" t="str">
        <f>IF(O313="","",PRIX!P314*'QUANTITE DETENUES'!P314)</f>
        <v/>
      </c>
      <c r="Q313" s="299" t="str">
        <f>IF(P313="","",PRIX!Q314*'QUANTITE DETENUES'!Q314)</f>
        <v/>
      </c>
      <c r="R313" s="299" t="str">
        <f>IF(Q313="","",PRIX!R314*'QUANTITE DETENUES'!R314)</f>
        <v/>
      </c>
      <c r="S313" s="300" t="str">
        <f>IF(R313="","",PRIX!S314*'QUANTITE DETENUES'!S314)</f>
        <v/>
      </c>
      <c r="T313" s="14" t="str">
        <f>IF(A313="","",ARBITRAGES!M314)</f>
        <v/>
      </c>
      <c r="U313" s="301" t="str">
        <f t="shared" si="1"/>
        <v/>
      </c>
      <c r="V313" s="302" t="str">
        <f t="shared" si="2"/>
        <v/>
      </c>
      <c r="W313" s="309"/>
      <c r="X313" s="310"/>
      <c r="Y313" s="310"/>
      <c r="Z313" s="310"/>
      <c r="AA313" s="310"/>
      <c r="AB313" s="310"/>
      <c r="AC313" s="310"/>
      <c r="AD313" s="310"/>
      <c r="AE313" s="220"/>
      <c r="AF313" s="220"/>
      <c r="AG313" s="220"/>
      <c r="AH313" s="308"/>
      <c r="AI313" s="220"/>
      <c r="AJ313" s="220"/>
      <c r="AK313" s="220"/>
      <c r="AL313" s="220"/>
      <c r="AM313" s="220"/>
      <c r="AN313" s="220"/>
      <c r="AO313" s="220"/>
      <c r="AP313" s="220"/>
      <c r="AQ313" s="220"/>
      <c r="AR313" s="220"/>
      <c r="AS313" s="220"/>
      <c r="AT313" s="220"/>
      <c r="AU313" s="220"/>
      <c r="AV313" s="220"/>
      <c r="AW313" s="220"/>
      <c r="AX313" s="220"/>
      <c r="AY313" s="220"/>
      <c r="AZ313" s="202" t="s">
        <v>6</v>
      </c>
      <c r="BA313" s="310">
        <v>2700.0</v>
      </c>
    </row>
    <row r="314">
      <c r="A314" s="290" t="str">
        <f>PRIX!A315</f>
        <v/>
      </c>
      <c r="B314" s="299" t="str">
        <f>IF(A314="","",PRIX!B315*'QUANTITE DETENUES'!B315)</f>
        <v/>
      </c>
      <c r="C314" s="299" t="str">
        <f>IF(B314="","",PRIX!C315*'QUANTITE DETENUES'!C315)</f>
        <v/>
      </c>
      <c r="D314" s="299" t="str">
        <f>IF(C314="","",PRIX!D315*'QUANTITE DETENUES'!D315)</f>
        <v/>
      </c>
      <c r="E314" s="299" t="str">
        <f>IF(D314="","",PRIX!E315*'QUANTITE DETENUES'!E315)</f>
        <v/>
      </c>
      <c r="F314" s="299" t="str">
        <f>IF(E314="","",PRIX!F315*'QUANTITE DETENUES'!F315)</f>
        <v/>
      </c>
      <c r="G314" s="299" t="str">
        <f>IF(F314="","",PRIX!G315*'QUANTITE DETENUES'!G315)</f>
        <v/>
      </c>
      <c r="H314" s="299" t="str">
        <f>IF(G314="","",PRIX!H315*'QUANTITE DETENUES'!H315)</f>
        <v/>
      </c>
      <c r="I314" s="299" t="str">
        <f>IF(H314="","",PRIX!I315*'QUANTITE DETENUES'!I315)</f>
        <v/>
      </c>
      <c r="J314" s="299" t="str">
        <f>IF(I314="","",PRIX!J315*'QUANTITE DETENUES'!J315)</f>
        <v/>
      </c>
      <c r="K314" s="299" t="str">
        <f>IF(J314="","",PRIX!K315*'QUANTITE DETENUES'!K315)</f>
        <v/>
      </c>
      <c r="L314" s="299" t="str">
        <f>IF(K314="","",PRIX!L315*'QUANTITE DETENUES'!L315)</f>
        <v/>
      </c>
      <c r="M314" s="299" t="str">
        <f>IF(L314="","",PRIX!M315*'QUANTITE DETENUES'!M315)</f>
        <v/>
      </c>
      <c r="N314" s="299" t="str">
        <f>IF(M314="","",PRIX!N315*'QUANTITE DETENUES'!N315)</f>
        <v/>
      </c>
      <c r="O314" s="299" t="str">
        <f>IF(N314="","",PRIX!O315*'QUANTITE DETENUES'!O315)</f>
        <v/>
      </c>
      <c r="P314" s="299" t="str">
        <f>IF(O314="","",PRIX!P315*'QUANTITE DETENUES'!P315)</f>
        <v/>
      </c>
      <c r="Q314" s="299" t="str">
        <f>IF(P314="","",PRIX!Q315*'QUANTITE DETENUES'!Q315)</f>
        <v/>
      </c>
      <c r="R314" s="299" t="str">
        <f>IF(Q314="","",PRIX!R315*'QUANTITE DETENUES'!R315)</f>
        <v/>
      </c>
      <c r="S314" s="300" t="str">
        <f>IF(R314="","",PRIX!S315*'QUANTITE DETENUES'!S315)</f>
        <v/>
      </c>
      <c r="T314" s="14" t="str">
        <f>IF(A314="","",ARBITRAGES!M315)</f>
        <v/>
      </c>
      <c r="U314" s="301" t="str">
        <f t="shared" si="1"/>
        <v/>
      </c>
      <c r="V314" s="302" t="str">
        <f t="shared" si="2"/>
        <v/>
      </c>
      <c r="W314" s="309"/>
      <c r="X314" s="310"/>
      <c r="Y314" s="310"/>
      <c r="Z314" s="310"/>
      <c r="AA314" s="310"/>
      <c r="AB314" s="310"/>
      <c r="AC314" s="310"/>
      <c r="AD314" s="310"/>
      <c r="AE314" s="220"/>
      <c r="AF314" s="220"/>
      <c r="AG314" s="220"/>
      <c r="AH314" s="308"/>
      <c r="AI314" s="220"/>
      <c r="AJ314" s="220"/>
      <c r="AK314" s="220"/>
      <c r="AL314" s="220"/>
      <c r="AM314" s="220"/>
      <c r="AN314" s="220"/>
      <c r="AO314" s="220"/>
      <c r="AP314" s="220"/>
      <c r="AQ314" s="220"/>
      <c r="AR314" s="220"/>
      <c r="AS314" s="220"/>
      <c r="AT314" s="220"/>
      <c r="AU314" s="220"/>
      <c r="AV314" s="220"/>
      <c r="AW314" s="220"/>
      <c r="AX314" s="220"/>
      <c r="AY314" s="220"/>
      <c r="AZ314" s="202" t="s">
        <v>6</v>
      </c>
      <c r="BA314" s="310">
        <v>2700.0</v>
      </c>
    </row>
    <row r="315">
      <c r="A315" s="290" t="str">
        <f>PRIX!A316</f>
        <v/>
      </c>
      <c r="B315" s="299" t="str">
        <f>IF(A315="","",PRIX!B316*'QUANTITE DETENUES'!B316)</f>
        <v/>
      </c>
      <c r="C315" s="299" t="str">
        <f>IF(B315="","",PRIX!C316*'QUANTITE DETENUES'!C316)</f>
        <v/>
      </c>
      <c r="D315" s="299" t="str">
        <f>IF(C315="","",PRIX!D316*'QUANTITE DETENUES'!D316)</f>
        <v/>
      </c>
      <c r="E315" s="299" t="str">
        <f>IF(D315="","",PRIX!E316*'QUANTITE DETENUES'!E316)</f>
        <v/>
      </c>
      <c r="F315" s="299" t="str">
        <f>IF(E315="","",PRIX!F316*'QUANTITE DETENUES'!F316)</f>
        <v/>
      </c>
      <c r="G315" s="299" t="str">
        <f>IF(F315="","",PRIX!G316*'QUANTITE DETENUES'!G316)</f>
        <v/>
      </c>
      <c r="H315" s="299" t="str">
        <f>IF(G315="","",PRIX!H316*'QUANTITE DETENUES'!H316)</f>
        <v/>
      </c>
      <c r="I315" s="299" t="str">
        <f>IF(H315="","",PRIX!I316*'QUANTITE DETENUES'!I316)</f>
        <v/>
      </c>
      <c r="J315" s="299" t="str">
        <f>IF(I315="","",PRIX!J316*'QUANTITE DETENUES'!J316)</f>
        <v/>
      </c>
      <c r="K315" s="299" t="str">
        <f>IF(J315="","",PRIX!K316*'QUANTITE DETENUES'!K316)</f>
        <v/>
      </c>
      <c r="L315" s="299" t="str">
        <f>IF(K315="","",PRIX!L316*'QUANTITE DETENUES'!L316)</f>
        <v/>
      </c>
      <c r="M315" s="299" t="str">
        <f>IF(L315="","",PRIX!M316*'QUANTITE DETENUES'!M316)</f>
        <v/>
      </c>
      <c r="N315" s="299" t="str">
        <f>IF(M315="","",PRIX!N316*'QUANTITE DETENUES'!N316)</f>
        <v/>
      </c>
      <c r="O315" s="299" t="str">
        <f>IF(N315="","",PRIX!O316*'QUANTITE DETENUES'!O316)</f>
        <v/>
      </c>
      <c r="P315" s="299" t="str">
        <f>IF(O315="","",PRIX!P316*'QUANTITE DETENUES'!P316)</f>
        <v/>
      </c>
      <c r="Q315" s="299" t="str">
        <f>IF(P315="","",PRIX!Q316*'QUANTITE DETENUES'!Q316)</f>
        <v/>
      </c>
      <c r="R315" s="299" t="str">
        <f>IF(Q315="","",PRIX!R316*'QUANTITE DETENUES'!R316)</f>
        <v/>
      </c>
      <c r="S315" s="300" t="str">
        <f>IF(R315="","",PRIX!S316*'QUANTITE DETENUES'!S316)</f>
        <v/>
      </c>
      <c r="T315" s="14" t="str">
        <f>IF(A315="","",ARBITRAGES!M316)</f>
        <v/>
      </c>
      <c r="U315" s="301" t="str">
        <f t="shared" si="1"/>
        <v/>
      </c>
      <c r="V315" s="302" t="str">
        <f t="shared" si="2"/>
        <v/>
      </c>
      <c r="W315" s="309"/>
      <c r="X315" s="310"/>
      <c r="Y315" s="310"/>
      <c r="Z315" s="310"/>
      <c r="AA315" s="310"/>
      <c r="AB315" s="310"/>
      <c r="AC315" s="310"/>
      <c r="AD315" s="220"/>
      <c r="AE315" s="220"/>
      <c r="AF315" s="220"/>
      <c r="AG315" s="220"/>
      <c r="AH315" s="308"/>
      <c r="AI315" s="220"/>
      <c r="AJ315" s="220"/>
      <c r="AK315" s="220"/>
      <c r="AL315" s="220"/>
      <c r="AM315" s="220"/>
      <c r="AN315" s="220"/>
      <c r="AO315" s="220"/>
      <c r="AP315" s="220"/>
      <c r="AQ315" s="220"/>
      <c r="AR315" s="220"/>
      <c r="AS315" s="220"/>
      <c r="AT315" s="220"/>
      <c r="AU315" s="220"/>
      <c r="AV315" s="220"/>
      <c r="AW315" s="220"/>
      <c r="AX315" s="220"/>
      <c r="AY315" s="202" t="s">
        <v>6</v>
      </c>
      <c r="AZ315" s="310">
        <v>2700.0</v>
      </c>
      <c r="BA315" s="220"/>
    </row>
    <row r="316">
      <c r="A316" s="290" t="str">
        <f>PRIX!A317</f>
        <v/>
      </c>
      <c r="B316" s="299" t="str">
        <f>IF(A316="","",PRIX!B317*'QUANTITE DETENUES'!B317)</f>
        <v/>
      </c>
      <c r="C316" s="299" t="str">
        <f>IF(B316="","",PRIX!C317*'QUANTITE DETENUES'!C317)</f>
        <v/>
      </c>
      <c r="D316" s="299" t="str">
        <f>IF(C316="","",PRIX!D317*'QUANTITE DETENUES'!D317)</f>
        <v/>
      </c>
      <c r="E316" s="299" t="str">
        <f>IF(D316="","",PRIX!E317*'QUANTITE DETENUES'!E317)</f>
        <v/>
      </c>
      <c r="F316" s="299" t="str">
        <f>IF(E316="","",PRIX!F317*'QUANTITE DETENUES'!F317)</f>
        <v/>
      </c>
      <c r="G316" s="299" t="str">
        <f>IF(F316="","",PRIX!G317*'QUANTITE DETENUES'!G317)</f>
        <v/>
      </c>
      <c r="H316" s="299" t="str">
        <f>IF(G316="","",PRIX!H317*'QUANTITE DETENUES'!H317)</f>
        <v/>
      </c>
      <c r="I316" s="299" t="str">
        <f>IF(H316="","",PRIX!I317*'QUANTITE DETENUES'!I317)</f>
        <v/>
      </c>
      <c r="J316" s="299" t="str">
        <f>IF(I316="","",PRIX!J317*'QUANTITE DETENUES'!J317)</f>
        <v/>
      </c>
      <c r="K316" s="299" t="str">
        <f>IF(J316="","",PRIX!K317*'QUANTITE DETENUES'!K317)</f>
        <v/>
      </c>
      <c r="L316" s="299" t="str">
        <f>IF(K316="","",PRIX!L317*'QUANTITE DETENUES'!L317)</f>
        <v/>
      </c>
      <c r="M316" s="299" t="str">
        <f>IF(L316="","",PRIX!M317*'QUANTITE DETENUES'!M317)</f>
        <v/>
      </c>
      <c r="N316" s="299" t="str">
        <f>IF(M316="","",PRIX!N317*'QUANTITE DETENUES'!N317)</f>
        <v/>
      </c>
      <c r="O316" s="299" t="str">
        <f>IF(N316="","",PRIX!O317*'QUANTITE DETENUES'!O317)</f>
        <v/>
      </c>
      <c r="P316" s="299" t="str">
        <f>IF(O316="","",PRIX!P317*'QUANTITE DETENUES'!P317)</f>
        <v/>
      </c>
      <c r="Q316" s="299" t="str">
        <f>IF(P316="","",PRIX!Q317*'QUANTITE DETENUES'!Q317)</f>
        <v/>
      </c>
      <c r="R316" s="299" t="str">
        <f>IF(Q316="","",PRIX!R317*'QUANTITE DETENUES'!R317)</f>
        <v/>
      </c>
      <c r="S316" s="300" t="str">
        <f>IF(R316="","",PRIX!S317*'QUANTITE DETENUES'!S317)</f>
        <v/>
      </c>
      <c r="T316" s="14" t="str">
        <f>IF(A316="","",ARBITRAGES!M317)</f>
        <v/>
      </c>
      <c r="U316" s="301" t="str">
        <f t="shared" si="1"/>
        <v/>
      </c>
      <c r="V316" s="302" t="str">
        <f t="shared" si="2"/>
        <v/>
      </c>
      <c r="W316" s="309"/>
      <c r="X316" s="310"/>
      <c r="Y316" s="310"/>
      <c r="Z316" s="310"/>
      <c r="AA316" s="310"/>
      <c r="AB316" s="310"/>
      <c r="AC316" s="310"/>
      <c r="AD316" s="220"/>
      <c r="AE316" s="220"/>
      <c r="AF316" s="220"/>
      <c r="AG316" s="220"/>
      <c r="AH316" s="308"/>
      <c r="AI316" s="220"/>
      <c r="AJ316" s="220"/>
      <c r="AK316" s="220"/>
      <c r="AL316" s="220"/>
      <c r="AM316" s="220"/>
      <c r="AN316" s="220"/>
      <c r="AO316" s="220"/>
      <c r="AP316" s="220"/>
      <c r="AQ316" s="220"/>
      <c r="AR316" s="220"/>
      <c r="AS316" s="220"/>
      <c r="AT316" s="220"/>
      <c r="AU316" s="220"/>
      <c r="AV316" s="220"/>
      <c r="AW316" s="220"/>
      <c r="AX316" s="220"/>
      <c r="AY316" s="202" t="s">
        <v>6</v>
      </c>
      <c r="AZ316" s="310">
        <v>2700.0</v>
      </c>
      <c r="BA316" s="220"/>
    </row>
    <row r="317">
      <c r="A317" s="290" t="str">
        <f>PRIX!A318</f>
        <v/>
      </c>
      <c r="B317" s="299" t="str">
        <f>IF(A317="","",PRIX!B318*'QUANTITE DETENUES'!B318)</f>
        <v/>
      </c>
      <c r="C317" s="299" t="str">
        <f>IF(B317="","",PRIX!C318*'QUANTITE DETENUES'!C318)</f>
        <v/>
      </c>
      <c r="D317" s="299" t="str">
        <f>IF(C317="","",PRIX!D318*'QUANTITE DETENUES'!D318)</f>
        <v/>
      </c>
      <c r="E317" s="299" t="str">
        <f>IF(D317="","",PRIX!E318*'QUANTITE DETENUES'!E318)</f>
        <v/>
      </c>
      <c r="F317" s="299" t="str">
        <f>IF(E317="","",PRIX!F318*'QUANTITE DETENUES'!F318)</f>
        <v/>
      </c>
      <c r="G317" s="299" t="str">
        <f>IF(F317="","",PRIX!G318*'QUANTITE DETENUES'!G318)</f>
        <v/>
      </c>
      <c r="H317" s="299" t="str">
        <f>IF(G317="","",PRIX!H318*'QUANTITE DETENUES'!H318)</f>
        <v/>
      </c>
      <c r="I317" s="299" t="str">
        <f>IF(H317="","",PRIX!I318*'QUANTITE DETENUES'!I318)</f>
        <v/>
      </c>
      <c r="J317" s="299" t="str">
        <f>IF(I317="","",PRIX!J318*'QUANTITE DETENUES'!J318)</f>
        <v/>
      </c>
      <c r="K317" s="299" t="str">
        <f>IF(J317="","",PRIX!K318*'QUANTITE DETENUES'!K318)</f>
        <v/>
      </c>
      <c r="L317" s="299" t="str">
        <f>IF(K317="","",PRIX!L318*'QUANTITE DETENUES'!L318)</f>
        <v/>
      </c>
      <c r="M317" s="299" t="str">
        <f>IF(L317="","",PRIX!M318*'QUANTITE DETENUES'!M318)</f>
        <v/>
      </c>
      <c r="N317" s="299" t="str">
        <f>IF(M317="","",PRIX!N318*'QUANTITE DETENUES'!N318)</f>
        <v/>
      </c>
      <c r="O317" s="299" t="str">
        <f>IF(N317="","",PRIX!O318*'QUANTITE DETENUES'!O318)</f>
        <v/>
      </c>
      <c r="P317" s="299" t="str">
        <f>IF(O317="","",PRIX!P318*'QUANTITE DETENUES'!P318)</f>
        <v/>
      </c>
      <c r="Q317" s="299" t="str">
        <f>IF(P317="","",PRIX!Q318*'QUANTITE DETENUES'!Q318)</f>
        <v/>
      </c>
      <c r="R317" s="299" t="str">
        <f>IF(Q317="","",PRIX!R318*'QUANTITE DETENUES'!R318)</f>
        <v/>
      </c>
      <c r="S317" s="300" t="str">
        <f>IF(R317="","",PRIX!S318*'QUANTITE DETENUES'!S318)</f>
        <v/>
      </c>
      <c r="T317" s="14" t="str">
        <f>IF(A317="","",ARBITRAGES!M318)</f>
        <v/>
      </c>
      <c r="U317" s="301" t="str">
        <f t="shared" si="1"/>
        <v/>
      </c>
      <c r="V317" s="302" t="str">
        <f t="shared" si="2"/>
        <v/>
      </c>
      <c r="W317" s="309"/>
      <c r="X317" s="310"/>
      <c r="Y317" s="310"/>
      <c r="Z317" s="310"/>
      <c r="AA317" s="310"/>
      <c r="AB317" s="310"/>
      <c r="AC317" s="310"/>
      <c r="AD317" s="220"/>
      <c r="AE317" s="220"/>
      <c r="AF317" s="220"/>
      <c r="AG317" s="220"/>
      <c r="AH317" s="308"/>
      <c r="AI317" s="220"/>
      <c r="AJ317" s="220"/>
      <c r="AK317" s="220"/>
      <c r="AL317" s="220"/>
      <c r="AM317" s="220"/>
      <c r="AN317" s="220"/>
      <c r="AO317" s="220"/>
      <c r="AP317" s="220"/>
      <c r="AQ317" s="220"/>
      <c r="AR317" s="220"/>
      <c r="AS317" s="220"/>
      <c r="AT317" s="220"/>
      <c r="AU317" s="220"/>
      <c r="AV317" s="220"/>
      <c r="AW317" s="220"/>
      <c r="AX317" s="220"/>
      <c r="AY317" s="202" t="s">
        <v>6</v>
      </c>
      <c r="AZ317" s="310">
        <v>2700.0</v>
      </c>
      <c r="BA317" s="220"/>
    </row>
    <row r="318">
      <c r="A318" s="290" t="str">
        <f>PRIX!A319</f>
        <v/>
      </c>
      <c r="B318" s="299" t="str">
        <f>IF(A318="","",PRIX!B319*'QUANTITE DETENUES'!B319)</f>
        <v/>
      </c>
      <c r="C318" s="299" t="str">
        <f>IF(B318="","",PRIX!C319*'QUANTITE DETENUES'!C319)</f>
        <v/>
      </c>
      <c r="D318" s="299" t="str">
        <f>IF(C318="","",PRIX!D319*'QUANTITE DETENUES'!D319)</f>
        <v/>
      </c>
      <c r="E318" s="299" t="str">
        <f>IF(D318="","",PRIX!E319*'QUANTITE DETENUES'!E319)</f>
        <v/>
      </c>
      <c r="F318" s="299" t="str">
        <f>IF(E318="","",PRIX!F319*'QUANTITE DETENUES'!F319)</f>
        <v/>
      </c>
      <c r="G318" s="299" t="str">
        <f>IF(F318="","",PRIX!G319*'QUANTITE DETENUES'!G319)</f>
        <v/>
      </c>
      <c r="H318" s="299" t="str">
        <f>IF(G318="","",PRIX!H319*'QUANTITE DETENUES'!H319)</f>
        <v/>
      </c>
      <c r="I318" s="299" t="str">
        <f>IF(H318="","",PRIX!I319*'QUANTITE DETENUES'!I319)</f>
        <v/>
      </c>
      <c r="J318" s="299" t="str">
        <f>IF(I318="","",PRIX!J319*'QUANTITE DETENUES'!J319)</f>
        <v/>
      </c>
      <c r="K318" s="299" t="str">
        <f>IF(J318="","",PRIX!K319*'QUANTITE DETENUES'!K319)</f>
        <v/>
      </c>
      <c r="L318" s="299" t="str">
        <f>IF(K318="","",PRIX!L319*'QUANTITE DETENUES'!L319)</f>
        <v/>
      </c>
      <c r="M318" s="299" t="str">
        <f>IF(L318="","",PRIX!M319*'QUANTITE DETENUES'!M319)</f>
        <v/>
      </c>
      <c r="N318" s="299" t="str">
        <f>IF(M318="","",PRIX!N319*'QUANTITE DETENUES'!N319)</f>
        <v/>
      </c>
      <c r="O318" s="299" t="str">
        <f>IF(N318="","",PRIX!O319*'QUANTITE DETENUES'!O319)</f>
        <v/>
      </c>
      <c r="P318" s="299" t="str">
        <f>IF(O318="","",PRIX!P319*'QUANTITE DETENUES'!P319)</f>
        <v/>
      </c>
      <c r="Q318" s="299" t="str">
        <f>IF(P318="","",PRIX!Q319*'QUANTITE DETENUES'!Q319)</f>
        <v/>
      </c>
      <c r="R318" s="299" t="str">
        <f>IF(Q318="","",PRIX!R319*'QUANTITE DETENUES'!R319)</f>
        <v/>
      </c>
      <c r="S318" s="300" t="str">
        <f>IF(R318="","",PRIX!S319*'QUANTITE DETENUES'!S319)</f>
        <v/>
      </c>
      <c r="T318" s="14" t="str">
        <f>IF(A318="","",ARBITRAGES!M319)</f>
        <v/>
      </c>
      <c r="U318" s="301" t="str">
        <f t="shared" si="1"/>
        <v/>
      </c>
      <c r="V318" s="302" t="str">
        <f t="shared" si="2"/>
        <v/>
      </c>
      <c r="W318" s="309"/>
      <c r="X318" s="310"/>
      <c r="Y318" s="310"/>
      <c r="Z318" s="310"/>
      <c r="AA318" s="310"/>
      <c r="AB318" s="310"/>
      <c r="AC318" s="310"/>
      <c r="AD318" s="220"/>
      <c r="AE318" s="220"/>
      <c r="AF318" s="220"/>
      <c r="AG318" s="220"/>
      <c r="AH318" s="308"/>
      <c r="AI318" s="220"/>
      <c r="AJ318" s="220"/>
      <c r="AK318" s="220"/>
      <c r="AL318" s="220"/>
      <c r="AM318" s="220"/>
      <c r="AN318" s="220"/>
      <c r="AO318" s="220"/>
      <c r="AP318" s="220"/>
      <c r="AQ318" s="220"/>
      <c r="AR318" s="220"/>
      <c r="AS318" s="220"/>
      <c r="AT318" s="220"/>
      <c r="AU318" s="220"/>
      <c r="AV318" s="220"/>
      <c r="AW318" s="220"/>
      <c r="AX318" s="220"/>
      <c r="AY318" s="202" t="s">
        <v>6</v>
      </c>
      <c r="AZ318" s="310">
        <v>2700.0</v>
      </c>
      <c r="BA318" s="220"/>
    </row>
    <row r="319">
      <c r="A319" s="290" t="str">
        <f>PRIX!A320</f>
        <v/>
      </c>
      <c r="B319" s="299" t="str">
        <f>IF(A319="","",PRIX!B320*'QUANTITE DETENUES'!B320)</f>
        <v/>
      </c>
      <c r="C319" s="299" t="str">
        <f>IF(B319="","",PRIX!C320*'QUANTITE DETENUES'!C320)</f>
        <v/>
      </c>
      <c r="D319" s="299" t="str">
        <f>IF(C319="","",PRIX!D320*'QUANTITE DETENUES'!D320)</f>
        <v/>
      </c>
      <c r="E319" s="299" t="str">
        <f>IF(D319="","",PRIX!E320*'QUANTITE DETENUES'!E320)</f>
        <v/>
      </c>
      <c r="F319" s="299" t="str">
        <f>IF(E319="","",PRIX!F320*'QUANTITE DETENUES'!F320)</f>
        <v/>
      </c>
      <c r="G319" s="299" t="str">
        <f>IF(F319="","",PRIX!G320*'QUANTITE DETENUES'!G320)</f>
        <v/>
      </c>
      <c r="H319" s="299" t="str">
        <f>IF(G319="","",PRIX!H320*'QUANTITE DETENUES'!H320)</f>
        <v/>
      </c>
      <c r="I319" s="299" t="str">
        <f>IF(H319="","",PRIX!I320*'QUANTITE DETENUES'!I320)</f>
        <v/>
      </c>
      <c r="J319" s="299" t="str">
        <f>IF(I319="","",PRIX!J320*'QUANTITE DETENUES'!J320)</f>
        <v/>
      </c>
      <c r="K319" s="299" t="str">
        <f>IF(J319="","",PRIX!K320*'QUANTITE DETENUES'!K320)</f>
        <v/>
      </c>
      <c r="L319" s="299" t="str">
        <f>IF(K319="","",PRIX!L320*'QUANTITE DETENUES'!L320)</f>
        <v/>
      </c>
      <c r="M319" s="299" t="str">
        <f>IF(L319="","",PRIX!M320*'QUANTITE DETENUES'!M320)</f>
        <v/>
      </c>
      <c r="N319" s="299" t="str">
        <f>IF(M319="","",PRIX!N320*'QUANTITE DETENUES'!N320)</f>
        <v/>
      </c>
      <c r="O319" s="299" t="str">
        <f>IF(N319="","",PRIX!O320*'QUANTITE DETENUES'!O320)</f>
        <v/>
      </c>
      <c r="P319" s="299" t="str">
        <f>IF(O319="","",PRIX!P320*'QUANTITE DETENUES'!P320)</f>
        <v/>
      </c>
      <c r="Q319" s="299" t="str">
        <f>IF(P319="","",PRIX!Q320*'QUANTITE DETENUES'!Q320)</f>
        <v/>
      </c>
      <c r="R319" s="299" t="str">
        <f>IF(Q319="","",PRIX!R320*'QUANTITE DETENUES'!R320)</f>
        <v/>
      </c>
      <c r="S319" s="300" t="str">
        <f>IF(R319="","",PRIX!S320*'QUANTITE DETENUES'!S320)</f>
        <v/>
      </c>
      <c r="T319" s="14" t="str">
        <f>IF(A319="","",ARBITRAGES!M320)</f>
        <v/>
      </c>
      <c r="U319" s="301" t="str">
        <f t="shared" si="1"/>
        <v/>
      </c>
      <c r="V319" s="302" t="str">
        <f t="shared" si="2"/>
        <v/>
      </c>
      <c r="W319" s="309"/>
      <c r="X319" s="310"/>
      <c r="Y319" s="310"/>
      <c r="Z319" s="310"/>
      <c r="AA319" s="310"/>
      <c r="AB319" s="310"/>
      <c r="AC319" s="310"/>
      <c r="AD319" s="220"/>
      <c r="AE319" s="220"/>
      <c r="AF319" s="220"/>
      <c r="AG319" s="220"/>
      <c r="AH319" s="308"/>
      <c r="AI319" s="220"/>
      <c r="AJ319" s="220"/>
      <c r="AK319" s="220"/>
      <c r="AL319" s="220"/>
      <c r="AM319" s="220"/>
      <c r="AN319" s="220"/>
      <c r="AO319" s="220"/>
      <c r="AP319" s="220"/>
      <c r="AQ319" s="220"/>
      <c r="AR319" s="220"/>
      <c r="AS319" s="220"/>
      <c r="AT319" s="220"/>
      <c r="AU319" s="220"/>
      <c r="AV319" s="220"/>
      <c r="AW319" s="220"/>
      <c r="AX319" s="220"/>
      <c r="AY319" s="202" t="s">
        <v>6</v>
      </c>
      <c r="AZ319" s="310">
        <v>2920.0</v>
      </c>
      <c r="BA319" s="220"/>
    </row>
    <row r="320">
      <c r="A320" s="290" t="str">
        <f>PRIX!A321</f>
        <v/>
      </c>
      <c r="B320" s="299" t="str">
        <f>IF(A320="","",PRIX!B321*'QUANTITE DETENUES'!B321)</f>
        <v/>
      </c>
      <c r="C320" s="299" t="str">
        <f>IF(B320="","",PRIX!C321*'QUANTITE DETENUES'!C321)</f>
        <v/>
      </c>
      <c r="D320" s="299" t="str">
        <f>IF(C320="","",PRIX!D321*'QUANTITE DETENUES'!D321)</f>
        <v/>
      </c>
      <c r="E320" s="299" t="str">
        <f>IF(D320="","",PRIX!E321*'QUANTITE DETENUES'!E321)</f>
        <v/>
      </c>
      <c r="F320" s="299" t="str">
        <f>IF(E320="","",PRIX!F321*'QUANTITE DETENUES'!F321)</f>
        <v/>
      </c>
      <c r="G320" s="299" t="str">
        <f>IF(F320="","",PRIX!G321*'QUANTITE DETENUES'!G321)</f>
        <v/>
      </c>
      <c r="H320" s="299" t="str">
        <f>IF(G320="","",PRIX!H321*'QUANTITE DETENUES'!H321)</f>
        <v/>
      </c>
      <c r="I320" s="299" t="str">
        <f>IF(H320="","",PRIX!I321*'QUANTITE DETENUES'!I321)</f>
        <v/>
      </c>
      <c r="J320" s="299" t="str">
        <f>IF(I320="","",PRIX!J321*'QUANTITE DETENUES'!J321)</f>
        <v/>
      </c>
      <c r="K320" s="299" t="str">
        <f>IF(J320="","",PRIX!K321*'QUANTITE DETENUES'!K321)</f>
        <v/>
      </c>
      <c r="L320" s="299" t="str">
        <f>IF(K320="","",PRIX!L321*'QUANTITE DETENUES'!L321)</f>
        <v/>
      </c>
      <c r="M320" s="299" t="str">
        <f>IF(L320="","",PRIX!M321*'QUANTITE DETENUES'!M321)</f>
        <v/>
      </c>
      <c r="N320" s="299" t="str">
        <f>IF(M320="","",PRIX!N321*'QUANTITE DETENUES'!N321)</f>
        <v/>
      </c>
      <c r="O320" s="299" t="str">
        <f>IF(N320="","",PRIX!O321*'QUANTITE DETENUES'!O321)</f>
        <v/>
      </c>
      <c r="P320" s="299" t="str">
        <f>IF(O320="","",PRIX!P321*'QUANTITE DETENUES'!P321)</f>
        <v/>
      </c>
      <c r="Q320" s="299" t="str">
        <f>IF(P320="","",PRIX!Q321*'QUANTITE DETENUES'!Q321)</f>
        <v/>
      </c>
      <c r="R320" s="299" t="str">
        <f>IF(Q320="","",PRIX!R321*'QUANTITE DETENUES'!R321)</f>
        <v/>
      </c>
      <c r="S320" s="300" t="str">
        <f>IF(R320="","",PRIX!S321*'QUANTITE DETENUES'!S321)</f>
        <v/>
      </c>
      <c r="T320" s="14" t="str">
        <f>IF(A320="","",ARBITRAGES!M321)</f>
        <v/>
      </c>
      <c r="U320" s="301" t="str">
        <f t="shared" si="1"/>
        <v/>
      </c>
      <c r="V320" s="302" t="str">
        <f t="shared" si="2"/>
        <v/>
      </c>
      <c r="W320" s="309"/>
      <c r="X320" s="310"/>
      <c r="Y320" s="310"/>
      <c r="Z320" s="310"/>
      <c r="AA320" s="310"/>
      <c r="AB320" s="310"/>
      <c r="AC320" s="310"/>
      <c r="AD320" s="220"/>
      <c r="AE320" s="220"/>
      <c r="AF320" s="220"/>
      <c r="AG320" s="220"/>
      <c r="AH320" s="308"/>
      <c r="AI320" s="220"/>
      <c r="AJ320" s="220"/>
      <c r="AK320" s="220"/>
      <c r="AL320" s="220"/>
      <c r="AM320" s="220"/>
      <c r="AN320" s="220"/>
      <c r="AO320" s="220"/>
      <c r="AP320" s="220"/>
      <c r="AQ320" s="220"/>
      <c r="AR320" s="220"/>
      <c r="AS320" s="220"/>
      <c r="AT320" s="220"/>
      <c r="AU320" s="220"/>
      <c r="AV320" s="220"/>
      <c r="AW320" s="220"/>
      <c r="AX320" s="220"/>
      <c r="AY320" s="202" t="s">
        <v>6</v>
      </c>
      <c r="AZ320" s="310">
        <v>2920.0</v>
      </c>
      <c r="BA320" s="220"/>
    </row>
    <row r="321">
      <c r="A321" s="290" t="str">
        <f>PRIX!A322</f>
        <v/>
      </c>
      <c r="B321" s="299" t="str">
        <f>IF(A321="","",PRIX!B322*'QUANTITE DETENUES'!B322)</f>
        <v/>
      </c>
      <c r="C321" s="299" t="str">
        <f>IF(B321="","",PRIX!C322*'QUANTITE DETENUES'!C322)</f>
        <v/>
      </c>
      <c r="D321" s="299" t="str">
        <f>IF(C321="","",PRIX!D322*'QUANTITE DETENUES'!D322)</f>
        <v/>
      </c>
      <c r="E321" s="299" t="str">
        <f>IF(D321="","",PRIX!E322*'QUANTITE DETENUES'!E322)</f>
        <v/>
      </c>
      <c r="F321" s="299" t="str">
        <f>IF(E321="","",PRIX!F322*'QUANTITE DETENUES'!F322)</f>
        <v/>
      </c>
      <c r="G321" s="299" t="str">
        <f>IF(F321="","",PRIX!G322*'QUANTITE DETENUES'!G322)</f>
        <v/>
      </c>
      <c r="H321" s="299" t="str">
        <f>IF(G321="","",PRIX!H322*'QUANTITE DETENUES'!H322)</f>
        <v/>
      </c>
      <c r="I321" s="299" t="str">
        <f>IF(H321="","",PRIX!I322*'QUANTITE DETENUES'!I322)</f>
        <v/>
      </c>
      <c r="J321" s="299" t="str">
        <f>IF(I321="","",PRIX!J322*'QUANTITE DETENUES'!J322)</f>
        <v/>
      </c>
      <c r="K321" s="299" t="str">
        <f>IF(J321="","",PRIX!K322*'QUANTITE DETENUES'!K322)</f>
        <v/>
      </c>
      <c r="L321" s="299" t="str">
        <f>IF(K321="","",PRIX!L322*'QUANTITE DETENUES'!L322)</f>
        <v/>
      </c>
      <c r="M321" s="299" t="str">
        <f>IF(L321="","",PRIX!M322*'QUANTITE DETENUES'!M322)</f>
        <v/>
      </c>
      <c r="N321" s="299" t="str">
        <f>IF(M321="","",PRIX!N322*'QUANTITE DETENUES'!N322)</f>
        <v/>
      </c>
      <c r="O321" s="299" t="str">
        <f>IF(N321="","",PRIX!O322*'QUANTITE DETENUES'!O322)</f>
        <v/>
      </c>
      <c r="P321" s="299" t="str">
        <f>IF(O321="","",PRIX!P322*'QUANTITE DETENUES'!P322)</f>
        <v/>
      </c>
      <c r="Q321" s="299" t="str">
        <f>IF(P321="","",PRIX!Q322*'QUANTITE DETENUES'!Q322)</f>
        <v/>
      </c>
      <c r="R321" s="299" t="str">
        <f>IF(Q321="","",PRIX!R322*'QUANTITE DETENUES'!R322)</f>
        <v/>
      </c>
      <c r="S321" s="300" t="str">
        <f>IF(R321="","",PRIX!S322*'QUANTITE DETENUES'!S322)</f>
        <v/>
      </c>
      <c r="T321" s="14" t="str">
        <f>IF(A321="","",ARBITRAGES!M322)</f>
        <v/>
      </c>
      <c r="U321" s="301" t="str">
        <f t="shared" si="1"/>
        <v/>
      </c>
      <c r="V321" s="302" t="str">
        <f t="shared" si="2"/>
        <v/>
      </c>
      <c r="W321" s="309"/>
      <c r="X321" s="310"/>
      <c r="Y321" s="310"/>
      <c r="Z321" s="310"/>
      <c r="AA321" s="310"/>
      <c r="AB321" s="310"/>
      <c r="AC321" s="310"/>
      <c r="AD321" s="220"/>
      <c r="AE321" s="220"/>
      <c r="AF321" s="220"/>
      <c r="AG321" s="220"/>
      <c r="AH321" s="308"/>
      <c r="AI321" s="220"/>
      <c r="AJ321" s="220"/>
      <c r="AK321" s="220"/>
      <c r="AL321" s="220"/>
      <c r="AM321" s="220"/>
      <c r="AN321" s="220"/>
      <c r="AO321" s="220"/>
      <c r="AP321" s="220"/>
      <c r="AQ321" s="220"/>
      <c r="AR321" s="220"/>
      <c r="AS321" s="220"/>
      <c r="AT321" s="220"/>
      <c r="AU321" s="220"/>
      <c r="AV321" s="220"/>
      <c r="AW321" s="220"/>
      <c r="AX321" s="220"/>
      <c r="AY321" s="202" t="s">
        <v>7</v>
      </c>
      <c r="AZ321" s="310">
        <v>5.1</v>
      </c>
      <c r="BA321" s="220"/>
    </row>
    <row r="322">
      <c r="A322" s="290" t="str">
        <f>PRIX!A323</f>
        <v/>
      </c>
      <c r="B322" s="299" t="str">
        <f>IF(A322="","",PRIX!B323*'QUANTITE DETENUES'!B323)</f>
        <v/>
      </c>
      <c r="C322" s="299" t="str">
        <f>IF(B322="","",PRIX!C323*'QUANTITE DETENUES'!C323)</f>
        <v/>
      </c>
      <c r="D322" s="299" t="str">
        <f>IF(C322="","",PRIX!D323*'QUANTITE DETENUES'!D323)</f>
        <v/>
      </c>
      <c r="E322" s="299" t="str">
        <f>IF(D322="","",PRIX!E323*'QUANTITE DETENUES'!E323)</f>
        <v/>
      </c>
      <c r="F322" s="299" t="str">
        <f>IF(E322="","",PRIX!F323*'QUANTITE DETENUES'!F323)</f>
        <v/>
      </c>
      <c r="G322" s="299" t="str">
        <f>IF(F322="","",PRIX!G323*'QUANTITE DETENUES'!G323)</f>
        <v/>
      </c>
      <c r="H322" s="299" t="str">
        <f>IF(G322="","",PRIX!H323*'QUANTITE DETENUES'!H323)</f>
        <v/>
      </c>
      <c r="I322" s="299" t="str">
        <f>IF(H322="","",PRIX!I323*'QUANTITE DETENUES'!I323)</f>
        <v/>
      </c>
      <c r="J322" s="299" t="str">
        <f>IF(I322="","",PRIX!J323*'QUANTITE DETENUES'!J323)</f>
        <v/>
      </c>
      <c r="K322" s="299" t="str">
        <f>IF(J322="","",PRIX!K323*'QUANTITE DETENUES'!K323)</f>
        <v/>
      </c>
      <c r="L322" s="299" t="str">
        <f>IF(K322="","",PRIX!L323*'QUANTITE DETENUES'!L323)</f>
        <v/>
      </c>
      <c r="M322" s="299" t="str">
        <f>IF(L322="","",PRIX!M323*'QUANTITE DETENUES'!M323)</f>
        <v/>
      </c>
      <c r="N322" s="299" t="str">
        <f>IF(M322="","",PRIX!N323*'QUANTITE DETENUES'!N323)</f>
        <v/>
      </c>
      <c r="O322" s="299" t="str">
        <f>IF(N322="","",PRIX!O323*'QUANTITE DETENUES'!O323)</f>
        <v/>
      </c>
      <c r="P322" s="299" t="str">
        <f>IF(O322="","",PRIX!P323*'QUANTITE DETENUES'!P323)</f>
        <v/>
      </c>
      <c r="Q322" s="299" t="str">
        <f>IF(P322="","",PRIX!Q323*'QUANTITE DETENUES'!Q323)</f>
        <v/>
      </c>
      <c r="R322" s="299" t="str">
        <f>IF(Q322="","",PRIX!R323*'QUANTITE DETENUES'!R323)</f>
        <v/>
      </c>
      <c r="S322" s="300" t="str">
        <f>IF(R322="","",PRIX!S323*'QUANTITE DETENUES'!S323)</f>
        <v/>
      </c>
      <c r="T322" s="14" t="str">
        <f>IF(A322="","",ARBITRAGES!M323)</f>
        <v/>
      </c>
      <c r="U322" s="301" t="str">
        <f t="shared" si="1"/>
        <v/>
      </c>
      <c r="V322" s="302" t="str">
        <f t="shared" si="2"/>
        <v/>
      </c>
      <c r="W322" s="309"/>
      <c r="X322" s="310"/>
      <c r="Y322" s="310"/>
      <c r="Z322" s="310"/>
      <c r="AA322" s="310"/>
      <c r="AB322" s="310"/>
      <c r="AC322" s="310"/>
      <c r="AD322" s="220"/>
      <c r="AE322" s="220"/>
      <c r="AF322" s="220"/>
      <c r="AG322" s="220"/>
      <c r="AH322" s="308"/>
      <c r="AI322" s="220"/>
      <c r="AJ322" s="220"/>
      <c r="AK322" s="220"/>
      <c r="AL322" s="220"/>
      <c r="AM322" s="220"/>
      <c r="AN322" s="220"/>
      <c r="AO322" s="220"/>
      <c r="AP322" s="220"/>
      <c r="AQ322" s="220"/>
      <c r="AR322" s="220"/>
      <c r="AS322" s="220"/>
      <c r="AT322" s="220"/>
      <c r="AU322" s="220"/>
      <c r="AV322" s="220"/>
      <c r="AW322" s="220"/>
      <c r="AX322" s="220"/>
      <c r="AY322" s="202" t="s">
        <v>7</v>
      </c>
      <c r="AZ322" s="310">
        <v>5.1</v>
      </c>
      <c r="BA322" s="220"/>
    </row>
    <row r="323">
      <c r="A323" s="290" t="str">
        <f>PRIX!A324</f>
        <v/>
      </c>
      <c r="B323" s="299" t="str">
        <f>IF(A323="","",PRIX!B324*'QUANTITE DETENUES'!B324)</f>
        <v/>
      </c>
      <c r="C323" s="299" t="str">
        <f>IF(B323="","",PRIX!C324*'QUANTITE DETENUES'!C324)</f>
        <v/>
      </c>
      <c r="D323" s="299" t="str">
        <f>IF(C323="","",PRIX!D324*'QUANTITE DETENUES'!D324)</f>
        <v/>
      </c>
      <c r="E323" s="299" t="str">
        <f>IF(D323="","",PRIX!E324*'QUANTITE DETENUES'!E324)</f>
        <v/>
      </c>
      <c r="F323" s="299" t="str">
        <f>IF(E323="","",PRIX!F324*'QUANTITE DETENUES'!F324)</f>
        <v/>
      </c>
      <c r="G323" s="299" t="str">
        <f>IF(F323="","",PRIX!G324*'QUANTITE DETENUES'!G324)</f>
        <v/>
      </c>
      <c r="H323" s="299" t="str">
        <f>IF(G323="","",PRIX!H324*'QUANTITE DETENUES'!H324)</f>
        <v/>
      </c>
      <c r="I323" s="299" t="str">
        <f>IF(H323="","",PRIX!I324*'QUANTITE DETENUES'!I324)</f>
        <v/>
      </c>
      <c r="J323" s="299" t="str">
        <f>IF(I323="","",PRIX!J324*'QUANTITE DETENUES'!J324)</f>
        <v/>
      </c>
      <c r="K323" s="299" t="str">
        <f>IF(J323="","",PRIX!K324*'QUANTITE DETENUES'!K324)</f>
        <v/>
      </c>
      <c r="L323" s="299" t="str">
        <f>IF(K323="","",PRIX!L324*'QUANTITE DETENUES'!L324)</f>
        <v/>
      </c>
      <c r="M323" s="299" t="str">
        <f>IF(L323="","",PRIX!M324*'QUANTITE DETENUES'!M324)</f>
        <v/>
      </c>
      <c r="N323" s="299" t="str">
        <f>IF(M323="","",PRIX!N324*'QUANTITE DETENUES'!N324)</f>
        <v/>
      </c>
      <c r="O323" s="299" t="str">
        <f>IF(N323="","",PRIX!O324*'QUANTITE DETENUES'!O324)</f>
        <v/>
      </c>
      <c r="P323" s="299" t="str">
        <f>IF(O323="","",PRIX!P324*'QUANTITE DETENUES'!P324)</f>
        <v/>
      </c>
      <c r="Q323" s="299" t="str">
        <f>IF(P323="","",PRIX!Q324*'QUANTITE DETENUES'!Q324)</f>
        <v/>
      </c>
      <c r="R323" s="299" t="str">
        <f>IF(Q323="","",PRIX!R324*'QUANTITE DETENUES'!R324)</f>
        <v/>
      </c>
      <c r="S323" s="300" t="str">
        <f>IF(R323="","",PRIX!S324*'QUANTITE DETENUES'!S324)</f>
        <v/>
      </c>
      <c r="T323" s="14" t="str">
        <f>IF(A323="","",ARBITRAGES!M324)</f>
        <v/>
      </c>
      <c r="U323" s="301" t="str">
        <f t="shared" si="1"/>
        <v/>
      </c>
      <c r="V323" s="302" t="str">
        <f t="shared" si="2"/>
        <v/>
      </c>
      <c r="W323" s="309"/>
      <c r="X323" s="310"/>
      <c r="Y323" s="310"/>
      <c r="Z323" s="310"/>
      <c r="AA323" s="310"/>
      <c r="AB323" s="310"/>
      <c r="AC323" s="310"/>
      <c r="AD323" s="220"/>
      <c r="AE323" s="220"/>
      <c r="AF323" s="220"/>
      <c r="AG323" s="220"/>
      <c r="AH323" s="308"/>
      <c r="AI323" s="220"/>
      <c r="AJ323" s="220"/>
      <c r="AK323" s="220"/>
      <c r="AL323" s="220"/>
      <c r="AM323" s="220"/>
      <c r="AN323" s="220"/>
      <c r="AO323" s="220"/>
      <c r="AP323" s="220"/>
      <c r="AQ323" s="220"/>
      <c r="AR323" s="220"/>
      <c r="AS323" s="220"/>
      <c r="AT323" s="220"/>
      <c r="AU323" s="220"/>
      <c r="AV323" s="220"/>
      <c r="AW323" s="220"/>
      <c r="AX323" s="220"/>
      <c r="AY323" s="202" t="s">
        <v>7</v>
      </c>
      <c r="AZ323" s="310">
        <v>5.5</v>
      </c>
      <c r="BA323" s="220"/>
    </row>
    <row r="324">
      <c r="A324" s="290" t="str">
        <f>PRIX!A325</f>
        <v/>
      </c>
      <c r="B324" s="299" t="str">
        <f>IF(A324="","",PRIX!B325*'QUANTITE DETENUES'!B325)</f>
        <v/>
      </c>
      <c r="C324" s="299" t="str">
        <f>IF(B324="","",PRIX!C325*'QUANTITE DETENUES'!C325)</f>
        <v/>
      </c>
      <c r="D324" s="299" t="str">
        <f>IF(C324="","",PRIX!D325*'QUANTITE DETENUES'!D325)</f>
        <v/>
      </c>
      <c r="E324" s="299" t="str">
        <f>IF(D324="","",PRIX!E325*'QUANTITE DETENUES'!E325)</f>
        <v/>
      </c>
      <c r="F324" s="299" t="str">
        <f>IF(E324="","",PRIX!F325*'QUANTITE DETENUES'!F325)</f>
        <v/>
      </c>
      <c r="G324" s="299" t="str">
        <f>IF(F324="","",PRIX!G325*'QUANTITE DETENUES'!G325)</f>
        <v/>
      </c>
      <c r="H324" s="299" t="str">
        <f>IF(G324="","",PRIX!H325*'QUANTITE DETENUES'!H325)</f>
        <v/>
      </c>
      <c r="I324" s="299" t="str">
        <f>IF(H324="","",PRIX!I325*'QUANTITE DETENUES'!I325)</f>
        <v/>
      </c>
      <c r="J324" s="299" t="str">
        <f>IF(I324="","",PRIX!J325*'QUANTITE DETENUES'!J325)</f>
        <v/>
      </c>
      <c r="K324" s="299" t="str">
        <f>IF(J324="","",PRIX!K325*'QUANTITE DETENUES'!K325)</f>
        <v/>
      </c>
      <c r="L324" s="299" t="str">
        <f>IF(K324="","",PRIX!L325*'QUANTITE DETENUES'!L325)</f>
        <v/>
      </c>
      <c r="M324" s="299" t="str">
        <f>IF(L324="","",PRIX!M325*'QUANTITE DETENUES'!M325)</f>
        <v/>
      </c>
      <c r="N324" s="299" t="str">
        <f>IF(M324="","",PRIX!N325*'QUANTITE DETENUES'!N325)</f>
        <v/>
      </c>
      <c r="O324" s="299" t="str">
        <f>IF(N324="","",PRIX!O325*'QUANTITE DETENUES'!O325)</f>
        <v/>
      </c>
      <c r="P324" s="299" t="str">
        <f>IF(O324="","",PRIX!P325*'QUANTITE DETENUES'!P325)</f>
        <v/>
      </c>
      <c r="Q324" s="299" t="str">
        <f>IF(P324="","",PRIX!Q325*'QUANTITE DETENUES'!Q325)</f>
        <v/>
      </c>
      <c r="R324" s="299" t="str">
        <f>IF(Q324="","",PRIX!R325*'QUANTITE DETENUES'!R325)</f>
        <v/>
      </c>
      <c r="S324" s="300" t="str">
        <f>IF(R324="","",PRIX!S325*'QUANTITE DETENUES'!S325)</f>
        <v/>
      </c>
      <c r="T324" s="14" t="str">
        <f>IF(A324="","",ARBITRAGES!M325)</f>
        <v/>
      </c>
      <c r="U324" s="301" t="str">
        <f t="shared" si="1"/>
        <v/>
      </c>
      <c r="V324" s="302" t="str">
        <f t="shared" si="2"/>
        <v/>
      </c>
      <c r="W324" s="309"/>
      <c r="X324" s="310"/>
      <c r="Y324" s="310"/>
      <c r="Z324" s="310"/>
      <c r="AA324" s="310"/>
      <c r="AB324" s="310"/>
      <c r="AC324" s="310"/>
      <c r="AD324" s="220"/>
      <c r="AE324" s="220"/>
      <c r="AF324" s="220"/>
      <c r="AG324" s="220"/>
      <c r="AH324" s="308"/>
      <c r="AI324" s="220"/>
      <c r="AJ324" s="220"/>
      <c r="AK324" s="220"/>
      <c r="AL324" s="220"/>
      <c r="AM324" s="220"/>
      <c r="AN324" s="220"/>
      <c r="AO324" s="220"/>
      <c r="AP324" s="220"/>
      <c r="AQ324" s="220"/>
      <c r="AR324" s="220"/>
      <c r="AS324" s="220"/>
      <c r="AT324" s="220"/>
      <c r="AU324" s="220"/>
      <c r="AV324" s="220"/>
      <c r="AW324" s="220"/>
      <c r="AX324" s="220"/>
      <c r="AY324" s="202" t="s">
        <v>7</v>
      </c>
      <c r="AZ324" s="310">
        <v>5.5</v>
      </c>
      <c r="BA324" s="220"/>
    </row>
    <row r="325">
      <c r="A325" s="290" t="str">
        <f>PRIX!A326</f>
        <v/>
      </c>
      <c r="B325" s="299" t="str">
        <f>IF(A325="","",PRIX!B326*'QUANTITE DETENUES'!B326)</f>
        <v/>
      </c>
      <c r="C325" s="299" t="str">
        <f>IF(B325="","",PRIX!C326*'QUANTITE DETENUES'!C326)</f>
        <v/>
      </c>
      <c r="D325" s="299" t="str">
        <f>IF(C325="","",PRIX!D326*'QUANTITE DETENUES'!D326)</f>
        <v/>
      </c>
      <c r="E325" s="299" t="str">
        <f>IF(D325="","",PRIX!E326*'QUANTITE DETENUES'!E326)</f>
        <v/>
      </c>
      <c r="F325" s="299" t="str">
        <f>IF(E325="","",PRIX!F326*'QUANTITE DETENUES'!F326)</f>
        <v/>
      </c>
      <c r="G325" s="299" t="str">
        <f>IF(F325="","",PRIX!G326*'QUANTITE DETENUES'!G326)</f>
        <v/>
      </c>
      <c r="H325" s="299" t="str">
        <f>IF(G325="","",PRIX!H326*'QUANTITE DETENUES'!H326)</f>
        <v/>
      </c>
      <c r="I325" s="299" t="str">
        <f>IF(H325="","",PRIX!I326*'QUANTITE DETENUES'!I326)</f>
        <v/>
      </c>
      <c r="J325" s="299" t="str">
        <f>IF(I325="","",PRIX!J326*'QUANTITE DETENUES'!J326)</f>
        <v/>
      </c>
      <c r="K325" s="299" t="str">
        <f>IF(J325="","",PRIX!K326*'QUANTITE DETENUES'!K326)</f>
        <v/>
      </c>
      <c r="L325" s="299" t="str">
        <f>IF(K325="","",PRIX!L326*'QUANTITE DETENUES'!L326)</f>
        <v/>
      </c>
      <c r="M325" s="299" t="str">
        <f>IF(L325="","",PRIX!M326*'QUANTITE DETENUES'!M326)</f>
        <v/>
      </c>
      <c r="N325" s="299" t="str">
        <f>IF(M325="","",PRIX!N326*'QUANTITE DETENUES'!N326)</f>
        <v/>
      </c>
      <c r="O325" s="299" t="str">
        <f>IF(N325="","",PRIX!O326*'QUANTITE DETENUES'!O326)</f>
        <v/>
      </c>
      <c r="P325" s="299" t="str">
        <f>IF(O325="","",PRIX!P326*'QUANTITE DETENUES'!P326)</f>
        <v/>
      </c>
      <c r="Q325" s="299" t="str">
        <f>IF(P325="","",PRIX!Q326*'QUANTITE DETENUES'!Q326)</f>
        <v/>
      </c>
      <c r="R325" s="299" t="str">
        <f>IF(Q325="","",PRIX!R326*'QUANTITE DETENUES'!R326)</f>
        <v/>
      </c>
      <c r="S325" s="300" t="str">
        <f>IF(R325="","",PRIX!S326*'QUANTITE DETENUES'!S326)</f>
        <v/>
      </c>
      <c r="T325" s="14" t="str">
        <f>IF(A325="","",ARBITRAGES!M326)</f>
        <v/>
      </c>
      <c r="U325" s="301" t="str">
        <f t="shared" si="1"/>
        <v/>
      </c>
      <c r="V325" s="302" t="str">
        <f t="shared" si="2"/>
        <v/>
      </c>
      <c r="W325" s="288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308"/>
      <c r="AI325" s="220"/>
      <c r="AJ325" s="220"/>
      <c r="AK325" s="220"/>
      <c r="AL325" s="220"/>
      <c r="AM325" s="220"/>
      <c r="AN325" s="220"/>
      <c r="AO325" s="220"/>
      <c r="AP325" s="220"/>
      <c r="AQ325" s="220"/>
      <c r="AR325" s="220"/>
      <c r="AS325" s="220"/>
      <c r="AT325" s="220"/>
      <c r="AU325" s="220"/>
      <c r="AV325" s="220"/>
      <c r="AW325" s="220"/>
      <c r="AX325" s="220"/>
      <c r="AY325" s="220"/>
      <c r="AZ325" s="220"/>
      <c r="BA325" s="220"/>
    </row>
    <row r="326">
      <c r="A326" s="290" t="str">
        <f>PRIX!A327</f>
        <v/>
      </c>
      <c r="B326" s="299" t="str">
        <f>IF(A326="","",PRIX!B327*'QUANTITE DETENUES'!B327)</f>
        <v/>
      </c>
      <c r="C326" s="299" t="str">
        <f>IF(B326="","",PRIX!C327*'QUANTITE DETENUES'!C327)</f>
        <v/>
      </c>
      <c r="D326" s="299" t="str">
        <f>IF(C326="","",PRIX!D327*'QUANTITE DETENUES'!D327)</f>
        <v/>
      </c>
      <c r="E326" s="299" t="str">
        <f>IF(D326="","",PRIX!E327*'QUANTITE DETENUES'!E327)</f>
        <v/>
      </c>
      <c r="F326" s="299" t="str">
        <f>IF(E326="","",PRIX!F327*'QUANTITE DETENUES'!F327)</f>
        <v/>
      </c>
      <c r="G326" s="299" t="str">
        <f>IF(F326="","",PRIX!G327*'QUANTITE DETENUES'!G327)</f>
        <v/>
      </c>
      <c r="H326" s="299" t="str">
        <f>IF(G326="","",PRIX!H327*'QUANTITE DETENUES'!H327)</f>
        <v/>
      </c>
      <c r="I326" s="299" t="str">
        <f>IF(H326="","",PRIX!I327*'QUANTITE DETENUES'!I327)</f>
        <v/>
      </c>
      <c r="J326" s="299" t="str">
        <f>IF(I326="","",PRIX!J327*'QUANTITE DETENUES'!J327)</f>
        <v/>
      </c>
      <c r="K326" s="299" t="str">
        <f>IF(J326="","",PRIX!K327*'QUANTITE DETENUES'!K327)</f>
        <v/>
      </c>
      <c r="L326" s="299" t="str">
        <f>IF(K326="","",PRIX!L327*'QUANTITE DETENUES'!L327)</f>
        <v/>
      </c>
      <c r="M326" s="299" t="str">
        <f>IF(L326="","",PRIX!M327*'QUANTITE DETENUES'!M327)</f>
        <v/>
      </c>
      <c r="N326" s="299" t="str">
        <f>IF(M326="","",PRIX!N327*'QUANTITE DETENUES'!N327)</f>
        <v/>
      </c>
      <c r="O326" s="299" t="str">
        <f>IF(N326="","",PRIX!O327*'QUANTITE DETENUES'!O327)</f>
        <v/>
      </c>
      <c r="P326" s="299" t="str">
        <f>IF(O326="","",PRIX!P327*'QUANTITE DETENUES'!P327)</f>
        <v/>
      </c>
      <c r="Q326" s="299" t="str">
        <f>IF(P326="","",PRIX!Q327*'QUANTITE DETENUES'!Q327)</f>
        <v/>
      </c>
      <c r="R326" s="299" t="str">
        <f>IF(Q326="","",PRIX!R327*'QUANTITE DETENUES'!R327)</f>
        <v/>
      </c>
      <c r="S326" s="300" t="str">
        <f>IF(R326="","",PRIX!S327*'QUANTITE DETENUES'!S327)</f>
        <v/>
      </c>
      <c r="T326" s="14" t="str">
        <f>IF(A326="","",ARBITRAGES!M327)</f>
        <v/>
      </c>
      <c r="U326" s="301" t="str">
        <f t="shared" si="1"/>
        <v/>
      </c>
      <c r="V326" s="302" t="str">
        <f t="shared" si="2"/>
        <v/>
      </c>
      <c r="W326" s="288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308"/>
      <c r="AI326" s="220"/>
      <c r="AJ326" s="220"/>
      <c r="AK326" s="220"/>
      <c r="AL326" s="220"/>
      <c r="AM326" s="220"/>
      <c r="AN326" s="220"/>
      <c r="AO326" s="220"/>
      <c r="AP326" s="220"/>
      <c r="AQ326" s="220"/>
      <c r="AR326" s="220"/>
      <c r="AS326" s="220"/>
      <c r="AT326" s="220"/>
      <c r="AU326" s="220"/>
      <c r="AV326" s="220"/>
      <c r="AW326" s="220"/>
      <c r="AX326" s="220"/>
      <c r="AY326" s="220"/>
      <c r="AZ326" s="220"/>
      <c r="BA326" s="220"/>
    </row>
    <row r="327">
      <c r="A327" s="290" t="str">
        <f>PRIX!A328</f>
        <v/>
      </c>
      <c r="B327" s="299" t="str">
        <f>IF(A327="","",PRIX!B328*'QUANTITE DETENUES'!B328)</f>
        <v/>
      </c>
      <c r="C327" s="299" t="str">
        <f>IF(B327="","",PRIX!C328*'QUANTITE DETENUES'!C328)</f>
        <v/>
      </c>
      <c r="D327" s="299" t="str">
        <f>IF(C327="","",PRIX!D328*'QUANTITE DETENUES'!D328)</f>
        <v/>
      </c>
      <c r="E327" s="299" t="str">
        <f>IF(D327="","",PRIX!E328*'QUANTITE DETENUES'!E328)</f>
        <v/>
      </c>
      <c r="F327" s="299" t="str">
        <f>IF(E327="","",PRIX!F328*'QUANTITE DETENUES'!F328)</f>
        <v/>
      </c>
      <c r="G327" s="299" t="str">
        <f>IF(F327="","",PRIX!G328*'QUANTITE DETENUES'!G328)</f>
        <v/>
      </c>
      <c r="H327" s="299" t="str">
        <f>IF(G327="","",PRIX!H328*'QUANTITE DETENUES'!H328)</f>
        <v/>
      </c>
      <c r="I327" s="299" t="str">
        <f>IF(H327="","",PRIX!I328*'QUANTITE DETENUES'!I328)</f>
        <v/>
      </c>
      <c r="J327" s="299" t="str">
        <f>IF(I327="","",PRIX!J328*'QUANTITE DETENUES'!J328)</f>
        <v/>
      </c>
      <c r="K327" s="299" t="str">
        <f>IF(J327="","",PRIX!K328*'QUANTITE DETENUES'!K328)</f>
        <v/>
      </c>
      <c r="L327" s="299" t="str">
        <f>IF(K327="","",PRIX!L328*'QUANTITE DETENUES'!L328)</f>
        <v/>
      </c>
      <c r="M327" s="299" t="str">
        <f>IF(L327="","",PRIX!M328*'QUANTITE DETENUES'!M328)</f>
        <v/>
      </c>
      <c r="N327" s="299" t="str">
        <f>IF(M327="","",PRIX!N328*'QUANTITE DETENUES'!N328)</f>
        <v/>
      </c>
      <c r="O327" s="299" t="str">
        <f>IF(N327="","",PRIX!O328*'QUANTITE DETENUES'!O328)</f>
        <v/>
      </c>
      <c r="P327" s="299" t="str">
        <f>IF(O327="","",PRIX!P328*'QUANTITE DETENUES'!P328)</f>
        <v/>
      </c>
      <c r="Q327" s="299" t="str">
        <f>IF(P327="","",PRIX!Q328*'QUANTITE DETENUES'!Q328)</f>
        <v/>
      </c>
      <c r="R327" s="299" t="str">
        <f>IF(Q327="","",PRIX!R328*'QUANTITE DETENUES'!R328)</f>
        <v/>
      </c>
      <c r="S327" s="300" t="str">
        <f>IF(R327="","",PRIX!S328*'QUANTITE DETENUES'!S328)</f>
        <v/>
      </c>
      <c r="T327" s="14" t="str">
        <f>IF(A327="","",ARBITRAGES!M328)</f>
        <v/>
      </c>
      <c r="U327" s="301" t="str">
        <f t="shared" si="1"/>
        <v/>
      </c>
      <c r="V327" s="302" t="str">
        <f t="shared" si="2"/>
        <v/>
      </c>
      <c r="W327" s="288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308"/>
      <c r="AI327" s="220"/>
      <c r="AJ327" s="220"/>
      <c r="AK327" s="220"/>
      <c r="AL327" s="220"/>
      <c r="AM327" s="220"/>
      <c r="AN327" s="220"/>
      <c r="AO327" s="220"/>
      <c r="AP327" s="220"/>
      <c r="AQ327" s="220"/>
      <c r="AR327" s="220"/>
      <c r="AS327" s="220"/>
      <c r="AT327" s="220"/>
      <c r="AU327" s="220"/>
      <c r="AV327" s="220"/>
      <c r="AW327" s="220"/>
      <c r="AX327" s="220"/>
      <c r="AY327" s="220"/>
      <c r="AZ327" s="220"/>
      <c r="BA327" s="220"/>
    </row>
    <row r="328">
      <c r="A328" s="290" t="str">
        <f>PRIX!A329</f>
        <v/>
      </c>
      <c r="B328" s="299" t="str">
        <f>IF(A328="","",PRIX!B329*'QUANTITE DETENUES'!B329)</f>
        <v/>
      </c>
      <c r="C328" s="299" t="str">
        <f>IF(B328="","",PRIX!C329*'QUANTITE DETENUES'!C329)</f>
        <v/>
      </c>
      <c r="D328" s="299" t="str">
        <f>IF(C328="","",PRIX!D329*'QUANTITE DETENUES'!D329)</f>
        <v/>
      </c>
      <c r="E328" s="299" t="str">
        <f>IF(D328="","",PRIX!E329*'QUANTITE DETENUES'!E329)</f>
        <v/>
      </c>
      <c r="F328" s="299" t="str">
        <f>IF(E328="","",PRIX!F329*'QUANTITE DETENUES'!F329)</f>
        <v/>
      </c>
      <c r="G328" s="299" t="str">
        <f>IF(F328="","",PRIX!G329*'QUANTITE DETENUES'!G329)</f>
        <v/>
      </c>
      <c r="H328" s="299" t="str">
        <f>IF(G328="","",PRIX!H329*'QUANTITE DETENUES'!H329)</f>
        <v/>
      </c>
      <c r="I328" s="299" t="str">
        <f>IF(H328="","",PRIX!I329*'QUANTITE DETENUES'!I329)</f>
        <v/>
      </c>
      <c r="J328" s="299" t="str">
        <f>IF(I328="","",PRIX!J329*'QUANTITE DETENUES'!J329)</f>
        <v/>
      </c>
      <c r="K328" s="299" t="str">
        <f>IF(J328="","",PRIX!K329*'QUANTITE DETENUES'!K329)</f>
        <v/>
      </c>
      <c r="L328" s="299" t="str">
        <f>IF(K328="","",PRIX!L329*'QUANTITE DETENUES'!L329)</f>
        <v/>
      </c>
      <c r="M328" s="299" t="str">
        <f>IF(L328="","",PRIX!M329*'QUANTITE DETENUES'!M329)</f>
        <v/>
      </c>
      <c r="N328" s="299" t="str">
        <f>IF(M328="","",PRIX!N329*'QUANTITE DETENUES'!N329)</f>
        <v/>
      </c>
      <c r="O328" s="299" t="str">
        <f>IF(N328="","",PRIX!O329*'QUANTITE DETENUES'!O329)</f>
        <v/>
      </c>
      <c r="P328" s="299" t="str">
        <f>IF(O328="","",PRIX!P329*'QUANTITE DETENUES'!P329)</f>
        <v/>
      </c>
      <c r="Q328" s="299" t="str">
        <f>IF(P328="","",PRIX!Q329*'QUANTITE DETENUES'!Q329)</f>
        <v/>
      </c>
      <c r="R328" s="299" t="str">
        <f>IF(Q328="","",PRIX!R329*'QUANTITE DETENUES'!R329)</f>
        <v/>
      </c>
      <c r="S328" s="300" t="str">
        <f>IF(R328="","",PRIX!S329*'QUANTITE DETENUES'!S329)</f>
        <v/>
      </c>
      <c r="T328" s="14" t="str">
        <f>IF(A328="","",ARBITRAGES!M329)</f>
        <v/>
      </c>
      <c r="U328" s="301" t="str">
        <f t="shared" si="1"/>
        <v/>
      </c>
      <c r="V328" s="302" t="str">
        <f t="shared" si="2"/>
        <v/>
      </c>
      <c r="W328" s="288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220"/>
      <c r="AH328" s="308"/>
      <c r="AI328" s="220"/>
      <c r="AJ328" s="220"/>
      <c r="AK328" s="220"/>
      <c r="AL328" s="220"/>
      <c r="AM328" s="220"/>
      <c r="AN328" s="220"/>
      <c r="AO328" s="220"/>
      <c r="AP328" s="220"/>
      <c r="AQ328" s="220"/>
      <c r="AR328" s="220"/>
      <c r="AS328" s="220"/>
      <c r="AT328" s="220"/>
      <c r="AU328" s="220"/>
      <c r="AV328" s="220"/>
      <c r="AW328" s="220"/>
      <c r="AX328" s="220"/>
      <c r="AY328" s="220"/>
      <c r="AZ328" s="220"/>
      <c r="BA328" s="220"/>
    </row>
    <row r="329">
      <c r="A329" s="290" t="str">
        <f>PRIX!A330</f>
        <v/>
      </c>
      <c r="B329" s="299" t="str">
        <f>IF(A329="","",PRIX!B330*'QUANTITE DETENUES'!B330)</f>
        <v/>
      </c>
      <c r="C329" s="299" t="str">
        <f>IF(B329="","",PRIX!C330*'QUANTITE DETENUES'!C330)</f>
        <v/>
      </c>
      <c r="D329" s="299" t="str">
        <f>IF(C329="","",PRIX!D330*'QUANTITE DETENUES'!D330)</f>
        <v/>
      </c>
      <c r="E329" s="299" t="str">
        <f>IF(D329="","",PRIX!E330*'QUANTITE DETENUES'!E330)</f>
        <v/>
      </c>
      <c r="F329" s="299" t="str">
        <f>IF(E329="","",PRIX!F330*'QUANTITE DETENUES'!F330)</f>
        <v/>
      </c>
      <c r="G329" s="299" t="str">
        <f>IF(F329="","",PRIX!G330*'QUANTITE DETENUES'!G330)</f>
        <v/>
      </c>
      <c r="H329" s="299" t="str">
        <f>IF(G329="","",PRIX!H330*'QUANTITE DETENUES'!H330)</f>
        <v/>
      </c>
      <c r="I329" s="299" t="str">
        <f>IF(H329="","",PRIX!I330*'QUANTITE DETENUES'!I330)</f>
        <v/>
      </c>
      <c r="J329" s="299" t="str">
        <f>IF(I329="","",PRIX!J330*'QUANTITE DETENUES'!J330)</f>
        <v/>
      </c>
      <c r="K329" s="299" t="str">
        <f>IF(J329="","",PRIX!K330*'QUANTITE DETENUES'!K330)</f>
        <v/>
      </c>
      <c r="L329" s="299" t="str">
        <f>IF(K329="","",PRIX!L330*'QUANTITE DETENUES'!L330)</f>
        <v/>
      </c>
      <c r="M329" s="299" t="str">
        <f>IF(L329="","",PRIX!M330*'QUANTITE DETENUES'!M330)</f>
        <v/>
      </c>
      <c r="N329" s="299" t="str">
        <f>IF(M329="","",PRIX!N330*'QUANTITE DETENUES'!N330)</f>
        <v/>
      </c>
      <c r="O329" s="299" t="str">
        <f>IF(N329="","",PRIX!O330*'QUANTITE DETENUES'!O330)</f>
        <v/>
      </c>
      <c r="P329" s="299" t="str">
        <f>IF(O329="","",PRIX!P330*'QUANTITE DETENUES'!P330)</f>
        <v/>
      </c>
      <c r="Q329" s="299" t="str">
        <f>IF(P329="","",PRIX!Q330*'QUANTITE DETENUES'!Q330)</f>
        <v/>
      </c>
      <c r="R329" s="299" t="str">
        <f>IF(Q329="","",PRIX!R330*'QUANTITE DETENUES'!R330)</f>
        <v/>
      </c>
      <c r="S329" s="300" t="str">
        <f>IF(R329="","",PRIX!S330*'QUANTITE DETENUES'!S330)</f>
        <v/>
      </c>
      <c r="T329" s="14" t="str">
        <f>IF(A329="","",ARBITRAGES!M330)</f>
        <v/>
      </c>
      <c r="U329" s="301" t="str">
        <f t="shared" si="1"/>
        <v/>
      </c>
      <c r="V329" s="302" t="str">
        <f t="shared" si="2"/>
        <v/>
      </c>
      <c r="W329" s="288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220"/>
      <c r="AH329" s="308"/>
      <c r="AI329" s="220"/>
      <c r="AJ329" s="220"/>
      <c r="AK329" s="220"/>
      <c r="AL329" s="220"/>
      <c r="AM329" s="220"/>
      <c r="AN329" s="220"/>
      <c r="AO329" s="220"/>
      <c r="AP329" s="220"/>
      <c r="AQ329" s="220"/>
      <c r="AR329" s="220"/>
      <c r="AS329" s="220"/>
      <c r="AT329" s="220"/>
      <c r="AU329" s="220"/>
      <c r="AV329" s="220"/>
      <c r="AW329" s="220"/>
      <c r="AX329" s="220"/>
      <c r="AY329" s="220"/>
      <c r="AZ329" s="220"/>
      <c r="BA329" s="220"/>
    </row>
    <row r="330">
      <c r="A330" s="290" t="str">
        <f>PRIX!A331</f>
        <v/>
      </c>
      <c r="B330" s="299" t="str">
        <f>IF(A330="","",PRIX!B331*'QUANTITE DETENUES'!B331)</f>
        <v/>
      </c>
      <c r="C330" s="299" t="str">
        <f>IF(B330="","",PRIX!C331*'QUANTITE DETENUES'!C331)</f>
        <v/>
      </c>
      <c r="D330" s="299" t="str">
        <f>IF(C330="","",PRIX!D331*'QUANTITE DETENUES'!D331)</f>
        <v/>
      </c>
      <c r="E330" s="299" t="str">
        <f>IF(D330="","",PRIX!E331*'QUANTITE DETENUES'!E331)</f>
        <v/>
      </c>
      <c r="F330" s="299" t="str">
        <f>IF(E330="","",PRIX!F331*'QUANTITE DETENUES'!F331)</f>
        <v/>
      </c>
      <c r="G330" s="299" t="str">
        <f>IF(F330="","",PRIX!G331*'QUANTITE DETENUES'!G331)</f>
        <v/>
      </c>
      <c r="H330" s="299" t="str">
        <f>IF(G330="","",PRIX!H331*'QUANTITE DETENUES'!H331)</f>
        <v/>
      </c>
      <c r="I330" s="299" t="str">
        <f>IF(H330="","",PRIX!I331*'QUANTITE DETENUES'!I331)</f>
        <v/>
      </c>
      <c r="J330" s="299" t="str">
        <f>IF(I330="","",PRIX!J331*'QUANTITE DETENUES'!J331)</f>
        <v/>
      </c>
      <c r="K330" s="299" t="str">
        <f>IF(J330="","",PRIX!K331*'QUANTITE DETENUES'!K331)</f>
        <v/>
      </c>
      <c r="L330" s="299" t="str">
        <f>IF(K330="","",PRIX!L331*'QUANTITE DETENUES'!L331)</f>
        <v/>
      </c>
      <c r="M330" s="299" t="str">
        <f>IF(L330="","",PRIX!M331*'QUANTITE DETENUES'!M331)</f>
        <v/>
      </c>
      <c r="N330" s="299" t="str">
        <f>IF(M330="","",PRIX!N331*'QUANTITE DETENUES'!N331)</f>
        <v/>
      </c>
      <c r="O330" s="299" t="str">
        <f>IF(N330="","",PRIX!O331*'QUANTITE DETENUES'!O331)</f>
        <v/>
      </c>
      <c r="P330" s="299" t="str">
        <f>IF(O330="","",PRIX!P331*'QUANTITE DETENUES'!P331)</f>
        <v/>
      </c>
      <c r="Q330" s="299" t="str">
        <f>IF(P330="","",PRIX!Q331*'QUANTITE DETENUES'!Q331)</f>
        <v/>
      </c>
      <c r="R330" s="299" t="str">
        <f>IF(Q330="","",PRIX!R331*'QUANTITE DETENUES'!R331)</f>
        <v/>
      </c>
      <c r="S330" s="300" t="str">
        <f>IF(R330="","",PRIX!S331*'QUANTITE DETENUES'!S331)</f>
        <v/>
      </c>
      <c r="T330" s="14" t="str">
        <f>IF(A330="","",ARBITRAGES!M331)</f>
        <v/>
      </c>
      <c r="U330" s="301" t="str">
        <f t="shared" si="1"/>
        <v/>
      </c>
      <c r="V330" s="302" t="str">
        <f t="shared" si="2"/>
        <v/>
      </c>
      <c r="W330" s="288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220"/>
      <c r="AH330" s="308"/>
      <c r="AI330" s="220"/>
      <c r="AJ330" s="220"/>
      <c r="AK330" s="220"/>
      <c r="AL330" s="220"/>
      <c r="AM330" s="220"/>
      <c r="AN330" s="220"/>
      <c r="AO330" s="220"/>
      <c r="AP330" s="220"/>
      <c r="AQ330" s="220"/>
      <c r="AR330" s="220"/>
      <c r="AS330" s="220"/>
      <c r="AT330" s="220"/>
      <c r="AU330" s="220"/>
      <c r="AV330" s="220"/>
      <c r="AW330" s="220"/>
      <c r="AX330" s="220"/>
      <c r="AY330" s="220"/>
      <c r="AZ330" s="220"/>
      <c r="BA330" s="220"/>
    </row>
    <row r="331">
      <c r="A331" s="290" t="str">
        <f>PRIX!A332</f>
        <v/>
      </c>
      <c r="B331" s="299" t="str">
        <f>IF(A331="","",PRIX!B332*'QUANTITE DETENUES'!B332)</f>
        <v/>
      </c>
      <c r="C331" s="299" t="str">
        <f>IF(B331="","",PRIX!C332*'QUANTITE DETENUES'!C332)</f>
        <v/>
      </c>
      <c r="D331" s="299" t="str">
        <f>IF(C331="","",PRIX!D332*'QUANTITE DETENUES'!D332)</f>
        <v/>
      </c>
      <c r="E331" s="299" t="str">
        <f>IF(D331="","",PRIX!E332*'QUANTITE DETENUES'!E332)</f>
        <v/>
      </c>
      <c r="F331" s="299" t="str">
        <f>IF(E331="","",PRIX!F332*'QUANTITE DETENUES'!F332)</f>
        <v/>
      </c>
      <c r="G331" s="299" t="str">
        <f>IF(F331="","",PRIX!G332*'QUANTITE DETENUES'!G332)</f>
        <v/>
      </c>
      <c r="H331" s="299" t="str">
        <f>IF(G331="","",PRIX!H332*'QUANTITE DETENUES'!H332)</f>
        <v/>
      </c>
      <c r="I331" s="299" t="str">
        <f>IF(H331="","",PRIX!I332*'QUANTITE DETENUES'!I332)</f>
        <v/>
      </c>
      <c r="J331" s="299" t="str">
        <f>IF(I331="","",PRIX!J332*'QUANTITE DETENUES'!J332)</f>
        <v/>
      </c>
      <c r="K331" s="299" t="str">
        <f>IF(J331="","",PRIX!K332*'QUANTITE DETENUES'!K332)</f>
        <v/>
      </c>
      <c r="L331" s="299" t="str">
        <f>IF(K331="","",PRIX!L332*'QUANTITE DETENUES'!L332)</f>
        <v/>
      </c>
      <c r="M331" s="299" t="str">
        <f>IF(L331="","",PRIX!M332*'QUANTITE DETENUES'!M332)</f>
        <v/>
      </c>
      <c r="N331" s="299" t="str">
        <f>IF(M331="","",PRIX!N332*'QUANTITE DETENUES'!N332)</f>
        <v/>
      </c>
      <c r="O331" s="299" t="str">
        <f>IF(N331="","",PRIX!O332*'QUANTITE DETENUES'!O332)</f>
        <v/>
      </c>
      <c r="P331" s="299" t="str">
        <f>IF(O331="","",PRIX!P332*'QUANTITE DETENUES'!P332)</f>
        <v/>
      </c>
      <c r="Q331" s="299" t="str">
        <f>IF(P331="","",PRIX!Q332*'QUANTITE DETENUES'!Q332)</f>
        <v/>
      </c>
      <c r="R331" s="299" t="str">
        <f>IF(Q331="","",PRIX!R332*'QUANTITE DETENUES'!R332)</f>
        <v/>
      </c>
      <c r="S331" s="300" t="str">
        <f>IF(R331="","",PRIX!S332*'QUANTITE DETENUES'!S332)</f>
        <v/>
      </c>
      <c r="T331" s="14" t="str">
        <f>IF(A331="","",ARBITRAGES!M332)</f>
        <v/>
      </c>
      <c r="U331" s="301" t="str">
        <f t="shared" si="1"/>
        <v/>
      </c>
      <c r="V331" s="302" t="str">
        <f t="shared" si="2"/>
        <v/>
      </c>
      <c r="W331" s="288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220"/>
      <c r="AH331" s="308"/>
      <c r="AI331" s="220"/>
      <c r="AJ331" s="220"/>
      <c r="AK331" s="220"/>
      <c r="AL331" s="220"/>
      <c r="AM331" s="220"/>
      <c r="AN331" s="220"/>
      <c r="AO331" s="220"/>
      <c r="AP331" s="220"/>
      <c r="AQ331" s="220"/>
      <c r="AR331" s="220"/>
      <c r="AS331" s="220"/>
      <c r="AT331" s="220"/>
      <c r="AU331" s="220"/>
      <c r="AV331" s="220"/>
      <c r="AW331" s="220"/>
      <c r="AX331" s="220"/>
      <c r="AY331" s="220"/>
      <c r="AZ331" s="220"/>
      <c r="BA331" s="220"/>
    </row>
    <row r="332">
      <c r="A332" s="290" t="str">
        <f>PRIX!A333</f>
        <v/>
      </c>
      <c r="B332" s="299" t="str">
        <f>IF(A332="","",PRIX!B333*'QUANTITE DETENUES'!B333)</f>
        <v/>
      </c>
      <c r="C332" s="299" t="str">
        <f>IF(B332="","",PRIX!C333*'QUANTITE DETENUES'!C333)</f>
        <v/>
      </c>
      <c r="D332" s="299" t="str">
        <f>IF(C332="","",PRIX!D333*'QUANTITE DETENUES'!D333)</f>
        <v/>
      </c>
      <c r="E332" s="299" t="str">
        <f>IF(D332="","",PRIX!E333*'QUANTITE DETENUES'!E333)</f>
        <v/>
      </c>
      <c r="F332" s="299" t="str">
        <f>IF(E332="","",PRIX!F333*'QUANTITE DETENUES'!F333)</f>
        <v/>
      </c>
      <c r="G332" s="299" t="str">
        <f>IF(F332="","",PRIX!G333*'QUANTITE DETENUES'!G333)</f>
        <v/>
      </c>
      <c r="H332" s="299" t="str">
        <f>IF(G332="","",PRIX!H333*'QUANTITE DETENUES'!H333)</f>
        <v/>
      </c>
      <c r="I332" s="299" t="str">
        <f>IF(H332="","",PRIX!I333*'QUANTITE DETENUES'!I333)</f>
        <v/>
      </c>
      <c r="J332" s="299" t="str">
        <f>IF(I332="","",PRIX!J333*'QUANTITE DETENUES'!J333)</f>
        <v/>
      </c>
      <c r="K332" s="299" t="str">
        <f>IF(J332="","",PRIX!K333*'QUANTITE DETENUES'!K333)</f>
        <v/>
      </c>
      <c r="L332" s="299" t="str">
        <f>IF(K332="","",PRIX!L333*'QUANTITE DETENUES'!L333)</f>
        <v/>
      </c>
      <c r="M332" s="299" t="str">
        <f>IF(L332="","",PRIX!M333*'QUANTITE DETENUES'!M333)</f>
        <v/>
      </c>
      <c r="N332" s="299" t="str">
        <f>IF(M332="","",PRIX!N333*'QUANTITE DETENUES'!N333)</f>
        <v/>
      </c>
      <c r="O332" s="299" t="str">
        <f>IF(N332="","",PRIX!O333*'QUANTITE DETENUES'!O333)</f>
        <v/>
      </c>
      <c r="P332" s="299" t="str">
        <f>IF(O332="","",PRIX!P333*'QUANTITE DETENUES'!P333)</f>
        <v/>
      </c>
      <c r="Q332" s="299" t="str">
        <f>IF(P332="","",PRIX!Q333*'QUANTITE DETENUES'!Q333)</f>
        <v/>
      </c>
      <c r="R332" s="299" t="str">
        <f>IF(Q332="","",PRIX!R333*'QUANTITE DETENUES'!R333)</f>
        <v/>
      </c>
      <c r="S332" s="300" t="str">
        <f>IF(R332="","",PRIX!S333*'QUANTITE DETENUES'!S333)</f>
        <v/>
      </c>
      <c r="T332" s="14" t="str">
        <f>IF(A332="","",ARBITRAGES!M333)</f>
        <v/>
      </c>
      <c r="U332" s="301" t="str">
        <f t="shared" si="1"/>
        <v/>
      </c>
      <c r="V332" s="302" t="str">
        <f t="shared" si="2"/>
        <v/>
      </c>
      <c r="W332" s="288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220"/>
      <c r="AH332" s="308"/>
      <c r="AI332" s="220"/>
      <c r="AJ332" s="220"/>
      <c r="AK332" s="220"/>
      <c r="AL332" s="220"/>
      <c r="AM332" s="220"/>
      <c r="AN332" s="220"/>
      <c r="AO332" s="220"/>
      <c r="AP332" s="220"/>
      <c r="AQ332" s="220"/>
      <c r="AR332" s="220"/>
      <c r="AS332" s="220"/>
      <c r="AT332" s="220"/>
      <c r="AU332" s="220"/>
      <c r="AV332" s="220"/>
      <c r="AW332" s="220"/>
      <c r="AX332" s="220"/>
      <c r="AY332" s="220"/>
      <c r="AZ332" s="220"/>
      <c r="BA332" s="220"/>
    </row>
    <row r="333">
      <c r="A333" s="290" t="str">
        <f>PRIX!A334</f>
        <v/>
      </c>
      <c r="B333" s="299" t="str">
        <f>IF(A333="","",PRIX!B334*'QUANTITE DETENUES'!B334)</f>
        <v/>
      </c>
      <c r="C333" s="299" t="str">
        <f>IF(B333="","",PRIX!C334*'QUANTITE DETENUES'!C334)</f>
        <v/>
      </c>
      <c r="D333" s="299" t="str">
        <f>IF(C333="","",PRIX!D334*'QUANTITE DETENUES'!D334)</f>
        <v/>
      </c>
      <c r="E333" s="299" t="str">
        <f>IF(D333="","",PRIX!E334*'QUANTITE DETENUES'!E334)</f>
        <v/>
      </c>
      <c r="F333" s="299" t="str">
        <f>IF(E333="","",PRIX!F334*'QUANTITE DETENUES'!F334)</f>
        <v/>
      </c>
      <c r="G333" s="299" t="str">
        <f>IF(F333="","",PRIX!G334*'QUANTITE DETENUES'!G334)</f>
        <v/>
      </c>
      <c r="H333" s="299" t="str">
        <f>IF(G333="","",PRIX!H334*'QUANTITE DETENUES'!H334)</f>
        <v/>
      </c>
      <c r="I333" s="299" t="str">
        <f>IF(H333="","",PRIX!I334*'QUANTITE DETENUES'!I334)</f>
        <v/>
      </c>
      <c r="J333" s="299" t="str">
        <f>IF(I333="","",PRIX!J334*'QUANTITE DETENUES'!J334)</f>
        <v/>
      </c>
      <c r="K333" s="299" t="str">
        <f>IF(J333="","",PRIX!K334*'QUANTITE DETENUES'!K334)</f>
        <v/>
      </c>
      <c r="L333" s="299" t="str">
        <f>IF(K333="","",PRIX!L334*'QUANTITE DETENUES'!L334)</f>
        <v/>
      </c>
      <c r="M333" s="299" t="str">
        <f>IF(L333="","",PRIX!M334*'QUANTITE DETENUES'!M334)</f>
        <v/>
      </c>
      <c r="N333" s="299" t="str">
        <f>IF(M333="","",PRIX!N334*'QUANTITE DETENUES'!N334)</f>
        <v/>
      </c>
      <c r="O333" s="299" t="str">
        <f>IF(N333="","",PRIX!O334*'QUANTITE DETENUES'!O334)</f>
        <v/>
      </c>
      <c r="P333" s="299" t="str">
        <f>IF(O333="","",PRIX!P334*'QUANTITE DETENUES'!P334)</f>
        <v/>
      </c>
      <c r="Q333" s="299" t="str">
        <f>IF(P333="","",PRIX!Q334*'QUANTITE DETENUES'!Q334)</f>
        <v/>
      </c>
      <c r="R333" s="299" t="str">
        <f>IF(Q333="","",PRIX!R334*'QUANTITE DETENUES'!R334)</f>
        <v/>
      </c>
      <c r="S333" s="300" t="str">
        <f>IF(R333="","",PRIX!S334*'QUANTITE DETENUES'!S334)</f>
        <v/>
      </c>
      <c r="T333" s="14" t="str">
        <f>IF(A333="","",ARBITRAGES!M334)</f>
        <v/>
      </c>
      <c r="U333" s="301" t="str">
        <f t="shared" si="1"/>
        <v/>
      </c>
      <c r="V333" s="302" t="str">
        <f t="shared" si="2"/>
        <v/>
      </c>
      <c r="W333" s="288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308"/>
      <c r="AI333" s="220"/>
      <c r="AJ333" s="220"/>
      <c r="AK333" s="220"/>
      <c r="AL333" s="220"/>
      <c r="AM333" s="220"/>
      <c r="AN333" s="220"/>
      <c r="AO333" s="220"/>
      <c r="AP333" s="220"/>
      <c r="AQ333" s="220"/>
      <c r="AR333" s="220"/>
      <c r="AS333" s="220"/>
      <c r="AT333" s="220"/>
      <c r="AU333" s="220"/>
      <c r="AV333" s="220"/>
      <c r="AW333" s="220"/>
      <c r="AX333" s="220"/>
      <c r="AY333" s="220"/>
      <c r="AZ333" s="220"/>
      <c r="BA333" s="220"/>
    </row>
    <row r="334">
      <c r="A334" s="290" t="str">
        <f>PRIX!A335</f>
        <v/>
      </c>
      <c r="B334" s="299" t="str">
        <f>IF(A334="","",PRIX!B335*'QUANTITE DETENUES'!B335)</f>
        <v/>
      </c>
      <c r="C334" s="299" t="str">
        <f>IF(B334="","",PRIX!C335*'QUANTITE DETENUES'!C335)</f>
        <v/>
      </c>
      <c r="D334" s="299" t="str">
        <f>IF(C334="","",PRIX!D335*'QUANTITE DETENUES'!D335)</f>
        <v/>
      </c>
      <c r="E334" s="299" t="str">
        <f>IF(D334="","",PRIX!E335*'QUANTITE DETENUES'!E335)</f>
        <v/>
      </c>
      <c r="F334" s="299" t="str">
        <f>IF(E334="","",PRIX!F335*'QUANTITE DETENUES'!F335)</f>
        <v/>
      </c>
      <c r="G334" s="299" t="str">
        <f>IF(F334="","",PRIX!G335*'QUANTITE DETENUES'!G335)</f>
        <v/>
      </c>
      <c r="H334" s="299" t="str">
        <f>IF(G334="","",PRIX!H335*'QUANTITE DETENUES'!H335)</f>
        <v/>
      </c>
      <c r="I334" s="299" t="str">
        <f>IF(H334="","",PRIX!I335*'QUANTITE DETENUES'!I335)</f>
        <v/>
      </c>
      <c r="J334" s="299" t="str">
        <f>IF(I334="","",PRIX!J335*'QUANTITE DETENUES'!J335)</f>
        <v/>
      </c>
      <c r="K334" s="299" t="str">
        <f>IF(J334="","",PRIX!K335*'QUANTITE DETENUES'!K335)</f>
        <v/>
      </c>
      <c r="L334" s="299" t="str">
        <f>IF(K334="","",PRIX!L335*'QUANTITE DETENUES'!L335)</f>
        <v/>
      </c>
      <c r="M334" s="299" t="str">
        <f>IF(L334="","",PRIX!M335*'QUANTITE DETENUES'!M335)</f>
        <v/>
      </c>
      <c r="N334" s="299" t="str">
        <f>IF(M334="","",PRIX!N335*'QUANTITE DETENUES'!N335)</f>
        <v/>
      </c>
      <c r="O334" s="299" t="str">
        <f>IF(N334="","",PRIX!O335*'QUANTITE DETENUES'!O335)</f>
        <v/>
      </c>
      <c r="P334" s="299" t="str">
        <f>IF(O334="","",PRIX!P335*'QUANTITE DETENUES'!P335)</f>
        <v/>
      </c>
      <c r="Q334" s="299" t="str">
        <f>IF(P334="","",PRIX!Q335*'QUANTITE DETENUES'!Q335)</f>
        <v/>
      </c>
      <c r="R334" s="299" t="str">
        <f>IF(Q334="","",PRIX!R335*'QUANTITE DETENUES'!R335)</f>
        <v/>
      </c>
      <c r="S334" s="300" t="str">
        <f>IF(R334="","",PRIX!S335*'QUANTITE DETENUES'!S335)</f>
        <v/>
      </c>
      <c r="T334" s="14" t="str">
        <f>IF(A334="","",ARBITRAGES!M335)</f>
        <v/>
      </c>
      <c r="U334" s="301" t="str">
        <f t="shared" si="1"/>
        <v/>
      </c>
      <c r="V334" s="302" t="str">
        <f t="shared" si="2"/>
        <v/>
      </c>
      <c r="W334" s="288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220"/>
      <c r="AH334" s="308"/>
      <c r="AI334" s="220"/>
      <c r="AJ334" s="220"/>
      <c r="AK334" s="220"/>
      <c r="AL334" s="220"/>
      <c r="AM334" s="220"/>
      <c r="AN334" s="220"/>
      <c r="AO334" s="220"/>
      <c r="AP334" s="220"/>
      <c r="AQ334" s="220"/>
      <c r="AR334" s="220"/>
      <c r="AS334" s="220"/>
      <c r="AT334" s="220"/>
      <c r="AU334" s="220"/>
      <c r="AV334" s="220"/>
      <c r="AW334" s="220"/>
      <c r="AX334" s="220"/>
      <c r="AY334" s="220"/>
      <c r="AZ334" s="220"/>
      <c r="BA334" s="220"/>
    </row>
    <row r="335">
      <c r="A335" s="290" t="str">
        <f>PRIX!A336</f>
        <v/>
      </c>
      <c r="B335" s="299" t="str">
        <f>IF(A335="","",PRIX!B336*'QUANTITE DETENUES'!B336)</f>
        <v/>
      </c>
      <c r="C335" s="299" t="str">
        <f>IF(B335="","",PRIX!C336*'QUANTITE DETENUES'!C336)</f>
        <v/>
      </c>
      <c r="D335" s="299" t="str">
        <f>IF(C335="","",PRIX!D336*'QUANTITE DETENUES'!D336)</f>
        <v/>
      </c>
      <c r="E335" s="299" t="str">
        <f>IF(D335="","",PRIX!E336*'QUANTITE DETENUES'!E336)</f>
        <v/>
      </c>
      <c r="F335" s="299" t="str">
        <f>IF(E335="","",PRIX!F336*'QUANTITE DETENUES'!F336)</f>
        <v/>
      </c>
      <c r="G335" s="299" t="str">
        <f>IF(F335="","",PRIX!G336*'QUANTITE DETENUES'!G336)</f>
        <v/>
      </c>
      <c r="H335" s="299" t="str">
        <f>IF(G335="","",PRIX!H336*'QUANTITE DETENUES'!H336)</f>
        <v/>
      </c>
      <c r="I335" s="299" t="str">
        <f>IF(H335="","",PRIX!I336*'QUANTITE DETENUES'!I336)</f>
        <v/>
      </c>
      <c r="J335" s="299" t="str">
        <f>IF(I335="","",PRIX!J336*'QUANTITE DETENUES'!J336)</f>
        <v/>
      </c>
      <c r="K335" s="299" t="str">
        <f>IF(J335="","",PRIX!K336*'QUANTITE DETENUES'!K336)</f>
        <v/>
      </c>
      <c r="L335" s="299" t="str">
        <f>IF(K335="","",PRIX!L336*'QUANTITE DETENUES'!L336)</f>
        <v/>
      </c>
      <c r="M335" s="299" t="str">
        <f>IF(L335="","",PRIX!M336*'QUANTITE DETENUES'!M336)</f>
        <v/>
      </c>
      <c r="N335" s="299" t="str">
        <f>IF(M335="","",PRIX!N336*'QUANTITE DETENUES'!N336)</f>
        <v/>
      </c>
      <c r="O335" s="299" t="str">
        <f>IF(N335="","",PRIX!O336*'QUANTITE DETENUES'!O336)</f>
        <v/>
      </c>
      <c r="P335" s="299" t="str">
        <f>IF(O335="","",PRIX!P336*'QUANTITE DETENUES'!P336)</f>
        <v/>
      </c>
      <c r="Q335" s="299" t="str">
        <f>IF(P335="","",PRIX!Q336*'QUANTITE DETENUES'!Q336)</f>
        <v/>
      </c>
      <c r="R335" s="299" t="str">
        <f>IF(Q335="","",PRIX!R336*'QUANTITE DETENUES'!R336)</f>
        <v/>
      </c>
      <c r="S335" s="300" t="str">
        <f>IF(R335="","",PRIX!S336*'QUANTITE DETENUES'!S336)</f>
        <v/>
      </c>
      <c r="T335" s="14" t="str">
        <f>IF(A335="","",ARBITRAGES!M336)</f>
        <v/>
      </c>
      <c r="U335" s="301" t="str">
        <f t="shared" si="1"/>
        <v/>
      </c>
      <c r="V335" s="302" t="str">
        <f t="shared" si="2"/>
        <v/>
      </c>
      <c r="W335" s="288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220"/>
      <c r="AH335" s="308"/>
      <c r="AI335" s="220"/>
      <c r="AJ335" s="220"/>
      <c r="AK335" s="220"/>
      <c r="AL335" s="220"/>
      <c r="AM335" s="220"/>
      <c r="AN335" s="220"/>
      <c r="AO335" s="220"/>
      <c r="AP335" s="220"/>
      <c r="AQ335" s="220"/>
      <c r="AR335" s="220"/>
      <c r="AS335" s="220"/>
      <c r="AT335" s="220"/>
      <c r="AU335" s="220"/>
      <c r="AV335" s="220"/>
      <c r="AW335" s="220"/>
      <c r="AX335" s="220"/>
      <c r="AY335" s="220"/>
      <c r="AZ335" s="220"/>
      <c r="BA335" s="220"/>
    </row>
    <row r="336">
      <c r="A336" s="290" t="str">
        <f>PRIX!A337</f>
        <v/>
      </c>
      <c r="B336" s="299" t="str">
        <f>IF(A336="","",PRIX!B337*'QUANTITE DETENUES'!B337)</f>
        <v/>
      </c>
      <c r="C336" s="299" t="str">
        <f>IF(B336="","",PRIX!C337*'QUANTITE DETENUES'!C337)</f>
        <v/>
      </c>
      <c r="D336" s="299" t="str">
        <f>IF(C336="","",PRIX!D337*'QUANTITE DETENUES'!D337)</f>
        <v/>
      </c>
      <c r="E336" s="299" t="str">
        <f>IF(D336="","",PRIX!E337*'QUANTITE DETENUES'!E337)</f>
        <v/>
      </c>
      <c r="F336" s="299" t="str">
        <f>IF(E336="","",PRIX!F337*'QUANTITE DETENUES'!F337)</f>
        <v/>
      </c>
      <c r="G336" s="299" t="str">
        <f>IF(F336="","",PRIX!G337*'QUANTITE DETENUES'!G337)</f>
        <v/>
      </c>
      <c r="H336" s="299" t="str">
        <f>IF(G336="","",PRIX!H337*'QUANTITE DETENUES'!H337)</f>
        <v/>
      </c>
      <c r="I336" s="299" t="str">
        <f>IF(H336="","",PRIX!I337*'QUANTITE DETENUES'!I337)</f>
        <v/>
      </c>
      <c r="J336" s="299" t="str">
        <f>IF(I336="","",PRIX!J337*'QUANTITE DETENUES'!J337)</f>
        <v/>
      </c>
      <c r="K336" s="299" t="str">
        <f>IF(J336="","",PRIX!K337*'QUANTITE DETENUES'!K337)</f>
        <v/>
      </c>
      <c r="L336" s="299" t="str">
        <f>IF(K336="","",PRIX!L337*'QUANTITE DETENUES'!L337)</f>
        <v/>
      </c>
      <c r="M336" s="299" t="str">
        <f>IF(L336="","",PRIX!M337*'QUANTITE DETENUES'!M337)</f>
        <v/>
      </c>
      <c r="N336" s="299" t="str">
        <f>IF(M336="","",PRIX!N337*'QUANTITE DETENUES'!N337)</f>
        <v/>
      </c>
      <c r="O336" s="299" t="str">
        <f>IF(N336="","",PRIX!O337*'QUANTITE DETENUES'!O337)</f>
        <v/>
      </c>
      <c r="P336" s="299" t="str">
        <f>IF(O336="","",PRIX!P337*'QUANTITE DETENUES'!P337)</f>
        <v/>
      </c>
      <c r="Q336" s="299" t="str">
        <f>IF(P336="","",PRIX!Q337*'QUANTITE DETENUES'!Q337)</f>
        <v/>
      </c>
      <c r="R336" s="299" t="str">
        <f>IF(Q336="","",PRIX!R337*'QUANTITE DETENUES'!R337)</f>
        <v/>
      </c>
      <c r="S336" s="300" t="str">
        <f>IF(R336="","",PRIX!S337*'QUANTITE DETENUES'!S337)</f>
        <v/>
      </c>
      <c r="T336" s="14" t="str">
        <f>IF(A336="","",ARBITRAGES!M337)</f>
        <v/>
      </c>
      <c r="U336" s="301" t="str">
        <f t="shared" si="1"/>
        <v/>
      </c>
      <c r="V336" s="302" t="str">
        <f t="shared" si="2"/>
        <v/>
      </c>
      <c r="W336" s="288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220"/>
      <c r="AH336" s="308"/>
      <c r="AI336" s="220"/>
      <c r="AJ336" s="220"/>
      <c r="AK336" s="220"/>
      <c r="AL336" s="220"/>
      <c r="AM336" s="220"/>
      <c r="AN336" s="220"/>
      <c r="AO336" s="220"/>
      <c r="AP336" s="220"/>
      <c r="AQ336" s="220"/>
      <c r="AR336" s="220"/>
      <c r="AS336" s="220"/>
      <c r="AT336" s="220"/>
      <c r="AU336" s="220"/>
      <c r="AV336" s="220"/>
      <c r="AW336" s="220"/>
      <c r="AX336" s="220"/>
      <c r="AY336" s="220"/>
      <c r="AZ336" s="220"/>
      <c r="BA336" s="220"/>
    </row>
    <row r="337">
      <c r="A337" s="290" t="str">
        <f>PRIX!A338</f>
        <v/>
      </c>
      <c r="B337" s="299" t="str">
        <f>IF(A337="","",PRIX!B338*'QUANTITE DETENUES'!B338)</f>
        <v/>
      </c>
      <c r="C337" s="299" t="str">
        <f>IF(B337="","",PRIX!C338*'QUANTITE DETENUES'!C338)</f>
        <v/>
      </c>
      <c r="D337" s="299" t="str">
        <f>IF(C337="","",PRIX!D338*'QUANTITE DETENUES'!D338)</f>
        <v/>
      </c>
      <c r="E337" s="299" t="str">
        <f>IF(D337="","",PRIX!E338*'QUANTITE DETENUES'!E338)</f>
        <v/>
      </c>
      <c r="F337" s="299" t="str">
        <f>IF(E337="","",PRIX!F338*'QUANTITE DETENUES'!F338)</f>
        <v/>
      </c>
      <c r="G337" s="299" t="str">
        <f>IF(F337="","",PRIX!G338*'QUANTITE DETENUES'!G338)</f>
        <v/>
      </c>
      <c r="H337" s="299" t="str">
        <f>IF(G337="","",PRIX!H338*'QUANTITE DETENUES'!H338)</f>
        <v/>
      </c>
      <c r="I337" s="299" t="str">
        <f>IF(H337="","",PRIX!I338*'QUANTITE DETENUES'!I338)</f>
        <v/>
      </c>
      <c r="J337" s="299" t="str">
        <f>IF(I337="","",PRIX!J338*'QUANTITE DETENUES'!J338)</f>
        <v/>
      </c>
      <c r="K337" s="299" t="str">
        <f>IF(J337="","",PRIX!K338*'QUANTITE DETENUES'!K338)</f>
        <v/>
      </c>
      <c r="L337" s="299" t="str">
        <f>IF(K337="","",PRIX!L338*'QUANTITE DETENUES'!L338)</f>
        <v/>
      </c>
      <c r="M337" s="299" t="str">
        <f>IF(L337="","",PRIX!M338*'QUANTITE DETENUES'!M338)</f>
        <v/>
      </c>
      <c r="N337" s="299" t="str">
        <f>IF(M337="","",PRIX!N338*'QUANTITE DETENUES'!N338)</f>
        <v/>
      </c>
      <c r="O337" s="299" t="str">
        <f>IF(N337="","",PRIX!O338*'QUANTITE DETENUES'!O338)</f>
        <v/>
      </c>
      <c r="P337" s="299" t="str">
        <f>IF(O337="","",PRIX!P338*'QUANTITE DETENUES'!P338)</f>
        <v/>
      </c>
      <c r="Q337" s="299" t="str">
        <f>IF(P337="","",PRIX!Q338*'QUANTITE DETENUES'!Q338)</f>
        <v/>
      </c>
      <c r="R337" s="299" t="str">
        <f>IF(Q337="","",PRIX!R338*'QUANTITE DETENUES'!R338)</f>
        <v/>
      </c>
      <c r="S337" s="300" t="str">
        <f>IF(R337="","",PRIX!S338*'QUANTITE DETENUES'!S338)</f>
        <v/>
      </c>
      <c r="T337" s="14" t="str">
        <f>IF(A337="","",ARBITRAGES!M338)</f>
        <v/>
      </c>
      <c r="U337" s="301" t="str">
        <f t="shared" si="1"/>
        <v/>
      </c>
      <c r="V337" s="302" t="str">
        <f t="shared" si="2"/>
        <v/>
      </c>
      <c r="W337" s="288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220"/>
      <c r="AH337" s="308"/>
      <c r="AI337" s="220"/>
      <c r="AJ337" s="220"/>
      <c r="AK337" s="220"/>
      <c r="AL337" s="220"/>
      <c r="AM337" s="220"/>
      <c r="AN337" s="220"/>
      <c r="AO337" s="220"/>
      <c r="AP337" s="220"/>
      <c r="AQ337" s="220"/>
      <c r="AR337" s="220"/>
      <c r="AS337" s="220"/>
      <c r="AT337" s="220"/>
      <c r="AU337" s="220"/>
      <c r="AV337" s="220"/>
      <c r="AW337" s="220"/>
      <c r="AX337" s="220"/>
      <c r="AY337" s="220"/>
      <c r="AZ337" s="220"/>
      <c r="BA337" s="220"/>
    </row>
    <row r="338">
      <c r="A338" s="290" t="str">
        <f>PRIX!A339</f>
        <v/>
      </c>
      <c r="B338" s="299" t="str">
        <f>IF(A338="","",PRIX!B339*'QUANTITE DETENUES'!B339)</f>
        <v/>
      </c>
      <c r="C338" s="299" t="str">
        <f>IF(B338="","",PRIX!C339*'QUANTITE DETENUES'!C339)</f>
        <v/>
      </c>
      <c r="D338" s="299" t="str">
        <f>IF(C338="","",PRIX!D339*'QUANTITE DETENUES'!D339)</f>
        <v/>
      </c>
      <c r="E338" s="299" t="str">
        <f>IF(D338="","",PRIX!E339*'QUANTITE DETENUES'!E339)</f>
        <v/>
      </c>
      <c r="F338" s="299" t="str">
        <f>IF(E338="","",PRIX!F339*'QUANTITE DETENUES'!F339)</f>
        <v/>
      </c>
      <c r="G338" s="299" t="str">
        <f>IF(F338="","",PRIX!G339*'QUANTITE DETENUES'!G339)</f>
        <v/>
      </c>
      <c r="H338" s="299" t="str">
        <f>IF(G338="","",PRIX!H339*'QUANTITE DETENUES'!H339)</f>
        <v/>
      </c>
      <c r="I338" s="299" t="str">
        <f>IF(H338="","",PRIX!I339*'QUANTITE DETENUES'!I339)</f>
        <v/>
      </c>
      <c r="J338" s="299" t="str">
        <f>IF(I338="","",PRIX!J339*'QUANTITE DETENUES'!J339)</f>
        <v/>
      </c>
      <c r="K338" s="299" t="str">
        <f>IF(J338="","",PRIX!K339*'QUANTITE DETENUES'!K339)</f>
        <v/>
      </c>
      <c r="L338" s="299" t="str">
        <f>IF(K338="","",PRIX!L339*'QUANTITE DETENUES'!L339)</f>
        <v/>
      </c>
      <c r="M338" s="299" t="str">
        <f>IF(L338="","",PRIX!M339*'QUANTITE DETENUES'!M339)</f>
        <v/>
      </c>
      <c r="N338" s="299" t="str">
        <f>IF(M338="","",PRIX!N339*'QUANTITE DETENUES'!N339)</f>
        <v/>
      </c>
      <c r="O338" s="299" t="str">
        <f>IF(N338="","",PRIX!O339*'QUANTITE DETENUES'!O339)</f>
        <v/>
      </c>
      <c r="P338" s="299" t="str">
        <f>IF(O338="","",PRIX!P339*'QUANTITE DETENUES'!P339)</f>
        <v/>
      </c>
      <c r="Q338" s="299" t="str">
        <f>IF(P338="","",PRIX!Q339*'QUANTITE DETENUES'!Q339)</f>
        <v/>
      </c>
      <c r="R338" s="299" t="str">
        <f>IF(Q338="","",PRIX!R339*'QUANTITE DETENUES'!R339)</f>
        <v/>
      </c>
      <c r="S338" s="300" t="str">
        <f>IF(R338="","",PRIX!S339*'QUANTITE DETENUES'!S339)</f>
        <v/>
      </c>
      <c r="T338" s="14" t="str">
        <f>IF(A338="","",ARBITRAGES!M339)</f>
        <v/>
      </c>
      <c r="U338" s="301" t="str">
        <f t="shared" si="1"/>
        <v/>
      </c>
      <c r="V338" s="302" t="str">
        <f t="shared" si="2"/>
        <v/>
      </c>
      <c r="W338" s="288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220"/>
      <c r="AH338" s="308"/>
      <c r="AI338" s="220"/>
      <c r="AJ338" s="220"/>
      <c r="AK338" s="220"/>
      <c r="AL338" s="220"/>
      <c r="AM338" s="220"/>
      <c r="AN338" s="220"/>
      <c r="AO338" s="220"/>
      <c r="AP338" s="220"/>
      <c r="AQ338" s="220"/>
      <c r="AR338" s="220"/>
      <c r="AS338" s="220"/>
      <c r="AT338" s="220"/>
      <c r="AU338" s="220"/>
      <c r="AV338" s="220"/>
      <c r="AW338" s="220"/>
      <c r="AX338" s="220"/>
      <c r="AY338" s="220"/>
      <c r="AZ338" s="220"/>
      <c r="BA338" s="220"/>
    </row>
    <row r="339">
      <c r="A339" s="290" t="str">
        <f>PRIX!A340</f>
        <v/>
      </c>
      <c r="B339" s="299" t="str">
        <f>IF(A339="","",PRIX!B340*'QUANTITE DETENUES'!B340)</f>
        <v/>
      </c>
      <c r="C339" s="299" t="str">
        <f>IF(B339="","",PRIX!C340*'QUANTITE DETENUES'!C340)</f>
        <v/>
      </c>
      <c r="D339" s="299" t="str">
        <f>IF(C339="","",PRIX!D340*'QUANTITE DETENUES'!D340)</f>
        <v/>
      </c>
      <c r="E339" s="299" t="str">
        <f>IF(D339="","",PRIX!E340*'QUANTITE DETENUES'!E340)</f>
        <v/>
      </c>
      <c r="F339" s="299" t="str">
        <f>IF(E339="","",PRIX!F340*'QUANTITE DETENUES'!F340)</f>
        <v/>
      </c>
      <c r="G339" s="299" t="str">
        <f>IF(F339="","",PRIX!G340*'QUANTITE DETENUES'!G340)</f>
        <v/>
      </c>
      <c r="H339" s="299" t="str">
        <f>IF(G339="","",PRIX!H340*'QUANTITE DETENUES'!H340)</f>
        <v/>
      </c>
      <c r="I339" s="299" t="str">
        <f>IF(H339="","",PRIX!I340*'QUANTITE DETENUES'!I340)</f>
        <v/>
      </c>
      <c r="J339" s="299" t="str">
        <f>IF(I339="","",PRIX!J340*'QUANTITE DETENUES'!J340)</f>
        <v/>
      </c>
      <c r="K339" s="299" t="str">
        <f>IF(J339="","",PRIX!K340*'QUANTITE DETENUES'!K340)</f>
        <v/>
      </c>
      <c r="L339" s="299" t="str">
        <f>IF(K339="","",PRIX!L340*'QUANTITE DETENUES'!L340)</f>
        <v/>
      </c>
      <c r="M339" s="299" t="str">
        <f>IF(L339="","",PRIX!M340*'QUANTITE DETENUES'!M340)</f>
        <v/>
      </c>
      <c r="N339" s="299" t="str">
        <f>IF(M339="","",PRIX!N340*'QUANTITE DETENUES'!N340)</f>
        <v/>
      </c>
      <c r="O339" s="299" t="str">
        <f>IF(N339="","",PRIX!O340*'QUANTITE DETENUES'!O340)</f>
        <v/>
      </c>
      <c r="P339" s="299" t="str">
        <f>IF(O339="","",PRIX!P340*'QUANTITE DETENUES'!P340)</f>
        <v/>
      </c>
      <c r="Q339" s="299" t="str">
        <f>IF(P339="","",PRIX!Q340*'QUANTITE DETENUES'!Q340)</f>
        <v/>
      </c>
      <c r="R339" s="299" t="str">
        <f>IF(Q339="","",PRIX!R340*'QUANTITE DETENUES'!R340)</f>
        <v/>
      </c>
      <c r="S339" s="300" t="str">
        <f>IF(R339="","",PRIX!S340*'QUANTITE DETENUES'!S340)</f>
        <v/>
      </c>
      <c r="T339" s="14" t="str">
        <f>IF(A339="","",ARBITRAGES!M340)</f>
        <v/>
      </c>
      <c r="U339" s="301" t="str">
        <f t="shared" si="1"/>
        <v/>
      </c>
      <c r="V339" s="302" t="str">
        <f t="shared" si="2"/>
        <v/>
      </c>
      <c r="W339" s="288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220"/>
      <c r="AH339" s="308"/>
      <c r="AI339" s="220"/>
      <c r="AJ339" s="220"/>
      <c r="AK339" s="220"/>
      <c r="AL339" s="220"/>
      <c r="AM339" s="220"/>
      <c r="AN339" s="220"/>
      <c r="AO339" s="220"/>
      <c r="AP339" s="220"/>
      <c r="AQ339" s="220"/>
      <c r="AR339" s="220"/>
      <c r="AS339" s="220"/>
      <c r="AT339" s="220"/>
      <c r="AU339" s="220"/>
      <c r="AV339" s="220"/>
      <c r="AW339" s="220"/>
      <c r="AX339" s="220"/>
      <c r="AY339" s="220"/>
      <c r="AZ339" s="220"/>
      <c r="BA339" s="220"/>
    </row>
    <row r="340">
      <c r="A340" s="290" t="str">
        <f>PRIX!A341</f>
        <v/>
      </c>
      <c r="B340" s="299" t="str">
        <f>IF(A340="","",PRIX!B341*'QUANTITE DETENUES'!B341)</f>
        <v/>
      </c>
      <c r="C340" s="299" t="str">
        <f>IF(B340="","",PRIX!C341*'QUANTITE DETENUES'!C341)</f>
        <v/>
      </c>
      <c r="D340" s="299" t="str">
        <f>IF(C340="","",PRIX!D341*'QUANTITE DETENUES'!D341)</f>
        <v/>
      </c>
      <c r="E340" s="299" t="str">
        <f>IF(D340="","",PRIX!E341*'QUANTITE DETENUES'!E341)</f>
        <v/>
      </c>
      <c r="F340" s="299" t="str">
        <f>IF(E340="","",PRIX!F341*'QUANTITE DETENUES'!F341)</f>
        <v/>
      </c>
      <c r="G340" s="299" t="str">
        <f>IF(F340="","",PRIX!G341*'QUANTITE DETENUES'!G341)</f>
        <v/>
      </c>
      <c r="H340" s="299" t="str">
        <f>IF(G340="","",PRIX!H341*'QUANTITE DETENUES'!H341)</f>
        <v/>
      </c>
      <c r="I340" s="299" t="str">
        <f>IF(H340="","",PRIX!I341*'QUANTITE DETENUES'!I341)</f>
        <v/>
      </c>
      <c r="J340" s="299" t="str">
        <f>IF(I340="","",PRIX!J341*'QUANTITE DETENUES'!J341)</f>
        <v/>
      </c>
      <c r="K340" s="299" t="str">
        <f>IF(J340="","",PRIX!K341*'QUANTITE DETENUES'!K341)</f>
        <v/>
      </c>
      <c r="L340" s="299" t="str">
        <f>IF(K340="","",PRIX!L341*'QUANTITE DETENUES'!L341)</f>
        <v/>
      </c>
      <c r="M340" s="299" t="str">
        <f>IF(L340="","",PRIX!M341*'QUANTITE DETENUES'!M341)</f>
        <v/>
      </c>
      <c r="N340" s="299" t="str">
        <f>IF(M340="","",PRIX!N341*'QUANTITE DETENUES'!N341)</f>
        <v/>
      </c>
      <c r="O340" s="299" t="str">
        <f>IF(N340="","",PRIX!O341*'QUANTITE DETENUES'!O341)</f>
        <v/>
      </c>
      <c r="P340" s="299" t="str">
        <f>IF(O340="","",PRIX!P341*'QUANTITE DETENUES'!P341)</f>
        <v/>
      </c>
      <c r="Q340" s="299" t="str">
        <f>IF(P340="","",PRIX!Q341*'QUANTITE DETENUES'!Q341)</f>
        <v/>
      </c>
      <c r="R340" s="299" t="str">
        <f>IF(Q340="","",PRIX!R341*'QUANTITE DETENUES'!R341)</f>
        <v/>
      </c>
      <c r="S340" s="300" t="str">
        <f>IF(R340="","",PRIX!S341*'QUANTITE DETENUES'!S341)</f>
        <v/>
      </c>
      <c r="T340" s="14" t="str">
        <f>IF(A340="","",ARBITRAGES!M341)</f>
        <v/>
      </c>
      <c r="U340" s="301" t="str">
        <f t="shared" si="1"/>
        <v/>
      </c>
      <c r="V340" s="302" t="str">
        <f t="shared" si="2"/>
        <v/>
      </c>
      <c r="W340" s="288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220"/>
      <c r="AH340" s="308"/>
      <c r="AI340" s="220"/>
      <c r="AJ340" s="220"/>
      <c r="AK340" s="220"/>
      <c r="AL340" s="220"/>
      <c r="AM340" s="220"/>
      <c r="AN340" s="220"/>
      <c r="AO340" s="220"/>
      <c r="AP340" s="220"/>
      <c r="AQ340" s="220"/>
      <c r="AR340" s="220"/>
      <c r="AS340" s="220"/>
      <c r="AT340" s="220"/>
      <c r="AU340" s="220"/>
      <c r="AV340" s="220"/>
      <c r="AW340" s="220"/>
      <c r="AX340" s="220"/>
      <c r="AY340" s="220"/>
      <c r="AZ340" s="220"/>
      <c r="BA340" s="220"/>
    </row>
    <row r="341">
      <c r="A341" s="290" t="str">
        <f>PRIX!A342</f>
        <v/>
      </c>
      <c r="B341" s="299" t="str">
        <f>IF(A341="","",PRIX!B342*'QUANTITE DETENUES'!B342)</f>
        <v/>
      </c>
      <c r="C341" s="299" t="str">
        <f>IF(B341="","",PRIX!C342*'QUANTITE DETENUES'!C342)</f>
        <v/>
      </c>
      <c r="D341" s="299" t="str">
        <f>IF(C341="","",PRIX!D342*'QUANTITE DETENUES'!D342)</f>
        <v/>
      </c>
      <c r="E341" s="299" t="str">
        <f>IF(D341="","",PRIX!E342*'QUANTITE DETENUES'!E342)</f>
        <v/>
      </c>
      <c r="F341" s="299" t="str">
        <f>IF(E341="","",PRIX!F342*'QUANTITE DETENUES'!F342)</f>
        <v/>
      </c>
      <c r="G341" s="299" t="str">
        <f>IF(F341="","",PRIX!G342*'QUANTITE DETENUES'!G342)</f>
        <v/>
      </c>
      <c r="H341" s="299" t="str">
        <f>IF(G341="","",PRIX!H342*'QUANTITE DETENUES'!H342)</f>
        <v/>
      </c>
      <c r="I341" s="299" t="str">
        <f>IF(H341="","",PRIX!I342*'QUANTITE DETENUES'!I342)</f>
        <v/>
      </c>
      <c r="J341" s="299" t="str">
        <f>IF(I341="","",PRIX!J342*'QUANTITE DETENUES'!J342)</f>
        <v/>
      </c>
      <c r="K341" s="299" t="str">
        <f>IF(J341="","",PRIX!K342*'QUANTITE DETENUES'!K342)</f>
        <v/>
      </c>
      <c r="L341" s="299" t="str">
        <f>IF(K341="","",PRIX!L342*'QUANTITE DETENUES'!L342)</f>
        <v/>
      </c>
      <c r="M341" s="299" t="str">
        <f>IF(L341="","",PRIX!M342*'QUANTITE DETENUES'!M342)</f>
        <v/>
      </c>
      <c r="N341" s="299" t="str">
        <f>IF(M341="","",PRIX!N342*'QUANTITE DETENUES'!N342)</f>
        <v/>
      </c>
      <c r="O341" s="299" t="str">
        <f>IF(N341="","",PRIX!O342*'QUANTITE DETENUES'!O342)</f>
        <v/>
      </c>
      <c r="P341" s="299" t="str">
        <f>IF(O341="","",PRIX!P342*'QUANTITE DETENUES'!P342)</f>
        <v/>
      </c>
      <c r="Q341" s="299" t="str">
        <f>IF(P341="","",PRIX!Q342*'QUANTITE DETENUES'!Q342)</f>
        <v/>
      </c>
      <c r="R341" s="299" t="str">
        <f>IF(Q341="","",PRIX!R342*'QUANTITE DETENUES'!R342)</f>
        <v/>
      </c>
      <c r="S341" s="300" t="str">
        <f>IF(R341="","",PRIX!S342*'QUANTITE DETENUES'!S342)</f>
        <v/>
      </c>
      <c r="T341" s="14" t="str">
        <f>IF(A341="","",ARBITRAGES!M342)</f>
        <v/>
      </c>
      <c r="U341" s="301" t="str">
        <f t="shared" si="1"/>
        <v/>
      </c>
      <c r="V341" s="302" t="str">
        <f t="shared" si="2"/>
        <v/>
      </c>
      <c r="W341" s="288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220"/>
      <c r="AH341" s="308"/>
      <c r="AI341" s="220"/>
      <c r="AJ341" s="220"/>
      <c r="AK341" s="220"/>
      <c r="AL341" s="220"/>
      <c r="AM341" s="220"/>
      <c r="AN341" s="220"/>
      <c r="AO341" s="220"/>
      <c r="AP341" s="220"/>
      <c r="AQ341" s="220"/>
      <c r="AR341" s="220"/>
      <c r="AS341" s="220"/>
      <c r="AT341" s="220"/>
      <c r="AU341" s="220"/>
      <c r="AV341" s="220"/>
      <c r="AW341" s="220"/>
      <c r="AX341" s="220"/>
      <c r="AY341" s="220"/>
      <c r="AZ341" s="220"/>
      <c r="BA341" s="220"/>
    </row>
    <row r="342">
      <c r="A342" s="290" t="str">
        <f>PRIX!A343</f>
        <v/>
      </c>
      <c r="B342" s="299" t="str">
        <f>IF(A342="","",PRIX!B343*'QUANTITE DETENUES'!B343)</f>
        <v/>
      </c>
      <c r="C342" s="299" t="str">
        <f>IF(B342="","",PRIX!C343*'QUANTITE DETENUES'!C343)</f>
        <v/>
      </c>
      <c r="D342" s="299" t="str">
        <f>IF(C342="","",PRIX!D343*'QUANTITE DETENUES'!D343)</f>
        <v/>
      </c>
      <c r="E342" s="299" t="str">
        <f>IF(D342="","",PRIX!E343*'QUANTITE DETENUES'!E343)</f>
        <v/>
      </c>
      <c r="F342" s="299" t="str">
        <f>IF(E342="","",PRIX!F343*'QUANTITE DETENUES'!F343)</f>
        <v/>
      </c>
      <c r="G342" s="299" t="str">
        <f>IF(F342="","",PRIX!G343*'QUANTITE DETENUES'!G343)</f>
        <v/>
      </c>
      <c r="H342" s="299" t="str">
        <f>IF(G342="","",PRIX!H343*'QUANTITE DETENUES'!H343)</f>
        <v/>
      </c>
      <c r="I342" s="299" t="str">
        <f>IF(H342="","",PRIX!I343*'QUANTITE DETENUES'!I343)</f>
        <v/>
      </c>
      <c r="J342" s="299" t="str">
        <f>IF(I342="","",PRIX!J343*'QUANTITE DETENUES'!J343)</f>
        <v/>
      </c>
      <c r="K342" s="299" t="str">
        <f>IF(J342="","",PRIX!K343*'QUANTITE DETENUES'!K343)</f>
        <v/>
      </c>
      <c r="L342" s="299" t="str">
        <f>IF(K342="","",PRIX!L343*'QUANTITE DETENUES'!L343)</f>
        <v/>
      </c>
      <c r="M342" s="299" t="str">
        <f>IF(L342="","",PRIX!M343*'QUANTITE DETENUES'!M343)</f>
        <v/>
      </c>
      <c r="N342" s="299" t="str">
        <f>IF(M342="","",PRIX!N343*'QUANTITE DETENUES'!N343)</f>
        <v/>
      </c>
      <c r="O342" s="299" t="str">
        <f>IF(N342="","",PRIX!O343*'QUANTITE DETENUES'!O343)</f>
        <v/>
      </c>
      <c r="P342" s="299" t="str">
        <f>IF(O342="","",PRIX!P343*'QUANTITE DETENUES'!P343)</f>
        <v/>
      </c>
      <c r="Q342" s="299" t="str">
        <f>IF(P342="","",PRIX!Q343*'QUANTITE DETENUES'!Q343)</f>
        <v/>
      </c>
      <c r="R342" s="299" t="str">
        <f>IF(Q342="","",PRIX!R343*'QUANTITE DETENUES'!R343)</f>
        <v/>
      </c>
      <c r="S342" s="300" t="str">
        <f>IF(R342="","",PRIX!S343*'QUANTITE DETENUES'!S343)</f>
        <v/>
      </c>
      <c r="T342" s="14" t="str">
        <f>IF(A342="","",ARBITRAGES!M343)</f>
        <v/>
      </c>
      <c r="U342" s="301" t="str">
        <f t="shared" si="1"/>
        <v/>
      </c>
      <c r="V342" s="302" t="str">
        <f t="shared" si="2"/>
        <v/>
      </c>
      <c r="W342" s="288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308"/>
      <c r="AI342" s="220"/>
      <c r="AJ342" s="220"/>
      <c r="AK342" s="220"/>
      <c r="AL342" s="220"/>
      <c r="AM342" s="220"/>
      <c r="AN342" s="220"/>
      <c r="AO342" s="220"/>
      <c r="AP342" s="220"/>
      <c r="AQ342" s="220"/>
      <c r="AR342" s="220"/>
      <c r="AS342" s="220"/>
      <c r="AT342" s="220"/>
      <c r="AU342" s="220"/>
      <c r="AV342" s="220"/>
      <c r="AW342" s="220"/>
      <c r="AX342" s="220"/>
      <c r="AY342" s="220"/>
      <c r="AZ342" s="220"/>
      <c r="BA342" s="220"/>
    </row>
    <row r="343">
      <c r="A343" s="290" t="str">
        <f>PRIX!A344</f>
        <v/>
      </c>
      <c r="B343" s="299" t="str">
        <f>IF(A343="","",PRIX!B344*'QUANTITE DETENUES'!B344)</f>
        <v/>
      </c>
      <c r="C343" s="299" t="str">
        <f>IF(B343="","",PRIX!C344*'QUANTITE DETENUES'!C344)</f>
        <v/>
      </c>
      <c r="D343" s="299" t="str">
        <f>IF(C343="","",PRIX!D344*'QUANTITE DETENUES'!D344)</f>
        <v/>
      </c>
      <c r="E343" s="299" t="str">
        <f>IF(D343="","",PRIX!E344*'QUANTITE DETENUES'!E344)</f>
        <v/>
      </c>
      <c r="F343" s="299" t="str">
        <f>IF(E343="","",PRIX!F344*'QUANTITE DETENUES'!F344)</f>
        <v/>
      </c>
      <c r="G343" s="299" t="str">
        <f>IF(F343="","",PRIX!G344*'QUANTITE DETENUES'!G344)</f>
        <v/>
      </c>
      <c r="H343" s="299" t="str">
        <f>IF(G343="","",PRIX!H344*'QUANTITE DETENUES'!H344)</f>
        <v/>
      </c>
      <c r="I343" s="299" t="str">
        <f>IF(H343="","",PRIX!I344*'QUANTITE DETENUES'!I344)</f>
        <v/>
      </c>
      <c r="J343" s="299" t="str">
        <f>IF(I343="","",PRIX!J344*'QUANTITE DETENUES'!J344)</f>
        <v/>
      </c>
      <c r="K343" s="299" t="str">
        <f>IF(J343="","",PRIX!K344*'QUANTITE DETENUES'!K344)</f>
        <v/>
      </c>
      <c r="L343" s="299" t="str">
        <f>IF(K343="","",PRIX!L344*'QUANTITE DETENUES'!L344)</f>
        <v/>
      </c>
      <c r="M343" s="299" t="str">
        <f>IF(L343="","",PRIX!M344*'QUANTITE DETENUES'!M344)</f>
        <v/>
      </c>
      <c r="N343" s="299" t="str">
        <f>IF(M343="","",PRIX!N344*'QUANTITE DETENUES'!N344)</f>
        <v/>
      </c>
      <c r="O343" s="299" t="str">
        <f>IF(N343="","",PRIX!O344*'QUANTITE DETENUES'!O344)</f>
        <v/>
      </c>
      <c r="P343" s="299" t="str">
        <f>IF(O343="","",PRIX!P344*'QUANTITE DETENUES'!P344)</f>
        <v/>
      </c>
      <c r="Q343" s="299" t="str">
        <f>IF(P343="","",PRIX!Q344*'QUANTITE DETENUES'!Q344)</f>
        <v/>
      </c>
      <c r="R343" s="299" t="str">
        <f>IF(Q343="","",PRIX!R344*'QUANTITE DETENUES'!R344)</f>
        <v/>
      </c>
      <c r="S343" s="300" t="str">
        <f>IF(R343="","",PRIX!S344*'QUANTITE DETENUES'!S344)</f>
        <v/>
      </c>
      <c r="T343" s="14" t="str">
        <f>IF(A343="","",ARBITRAGES!M344)</f>
        <v/>
      </c>
      <c r="U343" s="301" t="str">
        <f t="shared" si="1"/>
        <v/>
      </c>
      <c r="V343" s="302" t="str">
        <f t="shared" si="2"/>
        <v/>
      </c>
      <c r="W343" s="288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308"/>
      <c r="AI343" s="220"/>
      <c r="AJ343" s="220"/>
      <c r="AK343" s="220"/>
      <c r="AL343" s="220"/>
      <c r="AM343" s="220"/>
      <c r="AN343" s="220"/>
      <c r="AO343" s="220"/>
      <c r="AP343" s="220"/>
      <c r="AQ343" s="220"/>
      <c r="AR343" s="220"/>
      <c r="AS343" s="220"/>
      <c r="AT343" s="220"/>
      <c r="AU343" s="220"/>
      <c r="AV343" s="220"/>
      <c r="AW343" s="220"/>
      <c r="AX343" s="220"/>
      <c r="AY343" s="220"/>
      <c r="AZ343" s="220"/>
      <c r="BA343" s="220"/>
    </row>
    <row r="344">
      <c r="A344" s="290" t="str">
        <f>PRIX!A345</f>
        <v/>
      </c>
      <c r="B344" s="299" t="str">
        <f>IF(A344="","",PRIX!B345*'QUANTITE DETENUES'!B345)</f>
        <v/>
      </c>
      <c r="C344" s="299" t="str">
        <f>IF(B344="","",PRIX!C345*'QUANTITE DETENUES'!C345)</f>
        <v/>
      </c>
      <c r="D344" s="299" t="str">
        <f>IF(C344="","",PRIX!D345*'QUANTITE DETENUES'!D345)</f>
        <v/>
      </c>
      <c r="E344" s="299" t="str">
        <f>IF(D344="","",PRIX!E345*'QUANTITE DETENUES'!E345)</f>
        <v/>
      </c>
      <c r="F344" s="299" t="str">
        <f>IF(E344="","",PRIX!F345*'QUANTITE DETENUES'!F345)</f>
        <v/>
      </c>
      <c r="G344" s="299" t="str">
        <f>IF(F344="","",PRIX!G345*'QUANTITE DETENUES'!G345)</f>
        <v/>
      </c>
      <c r="H344" s="299" t="str">
        <f>IF(G344="","",PRIX!H345*'QUANTITE DETENUES'!H345)</f>
        <v/>
      </c>
      <c r="I344" s="299" t="str">
        <f>IF(H344="","",PRIX!I345*'QUANTITE DETENUES'!I345)</f>
        <v/>
      </c>
      <c r="J344" s="299" t="str">
        <f>IF(I344="","",PRIX!J345*'QUANTITE DETENUES'!J345)</f>
        <v/>
      </c>
      <c r="K344" s="299" t="str">
        <f>IF(J344="","",PRIX!K345*'QUANTITE DETENUES'!K345)</f>
        <v/>
      </c>
      <c r="L344" s="299" t="str">
        <f>IF(K344="","",PRIX!L345*'QUANTITE DETENUES'!L345)</f>
        <v/>
      </c>
      <c r="M344" s="299" t="str">
        <f>IF(L344="","",PRIX!M345*'QUANTITE DETENUES'!M345)</f>
        <v/>
      </c>
      <c r="N344" s="299" t="str">
        <f>IF(M344="","",PRIX!N345*'QUANTITE DETENUES'!N345)</f>
        <v/>
      </c>
      <c r="O344" s="299" t="str">
        <f>IF(N344="","",PRIX!O345*'QUANTITE DETENUES'!O345)</f>
        <v/>
      </c>
      <c r="P344" s="299" t="str">
        <f>IF(O344="","",PRIX!P345*'QUANTITE DETENUES'!P345)</f>
        <v/>
      </c>
      <c r="Q344" s="299" t="str">
        <f>IF(P344="","",PRIX!Q345*'QUANTITE DETENUES'!Q345)</f>
        <v/>
      </c>
      <c r="R344" s="299" t="str">
        <f>IF(Q344="","",PRIX!R345*'QUANTITE DETENUES'!R345)</f>
        <v/>
      </c>
      <c r="S344" s="300" t="str">
        <f>IF(R344="","",PRIX!S345*'QUANTITE DETENUES'!S345)</f>
        <v/>
      </c>
      <c r="T344" s="14" t="str">
        <f>IF(A344="","",ARBITRAGES!M345)</f>
        <v/>
      </c>
      <c r="U344" s="301" t="str">
        <f t="shared" si="1"/>
        <v/>
      </c>
      <c r="V344" s="302" t="str">
        <f t="shared" si="2"/>
        <v/>
      </c>
      <c r="W344" s="288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308"/>
      <c r="AI344" s="220"/>
      <c r="AJ344" s="220"/>
      <c r="AK344" s="220"/>
      <c r="AL344" s="220"/>
      <c r="AM344" s="220"/>
      <c r="AN344" s="220"/>
      <c r="AO344" s="220"/>
      <c r="AP344" s="220"/>
      <c r="AQ344" s="220"/>
      <c r="AR344" s="220"/>
      <c r="AS344" s="220"/>
      <c r="AT344" s="220"/>
      <c r="AU344" s="220"/>
      <c r="AV344" s="220"/>
      <c r="AW344" s="220"/>
      <c r="AX344" s="220"/>
      <c r="AY344" s="220"/>
      <c r="AZ344" s="220"/>
      <c r="BA344" s="220"/>
    </row>
    <row r="345">
      <c r="A345" s="290" t="str">
        <f>PRIX!A346</f>
        <v/>
      </c>
      <c r="B345" s="299" t="str">
        <f>IF(A345="","",PRIX!B346*'QUANTITE DETENUES'!B346)</f>
        <v/>
      </c>
      <c r="C345" s="299" t="str">
        <f>IF(B345="","",PRIX!C346*'QUANTITE DETENUES'!C346)</f>
        <v/>
      </c>
      <c r="D345" s="299" t="str">
        <f>IF(C345="","",PRIX!D346*'QUANTITE DETENUES'!D346)</f>
        <v/>
      </c>
      <c r="E345" s="299" t="str">
        <f>IF(D345="","",PRIX!E346*'QUANTITE DETENUES'!E346)</f>
        <v/>
      </c>
      <c r="F345" s="299" t="str">
        <f>IF(E345="","",PRIX!F346*'QUANTITE DETENUES'!F346)</f>
        <v/>
      </c>
      <c r="G345" s="299" t="str">
        <f>IF(F345="","",PRIX!G346*'QUANTITE DETENUES'!G346)</f>
        <v/>
      </c>
      <c r="H345" s="299" t="str">
        <f>IF(G345="","",PRIX!H346*'QUANTITE DETENUES'!H346)</f>
        <v/>
      </c>
      <c r="I345" s="299" t="str">
        <f>IF(H345="","",PRIX!I346*'QUANTITE DETENUES'!I346)</f>
        <v/>
      </c>
      <c r="J345" s="299" t="str">
        <f>IF(I345="","",PRIX!J346*'QUANTITE DETENUES'!J346)</f>
        <v/>
      </c>
      <c r="K345" s="299" t="str">
        <f>IF(J345="","",PRIX!K346*'QUANTITE DETENUES'!K346)</f>
        <v/>
      </c>
      <c r="L345" s="299" t="str">
        <f>IF(K345="","",PRIX!L346*'QUANTITE DETENUES'!L346)</f>
        <v/>
      </c>
      <c r="M345" s="299" t="str">
        <f>IF(L345="","",PRIX!M346*'QUANTITE DETENUES'!M346)</f>
        <v/>
      </c>
      <c r="N345" s="299" t="str">
        <f>IF(M345="","",PRIX!N346*'QUANTITE DETENUES'!N346)</f>
        <v/>
      </c>
      <c r="O345" s="299" t="str">
        <f>IF(N345="","",PRIX!O346*'QUANTITE DETENUES'!O346)</f>
        <v/>
      </c>
      <c r="P345" s="299" t="str">
        <f>IF(O345="","",PRIX!P346*'QUANTITE DETENUES'!P346)</f>
        <v/>
      </c>
      <c r="Q345" s="299" t="str">
        <f>IF(P345="","",PRIX!Q346*'QUANTITE DETENUES'!Q346)</f>
        <v/>
      </c>
      <c r="R345" s="299" t="str">
        <f>IF(Q345="","",PRIX!R346*'QUANTITE DETENUES'!R346)</f>
        <v/>
      </c>
      <c r="S345" s="300" t="str">
        <f>IF(R345="","",PRIX!S346*'QUANTITE DETENUES'!S346)</f>
        <v/>
      </c>
      <c r="T345" s="14" t="str">
        <f>IF(A345="","",ARBITRAGES!M346)</f>
        <v/>
      </c>
      <c r="U345" s="301" t="str">
        <f t="shared" si="1"/>
        <v/>
      </c>
      <c r="V345" s="302" t="str">
        <f t="shared" si="2"/>
        <v/>
      </c>
      <c r="W345" s="288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308"/>
      <c r="AI345" s="220"/>
      <c r="AJ345" s="220"/>
      <c r="AK345" s="220"/>
      <c r="AL345" s="220"/>
      <c r="AM345" s="220"/>
      <c r="AN345" s="220"/>
      <c r="AO345" s="220"/>
      <c r="AP345" s="220"/>
      <c r="AQ345" s="220"/>
      <c r="AR345" s="220"/>
      <c r="AS345" s="220"/>
      <c r="AT345" s="220"/>
      <c r="AU345" s="220"/>
      <c r="AV345" s="220"/>
      <c r="AW345" s="220"/>
      <c r="AX345" s="220"/>
      <c r="AY345" s="220"/>
      <c r="AZ345" s="220"/>
      <c r="BA345" s="220"/>
    </row>
    <row r="346">
      <c r="A346" s="290" t="str">
        <f>PRIX!A347</f>
        <v/>
      </c>
      <c r="B346" s="299" t="str">
        <f>IF(A346="","",PRIX!B347*'QUANTITE DETENUES'!B347)</f>
        <v/>
      </c>
      <c r="C346" s="299" t="str">
        <f>IF(B346="","",PRIX!C347*'QUANTITE DETENUES'!C347)</f>
        <v/>
      </c>
      <c r="D346" s="299" t="str">
        <f>IF(C346="","",PRIX!D347*'QUANTITE DETENUES'!D347)</f>
        <v/>
      </c>
      <c r="E346" s="299" t="str">
        <f>IF(D346="","",PRIX!E347*'QUANTITE DETENUES'!E347)</f>
        <v/>
      </c>
      <c r="F346" s="299" t="str">
        <f>IF(E346="","",PRIX!F347*'QUANTITE DETENUES'!F347)</f>
        <v/>
      </c>
      <c r="G346" s="299" t="str">
        <f>IF(F346="","",PRIX!G347*'QUANTITE DETENUES'!G347)</f>
        <v/>
      </c>
      <c r="H346" s="299" t="str">
        <f>IF(G346="","",PRIX!H347*'QUANTITE DETENUES'!H347)</f>
        <v/>
      </c>
      <c r="I346" s="299" t="str">
        <f>IF(H346="","",PRIX!I347*'QUANTITE DETENUES'!I347)</f>
        <v/>
      </c>
      <c r="J346" s="299" t="str">
        <f>IF(I346="","",PRIX!J347*'QUANTITE DETENUES'!J347)</f>
        <v/>
      </c>
      <c r="K346" s="299" t="str">
        <f>IF(J346="","",PRIX!K347*'QUANTITE DETENUES'!K347)</f>
        <v/>
      </c>
      <c r="L346" s="299" t="str">
        <f>IF(K346="","",PRIX!L347*'QUANTITE DETENUES'!L347)</f>
        <v/>
      </c>
      <c r="M346" s="299" t="str">
        <f>IF(L346="","",PRIX!M347*'QUANTITE DETENUES'!M347)</f>
        <v/>
      </c>
      <c r="N346" s="299" t="str">
        <f>IF(M346="","",PRIX!N347*'QUANTITE DETENUES'!N347)</f>
        <v/>
      </c>
      <c r="O346" s="299" t="str">
        <f>IF(N346="","",PRIX!O347*'QUANTITE DETENUES'!O347)</f>
        <v/>
      </c>
      <c r="P346" s="299" t="str">
        <f>IF(O346="","",PRIX!P347*'QUANTITE DETENUES'!P347)</f>
        <v/>
      </c>
      <c r="Q346" s="299" t="str">
        <f>IF(P346="","",PRIX!Q347*'QUANTITE DETENUES'!Q347)</f>
        <v/>
      </c>
      <c r="R346" s="299" t="str">
        <f>IF(Q346="","",PRIX!R347*'QUANTITE DETENUES'!R347)</f>
        <v/>
      </c>
      <c r="S346" s="300" t="str">
        <f>IF(R346="","",PRIX!S347*'QUANTITE DETENUES'!S347)</f>
        <v/>
      </c>
      <c r="T346" s="14" t="str">
        <f>IF(A346="","",ARBITRAGES!M347)</f>
        <v/>
      </c>
      <c r="U346" s="301" t="str">
        <f t="shared" si="1"/>
        <v/>
      </c>
      <c r="V346" s="302" t="str">
        <f t="shared" si="2"/>
        <v/>
      </c>
      <c r="W346" s="288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308"/>
      <c r="AI346" s="220"/>
      <c r="AJ346" s="220"/>
      <c r="AK346" s="220"/>
      <c r="AL346" s="220"/>
      <c r="AM346" s="220"/>
      <c r="AN346" s="220"/>
      <c r="AO346" s="220"/>
      <c r="AP346" s="220"/>
      <c r="AQ346" s="220"/>
      <c r="AR346" s="220"/>
      <c r="AS346" s="220"/>
      <c r="AT346" s="220"/>
      <c r="AU346" s="220"/>
      <c r="AV346" s="220"/>
      <c r="AW346" s="220"/>
      <c r="AX346" s="220"/>
      <c r="AY346" s="220"/>
      <c r="AZ346" s="220"/>
      <c r="BA346" s="220"/>
    </row>
    <row r="347">
      <c r="A347" s="290" t="str">
        <f>PRIX!A348</f>
        <v/>
      </c>
      <c r="B347" s="299" t="str">
        <f>IF(A347="","",PRIX!B348*'QUANTITE DETENUES'!B348)</f>
        <v/>
      </c>
      <c r="C347" s="299" t="str">
        <f>IF(B347="","",PRIX!C348*'QUANTITE DETENUES'!C348)</f>
        <v/>
      </c>
      <c r="D347" s="299" t="str">
        <f>IF(C347="","",PRIX!D348*'QUANTITE DETENUES'!D348)</f>
        <v/>
      </c>
      <c r="E347" s="299" t="str">
        <f>IF(D347="","",PRIX!E348*'QUANTITE DETENUES'!E348)</f>
        <v/>
      </c>
      <c r="F347" s="299" t="str">
        <f>IF(E347="","",PRIX!F348*'QUANTITE DETENUES'!F348)</f>
        <v/>
      </c>
      <c r="G347" s="299" t="str">
        <f>IF(F347="","",PRIX!G348*'QUANTITE DETENUES'!G348)</f>
        <v/>
      </c>
      <c r="H347" s="299" t="str">
        <f>IF(G347="","",PRIX!H348*'QUANTITE DETENUES'!H348)</f>
        <v/>
      </c>
      <c r="I347" s="299" t="str">
        <f>IF(H347="","",PRIX!I348*'QUANTITE DETENUES'!I348)</f>
        <v/>
      </c>
      <c r="J347" s="299" t="str">
        <f>IF(I347="","",PRIX!J348*'QUANTITE DETENUES'!J348)</f>
        <v/>
      </c>
      <c r="K347" s="299" t="str">
        <f>IF(J347="","",PRIX!K348*'QUANTITE DETENUES'!K348)</f>
        <v/>
      </c>
      <c r="L347" s="299" t="str">
        <f>IF(K347="","",PRIX!L348*'QUANTITE DETENUES'!L348)</f>
        <v/>
      </c>
      <c r="M347" s="299" t="str">
        <f>IF(L347="","",PRIX!M348*'QUANTITE DETENUES'!M348)</f>
        <v/>
      </c>
      <c r="N347" s="299" t="str">
        <f>IF(M347="","",PRIX!N348*'QUANTITE DETENUES'!N348)</f>
        <v/>
      </c>
      <c r="O347" s="299" t="str">
        <f>IF(N347="","",PRIX!O348*'QUANTITE DETENUES'!O348)</f>
        <v/>
      </c>
      <c r="P347" s="299" t="str">
        <f>IF(O347="","",PRIX!P348*'QUANTITE DETENUES'!P348)</f>
        <v/>
      </c>
      <c r="Q347" s="299" t="str">
        <f>IF(P347="","",PRIX!Q348*'QUANTITE DETENUES'!Q348)</f>
        <v/>
      </c>
      <c r="R347" s="299" t="str">
        <f>IF(Q347="","",PRIX!R348*'QUANTITE DETENUES'!R348)</f>
        <v/>
      </c>
      <c r="S347" s="300" t="str">
        <f>IF(R347="","",PRIX!S348*'QUANTITE DETENUES'!S348)</f>
        <v/>
      </c>
      <c r="T347" s="14" t="str">
        <f>IF(A347="","",ARBITRAGES!M348)</f>
        <v/>
      </c>
      <c r="U347" s="301" t="str">
        <f t="shared" si="1"/>
        <v/>
      </c>
      <c r="V347" s="302" t="str">
        <f t="shared" si="2"/>
        <v/>
      </c>
      <c r="W347" s="288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308"/>
      <c r="AI347" s="220"/>
      <c r="AJ347" s="220"/>
      <c r="AK347" s="220"/>
      <c r="AL347" s="220"/>
      <c r="AM347" s="220"/>
      <c r="AN347" s="220"/>
      <c r="AO347" s="220"/>
      <c r="AP347" s="220"/>
      <c r="AQ347" s="220"/>
      <c r="AR347" s="220"/>
      <c r="AS347" s="220"/>
      <c r="AT347" s="220"/>
      <c r="AU347" s="220"/>
      <c r="AV347" s="220"/>
      <c r="AW347" s="220"/>
      <c r="AX347" s="220"/>
      <c r="AY347" s="220"/>
      <c r="AZ347" s="220"/>
      <c r="BA347" s="220"/>
    </row>
    <row r="348">
      <c r="A348" s="290" t="str">
        <f>PRIX!A349</f>
        <v/>
      </c>
      <c r="B348" s="299" t="str">
        <f>IF(A348="","",PRIX!B349*'QUANTITE DETENUES'!B349)</f>
        <v/>
      </c>
      <c r="C348" s="299" t="str">
        <f>IF(B348="","",PRIX!C349*'QUANTITE DETENUES'!C349)</f>
        <v/>
      </c>
      <c r="D348" s="299" t="str">
        <f>IF(C348="","",PRIX!D349*'QUANTITE DETENUES'!D349)</f>
        <v/>
      </c>
      <c r="E348" s="299" t="str">
        <f>IF(D348="","",PRIX!E349*'QUANTITE DETENUES'!E349)</f>
        <v/>
      </c>
      <c r="F348" s="299" t="str">
        <f>IF(E348="","",PRIX!F349*'QUANTITE DETENUES'!F349)</f>
        <v/>
      </c>
      <c r="G348" s="299" t="str">
        <f>IF(F348="","",PRIX!G349*'QUANTITE DETENUES'!G349)</f>
        <v/>
      </c>
      <c r="H348" s="299" t="str">
        <f>IF(G348="","",PRIX!H349*'QUANTITE DETENUES'!H349)</f>
        <v/>
      </c>
      <c r="I348" s="299" t="str">
        <f>IF(H348="","",PRIX!I349*'QUANTITE DETENUES'!I349)</f>
        <v/>
      </c>
      <c r="J348" s="299" t="str">
        <f>IF(I348="","",PRIX!J349*'QUANTITE DETENUES'!J349)</f>
        <v/>
      </c>
      <c r="K348" s="299" t="str">
        <f>IF(J348="","",PRIX!K349*'QUANTITE DETENUES'!K349)</f>
        <v/>
      </c>
      <c r="L348" s="299" t="str">
        <f>IF(K348="","",PRIX!L349*'QUANTITE DETENUES'!L349)</f>
        <v/>
      </c>
      <c r="M348" s="299" t="str">
        <f>IF(L348="","",PRIX!M349*'QUANTITE DETENUES'!M349)</f>
        <v/>
      </c>
      <c r="N348" s="299" t="str">
        <f>IF(M348="","",PRIX!N349*'QUANTITE DETENUES'!N349)</f>
        <v/>
      </c>
      <c r="O348" s="299" t="str">
        <f>IF(N348="","",PRIX!O349*'QUANTITE DETENUES'!O349)</f>
        <v/>
      </c>
      <c r="P348" s="299" t="str">
        <f>IF(O348="","",PRIX!P349*'QUANTITE DETENUES'!P349)</f>
        <v/>
      </c>
      <c r="Q348" s="299" t="str">
        <f>IF(P348="","",PRIX!Q349*'QUANTITE DETENUES'!Q349)</f>
        <v/>
      </c>
      <c r="R348" s="299" t="str">
        <f>IF(Q348="","",PRIX!R349*'QUANTITE DETENUES'!R349)</f>
        <v/>
      </c>
      <c r="S348" s="300" t="str">
        <f>IF(R348="","",PRIX!S349*'QUANTITE DETENUES'!S349)</f>
        <v/>
      </c>
      <c r="T348" s="14" t="str">
        <f>IF(A348="","",ARBITRAGES!M349)</f>
        <v/>
      </c>
      <c r="U348" s="301" t="str">
        <f t="shared" si="1"/>
        <v/>
      </c>
      <c r="V348" s="302" t="str">
        <f t="shared" si="2"/>
        <v/>
      </c>
      <c r="W348" s="288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308"/>
      <c r="AI348" s="220"/>
      <c r="AJ348" s="220"/>
      <c r="AK348" s="220"/>
      <c r="AL348" s="220"/>
      <c r="AM348" s="220"/>
      <c r="AN348" s="220"/>
      <c r="AO348" s="220"/>
      <c r="AP348" s="220"/>
      <c r="AQ348" s="220"/>
      <c r="AR348" s="220"/>
      <c r="AS348" s="220"/>
      <c r="AT348" s="220"/>
      <c r="AU348" s="220"/>
      <c r="AV348" s="220"/>
      <c r="AW348" s="220"/>
      <c r="AX348" s="220"/>
      <c r="AY348" s="220"/>
      <c r="AZ348" s="220"/>
      <c r="BA348" s="220"/>
    </row>
    <row r="349">
      <c r="A349" s="290" t="str">
        <f>PRIX!A350</f>
        <v/>
      </c>
      <c r="B349" s="299" t="str">
        <f>IF(A349="","",PRIX!B350*'QUANTITE DETENUES'!B350)</f>
        <v/>
      </c>
      <c r="C349" s="299" t="str">
        <f>IF(B349="","",PRIX!C350*'QUANTITE DETENUES'!C350)</f>
        <v/>
      </c>
      <c r="D349" s="299" t="str">
        <f>IF(C349="","",PRIX!D350*'QUANTITE DETENUES'!D350)</f>
        <v/>
      </c>
      <c r="E349" s="299" t="str">
        <f>IF(D349="","",PRIX!E350*'QUANTITE DETENUES'!E350)</f>
        <v/>
      </c>
      <c r="F349" s="299" t="str">
        <f>IF(E349="","",PRIX!F350*'QUANTITE DETENUES'!F350)</f>
        <v/>
      </c>
      <c r="G349" s="299" t="str">
        <f>IF(F349="","",PRIX!G350*'QUANTITE DETENUES'!G350)</f>
        <v/>
      </c>
      <c r="H349" s="299" t="str">
        <f>IF(G349="","",PRIX!H350*'QUANTITE DETENUES'!H350)</f>
        <v/>
      </c>
      <c r="I349" s="299" t="str">
        <f>IF(H349="","",PRIX!I350*'QUANTITE DETENUES'!I350)</f>
        <v/>
      </c>
      <c r="J349" s="299" t="str">
        <f>IF(I349="","",PRIX!J350*'QUANTITE DETENUES'!J350)</f>
        <v/>
      </c>
      <c r="K349" s="299" t="str">
        <f>IF(J349="","",PRIX!K350*'QUANTITE DETENUES'!K350)</f>
        <v/>
      </c>
      <c r="L349" s="299" t="str">
        <f>IF(K349="","",PRIX!L350*'QUANTITE DETENUES'!L350)</f>
        <v/>
      </c>
      <c r="M349" s="299" t="str">
        <f>IF(L349="","",PRIX!M350*'QUANTITE DETENUES'!M350)</f>
        <v/>
      </c>
      <c r="N349" s="299" t="str">
        <f>IF(M349="","",PRIX!N350*'QUANTITE DETENUES'!N350)</f>
        <v/>
      </c>
      <c r="O349" s="299" t="str">
        <f>IF(N349="","",PRIX!O350*'QUANTITE DETENUES'!O350)</f>
        <v/>
      </c>
      <c r="P349" s="299" t="str">
        <f>IF(O349="","",PRIX!P350*'QUANTITE DETENUES'!P350)</f>
        <v/>
      </c>
      <c r="Q349" s="299" t="str">
        <f>IF(P349="","",PRIX!Q350*'QUANTITE DETENUES'!Q350)</f>
        <v/>
      </c>
      <c r="R349" s="299" t="str">
        <f>IF(Q349="","",PRIX!R350*'QUANTITE DETENUES'!R350)</f>
        <v/>
      </c>
      <c r="S349" s="300" t="str">
        <f>IF(R349="","",PRIX!S350*'QUANTITE DETENUES'!S350)</f>
        <v/>
      </c>
      <c r="T349" s="14" t="str">
        <f>IF(A349="","",ARBITRAGES!M350)</f>
        <v/>
      </c>
      <c r="U349" s="301" t="str">
        <f t="shared" si="1"/>
        <v/>
      </c>
      <c r="V349" s="302" t="str">
        <f t="shared" si="2"/>
        <v/>
      </c>
      <c r="W349" s="288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308"/>
      <c r="AI349" s="220"/>
      <c r="AJ349" s="220"/>
      <c r="AK349" s="220"/>
      <c r="AL349" s="220"/>
      <c r="AM349" s="220"/>
      <c r="AN349" s="220"/>
      <c r="AO349" s="220"/>
      <c r="AP349" s="220"/>
      <c r="AQ349" s="220"/>
      <c r="AR349" s="220"/>
      <c r="AS349" s="220"/>
      <c r="AT349" s="220"/>
      <c r="AU349" s="220"/>
      <c r="AV349" s="220"/>
      <c r="AW349" s="220"/>
      <c r="AX349" s="220"/>
      <c r="AY349" s="220"/>
      <c r="AZ349" s="220"/>
      <c r="BA349" s="220"/>
    </row>
    <row r="350">
      <c r="A350" s="290" t="str">
        <f>PRIX!A351</f>
        <v/>
      </c>
      <c r="B350" s="299" t="str">
        <f>IF(A350="","",PRIX!B351*'QUANTITE DETENUES'!B351)</f>
        <v/>
      </c>
      <c r="C350" s="299" t="str">
        <f>IF(B350="","",PRIX!C351*'QUANTITE DETENUES'!C351)</f>
        <v/>
      </c>
      <c r="D350" s="299" t="str">
        <f>IF(C350="","",PRIX!D351*'QUANTITE DETENUES'!D351)</f>
        <v/>
      </c>
      <c r="E350" s="299" t="str">
        <f>IF(D350="","",PRIX!E351*'QUANTITE DETENUES'!E351)</f>
        <v/>
      </c>
      <c r="F350" s="299" t="str">
        <f>IF(E350="","",PRIX!F351*'QUANTITE DETENUES'!F351)</f>
        <v/>
      </c>
      <c r="G350" s="299" t="str">
        <f>IF(F350="","",PRIX!G351*'QUANTITE DETENUES'!G351)</f>
        <v/>
      </c>
      <c r="H350" s="299" t="str">
        <f>IF(G350="","",PRIX!H351*'QUANTITE DETENUES'!H351)</f>
        <v/>
      </c>
      <c r="I350" s="299" t="str">
        <f>IF(H350="","",PRIX!I351*'QUANTITE DETENUES'!I351)</f>
        <v/>
      </c>
      <c r="J350" s="299" t="str">
        <f>IF(I350="","",PRIX!J351*'QUANTITE DETENUES'!J351)</f>
        <v/>
      </c>
      <c r="K350" s="299" t="str">
        <f>IF(J350="","",PRIX!K351*'QUANTITE DETENUES'!K351)</f>
        <v/>
      </c>
      <c r="L350" s="299" t="str">
        <f>IF(K350="","",PRIX!L351*'QUANTITE DETENUES'!L351)</f>
        <v/>
      </c>
      <c r="M350" s="299" t="str">
        <f>IF(L350="","",PRIX!M351*'QUANTITE DETENUES'!M351)</f>
        <v/>
      </c>
      <c r="N350" s="299" t="str">
        <f>IF(M350="","",PRIX!N351*'QUANTITE DETENUES'!N351)</f>
        <v/>
      </c>
      <c r="O350" s="299" t="str">
        <f>IF(N350="","",PRIX!O351*'QUANTITE DETENUES'!O351)</f>
        <v/>
      </c>
      <c r="P350" s="299" t="str">
        <f>IF(O350="","",PRIX!P351*'QUANTITE DETENUES'!P351)</f>
        <v/>
      </c>
      <c r="Q350" s="299" t="str">
        <f>IF(P350="","",PRIX!Q351*'QUANTITE DETENUES'!Q351)</f>
        <v/>
      </c>
      <c r="R350" s="299" t="str">
        <f>IF(Q350="","",PRIX!R351*'QUANTITE DETENUES'!R351)</f>
        <v/>
      </c>
      <c r="S350" s="300" t="str">
        <f>IF(R350="","",PRIX!S351*'QUANTITE DETENUES'!S351)</f>
        <v/>
      </c>
      <c r="T350" s="14" t="str">
        <f>IF(A350="","",ARBITRAGES!M351)</f>
        <v/>
      </c>
      <c r="U350" s="301" t="str">
        <f t="shared" si="1"/>
        <v/>
      </c>
      <c r="V350" s="302" t="str">
        <f t="shared" si="2"/>
        <v/>
      </c>
      <c r="W350" s="288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308"/>
      <c r="AI350" s="220"/>
      <c r="AJ350" s="220"/>
      <c r="AK350" s="220"/>
      <c r="AL350" s="220"/>
      <c r="AM350" s="220"/>
      <c r="AN350" s="220"/>
      <c r="AO350" s="220"/>
      <c r="AP350" s="220"/>
      <c r="AQ350" s="220"/>
      <c r="AR350" s="220"/>
      <c r="AS350" s="220"/>
      <c r="AT350" s="220"/>
      <c r="AU350" s="220"/>
      <c r="AV350" s="220"/>
      <c r="AW350" s="220"/>
      <c r="AX350" s="220"/>
      <c r="AY350" s="220"/>
      <c r="AZ350" s="220"/>
      <c r="BA350" s="220"/>
    </row>
    <row r="351">
      <c r="A351" s="290" t="str">
        <f>PRIX!A352</f>
        <v/>
      </c>
      <c r="B351" s="299" t="str">
        <f>IF(A351="","",PRIX!B352*'QUANTITE DETENUES'!B352)</f>
        <v/>
      </c>
      <c r="C351" s="299" t="str">
        <f>IF(B351="","",PRIX!C352*'QUANTITE DETENUES'!C352)</f>
        <v/>
      </c>
      <c r="D351" s="299" t="str">
        <f>IF(C351="","",PRIX!D352*'QUANTITE DETENUES'!D352)</f>
        <v/>
      </c>
      <c r="E351" s="299" t="str">
        <f>IF(D351="","",PRIX!E352*'QUANTITE DETENUES'!E352)</f>
        <v/>
      </c>
      <c r="F351" s="299" t="str">
        <f>IF(E351="","",PRIX!F352*'QUANTITE DETENUES'!F352)</f>
        <v/>
      </c>
      <c r="G351" s="299" t="str">
        <f>IF(F351="","",PRIX!G352*'QUANTITE DETENUES'!G352)</f>
        <v/>
      </c>
      <c r="H351" s="299" t="str">
        <f>IF(G351="","",PRIX!H352*'QUANTITE DETENUES'!H352)</f>
        <v/>
      </c>
      <c r="I351" s="299" t="str">
        <f>IF(H351="","",PRIX!I352*'QUANTITE DETENUES'!I352)</f>
        <v/>
      </c>
      <c r="J351" s="299" t="str">
        <f>IF(I351="","",PRIX!J352*'QUANTITE DETENUES'!J352)</f>
        <v/>
      </c>
      <c r="K351" s="299" t="str">
        <f>IF(J351="","",PRIX!K352*'QUANTITE DETENUES'!K352)</f>
        <v/>
      </c>
      <c r="L351" s="299" t="str">
        <f>IF(K351="","",PRIX!L352*'QUANTITE DETENUES'!L352)</f>
        <v/>
      </c>
      <c r="M351" s="299" t="str">
        <f>IF(L351="","",PRIX!M352*'QUANTITE DETENUES'!M352)</f>
        <v/>
      </c>
      <c r="N351" s="299" t="str">
        <f>IF(M351="","",PRIX!N352*'QUANTITE DETENUES'!N352)</f>
        <v/>
      </c>
      <c r="O351" s="299" t="str">
        <f>IF(N351="","",PRIX!O352*'QUANTITE DETENUES'!O352)</f>
        <v/>
      </c>
      <c r="P351" s="299" t="str">
        <f>IF(O351="","",PRIX!P352*'QUANTITE DETENUES'!P352)</f>
        <v/>
      </c>
      <c r="Q351" s="299" t="str">
        <f>IF(P351="","",PRIX!Q352*'QUANTITE DETENUES'!Q352)</f>
        <v/>
      </c>
      <c r="R351" s="299" t="str">
        <f>IF(Q351="","",PRIX!R352*'QUANTITE DETENUES'!R352)</f>
        <v/>
      </c>
      <c r="S351" s="300" t="str">
        <f>IF(R351="","",PRIX!S352*'QUANTITE DETENUES'!S352)</f>
        <v/>
      </c>
      <c r="T351" s="14" t="str">
        <f>IF(A351="","",ARBITRAGES!M352)</f>
        <v/>
      </c>
      <c r="U351" s="301" t="str">
        <f t="shared" si="1"/>
        <v/>
      </c>
      <c r="V351" s="302" t="str">
        <f t="shared" si="2"/>
        <v/>
      </c>
      <c r="W351" s="288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220"/>
      <c r="AH351" s="308"/>
      <c r="AI351" s="220"/>
      <c r="AJ351" s="220"/>
      <c r="AK351" s="220"/>
      <c r="AL351" s="220"/>
      <c r="AM351" s="220"/>
      <c r="AN351" s="220"/>
      <c r="AO351" s="220"/>
      <c r="AP351" s="220"/>
      <c r="AQ351" s="220"/>
      <c r="AR351" s="220"/>
      <c r="AS351" s="220"/>
      <c r="AT351" s="220"/>
      <c r="AU351" s="220"/>
      <c r="AV351" s="220"/>
      <c r="AW351" s="220"/>
      <c r="AX351" s="220"/>
      <c r="AY351" s="220"/>
      <c r="AZ351" s="220"/>
      <c r="BA351" s="220"/>
    </row>
    <row r="352">
      <c r="A352" s="290" t="str">
        <f>PRIX!A353</f>
        <v/>
      </c>
      <c r="B352" s="299" t="str">
        <f>IF(A352="","",PRIX!B353*'QUANTITE DETENUES'!B353)</f>
        <v/>
      </c>
      <c r="C352" s="299" t="str">
        <f>IF(B352="","",PRIX!C353*'QUANTITE DETENUES'!C353)</f>
        <v/>
      </c>
      <c r="D352" s="299" t="str">
        <f>IF(C352="","",PRIX!D353*'QUANTITE DETENUES'!D353)</f>
        <v/>
      </c>
      <c r="E352" s="299" t="str">
        <f>IF(D352="","",PRIX!E353*'QUANTITE DETENUES'!E353)</f>
        <v/>
      </c>
      <c r="F352" s="299" t="str">
        <f>IF(E352="","",PRIX!F353*'QUANTITE DETENUES'!F353)</f>
        <v/>
      </c>
      <c r="G352" s="299" t="str">
        <f>IF(F352="","",PRIX!G353*'QUANTITE DETENUES'!G353)</f>
        <v/>
      </c>
      <c r="H352" s="299" t="str">
        <f>IF(G352="","",PRIX!H353*'QUANTITE DETENUES'!H353)</f>
        <v/>
      </c>
      <c r="I352" s="299" t="str">
        <f>IF(H352="","",PRIX!I353*'QUANTITE DETENUES'!I353)</f>
        <v/>
      </c>
      <c r="J352" s="299" t="str">
        <f>IF(I352="","",PRIX!J353*'QUANTITE DETENUES'!J353)</f>
        <v/>
      </c>
      <c r="K352" s="299" t="str">
        <f>IF(J352="","",PRIX!K353*'QUANTITE DETENUES'!K353)</f>
        <v/>
      </c>
      <c r="L352" s="299" t="str">
        <f>IF(K352="","",PRIX!L353*'QUANTITE DETENUES'!L353)</f>
        <v/>
      </c>
      <c r="M352" s="299" t="str">
        <f>IF(L352="","",PRIX!M353*'QUANTITE DETENUES'!M353)</f>
        <v/>
      </c>
      <c r="N352" s="299" t="str">
        <f>IF(M352="","",PRIX!N353*'QUANTITE DETENUES'!N353)</f>
        <v/>
      </c>
      <c r="O352" s="299" t="str">
        <f>IF(N352="","",PRIX!O353*'QUANTITE DETENUES'!O353)</f>
        <v/>
      </c>
      <c r="P352" s="299" t="str">
        <f>IF(O352="","",PRIX!P353*'QUANTITE DETENUES'!P353)</f>
        <v/>
      </c>
      <c r="Q352" s="299" t="str">
        <f>IF(P352="","",PRIX!Q353*'QUANTITE DETENUES'!Q353)</f>
        <v/>
      </c>
      <c r="R352" s="299" t="str">
        <f>IF(Q352="","",PRIX!R353*'QUANTITE DETENUES'!R353)</f>
        <v/>
      </c>
      <c r="S352" s="300" t="str">
        <f>IF(R352="","",PRIX!S353*'QUANTITE DETENUES'!S353)</f>
        <v/>
      </c>
      <c r="T352" s="14" t="str">
        <f>IF(A352="","",ARBITRAGES!M353)</f>
        <v/>
      </c>
      <c r="U352" s="301" t="str">
        <f t="shared" si="1"/>
        <v/>
      </c>
      <c r="V352" s="302" t="str">
        <f t="shared" si="2"/>
        <v/>
      </c>
      <c r="W352" s="288"/>
      <c r="X352" s="220"/>
      <c r="Y352" s="220"/>
      <c r="Z352" s="220"/>
      <c r="AA352" s="220"/>
      <c r="AB352" s="220"/>
      <c r="AC352" s="220"/>
      <c r="AD352" s="220"/>
      <c r="AE352" s="220"/>
      <c r="AF352" s="220"/>
      <c r="AG352" s="220"/>
      <c r="AH352" s="308"/>
      <c r="AI352" s="220"/>
      <c r="AJ352" s="220"/>
      <c r="AK352" s="220"/>
      <c r="AL352" s="220"/>
      <c r="AM352" s="220"/>
      <c r="AN352" s="220"/>
      <c r="AO352" s="220"/>
      <c r="AP352" s="220"/>
      <c r="AQ352" s="220"/>
      <c r="AR352" s="220"/>
      <c r="AS352" s="220"/>
      <c r="AT352" s="220"/>
      <c r="AU352" s="220"/>
      <c r="AV352" s="220"/>
      <c r="AW352" s="220"/>
      <c r="AX352" s="220"/>
      <c r="AY352" s="220"/>
      <c r="AZ352" s="220"/>
      <c r="BA352" s="220"/>
    </row>
    <row r="353">
      <c r="A353" s="290" t="str">
        <f>PRIX!A354</f>
        <v/>
      </c>
      <c r="B353" s="299" t="str">
        <f>IF(A353="","",PRIX!B354*'QUANTITE DETENUES'!B354)</f>
        <v/>
      </c>
      <c r="C353" s="299" t="str">
        <f>IF(B353="","",PRIX!C354*'QUANTITE DETENUES'!C354)</f>
        <v/>
      </c>
      <c r="D353" s="299" t="str">
        <f>IF(C353="","",PRIX!D354*'QUANTITE DETENUES'!D354)</f>
        <v/>
      </c>
      <c r="E353" s="299" t="str">
        <f>IF(D353="","",PRIX!E354*'QUANTITE DETENUES'!E354)</f>
        <v/>
      </c>
      <c r="F353" s="299" t="str">
        <f>IF(E353="","",PRIX!F354*'QUANTITE DETENUES'!F354)</f>
        <v/>
      </c>
      <c r="G353" s="299" t="str">
        <f>IF(F353="","",PRIX!G354*'QUANTITE DETENUES'!G354)</f>
        <v/>
      </c>
      <c r="H353" s="299" t="str">
        <f>IF(G353="","",PRIX!H354*'QUANTITE DETENUES'!H354)</f>
        <v/>
      </c>
      <c r="I353" s="299" t="str">
        <f>IF(H353="","",PRIX!I354*'QUANTITE DETENUES'!I354)</f>
        <v/>
      </c>
      <c r="J353" s="299" t="str">
        <f>IF(I353="","",PRIX!J354*'QUANTITE DETENUES'!J354)</f>
        <v/>
      </c>
      <c r="K353" s="299" t="str">
        <f>IF(J353="","",PRIX!K354*'QUANTITE DETENUES'!K354)</f>
        <v/>
      </c>
      <c r="L353" s="299" t="str">
        <f>IF(K353="","",PRIX!L354*'QUANTITE DETENUES'!L354)</f>
        <v/>
      </c>
      <c r="M353" s="299" t="str">
        <f>IF(L353="","",PRIX!M354*'QUANTITE DETENUES'!M354)</f>
        <v/>
      </c>
      <c r="N353" s="299" t="str">
        <f>IF(M353="","",PRIX!N354*'QUANTITE DETENUES'!N354)</f>
        <v/>
      </c>
      <c r="O353" s="299" t="str">
        <f>IF(N353="","",PRIX!O354*'QUANTITE DETENUES'!O354)</f>
        <v/>
      </c>
      <c r="P353" s="299" t="str">
        <f>IF(O353="","",PRIX!P354*'QUANTITE DETENUES'!P354)</f>
        <v/>
      </c>
      <c r="Q353" s="299" t="str">
        <f>IF(P353="","",PRIX!Q354*'QUANTITE DETENUES'!Q354)</f>
        <v/>
      </c>
      <c r="R353" s="299" t="str">
        <f>IF(Q353="","",PRIX!R354*'QUANTITE DETENUES'!R354)</f>
        <v/>
      </c>
      <c r="S353" s="300" t="str">
        <f>IF(R353="","",PRIX!S354*'QUANTITE DETENUES'!S354)</f>
        <v/>
      </c>
      <c r="T353" s="14" t="str">
        <f>IF(A353="","",ARBITRAGES!M354)</f>
        <v/>
      </c>
      <c r="U353" s="301" t="str">
        <f t="shared" si="1"/>
        <v/>
      </c>
      <c r="V353" s="302" t="str">
        <f t="shared" si="2"/>
        <v/>
      </c>
      <c r="W353" s="288"/>
      <c r="X353" s="220"/>
      <c r="Y353" s="220"/>
      <c r="Z353" s="220"/>
      <c r="AA353" s="220"/>
      <c r="AB353" s="220"/>
      <c r="AC353" s="220"/>
      <c r="AD353" s="220"/>
      <c r="AE353" s="220"/>
      <c r="AF353" s="220"/>
      <c r="AG353" s="220"/>
      <c r="AH353" s="308"/>
      <c r="AI353" s="220"/>
      <c r="AJ353" s="220"/>
      <c r="AK353" s="220"/>
      <c r="AL353" s="220"/>
      <c r="AM353" s="220"/>
      <c r="AN353" s="220"/>
      <c r="AO353" s="220"/>
      <c r="AP353" s="220"/>
      <c r="AQ353" s="220"/>
      <c r="AR353" s="220"/>
      <c r="AS353" s="220"/>
      <c r="AT353" s="220"/>
      <c r="AU353" s="220"/>
      <c r="AV353" s="220"/>
      <c r="AW353" s="220"/>
      <c r="AX353" s="220"/>
      <c r="AY353" s="220"/>
      <c r="AZ353" s="220"/>
      <c r="BA353" s="220"/>
    </row>
    <row r="354">
      <c r="A354" s="290" t="str">
        <f>PRIX!A355</f>
        <v/>
      </c>
      <c r="B354" s="299" t="str">
        <f>IF(A354="","",PRIX!B355*'QUANTITE DETENUES'!B355)</f>
        <v/>
      </c>
      <c r="C354" s="299" t="str">
        <f>IF(B354="","",PRIX!C355*'QUANTITE DETENUES'!C355)</f>
        <v/>
      </c>
      <c r="D354" s="299" t="str">
        <f>IF(C354="","",PRIX!D355*'QUANTITE DETENUES'!D355)</f>
        <v/>
      </c>
      <c r="E354" s="299" t="str">
        <f>IF(D354="","",PRIX!E355*'QUANTITE DETENUES'!E355)</f>
        <v/>
      </c>
      <c r="F354" s="299" t="str">
        <f>IF(E354="","",PRIX!F355*'QUANTITE DETENUES'!F355)</f>
        <v/>
      </c>
      <c r="G354" s="299" t="str">
        <f>IF(F354="","",PRIX!G355*'QUANTITE DETENUES'!G355)</f>
        <v/>
      </c>
      <c r="H354" s="299" t="str">
        <f>IF(G354="","",PRIX!H355*'QUANTITE DETENUES'!H355)</f>
        <v/>
      </c>
      <c r="I354" s="299" t="str">
        <f>IF(H354="","",PRIX!I355*'QUANTITE DETENUES'!I355)</f>
        <v/>
      </c>
      <c r="J354" s="299" t="str">
        <f>IF(I354="","",PRIX!J355*'QUANTITE DETENUES'!J355)</f>
        <v/>
      </c>
      <c r="K354" s="299" t="str">
        <f>IF(J354="","",PRIX!K355*'QUANTITE DETENUES'!K355)</f>
        <v/>
      </c>
      <c r="L354" s="299" t="str">
        <f>IF(K354="","",PRIX!L355*'QUANTITE DETENUES'!L355)</f>
        <v/>
      </c>
      <c r="M354" s="299" t="str">
        <f>IF(L354="","",PRIX!M355*'QUANTITE DETENUES'!M355)</f>
        <v/>
      </c>
      <c r="N354" s="299" t="str">
        <f>IF(M354="","",PRIX!N355*'QUANTITE DETENUES'!N355)</f>
        <v/>
      </c>
      <c r="O354" s="299" t="str">
        <f>IF(N354="","",PRIX!O355*'QUANTITE DETENUES'!O355)</f>
        <v/>
      </c>
      <c r="P354" s="299" t="str">
        <f>IF(O354="","",PRIX!P355*'QUANTITE DETENUES'!P355)</f>
        <v/>
      </c>
      <c r="Q354" s="299" t="str">
        <f>IF(P354="","",PRIX!Q355*'QUANTITE DETENUES'!Q355)</f>
        <v/>
      </c>
      <c r="R354" s="299" t="str">
        <f>IF(Q354="","",PRIX!R355*'QUANTITE DETENUES'!R355)</f>
        <v/>
      </c>
      <c r="S354" s="300" t="str">
        <f>IF(R354="","",PRIX!S355*'QUANTITE DETENUES'!S355)</f>
        <v/>
      </c>
      <c r="T354" s="14" t="str">
        <f>IF(A354="","",ARBITRAGES!M355)</f>
        <v/>
      </c>
      <c r="U354" s="301" t="str">
        <f t="shared" si="1"/>
        <v/>
      </c>
      <c r="V354" s="302" t="str">
        <f t="shared" si="2"/>
        <v/>
      </c>
      <c r="W354" s="288"/>
      <c r="X354" s="220"/>
      <c r="Y354" s="220"/>
      <c r="Z354" s="220"/>
      <c r="AA354" s="220"/>
      <c r="AB354" s="220"/>
      <c r="AC354" s="220"/>
      <c r="AD354" s="220"/>
      <c r="AE354" s="220"/>
      <c r="AF354" s="220"/>
      <c r="AG354" s="220"/>
      <c r="AH354" s="308"/>
      <c r="AI354" s="220"/>
      <c r="AJ354" s="220"/>
      <c r="AK354" s="220"/>
      <c r="AL354" s="220"/>
      <c r="AM354" s="220"/>
      <c r="AN354" s="220"/>
      <c r="AO354" s="220"/>
      <c r="AP354" s="220"/>
      <c r="AQ354" s="220"/>
      <c r="AR354" s="220"/>
      <c r="AS354" s="220"/>
      <c r="AT354" s="220"/>
      <c r="AU354" s="220"/>
      <c r="AV354" s="220"/>
      <c r="AW354" s="220"/>
      <c r="AX354" s="220"/>
      <c r="AY354" s="220"/>
      <c r="AZ354" s="220"/>
      <c r="BA354" s="220"/>
    </row>
    <row r="355">
      <c r="A355" s="290" t="str">
        <f>PRIX!A356</f>
        <v/>
      </c>
      <c r="B355" s="299" t="str">
        <f>IF(A355="","",PRIX!B356*'QUANTITE DETENUES'!B356)</f>
        <v/>
      </c>
      <c r="C355" s="299" t="str">
        <f>IF(B355="","",PRIX!C356*'QUANTITE DETENUES'!C356)</f>
        <v/>
      </c>
      <c r="D355" s="299" t="str">
        <f>IF(C355="","",PRIX!D356*'QUANTITE DETENUES'!D356)</f>
        <v/>
      </c>
      <c r="E355" s="299" t="str">
        <f>IF(D355="","",PRIX!E356*'QUANTITE DETENUES'!E356)</f>
        <v/>
      </c>
      <c r="F355" s="299" t="str">
        <f>IF(E355="","",PRIX!F356*'QUANTITE DETENUES'!F356)</f>
        <v/>
      </c>
      <c r="G355" s="299" t="str">
        <f>IF(F355="","",PRIX!G356*'QUANTITE DETENUES'!G356)</f>
        <v/>
      </c>
      <c r="H355" s="299" t="str">
        <f>IF(G355="","",PRIX!H356*'QUANTITE DETENUES'!H356)</f>
        <v/>
      </c>
      <c r="I355" s="299" t="str">
        <f>IF(H355="","",PRIX!I356*'QUANTITE DETENUES'!I356)</f>
        <v/>
      </c>
      <c r="J355" s="299" t="str">
        <f>IF(I355="","",PRIX!J356*'QUANTITE DETENUES'!J356)</f>
        <v/>
      </c>
      <c r="K355" s="299" t="str">
        <f>IF(J355="","",PRIX!K356*'QUANTITE DETENUES'!K356)</f>
        <v/>
      </c>
      <c r="L355" s="299" t="str">
        <f>IF(K355="","",PRIX!L356*'QUANTITE DETENUES'!L356)</f>
        <v/>
      </c>
      <c r="M355" s="299" t="str">
        <f>IF(L355="","",PRIX!M356*'QUANTITE DETENUES'!M356)</f>
        <v/>
      </c>
      <c r="N355" s="299" t="str">
        <f>IF(M355="","",PRIX!N356*'QUANTITE DETENUES'!N356)</f>
        <v/>
      </c>
      <c r="O355" s="299" t="str">
        <f>IF(N355="","",PRIX!O356*'QUANTITE DETENUES'!O356)</f>
        <v/>
      </c>
      <c r="P355" s="299" t="str">
        <f>IF(O355="","",PRIX!P356*'QUANTITE DETENUES'!P356)</f>
        <v/>
      </c>
      <c r="Q355" s="299" t="str">
        <f>IF(P355="","",PRIX!Q356*'QUANTITE DETENUES'!Q356)</f>
        <v/>
      </c>
      <c r="R355" s="299" t="str">
        <f>IF(Q355="","",PRIX!R356*'QUANTITE DETENUES'!R356)</f>
        <v/>
      </c>
      <c r="S355" s="300" t="str">
        <f>IF(R355="","",PRIX!S356*'QUANTITE DETENUES'!S356)</f>
        <v/>
      </c>
      <c r="T355" s="14" t="str">
        <f>IF(A355="","",ARBITRAGES!M356)</f>
        <v/>
      </c>
      <c r="U355" s="301" t="str">
        <f t="shared" si="1"/>
        <v/>
      </c>
      <c r="V355" s="302" t="str">
        <f t="shared" si="2"/>
        <v/>
      </c>
      <c r="W355" s="288"/>
      <c r="X355" s="220"/>
      <c r="Y355" s="220"/>
      <c r="Z355" s="220"/>
      <c r="AA355" s="220"/>
      <c r="AB355" s="220"/>
      <c r="AC355" s="220"/>
      <c r="AD355" s="220"/>
      <c r="AE355" s="220"/>
      <c r="AF355" s="220"/>
      <c r="AG355" s="220"/>
      <c r="AH355" s="308"/>
      <c r="AI355" s="220"/>
      <c r="AJ355" s="220"/>
      <c r="AK355" s="220"/>
      <c r="AL355" s="220"/>
      <c r="AM355" s="220"/>
      <c r="AN355" s="220"/>
      <c r="AO355" s="220"/>
      <c r="AP355" s="220"/>
      <c r="AQ355" s="220"/>
      <c r="AR355" s="220"/>
      <c r="AS355" s="220"/>
      <c r="AT355" s="220"/>
      <c r="AU355" s="220"/>
      <c r="AV355" s="220"/>
      <c r="AW355" s="220"/>
      <c r="AX355" s="220"/>
      <c r="AY355" s="220"/>
      <c r="AZ355" s="220"/>
      <c r="BA355" s="220"/>
    </row>
    <row r="356">
      <c r="A356" s="290" t="str">
        <f>PRIX!A357</f>
        <v/>
      </c>
      <c r="B356" s="299" t="str">
        <f>IF(A356="","",PRIX!B357*'QUANTITE DETENUES'!B357)</f>
        <v/>
      </c>
      <c r="C356" s="299" t="str">
        <f>IF(B356="","",PRIX!C357*'QUANTITE DETENUES'!C357)</f>
        <v/>
      </c>
      <c r="D356" s="299" t="str">
        <f>IF(C356="","",PRIX!D357*'QUANTITE DETENUES'!D357)</f>
        <v/>
      </c>
      <c r="E356" s="299" t="str">
        <f>IF(D356="","",PRIX!E357*'QUANTITE DETENUES'!E357)</f>
        <v/>
      </c>
      <c r="F356" s="299" t="str">
        <f>IF(E356="","",PRIX!F357*'QUANTITE DETENUES'!F357)</f>
        <v/>
      </c>
      <c r="G356" s="299" t="str">
        <f>IF(F356="","",PRIX!G357*'QUANTITE DETENUES'!G357)</f>
        <v/>
      </c>
      <c r="H356" s="299" t="str">
        <f>IF(G356="","",PRIX!H357*'QUANTITE DETENUES'!H357)</f>
        <v/>
      </c>
      <c r="I356" s="299" t="str">
        <f>IF(H356="","",PRIX!I357*'QUANTITE DETENUES'!I357)</f>
        <v/>
      </c>
      <c r="J356" s="299" t="str">
        <f>IF(I356="","",PRIX!J357*'QUANTITE DETENUES'!J357)</f>
        <v/>
      </c>
      <c r="K356" s="299" t="str">
        <f>IF(J356="","",PRIX!K357*'QUANTITE DETENUES'!K357)</f>
        <v/>
      </c>
      <c r="L356" s="299" t="str">
        <f>IF(K356="","",PRIX!L357*'QUANTITE DETENUES'!L357)</f>
        <v/>
      </c>
      <c r="M356" s="299" t="str">
        <f>IF(L356="","",PRIX!M357*'QUANTITE DETENUES'!M357)</f>
        <v/>
      </c>
      <c r="N356" s="299" t="str">
        <f>IF(M356="","",PRIX!N357*'QUANTITE DETENUES'!N357)</f>
        <v/>
      </c>
      <c r="O356" s="299" t="str">
        <f>IF(N356="","",PRIX!O357*'QUANTITE DETENUES'!O357)</f>
        <v/>
      </c>
      <c r="P356" s="299" t="str">
        <f>IF(O356="","",PRIX!P357*'QUANTITE DETENUES'!P357)</f>
        <v/>
      </c>
      <c r="Q356" s="299" t="str">
        <f>IF(P356="","",PRIX!Q357*'QUANTITE DETENUES'!Q357)</f>
        <v/>
      </c>
      <c r="R356" s="299" t="str">
        <f>IF(Q356="","",PRIX!R357*'QUANTITE DETENUES'!R357)</f>
        <v/>
      </c>
      <c r="S356" s="300" t="str">
        <f>IF(R356="","",PRIX!S357*'QUANTITE DETENUES'!S357)</f>
        <v/>
      </c>
      <c r="T356" s="14" t="str">
        <f>IF(A356="","",ARBITRAGES!M357)</f>
        <v/>
      </c>
      <c r="U356" s="301" t="str">
        <f t="shared" si="1"/>
        <v/>
      </c>
      <c r="V356" s="302" t="str">
        <f t="shared" si="2"/>
        <v/>
      </c>
      <c r="W356" s="288"/>
      <c r="X356" s="220"/>
      <c r="Y356" s="220"/>
      <c r="Z356" s="220"/>
      <c r="AA356" s="220"/>
      <c r="AB356" s="220"/>
      <c r="AC356" s="220"/>
      <c r="AD356" s="220"/>
      <c r="AE356" s="220"/>
      <c r="AF356" s="220"/>
      <c r="AG356" s="220"/>
      <c r="AH356" s="308"/>
      <c r="AI356" s="220"/>
      <c r="AJ356" s="220"/>
      <c r="AK356" s="220"/>
      <c r="AL356" s="220"/>
      <c r="AM356" s="220"/>
      <c r="AN356" s="220"/>
      <c r="AO356" s="220"/>
      <c r="AP356" s="220"/>
      <c r="AQ356" s="220"/>
      <c r="AR356" s="220"/>
      <c r="AS356" s="220"/>
      <c r="AT356" s="220"/>
      <c r="AU356" s="220"/>
      <c r="AV356" s="220"/>
      <c r="AW356" s="220"/>
      <c r="AX356" s="220"/>
      <c r="AY356" s="220"/>
      <c r="AZ356" s="220"/>
      <c r="BA356" s="220"/>
    </row>
    <row r="357">
      <c r="A357" s="290" t="str">
        <f>PRIX!A358</f>
        <v/>
      </c>
      <c r="B357" s="299" t="str">
        <f>IF(A357="","",PRIX!B358*'QUANTITE DETENUES'!B358)</f>
        <v/>
      </c>
      <c r="C357" s="299" t="str">
        <f>IF(B357="","",PRIX!C358*'QUANTITE DETENUES'!C358)</f>
        <v/>
      </c>
      <c r="D357" s="299" t="str">
        <f>IF(C357="","",PRIX!D358*'QUANTITE DETENUES'!D358)</f>
        <v/>
      </c>
      <c r="E357" s="299" t="str">
        <f>IF(D357="","",PRIX!E358*'QUANTITE DETENUES'!E358)</f>
        <v/>
      </c>
      <c r="F357" s="299" t="str">
        <f>IF(E357="","",PRIX!F358*'QUANTITE DETENUES'!F358)</f>
        <v/>
      </c>
      <c r="G357" s="299" t="str">
        <f>IF(F357="","",PRIX!G358*'QUANTITE DETENUES'!G358)</f>
        <v/>
      </c>
      <c r="H357" s="299" t="str">
        <f>IF(G357="","",PRIX!H358*'QUANTITE DETENUES'!H358)</f>
        <v/>
      </c>
      <c r="I357" s="299" t="str">
        <f>IF(H357="","",PRIX!I358*'QUANTITE DETENUES'!I358)</f>
        <v/>
      </c>
      <c r="J357" s="299" t="str">
        <f>IF(I357="","",PRIX!J358*'QUANTITE DETENUES'!J358)</f>
        <v/>
      </c>
      <c r="K357" s="299" t="str">
        <f>IF(J357="","",PRIX!K358*'QUANTITE DETENUES'!K358)</f>
        <v/>
      </c>
      <c r="L357" s="299" t="str">
        <f>IF(K357="","",PRIX!L358*'QUANTITE DETENUES'!L358)</f>
        <v/>
      </c>
      <c r="M357" s="299" t="str">
        <f>IF(L357="","",PRIX!M358*'QUANTITE DETENUES'!M358)</f>
        <v/>
      </c>
      <c r="N357" s="299" t="str">
        <f>IF(M357="","",PRIX!N358*'QUANTITE DETENUES'!N358)</f>
        <v/>
      </c>
      <c r="O357" s="299" t="str">
        <f>IF(N357="","",PRIX!O358*'QUANTITE DETENUES'!O358)</f>
        <v/>
      </c>
      <c r="P357" s="299" t="str">
        <f>IF(O357="","",PRIX!P358*'QUANTITE DETENUES'!P358)</f>
        <v/>
      </c>
      <c r="Q357" s="299" t="str">
        <f>IF(P357="","",PRIX!Q358*'QUANTITE DETENUES'!Q358)</f>
        <v/>
      </c>
      <c r="R357" s="299" t="str">
        <f>IF(Q357="","",PRIX!R358*'QUANTITE DETENUES'!R358)</f>
        <v/>
      </c>
      <c r="S357" s="300" t="str">
        <f>IF(R357="","",PRIX!S358*'QUANTITE DETENUES'!S358)</f>
        <v/>
      </c>
      <c r="T357" s="14" t="str">
        <f>IF(A357="","",ARBITRAGES!M358)</f>
        <v/>
      </c>
      <c r="U357" s="301" t="str">
        <f t="shared" si="1"/>
        <v/>
      </c>
      <c r="V357" s="302" t="str">
        <f t="shared" si="2"/>
        <v/>
      </c>
      <c r="W357" s="288"/>
      <c r="X357" s="220"/>
      <c r="Y357" s="220"/>
      <c r="Z357" s="220"/>
      <c r="AA357" s="220"/>
      <c r="AB357" s="220"/>
      <c r="AC357" s="220"/>
      <c r="AD357" s="220"/>
      <c r="AE357" s="220"/>
      <c r="AF357" s="220"/>
      <c r="AG357" s="220"/>
      <c r="AH357" s="308"/>
      <c r="AI357" s="220"/>
      <c r="AJ357" s="220"/>
      <c r="AK357" s="220"/>
      <c r="AL357" s="220"/>
      <c r="AM357" s="220"/>
      <c r="AN357" s="220"/>
      <c r="AO357" s="220"/>
      <c r="AP357" s="220"/>
      <c r="AQ357" s="220"/>
      <c r="AR357" s="220"/>
      <c r="AS357" s="220"/>
      <c r="AT357" s="220"/>
      <c r="AU357" s="220"/>
      <c r="AV357" s="220"/>
      <c r="AW357" s="220"/>
      <c r="AX357" s="220"/>
      <c r="AY357" s="220"/>
      <c r="AZ357" s="220"/>
      <c r="BA357" s="220"/>
    </row>
    <row r="358">
      <c r="A358" s="290" t="str">
        <f>PRIX!A359</f>
        <v/>
      </c>
      <c r="B358" s="299" t="str">
        <f>IF(A358="","",PRIX!B359*'QUANTITE DETENUES'!B359)</f>
        <v/>
      </c>
      <c r="C358" s="299" t="str">
        <f>IF(B358="","",PRIX!C359*'QUANTITE DETENUES'!C359)</f>
        <v/>
      </c>
      <c r="D358" s="299" t="str">
        <f>IF(C358="","",PRIX!D359*'QUANTITE DETENUES'!D359)</f>
        <v/>
      </c>
      <c r="E358" s="299" t="str">
        <f>IF(D358="","",PRIX!E359*'QUANTITE DETENUES'!E359)</f>
        <v/>
      </c>
      <c r="F358" s="299" t="str">
        <f>IF(E358="","",PRIX!F359*'QUANTITE DETENUES'!F359)</f>
        <v/>
      </c>
      <c r="G358" s="299" t="str">
        <f>IF(F358="","",PRIX!G359*'QUANTITE DETENUES'!G359)</f>
        <v/>
      </c>
      <c r="H358" s="299" t="str">
        <f>IF(G358="","",PRIX!H359*'QUANTITE DETENUES'!H359)</f>
        <v/>
      </c>
      <c r="I358" s="299" t="str">
        <f>IF(H358="","",PRIX!I359*'QUANTITE DETENUES'!I359)</f>
        <v/>
      </c>
      <c r="J358" s="299" t="str">
        <f>IF(I358="","",PRIX!J359*'QUANTITE DETENUES'!J359)</f>
        <v/>
      </c>
      <c r="K358" s="299" t="str">
        <f>IF(J358="","",PRIX!K359*'QUANTITE DETENUES'!K359)</f>
        <v/>
      </c>
      <c r="L358" s="299" t="str">
        <f>IF(K358="","",PRIX!L359*'QUANTITE DETENUES'!L359)</f>
        <v/>
      </c>
      <c r="M358" s="299" t="str">
        <f>IF(L358="","",PRIX!M359*'QUANTITE DETENUES'!M359)</f>
        <v/>
      </c>
      <c r="N358" s="299" t="str">
        <f>IF(M358="","",PRIX!N359*'QUANTITE DETENUES'!N359)</f>
        <v/>
      </c>
      <c r="O358" s="299" t="str">
        <f>IF(N358="","",PRIX!O359*'QUANTITE DETENUES'!O359)</f>
        <v/>
      </c>
      <c r="P358" s="299" t="str">
        <f>IF(O358="","",PRIX!P359*'QUANTITE DETENUES'!P359)</f>
        <v/>
      </c>
      <c r="Q358" s="299" t="str">
        <f>IF(P358="","",PRIX!Q359*'QUANTITE DETENUES'!Q359)</f>
        <v/>
      </c>
      <c r="R358" s="299" t="str">
        <f>IF(Q358="","",PRIX!R359*'QUANTITE DETENUES'!R359)</f>
        <v/>
      </c>
      <c r="S358" s="300" t="str">
        <f>IF(R358="","",PRIX!S359*'QUANTITE DETENUES'!S359)</f>
        <v/>
      </c>
      <c r="T358" s="14" t="str">
        <f>IF(A358="","",ARBITRAGES!M359)</f>
        <v/>
      </c>
      <c r="U358" s="301" t="str">
        <f t="shared" si="1"/>
        <v/>
      </c>
      <c r="V358" s="302" t="str">
        <f t="shared" si="2"/>
        <v/>
      </c>
      <c r="W358" s="288"/>
      <c r="X358" s="220"/>
      <c r="Y358" s="220"/>
      <c r="Z358" s="220"/>
      <c r="AA358" s="220"/>
      <c r="AB358" s="220"/>
      <c r="AC358" s="220"/>
      <c r="AD358" s="220"/>
      <c r="AE358" s="220"/>
      <c r="AF358" s="220"/>
      <c r="AG358" s="220"/>
      <c r="AH358" s="308"/>
      <c r="AI358" s="220"/>
      <c r="AJ358" s="220"/>
      <c r="AK358" s="220"/>
      <c r="AL358" s="220"/>
      <c r="AM358" s="220"/>
      <c r="AN358" s="220"/>
      <c r="AO358" s="220"/>
      <c r="AP358" s="220"/>
      <c r="AQ358" s="220"/>
      <c r="AR358" s="220"/>
      <c r="AS358" s="220"/>
      <c r="AT358" s="220"/>
      <c r="AU358" s="220"/>
      <c r="AV358" s="220"/>
      <c r="AW358" s="220"/>
      <c r="AX358" s="220"/>
      <c r="AY358" s="220"/>
      <c r="AZ358" s="220"/>
      <c r="BA358" s="220"/>
    </row>
    <row r="359">
      <c r="A359" s="290" t="str">
        <f>PRIX!A360</f>
        <v/>
      </c>
      <c r="B359" s="299" t="str">
        <f>IF(A359="","",PRIX!B360*'QUANTITE DETENUES'!B360)</f>
        <v/>
      </c>
      <c r="C359" s="299" t="str">
        <f>IF(B359="","",PRIX!C360*'QUANTITE DETENUES'!C360)</f>
        <v/>
      </c>
      <c r="D359" s="299" t="str">
        <f>IF(C359="","",PRIX!D360*'QUANTITE DETENUES'!D360)</f>
        <v/>
      </c>
      <c r="E359" s="299" t="str">
        <f>IF(D359="","",PRIX!E360*'QUANTITE DETENUES'!E360)</f>
        <v/>
      </c>
      <c r="F359" s="299" t="str">
        <f>IF(E359="","",PRIX!F360*'QUANTITE DETENUES'!F360)</f>
        <v/>
      </c>
      <c r="G359" s="299" t="str">
        <f>IF(F359="","",PRIX!G360*'QUANTITE DETENUES'!G360)</f>
        <v/>
      </c>
      <c r="H359" s="299" t="str">
        <f>IF(G359="","",PRIX!H360*'QUANTITE DETENUES'!H360)</f>
        <v/>
      </c>
      <c r="I359" s="299" t="str">
        <f>IF(H359="","",PRIX!I360*'QUANTITE DETENUES'!I360)</f>
        <v/>
      </c>
      <c r="J359" s="299" t="str">
        <f>IF(I359="","",PRIX!J360*'QUANTITE DETENUES'!J360)</f>
        <v/>
      </c>
      <c r="K359" s="299" t="str">
        <f>IF(J359="","",PRIX!K360*'QUANTITE DETENUES'!K360)</f>
        <v/>
      </c>
      <c r="L359" s="299" t="str">
        <f>IF(K359="","",PRIX!L360*'QUANTITE DETENUES'!L360)</f>
        <v/>
      </c>
      <c r="M359" s="299" t="str">
        <f>IF(L359="","",PRIX!M360*'QUANTITE DETENUES'!M360)</f>
        <v/>
      </c>
      <c r="N359" s="299" t="str">
        <f>IF(M359="","",PRIX!N360*'QUANTITE DETENUES'!N360)</f>
        <v/>
      </c>
      <c r="O359" s="299" t="str">
        <f>IF(N359="","",PRIX!O360*'QUANTITE DETENUES'!O360)</f>
        <v/>
      </c>
      <c r="P359" s="299" t="str">
        <f>IF(O359="","",PRIX!P360*'QUANTITE DETENUES'!P360)</f>
        <v/>
      </c>
      <c r="Q359" s="299" t="str">
        <f>IF(P359="","",PRIX!Q360*'QUANTITE DETENUES'!Q360)</f>
        <v/>
      </c>
      <c r="R359" s="299" t="str">
        <f>IF(Q359="","",PRIX!R360*'QUANTITE DETENUES'!R360)</f>
        <v/>
      </c>
      <c r="S359" s="300" t="str">
        <f>IF(R359="","",PRIX!S360*'QUANTITE DETENUES'!S360)</f>
        <v/>
      </c>
      <c r="T359" s="14" t="str">
        <f>IF(A359="","",ARBITRAGES!M360)</f>
        <v/>
      </c>
      <c r="U359" s="301" t="str">
        <f t="shared" si="1"/>
        <v/>
      </c>
      <c r="V359" s="302" t="str">
        <f t="shared" si="2"/>
        <v/>
      </c>
      <c r="W359" s="288"/>
      <c r="X359" s="220"/>
      <c r="Y359" s="220"/>
      <c r="Z359" s="220"/>
      <c r="AA359" s="220"/>
      <c r="AB359" s="220"/>
      <c r="AC359" s="220"/>
      <c r="AD359" s="220"/>
      <c r="AE359" s="220"/>
      <c r="AF359" s="220"/>
      <c r="AG359" s="220"/>
      <c r="AH359" s="308"/>
      <c r="AI359" s="220"/>
      <c r="AJ359" s="220"/>
      <c r="AK359" s="220"/>
      <c r="AL359" s="220"/>
      <c r="AM359" s="220"/>
      <c r="AN359" s="220"/>
      <c r="AO359" s="220"/>
      <c r="AP359" s="220"/>
      <c r="AQ359" s="220"/>
      <c r="AR359" s="220"/>
      <c r="AS359" s="220"/>
      <c r="AT359" s="220"/>
      <c r="AU359" s="220"/>
      <c r="AV359" s="220"/>
      <c r="AW359" s="220"/>
      <c r="AX359" s="220"/>
      <c r="AY359" s="220"/>
      <c r="AZ359" s="220"/>
      <c r="BA359" s="220"/>
    </row>
    <row r="360">
      <c r="A360" s="290" t="str">
        <f>PRIX!A361</f>
        <v/>
      </c>
      <c r="B360" s="299" t="str">
        <f>IF(A360="","",PRIX!B361*'QUANTITE DETENUES'!B361)</f>
        <v/>
      </c>
      <c r="C360" s="299" t="str">
        <f>IF(B360="","",PRIX!C361*'QUANTITE DETENUES'!C361)</f>
        <v/>
      </c>
      <c r="D360" s="299" t="str">
        <f>IF(C360="","",PRIX!D361*'QUANTITE DETENUES'!D361)</f>
        <v/>
      </c>
      <c r="E360" s="299" t="str">
        <f>IF(D360="","",PRIX!E361*'QUANTITE DETENUES'!E361)</f>
        <v/>
      </c>
      <c r="F360" s="299" t="str">
        <f>IF(E360="","",PRIX!F361*'QUANTITE DETENUES'!F361)</f>
        <v/>
      </c>
      <c r="G360" s="299" t="str">
        <f>IF(F360="","",PRIX!G361*'QUANTITE DETENUES'!G361)</f>
        <v/>
      </c>
      <c r="H360" s="299" t="str">
        <f>IF(G360="","",PRIX!H361*'QUANTITE DETENUES'!H361)</f>
        <v/>
      </c>
      <c r="I360" s="299" t="str">
        <f>IF(H360="","",PRIX!I361*'QUANTITE DETENUES'!I361)</f>
        <v/>
      </c>
      <c r="J360" s="299" t="str">
        <f>IF(I360="","",PRIX!J361*'QUANTITE DETENUES'!J361)</f>
        <v/>
      </c>
      <c r="K360" s="299" t="str">
        <f>IF(J360="","",PRIX!K361*'QUANTITE DETENUES'!K361)</f>
        <v/>
      </c>
      <c r="L360" s="299" t="str">
        <f>IF(K360="","",PRIX!L361*'QUANTITE DETENUES'!L361)</f>
        <v/>
      </c>
      <c r="M360" s="299" t="str">
        <f>IF(L360="","",PRIX!M361*'QUANTITE DETENUES'!M361)</f>
        <v/>
      </c>
      <c r="N360" s="299" t="str">
        <f>IF(M360="","",PRIX!N361*'QUANTITE DETENUES'!N361)</f>
        <v/>
      </c>
      <c r="O360" s="299" t="str">
        <f>IF(N360="","",PRIX!O361*'QUANTITE DETENUES'!O361)</f>
        <v/>
      </c>
      <c r="P360" s="299" t="str">
        <f>IF(O360="","",PRIX!P361*'QUANTITE DETENUES'!P361)</f>
        <v/>
      </c>
      <c r="Q360" s="299" t="str">
        <f>IF(P360="","",PRIX!Q361*'QUANTITE DETENUES'!Q361)</f>
        <v/>
      </c>
      <c r="R360" s="299" t="str">
        <f>IF(Q360="","",PRIX!R361*'QUANTITE DETENUES'!R361)</f>
        <v/>
      </c>
      <c r="S360" s="300" t="str">
        <f>IF(R360="","",PRIX!S361*'QUANTITE DETENUES'!S361)</f>
        <v/>
      </c>
      <c r="T360" s="14" t="str">
        <f>IF(A360="","",ARBITRAGES!M361)</f>
        <v/>
      </c>
      <c r="U360" s="301" t="str">
        <f t="shared" si="1"/>
        <v/>
      </c>
      <c r="V360" s="302" t="str">
        <f t="shared" si="2"/>
        <v/>
      </c>
      <c r="W360" s="288"/>
      <c r="X360" s="220"/>
      <c r="Y360" s="220"/>
      <c r="Z360" s="220"/>
      <c r="AA360" s="220"/>
      <c r="AB360" s="220"/>
      <c r="AC360" s="220"/>
      <c r="AD360" s="220"/>
      <c r="AE360" s="220"/>
      <c r="AF360" s="220"/>
      <c r="AG360" s="220"/>
      <c r="AH360" s="308"/>
      <c r="AI360" s="220"/>
      <c r="AJ360" s="220"/>
      <c r="AK360" s="220"/>
      <c r="AL360" s="220"/>
      <c r="AM360" s="220"/>
      <c r="AN360" s="220"/>
      <c r="AO360" s="220"/>
      <c r="AP360" s="220"/>
      <c r="AQ360" s="220"/>
      <c r="AR360" s="220"/>
      <c r="AS360" s="220"/>
      <c r="AT360" s="220"/>
      <c r="AU360" s="220"/>
      <c r="AV360" s="220"/>
      <c r="AW360" s="220"/>
      <c r="AX360" s="220"/>
      <c r="AY360" s="220"/>
      <c r="AZ360" s="220"/>
      <c r="BA360" s="220"/>
    </row>
    <row r="361">
      <c r="A361" s="290" t="str">
        <f>PRIX!A362</f>
        <v/>
      </c>
      <c r="B361" s="299" t="str">
        <f>IF(A361="","",PRIX!B362*'QUANTITE DETENUES'!B362)</f>
        <v/>
      </c>
      <c r="C361" s="299" t="str">
        <f>IF(B361="","",PRIX!C362*'QUANTITE DETENUES'!C362)</f>
        <v/>
      </c>
      <c r="D361" s="299" t="str">
        <f>IF(C361="","",PRIX!D362*'QUANTITE DETENUES'!D362)</f>
        <v/>
      </c>
      <c r="E361" s="299" t="str">
        <f>IF(D361="","",PRIX!E362*'QUANTITE DETENUES'!E362)</f>
        <v/>
      </c>
      <c r="F361" s="299" t="str">
        <f>IF(E361="","",PRIX!F362*'QUANTITE DETENUES'!F362)</f>
        <v/>
      </c>
      <c r="G361" s="299" t="str">
        <f>IF(F361="","",PRIX!G362*'QUANTITE DETENUES'!G362)</f>
        <v/>
      </c>
      <c r="H361" s="299" t="str">
        <f>IF(G361="","",PRIX!H362*'QUANTITE DETENUES'!H362)</f>
        <v/>
      </c>
      <c r="I361" s="299" t="str">
        <f>IF(H361="","",PRIX!I362*'QUANTITE DETENUES'!I362)</f>
        <v/>
      </c>
      <c r="J361" s="299" t="str">
        <f>IF(I361="","",PRIX!J362*'QUANTITE DETENUES'!J362)</f>
        <v/>
      </c>
      <c r="K361" s="299" t="str">
        <f>IF(J361="","",PRIX!K362*'QUANTITE DETENUES'!K362)</f>
        <v/>
      </c>
      <c r="L361" s="299" t="str">
        <f>IF(K361="","",PRIX!L362*'QUANTITE DETENUES'!L362)</f>
        <v/>
      </c>
      <c r="M361" s="299" t="str">
        <f>IF(L361="","",PRIX!M362*'QUANTITE DETENUES'!M362)</f>
        <v/>
      </c>
      <c r="N361" s="299" t="str">
        <f>IF(M361="","",PRIX!N362*'QUANTITE DETENUES'!N362)</f>
        <v/>
      </c>
      <c r="O361" s="299" t="str">
        <f>IF(N361="","",PRIX!O362*'QUANTITE DETENUES'!O362)</f>
        <v/>
      </c>
      <c r="P361" s="299" t="str">
        <f>IF(O361="","",PRIX!P362*'QUANTITE DETENUES'!P362)</f>
        <v/>
      </c>
      <c r="Q361" s="299" t="str">
        <f>IF(P361="","",PRIX!Q362*'QUANTITE DETENUES'!Q362)</f>
        <v/>
      </c>
      <c r="R361" s="299" t="str">
        <f>IF(Q361="","",PRIX!R362*'QUANTITE DETENUES'!R362)</f>
        <v/>
      </c>
      <c r="S361" s="300" t="str">
        <f>IF(R361="","",PRIX!S362*'QUANTITE DETENUES'!S362)</f>
        <v/>
      </c>
      <c r="T361" s="14" t="str">
        <f>IF(A361="","",ARBITRAGES!M362)</f>
        <v/>
      </c>
      <c r="U361" s="301" t="str">
        <f t="shared" si="1"/>
        <v/>
      </c>
      <c r="V361" s="302" t="str">
        <f t="shared" si="2"/>
        <v/>
      </c>
      <c r="W361" s="288"/>
      <c r="X361" s="220"/>
      <c r="Y361" s="220"/>
      <c r="Z361" s="220"/>
      <c r="AA361" s="220"/>
      <c r="AB361" s="220"/>
      <c r="AC361" s="220"/>
      <c r="AD361" s="220"/>
      <c r="AE361" s="220"/>
      <c r="AF361" s="220"/>
      <c r="AG361" s="220"/>
      <c r="AH361" s="308"/>
      <c r="AI361" s="220"/>
      <c r="AJ361" s="220"/>
      <c r="AK361" s="220"/>
      <c r="AL361" s="220"/>
      <c r="AM361" s="220"/>
      <c r="AN361" s="220"/>
      <c r="AO361" s="220"/>
      <c r="AP361" s="220"/>
      <c r="AQ361" s="220"/>
      <c r="AR361" s="220"/>
      <c r="AS361" s="220"/>
      <c r="AT361" s="220"/>
      <c r="AU361" s="220"/>
      <c r="AV361" s="220"/>
      <c r="AW361" s="220"/>
      <c r="AX361" s="220"/>
      <c r="AY361" s="220"/>
      <c r="AZ361" s="220"/>
      <c r="BA361" s="220"/>
    </row>
    <row r="362">
      <c r="A362" s="290" t="str">
        <f>PRIX!A363</f>
        <v/>
      </c>
      <c r="B362" s="299" t="str">
        <f>IF(A362="","",PRIX!B363*'QUANTITE DETENUES'!B363)</f>
        <v/>
      </c>
      <c r="C362" s="299" t="str">
        <f>IF(B362="","",PRIX!C363*'QUANTITE DETENUES'!C363)</f>
        <v/>
      </c>
      <c r="D362" s="299" t="str">
        <f>IF(C362="","",PRIX!D363*'QUANTITE DETENUES'!D363)</f>
        <v/>
      </c>
      <c r="E362" s="299" t="str">
        <f>IF(D362="","",PRIX!E363*'QUANTITE DETENUES'!E363)</f>
        <v/>
      </c>
      <c r="F362" s="299" t="str">
        <f>IF(E362="","",PRIX!F363*'QUANTITE DETENUES'!F363)</f>
        <v/>
      </c>
      <c r="G362" s="299" t="str">
        <f>IF(F362="","",PRIX!G363*'QUANTITE DETENUES'!G363)</f>
        <v/>
      </c>
      <c r="H362" s="299" t="str">
        <f>IF(G362="","",PRIX!H363*'QUANTITE DETENUES'!H363)</f>
        <v/>
      </c>
      <c r="I362" s="299" t="str">
        <f>IF(H362="","",PRIX!I363*'QUANTITE DETENUES'!I363)</f>
        <v/>
      </c>
      <c r="J362" s="299" t="str">
        <f>IF(I362="","",PRIX!J363*'QUANTITE DETENUES'!J363)</f>
        <v/>
      </c>
      <c r="K362" s="299" t="str">
        <f>IF(J362="","",PRIX!K363*'QUANTITE DETENUES'!K363)</f>
        <v/>
      </c>
      <c r="L362" s="299" t="str">
        <f>IF(K362="","",PRIX!L363*'QUANTITE DETENUES'!L363)</f>
        <v/>
      </c>
      <c r="M362" s="299" t="str">
        <f>IF(L362="","",PRIX!M363*'QUANTITE DETENUES'!M363)</f>
        <v/>
      </c>
      <c r="N362" s="299" t="str">
        <f>IF(M362="","",PRIX!N363*'QUANTITE DETENUES'!N363)</f>
        <v/>
      </c>
      <c r="O362" s="299" t="str">
        <f>IF(N362="","",PRIX!O363*'QUANTITE DETENUES'!O363)</f>
        <v/>
      </c>
      <c r="P362" s="299" t="str">
        <f>IF(O362="","",PRIX!P363*'QUANTITE DETENUES'!P363)</f>
        <v/>
      </c>
      <c r="Q362" s="299" t="str">
        <f>IF(P362="","",PRIX!Q363*'QUANTITE DETENUES'!Q363)</f>
        <v/>
      </c>
      <c r="R362" s="299" t="str">
        <f>IF(Q362="","",PRIX!R363*'QUANTITE DETENUES'!R363)</f>
        <v/>
      </c>
      <c r="S362" s="300" t="str">
        <f>IF(R362="","",PRIX!S363*'QUANTITE DETENUES'!S363)</f>
        <v/>
      </c>
      <c r="T362" s="14" t="str">
        <f>IF(A362="","",ARBITRAGES!M363)</f>
        <v/>
      </c>
      <c r="U362" s="301" t="str">
        <f t="shared" si="1"/>
        <v/>
      </c>
      <c r="V362" s="302" t="str">
        <f t="shared" si="2"/>
        <v/>
      </c>
      <c r="W362" s="288"/>
      <c r="X362" s="220"/>
      <c r="Y362" s="220"/>
      <c r="Z362" s="220"/>
      <c r="AA362" s="220"/>
      <c r="AB362" s="220"/>
      <c r="AC362" s="220"/>
      <c r="AD362" s="220"/>
      <c r="AE362" s="220"/>
      <c r="AF362" s="220"/>
      <c r="AG362" s="220"/>
      <c r="AH362" s="308"/>
      <c r="AI362" s="220"/>
      <c r="AJ362" s="220"/>
      <c r="AK362" s="220"/>
      <c r="AL362" s="220"/>
      <c r="AM362" s="220"/>
      <c r="AN362" s="220"/>
      <c r="AO362" s="220"/>
      <c r="AP362" s="220"/>
      <c r="AQ362" s="220"/>
      <c r="AR362" s="220"/>
      <c r="AS362" s="220"/>
      <c r="AT362" s="220"/>
      <c r="AU362" s="220"/>
      <c r="AV362" s="220"/>
      <c r="AW362" s="220"/>
      <c r="AX362" s="220"/>
      <c r="AY362" s="220"/>
      <c r="AZ362" s="220"/>
      <c r="BA362" s="220"/>
    </row>
    <row r="363">
      <c r="A363" s="290" t="str">
        <f>PRIX!A364</f>
        <v/>
      </c>
      <c r="B363" s="299" t="str">
        <f>IF(A363="","",PRIX!B364*'QUANTITE DETENUES'!B364)</f>
        <v/>
      </c>
      <c r="C363" s="299" t="str">
        <f>IF(B363="","",PRIX!C364*'QUANTITE DETENUES'!C364)</f>
        <v/>
      </c>
      <c r="D363" s="299" t="str">
        <f>IF(C363="","",PRIX!D364*'QUANTITE DETENUES'!D364)</f>
        <v/>
      </c>
      <c r="E363" s="299" t="str">
        <f>IF(D363="","",PRIX!E364*'QUANTITE DETENUES'!E364)</f>
        <v/>
      </c>
      <c r="F363" s="299" t="str">
        <f>IF(E363="","",PRIX!F364*'QUANTITE DETENUES'!F364)</f>
        <v/>
      </c>
      <c r="G363" s="299" t="str">
        <f>IF(F363="","",PRIX!G364*'QUANTITE DETENUES'!G364)</f>
        <v/>
      </c>
      <c r="H363" s="299" t="str">
        <f>IF(G363="","",PRIX!H364*'QUANTITE DETENUES'!H364)</f>
        <v/>
      </c>
      <c r="I363" s="299" t="str">
        <f>IF(H363="","",PRIX!I364*'QUANTITE DETENUES'!I364)</f>
        <v/>
      </c>
      <c r="J363" s="299" t="str">
        <f>IF(I363="","",PRIX!J364*'QUANTITE DETENUES'!J364)</f>
        <v/>
      </c>
      <c r="K363" s="299" t="str">
        <f>IF(J363="","",PRIX!K364*'QUANTITE DETENUES'!K364)</f>
        <v/>
      </c>
      <c r="L363" s="299" t="str">
        <f>IF(K363="","",PRIX!L364*'QUANTITE DETENUES'!L364)</f>
        <v/>
      </c>
      <c r="M363" s="299" t="str">
        <f>IF(L363="","",PRIX!M364*'QUANTITE DETENUES'!M364)</f>
        <v/>
      </c>
      <c r="N363" s="299" t="str">
        <f>IF(M363="","",PRIX!N364*'QUANTITE DETENUES'!N364)</f>
        <v/>
      </c>
      <c r="O363" s="299" t="str">
        <f>IF(N363="","",PRIX!O364*'QUANTITE DETENUES'!O364)</f>
        <v/>
      </c>
      <c r="P363" s="299" t="str">
        <f>IF(O363="","",PRIX!P364*'QUANTITE DETENUES'!P364)</f>
        <v/>
      </c>
      <c r="Q363" s="299" t="str">
        <f>IF(P363="","",PRIX!Q364*'QUANTITE DETENUES'!Q364)</f>
        <v/>
      </c>
      <c r="R363" s="299" t="str">
        <f>IF(Q363="","",PRIX!R364*'QUANTITE DETENUES'!R364)</f>
        <v/>
      </c>
      <c r="S363" s="300" t="str">
        <f>IF(R363="","",PRIX!S364*'QUANTITE DETENUES'!S364)</f>
        <v/>
      </c>
      <c r="T363" s="14" t="str">
        <f>IF(A363="","",ARBITRAGES!M364)</f>
        <v/>
      </c>
      <c r="U363" s="301" t="str">
        <f t="shared" si="1"/>
        <v/>
      </c>
      <c r="V363" s="302" t="str">
        <f t="shared" si="2"/>
        <v/>
      </c>
      <c r="W363" s="288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220"/>
      <c r="AH363" s="308"/>
      <c r="AI363" s="220"/>
      <c r="AJ363" s="220"/>
      <c r="AK363" s="220"/>
      <c r="AL363" s="220"/>
      <c r="AM363" s="220"/>
      <c r="AN363" s="220"/>
      <c r="AO363" s="220"/>
      <c r="AP363" s="220"/>
      <c r="AQ363" s="220"/>
      <c r="AR363" s="220"/>
      <c r="AS363" s="220"/>
      <c r="AT363" s="220"/>
      <c r="AU363" s="220"/>
      <c r="AV363" s="220"/>
      <c r="AW363" s="220"/>
      <c r="AX363" s="220"/>
      <c r="AY363" s="220"/>
      <c r="AZ363" s="220"/>
      <c r="BA363" s="220"/>
    </row>
    <row r="364">
      <c r="A364" s="290" t="str">
        <f>PRIX!A365</f>
        <v/>
      </c>
      <c r="B364" s="299" t="str">
        <f>IF(A364="","",PRIX!B365*'QUANTITE DETENUES'!B365)</f>
        <v/>
      </c>
      <c r="C364" s="299" t="str">
        <f>IF(B364="","",PRIX!C365*'QUANTITE DETENUES'!C365)</f>
        <v/>
      </c>
      <c r="D364" s="299" t="str">
        <f>IF(C364="","",PRIX!D365*'QUANTITE DETENUES'!D365)</f>
        <v/>
      </c>
      <c r="E364" s="299" t="str">
        <f>IF(D364="","",PRIX!E365*'QUANTITE DETENUES'!E365)</f>
        <v/>
      </c>
      <c r="F364" s="299" t="str">
        <f>IF(E364="","",PRIX!F365*'QUANTITE DETENUES'!F365)</f>
        <v/>
      </c>
      <c r="G364" s="299" t="str">
        <f>IF(F364="","",PRIX!G365*'QUANTITE DETENUES'!G365)</f>
        <v/>
      </c>
      <c r="H364" s="299" t="str">
        <f>IF(G364="","",PRIX!H365*'QUANTITE DETENUES'!H365)</f>
        <v/>
      </c>
      <c r="I364" s="299" t="str">
        <f>IF(H364="","",PRIX!I365*'QUANTITE DETENUES'!I365)</f>
        <v/>
      </c>
      <c r="J364" s="299" t="str">
        <f>IF(I364="","",PRIX!J365*'QUANTITE DETENUES'!J365)</f>
        <v/>
      </c>
      <c r="K364" s="299" t="str">
        <f>IF(J364="","",PRIX!K365*'QUANTITE DETENUES'!K365)</f>
        <v/>
      </c>
      <c r="L364" s="299" t="str">
        <f>IF(K364="","",PRIX!L365*'QUANTITE DETENUES'!L365)</f>
        <v/>
      </c>
      <c r="M364" s="299" t="str">
        <f>IF(L364="","",PRIX!M365*'QUANTITE DETENUES'!M365)</f>
        <v/>
      </c>
      <c r="N364" s="299" t="str">
        <f>IF(M364="","",PRIX!N365*'QUANTITE DETENUES'!N365)</f>
        <v/>
      </c>
      <c r="O364" s="299" t="str">
        <f>IF(N364="","",PRIX!O365*'QUANTITE DETENUES'!O365)</f>
        <v/>
      </c>
      <c r="P364" s="299" t="str">
        <f>IF(O364="","",PRIX!P365*'QUANTITE DETENUES'!P365)</f>
        <v/>
      </c>
      <c r="Q364" s="299" t="str">
        <f>IF(P364="","",PRIX!Q365*'QUANTITE DETENUES'!Q365)</f>
        <v/>
      </c>
      <c r="R364" s="299" t="str">
        <f>IF(Q364="","",PRIX!R365*'QUANTITE DETENUES'!R365)</f>
        <v/>
      </c>
      <c r="S364" s="300" t="str">
        <f>IF(R364="","",PRIX!S365*'QUANTITE DETENUES'!S365)</f>
        <v/>
      </c>
      <c r="T364" s="14" t="str">
        <f>IF(A364="","",ARBITRAGES!M365)</f>
        <v/>
      </c>
      <c r="U364" s="301" t="str">
        <f t="shared" si="1"/>
        <v/>
      </c>
      <c r="V364" s="302" t="str">
        <f t="shared" si="2"/>
        <v/>
      </c>
      <c r="W364" s="288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220"/>
      <c r="AH364" s="308"/>
      <c r="AI364" s="220"/>
      <c r="AJ364" s="220"/>
      <c r="AK364" s="220"/>
      <c r="AL364" s="220"/>
      <c r="AM364" s="220"/>
      <c r="AN364" s="220"/>
      <c r="AO364" s="220"/>
      <c r="AP364" s="220"/>
      <c r="AQ364" s="220"/>
      <c r="AR364" s="220"/>
      <c r="AS364" s="220"/>
      <c r="AT364" s="220"/>
      <c r="AU364" s="220"/>
      <c r="AV364" s="220"/>
      <c r="AW364" s="220"/>
      <c r="AX364" s="220"/>
      <c r="AY364" s="220"/>
      <c r="AZ364" s="220"/>
      <c r="BA364" s="220"/>
    </row>
    <row r="365">
      <c r="A365" s="290" t="str">
        <f>PRIX!A366</f>
        <v/>
      </c>
      <c r="B365" s="299" t="str">
        <f>IF(A365="","",PRIX!B366*'QUANTITE DETENUES'!B366)</f>
        <v/>
      </c>
      <c r="C365" s="299" t="str">
        <f>IF(B365="","",PRIX!C366*'QUANTITE DETENUES'!C366)</f>
        <v/>
      </c>
      <c r="D365" s="299" t="str">
        <f>IF(C365="","",PRIX!D366*'QUANTITE DETENUES'!D366)</f>
        <v/>
      </c>
      <c r="E365" s="299" t="str">
        <f>IF(D365="","",PRIX!E366*'QUANTITE DETENUES'!E366)</f>
        <v/>
      </c>
      <c r="F365" s="299" t="str">
        <f>IF(E365="","",PRIX!F366*'QUANTITE DETENUES'!F366)</f>
        <v/>
      </c>
      <c r="G365" s="299" t="str">
        <f>IF(F365="","",PRIX!G366*'QUANTITE DETENUES'!G366)</f>
        <v/>
      </c>
      <c r="H365" s="299" t="str">
        <f>IF(G365="","",PRIX!H366*'QUANTITE DETENUES'!H366)</f>
        <v/>
      </c>
      <c r="I365" s="299" t="str">
        <f>IF(H365="","",PRIX!I366*'QUANTITE DETENUES'!I366)</f>
        <v/>
      </c>
      <c r="J365" s="299" t="str">
        <f>IF(I365="","",PRIX!J366*'QUANTITE DETENUES'!J366)</f>
        <v/>
      </c>
      <c r="K365" s="299" t="str">
        <f>IF(J365="","",PRIX!K366*'QUANTITE DETENUES'!K366)</f>
        <v/>
      </c>
      <c r="L365" s="299" t="str">
        <f>IF(K365="","",PRIX!L366*'QUANTITE DETENUES'!L366)</f>
        <v/>
      </c>
      <c r="M365" s="299" t="str">
        <f>IF(L365="","",PRIX!M366*'QUANTITE DETENUES'!M366)</f>
        <v/>
      </c>
      <c r="N365" s="299" t="str">
        <f>IF(M365="","",PRIX!N366*'QUANTITE DETENUES'!N366)</f>
        <v/>
      </c>
      <c r="O365" s="299" t="str">
        <f>IF(N365="","",PRIX!O366*'QUANTITE DETENUES'!O366)</f>
        <v/>
      </c>
      <c r="P365" s="299" t="str">
        <f>IF(O365="","",PRIX!P366*'QUANTITE DETENUES'!P366)</f>
        <v/>
      </c>
      <c r="Q365" s="299" t="str">
        <f>IF(P365="","",PRIX!Q366*'QUANTITE DETENUES'!Q366)</f>
        <v/>
      </c>
      <c r="R365" s="299" t="str">
        <f>IF(Q365="","",PRIX!R366*'QUANTITE DETENUES'!R366)</f>
        <v/>
      </c>
      <c r="S365" s="300" t="str">
        <f>IF(R365="","",PRIX!S366*'QUANTITE DETENUES'!S366)</f>
        <v/>
      </c>
      <c r="T365" s="14" t="str">
        <f>IF(A365="","",ARBITRAGES!M366)</f>
        <v/>
      </c>
      <c r="U365" s="301" t="str">
        <f t="shared" si="1"/>
        <v/>
      </c>
      <c r="V365" s="302" t="str">
        <f t="shared" si="2"/>
        <v/>
      </c>
      <c r="W365" s="288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220"/>
      <c r="AH365" s="308"/>
      <c r="AI365" s="220"/>
      <c r="AJ365" s="220"/>
      <c r="AK365" s="220"/>
      <c r="AL365" s="220"/>
      <c r="AM365" s="220"/>
      <c r="AN365" s="220"/>
      <c r="AO365" s="220"/>
      <c r="AP365" s="220"/>
      <c r="AQ365" s="220"/>
      <c r="AR365" s="220"/>
      <c r="AS365" s="220"/>
      <c r="AT365" s="220"/>
      <c r="AU365" s="220"/>
      <c r="AV365" s="220"/>
      <c r="AW365" s="220"/>
      <c r="AX365" s="220"/>
      <c r="AY365" s="220"/>
      <c r="AZ365" s="220"/>
      <c r="BA365" s="220"/>
    </row>
    <row r="366">
      <c r="A366" s="290" t="str">
        <f>PRIX!A367</f>
        <v/>
      </c>
      <c r="B366" s="299" t="str">
        <f>IF(A366="","",PRIX!B367*'QUANTITE DETENUES'!B367)</f>
        <v/>
      </c>
      <c r="C366" s="299" t="str">
        <f>IF(B366="","",PRIX!C367*'QUANTITE DETENUES'!C367)</f>
        <v/>
      </c>
      <c r="D366" s="299" t="str">
        <f>IF(C366="","",PRIX!D367*'QUANTITE DETENUES'!D367)</f>
        <v/>
      </c>
      <c r="E366" s="299" t="str">
        <f>IF(D366="","",PRIX!E367*'QUANTITE DETENUES'!E367)</f>
        <v/>
      </c>
      <c r="F366" s="299" t="str">
        <f>IF(E366="","",PRIX!F367*'QUANTITE DETENUES'!F367)</f>
        <v/>
      </c>
      <c r="G366" s="299" t="str">
        <f>IF(F366="","",PRIX!G367*'QUANTITE DETENUES'!G367)</f>
        <v/>
      </c>
      <c r="H366" s="299" t="str">
        <f>IF(G366="","",PRIX!H367*'QUANTITE DETENUES'!H367)</f>
        <v/>
      </c>
      <c r="I366" s="299" t="str">
        <f>IF(H366="","",PRIX!I367*'QUANTITE DETENUES'!I367)</f>
        <v/>
      </c>
      <c r="J366" s="299" t="str">
        <f>IF(I366="","",PRIX!J367*'QUANTITE DETENUES'!J367)</f>
        <v/>
      </c>
      <c r="K366" s="299" t="str">
        <f>IF(J366="","",PRIX!K367*'QUANTITE DETENUES'!K367)</f>
        <v/>
      </c>
      <c r="L366" s="299" t="str">
        <f>IF(K366="","",PRIX!L367*'QUANTITE DETENUES'!L367)</f>
        <v/>
      </c>
      <c r="M366" s="299" t="str">
        <f>IF(L366="","",PRIX!M367*'QUANTITE DETENUES'!M367)</f>
        <v/>
      </c>
      <c r="N366" s="299" t="str">
        <f>IF(M366="","",PRIX!N367*'QUANTITE DETENUES'!N367)</f>
        <v/>
      </c>
      <c r="O366" s="299" t="str">
        <f>IF(N366="","",PRIX!O367*'QUANTITE DETENUES'!O367)</f>
        <v/>
      </c>
      <c r="P366" s="299" t="str">
        <f>IF(O366="","",PRIX!P367*'QUANTITE DETENUES'!P367)</f>
        <v/>
      </c>
      <c r="Q366" s="299" t="str">
        <f>IF(P366="","",PRIX!Q367*'QUANTITE DETENUES'!Q367)</f>
        <v/>
      </c>
      <c r="R366" s="299" t="str">
        <f>IF(Q366="","",PRIX!R367*'QUANTITE DETENUES'!R367)</f>
        <v/>
      </c>
      <c r="S366" s="300" t="str">
        <f>IF(R366="","",PRIX!S367*'QUANTITE DETENUES'!S367)</f>
        <v/>
      </c>
      <c r="T366" s="14" t="str">
        <f>IF(A366="","",ARBITRAGES!M367)</f>
        <v/>
      </c>
      <c r="U366" s="301" t="str">
        <f t="shared" si="1"/>
        <v/>
      </c>
      <c r="V366" s="302" t="str">
        <f t="shared" si="2"/>
        <v/>
      </c>
      <c r="W366" s="288"/>
      <c r="X366" s="220"/>
      <c r="Y366" s="220"/>
      <c r="Z366" s="220"/>
      <c r="AA366" s="220"/>
      <c r="AB366" s="220"/>
      <c r="AC366" s="220"/>
      <c r="AD366" s="220"/>
      <c r="AE366" s="220"/>
      <c r="AF366" s="220"/>
      <c r="AG366" s="220"/>
      <c r="AH366" s="308"/>
      <c r="AI366" s="220"/>
      <c r="AJ366" s="220"/>
      <c r="AK366" s="220"/>
      <c r="AL366" s="220"/>
      <c r="AM366" s="220"/>
      <c r="AN366" s="220"/>
      <c r="AO366" s="220"/>
      <c r="AP366" s="220"/>
      <c r="AQ366" s="220"/>
      <c r="AR366" s="220"/>
      <c r="AS366" s="220"/>
      <c r="AT366" s="220"/>
      <c r="AU366" s="220"/>
      <c r="AV366" s="220"/>
      <c r="AW366" s="220"/>
      <c r="AX366" s="220"/>
      <c r="AY366" s="220"/>
      <c r="AZ366" s="220"/>
      <c r="BA366" s="220"/>
    </row>
    <row r="367">
      <c r="A367" s="290" t="str">
        <f>PRIX!A368</f>
        <v/>
      </c>
      <c r="B367" s="299" t="str">
        <f>IF(A367="","",PRIX!B368*'QUANTITE DETENUES'!B368)</f>
        <v/>
      </c>
      <c r="C367" s="299" t="str">
        <f>IF(B367="","",PRIX!C368*'QUANTITE DETENUES'!C368)</f>
        <v/>
      </c>
      <c r="D367" s="299" t="str">
        <f>IF(C367="","",PRIX!D368*'QUANTITE DETENUES'!D368)</f>
        <v/>
      </c>
      <c r="E367" s="299" t="str">
        <f>IF(D367="","",PRIX!E368*'QUANTITE DETENUES'!E368)</f>
        <v/>
      </c>
      <c r="F367" s="299" t="str">
        <f>IF(E367="","",PRIX!F368*'QUANTITE DETENUES'!F368)</f>
        <v/>
      </c>
      <c r="G367" s="299" t="str">
        <f>IF(F367="","",PRIX!G368*'QUANTITE DETENUES'!G368)</f>
        <v/>
      </c>
      <c r="H367" s="299" t="str">
        <f>IF(G367="","",PRIX!H368*'QUANTITE DETENUES'!H368)</f>
        <v/>
      </c>
      <c r="I367" s="299" t="str">
        <f>IF(H367="","",PRIX!I368*'QUANTITE DETENUES'!I368)</f>
        <v/>
      </c>
      <c r="J367" s="299" t="str">
        <f>IF(I367="","",PRIX!J368*'QUANTITE DETENUES'!J368)</f>
        <v/>
      </c>
      <c r="K367" s="299" t="str">
        <f>IF(J367="","",PRIX!K368*'QUANTITE DETENUES'!K368)</f>
        <v/>
      </c>
      <c r="L367" s="299" t="str">
        <f>IF(K367="","",PRIX!L368*'QUANTITE DETENUES'!L368)</f>
        <v/>
      </c>
      <c r="M367" s="299" t="str">
        <f>IF(L367="","",PRIX!M368*'QUANTITE DETENUES'!M368)</f>
        <v/>
      </c>
      <c r="N367" s="299" t="str">
        <f>IF(M367="","",PRIX!N368*'QUANTITE DETENUES'!N368)</f>
        <v/>
      </c>
      <c r="O367" s="299" t="str">
        <f>IF(N367="","",PRIX!O368*'QUANTITE DETENUES'!O368)</f>
        <v/>
      </c>
      <c r="P367" s="299" t="str">
        <f>IF(O367="","",PRIX!P368*'QUANTITE DETENUES'!P368)</f>
        <v/>
      </c>
      <c r="Q367" s="299" t="str">
        <f>IF(P367="","",PRIX!Q368*'QUANTITE DETENUES'!Q368)</f>
        <v/>
      </c>
      <c r="R367" s="299" t="str">
        <f>IF(Q367="","",PRIX!R368*'QUANTITE DETENUES'!R368)</f>
        <v/>
      </c>
      <c r="S367" s="300" t="str">
        <f>IF(R367="","",PRIX!S368*'QUANTITE DETENUES'!S368)</f>
        <v/>
      </c>
      <c r="T367" s="14" t="str">
        <f>IF(A367="","",ARBITRAGES!M368)</f>
        <v/>
      </c>
      <c r="U367" s="301" t="str">
        <f t="shared" si="1"/>
        <v/>
      </c>
      <c r="V367" s="302" t="str">
        <f t="shared" si="2"/>
        <v/>
      </c>
      <c r="W367" s="288"/>
      <c r="X367" s="220"/>
      <c r="Y367" s="220"/>
      <c r="Z367" s="220"/>
      <c r="AA367" s="220"/>
      <c r="AB367" s="220"/>
      <c r="AC367" s="220"/>
      <c r="AD367" s="220"/>
      <c r="AE367" s="220"/>
      <c r="AF367" s="220"/>
      <c r="AG367" s="220"/>
      <c r="AH367" s="308"/>
      <c r="AI367" s="220"/>
      <c r="AJ367" s="220"/>
      <c r="AK367" s="220"/>
      <c r="AL367" s="220"/>
      <c r="AM367" s="220"/>
      <c r="AN367" s="220"/>
      <c r="AO367" s="220"/>
      <c r="AP367" s="220"/>
      <c r="AQ367" s="220"/>
      <c r="AR367" s="220"/>
      <c r="AS367" s="220"/>
      <c r="AT367" s="220"/>
      <c r="AU367" s="220"/>
      <c r="AV367" s="220"/>
      <c r="AW367" s="220"/>
      <c r="AX367" s="220"/>
      <c r="AY367" s="220"/>
      <c r="AZ367" s="220"/>
      <c r="BA367" s="220"/>
    </row>
    <row r="368">
      <c r="A368" s="290" t="str">
        <f>PRIX!A369</f>
        <v/>
      </c>
      <c r="B368" s="299" t="str">
        <f>IF(A368="","",PRIX!B369*'QUANTITE DETENUES'!B369)</f>
        <v/>
      </c>
      <c r="C368" s="299" t="str">
        <f>IF(B368="","",PRIX!C369*'QUANTITE DETENUES'!C369)</f>
        <v/>
      </c>
      <c r="D368" s="299" t="str">
        <f>IF(C368="","",PRIX!D369*'QUANTITE DETENUES'!D369)</f>
        <v/>
      </c>
      <c r="E368" s="299" t="str">
        <f>IF(D368="","",PRIX!E369*'QUANTITE DETENUES'!E369)</f>
        <v/>
      </c>
      <c r="F368" s="299" t="str">
        <f>IF(E368="","",PRIX!F369*'QUANTITE DETENUES'!F369)</f>
        <v/>
      </c>
      <c r="G368" s="299" t="str">
        <f>IF(F368="","",PRIX!G369*'QUANTITE DETENUES'!G369)</f>
        <v/>
      </c>
      <c r="H368" s="299" t="str">
        <f>IF(G368="","",PRIX!H369*'QUANTITE DETENUES'!H369)</f>
        <v/>
      </c>
      <c r="I368" s="299" t="str">
        <f>IF(H368="","",PRIX!I369*'QUANTITE DETENUES'!I369)</f>
        <v/>
      </c>
      <c r="J368" s="299" t="str">
        <f>IF(I368="","",PRIX!J369*'QUANTITE DETENUES'!J369)</f>
        <v/>
      </c>
      <c r="K368" s="299" t="str">
        <f>IF(J368="","",PRIX!K369*'QUANTITE DETENUES'!K369)</f>
        <v/>
      </c>
      <c r="L368" s="299" t="str">
        <f>IF(K368="","",PRIX!L369*'QUANTITE DETENUES'!L369)</f>
        <v/>
      </c>
      <c r="M368" s="299" t="str">
        <f>IF(L368="","",PRIX!M369*'QUANTITE DETENUES'!M369)</f>
        <v/>
      </c>
      <c r="N368" s="299" t="str">
        <f>IF(M368="","",PRIX!N369*'QUANTITE DETENUES'!N369)</f>
        <v/>
      </c>
      <c r="O368" s="299" t="str">
        <f>IF(N368="","",PRIX!O369*'QUANTITE DETENUES'!O369)</f>
        <v/>
      </c>
      <c r="P368" s="299" t="str">
        <f>IF(O368="","",PRIX!P369*'QUANTITE DETENUES'!P369)</f>
        <v/>
      </c>
      <c r="Q368" s="299" t="str">
        <f>IF(P368="","",PRIX!Q369*'QUANTITE DETENUES'!Q369)</f>
        <v/>
      </c>
      <c r="R368" s="299" t="str">
        <f>IF(Q368="","",PRIX!R369*'QUANTITE DETENUES'!R369)</f>
        <v/>
      </c>
      <c r="S368" s="300" t="str">
        <f>IF(R368="","",PRIX!S369*'QUANTITE DETENUES'!S369)</f>
        <v/>
      </c>
      <c r="T368" s="14" t="str">
        <f>IF(A368="","",ARBITRAGES!M369)</f>
        <v/>
      </c>
      <c r="U368" s="301" t="str">
        <f t="shared" si="1"/>
        <v/>
      </c>
      <c r="V368" s="302" t="str">
        <f t="shared" si="2"/>
        <v/>
      </c>
      <c r="W368" s="288"/>
      <c r="X368" s="220"/>
      <c r="Y368" s="220"/>
      <c r="Z368" s="220"/>
      <c r="AA368" s="220"/>
      <c r="AB368" s="220"/>
      <c r="AC368" s="220"/>
      <c r="AD368" s="220"/>
      <c r="AE368" s="220"/>
      <c r="AF368" s="220"/>
      <c r="AG368" s="220"/>
      <c r="AH368" s="308"/>
      <c r="AI368" s="220"/>
      <c r="AJ368" s="220"/>
      <c r="AK368" s="220"/>
      <c r="AL368" s="220"/>
      <c r="AM368" s="220"/>
      <c r="AN368" s="220"/>
      <c r="AO368" s="220"/>
      <c r="AP368" s="220"/>
      <c r="AQ368" s="220"/>
      <c r="AR368" s="220"/>
      <c r="AS368" s="220"/>
      <c r="AT368" s="220"/>
      <c r="AU368" s="220"/>
      <c r="AV368" s="220"/>
      <c r="AW368" s="220"/>
      <c r="AX368" s="220"/>
      <c r="AY368" s="220"/>
      <c r="AZ368" s="220"/>
      <c r="BA368" s="220"/>
    </row>
    <row r="369">
      <c r="A369" s="290" t="str">
        <f>PRIX!A370</f>
        <v/>
      </c>
      <c r="B369" s="299" t="str">
        <f>IF(A369="","",PRIX!B370*'QUANTITE DETENUES'!B370)</f>
        <v/>
      </c>
      <c r="C369" s="299" t="str">
        <f>IF(B369="","",PRIX!C370*'QUANTITE DETENUES'!C370)</f>
        <v/>
      </c>
      <c r="D369" s="299" t="str">
        <f>IF(C369="","",PRIX!D370*'QUANTITE DETENUES'!D370)</f>
        <v/>
      </c>
      <c r="E369" s="299" t="str">
        <f>IF(D369="","",PRIX!E370*'QUANTITE DETENUES'!E370)</f>
        <v/>
      </c>
      <c r="F369" s="299" t="str">
        <f>IF(E369="","",PRIX!F370*'QUANTITE DETENUES'!F370)</f>
        <v/>
      </c>
      <c r="G369" s="299" t="str">
        <f>IF(F369="","",PRIX!G370*'QUANTITE DETENUES'!G370)</f>
        <v/>
      </c>
      <c r="H369" s="299" t="str">
        <f>IF(G369="","",PRIX!H370*'QUANTITE DETENUES'!H370)</f>
        <v/>
      </c>
      <c r="I369" s="299" t="str">
        <f>IF(H369="","",PRIX!I370*'QUANTITE DETENUES'!I370)</f>
        <v/>
      </c>
      <c r="J369" s="299" t="str">
        <f>IF(I369="","",PRIX!J370*'QUANTITE DETENUES'!J370)</f>
        <v/>
      </c>
      <c r="K369" s="299" t="str">
        <f>IF(J369="","",PRIX!K370*'QUANTITE DETENUES'!K370)</f>
        <v/>
      </c>
      <c r="L369" s="299" t="str">
        <f>IF(K369="","",PRIX!L370*'QUANTITE DETENUES'!L370)</f>
        <v/>
      </c>
      <c r="M369" s="299" t="str">
        <f>IF(L369="","",PRIX!M370*'QUANTITE DETENUES'!M370)</f>
        <v/>
      </c>
      <c r="N369" s="299" t="str">
        <f>IF(M369="","",PRIX!N370*'QUANTITE DETENUES'!N370)</f>
        <v/>
      </c>
      <c r="O369" s="299" t="str">
        <f>IF(N369="","",PRIX!O370*'QUANTITE DETENUES'!O370)</f>
        <v/>
      </c>
      <c r="P369" s="299" t="str">
        <f>IF(O369="","",PRIX!P370*'QUANTITE DETENUES'!P370)</f>
        <v/>
      </c>
      <c r="Q369" s="299" t="str">
        <f>IF(P369="","",PRIX!Q370*'QUANTITE DETENUES'!Q370)</f>
        <v/>
      </c>
      <c r="R369" s="299" t="str">
        <f>IF(Q369="","",PRIX!R370*'QUANTITE DETENUES'!R370)</f>
        <v/>
      </c>
      <c r="S369" s="300" t="str">
        <f>IF(R369="","",PRIX!S370*'QUANTITE DETENUES'!S370)</f>
        <v/>
      </c>
      <c r="T369" s="14" t="str">
        <f>IF(A369="","",ARBITRAGES!M370)</f>
        <v/>
      </c>
      <c r="U369" s="301" t="str">
        <f t="shared" si="1"/>
        <v/>
      </c>
      <c r="V369" s="302" t="str">
        <f t="shared" si="2"/>
        <v/>
      </c>
      <c r="W369" s="288"/>
      <c r="X369" s="220"/>
      <c r="Y369" s="220"/>
      <c r="Z369" s="220"/>
      <c r="AA369" s="220"/>
      <c r="AB369" s="220"/>
      <c r="AC369" s="220"/>
      <c r="AD369" s="220"/>
      <c r="AE369" s="220"/>
      <c r="AF369" s="220"/>
      <c r="AG369" s="220"/>
      <c r="AH369" s="308"/>
      <c r="AI369" s="220"/>
      <c r="AJ369" s="220"/>
      <c r="AK369" s="220"/>
      <c r="AL369" s="220"/>
      <c r="AM369" s="220"/>
      <c r="AN369" s="220"/>
      <c r="AO369" s="220"/>
      <c r="AP369" s="220"/>
      <c r="AQ369" s="220"/>
      <c r="AR369" s="220"/>
      <c r="AS369" s="220"/>
      <c r="AT369" s="220"/>
      <c r="AU369" s="220"/>
      <c r="AV369" s="220"/>
      <c r="AW369" s="220"/>
      <c r="AX369" s="220"/>
      <c r="AY369" s="220"/>
      <c r="AZ369" s="220"/>
      <c r="BA369" s="220"/>
    </row>
    <row r="370">
      <c r="A370" s="290" t="str">
        <f>PRIX!A371</f>
        <v/>
      </c>
      <c r="B370" s="299" t="str">
        <f>IF(A370="","",PRIX!B371*'QUANTITE DETENUES'!B371)</f>
        <v/>
      </c>
      <c r="C370" s="299" t="str">
        <f>IF(B370="","",PRIX!C371*'QUANTITE DETENUES'!C371)</f>
        <v/>
      </c>
      <c r="D370" s="299" t="str">
        <f>IF(C370="","",PRIX!D371*'QUANTITE DETENUES'!D371)</f>
        <v/>
      </c>
      <c r="E370" s="299" t="str">
        <f>IF(D370="","",PRIX!E371*'QUANTITE DETENUES'!E371)</f>
        <v/>
      </c>
      <c r="F370" s="299" t="str">
        <f>IF(E370="","",PRIX!F371*'QUANTITE DETENUES'!F371)</f>
        <v/>
      </c>
      <c r="G370" s="299" t="str">
        <f>IF(F370="","",PRIX!G371*'QUANTITE DETENUES'!G371)</f>
        <v/>
      </c>
      <c r="H370" s="299" t="str">
        <f>IF(G370="","",PRIX!H371*'QUANTITE DETENUES'!H371)</f>
        <v/>
      </c>
      <c r="I370" s="299" t="str">
        <f>IF(H370="","",PRIX!I371*'QUANTITE DETENUES'!I371)</f>
        <v/>
      </c>
      <c r="J370" s="299" t="str">
        <f>IF(I370="","",PRIX!J371*'QUANTITE DETENUES'!J371)</f>
        <v/>
      </c>
      <c r="K370" s="299" t="str">
        <f>IF(J370="","",PRIX!K371*'QUANTITE DETENUES'!K371)</f>
        <v/>
      </c>
      <c r="L370" s="299" t="str">
        <f>IF(K370="","",PRIX!L371*'QUANTITE DETENUES'!L371)</f>
        <v/>
      </c>
      <c r="M370" s="299" t="str">
        <f>IF(L370="","",PRIX!M371*'QUANTITE DETENUES'!M371)</f>
        <v/>
      </c>
      <c r="N370" s="299" t="str">
        <f>IF(M370="","",PRIX!N371*'QUANTITE DETENUES'!N371)</f>
        <v/>
      </c>
      <c r="O370" s="299" t="str">
        <f>IF(N370="","",PRIX!O371*'QUANTITE DETENUES'!O371)</f>
        <v/>
      </c>
      <c r="P370" s="299" t="str">
        <f>IF(O370="","",PRIX!P371*'QUANTITE DETENUES'!P371)</f>
        <v/>
      </c>
      <c r="Q370" s="299" t="str">
        <f>IF(P370="","",PRIX!Q371*'QUANTITE DETENUES'!Q371)</f>
        <v/>
      </c>
      <c r="R370" s="299" t="str">
        <f>IF(Q370="","",PRIX!R371*'QUANTITE DETENUES'!R371)</f>
        <v/>
      </c>
      <c r="S370" s="300" t="str">
        <f>IF(R370="","",PRIX!S371*'QUANTITE DETENUES'!S371)</f>
        <v/>
      </c>
      <c r="T370" s="14" t="str">
        <f>IF(A370="","",ARBITRAGES!M371)</f>
        <v/>
      </c>
      <c r="U370" s="301" t="str">
        <f t="shared" si="1"/>
        <v/>
      </c>
      <c r="V370" s="302" t="str">
        <f t="shared" si="2"/>
        <v/>
      </c>
      <c r="W370" s="288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220"/>
      <c r="AH370" s="308"/>
      <c r="AI370" s="220"/>
      <c r="AJ370" s="220"/>
      <c r="AK370" s="220"/>
      <c r="AL370" s="220"/>
      <c r="AM370" s="220"/>
      <c r="AN370" s="220"/>
      <c r="AO370" s="220"/>
      <c r="AP370" s="220"/>
      <c r="AQ370" s="220"/>
      <c r="AR370" s="220"/>
      <c r="AS370" s="220"/>
      <c r="AT370" s="220"/>
      <c r="AU370" s="220"/>
      <c r="AV370" s="220"/>
      <c r="AW370" s="220"/>
      <c r="AX370" s="220"/>
      <c r="AY370" s="220"/>
      <c r="AZ370" s="220"/>
      <c r="BA370" s="220"/>
    </row>
    <row r="371">
      <c r="A371" s="290" t="str">
        <f>PRIX!A372</f>
        <v/>
      </c>
      <c r="B371" s="299" t="str">
        <f>IF(A371="","",PRIX!B372*'QUANTITE DETENUES'!B372)</f>
        <v/>
      </c>
      <c r="C371" s="299" t="str">
        <f>IF(B371="","",PRIX!C372*'QUANTITE DETENUES'!C372)</f>
        <v/>
      </c>
      <c r="D371" s="299" t="str">
        <f>IF(C371="","",PRIX!D372*'QUANTITE DETENUES'!D372)</f>
        <v/>
      </c>
      <c r="E371" s="299" t="str">
        <f>IF(D371="","",PRIX!E372*'QUANTITE DETENUES'!E372)</f>
        <v/>
      </c>
      <c r="F371" s="299" t="str">
        <f>IF(E371="","",PRIX!F372*'QUANTITE DETENUES'!F372)</f>
        <v/>
      </c>
      <c r="G371" s="299" t="str">
        <f>IF(F371="","",PRIX!G372*'QUANTITE DETENUES'!G372)</f>
        <v/>
      </c>
      <c r="H371" s="299" t="str">
        <f>IF(G371="","",PRIX!H372*'QUANTITE DETENUES'!H372)</f>
        <v/>
      </c>
      <c r="I371" s="299" t="str">
        <f>IF(H371="","",PRIX!I372*'QUANTITE DETENUES'!I372)</f>
        <v/>
      </c>
      <c r="J371" s="299" t="str">
        <f>IF(I371="","",PRIX!J372*'QUANTITE DETENUES'!J372)</f>
        <v/>
      </c>
      <c r="K371" s="299" t="str">
        <f>IF(J371="","",PRIX!K372*'QUANTITE DETENUES'!K372)</f>
        <v/>
      </c>
      <c r="L371" s="299" t="str">
        <f>IF(K371="","",PRIX!L372*'QUANTITE DETENUES'!L372)</f>
        <v/>
      </c>
      <c r="M371" s="299" t="str">
        <f>IF(L371="","",PRIX!M372*'QUANTITE DETENUES'!M372)</f>
        <v/>
      </c>
      <c r="N371" s="299" t="str">
        <f>IF(M371="","",PRIX!N372*'QUANTITE DETENUES'!N372)</f>
        <v/>
      </c>
      <c r="O371" s="299" t="str">
        <f>IF(N371="","",PRIX!O372*'QUANTITE DETENUES'!O372)</f>
        <v/>
      </c>
      <c r="P371" s="299" t="str">
        <f>IF(O371="","",PRIX!P372*'QUANTITE DETENUES'!P372)</f>
        <v/>
      </c>
      <c r="Q371" s="299" t="str">
        <f>IF(P371="","",PRIX!Q372*'QUANTITE DETENUES'!Q372)</f>
        <v/>
      </c>
      <c r="R371" s="299" t="str">
        <f>IF(Q371="","",PRIX!R372*'QUANTITE DETENUES'!R372)</f>
        <v/>
      </c>
      <c r="S371" s="300" t="str">
        <f>IF(R371="","",PRIX!S372*'QUANTITE DETENUES'!S372)</f>
        <v/>
      </c>
      <c r="T371" s="14" t="str">
        <f>IF(A371="","",ARBITRAGES!M372)</f>
        <v/>
      </c>
      <c r="U371" s="301" t="str">
        <f t="shared" si="1"/>
        <v/>
      </c>
      <c r="V371" s="302" t="str">
        <f t="shared" si="2"/>
        <v/>
      </c>
      <c r="W371" s="288"/>
      <c r="X371" s="220"/>
      <c r="Y371" s="220"/>
      <c r="Z371" s="220"/>
      <c r="AA371" s="220"/>
      <c r="AB371" s="220"/>
      <c r="AC371" s="220"/>
      <c r="AD371" s="220"/>
      <c r="AE371" s="220"/>
      <c r="AF371" s="220"/>
      <c r="AG371" s="220"/>
      <c r="AH371" s="308"/>
      <c r="AI371" s="220"/>
      <c r="AJ371" s="220"/>
      <c r="AK371" s="220"/>
      <c r="AL371" s="220"/>
      <c r="AM371" s="220"/>
      <c r="AN371" s="220"/>
      <c r="AO371" s="220"/>
      <c r="AP371" s="220"/>
      <c r="AQ371" s="220"/>
      <c r="AR371" s="220"/>
      <c r="AS371" s="220"/>
      <c r="AT371" s="220"/>
      <c r="AU371" s="220"/>
      <c r="AV371" s="220"/>
      <c r="AW371" s="220"/>
      <c r="AX371" s="220"/>
      <c r="AY371" s="220"/>
      <c r="AZ371" s="220"/>
      <c r="BA371" s="220"/>
    </row>
    <row r="372">
      <c r="A372" s="290" t="str">
        <f>PRIX!A373</f>
        <v/>
      </c>
      <c r="B372" s="299" t="str">
        <f>IF(A372="","",PRIX!B373*'QUANTITE DETENUES'!B373)</f>
        <v/>
      </c>
      <c r="C372" s="299" t="str">
        <f>IF(B372="","",PRIX!C373*'QUANTITE DETENUES'!C373)</f>
        <v/>
      </c>
      <c r="D372" s="299" t="str">
        <f>IF(C372="","",PRIX!D373*'QUANTITE DETENUES'!D373)</f>
        <v/>
      </c>
      <c r="E372" s="299" t="str">
        <f>IF(D372="","",PRIX!E373*'QUANTITE DETENUES'!E373)</f>
        <v/>
      </c>
      <c r="F372" s="299" t="str">
        <f>IF(E372="","",PRIX!F373*'QUANTITE DETENUES'!F373)</f>
        <v/>
      </c>
      <c r="G372" s="299" t="str">
        <f>IF(F372="","",PRIX!G373*'QUANTITE DETENUES'!G373)</f>
        <v/>
      </c>
      <c r="H372" s="299" t="str">
        <f>IF(G372="","",PRIX!H373*'QUANTITE DETENUES'!H373)</f>
        <v/>
      </c>
      <c r="I372" s="299" t="str">
        <f>IF(H372="","",PRIX!I373*'QUANTITE DETENUES'!I373)</f>
        <v/>
      </c>
      <c r="J372" s="299" t="str">
        <f>IF(I372="","",PRIX!J373*'QUANTITE DETENUES'!J373)</f>
        <v/>
      </c>
      <c r="K372" s="299" t="str">
        <f>IF(J372="","",PRIX!K373*'QUANTITE DETENUES'!K373)</f>
        <v/>
      </c>
      <c r="L372" s="299" t="str">
        <f>IF(K372="","",PRIX!L373*'QUANTITE DETENUES'!L373)</f>
        <v/>
      </c>
      <c r="M372" s="299" t="str">
        <f>IF(L372="","",PRIX!M373*'QUANTITE DETENUES'!M373)</f>
        <v/>
      </c>
      <c r="N372" s="299" t="str">
        <f>IF(M372="","",PRIX!N373*'QUANTITE DETENUES'!N373)</f>
        <v/>
      </c>
      <c r="O372" s="299" t="str">
        <f>IF(N372="","",PRIX!O373*'QUANTITE DETENUES'!O373)</f>
        <v/>
      </c>
      <c r="P372" s="299" t="str">
        <f>IF(O372="","",PRIX!P373*'QUANTITE DETENUES'!P373)</f>
        <v/>
      </c>
      <c r="Q372" s="299" t="str">
        <f>IF(P372="","",PRIX!Q373*'QUANTITE DETENUES'!Q373)</f>
        <v/>
      </c>
      <c r="R372" s="299" t="str">
        <f>IF(Q372="","",PRIX!R373*'QUANTITE DETENUES'!R373)</f>
        <v/>
      </c>
      <c r="S372" s="300" t="str">
        <f>IF(R372="","",PRIX!S373*'QUANTITE DETENUES'!S373)</f>
        <v/>
      </c>
      <c r="T372" s="14" t="str">
        <f>IF(A372="","",ARBITRAGES!M373)</f>
        <v/>
      </c>
      <c r="U372" s="301" t="str">
        <f t="shared" si="1"/>
        <v/>
      </c>
      <c r="V372" s="302" t="str">
        <f t="shared" si="2"/>
        <v/>
      </c>
      <c r="W372" s="288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220"/>
      <c r="AH372" s="308"/>
      <c r="AI372" s="220"/>
      <c r="AJ372" s="220"/>
      <c r="AK372" s="220"/>
      <c r="AL372" s="220"/>
      <c r="AM372" s="220"/>
      <c r="AN372" s="220"/>
      <c r="AO372" s="220"/>
      <c r="AP372" s="220"/>
      <c r="AQ372" s="220"/>
      <c r="AR372" s="220"/>
      <c r="AS372" s="220"/>
      <c r="AT372" s="220"/>
      <c r="AU372" s="220"/>
      <c r="AV372" s="220"/>
      <c r="AW372" s="220"/>
      <c r="AX372" s="220"/>
      <c r="AY372" s="220"/>
      <c r="AZ372" s="220"/>
      <c r="BA372" s="220"/>
    </row>
    <row r="373">
      <c r="A373" s="290" t="str">
        <f>PRIX!A374</f>
        <v/>
      </c>
      <c r="B373" s="299" t="str">
        <f>IF(A373="","",PRIX!B374*'QUANTITE DETENUES'!B374)</f>
        <v/>
      </c>
      <c r="C373" s="299" t="str">
        <f>IF(B373="","",PRIX!C374*'QUANTITE DETENUES'!C374)</f>
        <v/>
      </c>
      <c r="D373" s="299" t="str">
        <f>IF(C373="","",PRIX!D374*'QUANTITE DETENUES'!D374)</f>
        <v/>
      </c>
      <c r="E373" s="299" t="str">
        <f>IF(D373="","",PRIX!E374*'QUANTITE DETENUES'!E374)</f>
        <v/>
      </c>
      <c r="F373" s="299" t="str">
        <f>IF(E373="","",PRIX!F374*'QUANTITE DETENUES'!F374)</f>
        <v/>
      </c>
      <c r="G373" s="299" t="str">
        <f>IF(F373="","",PRIX!G374*'QUANTITE DETENUES'!G374)</f>
        <v/>
      </c>
      <c r="H373" s="299" t="str">
        <f>IF(G373="","",PRIX!H374*'QUANTITE DETENUES'!H374)</f>
        <v/>
      </c>
      <c r="I373" s="299" t="str">
        <f>IF(H373="","",PRIX!I374*'QUANTITE DETENUES'!I374)</f>
        <v/>
      </c>
      <c r="J373" s="299" t="str">
        <f>IF(I373="","",PRIX!J374*'QUANTITE DETENUES'!J374)</f>
        <v/>
      </c>
      <c r="K373" s="299" t="str">
        <f>IF(J373="","",PRIX!K374*'QUANTITE DETENUES'!K374)</f>
        <v/>
      </c>
      <c r="L373" s="299" t="str">
        <f>IF(K373="","",PRIX!L374*'QUANTITE DETENUES'!L374)</f>
        <v/>
      </c>
      <c r="M373" s="299" t="str">
        <f>IF(L373="","",PRIX!M374*'QUANTITE DETENUES'!M374)</f>
        <v/>
      </c>
      <c r="N373" s="299" t="str">
        <f>IF(M373="","",PRIX!N374*'QUANTITE DETENUES'!N374)</f>
        <v/>
      </c>
      <c r="O373" s="299" t="str">
        <f>IF(N373="","",PRIX!O374*'QUANTITE DETENUES'!O374)</f>
        <v/>
      </c>
      <c r="P373" s="299" t="str">
        <f>IF(O373="","",PRIX!P374*'QUANTITE DETENUES'!P374)</f>
        <v/>
      </c>
      <c r="Q373" s="299" t="str">
        <f>IF(P373="","",PRIX!Q374*'QUANTITE DETENUES'!Q374)</f>
        <v/>
      </c>
      <c r="R373" s="299" t="str">
        <f>IF(Q373="","",PRIX!R374*'QUANTITE DETENUES'!R374)</f>
        <v/>
      </c>
      <c r="S373" s="300" t="str">
        <f>IF(R373="","",PRIX!S374*'QUANTITE DETENUES'!S374)</f>
        <v/>
      </c>
      <c r="T373" s="14" t="str">
        <f>IF(A373="","",ARBITRAGES!M374)</f>
        <v/>
      </c>
      <c r="U373" s="301" t="str">
        <f t="shared" si="1"/>
        <v/>
      </c>
      <c r="V373" s="302" t="str">
        <f t="shared" si="2"/>
        <v/>
      </c>
      <c r="W373" s="288"/>
      <c r="X373" s="220"/>
      <c r="Y373" s="220"/>
      <c r="Z373" s="220"/>
      <c r="AA373" s="220"/>
      <c r="AB373" s="220"/>
      <c r="AC373" s="220"/>
      <c r="AD373" s="220"/>
      <c r="AE373" s="220"/>
      <c r="AF373" s="220"/>
      <c r="AG373" s="220"/>
      <c r="AH373" s="308"/>
      <c r="AI373" s="220"/>
      <c r="AJ373" s="220"/>
      <c r="AK373" s="220"/>
      <c r="AL373" s="220"/>
      <c r="AM373" s="220"/>
      <c r="AN373" s="220"/>
      <c r="AO373" s="220"/>
      <c r="AP373" s="220"/>
      <c r="AQ373" s="220"/>
      <c r="AR373" s="220"/>
      <c r="AS373" s="220"/>
      <c r="AT373" s="220"/>
      <c r="AU373" s="220"/>
      <c r="AV373" s="220"/>
      <c r="AW373" s="220"/>
      <c r="AX373" s="220"/>
      <c r="AY373" s="220"/>
      <c r="AZ373" s="220"/>
      <c r="BA373" s="220"/>
    </row>
    <row r="374">
      <c r="A374" s="290" t="str">
        <f>PRIX!A375</f>
        <v/>
      </c>
      <c r="B374" s="299" t="str">
        <f>IF(A374="","",PRIX!B375*'QUANTITE DETENUES'!B375)</f>
        <v/>
      </c>
      <c r="C374" s="299" t="str">
        <f>IF(B374="","",PRIX!C375*'QUANTITE DETENUES'!C375)</f>
        <v/>
      </c>
      <c r="D374" s="299" t="str">
        <f>IF(C374="","",PRIX!D375*'QUANTITE DETENUES'!D375)</f>
        <v/>
      </c>
      <c r="E374" s="299" t="str">
        <f>IF(D374="","",PRIX!E375*'QUANTITE DETENUES'!E375)</f>
        <v/>
      </c>
      <c r="F374" s="299" t="str">
        <f>IF(E374="","",PRIX!F375*'QUANTITE DETENUES'!F375)</f>
        <v/>
      </c>
      <c r="G374" s="299" t="str">
        <f>IF(F374="","",PRIX!G375*'QUANTITE DETENUES'!G375)</f>
        <v/>
      </c>
      <c r="H374" s="299" t="str">
        <f>IF(G374="","",PRIX!H375*'QUANTITE DETENUES'!H375)</f>
        <v/>
      </c>
      <c r="I374" s="299" t="str">
        <f>IF(H374="","",PRIX!I375*'QUANTITE DETENUES'!I375)</f>
        <v/>
      </c>
      <c r="J374" s="299" t="str">
        <f>IF(I374="","",PRIX!J375*'QUANTITE DETENUES'!J375)</f>
        <v/>
      </c>
      <c r="K374" s="299" t="str">
        <f>IF(J374="","",PRIX!K375*'QUANTITE DETENUES'!K375)</f>
        <v/>
      </c>
      <c r="L374" s="299" t="str">
        <f>IF(K374="","",PRIX!L375*'QUANTITE DETENUES'!L375)</f>
        <v/>
      </c>
      <c r="M374" s="299" t="str">
        <f>IF(L374="","",PRIX!M375*'QUANTITE DETENUES'!M375)</f>
        <v/>
      </c>
      <c r="N374" s="299" t="str">
        <f>IF(M374="","",PRIX!N375*'QUANTITE DETENUES'!N375)</f>
        <v/>
      </c>
      <c r="O374" s="299" t="str">
        <f>IF(N374="","",PRIX!O375*'QUANTITE DETENUES'!O375)</f>
        <v/>
      </c>
      <c r="P374" s="299" t="str">
        <f>IF(O374="","",PRIX!P375*'QUANTITE DETENUES'!P375)</f>
        <v/>
      </c>
      <c r="Q374" s="299" t="str">
        <f>IF(P374="","",PRIX!Q375*'QUANTITE DETENUES'!Q375)</f>
        <v/>
      </c>
      <c r="R374" s="299" t="str">
        <f>IF(Q374="","",PRIX!R375*'QUANTITE DETENUES'!R375)</f>
        <v/>
      </c>
      <c r="S374" s="300" t="str">
        <f>IF(R374="","",PRIX!S375*'QUANTITE DETENUES'!S375)</f>
        <v/>
      </c>
      <c r="T374" s="14" t="str">
        <f>IF(A374="","",ARBITRAGES!M375)</f>
        <v/>
      </c>
      <c r="U374" s="301" t="str">
        <f t="shared" si="1"/>
        <v/>
      </c>
      <c r="V374" s="302" t="str">
        <f t="shared" si="2"/>
        <v/>
      </c>
      <c r="W374" s="288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220"/>
      <c r="AH374" s="308"/>
      <c r="AI374" s="220"/>
      <c r="AJ374" s="220"/>
      <c r="AK374" s="220"/>
      <c r="AL374" s="220"/>
      <c r="AM374" s="220"/>
      <c r="AN374" s="220"/>
      <c r="AO374" s="220"/>
      <c r="AP374" s="220"/>
      <c r="AQ374" s="220"/>
      <c r="AR374" s="220"/>
      <c r="AS374" s="220"/>
      <c r="AT374" s="220"/>
      <c r="AU374" s="220"/>
      <c r="AV374" s="220"/>
      <c r="AW374" s="220"/>
      <c r="AX374" s="220"/>
      <c r="AY374" s="220"/>
      <c r="AZ374" s="220"/>
      <c r="BA374" s="220"/>
    </row>
    <row r="375">
      <c r="A375" s="290" t="str">
        <f>PRIX!A376</f>
        <v/>
      </c>
      <c r="B375" s="299" t="str">
        <f>IF(A375="","",PRIX!B376*'QUANTITE DETENUES'!B376)</f>
        <v/>
      </c>
      <c r="C375" s="299" t="str">
        <f>IF(B375="","",PRIX!C376*'QUANTITE DETENUES'!C376)</f>
        <v/>
      </c>
      <c r="D375" s="299" t="str">
        <f>IF(C375="","",PRIX!D376*'QUANTITE DETENUES'!D376)</f>
        <v/>
      </c>
      <c r="E375" s="299" t="str">
        <f>IF(D375="","",PRIX!E376*'QUANTITE DETENUES'!E376)</f>
        <v/>
      </c>
      <c r="F375" s="299" t="str">
        <f>IF(E375="","",PRIX!F376*'QUANTITE DETENUES'!F376)</f>
        <v/>
      </c>
      <c r="G375" s="299" t="str">
        <f>IF(F375="","",PRIX!G376*'QUANTITE DETENUES'!G376)</f>
        <v/>
      </c>
      <c r="H375" s="299" t="str">
        <f>IF(G375="","",PRIX!H376*'QUANTITE DETENUES'!H376)</f>
        <v/>
      </c>
      <c r="I375" s="299" t="str">
        <f>IF(H375="","",PRIX!I376*'QUANTITE DETENUES'!I376)</f>
        <v/>
      </c>
      <c r="J375" s="299" t="str">
        <f>IF(I375="","",PRIX!J376*'QUANTITE DETENUES'!J376)</f>
        <v/>
      </c>
      <c r="K375" s="299" t="str">
        <f>IF(J375="","",PRIX!K376*'QUANTITE DETENUES'!K376)</f>
        <v/>
      </c>
      <c r="L375" s="299" t="str">
        <f>IF(K375="","",PRIX!L376*'QUANTITE DETENUES'!L376)</f>
        <v/>
      </c>
      <c r="M375" s="299" t="str">
        <f>IF(L375="","",PRIX!M376*'QUANTITE DETENUES'!M376)</f>
        <v/>
      </c>
      <c r="N375" s="299" t="str">
        <f>IF(M375="","",PRIX!N376*'QUANTITE DETENUES'!N376)</f>
        <v/>
      </c>
      <c r="O375" s="299" t="str">
        <f>IF(N375="","",PRIX!O376*'QUANTITE DETENUES'!O376)</f>
        <v/>
      </c>
      <c r="P375" s="299" t="str">
        <f>IF(O375="","",PRIX!P376*'QUANTITE DETENUES'!P376)</f>
        <v/>
      </c>
      <c r="Q375" s="299" t="str">
        <f>IF(P375="","",PRIX!Q376*'QUANTITE DETENUES'!Q376)</f>
        <v/>
      </c>
      <c r="R375" s="299" t="str">
        <f>IF(Q375="","",PRIX!R376*'QUANTITE DETENUES'!R376)</f>
        <v/>
      </c>
      <c r="S375" s="300" t="str">
        <f>IF(R375="","",PRIX!S376*'QUANTITE DETENUES'!S376)</f>
        <v/>
      </c>
      <c r="T375" s="14" t="str">
        <f>IF(A375="","",ARBITRAGES!M376)</f>
        <v/>
      </c>
      <c r="U375" s="301" t="str">
        <f t="shared" si="1"/>
        <v/>
      </c>
      <c r="V375" s="302" t="str">
        <f t="shared" si="2"/>
        <v/>
      </c>
      <c r="W375" s="288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220"/>
      <c r="AH375" s="308"/>
      <c r="AI375" s="220"/>
      <c r="AJ375" s="220"/>
      <c r="AK375" s="220"/>
      <c r="AL375" s="220"/>
      <c r="AM375" s="220"/>
      <c r="AN375" s="220"/>
      <c r="AO375" s="220"/>
      <c r="AP375" s="220"/>
      <c r="AQ375" s="220"/>
      <c r="AR375" s="220"/>
      <c r="AS375" s="220"/>
      <c r="AT375" s="220"/>
      <c r="AU375" s="220"/>
      <c r="AV375" s="220"/>
      <c r="AW375" s="220"/>
      <c r="AX375" s="220"/>
      <c r="AY375" s="220"/>
      <c r="AZ375" s="220"/>
      <c r="BA375" s="220"/>
    </row>
    <row r="376">
      <c r="A376" s="290" t="str">
        <f>PRIX!A377</f>
        <v/>
      </c>
      <c r="B376" s="299" t="str">
        <f>IF(A376="","",PRIX!B377*'QUANTITE DETENUES'!B377)</f>
        <v/>
      </c>
      <c r="C376" s="299" t="str">
        <f>IF(B376="","",PRIX!C377*'QUANTITE DETENUES'!C377)</f>
        <v/>
      </c>
      <c r="D376" s="299" t="str">
        <f>IF(C376="","",PRIX!D377*'QUANTITE DETENUES'!D377)</f>
        <v/>
      </c>
      <c r="E376" s="299" t="str">
        <f>IF(D376="","",PRIX!E377*'QUANTITE DETENUES'!E377)</f>
        <v/>
      </c>
      <c r="F376" s="299" t="str">
        <f>IF(E376="","",PRIX!F377*'QUANTITE DETENUES'!F377)</f>
        <v/>
      </c>
      <c r="G376" s="299" t="str">
        <f>IF(F376="","",PRIX!G377*'QUANTITE DETENUES'!G377)</f>
        <v/>
      </c>
      <c r="H376" s="299" t="str">
        <f>IF(G376="","",PRIX!H377*'QUANTITE DETENUES'!H377)</f>
        <v/>
      </c>
      <c r="I376" s="299" t="str">
        <f>IF(H376="","",PRIX!I377*'QUANTITE DETENUES'!I377)</f>
        <v/>
      </c>
      <c r="J376" s="299" t="str">
        <f>IF(I376="","",PRIX!J377*'QUANTITE DETENUES'!J377)</f>
        <v/>
      </c>
      <c r="K376" s="299" t="str">
        <f>IF(J376="","",PRIX!K377*'QUANTITE DETENUES'!K377)</f>
        <v/>
      </c>
      <c r="L376" s="299" t="str">
        <f>IF(K376="","",PRIX!L377*'QUANTITE DETENUES'!L377)</f>
        <v/>
      </c>
      <c r="M376" s="299" t="str">
        <f>IF(L376="","",PRIX!M377*'QUANTITE DETENUES'!M377)</f>
        <v/>
      </c>
      <c r="N376" s="299" t="str">
        <f>IF(M376="","",PRIX!N377*'QUANTITE DETENUES'!N377)</f>
        <v/>
      </c>
      <c r="O376" s="299" t="str">
        <f>IF(N376="","",PRIX!O377*'QUANTITE DETENUES'!O377)</f>
        <v/>
      </c>
      <c r="P376" s="299" t="str">
        <f>IF(O376="","",PRIX!P377*'QUANTITE DETENUES'!P377)</f>
        <v/>
      </c>
      <c r="Q376" s="299" t="str">
        <f>IF(P376="","",PRIX!Q377*'QUANTITE DETENUES'!Q377)</f>
        <v/>
      </c>
      <c r="R376" s="299" t="str">
        <f>IF(Q376="","",PRIX!R377*'QUANTITE DETENUES'!R377)</f>
        <v/>
      </c>
      <c r="S376" s="300" t="str">
        <f>IF(R376="","",PRIX!S377*'QUANTITE DETENUES'!S377)</f>
        <v/>
      </c>
      <c r="T376" s="14" t="str">
        <f>IF(A376="","",ARBITRAGES!M377)</f>
        <v/>
      </c>
      <c r="U376" s="301" t="str">
        <f t="shared" si="1"/>
        <v/>
      </c>
      <c r="V376" s="302" t="str">
        <f t="shared" si="2"/>
        <v/>
      </c>
      <c r="W376" s="288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220"/>
      <c r="AH376" s="308"/>
      <c r="AI376" s="220"/>
      <c r="AJ376" s="220"/>
      <c r="AK376" s="220"/>
      <c r="AL376" s="220"/>
      <c r="AM376" s="220"/>
      <c r="AN376" s="220"/>
      <c r="AO376" s="220"/>
      <c r="AP376" s="220"/>
      <c r="AQ376" s="220"/>
      <c r="AR376" s="220"/>
      <c r="AS376" s="220"/>
      <c r="AT376" s="220"/>
      <c r="AU376" s="220"/>
      <c r="AV376" s="220"/>
      <c r="AW376" s="220"/>
      <c r="AX376" s="220"/>
      <c r="AY376" s="220"/>
      <c r="AZ376" s="220"/>
      <c r="BA376" s="220"/>
    </row>
    <row r="377">
      <c r="A377" s="290" t="str">
        <f>PRIX!A378</f>
        <v/>
      </c>
      <c r="B377" s="299" t="str">
        <f>IF(A377="","",PRIX!B378*'QUANTITE DETENUES'!B378)</f>
        <v/>
      </c>
      <c r="C377" s="299" t="str">
        <f>IF(B377="","",PRIX!C378*'QUANTITE DETENUES'!C378)</f>
        <v/>
      </c>
      <c r="D377" s="299" t="str">
        <f>IF(C377="","",PRIX!D378*'QUANTITE DETENUES'!D378)</f>
        <v/>
      </c>
      <c r="E377" s="299" t="str">
        <f>IF(D377="","",PRIX!E378*'QUANTITE DETENUES'!E378)</f>
        <v/>
      </c>
      <c r="F377" s="299" t="str">
        <f>IF(E377="","",PRIX!F378*'QUANTITE DETENUES'!F378)</f>
        <v/>
      </c>
      <c r="G377" s="299" t="str">
        <f>IF(F377="","",PRIX!G378*'QUANTITE DETENUES'!G378)</f>
        <v/>
      </c>
      <c r="H377" s="299" t="str">
        <f>IF(G377="","",PRIX!H378*'QUANTITE DETENUES'!H378)</f>
        <v/>
      </c>
      <c r="I377" s="299" t="str">
        <f>IF(H377="","",PRIX!I378*'QUANTITE DETENUES'!I378)</f>
        <v/>
      </c>
      <c r="J377" s="299" t="str">
        <f>IF(I377="","",PRIX!J378*'QUANTITE DETENUES'!J378)</f>
        <v/>
      </c>
      <c r="K377" s="299" t="str">
        <f>IF(J377="","",PRIX!K378*'QUANTITE DETENUES'!K378)</f>
        <v/>
      </c>
      <c r="L377" s="299" t="str">
        <f>IF(K377="","",PRIX!L378*'QUANTITE DETENUES'!L378)</f>
        <v/>
      </c>
      <c r="M377" s="299" t="str">
        <f>IF(L377="","",PRIX!M378*'QUANTITE DETENUES'!M378)</f>
        <v/>
      </c>
      <c r="N377" s="299" t="str">
        <f>IF(M377="","",PRIX!N378*'QUANTITE DETENUES'!N378)</f>
        <v/>
      </c>
      <c r="O377" s="299" t="str">
        <f>IF(N377="","",PRIX!O378*'QUANTITE DETENUES'!O378)</f>
        <v/>
      </c>
      <c r="P377" s="299" t="str">
        <f>IF(O377="","",PRIX!P378*'QUANTITE DETENUES'!P378)</f>
        <v/>
      </c>
      <c r="Q377" s="299" t="str">
        <f>IF(P377="","",PRIX!Q378*'QUANTITE DETENUES'!Q378)</f>
        <v/>
      </c>
      <c r="R377" s="299" t="str">
        <f>IF(Q377="","",PRIX!R378*'QUANTITE DETENUES'!R378)</f>
        <v/>
      </c>
      <c r="S377" s="300" t="str">
        <f>IF(R377="","",PRIX!S378*'QUANTITE DETENUES'!S378)</f>
        <v/>
      </c>
      <c r="T377" s="14" t="str">
        <f>IF(A377="","",ARBITRAGES!M378)</f>
        <v/>
      </c>
      <c r="U377" s="301" t="str">
        <f t="shared" si="1"/>
        <v/>
      </c>
      <c r="V377" s="302" t="str">
        <f t="shared" si="2"/>
        <v/>
      </c>
      <c r="W377" s="288"/>
      <c r="X377" s="220"/>
      <c r="Y377" s="220"/>
      <c r="Z377" s="220"/>
      <c r="AA377" s="220"/>
      <c r="AB377" s="220"/>
      <c r="AC377" s="220"/>
      <c r="AD377" s="220"/>
      <c r="AE377" s="220"/>
      <c r="AF377" s="220"/>
      <c r="AG377" s="220"/>
      <c r="AH377" s="308"/>
      <c r="AI377" s="220"/>
      <c r="AJ377" s="220"/>
      <c r="AK377" s="220"/>
      <c r="AL377" s="220"/>
      <c r="AM377" s="220"/>
      <c r="AN377" s="220"/>
      <c r="AO377" s="220"/>
      <c r="AP377" s="220"/>
      <c r="AQ377" s="220"/>
      <c r="AR377" s="220"/>
      <c r="AS377" s="220"/>
      <c r="AT377" s="220"/>
      <c r="AU377" s="220"/>
      <c r="AV377" s="220"/>
      <c r="AW377" s="220"/>
      <c r="AX377" s="220"/>
      <c r="AY377" s="220"/>
      <c r="AZ377" s="220"/>
      <c r="BA377" s="220"/>
    </row>
    <row r="378">
      <c r="A378" s="290" t="str">
        <f>PRIX!A379</f>
        <v/>
      </c>
      <c r="B378" s="299" t="str">
        <f>IF(A378="","",PRIX!B379*'QUANTITE DETENUES'!B379)</f>
        <v/>
      </c>
      <c r="C378" s="299" t="str">
        <f>IF(B378="","",PRIX!C379*'QUANTITE DETENUES'!C379)</f>
        <v/>
      </c>
      <c r="D378" s="299" t="str">
        <f>IF(C378="","",PRIX!D379*'QUANTITE DETENUES'!D379)</f>
        <v/>
      </c>
      <c r="E378" s="299" t="str">
        <f>IF(D378="","",PRIX!E379*'QUANTITE DETENUES'!E379)</f>
        <v/>
      </c>
      <c r="F378" s="299" t="str">
        <f>IF(E378="","",PRIX!F379*'QUANTITE DETENUES'!F379)</f>
        <v/>
      </c>
      <c r="G378" s="299" t="str">
        <f>IF(F378="","",PRIX!G379*'QUANTITE DETENUES'!G379)</f>
        <v/>
      </c>
      <c r="H378" s="299" t="str">
        <f>IF(G378="","",PRIX!H379*'QUANTITE DETENUES'!H379)</f>
        <v/>
      </c>
      <c r="I378" s="299" t="str">
        <f>IF(H378="","",PRIX!I379*'QUANTITE DETENUES'!I379)</f>
        <v/>
      </c>
      <c r="J378" s="299" t="str">
        <f>IF(I378="","",PRIX!J379*'QUANTITE DETENUES'!J379)</f>
        <v/>
      </c>
      <c r="K378" s="299" t="str">
        <f>IF(J378="","",PRIX!K379*'QUANTITE DETENUES'!K379)</f>
        <v/>
      </c>
      <c r="L378" s="299" t="str">
        <f>IF(K378="","",PRIX!L379*'QUANTITE DETENUES'!L379)</f>
        <v/>
      </c>
      <c r="M378" s="299" t="str">
        <f>IF(L378="","",PRIX!M379*'QUANTITE DETENUES'!M379)</f>
        <v/>
      </c>
      <c r="N378" s="299" t="str">
        <f>IF(M378="","",PRIX!N379*'QUANTITE DETENUES'!N379)</f>
        <v/>
      </c>
      <c r="O378" s="299" t="str">
        <f>IF(N378="","",PRIX!O379*'QUANTITE DETENUES'!O379)</f>
        <v/>
      </c>
      <c r="P378" s="299" t="str">
        <f>IF(O378="","",PRIX!P379*'QUANTITE DETENUES'!P379)</f>
        <v/>
      </c>
      <c r="Q378" s="299" t="str">
        <f>IF(P378="","",PRIX!Q379*'QUANTITE DETENUES'!Q379)</f>
        <v/>
      </c>
      <c r="R378" s="299" t="str">
        <f>IF(Q378="","",PRIX!R379*'QUANTITE DETENUES'!R379)</f>
        <v/>
      </c>
      <c r="S378" s="300" t="str">
        <f>IF(R378="","",PRIX!S379*'QUANTITE DETENUES'!S379)</f>
        <v/>
      </c>
      <c r="T378" s="14" t="str">
        <f>IF(A378="","",ARBITRAGES!M379)</f>
        <v/>
      </c>
      <c r="U378" s="301" t="str">
        <f t="shared" si="1"/>
        <v/>
      </c>
      <c r="V378" s="302" t="str">
        <f t="shared" si="2"/>
        <v/>
      </c>
      <c r="W378" s="288"/>
      <c r="X378" s="220"/>
      <c r="Y378" s="220"/>
      <c r="Z378" s="220"/>
      <c r="AA378" s="220"/>
      <c r="AB378" s="220"/>
      <c r="AC378" s="220"/>
      <c r="AD378" s="220"/>
      <c r="AE378" s="220"/>
      <c r="AF378" s="220"/>
      <c r="AG378" s="220"/>
      <c r="AH378" s="308"/>
      <c r="AI378" s="220"/>
      <c r="AJ378" s="220"/>
      <c r="AK378" s="220"/>
      <c r="AL378" s="220"/>
      <c r="AM378" s="220"/>
      <c r="AN378" s="220"/>
      <c r="AO378" s="220"/>
      <c r="AP378" s="220"/>
      <c r="AQ378" s="220"/>
      <c r="AR378" s="220"/>
      <c r="AS378" s="220"/>
      <c r="AT378" s="220"/>
      <c r="AU378" s="220"/>
      <c r="AV378" s="220"/>
      <c r="AW378" s="220"/>
      <c r="AX378" s="220"/>
      <c r="AY378" s="220"/>
      <c r="AZ378" s="220"/>
      <c r="BA378" s="220"/>
    </row>
    <row r="379">
      <c r="A379" s="290" t="str">
        <f>PRIX!A380</f>
        <v/>
      </c>
      <c r="B379" s="299" t="str">
        <f>IF(A379="","",PRIX!B380*'QUANTITE DETENUES'!B380)</f>
        <v/>
      </c>
      <c r="C379" s="299" t="str">
        <f>IF(B379="","",PRIX!C380*'QUANTITE DETENUES'!C380)</f>
        <v/>
      </c>
      <c r="D379" s="299" t="str">
        <f>IF(C379="","",PRIX!D380*'QUANTITE DETENUES'!D380)</f>
        <v/>
      </c>
      <c r="E379" s="299" t="str">
        <f>IF(D379="","",PRIX!E380*'QUANTITE DETENUES'!E380)</f>
        <v/>
      </c>
      <c r="F379" s="299" t="str">
        <f>IF(E379="","",PRIX!F380*'QUANTITE DETENUES'!F380)</f>
        <v/>
      </c>
      <c r="G379" s="299" t="str">
        <f>IF(F379="","",PRIX!G380*'QUANTITE DETENUES'!G380)</f>
        <v/>
      </c>
      <c r="H379" s="299" t="str">
        <f>IF(G379="","",PRIX!H380*'QUANTITE DETENUES'!H380)</f>
        <v/>
      </c>
      <c r="I379" s="299" t="str">
        <f>IF(H379="","",PRIX!I380*'QUANTITE DETENUES'!I380)</f>
        <v/>
      </c>
      <c r="J379" s="299" t="str">
        <f>IF(I379="","",PRIX!J380*'QUANTITE DETENUES'!J380)</f>
        <v/>
      </c>
      <c r="K379" s="299" t="str">
        <f>IF(J379="","",PRIX!K380*'QUANTITE DETENUES'!K380)</f>
        <v/>
      </c>
      <c r="L379" s="299" t="str">
        <f>IF(K379="","",PRIX!L380*'QUANTITE DETENUES'!L380)</f>
        <v/>
      </c>
      <c r="M379" s="299" t="str">
        <f>IF(L379="","",PRIX!M380*'QUANTITE DETENUES'!M380)</f>
        <v/>
      </c>
      <c r="N379" s="299" t="str">
        <f>IF(M379="","",PRIX!N380*'QUANTITE DETENUES'!N380)</f>
        <v/>
      </c>
      <c r="O379" s="299" t="str">
        <f>IF(N379="","",PRIX!O380*'QUANTITE DETENUES'!O380)</f>
        <v/>
      </c>
      <c r="P379" s="299" t="str">
        <f>IF(O379="","",PRIX!P380*'QUANTITE DETENUES'!P380)</f>
        <v/>
      </c>
      <c r="Q379" s="299" t="str">
        <f>IF(P379="","",PRIX!Q380*'QUANTITE DETENUES'!Q380)</f>
        <v/>
      </c>
      <c r="R379" s="299" t="str">
        <f>IF(Q379="","",PRIX!R380*'QUANTITE DETENUES'!R380)</f>
        <v/>
      </c>
      <c r="S379" s="300" t="str">
        <f>IF(R379="","",PRIX!S380*'QUANTITE DETENUES'!S380)</f>
        <v/>
      </c>
      <c r="T379" s="14" t="str">
        <f>IF(A379="","",ARBITRAGES!M380)</f>
        <v/>
      </c>
      <c r="U379" s="301" t="str">
        <f t="shared" si="1"/>
        <v/>
      </c>
      <c r="V379" s="302" t="str">
        <f t="shared" si="2"/>
        <v/>
      </c>
      <c r="W379" s="288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220"/>
      <c r="AH379" s="308"/>
      <c r="AI379" s="220"/>
      <c r="AJ379" s="220"/>
      <c r="AK379" s="220"/>
      <c r="AL379" s="220"/>
      <c r="AM379" s="220"/>
      <c r="AN379" s="220"/>
      <c r="AO379" s="220"/>
      <c r="AP379" s="220"/>
      <c r="AQ379" s="220"/>
      <c r="AR379" s="220"/>
      <c r="AS379" s="220"/>
      <c r="AT379" s="220"/>
      <c r="AU379" s="220"/>
      <c r="AV379" s="220"/>
      <c r="AW379" s="220"/>
      <c r="AX379" s="220"/>
      <c r="AY379" s="220"/>
      <c r="AZ379" s="220"/>
      <c r="BA379" s="220"/>
    </row>
    <row r="380">
      <c r="A380" s="290" t="str">
        <f>PRIX!A381</f>
        <v/>
      </c>
      <c r="B380" s="299" t="str">
        <f>IF(A380="","",PRIX!B381*'QUANTITE DETENUES'!B381)</f>
        <v/>
      </c>
      <c r="C380" s="299" t="str">
        <f>IF(B380="","",PRIX!C381*'QUANTITE DETENUES'!C381)</f>
        <v/>
      </c>
      <c r="D380" s="299" t="str">
        <f>IF(C380="","",PRIX!D381*'QUANTITE DETENUES'!D381)</f>
        <v/>
      </c>
      <c r="E380" s="299" t="str">
        <f>IF(D380="","",PRIX!E381*'QUANTITE DETENUES'!E381)</f>
        <v/>
      </c>
      <c r="F380" s="299" t="str">
        <f>IF(E380="","",PRIX!F381*'QUANTITE DETENUES'!F381)</f>
        <v/>
      </c>
      <c r="G380" s="299" t="str">
        <f>IF(F380="","",PRIX!G381*'QUANTITE DETENUES'!G381)</f>
        <v/>
      </c>
      <c r="H380" s="299" t="str">
        <f>IF(G380="","",PRIX!H381*'QUANTITE DETENUES'!H381)</f>
        <v/>
      </c>
      <c r="I380" s="299" t="str">
        <f>IF(H380="","",PRIX!I381*'QUANTITE DETENUES'!I381)</f>
        <v/>
      </c>
      <c r="J380" s="299" t="str">
        <f>IF(I380="","",PRIX!J381*'QUANTITE DETENUES'!J381)</f>
        <v/>
      </c>
      <c r="K380" s="299" t="str">
        <f>IF(J380="","",PRIX!K381*'QUANTITE DETENUES'!K381)</f>
        <v/>
      </c>
      <c r="L380" s="299" t="str">
        <f>IF(K380="","",PRIX!L381*'QUANTITE DETENUES'!L381)</f>
        <v/>
      </c>
      <c r="M380" s="299" t="str">
        <f>IF(L380="","",PRIX!M381*'QUANTITE DETENUES'!M381)</f>
        <v/>
      </c>
      <c r="N380" s="299" t="str">
        <f>IF(M380="","",PRIX!N381*'QUANTITE DETENUES'!N381)</f>
        <v/>
      </c>
      <c r="O380" s="299" t="str">
        <f>IF(N380="","",PRIX!O381*'QUANTITE DETENUES'!O381)</f>
        <v/>
      </c>
      <c r="P380" s="299" t="str">
        <f>IF(O380="","",PRIX!P381*'QUANTITE DETENUES'!P381)</f>
        <v/>
      </c>
      <c r="Q380" s="299" t="str">
        <f>IF(P380="","",PRIX!Q381*'QUANTITE DETENUES'!Q381)</f>
        <v/>
      </c>
      <c r="R380" s="299" t="str">
        <f>IF(Q380="","",PRIX!R381*'QUANTITE DETENUES'!R381)</f>
        <v/>
      </c>
      <c r="S380" s="300" t="str">
        <f>IF(R380="","",PRIX!S381*'QUANTITE DETENUES'!S381)</f>
        <v/>
      </c>
      <c r="T380" s="14" t="str">
        <f>IF(A380="","",ARBITRAGES!M381)</f>
        <v/>
      </c>
      <c r="U380" s="301" t="str">
        <f t="shared" si="1"/>
        <v/>
      </c>
      <c r="V380" s="302" t="str">
        <f t="shared" si="2"/>
        <v/>
      </c>
      <c r="W380" s="288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220"/>
      <c r="AH380" s="308"/>
      <c r="AI380" s="220"/>
      <c r="AJ380" s="220"/>
      <c r="AK380" s="220"/>
      <c r="AL380" s="220"/>
      <c r="AM380" s="220"/>
      <c r="AN380" s="220"/>
      <c r="AO380" s="220"/>
      <c r="AP380" s="220"/>
      <c r="AQ380" s="220"/>
      <c r="AR380" s="220"/>
      <c r="AS380" s="220"/>
      <c r="AT380" s="220"/>
      <c r="AU380" s="220"/>
      <c r="AV380" s="220"/>
      <c r="AW380" s="220"/>
      <c r="AX380" s="220"/>
      <c r="AY380" s="220"/>
      <c r="AZ380" s="220"/>
      <c r="BA380" s="220"/>
    </row>
    <row r="381">
      <c r="A381" s="290" t="str">
        <f>PRIX!A382</f>
        <v/>
      </c>
      <c r="B381" s="299" t="str">
        <f>IF(A381="","",PRIX!B382*'QUANTITE DETENUES'!B382)</f>
        <v/>
      </c>
      <c r="C381" s="299" t="str">
        <f>IF(B381="","",PRIX!C382*'QUANTITE DETENUES'!C382)</f>
        <v/>
      </c>
      <c r="D381" s="299" t="str">
        <f>IF(C381="","",PRIX!D382*'QUANTITE DETENUES'!D382)</f>
        <v/>
      </c>
      <c r="E381" s="299" t="str">
        <f>IF(D381="","",PRIX!E382*'QUANTITE DETENUES'!E382)</f>
        <v/>
      </c>
      <c r="F381" s="299" t="str">
        <f>IF(E381="","",PRIX!F382*'QUANTITE DETENUES'!F382)</f>
        <v/>
      </c>
      <c r="G381" s="299" t="str">
        <f>IF(F381="","",PRIX!G382*'QUANTITE DETENUES'!G382)</f>
        <v/>
      </c>
      <c r="H381" s="299" t="str">
        <f>IF(G381="","",PRIX!H382*'QUANTITE DETENUES'!H382)</f>
        <v/>
      </c>
      <c r="I381" s="299" t="str">
        <f>IF(H381="","",PRIX!I382*'QUANTITE DETENUES'!I382)</f>
        <v/>
      </c>
      <c r="J381" s="299" t="str">
        <f>IF(I381="","",PRIX!J382*'QUANTITE DETENUES'!J382)</f>
        <v/>
      </c>
      <c r="K381" s="299" t="str">
        <f>IF(J381="","",PRIX!K382*'QUANTITE DETENUES'!K382)</f>
        <v/>
      </c>
      <c r="L381" s="299" t="str">
        <f>IF(K381="","",PRIX!L382*'QUANTITE DETENUES'!L382)</f>
        <v/>
      </c>
      <c r="M381" s="299" t="str">
        <f>IF(L381="","",PRIX!M382*'QUANTITE DETENUES'!M382)</f>
        <v/>
      </c>
      <c r="N381" s="299" t="str">
        <f>IF(M381="","",PRIX!N382*'QUANTITE DETENUES'!N382)</f>
        <v/>
      </c>
      <c r="O381" s="299" t="str">
        <f>IF(N381="","",PRIX!O382*'QUANTITE DETENUES'!O382)</f>
        <v/>
      </c>
      <c r="P381" s="299" t="str">
        <f>IF(O381="","",PRIX!P382*'QUANTITE DETENUES'!P382)</f>
        <v/>
      </c>
      <c r="Q381" s="299" t="str">
        <f>IF(P381="","",PRIX!Q382*'QUANTITE DETENUES'!Q382)</f>
        <v/>
      </c>
      <c r="R381" s="299" t="str">
        <f>IF(Q381="","",PRIX!R382*'QUANTITE DETENUES'!R382)</f>
        <v/>
      </c>
      <c r="S381" s="300" t="str">
        <f>IF(R381="","",PRIX!S382*'QUANTITE DETENUES'!S382)</f>
        <v/>
      </c>
      <c r="T381" s="14" t="str">
        <f>IF(A381="","",ARBITRAGES!M382)</f>
        <v/>
      </c>
      <c r="U381" s="301" t="str">
        <f t="shared" si="1"/>
        <v/>
      </c>
      <c r="V381" s="302" t="str">
        <f t="shared" si="2"/>
        <v/>
      </c>
      <c r="W381" s="288"/>
      <c r="X381" s="220"/>
      <c r="Y381" s="220"/>
      <c r="Z381" s="220"/>
      <c r="AA381" s="220"/>
      <c r="AB381" s="220"/>
      <c r="AC381" s="220"/>
      <c r="AD381" s="220"/>
      <c r="AE381" s="220"/>
      <c r="AF381" s="220"/>
      <c r="AG381" s="220"/>
      <c r="AH381" s="308"/>
      <c r="AI381" s="220"/>
      <c r="AJ381" s="220"/>
      <c r="AK381" s="220"/>
      <c r="AL381" s="220"/>
      <c r="AM381" s="220"/>
      <c r="AN381" s="220"/>
      <c r="AO381" s="220"/>
      <c r="AP381" s="220"/>
      <c r="AQ381" s="220"/>
      <c r="AR381" s="220"/>
      <c r="AS381" s="220"/>
      <c r="AT381" s="220"/>
      <c r="AU381" s="220"/>
      <c r="AV381" s="220"/>
      <c r="AW381" s="220"/>
      <c r="AX381" s="220"/>
      <c r="AY381" s="220"/>
      <c r="AZ381" s="220"/>
      <c r="BA381" s="220"/>
    </row>
    <row r="382">
      <c r="A382" s="290" t="str">
        <f>PRIX!A383</f>
        <v/>
      </c>
      <c r="B382" s="299" t="str">
        <f>IF(A382="","",PRIX!B383*'QUANTITE DETENUES'!B383)</f>
        <v/>
      </c>
      <c r="C382" s="299" t="str">
        <f>IF(B382="","",PRIX!C383*'QUANTITE DETENUES'!C383)</f>
        <v/>
      </c>
      <c r="D382" s="299" t="str">
        <f>IF(C382="","",PRIX!D383*'QUANTITE DETENUES'!D383)</f>
        <v/>
      </c>
      <c r="E382" s="299" t="str">
        <f>IF(D382="","",PRIX!E383*'QUANTITE DETENUES'!E383)</f>
        <v/>
      </c>
      <c r="F382" s="299" t="str">
        <f>IF(E382="","",PRIX!F383*'QUANTITE DETENUES'!F383)</f>
        <v/>
      </c>
      <c r="G382" s="299" t="str">
        <f>IF(F382="","",PRIX!G383*'QUANTITE DETENUES'!G383)</f>
        <v/>
      </c>
      <c r="H382" s="299" t="str">
        <f>IF(G382="","",PRIX!H383*'QUANTITE DETENUES'!H383)</f>
        <v/>
      </c>
      <c r="I382" s="299" t="str">
        <f>IF(H382="","",PRIX!I383*'QUANTITE DETENUES'!I383)</f>
        <v/>
      </c>
      <c r="J382" s="299" t="str">
        <f>IF(I382="","",PRIX!J383*'QUANTITE DETENUES'!J383)</f>
        <v/>
      </c>
      <c r="K382" s="299" t="str">
        <f>IF(J382="","",PRIX!K383*'QUANTITE DETENUES'!K383)</f>
        <v/>
      </c>
      <c r="L382" s="299" t="str">
        <f>IF(K382="","",PRIX!L383*'QUANTITE DETENUES'!L383)</f>
        <v/>
      </c>
      <c r="M382" s="299" t="str">
        <f>IF(L382="","",PRIX!M383*'QUANTITE DETENUES'!M383)</f>
        <v/>
      </c>
      <c r="N382" s="299" t="str">
        <f>IF(M382="","",PRIX!N383*'QUANTITE DETENUES'!N383)</f>
        <v/>
      </c>
      <c r="O382" s="299" t="str">
        <f>IF(N382="","",PRIX!O383*'QUANTITE DETENUES'!O383)</f>
        <v/>
      </c>
      <c r="P382" s="299" t="str">
        <f>IF(O382="","",PRIX!P383*'QUANTITE DETENUES'!P383)</f>
        <v/>
      </c>
      <c r="Q382" s="299" t="str">
        <f>IF(P382="","",PRIX!Q383*'QUANTITE DETENUES'!Q383)</f>
        <v/>
      </c>
      <c r="R382" s="299" t="str">
        <f>IF(Q382="","",PRIX!R383*'QUANTITE DETENUES'!R383)</f>
        <v/>
      </c>
      <c r="S382" s="300" t="str">
        <f>IF(R382="","",PRIX!S383*'QUANTITE DETENUES'!S383)</f>
        <v/>
      </c>
      <c r="T382" s="14" t="str">
        <f>IF(A382="","",ARBITRAGES!M383)</f>
        <v/>
      </c>
      <c r="U382" s="301" t="str">
        <f t="shared" si="1"/>
        <v/>
      </c>
      <c r="V382" s="302" t="str">
        <f t="shared" si="2"/>
        <v/>
      </c>
      <c r="W382" s="288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220"/>
      <c r="AH382" s="308"/>
      <c r="AI382" s="220"/>
      <c r="AJ382" s="220"/>
      <c r="AK382" s="220"/>
      <c r="AL382" s="220"/>
      <c r="AM382" s="220"/>
      <c r="AN382" s="220"/>
      <c r="AO382" s="220"/>
      <c r="AP382" s="220"/>
      <c r="AQ382" s="220"/>
      <c r="AR382" s="220"/>
      <c r="AS382" s="220"/>
      <c r="AT382" s="220"/>
      <c r="AU382" s="220"/>
      <c r="AV382" s="220"/>
      <c r="AW382" s="220"/>
      <c r="AX382" s="220"/>
      <c r="AY382" s="220"/>
      <c r="AZ382" s="220"/>
      <c r="BA382" s="220"/>
    </row>
    <row r="383">
      <c r="A383" s="290" t="str">
        <f>PRIX!A384</f>
        <v/>
      </c>
      <c r="B383" s="299" t="str">
        <f>IF(A383="","",PRIX!B384*'QUANTITE DETENUES'!B384)</f>
        <v/>
      </c>
      <c r="C383" s="299" t="str">
        <f>IF(B383="","",PRIX!C384*'QUANTITE DETENUES'!C384)</f>
        <v/>
      </c>
      <c r="D383" s="299" t="str">
        <f>IF(C383="","",PRIX!D384*'QUANTITE DETENUES'!D384)</f>
        <v/>
      </c>
      <c r="E383" s="299" t="str">
        <f>IF(D383="","",PRIX!E384*'QUANTITE DETENUES'!E384)</f>
        <v/>
      </c>
      <c r="F383" s="299" t="str">
        <f>IF(E383="","",PRIX!F384*'QUANTITE DETENUES'!F384)</f>
        <v/>
      </c>
      <c r="G383" s="299" t="str">
        <f>IF(F383="","",PRIX!G384*'QUANTITE DETENUES'!G384)</f>
        <v/>
      </c>
      <c r="H383" s="299" t="str">
        <f>IF(G383="","",PRIX!H384*'QUANTITE DETENUES'!H384)</f>
        <v/>
      </c>
      <c r="I383" s="299" t="str">
        <f>IF(H383="","",PRIX!I384*'QUANTITE DETENUES'!I384)</f>
        <v/>
      </c>
      <c r="J383" s="299" t="str">
        <f>IF(I383="","",PRIX!J384*'QUANTITE DETENUES'!J384)</f>
        <v/>
      </c>
      <c r="K383" s="299" t="str">
        <f>IF(J383="","",PRIX!K384*'QUANTITE DETENUES'!K384)</f>
        <v/>
      </c>
      <c r="L383" s="299" t="str">
        <f>IF(K383="","",PRIX!L384*'QUANTITE DETENUES'!L384)</f>
        <v/>
      </c>
      <c r="M383" s="299" t="str">
        <f>IF(L383="","",PRIX!M384*'QUANTITE DETENUES'!M384)</f>
        <v/>
      </c>
      <c r="N383" s="299" t="str">
        <f>IF(M383="","",PRIX!N384*'QUANTITE DETENUES'!N384)</f>
        <v/>
      </c>
      <c r="O383" s="299" t="str">
        <f>IF(N383="","",PRIX!O384*'QUANTITE DETENUES'!O384)</f>
        <v/>
      </c>
      <c r="P383" s="299" t="str">
        <f>IF(O383="","",PRIX!P384*'QUANTITE DETENUES'!P384)</f>
        <v/>
      </c>
      <c r="Q383" s="299" t="str">
        <f>IF(P383="","",PRIX!Q384*'QUANTITE DETENUES'!Q384)</f>
        <v/>
      </c>
      <c r="R383" s="299" t="str">
        <f>IF(Q383="","",PRIX!R384*'QUANTITE DETENUES'!R384)</f>
        <v/>
      </c>
      <c r="S383" s="300" t="str">
        <f>IF(R383="","",PRIX!S384*'QUANTITE DETENUES'!S384)</f>
        <v/>
      </c>
      <c r="T383" s="14" t="str">
        <f>IF(A383="","",ARBITRAGES!M384)</f>
        <v/>
      </c>
      <c r="U383" s="301" t="str">
        <f t="shared" si="1"/>
        <v/>
      </c>
      <c r="V383" s="302" t="str">
        <f t="shared" si="2"/>
        <v/>
      </c>
      <c r="W383" s="288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220"/>
      <c r="AH383" s="308"/>
      <c r="AI383" s="220"/>
      <c r="AJ383" s="220"/>
      <c r="AK383" s="220"/>
      <c r="AL383" s="220"/>
      <c r="AM383" s="220"/>
      <c r="AN383" s="220"/>
      <c r="AO383" s="220"/>
      <c r="AP383" s="220"/>
      <c r="AQ383" s="220"/>
      <c r="AR383" s="220"/>
      <c r="AS383" s="220"/>
      <c r="AT383" s="220"/>
      <c r="AU383" s="220"/>
      <c r="AV383" s="220"/>
      <c r="AW383" s="220"/>
      <c r="AX383" s="220"/>
      <c r="AY383" s="220"/>
      <c r="AZ383" s="220"/>
      <c r="BA383" s="220"/>
    </row>
    <row r="384">
      <c r="A384" s="290" t="str">
        <f>PRIX!A385</f>
        <v/>
      </c>
      <c r="B384" s="299" t="str">
        <f>IF(A384="","",PRIX!B385*'QUANTITE DETENUES'!B385)</f>
        <v/>
      </c>
      <c r="C384" s="299" t="str">
        <f>IF(B384="","",PRIX!C385*'QUANTITE DETENUES'!C385)</f>
        <v/>
      </c>
      <c r="D384" s="299" t="str">
        <f>IF(C384="","",PRIX!D385*'QUANTITE DETENUES'!D385)</f>
        <v/>
      </c>
      <c r="E384" s="299" t="str">
        <f>IF(D384="","",PRIX!E385*'QUANTITE DETENUES'!E385)</f>
        <v/>
      </c>
      <c r="F384" s="299" t="str">
        <f>IF(E384="","",PRIX!F385*'QUANTITE DETENUES'!F385)</f>
        <v/>
      </c>
      <c r="G384" s="299" t="str">
        <f>IF(F384="","",PRIX!G385*'QUANTITE DETENUES'!G385)</f>
        <v/>
      </c>
      <c r="H384" s="299" t="str">
        <f>IF(G384="","",PRIX!H385*'QUANTITE DETENUES'!H385)</f>
        <v/>
      </c>
      <c r="I384" s="299" t="str">
        <f>IF(H384="","",PRIX!I385*'QUANTITE DETENUES'!I385)</f>
        <v/>
      </c>
      <c r="J384" s="299" t="str">
        <f>IF(I384="","",PRIX!J385*'QUANTITE DETENUES'!J385)</f>
        <v/>
      </c>
      <c r="K384" s="299" t="str">
        <f>IF(J384="","",PRIX!K385*'QUANTITE DETENUES'!K385)</f>
        <v/>
      </c>
      <c r="L384" s="299" t="str">
        <f>IF(K384="","",PRIX!L385*'QUANTITE DETENUES'!L385)</f>
        <v/>
      </c>
      <c r="M384" s="299" t="str">
        <f>IF(L384="","",PRIX!M385*'QUANTITE DETENUES'!M385)</f>
        <v/>
      </c>
      <c r="N384" s="299" t="str">
        <f>IF(M384="","",PRIX!N385*'QUANTITE DETENUES'!N385)</f>
        <v/>
      </c>
      <c r="O384" s="299" t="str">
        <f>IF(N384="","",PRIX!O385*'QUANTITE DETENUES'!O385)</f>
        <v/>
      </c>
      <c r="P384" s="299" t="str">
        <f>IF(O384="","",PRIX!P385*'QUANTITE DETENUES'!P385)</f>
        <v/>
      </c>
      <c r="Q384" s="299" t="str">
        <f>IF(P384="","",PRIX!Q385*'QUANTITE DETENUES'!Q385)</f>
        <v/>
      </c>
      <c r="R384" s="299" t="str">
        <f>IF(Q384="","",PRIX!R385*'QUANTITE DETENUES'!R385)</f>
        <v/>
      </c>
      <c r="S384" s="300" t="str">
        <f>IF(R384="","",PRIX!S385*'QUANTITE DETENUES'!S385)</f>
        <v/>
      </c>
      <c r="T384" s="14" t="str">
        <f>IF(A384="","",ARBITRAGES!M385)</f>
        <v/>
      </c>
      <c r="U384" s="301" t="str">
        <f t="shared" si="1"/>
        <v/>
      </c>
      <c r="V384" s="302" t="str">
        <f t="shared" si="2"/>
        <v/>
      </c>
      <c r="W384" s="288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220"/>
      <c r="AH384" s="308"/>
      <c r="AI384" s="220"/>
      <c r="AJ384" s="220"/>
      <c r="AK384" s="220"/>
      <c r="AL384" s="220"/>
      <c r="AM384" s="220"/>
      <c r="AN384" s="220"/>
      <c r="AO384" s="220"/>
      <c r="AP384" s="220"/>
      <c r="AQ384" s="220"/>
      <c r="AR384" s="220"/>
      <c r="AS384" s="220"/>
      <c r="AT384" s="220"/>
      <c r="AU384" s="220"/>
      <c r="AV384" s="220"/>
      <c r="AW384" s="220"/>
      <c r="AX384" s="220"/>
      <c r="AY384" s="220"/>
      <c r="AZ384" s="220"/>
      <c r="BA384" s="220"/>
    </row>
    <row r="385">
      <c r="A385" s="290" t="str">
        <f>PRIX!A386</f>
        <v/>
      </c>
      <c r="B385" s="299" t="str">
        <f>IF(A385="","",PRIX!B386*'QUANTITE DETENUES'!B386)</f>
        <v/>
      </c>
      <c r="C385" s="299" t="str">
        <f>IF(B385="","",PRIX!C386*'QUANTITE DETENUES'!C386)</f>
        <v/>
      </c>
      <c r="D385" s="299" t="str">
        <f>IF(C385="","",PRIX!D386*'QUANTITE DETENUES'!D386)</f>
        <v/>
      </c>
      <c r="E385" s="299" t="str">
        <f>IF(D385="","",PRIX!E386*'QUANTITE DETENUES'!E386)</f>
        <v/>
      </c>
      <c r="F385" s="299" t="str">
        <f>IF(E385="","",PRIX!F386*'QUANTITE DETENUES'!F386)</f>
        <v/>
      </c>
      <c r="G385" s="299" t="str">
        <f>IF(F385="","",PRIX!G386*'QUANTITE DETENUES'!G386)</f>
        <v/>
      </c>
      <c r="H385" s="299" t="str">
        <f>IF(G385="","",PRIX!H386*'QUANTITE DETENUES'!H386)</f>
        <v/>
      </c>
      <c r="I385" s="299" t="str">
        <f>IF(H385="","",PRIX!I386*'QUANTITE DETENUES'!I386)</f>
        <v/>
      </c>
      <c r="J385" s="299" t="str">
        <f>IF(I385="","",PRIX!J386*'QUANTITE DETENUES'!J386)</f>
        <v/>
      </c>
      <c r="K385" s="299" t="str">
        <f>IF(J385="","",PRIX!K386*'QUANTITE DETENUES'!K386)</f>
        <v/>
      </c>
      <c r="L385" s="299" t="str">
        <f>IF(K385="","",PRIX!L386*'QUANTITE DETENUES'!L386)</f>
        <v/>
      </c>
      <c r="M385" s="299" t="str">
        <f>IF(L385="","",PRIX!M386*'QUANTITE DETENUES'!M386)</f>
        <v/>
      </c>
      <c r="N385" s="299" t="str">
        <f>IF(M385="","",PRIX!N386*'QUANTITE DETENUES'!N386)</f>
        <v/>
      </c>
      <c r="O385" s="299" t="str">
        <f>IF(N385="","",PRIX!O386*'QUANTITE DETENUES'!O386)</f>
        <v/>
      </c>
      <c r="P385" s="299" t="str">
        <f>IF(O385="","",PRIX!P386*'QUANTITE DETENUES'!P386)</f>
        <v/>
      </c>
      <c r="Q385" s="299" t="str">
        <f>IF(P385="","",PRIX!Q386*'QUANTITE DETENUES'!Q386)</f>
        <v/>
      </c>
      <c r="R385" s="299" t="str">
        <f>IF(Q385="","",PRIX!R386*'QUANTITE DETENUES'!R386)</f>
        <v/>
      </c>
      <c r="S385" s="300" t="str">
        <f>IF(R385="","",PRIX!S386*'QUANTITE DETENUES'!S386)</f>
        <v/>
      </c>
      <c r="T385" s="14" t="str">
        <f>IF(A385="","",ARBITRAGES!M386)</f>
        <v/>
      </c>
      <c r="U385" s="301" t="str">
        <f t="shared" si="1"/>
        <v/>
      </c>
      <c r="V385" s="302" t="str">
        <f t="shared" si="2"/>
        <v/>
      </c>
      <c r="W385" s="288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220"/>
      <c r="AH385" s="308"/>
      <c r="AI385" s="220"/>
      <c r="AJ385" s="220"/>
      <c r="AK385" s="220"/>
      <c r="AL385" s="220"/>
      <c r="AM385" s="220"/>
      <c r="AN385" s="220"/>
      <c r="AO385" s="220"/>
      <c r="AP385" s="220"/>
      <c r="AQ385" s="220"/>
      <c r="AR385" s="220"/>
      <c r="AS385" s="220"/>
      <c r="AT385" s="220"/>
      <c r="AU385" s="220"/>
      <c r="AV385" s="220"/>
      <c r="AW385" s="220"/>
      <c r="AX385" s="220"/>
      <c r="AY385" s="220"/>
      <c r="AZ385" s="220"/>
      <c r="BA385" s="220"/>
    </row>
    <row r="386">
      <c r="A386" s="290" t="str">
        <f>PRIX!A387</f>
        <v/>
      </c>
      <c r="B386" s="299" t="str">
        <f>IF(A386="","",PRIX!B387*'QUANTITE DETENUES'!B387)</f>
        <v/>
      </c>
      <c r="C386" s="299" t="str">
        <f>IF(B386="","",PRIX!C387*'QUANTITE DETENUES'!C387)</f>
        <v/>
      </c>
      <c r="D386" s="299" t="str">
        <f>IF(C386="","",PRIX!D387*'QUANTITE DETENUES'!D387)</f>
        <v/>
      </c>
      <c r="E386" s="299" t="str">
        <f>IF(D386="","",PRIX!E387*'QUANTITE DETENUES'!E387)</f>
        <v/>
      </c>
      <c r="F386" s="299" t="str">
        <f>IF(E386="","",PRIX!F387*'QUANTITE DETENUES'!F387)</f>
        <v/>
      </c>
      <c r="G386" s="299" t="str">
        <f>IF(F386="","",PRIX!G387*'QUANTITE DETENUES'!G387)</f>
        <v/>
      </c>
      <c r="H386" s="299" t="str">
        <f>IF(G386="","",PRIX!H387*'QUANTITE DETENUES'!H387)</f>
        <v/>
      </c>
      <c r="I386" s="299" t="str">
        <f>IF(H386="","",PRIX!I387*'QUANTITE DETENUES'!I387)</f>
        <v/>
      </c>
      <c r="J386" s="299" t="str">
        <f>IF(I386="","",PRIX!J387*'QUANTITE DETENUES'!J387)</f>
        <v/>
      </c>
      <c r="K386" s="299" t="str">
        <f>IF(J386="","",PRIX!K387*'QUANTITE DETENUES'!K387)</f>
        <v/>
      </c>
      <c r="L386" s="299" t="str">
        <f>IF(K386="","",PRIX!L387*'QUANTITE DETENUES'!L387)</f>
        <v/>
      </c>
      <c r="M386" s="299" t="str">
        <f>IF(L386="","",PRIX!M387*'QUANTITE DETENUES'!M387)</f>
        <v/>
      </c>
      <c r="N386" s="299" t="str">
        <f>IF(M386="","",PRIX!N387*'QUANTITE DETENUES'!N387)</f>
        <v/>
      </c>
      <c r="O386" s="299" t="str">
        <f>IF(N386="","",PRIX!O387*'QUANTITE DETENUES'!O387)</f>
        <v/>
      </c>
      <c r="P386" s="299" t="str">
        <f>IF(O386="","",PRIX!P387*'QUANTITE DETENUES'!P387)</f>
        <v/>
      </c>
      <c r="Q386" s="299" t="str">
        <f>IF(P386="","",PRIX!Q387*'QUANTITE DETENUES'!Q387)</f>
        <v/>
      </c>
      <c r="R386" s="299" t="str">
        <f>IF(Q386="","",PRIX!R387*'QUANTITE DETENUES'!R387)</f>
        <v/>
      </c>
      <c r="S386" s="300" t="str">
        <f>IF(R386="","",PRIX!S387*'QUANTITE DETENUES'!S387)</f>
        <v/>
      </c>
      <c r="T386" s="14" t="str">
        <f>IF(A386="","",ARBITRAGES!M387)</f>
        <v/>
      </c>
      <c r="U386" s="301" t="str">
        <f t="shared" si="1"/>
        <v/>
      </c>
      <c r="V386" s="302" t="str">
        <f t="shared" si="2"/>
        <v/>
      </c>
      <c r="W386" s="288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220"/>
      <c r="AH386" s="308"/>
      <c r="AI386" s="220"/>
      <c r="AJ386" s="220"/>
      <c r="AK386" s="220"/>
      <c r="AL386" s="220"/>
      <c r="AM386" s="220"/>
      <c r="AN386" s="220"/>
      <c r="AO386" s="220"/>
      <c r="AP386" s="220"/>
      <c r="AQ386" s="220"/>
      <c r="AR386" s="220"/>
      <c r="AS386" s="220"/>
      <c r="AT386" s="220"/>
      <c r="AU386" s="220"/>
      <c r="AV386" s="220"/>
      <c r="AW386" s="220"/>
      <c r="AX386" s="220"/>
      <c r="AY386" s="220"/>
      <c r="AZ386" s="220"/>
      <c r="BA386" s="220"/>
    </row>
    <row r="387">
      <c r="A387" s="290" t="str">
        <f>PRIX!A388</f>
        <v/>
      </c>
      <c r="B387" s="299" t="str">
        <f>IF(A387="","",PRIX!B388*'QUANTITE DETENUES'!B388)</f>
        <v/>
      </c>
      <c r="C387" s="299" t="str">
        <f>IF(B387="","",PRIX!C388*'QUANTITE DETENUES'!C388)</f>
        <v/>
      </c>
      <c r="D387" s="299" t="str">
        <f>IF(C387="","",PRIX!D388*'QUANTITE DETENUES'!D388)</f>
        <v/>
      </c>
      <c r="E387" s="299" t="str">
        <f>IF(D387="","",PRIX!E388*'QUANTITE DETENUES'!E388)</f>
        <v/>
      </c>
      <c r="F387" s="299" t="str">
        <f>IF(E387="","",PRIX!F388*'QUANTITE DETENUES'!F388)</f>
        <v/>
      </c>
      <c r="G387" s="299" t="str">
        <f>IF(F387="","",PRIX!G388*'QUANTITE DETENUES'!G388)</f>
        <v/>
      </c>
      <c r="H387" s="299" t="str">
        <f>IF(G387="","",PRIX!H388*'QUANTITE DETENUES'!H388)</f>
        <v/>
      </c>
      <c r="I387" s="299" t="str">
        <f>IF(H387="","",PRIX!I388*'QUANTITE DETENUES'!I388)</f>
        <v/>
      </c>
      <c r="J387" s="299" t="str">
        <f>IF(I387="","",PRIX!J388*'QUANTITE DETENUES'!J388)</f>
        <v/>
      </c>
      <c r="K387" s="299" t="str">
        <f>IF(J387="","",PRIX!K388*'QUANTITE DETENUES'!K388)</f>
        <v/>
      </c>
      <c r="L387" s="299" t="str">
        <f>IF(K387="","",PRIX!L388*'QUANTITE DETENUES'!L388)</f>
        <v/>
      </c>
      <c r="M387" s="299" t="str">
        <f>IF(L387="","",PRIX!M388*'QUANTITE DETENUES'!M388)</f>
        <v/>
      </c>
      <c r="N387" s="299" t="str">
        <f>IF(M387="","",PRIX!N388*'QUANTITE DETENUES'!N388)</f>
        <v/>
      </c>
      <c r="O387" s="299" t="str">
        <f>IF(N387="","",PRIX!O388*'QUANTITE DETENUES'!O388)</f>
        <v/>
      </c>
      <c r="P387" s="299" t="str">
        <f>IF(O387="","",PRIX!P388*'QUANTITE DETENUES'!P388)</f>
        <v/>
      </c>
      <c r="Q387" s="299" t="str">
        <f>IF(P387="","",PRIX!Q388*'QUANTITE DETENUES'!Q388)</f>
        <v/>
      </c>
      <c r="R387" s="299" t="str">
        <f>IF(Q387="","",PRIX!R388*'QUANTITE DETENUES'!R388)</f>
        <v/>
      </c>
      <c r="S387" s="300" t="str">
        <f>IF(R387="","",PRIX!S388*'QUANTITE DETENUES'!S388)</f>
        <v/>
      </c>
      <c r="T387" s="14" t="str">
        <f>IF(A387="","",ARBITRAGES!M388)</f>
        <v/>
      </c>
      <c r="U387" s="301" t="str">
        <f t="shared" si="1"/>
        <v/>
      </c>
      <c r="V387" s="302" t="str">
        <f t="shared" si="2"/>
        <v/>
      </c>
      <c r="W387" s="288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220"/>
      <c r="AH387" s="308"/>
      <c r="AI387" s="220"/>
      <c r="AJ387" s="220"/>
      <c r="AK387" s="220"/>
      <c r="AL387" s="220"/>
      <c r="AM387" s="220"/>
      <c r="AN387" s="220"/>
      <c r="AO387" s="220"/>
      <c r="AP387" s="220"/>
      <c r="AQ387" s="220"/>
      <c r="AR387" s="220"/>
      <c r="AS387" s="220"/>
      <c r="AT387" s="220"/>
      <c r="AU387" s="220"/>
      <c r="AV387" s="220"/>
      <c r="AW387" s="220"/>
      <c r="AX387" s="220"/>
      <c r="AY387" s="220"/>
      <c r="AZ387" s="220"/>
      <c r="BA387" s="220"/>
    </row>
    <row r="388">
      <c r="A388" s="290" t="str">
        <f>PRIX!A389</f>
        <v/>
      </c>
      <c r="B388" s="299" t="str">
        <f>IF(A388="","",PRIX!B389*'QUANTITE DETENUES'!B389)</f>
        <v/>
      </c>
      <c r="C388" s="299" t="str">
        <f>IF(B388="","",PRIX!C389*'QUANTITE DETENUES'!C389)</f>
        <v/>
      </c>
      <c r="D388" s="299" t="str">
        <f>IF(C388="","",PRIX!D389*'QUANTITE DETENUES'!D389)</f>
        <v/>
      </c>
      <c r="E388" s="299" t="str">
        <f>IF(D388="","",PRIX!E389*'QUANTITE DETENUES'!E389)</f>
        <v/>
      </c>
      <c r="F388" s="299" t="str">
        <f>IF(E388="","",PRIX!F389*'QUANTITE DETENUES'!F389)</f>
        <v/>
      </c>
      <c r="G388" s="299" t="str">
        <f>IF(F388="","",PRIX!G389*'QUANTITE DETENUES'!G389)</f>
        <v/>
      </c>
      <c r="H388" s="299" t="str">
        <f>IF(G388="","",PRIX!H389*'QUANTITE DETENUES'!H389)</f>
        <v/>
      </c>
      <c r="I388" s="299" t="str">
        <f>IF(H388="","",PRIX!I389*'QUANTITE DETENUES'!I389)</f>
        <v/>
      </c>
      <c r="J388" s="299" t="str">
        <f>IF(I388="","",PRIX!J389*'QUANTITE DETENUES'!J389)</f>
        <v/>
      </c>
      <c r="K388" s="299" t="str">
        <f>IF(J388="","",PRIX!K389*'QUANTITE DETENUES'!K389)</f>
        <v/>
      </c>
      <c r="L388" s="299" t="str">
        <f>IF(K388="","",PRIX!L389*'QUANTITE DETENUES'!L389)</f>
        <v/>
      </c>
      <c r="M388" s="299" t="str">
        <f>IF(L388="","",PRIX!M389*'QUANTITE DETENUES'!M389)</f>
        <v/>
      </c>
      <c r="N388" s="299" t="str">
        <f>IF(M388="","",PRIX!N389*'QUANTITE DETENUES'!N389)</f>
        <v/>
      </c>
      <c r="O388" s="299" t="str">
        <f>IF(N388="","",PRIX!O389*'QUANTITE DETENUES'!O389)</f>
        <v/>
      </c>
      <c r="P388" s="299" t="str">
        <f>IF(O388="","",PRIX!P389*'QUANTITE DETENUES'!P389)</f>
        <v/>
      </c>
      <c r="Q388" s="299" t="str">
        <f>IF(P388="","",PRIX!Q389*'QUANTITE DETENUES'!Q389)</f>
        <v/>
      </c>
      <c r="R388" s="299" t="str">
        <f>IF(Q388="","",PRIX!R389*'QUANTITE DETENUES'!R389)</f>
        <v/>
      </c>
      <c r="S388" s="300" t="str">
        <f>IF(R388="","",PRIX!S389*'QUANTITE DETENUES'!S389)</f>
        <v/>
      </c>
      <c r="T388" s="14" t="str">
        <f>IF(A388="","",ARBITRAGES!M389)</f>
        <v/>
      </c>
      <c r="U388" s="301" t="str">
        <f t="shared" si="1"/>
        <v/>
      </c>
      <c r="V388" s="302" t="str">
        <f t="shared" si="2"/>
        <v/>
      </c>
      <c r="W388" s="288"/>
      <c r="X388" s="220"/>
      <c r="Y388" s="220"/>
      <c r="Z388" s="220"/>
      <c r="AA388" s="220"/>
      <c r="AB388" s="220"/>
      <c r="AC388" s="220"/>
      <c r="AD388" s="220"/>
      <c r="AE388" s="220"/>
      <c r="AF388" s="220"/>
      <c r="AG388" s="220"/>
      <c r="AH388" s="308"/>
      <c r="AI388" s="220"/>
      <c r="AJ388" s="220"/>
      <c r="AK388" s="220"/>
      <c r="AL388" s="220"/>
      <c r="AM388" s="220"/>
      <c r="AN388" s="220"/>
      <c r="AO388" s="220"/>
      <c r="AP388" s="220"/>
      <c r="AQ388" s="220"/>
      <c r="AR388" s="220"/>
      <c r="AS388" s="220"/>
      <c r="AT388" s="220"/>
      <c r="AU388" s="220"/>
      <c r="AV388" s="220"/>
      <c r="AW388" s="220"/>
      <c r="AX388" s="220"/>
      <c r="AY388" s="220"/>
      <c r="AZ388" s="220"/>
      <c r="BA388" s="220"/>
    </row>
    <row r="389">
      <c r="A389" s="290" t="str">
        <f>PRIX!A390</f>
        <v/>
      </c>
      <c r="B389" s="299" t="str">
        <f>IF(A389="","",PRIX!B390*'QUANTITE DETENUES'!B390)</f>
        <v/>
      </c>
      <c r="C389" s="299" t="str">
        <f>IF(B389="","",PRIX!C390*'QUANTITE DETENUES'!C390)</f>
        <v/>
      </c>
      <c r="D389" s="299" t="str">
        <f>IF(C389="","",PRIX!D390*'QUANTITE DETENUES'!D390)</f>
        <v/>
      </c>
      <c r="E389" s="299" t="str">
        <f>IF(D389="","",PRIX!E390*'QUANTITE DETENUES'!E390)</f>
        <v/>
      </c>
      <c r="F389" s="299" t="str">
        <f>IF(E389="","",PRIX!F390*'QUANTITE DETENUES'!F390)</f>
        <v/>
      </c>
      <c r="G389" s="299" t="str">
        <f>IF(F389="","",PRIX!G390*'QUANTITE DETENUES'!G390)</f>
        <v/>
      </c>
      <c r="H389" s="299" t="str">
        <f>IF(G389="","",PRIX!H390*'QUANTITE DETENUES'!H390)</f>
        <v/>
      </c>
      <c r="I389" s="299" t="str">
        <f>IF(H389="","",PRIX!I390*'QUANTITE DETENUES'!I390)</f>
        <v/>
      </c>
      <c r="J389" s="299" t="str">
        <f>IF(I389="","",PRIX!J390*'QUANTITE DETENUES'!J390)</f>
        <v/>
      </c>
      <c r="K389" s="299" t="str">
        <f>IF(J389="","",PRIX!K390*'QUANTITE DETENUES'!K390)</f>
        <v/>
      </c>
      <c r="L389" s="299" t="str">
        <f>IF(K389="","",PRIX!L390*'QUANTITE DETENUES'!L390)</f>
        <v/>
      </c>
      <c r="M389" s="299" t="str">
        <f>IF(L389="","",PRIX!M390*'QUANTITE DETENUES'!M390)</f>
        <v/>
      </c>
      <c r="N389" s="299" t="str">
        <f>IF(M389="","",PRIX!N390*'QUANTITE DETENUES'!N390)</f>
        <v/>
      </c>
      <c r="O389" s="299" t="str">
        <f>IF(N389="","",PRIX!O390*'QUANTITE DETENUES'!O390)</f>
        <v/>
      </c>
      <c r="P389" s="299" t="str">
        <f>IF(O389="","",PRIX!P390*'QUANTITE DETENUES'!P390)</f>
        <v/>
      </c>
      <c r="Q389" s="299" t="str">
        <f>IF(P389="","",PRIX!Q390*'QUANTITE DETENUES'!Q390)</f>
        <v/>
      </c>
      <c r="R389" s="299" t="str">
        <f>IF(Q389="","",PRIX!R390*'QUANTITE DETENUES'!R390)</f>
        <v/>
      </c>
      <c r="S389" s="300" t="str">
        <f>IF(R389="","",PRIX!S390*'QUANTITE DETENUES'!S390)</f>
        <v/>
      </c>
      <c r="T389" s="14" t="str">
        <f>IF(A389="","",ARBITRAGES!M390)</f>
        <v/>
      </c>
      <c r="U389" s="301" t="str">
        <f t="shared" si="1"/>
        <v/>
      </c>
      <c r="V389" s="302" t="str">
        <f t="shared" si="2"/>
        <v/>
      </c>
      <c r="W389" s="288"/>
      <c r="X389" s="220"/>
      <c r="Y389" s="220"/>
      <c r="Z389" s="220"/>
      <c r="AA389" s="220"/>
      <c r="AB389" s="220"/>
      <c r="AC389" s="220"/>
      <c r="AD389" s="220"/>
      <c r="AE389" s="220"/>
      <c r="AF389" s="220"/>
      <c r="AG389" s="220"/>
      <c r="AH389" s="308"/>
      <c r="AI389" s="220"/>
      <c r="AJ389" s="220"/>
      <c r="AK389" s="220"/>
      <c r="AL389" s="220"/>
      <c r="AM389" s="220"/>
      <c r="AN389" s="220"/>
      <c r="AO389" s="220"/>
      <c r="AP389" s="220"/>
      <c r="AQ389" s="220"/>
      <c r="AR389" s="220"/>
      <c r="AS389" s="220"/>
      <c r="AT389" s="220"/>
      <c r="AU389" s="220"/>
      <c r="AV389" s="220"/>
      <c r="AW389" s="220"/>
      <c r="AX389" s="220"/>
      <c r="AY389" s="220"/>
      <c r="AZ389" s="220"/>
      <c r="BA389" s="220"/>
    </row>
    <row r="390">
      <c r="A390" s="290" t="str">
        <f>PRIX!A391</f>
        <v/>
      </c>
      <c r="B390" s="299" t="str">
        <f>IF(A390="","",PRIX!B391*'QUANTITE DETENUES'!B391)</f>
        <v/>
      </c>
      <c r="C390" s="299" t="str">
        <f>IF(B390="","",PRIX!C391*'QUANTITE DETENUES'!C391)</f>
        <v/>
      </c>
      <c r="D390" s="299" t="str">
        <f>IF(C390="","",PRIX!D391*'QUANTITE DETENUES'!D391)</f>
        <v/>
      </c>
      <c r="E390" s="299" t="str">
        <f>IF(D390="","",PRIX!E391*'QUANTITE DETENUES'!E391)</f>
        <v/>
      </c>
      <c r="F390" s="299" t="str">
        <f>IF(E390="","",PRIX!F391*'QUANTITE DETENUES'!F391)</f>
        <v/>
      </c>
      <c r="G390" s="299" t="str">
        <f>IF(F390="","",PRIX!G391*'QUANTITE DETENUES'!G391)</f>
        <v/>
      </c>
      <c r="H390" s="299" t="str">
        <f>IF(G390="","",PRIX!H391*'QUANTITE DETENUES'!H391)</f>
        <v/>
      </c>
      <c r="I390" s="299" t="str">
        <f>IF(H390="","",PRIX!I391*'QUANTITE DETENUES'!I391)</f>
        <v/>
      </c>
      <c r="J390" s="299" t="str">
        <f>IF(I390="","",PRIX!J391*'QUANTITE DETENUES'!J391)</f>
        <v/>
      </c>
      <c r="K390" s="299" t="str">
        <f>IF(J390="","",PRIX!K391*'QUANTITE DETENUES'!K391)</f>
        <v/>
      </c>
      <c r="L390" s="299" t="str">
        <f>IF(K390="","",PRIX!L391*'QUANTITE DETENUES'!L391)</f>
        <v/>
      </c>
      <c r="M390" s="299" t="str">
        <f>IF(L390="","",PRIX!M391*'QUANTITE DETENUES'!M391)</f>
        <v/>
      </c>
      <c r="N390" s="299" t="str">
        <f>IF(M390="","",PRIX!N391*'QUANTITE DETENUES'!N391)</f>
        <v/>
      </c>
      <c r="O390" s="299" t="str">
        <f>IF(N390="","",PRIX!O391*'QUANTITE DETENUES'!O391)</f>
        <v/>
      </c>
      <c r="P390" s="299" t="str">
        <f>IF(O390="","",PRIX!P391*'QUANTITE DETENUES'!P391)</f>
        <v/>
      </c>
      <c r="Q390" s="299" t="str">
        <f>IF(P390="","",PRIX!Q391*'QUANTITE DETENUES'!Q391)</f>
        <v/>
      </c>
      <c r="R390" s="299" t="str">
        <f>IF(Q390="","",PRIX!R391*'QUANTITE DETENUES'!R391)</f>
        <v/>
      </c>
      <c r="S390" s="300" t="str">
        <f>IF(R390="","",PRIX!S391*'QUANTITE DETENUES'!S391)</f>
        <v/>
      </c>
      <c r="T390" s="14" t="str">
        <f>IF(A390="","",ARBITRAGES!M391)</f>
        <v/>
      </c>
      <c r="U390" s="301" t="str">
        <f t="shared" si="1"/>
        <v/>
      </c>
      <c r="V390" s="302" t="str">
        <f t="shared" si="2"/>
        <v/>
      </c>
      <c r="W390" s="288"/>
      <c r="X390" s="220"/>
      <c r="Y390" s="220"/>
      <c r="Z390" s="220"/>
      <c r="AA390" s="220"/>
      <c r="AB390" s="220"/>
      <c r="AC390" s="220"/>
      <c r="AD390" s="220"/>
      <c r="AE390" s="220"/>
      <c r="AF390" s="220"/>
      <c r="AG390" s="220"/>
      <c r="AH390" s="308"/>
      <c r="AI390" s="220"/>
      <c r="AJ390" s="220"/>
      <c r="AK390" s="220"/>
      <c r="AL390" s="220"/>
      <c r="AM390" s="220"/>
      <c r="AN390" s="220"/>
      <c r="AO390" s="220"/>
      <c r="AP390" s="220"/>
      <c r="AQ390" s="220"/>
      <c r="AR390" s="220"/>
      <c r="AS390" s="220"/>
      <c r="AT390" s="220"/>
      <c r="AU390" s="220"/>
      <c r="AV390" s="220"/>
      <c r="AW390" s="220"/>
      <c r="AX390" s="220"/>
      <c r="AY390" s="220"/>
      <c r="AZ390" s="220"/>
      <c r="BA390" s="220"/>
    </row>
    <row r="391">
      <c r="A391" s="290" t="str">
        <f>PRIX!A392</f>
        <v/>
      </c>
      <c r="B391" s="299" t="str">
        <f>IF(A391="","",PRIX!B392*'QUANTITE DETENUES'!B392)</f>
        <v/>
      </c>
      <c r="C391" s="299" t="str">
        <f>IF(B391="","",PRIX!C392*'QUANTITE DETENUES'!C392)</f>
        <v/>
      </c>
      <c r="D391" s="299" t="str">
        <f>IF(C391="","",PRIX!D392*'QUANTITE DETENUES'!D392)</f>
        <v/>
      </c>
      <c r="E391" s="299" t="str">
        <f>IF(D391="","",PRIX!E392*'QUANTITE DETENUES'!E392)</f>
        <v/>
      </c>
      <c r="F391" s="299" t="str">
        <f>IF(E391="","",PRIX!F392*'QUANTITE DETENUES'!F392)</f>
        <v/>
      </c>
      <c r="G391" s="299" t="str">
        <f>IF(F391="","",PRIX!G392*'QUANTITE DETENUES'!G392)</f>
        <v/>
      </c>
      <c r="H391" s="299" t="str">
        <f>IF(G391="","",PRIX!H392*'QUANTITE DETENUES'!H392)</f>
        <v/>
      </c>
      <c r="I391" s="299" t="str">
        <f>IF(H391="","",PRIX!I392*'QUANTITE DETENUES'!I392)</f>
        <v/>
      </c>
      <c r="J391" s="299" t="str">
        <f>IF(I391="","",PRIX!J392*'QUANTITE DETENUES'!J392)</f>
        <v/>
      </c>
      <c r="K391" s="299" t="str">
        <f>IF(J391="","",PRIX!K392*'QUANTITE DETENUES'!K392)</f>
        <v/>
      </c>
      <c r="L391" s="299" t="str">
        <f>IF(K391="","",PRIX!L392*'QUANTITE DETENUES'!L392)</f>
        <v/>
      </c>
      <c r="M391" s="299" t="str">
        <f>IF(L391="","",PRIX!M392*'QUANTITE DETENUES'!M392)</f>
        <v/>
      </c>
      <c r="N391" s="299" t="str">
        <f>IF(M391="","",PRIX!N392*'QUANTITE DETENUES'!N392)</f>
        <v/>
      </c>
      <c r="O391" s="299" t="str">
        <f>IF(N391="","",PRIX!O392*'QUANTITE DETENUES'!O392)</f>
        <v/>
      </c>
      <c r="P391" s="299" t="str">
        <f>IF(O391="","",PRIX!P392*'QUANTITE DETENUES'!P392)</f>
        <v/>
      </c>
      <c r="Q391" s="299" t="str">
        <f>IF(P391="","",PRIX!Q392*'QUANTITE DETENUES'!Q392)</f>
        <v/>
      </c>
      <c r="R391" s="299" t="str">
        <f>IF(Q391="","",PRIX!R392*'QUANTITE DETENUES'!R392)</f>
        <v/>
      </c>
      <c r="S391" s="300" t="str">
        <f>IF(R391="","",PRIX!S392*'QUANTITE DETENUES'!S392)</f>
        <v/>
      </c>
      <c r="T391" s="14" t="str">
        <f>IF(A391="","",ARBITRAGES!M392)</f>
        <v/>
      </c>
      <c r="U391" s="301" t="str">
        <f t="shared" si="1"/>
        <v/>
      </c>
      <c r="V391" s="302" t="str">
        <f t="shared" si="2"/>
        <v/>
      </c>
      <c r="W391" s="288"/>
      <c r="X391" s="220"/>
      <c r="Y391" s="220"/>
      <c r="Z391" s="220"/>
      <c r="AA391" s="220"/>
      <c r="AB391" s="220"/>
      <c r="AC391" s="220"/>
      <c r="AD391" s="220"/>
      <c r="AE391" s="220"/>
      <c r="AF391" s="220"/>
      <c r="AG391" s="220"/>
      <c r="AH391" s="308"/>
      <c r="AI391" s="220"/>
      <c r="AJ391" s="220"/>
      <c r="AK391" s="220"/>
      <c r="AL391" s="220"/>
      <c r="AM391" s="220"/>
      <c r="AN391" s="220"/>
      <c r="AO391" s="220"/>
      <c r="AP391" s="220"/>
      <c r="AQ391" s="220"/>
      <c r="AR391" s="220"/>
      <c r="AS391" s="220"/>
      <c r="AT391" s="220"/>
      <c r="AU391" s="220"/>
      <c r="AV391" s="220"/>
      <c r="AW391" s="220"/>
      <c r="AX391" s="220"/>
      <c r="AY391" s="220"/>
      <c r="AZ391" s="220"/>
      <c r="BA391" s="220"/>
    </row>
    <row r="392">
      <c r="A392" s="290" t="str">
        <f>PRIX!A393</f>
        <v/>
      </c>
      <c r="B392" s="299" t="str">
        <f>IF(A392="","",PRIX!B393*'QUANTITE DETENUES'!B393)</f>
        <v/>
      </c>
      <c r="C392" s="299" t="str">
        <f>IF(B392="","",PRIX!C393*'QUANTITE DETENUES'!C393)</f>
        <v/>
      </c>
      <c r="D392" s="299" t="str">
        <f>IF(C392="","",PRIX!D393*'QUANTITE DETENUES'!D393)</f>
        <v/>
      </c>
      <c r="E392" s="299" t="str">
        <f>IF(D392="","",PRIX!E393*'QUANTITE DETENUES'!E393)</f>
        <v/>
      </c>
      <c r="F392" s="299" t="str">
        <f>IF(E392="","",PRIX!F393*'QUANTITE DETENUES'!F393)</f>
        <v/>
      </c>
      <c r="G392" s="299" t="str">
        <f>IF(F392="","",PRIX!G393*'QUANTITE DETENUES'!G393)</f>
        <v/>
      </c>
      <c r="H392" s="299" t="str">
        <f>IF(G392="","",PRIX!H393*'QUANTITE DETENUES'!H393)</f>
        <v/>
      </c>
      <c r="I392" s="299" t="str">
        <f>IF(H392="","",PRIX!I393*'QUANTITE DETENUES'!I393)</f>
        <v/>
      </c>
      <c r="J392" s="299" t="str">
        <f>IF(I392="","",PRIX!J393*'QUANTITE DETENUES'!J393)</f>
        <v/>
      </c>
      <c r="K392" s="299" t="str">
        <f>IF(J392="","",PRIX!K393*'QUANTITE DETENUES'!K393)</f>
        <v/>
      </c>
      <c r="L392" s="299" t="str">
        <f>IF(K392="","",PRIX!L393*'QUANTITE DETENUES'!L393)</f>
        <v/>
      </c>
      <c r="M392" s="299" t="str">
        <f>IF(L392="","",PRIX!M393*'QUANTITE DETENUES'!M393)</f>
        <v/>
      </c>
      <c r="N392" s="299" t="str">
        <f>IF(M392="","",PRIX!N393*'QUANTITE DETENUES'!N393)</f>
        <v/>
      </c>
      <c r="O392" s="299" t="str">
        <f>IF(N392="","",PRIX!O393*'QUANTITE DETENUES'!O393)</f>
        <v/>
      </c>
      <c r="P392" s="299" t="str">
        <f>IF(O392="","",PRIX!P393*'QUANTITE DETENUES'!P393)</f>
        <v/>
      </c>
      <c r="Q392" s="299" t="str">
        <f>IF(P392="","",PRIX!Q393*'QUANTITE DETENUES'!Q393)</f>
        <v/>
      </c>
      <c r="R392" s="299" t="str">
        <f>IF(Q392="","",PRIX!R393*'QUANTITE DETENUES'!R393)</f>
        <v/>
      </c>
      <c r="S392" s="300" t="str">
        <f>IF(R392="","",PRIX!S393*'QUANTITE DETENUES'!S393)</f>
        <v/>
      </c>
      <c r="T392" s="14" t="str">
        <f>IF(A392="","",ARBITRAGES!M393)</f>
        <v/>
      </c>
      <c r="U392" s="301" t="str">
        <f t="shared" si="1"/>
        <v/>
      </c>
      <c r="V392" s="302" t="str">
        <f t="shared" si="2"/>
        <v/>
      </c>
      <c r="W392" s="288"/>
      <c r="X392" s="220"/>
      <c r="Y392" s="220"/>
      <c r="Z392" s="220"/>
      <c r="AA392" s="220"/>
      <c r="AB392" s="220"/>
      <c r="AC392" s="220"/>
      <c r="AD392" s="220"/>
      <c r="AE392" s="220"/>
      <c r="AF392" s="220"/>
      <c r="AG392" s="220"/>
      <c r="AH392" s="308"/>
      <c r="AI392" s="220"/>
      <c r="AJ392" s="220"/>
      <c r="AK392" s="220"/>
      <c r="AL392" s="220"/>
      <c r="AM392" s="220"/>
      <c r="AN392" s="220"/>
      <c r="AO392" s="220"/>
      <c r="AP392" s="220"/>
      <c r="AQ392" s="220"/>
      <c r="AR392" s="220"/>
      <c r="AS392" s="220"/>
      <c r="AT392" s="220"/>
      <c r="AU392" s="220"/>
      <c r="AV392" s="220"/>
      <c r="AW392" s="220"/>
      <c r="AX392" s="220"/>
      <c r="AY392" s="220"/>
      <c r="AZ392" s="220"/>
      <c r="BA392" s="220"/>
    </row>
    <row r="393">
      <c r="A393" s="290" t="str">
        <f>PRIX!A394</f>
        <v/>
      </c>
      <c r="B393" s="299" t="str">
        <f>IF(A393="","",PRIX!B394*'QUANTITE DETENUES'!B394)</f>
        <v/>
      </c>
      <c r="C393" s="299" t="str">
        <f>IF(B393="","",PRIX!C394*'QUANTITE DETENUES'!C394)</f>
        <v/>
      </c>
      <c r="D393" s="299" t="str">
        <f>IF(C393="","",PRIX!D394*'QUANTITE DETENUES'!D394)</f>
        <v/>
      </c>
      <c r="E393" s="299" t="str">
        <f>IF(D393="","",PRIX!E394*'QUANTITE DETENUES'!E394)</f>
        <v/>
      </c>
      <c r="F393" s="299" t="str">
        <f>IF(E393="","",PRIX!F394*'QUANTITE DETENUES'!F394)</f>
        <v/>
      </c>
      <c r="G393" s="299" t="str">
        <f>IF(F393="","",PRIX!G394*'QUANTITE DETENUES'!G394)</f>
        <v/>
      </c>
      <c r="H393" s="299" t="str">
        <f>IF(G393="","",PRIX!H394*'QUANTITE DETENUES'!H394)</f>
        <v/>
      </c>
      <c r="I393" s="299" t="str">
        <f>IF(H393="","",PRIX!I394*'QUANTITE DETENUES'!I394)</f>
        <v/>
      </c>
      <c r="J393" s="299" t="str">
        <f>IF(I393="","",PRIX!J394*'QUANTITE DETENUES'!J394)</f>
        <v/>
      </c>
      <c r="K393" s="299" t="str">
        <f>IF(J393="","",PRIX!K394*'QUANTITE DETENUES'!K394)</f>
        <v/>
      </c>
      <c r="L393" s="299" t="str">
        <f>IF(K393="","",PRIX!L394*'QUANTITE DETENUES'!L394)</f>
        <v/>
      </c>
      <c r="M393" s="299" t="str">
        <f>IF(L393="","",PRIX!M394*'QUANTITE DETENUES'!M394)</f>
        <v/>
      </c>
      <c r="N393" s="299" t="str">
        <f>IF(M393="","",PRIX!N394*'QUANTITE DETENUES'!N394)</f>
        <v/>
      </c>
      <c r="O393" s="299" t="str">
        <f>IF(N393="","",PRIX!O394*'QUANTITE DETENUES'!O394)</f>
        <v/>
      </c>
      <c r="P393" s="299" t="str">
        <f>IF(O393="","",PRIX!P394*'QUANTITE DETENUES'!P394)</f>
        <v/>
      </c>
      <c r="Q393" s="299" t="str">
        <f>IF(P393="","",PRIX!Q394*'QUANTITE DETENUES'!Q394)</f>
        <v/>
      </c>
      <c r="R393" s="299" t="str">
        <f>IF(Q393="","",PRIX!R394*'QUANTITE DETENUES'!R394)</f>
        <v/>
      </c>
      <c r="S393" s="300" t="str">
        <f>IF(R393="","",PRIX!S394*'QUANTITE DETENUES'!S394)</f>
        <v/>
      </c>
      <c r="T393" s="14" t="str">
        <f>IF(A393="","",ARBITRAGES!M394)</f>
        <v/>
      </c>
      <c r="U393" s="301" t="str">
        <f t="shared" si="1"/>
        <v/>
      </c>
      <c r="V393" s="302" t="str">
        <f t="shared" si="2"/>
        <v/>
      </c>
      <c r="W393" s="288"/>
      <c r="X393" s="220"/>
      <c r="Y393" s="220"/>
      <c r="Z393" s="220"/>
      <c r="AA393" s="220"/>
      <c r="AB393" s="220"/>
      <c r="AC393" s="220"/>
      <c r="AD393" s="220"/>
      <c r="AE393" s="220"/>
      <c r="AF393" s="220"/>
      <c r="AG393" s="220"/>
      <c r="AH393" s="308"/>
      <c r="AI393" s="220"/>
      <c r="AJ393" s="220"/>
      <c r="AK393" s="220"/>
      <c r="AL393" s="220"/>
      <c r="AM393" s="220"/>
      <c r="AN393" s="220"/>
      <c r="AO393" s="220"/>
      <c r="AP393" s="220"/>
      <c r="AQ393" s="220"/>
      <c r="AR393" s="220"/>
      <c r="AS393" s="220"/>
      <c r="AT393" s="220"/>
      <c r="AU393" s="220"/>
      <c r="AV393" s="220"/>
      <c r="AW393" s="220"/>
      <c r="AX393" s="220"/>
      <c r="AY393" s="220"/>
      <c r="AZ393" s="220"/>
      <c r="BA393" s="220"/>
    </row>
    <row r="394">
      <c r="A394" s="290" t="str">
        <f>PRIX!A395</f>
        <v/>
      </c>
      <c r="B394" s="299" t="str">
        <f>IF(A394="","",PRIX!B395*'QUANTITE DETENUES'!B395)</f>
        <v/>
      </c>
      <c r="C394" s="299" t="str">
        <f>IF(B394="","",PRIX!C395*'QUANTITE DETENUES'!C395)</f>
        <v/>
      </c>
      <c r="D394" s="299" t="str">
        <f>IF(C394="","",PRIX!D395*'QUANTITE DETENUES'!D395)</f>
        <v/>
      </c>
      <c r="E394" s="299" t="str">
        <f>IF(D394="","",PRIX!E395*'QUANTITE DETENUES'!E395)</f>
        <v/>
      </c>
      <c r="F394" s="299" t="str">
        <f>IF(E394="","",PRIX!F395*'QUANTITE DETENUES'!F395)</f>
        <v/>
      </c>
      <c r="G394" s="299" t="str">
        <f>IF(F394="","",PRIX!G395*'QUANTITE DETENUES'!G395)</f>
        <v/>
      </c>
      <c r="H394" s="299" t="str">
        <f>IF(G394="","",PRIX!H395*'QUANTITE DETENUES'!H395)</f>
        <v/>
      </c>
      <c r="I394" s="299" t="str">
        <f>IF(H394="","",PRIX!I395*'QUANTITE DETENUES'!I395)</f>
        <v/>
      </c>
      <c r="J394" s="299" t="str">
        <f>IF(I394="","",PRIX!J395*'QUANTITE DETENUES'!J395)</f>
        <v/>
      </c>
      <c r="K394" s="299" t="str">
        <f>IF(J394="","",PRIX!K395*'QUANTITE DETENUES'!K395)</f>
        <v/>
      </c>
      <c r="L394" s="299" t="str">
        <f>IF(K394="","",PRIX!L395*'QUANTITE DETENUES'!L395)</f>
        <v/>
      </c>
      <c r="M394" s="299" t="str">
        <f>IF(L394="","",PRIX!M395*'QUANTITE DETENUES'!M395)</f>
        <v/>
      </c>
      <c r="N394" s="299" t="str">
        <f>IF(M394="","",PRIX!N395*'QUANTITE DETENUES'!N395)</f>
        <v/>
      </c>
      <c r="O394" s="299" t="str">
        <f>IF(N394="","",PRIX!O395*'QUANTITE DETENUES'!O395)</f>
        <v/>
      </c>
      <c r="P394" s="299" t="str">
        <f>IF(O394="","",PRIX!P395*'QUANTITE DETENUES'!P395)</f>
        <v/>
      </c>
      <c r="Q394" s="299" t="str">
        <f>IF(P394="","",PRIX!Q395*'QUANTITE DETENUES'!Q395)</f>
        <v/>
      </c>
      <c r="R394" s="299" t="str">
        <f>IF(Q394="","",PRIX!R395*'QUANTITE DETENUES'!R395)</f>
        <v/>
      </c>
      <c r="S394" s="300" t="str">
        <f>IF(R394="","",PRIX!S395*'QUANTITE DETENUES'!S395)</f>
        <v/>
      </c>
      <c r="T394" s="14" t="str">
        <f>IF(A394="","",ARBITRAGES!M395)</f>
        <v/>
      </c>
      <c r="U394" s="301" t="str">
        <f t="shared" si="1"/>
        <v/>
      </c>
      <c r="V394" s="302" t="str">
        <f t="shared" si="2"/>
        <v/>
      </c>
      <c r="W394" s="288"/>
      <c r="X394" s="220"/>
      <c r="Y394" s="220"/>
      <c r="Z394" s="220"/>
      <c r="AA394" s="220"/>
      <c r="AB394" s="220"/>
      <c r="AC394" s="220"/>
      <c r="AD394" s="220"/>
      <c r="AE394" s="220"/>
      <c r="AF394" s="220"/>
      <c r="AG394" s="220"/>
      <c r="AH394" s="308"/>
      <c r="AI394" s="220"/>
      <c r="AJ394" s="220"/>
      <c r="AK394" s="220"/>
      <c r="AL394" s="220"/>
      <c r="AM394" s="220"/>
      <c r="AN394" s="220"/>
      <c r="AO394" s="220"/>
      <c r="AP394" s="220"/>
      <c r="AQ394" s="220"/>
      <c r="AR394" s="220"/>
      <c r="AS394" s="220"/>
      <c r="AT394" s="220"/>
      <c r="AU394" s="220"/>
      <c r="AV394" s="220"/>
      <c r="AW394" s="220"/>
      <c r="AX394" s="220"/>
      <c r="AY394" s="220"/>
      <c r="AZ394" s="220"/>
      <c r="BA394" s="220"/>
    </row>
    <row r="395">
      <c r="A395" s="290" t="str">
        <f>PRIX!A396</f>
        <v/>
      </c>
      <c r="B395" s="299" t="str">
        <f>IF(A395="","",PRIX!B396*'QUANTITE DETENUES'!B396)</f>
        <v/>
      </c>
      <c r="C395" s="299" t="str">
        <f>IF(B395="","",PRIX!C396*'QUANTITE DETENUES'!C396)</f>
        <v/>
      </c>
      <c r="D395" s="299" t="str">
        <f>IF(C395="","",PRIX!D396*'QUANTITE DETENUES'!D396)</f>
        <v/>
      </c>
      <c r="E395" s="299" t="str">
        <f>IF(D395="","",PRIX!E396*'QUANTITE DETENUES'!E396)</f>
        <v/>
      </c>
      <c r="F395" s="299" t="str">
        <f>IF(E395="","",PRIX!F396*'QUANTITE DETENUES'!F396)</f>
        <v/>
      </c>
      <c r="G395" s="299" t="str">
        <f>IF(F395="","",PRIX!G396*'QUANTITE DETENUES'!G396)</f>
        <v/>
      </c>
      <c r="H395" s="299" t="str">
        <f>IF(G395="","",PRIX!H396*'QUANTITE DETENUES'!H396)</f>
        <v/>
      </c>
      <c r="I395" s="299" t="str">
        <f>IF(H395="","",PRIX!I396*'QUANTITE DETENUES'!I396)</f>
        <v/>
      </c>
      <c r="J395" s="299" t="str">
        <f>IF(I395="","",PRIX!J396*'QUANTITE DETENUES'!J396)</f>
        <v/>
      </c>
      <c r="K395" s="299" t="str">
        <f>IF(J395="","",PRIX!K396*'QUANTITE DETENUES'!K396)</f>
        <v/>
      </c>
      <c r="L395" s="299" t="str">
        <f>IF(K395="","",PRIX!L396*'QUANTITE DETENUES'!L396)</f>
        <v/>
      </c>
      <c r="M395" s="299" t="str">
        <f>IF(L395="","",PRIX!M396*'QUANTITE DETENUES'!M396)</f>
        <v/>
      </c>
      <c r="N395" s="299" t="str">
        <f>IF(M395="","",PRIX!N396*'QUANTITE DETENUES'!N396)</f>
        <v/>
      </c>
      <c r="O395" s="299" t="str">
        <f>IF(N395="","",PRIX!O396*'QUANTITE DETENUES'!O396)</f>
        <v/>
      </c>
      <c r="P395" s="299" t="str">
        <f>IF(O395="","",PRIX!P396*'QUANTITE DETENUES'!P396)</f>
        <v/>
      </c>
      <c r="Q395" s="299" t="str">
        <f>IF(P395="","",PRIX!Q396*'QUANTITE DETENUES'!Q396)</f>
        <v/>
      </c>
      <c r="R395" s="299" t="str">
        <f>IF(Q395="","",PRIX!R396*'QUANTITE DETENUES'!R396)</f>
        <v/>
      </c>
      <c r="S395" s="300" t="str">
        <f>IF(R395="","",PRIX!S396*'QUANTITE DETENUES'!S396)</f>
        <v/>
      </c>
      <c r="T395" s="14" t="str">
        <f>IF(A395="","",ARBITRAGES!M396)</f>
        <v/>
      </c>
      <c r="U395" s="301" t="str">
        <f t="shared" si="1"/>
        <v/>
      </c>
      <c r="V395" s="302" t="str">
        <f t="shared" si="2"/>
        <v/>
      </c>
      <c r="W395" s="288"/>
      <c r="X395" s="220"/>
      <c r="Y395" s="220"/>
      <c r="Z395" s="220"/>
      <c r="AA395" s="220"/>
      <c r="AB395" s="220"/>
      <c r="AC395" s="220"/>
      <c r="AD395" s="220"/>
      <c r="AE395" s="220"/>
      <c r="AF395" s="220"/>
      <c r="AG395" s="220"/>
      <c r="AH395" s="308"/>
      <c r="AI395" s="220"/>
      <c r="AJ395" s="220"/>
      <c r="AK395" s="220"/>
      <c r="AL395" s="220"/>
      <c r="AM395" s="220"/>
      <c r="AN395" s="220"/>
      <c r="AO395" s="220"/>
      <c r="AP395" s="220"/>
      <c r="AQ395" s="220"/>
      <c r="AR395" s="220"/>
      <c r="AS395" s="220"/>
      <c r="AT395" s="220"/>
      <c r="AU395" s="220"/>
      <c r="AV395" s="220"/>
      <c r="AW395" s="220"/>
      <c r="AX395" s="220"/>
      <c r="AY395" s="220"/>
      <c r="AZ395" s="220"/>
      <c r="BA395" s="220"/>
    </row>
    <row r="396">
      <c r="A396" s="290" t="str">
        <f>PRIX!A397</f>
        <v/>
      </c>
      <c r="B396" s="299" t="str">
        <f>IF(A396="","",PRIX!B397*'QUANTITE DETENUES'!B397)</f>
        <v/>
      </c>
      <c r="C396" s="299" t="str">
        <f>IF(B396="","",PRIX!C397*'QUANTITE DETENUES'!C397)</f>
        <v/>
      </c>
      <c r="D396" s="299" t="str">
        <f>IF(C396="","",PRIX!D397*'QUANTITE DETENUES'!D397)</f>
        <v/>
      </c>
      <c r="E396" s="299" t="str">
        <f>IF(D396="","",PRIX!E397*'QUANTITE DETENUES'!E397)</f>
        <v/>
      </c>
      <c r="F396" s="299" t="str">
        <f>IF(E396="","",PRIX!F397*'QUANTITE DETENUES'!F397)</f>
        <v/>
      </c>
      <c r="G396" s="299" t="str">
        <f>IF(F396="","",PRIX!G397*'QUANTITE DETENUES'!G397)</f>
        <v/>
      </c>
      <c r="H396" s="299" t="str">
        <f>IF(G396="","",PRIX!H397*'QUANTITE DETENUES'!H397)</f>
        <v/>
      </c>
      <c r="I396" s="299" t="str">
        <f>IF(H396="","",PRIX!I397*'QUANTITE DETENUES'!I397)</f>
        <v/>
      </c>
      <c r="J396" s="299" t="str">
        <f>IF(I396="","",PRIX!J397*'QUANTITE DETENUES'!J397)</f>
        <v/>
      </c>
      <c r="K396" s="299" t="str">
        <f>IF(J396="","",PRIX!K397*'QUANTITE DETENUES'!K397)</f>
        <v/>
      </c>
      <c r="L396" s="299" t="str">
        <f>IF(K396="","",PRIX!L397*'QUANTITE DETENUES'!L397)</f>
        <v/>
      </c>
      <c r="M396" s="299" t="str">
        <f>IF(L396="","",PRIX!M397*'QUANTITE DETENUES'!M397)</f>
        <v/>
      </c>
      <c r="N396" s="299" t="str">
        <f>IF(M396="","",PRIX!N397*'QUANTITE DETENUES'!N397)</f>
        <v/>
      </c>
      <c r="O396" s="299" t="str">
        <f>IF(N396="","",PRIX!O397*'QUANTITE DETENUES'!O397)</f>
        <v/>
      </c>
      <c r="P396" s="299" t="str">
        <f>IF(O396="","",PRIX!P397*'QUANTITE DETENUES'!P397)</f>
        <v/>
      </c>
      <c r="Q396" s="299" t="str">
        <f>IF(P396="","",PRIX!Q397*'QUANTITE DETENUES'!Q397)</f>
        <v/>
      </c>
      <c r="R396" s="299" t="str">
        <f>IF(Q396="","",PRIX!R397*'QUANTITE DETENUES'!R397)</f>
        <v/>
      </c>
      <c r="S396" s="300" t="str">
        <f>IF(R396="","",PRIX!S397*'QUANTITE DETENUES'!S397)</f>
        <v/>
      </c>
      <c r="T396" s="14" t="str">
        <f>IF(A396="","",ARBITRAGES!M397)</f>
        <v/>
      </c>
      <c r="U396" s="301" t="str">
        <f t="shared" si="1"/>
        <v/>
      </c>
      <c r="V396" s="302" t="str">
        <f t="shared" si="2"/>
        <v/>
      </c>
      <c r="W396" s="288"/>
      <c r="X396" s="220"/>
      <c r="Y396" s="220"/>
      <c r="Z396" s="220"/>
      <c r="AA396" s="220"/>
      <c r="AB396" s="220"/>
      <c r="AC396" s="220"/>
      <c r="AD396" s="220"/>
      <c r="AE396" s="220"/>
      <c r="AF396" s="220"/>
      <c r="AG396" s="220"/>
      <c r="AH396" s="308"/>
      <c r="AI396" s="220"/>
      <c r="AJ396" s="220"/>
      <c r="AK396" s="220"/>
      <c r="AL396" s="220"/>
      <c r="AM396" s="220"/>
      <c r="AN396" s="220"/>
      <c r="AO396" s="220"/>
      <c r="AP396" s="220"/>
      <c r="AQ396" s="220"/>
      <c r="AR396" s="220"/>
      <c r="AS396" s="220"/>
      <c r="AT396" s="220"/>
      <c r="AU396" s="220"/>
      <c r="AV396" s="220"/>
      <c r="AW396" s="220"/>
      <c r="AX396" s="220"/>
      <c r="AY396" s="220"/>
      <c r="AZ396" s="220"/>
      <c r="BA396" s="220"/>
    </row>
    <row r="397">
      <c r="A397" s="290" t="str">
        <f>PRIX!A398</f>
        <v/>
      </c>
      <c r="B397" s="299" t="str">
        <f>IF(A397="","",PRIX!B398*'QUANTITE DETENUES'!B398)</f>
        <v/>
      </c>
      <c r="C397" s="299" t="str">
        <f>IF(B397="","",PRIX!C398*'QUANTITE DETENUES'!C398)</f>
        <v/>
      </c>
      <c r="D397" s="299" t="str">
        <f>IF(C397="","",PRIX!D398*'QUANTITE DETENUES'!D398)</f>
        <v/>
      </c>
      <c r="E397" s="299" t="str">
        <f>IF(D397="","",PRIX!E398*'QUANTITE DETENUES'!E398)</f>
        <v/>
      </c>
      <c r="F397" s="299" t="str">
        <f>IF(E397="","",PRIX!F398*'QUANTITE DETENUES'!F398)</f>
        <v/>
      </c>
      <c r="G397" s="299" t="str">
        <f>IF(F397="","",PRIX!G398*'QUANTITE DETENUES'!G398)</f>
        <v/>
      </c>
      <c r="H397" s="299" t="str">
        <f>IF(G397="","",PRIX!H398*'QUANTITE DETENUES'!H398)</f>
        <v/>
      </c>
      <c r="I397" s="299" t="str">
        <f>IF(H397="","",PRIX!I398*'QUANTITE DETENUES'!I398)</f>
        <v/>
      </c>
      <c r="J397" s="299" t="str">
        <f>IF(I397="","",PRIX!J398*'QUANTITE DETENUES'!J398)</f>
        <v/>
      </c>
      <c r="K397" s="299" t="str">
        <f>IF(J397="","",PRIX!K398*'QUANTITE DETENUES'!K398)</f>
        <v/>
      </c>
      <c r="L397" s="299" t="str">
        <f>IF(K397="","",PRIX!L398*'QUANTITE DETENUES'!L398)</f>
        <v/>
      </c>
      <c r="M397" s="299" t="str">
        <f>IF(L397="","",PRIX!M398*'QUANTITE DETENUES'!M398)</f>
        <v/>
      </c>
      <c r="N397" s="299" t="str">
        <f>IF(M397="","",PRIX!N398*'QUANTITE DETENUES'!N398)</f>
        <v/>
      </c>
      <c r="O397" s="299" t="str">
        <f>IF(N397="","",PRIX!O398*'QUANTITE DETENUES'!O398)</f>
        <v/>
      </c>
      <c r="P397" s="299" t="str">
        <f>IF(O397="","",PRIX!P398*'QUANTITE DETENUES'!P398)</f>
        <v/>
      </c>
      <c r="Q397" s="299" t="str">
        <f>IF(P397="","",PRIX!Q398*'QUANTITE DETENUES'!Q398)</f>
        <v/>
      </c>
      <c r="R397" s="299" t="str">
        <f>IF(Q397="","",PRIX!R398*'QUANTITE DETENUES'!R398)</f>
        <v/>
      </c>
      <c r="S397" s="300" t="str">
        <f>IF(R397="","",PRIX!S398*'QUANTITE DETENUES'!S398)</f>
        <v/>
      </c>
      <c r="T397" s="14" t="str">
        <f>IF(A397="","",ARBITRAGES!M398)</f>
        <v/>
      </c>
      <c r="U397" s="301" t="str">
        <f t="shared" si="1"/>
        <v/>
      </c>
      <c r="V397" s="302" t="str">
        <f t="shared" si="2"/>
        <v/>
      </c>
      <c r="W397" s="288"/>
      <c r="X397" s="220"/>
      <c r="Y397" s="220"/>
      <c r="Z397" s="220"/>
      <c r="AA397" s="220"/>
      <c r="AB397" s="220"/>
      <c r="AC397" s="220"/>
      <c r="AD397" s="220"/>
      <c r="AE397" s="220"/>
      <c r="AF397" s="220"/>
      <c r="AG397" s="220"/>
      <c r="AH397" s="308"/>
      <c r="AI397" s="220"/>
      <c r="AJ397" s="220"/>
      <c r="AK397" s="220"/>
      <c r="AL397" s="220"/>
      <c r="AM397" s="220"/>
      <c r="AN397" s="220"/>
      <c r="AO397" s="220"/>
      <c r="AP397" s="220"/>
      <c r="AQ397" s="220"/>
      <c r="AR397" s="220"/>
      <c r="AS397" s="220"/>
      <c r="AT397" s="220"/>
      <c r="AU397" s="220"/>
      <c r="AV397" s="220"/>
      <c r="AW397" s="220"/>
      <c r="AX397" s="220"/>
      <c r="AY397" s="220"/>
      <c r="AZ397" s="220"/>
      <c r="BA397" s="220"/>
    </row>
    <row r="398">
      <c r="A398" s="290" t="str">
        <f>PRIX!A399</f>
        <v/>
      </c>
      <c r="B398" s="299" t="str">
        <f>IF(A398="","",PRIX!B399*'QUANTITE DETENUES'!B399)</f>
        <v/>
      </c>
      <c r="C398" s="299" t="str">
        <f>IF(B398="","",PRIX!C399*'QUANTITE DETENUES'!C399)</f>
        <v/>
      </c>
      <c r="D398" s="299" t="str">
        <f>IF(C398="","",PRIX!D399*'QUANTITE DETENUES'!D399)</f>
        <v/>
      </c>
      <c r="E398" s="299" t="str">
        <f>IF(D398="","",PRIX!E399*'QUANTITE DETENUES'!E399)</f>
        <v/>
      </c>
      <c r="F398" s="299" t="str">
        <f>IF(E398="","",PRIX!F399*'QUANTITE DETENUES'!F399)</f>
        <v/>
      </c>
      <c r="G398" s="299" t="str">
        <f>IF(F398="","",PRIX!G399*'QUANTITE DETENUES'!G399)</f>
        <v/>
      </c>
      <c r="H398" s="299" t="str">
        <f>IF(G398="","",PRIX!H399*'QUANTITE DETENUES'!H399)</f>
        <v/>
      </c>
      <c r="I398" s="299" t="str">
        <f>IF(H398="","",PRIX!I399*'QUANTITE DETENUES'!I399)</f>
        <v/>
      </c>
      <c r="J398" s="299" t="str">
        <f>IF(I398="","",PRIX!J399*'QUANTITE DETENUES'!J399)</f>
        <v/>
      </c>
      <c r="K398" s="299" t="str">
        <f>IF(J398="","",PRIX!K399*'QUANTITE DETENUES'!K399)</f>
        <v/>
      </c>
      <c r="L398" s="299" t="str">
        <f>IF(K398="","",PRIX!L399*'QUANTITE DETENUES'!L399)</f>
        <v/>
      </c>
      <c r="M398" s="299" t="str">
        <f>IF(L398="","",PRIX!M399*'QUANTITE DETENUES'!M399)</f>
        <v/>
      </c>
      <c r="N398" s="299" t="str">
        <f>IF(M398="","",PRIX!N399*'QUANTITE DETENUES'!N399)</f>
        <v/>
      </c>
      <c r="O398" s="299" t="str">
        <f>IF(N398="","",PRIX!O399*'QUANTITE DETENUES'!O399)</f>
        <v/>
      </c>
      <c r="P398" s="299" t="str">
        <f>IF(O398="","",PRIX!P399*'QUANTITE DETENUES'!P399)</f>
        <v/>
      </c>
      <c r="Q398" s="299" t="str">
        <f>IF(P398="","",PRIX!Q399*'QUANTITE DETENUES'!Q399)</f>
        <v/>
      </c>
      <c r="R398" s="299" t="str">
        <f>IF(Q398="","",PRIX!R399*'QUANTITE DETENUES'!R399)</f>
        <v/>
      </c>
      <c r="S398" s="300" t="str">
        <f>IF(R398="","",PRIX!S399*'QUANTITE DETENUES'!S399)</f>
        <v/>
      </c>
      <c r="T398" s="14" t="str">
        <f>IF(A398="","",ARBITRAGES!M399)</f>
        <v/>
      </c>
      <c r="U398" s="301" t="str">
        <f t="shared" si="1"/>
        <v/>
      </c>
      <c r="V398" s="302" t="str">
        <f t="shared" si="2"/>
        <v/>
      </c>
      <c r="W398" s="288"/>
      <c r="X398" s="220"/>
      <c r="Y398" s="220"/>
      <c r="Z398" s="220"/>
      <c r="AA398" s="220"/>
      <c r="AB398" s="220"/>
      <c r="AC398" s="220"/>
      <c r="AD398" s="220"/>
      <c r="AE398" s="220"/>
      <c r="AF398" s="220"/>
      <c r="AG398" s="220"/>
      <c r="AH398" s="308"/>
      <c r="AI398" s="220"/>
      <c r="AJ398" s="220"/>
      <c r="AK398" s="220"/>
      <c r="AL398" s="220"/>
      <c r="AM398" s="220"/>
      <c r="AN398" s="220"/>
      <c r="AO398" s="220"/>
      <c r="AP398" s="220"/>
      <c r="AQ398" s="220"/>
      <c r="AR398" s="220"/>
      <c r="AS398" s="220"/>
      <c r="AT398" s="220"/>
      <c r="AU398" s="220"/>
      <c r="AV398" s="220"/>
      <c r="AW398" s="220"/>
      <c r="AX398" s="220"/>
      <c r="AY398" s="220"/>
      <c r="AZ398" s="220"/>
      <c r="BA398" s="220"/>
    </row>
    <row r="399">
      <c r="A399" s="290" t="str">
        <f>PRIX!A400</f>
        <v/>
      </c>
      <c r="B399" s="299" t="str">
        <f>IF(A399="","",PRIX!B400*'QUANTITE DETENUES'!B400)</f>
        <v/>
      </c>
      <c r="C399" s="299" t="str">
        <f>IF(B399="","",PRIX!C400*'QUANTITE DETENUES'!C400)</f>
        <v/>
      </c>
      <c r="D399" s="299" t="str">
        <f>IF(C399="","",PRIX!D400*'QUANTITE DETENUES'!D400)</f>
        <v/>
      </c>
      <c r="E399" s="299" t="str">
        <f>IF(D399="","",PRIX!E400*'QUANTITE DETENUES'!E400)</f>
        <v/>
      </c>
      <c r="F399" s="299" t="str">
        <f>IF(E399="","",PRIX!F400*'QUANTITE DETENUES'!F400)</f>
        <v/>
      </c>
      <c r="G399" s="299" t="str">
        <f>IF(F399="","",PRIX!G400*'QUANTITE DETENUES'!G400)</f>
        <v/>
      </c>
      <c r="H399" s="299" t="str">
        <f>IF(G399="","",PRIX!H400*'QUANTITE DETENUES'!H400)</f>
        <v/>
      </c>
      <c r="I399" s="299" t="str">
        <f>IF(H399="","",PRIX!I400*'QUANTITE DETENUES'!I400)</f>
        <v/>
      </c>
      <c r="J399" s="299" t="str">
        <f>IF(I399="","",PRIX!J400*'QUANTITE DETENUES'!J400)</f>
        <v/>
      </c>
      <c r="K399" s="299" t="str">
        <f>IF(J399="","",PRIX!K400*'QUANTITE DETENUES'!K400)</f>
        <v/>
      </c>
      <c r="L399" s="299" t="str">
        <f>IF(K399="","",PRIX!L400*'QUANTITE DETENUES'!L400)</f>
        <v/>
      </c>
      <c r="M399" s="299" t="str">
        <f>IF(L399="","",PRIX!M400*'QUANTITE DETENUES'!M400)</f>
        <v/>
      </c>
      <c r="N399" s="299" t="str">
        <f>IF(M399="","",PRIX!N400*'QUANTITE DETENUES'!N400)</f>
        <v/>
      </c>
      <c r="O399" s="299" t="str">
        <f>IF(N399="","",PRIX!O400*'QUANTITE DETENUES'!O400)</f>
        <v/>
      </c>
      <c r="P399" s="299" t="str">
        <f>IF(O399="","",PRIX!P400*'QUANTITE DETENUES'!P400)</f>
        <v/>
      </c>
      <c r="Q399" s="299" t="str">
        <f>IF(P399="","",PRIX!Q400*'QUANTITE DETENUES'!Q400)</f>
        <v/>
      </c>
      <c r="R399" s="299" t="str">
        <f>IF(Q399="","",PRIX!R400*'QUANTITE DETENUES'!R400)</f>
        <v/>
      </c>
      <c r="S399" s="300" t="str">
        <f>IF(R399="","",PRIX!S400*'QUANTITE DETENUES'!S400)</f>
        <v/>
      </c>
      <c r="T399" s="14" t="str">
        <f>IF(A399="","",ARBITRAGES!M400)</f>
        <v/>
      </c>
      <c r="U399" s="301" t="str">
        <f t="shared" si="1"/>
        <v/>
      </c>
      <c r="V399" s="302" t="str">
        <f t="shared" si="2"/>
        <v/>
      </c>
      <c r="W399" s="288"/>
      <c r="X399" s="220"/>
      <c r="Y399" s="220"/>
      <c r="Z399" s="220"/>
      <c r="AA399" s="220"/>
      <c r="AB399" s="220"/>
      <c r="AC399" s="220"/>
      <c r="AD399" s="220"/>
      <c r="AE399" s="220"/>
      <c r="AF399" s="220"/>
      <c r="AG399" s="220"/>
      <c r="AH399" s="308"/>
      <c r="AI399" s="220"/>
      <c r="AJ399" s="220"/>
      <c r="AK399" s="220"/>
      <c r="AL399" s="220"/>
      <c r="AM399" s="220"/>
      <c r="AN399" s="220"/>
      <c r="AO399" s="220"/>
      <c r="AP399" s="220"/>
      <c r="AQ399" s="220"/>
      <c r="AR399" s="220"/>
      <c r="AS399" s="220"/>
      <c r="AT399" s="220"/>
      <c r="AU399" s="220"/>
      <c r="AV399" s="220"/>
      <c r="AW399" s="220"/>
      <c r="AX399" s="220"/>
      <c r="AY399" s="220"/>
      <c r="AZ399" s="220"/>
      <c r="BA399" s="220"/>
    </row>
    <row r="400">
      <c r="A400" s="290" t="str">
        <f>PRIX!A401</f>
        <v/>
      </c>
      <c r="B400" s="299" t="str">
        <f>IF(A400="","",PRIX!B401*'QUANTITE DETENUES'!B401)</f>
        <v/>
      </c>
      <c r="C400" s="299" t="str">
        <f>IF(B400="","",PRIX!C401*'QUANTITE DETENUES'!C401)</f>
        <v/>
      </c>
      <c r="D400" s="299" t="str">
        <f>IF(C400="","",PRIX!D401*'QUANTITE DETENUES'!D401)</f>
        <v/>
      </c>
      <c r="E400" s="299" t="str">
        <f>IF(D400="","",PRIX!E401*'QUANTITE DETENUES'!E401)</f>
        <v/>
      </c>
      <c r="F400" s="299" t="str">
        <f>IF(E400="","",PRIX!F401*'QUANTITE DETENUES'!F401)</f>
        <v/>
      </c>
      <c r="G400" s="299" t="str">
        <f>IF(F400="","",PRIX!G401*'QUANTITE DETENUES'!G401)</f>
        <v/>
      </c>
      <c r="H400" s="299" t="str">
        <f>IF(G400="","",PRIX!H401*'QUANTITE DETENUES'!H401)</f>
        <v/>
      </c>
      <c r="I400" s="299" t="str">
        <f>IF(H400="","",PRIX!I401*'QUANTITE DETENUES'!I401)</f>
        <v/>
      </c>
      <c r="J400" s="299" t="str">
        <f>IF(I400="","",PRIX!J401*'QUANTITE DETENUES'!J401)</f>
        <v/>
      </c>
      <c r="K400" s="299" t="str">
        <f>IF(J400="","",PRIX!K401*'QUANTITE DETENUES'!K401)</f>
        <v/>
      </c>
      <c r="L400" s="299" t="str">
        <f>IF(K400="","",PRIX!L401*'QUANTITE DETENUES'!L401)</f>
        <v/>
      </c>
      <c r="M400" s="299" t="str">
        <f>IF(L400="","",PRIX!M401*'QUANTITE DETENUES'!M401)</f>
        <v/>
      </c>
      <c r="N400" s="299" t="str">
        <f>IF(M400="","",PRIX!N401*'QUANTITE DETENUES'!N401)</f>
        <v/>
      </c>
      <c r="O400" s="299" t="str">
        <f>IF(N400="","",PRIX!O401*'QUANTITE DETENUES'!O401)</f>
        <v/>
      </c>
      <c r="P400" s="299" t="str">
        <f>IF(O400="","",PRIX!P401*'QUANTITE DETENUES'!P401)</f>
        <v/>
      </c>
      <c r="Q400" s="299" t="str">
        <f>IF(P400="","",PRIX!Q401*'QUANTITE DETENUES'!Q401)</f>
        <v/>
      </c>
      <c r="R400" s="299" t="str">
        <f>IF(Q400="","",PRIX!R401*'QUANTITE DETENUES'!R401)</f>
        <v/>
      </c>
      <c r="S400" s="300" t="str">
        <f>IF(R400="","",PRIX!S401*'QUANTITE DETENUES'!S401)</f>
        <v/>
      </c>
      <c r="T400" s="14" t="str">
        <f>IF(A400="","",ARBITRAGES!M401)</f>
        <v/>
      </c>
      <c r="U400" s="301" t="str">
        <f t="shared" si="1"/>
        <v/>
      </c>
      <c r="V400" s="302" t="str">
        <f t="shared" si="2"/>
        <v/>
      </c>
      <c r="W400" s="288"/>
      <c r="X400" s="220"/>
      <c r="Y400" s="220"/>
      <c r="Z400" s="220"/>
      <c r="AA400" s="220"/>
      <c r="AB400" s="220"/>
      <c r="AC400" s="220"/>
      <c r="AD400" s="220"/>
      <c r="AE400" s="220"/>
      <c r="AF400" s="220"/>
      <c r="AG400" s="220"/>
      <c r="AH400" s="308"/>
      <c r="AI400" s="220"/>
      <c r="AJ400" s="220"/>
      <c r="AK400" s="220"/>
      <c r="AL400" s="220"/>
      <c r="AM400" s="220"/>
      <c r="AN400" s="220"/>
      <c r="AO400" s="220"/>
      <c r="AP400" s="220"/>
      <c r="AQ400" s="220"/>
      <c r="AR400" s="220"/>
      <c r="AS400" s="220"/>
      <c r="AT400" s="220"/>
      <c r="AU400" s="220"/>
      <c r="AV400" s="220"/>
      <c r="AW400" s="220"/>
      <c r="AX400" s="220"/>
      <c r="AY400" s="220"/>
      <c r="AZ400" s="220"/>
      <c r="BA400" s="220"/>
    </row>
    <row r="401">
      <c r="A401" s="290" t="str">
        <f>PRIX!A402</f>
        <v/>
      </c>
      <c r="B401" s="299" t="str">
        <f>IF(A401="","",PRIX!B402*'QUANTITE DETENUES'!B402)</f>
        <v/>
      </c>
      <c r="C401" s="299" t="str">
        <f>IF(B401="","",PRIX!C402*'QUANTITE DETENUES'!C402)</f>
        <v/>
      </c>
      <c r="D401" s="299" t="str">
        <f>IF(C401="","",PRIX!D402*'QUANTITE DETENUES'!D402)</f>
        <v/>
      </c>
      <c r="E401" s="299" t="str">
        <f>IF(D401="","",PRIX!E402*'QUANTITE DETENUES'!E402)</f>
        <v/>
      </c>
      <c r="F401" s="299" t="str">
        <f>IF(E401="","",PRIX!F402*'QUANTITE DETENUES'!F402)</f>
        <v/>
      </c>
      <c r="G401" s="299" t="str">
        <f>IF(F401="","",PRIX!G402*'QUANTITE DETENUES'!G402)</f>
        <v/>
      </c>
      <c r="H401" s="299" t="str">
        <f>IF(G401="","",PRIX!H402*'QUANTITE DETENUES'!H402)</f>
        <v/>
      </c>
      <c r="I401" s="299" t="str">
        <f>IF(H401="","",PRIX!I402*'QUANTITE DETENUES'!I402)</f>
        <v/>
      </c>
      <c r="J401" s="299" t="str">
        <f>IF(I401="","",PRIX!J402*'QUANTITE DETENUES'!J402)</f>
        <v/>
      </c>
      <c r="K401" s="299" t="str">
        <f>IF(J401="","",PRIX!K402*'QUANTITE DETENUES'!K402)</f>
        <v/>
      </c>
      <c r="L401" s="299" t="str">
        <f>IF(K401="","",PRIX!L402*'QUANTITE DETENUES'!L402)</f>
        <v/>
      </c>
      <c r="M401" s="299" t="str">
        <f>IF(L401="","",PRIX!M402*'QUANTITE DETENUES'!M402)</f>
        <v/>
      </c>
      <c r="N401" s="299" t="str">
        <f>IF(M401="","",PRIX!N402*'QUANTITE DETENUES'!N402)</f>
        <v/>
      </c>
      <c r="O401" s="299" t="str">
        <f>IF(N401="","",PRIX!O402*'QUANTITE DETENUES'!O402)</f>
        <v/>
      </c>
      <c r="P401" s="299" t="str">
        <f>IF(O401="","",PRIX!P402*'QUANTITE DETENUES'!P402)</f>
        <v/>
      </c>
      <c r="Q401" s="299" t="str">
        <f>IF(P401="","",PRIX!Q402*'QUANTITE DETENUES'!Q402)</f>
        <v/>
      </c>
      <c r="R401" s="299" t="str">
        <f>IF(Q401="","",PRIX!R402*'QUANTITE DETENUES'!R402)</f>
        <v/>
      </c>
      <c r="S401" s="300" t="str">
        <f>IF(R401="","",PRIX!S402*'QUANTITE DETENUES'!S402)</f>
        <v/>
      </c>
      <c r="T401" s="14" t="str">
        <f>IF(A401="","",ARBITRAGES!M402)</f>
        <v/>
      </c>
      <c r="U401" s="301" t="str">
        <f t="shared" si="1"/>
        <v/>
      </c>
      <c r="V401" s="302" t="str">
        <f t="shared" si="2"/>
        <v/>
      </c>
      <c r="W401" s="288"/>
      <c r="X401" s="220"/>
      <c r="Y401" s="220"/>
      <c r="Z401" s="220"/>
      <c r="AA401" s="220"/>
      <c r="AB401" s="220"/>
      <c r="AC401" s="220"/>
      <c r="AD401" s="220"/>
      <c r="AE401" s="220"/>
      <c r="AF401" s="220"/>
      <c r="AG401" s="220"/>
      <c r="AH401" s="308"/>
      <c r="AI401" s="220"/>
      <c r="AJ401" s="220"/>
      <c r="AK401" s="220"/>
      <c r="AL401" s="220"/>
      <c r="AM401" s="220"/>
      <c r="AN401" s="220"/>
      <c r="AO401" s="220"/>
      <c r="AP401" s="220"/>
      <c r="AQ401" s="220"/>
      <c r="AR401" s="220"/>
      <c r="AS401" s="220"/>
      <c r="AT401" s="220"/>
      <c r="AU401" s="220"/>
      <c r="AV401" s="220"/>
      <c r="AW401" s="220"/>
      <c r="AX401" s="220"/>
      <c r="AY401" s="220"/>
      <c r="AZ401" s="220"/>
      <c r="BA401" s="220"/>
    </row>
    <row r="402">
      <c r="A402" s="290" t="str">
        <f>PRIX!A403</f>
        <v/>
      </c>
      <c r="B402" s="299" t="str">
        <f>IF(A402="","",PRIX!B403*'QUANTITE DETENUES'!B403)</f>
        <v/>
      </c>
      <c r="C402" s="299" t="str">
        <f>IF(B402="","",PRIX!C403*'QUANTITE DETENUES'!C403)</f>
        <v/>
      </c>
      <c r="D402" s="299" t="str">
        <f>IF(C402="","",PRIX!D403*'QUANTITE DETENUES'!D403)</f>
        <v/>
      </c>
      <c r="E402" s="299" t="str">
        <f>IF(D402="","",PRIX!E403*'QUANTITE DETENUES'!E403)</f>
        <v/>
      </c>
      <c r="F402" s="299" t="str">
        <f>IF(E402="","",PRIX!F403*'QUANTITE DETENUES'!F403)</f>
        <v/>
      </c>
      <c r="G402" s="299" t="str">
        <f>IF(F402="","",PRIX!G403*'QUANTITE DETENUES'!G403)</f>
        <v/>
      </c>
      <c r="H402" s="299" t="str">
        <f>IF(G402="","",PRIX!H403*'QUANTITE DETENUES'!H403)</f>
        <v/>
      </c>
      <c r="I402" s="299" t="str">
        <f>IF(H402="","",PRIX!I403*'QUANTITE DETENUES'!I403)</f>
        <v/>
      </c>
      <c r="J402" s="299" t="str">
        <f>IF(I402="","",PRIX!J403*'QUANTITE DETENUES'!J403)</f>
        <v/>
      </c>
      <c r="K402" s="299" t="str">
        <f>IF(J402="","",PRIX!K403*'QUANTITE DETENUES'!K403)</f>
        <v/>
      </c>
      <c r="L402" s="299" t="str">
        <f>IF(K402="","",PRIX!L403*'QUANTITE DETENUES'!L403)</f>
        <v/>
      </c>
      <c r="M402" s="299" t="str">
        <f>IF(L402="","",PRIX!M403*'QUANTITE DETENUES'!M403)</f>
        <v/>
      </c>
      <c r="N402" s="299" t="str">
        <f>IF(M402="","",PRIX!N403*'QUANTITE DETENUES'!N403)</f>
        <v/>
      </c>
      <c r="O402" s="299" t="str">
        <f>IF(N402="","",PRIX!O403*'QUANTITE DETENUES'!O403)</f>
        <v/>
      </c>
      <c r="P402" s="299" t="str">
        <f>IF(O402="","",PRIX!P403*'QUANTITE DETENUES'!P403)</f>
        <v/>
      </c>
      <c r="Q402" s="299" t="str">
        <f>IF(P402="","",PRIX!Q403*'QUANTITE DETENUES'!Q403)</f>
        <v/>
      </c>
      <c r="R402" s="299" t="str">
        <f>IF(Q402="","",PRIX!R403*'QUANTITE DETENUES'!R403)</f>
        <v/>
      </c>
      <c r="S402" s="300" t="str">
        <f>IF(R402="","",PRIX!S403*'QUANTITE DETENUES'!S403)</f>
        <v/>
      </c>
      <c r="T402" s="14" t="str">
        <f>IF(A402="","",ARBITRAGES!M403)</f>
        <v/>
      </c>
      <c r="U402" s="301" t="str">
        <f t="shared" si="1"/>
        <v/>
      </c>
      <c r="V402" s="302" t="str">
        <f t="shared" si="2"/>
        <v/>
      </c>
      <c r="W402" s="288"/>
      <c r="X402" s="220"/>
      <c r="Y402" s="220"/>
      <c r="Z402" s="220"/>
      <c r="AA402" s="220"/>
      <c r="AB402" s="220"/>
      <c r="AC402" s="220"/>
      <c r="AD402" s="220"/>
      <c r="AE402" s="220"/>
      <c r="AF402" s="220"/>
      <c r="AG402" s="220"/>
      <c r="AH402" s="308"/>
      <c r="AI402" s="220"/>
      <c r="AJ402" s="220"/>
      <c r="AK402" s="220"/>
      <c r="AL402" s="220"/>
      <c r="AM402" s="220"/>
      <c r="AN402" s="220"/>
      <c r="AO402" s="220"/>
      <c r="AP402" s="220"/>
      <c r="AQ402" s="220"/>
      <c r="AR402" s="220"/>
      <c r="AS402" s="220"/>
      <c r="AT402" s="220"/>
      <c r="AU402" s="220"/>
      <c r="AV402" s="220"/>
      <c r="AW402" s="220"/>
      <c r="AX402" s="220"/>
      <c r="AY402" s="220"/>
      <c r="AZ402" s="220"/>
      <c r="BA402" s="220"/>
    </row>
    <row r="403">
      <c r="A403" s="290" t="str">
        <f>PRIX!A404</f>
        <v/>
      </c>
      <c r="B403" s="299" t="str">
        <f>IF(A403="","",PRIX!B404*'QUANTITE DETENUES'!B404)</f>
        <v/>
      </c>
      <c r="C403" s="299" t="str">
        <f>IF(B403="","",PRIX!C404*'QUANTITE DETENUES'!C404)</f>
        <v/>
      </c>
      <c r="D403" s="299" t="str">
        <f>IF(C403="","",PRIX!D404*'QUANTITE DETENUES'!D404)</f>
        <v/>
      </c>
      <c r="E403" s="299" t="str">
        <f>IF(D403="","",PRIX!E404*'QUANTITE DETENUES'!E404)</f>
        <v/>
      </c>
      <c r="F403" s="299" t="str">
        <f>IF(E403="","",PRIX!F404*'QUANTITE DETENUES'!F404)</f>
        <v/>
      </c>
      <c r="G403" s="299" t="str">
        <f>IF(F403="","",PRIX!G404*'QUANTITE DETENUES'!G404)</f>
        <v/>
      </c>
      <c r="H403" s="299" t="str">
        <f>IF(G403="","",PRIX!H404*'QUANTITE DETENUES'!H404)</f>
        <v/>
      </c>
      <c r="I403" s="299" t="str">
        <f>IF(H403="","",PRIX!I404*'QUANTITE DETENUES'!I404)</f>
        <v/>
      </c>
      <c r="J403" s="299" t="str">
        <f>IF(I403="","",PRIX!J404*'QUANTITE DETENUES'!J404)</f>
        <v/>
      </c>
      <c r="K403" s="299" t="str">
        <f>IF(J403="","",PRIX!K404*'QUANTITE DETENUES'!K404)</f>
        <v/>
      </c>
      <c r="L403" s="299" t="str">
        <f>IF(K403="","",PRIX!L404*'QUANTITE DETENUES'!L404)</f>
        <v/>
      </c>
      <c r="M403" s="299" t="str">
        <f>IF(L403="","",PRIX!M404*'QUANTITE DETENUES'!M404)</f>
        <v/>
      </c>
      <c r="N403" s="299" t="str">
        <f>IF(M403="","",PRIX!N404*'QUANTITE DETENUES'!N404)</f>
        <v/>
      </c>
      <c r="O403" s="299" t="str">
        <f>IF(N403="","",PRIX!O404*'QUANTITE DETENUES'!O404)</f>
        <v/>
      </c>
      <c r="P403" s="299" t="str">
        <f>IF(O403="","",PRIX!P404*'QUANTITE DETENUES'!P404)</f>
        <v/>
      </c>
      <c r="Q403" s="299" t="str">
        <f>IF(P403="","",PRIX!Q404*'QUANTITE DETENUES'!Q404)</f>
        <v/>
      </c>
      <c r="R403" s="299" t="str">
        <f>IF(Q403="","",PRIX!R404*'QUANTITE DETENUES'!R404)</f>
        <v/>
      </c>
      <c r="S403" s="300" t="str">
        <f>IF(R403="","",PRIX!S404*'QUANTITE DETENUES'!S404)</f>
        <v/>
      </c>
      <c r="T403" s="14" t="str">
        <f>IF(A403="","",ARBITRAGES!M404)</f>
        <v/>
      </c>
      <c r="U403" s="301" t="str">
        <f t="shared" si="1"/>
        <v/>
      </c>
      <c r="V403" s="302" t="str">
        <f t="shared" si="2"/>
        <v/>
      </c>
      <c r="W403" s="288"/>
      <c r="X403" s="220"/>
      <c r="Y403" s="220"/>
      <c r="Z403" s="220"/>
      <c r="AA403" s="220"/>
      <c r="AB403" s="220"/>
      <c r="AC403" s="220"/>
      <c r="AD403" s="220"/>
      <c r="AE403" s="220"/>
      <c r="AF403" s="220"/>
      <c r="AG403" s="220"/>
      <c r="AH403" s="308"/>
      <c r="AI403" s="220"/>
      <c r="AJ403" s="220"/>
      <c r="AK403" s="220"/>
      <c r="AL403" s="220"/>
      <c r="AM403" s="220"/>
      <c r="AN403" s="220"/>
      <c r="AO403" s="220"/>
      <c r="AP403" s="220"/>
      <c r="AQ403" s="220"/>
      <c r="AR403" s="220"/>
      <c r="AS403" s="220"/>
      <c r="AT403" s="220"/>
      <c r="AU403" s="220"/>
      <c r="AV403" s="220"/>
      <c r="AW403" s="220"/>
      <c r="AX403" s="220"/>
      <c r="AY403" s="220"/>
      <c r="AZ403" s="220"/>
      <c r="BA403" s="220"/>
    </row>
    <row r="404">
      <c r="A404" s="290" t="str">
        <f>PRIX!A405</f>
        <v/>
      </c>
      <c r="B404" s="299" t="str">
        <f>IF(A404="","",PRIX!B405*'QUANTITE DETENUES'!B405)</f>
        <v/>
      </c>
      <c r="C404" s="299" t="str">
        <f>IF(B404="","",PRIX!C405*'QUANTITE DETENUES'!C405)</f>
        <v/>
      </c>
      <c r="D404" s="299" t="str">
        <f>IF(C404="","",PRIX!D405*'QUANTITE DETENUES'!D405)</f>
        <v/>
      </c>
      <c r="E404" s="299" t="str">
        <f>IF(D404="","",PRIX!E405*'QUANTITE DETENUES'!E405)</f>
        <v/>
      </c>
      <c r="F404" s="299" t="str">
        <f>IF(E404="","",PRIX!F405*'QUANTITE DETENUES'!F405)</f>
        <v/>
      </c>
      <c r="G404" s="299" t="str">
        <f>IF(F404="","",PRIX!G405*'QUANTITE DETENUES'!G405)</f>
        <v/>
      </c>
      <c r="H404" s="299" t="str">
        <f>IF(G404="","",PRIX!H405*'QUANTITE DETENUES'!H405)</f>
        <v/>
      </c>
      <c r="I404" s="299" t="str">
        <f>IF(H404="","",PRIX!I405*'QUANTITE DETENUES'!I405)</f>
        <v/>
      </c>
      <c r="J404" s="299" t="str">
        <f>IF(I404="","",PRIX!J405*'QUANTITE DETENUES'!J405)</f>
        <v/>
      </c>
      <c r="K404" s="299" t="str">
        <f>IF(J404="","",PRIX!K405*'QUANTITE DETENUES'!K405)</f>
        <v/>
      </c>
      <c r="L404" s="299" t="str">
        <f>IF(K404="","",PRIX!L405*'QUANTITE DETENUES'!L405)</f>
        <v/>
      </c>
      <c r="M404" s="299" t="str">
        <f>IF(L404="","",PRIX!M405*'QUANTITE DETENUES'!M405)</f>
        <v/>
      </c>
      <c r="N404" s="299" t="str">
        <f>IF(M404="","",PRIX!N405*'QUANTITE DETENUES'!N405)</f>
        <v/>
      </c>
      <c r="O404" s="299" t="str">
        <f>IF(N404="","",PRIX!O405*'QUANTITE DETENUES'!O405)</f>
        <v/>
      </c>
      <c r="P404" s="299" t="str">
        <f>IF(O404="","",PRIX!P405*'QUANTITE DETENUES'!P405)</f>
        <v/>
      </c>
      <c r="Q404" s="299" t="str">
        <f>IF(P404="","",PRIX!Q405*'QUANTITE DETENUES'!Q405)</f>
        <v/>
      </c>
      <c r="R404" s="299" t="str">
        <f>IF(Q404="","",PRIX!R405*'QUANTITE DETENUES'!R405)</f>
        <v/>
      </c>
      <c r="S404" s="300" t="str">
        <f>IF(R404="","",PRIX!S405*'QUANTITE DETENUES'!S405)</f>
        <v/>
      </c>
      <c r="T404" s="14" t="str">
        <f>IF(A404="","",ARBITRAGES!M405)</f>
        <v/>
      </c>
      <c r="U404" s="301" t="str">
        <f t="shared" si="1"/>
        <v/>
      </c>
      <c r="V404" s="302" t="str">
        <f t="shared" si="2"/>
        <v/>
      </c>
      <c r="W404" s="288"/>
      <c r="X404" s="220"/>
      <c r="Y404" s="220"/>
      <c r="Z404" s="220"/>
      <c r="AA404" s="220"/>
      <c r="AB404" s="220"/>
      <c r="AC404" s="220"/>
      <c r="AD404" s="220"/>
      <c r="AE404" s="220"/>
      <c r="AF404" s="220"/>
      <c r="AG404" s="220"/>
      <c r="AH404" s="308"/>
      <c r="AI404" s="220"/>
      <c r="AJ404" s="220"/>
      <c r="AK404" s="220"/>
      <c r="AL404" s="220"/>
      <c r="AM404" s="220"/>
      <c r="AN404" s="220"/>
      <c r="AO404" s="220"/>
      <c r="AP404" s="220"/>
      <c r="AQ404" s="220"/>
      <c r="AR404" s="220"/>
      <c r="AS404" s="220"/>
      <c r="AT404" s="220"/>
      <c r="AU404" s="220"/>
      <c r="AV404" s="220"/>
      <c r="AW404" s="220"/>
      <c r="AX404" s="220"/>
      <c r="AY404" s="220"/>
      <c r="AZ404" s="220"/>
      <c r="BA404" s="220"/>
    </row>
    <row r="405">
      <c r="A405" s="290" t="str">
        <f>PRIX!A406</f>
        <v/>
      </c>
      <c r="B405" s="299" t="str">
        <f>IF(A405="","",PRIX!B406*'QUANTITE DETENUES'!B406)</f>
        <v/>
      </c>
      <c r="C405" s="299" t="str">
        <f>IF(B405="","",PRIX!C406*'QUANTITE DETENUES'!C406)</f>
        <v/>
      </c>
      <c r="D405" s="299" t="str">
        <f>IF(C405="","",PRIX!D406*'QUANTITE DETENUES'!D406)</f>
        <v/>
      </c>
      <c r="E405" s="299" t="str">
        <f>IF(D405="","",PRIX!E406*'QUANTITE DETENUES'!E406)</f>
        <v/>
      </c>
      <c r="F405" s="299" t="str">
        <f>IF(E405="","",PRIX!F406*'QUANTITE DETENUES'!F406)</f>
        <v/>
      </c>
      <c r="G405" s="299" t="str">
        <f>IF(F405="","",PRIX!G406*'QUANTITE DETENUES'!G406)</f>
        <v/>
      </c>
      <c r="H405" s="299" t="str">
        <f>IF(G405="","",PRIX!H406*'QUANTITE DETENUES'!H406)</f>
        <v/>
      </c>
      <c r="I405" s="299" t="str">
        <f>IF(H405="","",PRIX!I406*'QUANTITE DETENUES'!I406)</f>
        <v/>
      </c>
      <c r="J405" s="299" t="str">
        <f>IF(I405="","",PRIX!J406*'QUANTITE DETENUES'!J406)</f>
        <v/>
      </c>
      <c r="K405" s="299" t="str">
        <f>IF(J405="","",PRIX!K406*'QUANTITE DETENUES'!K406)</f>
        <v/>
      </c>
      <c r="L405" s="299" t="str">
        <f>IF(K405="","",PRIX!L406*'QUANTITE DETENUES'!L406)</f>
        <v/>
      </c>
      <c r="M405" s="299" t="str">
        <f>IF(L405="","",PRIX!M406*'QUANTITE DETENUES'!M406)</f>
        <v/>
      </c>
      <c r="N405" s="299" t="str">
        <f>IF(M405="","",PRIX!N406*'QUANTITE DETENUES'!N406)</f>
        <v/>
      </c>
      <c r="O405" s="299" t="str">
        <f>IF(N405="","",PRIX!O406*'QUANTITE DETENUES'!O406)</f>
        <v/>
      </c>
      <c r="P405" s="299" t="str">
        <f>IF(O405="","",PRIX!P406*'QUANTITE DETENUES'!P406)</f>
        <v/>
      </c>
      <c r="Q405" s="299" t="str">
        <f>IF(P405="","",PRIX!Q406*'QUANTITE DETENUES'!Q406)</f>
        <v/>
      </c>
      <c r="R405" s="299" t="str">
        <f>IF(Q405="","",PRIX!R406*'QUANTITE DETENUES'!R406)</f>
        <v/>
      </c>
      <c r="S405" s="300" t="str">
        <f>IF(R405="","",PRIX!S406*'QUANTITE DETENUES'!S406)</f>
        <v/>
      </c>
      <c r="T405" s="14" t="str">
        <f>IF(A405="","",ARBITRAGES!M406)</f>
        <v/>
      </c>
      <c r="U405" s="301" t="str">
        <f t="shared" si="1"/>
        <v/>
      </c>
      <c r="V405" s="302" t="str">
        <f t="shared" si="2"/>
        <v/>
      </c>
      <c r="W405" s="288"/>
      <c r="X405" s="220"/>
      <c r="Y405" s="220"/>
      <c r="Z405" s="220"/>
      <c r="AA405" s="220"/>
      <c r="AB405" s="220"/>
      <c r="AC405" s="220"/>
      <c r="AD405" s="220"/>
      <c r="AE405" s="220"/>
      <c r="AF405" s="220"/>
      <c r="AG405" s="220"/>
      <c r="AH405" s="308"/>
      <c r="AI405" s="220"/>
      <c r="AJ405" s="220"/>
      <c r="AK405" s="220"/>
      <c r="AL405" s="220"/>
      <c r="AM405" s="220"/>
      <c r="AN405" s="220"/>
      <c r="AO405" s="220"/>
      <c r="AP405" s="220"/>
      <c r="AQ405" s="220"/>
      <c r="AR405" s="220"/>
      <c r="AS405" s="220"/>
      <c r="AT405" s="220"/>
      <c r="AU405" s="220"/>
      <c r="AV405" s="220"/>
      <c r="AW405" s="220"/>
      <c r="AX405" s="220"/>
      <c r="AY405" s="220"/>
      <c r="AZ405" s="220"/>
      <c r="BA405" s="220"/>
    </row>
    <row r="406">
      <c r="A406" s="290" t="str">
        <f>PRIX!A407</f>
        <v/>
      </c>
      <c r="B406" s="299" t="str">
        <f>IF(A406="","",PRIX!B407*'QUANTITE DETENUES'!B407)</f>
        <v/>
      </c>
      <c r="C406" s="299" t="str">
        <f>IF(B406="","",PRIX!C407*'QUANTITE DETENUES'!C407)</f>
        <v/>
      </c>
      <c r="D406" s="299" t="str">
        <f>IF(C406="","",PRIX!D407*'QUANTITE DETENUES'!D407)</f>
        <v/>
      </c>
      <c r="E406" s="299" t="str">
        <f>IF(D406="","",PRIX!E407*'QUANTITE DETENUES'!E407)</f>
        <v/>
      </c>
      <c r="F406" s="299" t="str">
        <f>IF(E406="","",PRIX!F407*'QUANTITE DETENUES'!F407)</f>
        <v/>
      </c>
      <c r="G406" s="299" t="str">
        <f>IF(F406="","",PRIX!G407*'QUANTITE DETENUES'!G407)</f>
        <v/>
      </c>
      <c r="H406" s="299" t="str">
        <f>IF(G406="","",PRIX!H407*'QUANTITE DETENUES'!H407)</f>
        <v/>
      </c>
      <c r="I406" s="299" t="str">
        <f>IF(H406="","",PRIX!I407*'QUANTITE DETENUES'!I407)</f>
        <v/>
      </c>
      <c r="J406" s="299" t="str">
        <f>IF(I406="","",PRIX!J407*'QUANTITE DETENUES'!J407)</f>
        <v/>
      </c>
      <c r="K406" s="299" t="str">
        <f>IF(J406="","",PRIX!K407*'QUANTITE DETENUES'!K407)</f>
        <v/>
      </c>
      <c r="L406" s="299" t="str">
        <f>IF(K406="","",PRIX!L407*'QUANTITE DETENUES'!L407)</f>
        <v/>
      </c>
      <c r="M406" s="299" t="str">
        <f>IF(L406="","",PRIX!M407*'QUANTITE DETENUES'!M407)</f>
        <v/>
      </c>
      <c r="N406" s="299" t="str">
        <f>IF(M406="","",PRIX!N407*'QUANTITE DETENUES'!N407)</f>
        <v/>
      </c>
      <c r="O406" s="299" t="str">
        <f>IF(N406="","",PRIX!O407*'QUANTITE DETENUES'!O407)</f>
        <v/>
      </c>
      <c r="P406" s="299" t="str">
        <f>IF(O406="","",PRIX!P407*'QUANTITE DETENUES'!P407)</f>
        <v/>
      </c>
      <c r="Q406" s="299" t="str">
        <f>IF(P406="","",PRIX!Q407*'QUANTITE DETENUES'!Q407)</f>
        <v/>
      </c>
      <c r="R406" s="299" t="str">
        <f>IF(Q406="","",PRIX!R407*'QUANTITE DETENUES'!R407)</f>
        <v/>
      </c>
      <c r="S406" s="300" t="str">
        <f>IF(R406="","",PRIX!S407*'QUANTITE DETENUES'!S407)</f>
        <v/>
      </c>
      <c r="T406" s="14" t="str">
        <f>IF(A406="","",ARBITRAGES!M407)</f>
        <v/>
      </c>
      <c r="U406" s="301" t="str">
        <f t="shared" si="1"/>
        <v/>
      </c>
      <c r="V406" s="302" t="str">
        <f t="shared" si="2"/>
        <v/>
      </c>
      <c r="W406" s="288"/>
      <c r="X406" s="220"/>
      <c r="Y406" s="220"/>
      <c r="Z406" s="220"/>
      <c r="AA406" s="220"/>
      <c r="AB406" s="220"/>
      <c r="AC406" s="220"/>
      <c r="AD406" s="220"/>
      <c r="AE406" s="220"/>
      <c r="AF406" s="220"/>
      <c r="AG406" s="220"/>
      <c r="AH406" s="308"/>
      <c r="AI406" s="220"/>
      <c r="AJ406" s="220"/>
      <c r="AK406" s="220"/>
      <c r="AL406" s="220"/>
      <c r="AM406" s="220"/>
      <c r="AN406" s="220"/>
      <c r="AO406" s="220"/>
      <c r="AP406" s="220"/>
      <c r="AQ406" s="220"/>
      <c r="AR406" s="220"/>
      <c r="AS406" s="220"/>
      <c r="AT406" s="220"/>
      <c r="AU406" s="220"/>
      <c r="AV406" s="220"/>
      <c r="AW406" s="220"/>
      <c r="AX406" s="220"/>
      <c r="AY406" s="220"/>
      <c r="AZ406" s="220"/>
      <c r="BA406" s="220"/>
    </row>
    <row r="407">
      <c r="A407" s="290" t="str">
        <f>PRIX!A408</f>
        <v/>
      </c>
      <c r="B407" s="299" t="str">
        <f>IF(A407="","",PRIX!B408*'QUANTITE DETENUES'!B408)</f>
        <v/>
      </c>
      <c r="C407" s="299" t="str">
        <f>IF(B407="","",PRIX!C408*'QUANTITE DETENUES'!C408)</f>
        <v/>
      </c>
      <c r="D407" s="299" t="str">
        <f>IF(C407="","",PRIX!D408*'QUANTITE DETENUES'!D408)</f>
        <v/>
      </c>
      <c r="E407" s="299" t="str">
        <f>IF(D407="","",PRIX!E408*'QUANTITE DETENUES'!E408)</f>
        <v/>
      </c>
      <c r="F407" s="299" t="str">
        <f>IF(E407="","",PRIX!F408*'QUANTITE DETENUES'!F408)</f>
        <v/>
      </c>
      <c r="G407" s="299" t="str">
        <f>IF(F407="","",PRIX!G408*'QUANTITE DETENUES'!G408)</f>
        <v/>
      </c>
      <c r="H407" s="299" t="str">
        <f>IF(G407="","",PRIX!H408*'QUANTITE DETENUES'!H408)</f>
        <v/>
      </c>
      <c r="I407" s="299" t="str">
        <f>IF(H407="","",PRIX!I408*'QUANTITE DETENUES'!I408)</f>
        <v/>
      </c>
      <c r="J407" s="299" t="str">
        <f>IF(I407="","",PRIX!J408*'QUANTITE DETENUES'!J408)</f>
        <v/>
      </c>
      <c r="K407" s="299" t="str">
        <f>IF(J407="","",PRIX!K408*'QUANTITE DETENUES'!K408)</f>
        <v/>
      </c>
      <c r="L407" s="299" t="str">
        <f>IF(K407="","",PRIX!L408*'QUANTITE DETENUES'!L408)</f>
        <v/>
      </c>
      <c r="M407" s="299" t="str">
        <f>IF(L407="","",PRIX!M408*'QUANTITE DETENUES'!M408)</f>
        <v/>
      </c>
      <c r="N407" s="299" t="str">
        <f>IF(M407="","",PRIX!N408*'QUANTITE DETENUES'!N408)</f>
        <v/>
      </c>
      <c r="O407" s="299" t="str">
        <f>IF(N407="","",PRIX!O408*'QUANTITE DETENUES'!O408)</f>
        <v/>
      </c>
      <c r="P407" s="299" t="str">
        <f>IF(O407="","",PRIX!P408*'QUANTITE DETENUES'!P408)</f>
        <v/>
      </c>
      <c r="Q407" s="299" t="str">
        <f>IF(P407="","",PRIX!Q408*'QUANTITE DETENUES'!Q408)</f>
        <v/>
      </c>
      <c r="R407" s="299" t="str">
        <f>IF(Q407="","",PRIX!R408*'QUANTITE DETENUES'!R408)</f>
        <v/>
      </c>
      <c r="S407" s="300" t="str">
        <f>IF(R407="","",PRIX!S408*'QUANTITE DETENUES'!S408)</f>
        <v/>
      </c>
      <c r="T407" s="14" t="str">
        <f>IF(A407="","",ARBITRAGES!M408)</f>
        <v/>
      </c>
      <c r="U407" s="301" t="str">
        <f t="shared" si="1"/>
        <v/>
      </c>
      <c r="V407" s="302" t="str">
        <f t="shared" si="2"/>
        <v/>
      </c>
      <c r="W407" s="288"/>
      <c r="X407" s="220"/>
      <c r="Y407" s="220"/>
      <c r="Z407" s="220"/>
      <c r="AA407" s="220"/>
      <c r="AB407" s="220"/>
      <c r="AC407" s="220"/>
      <c r="AD407" s="220"/>
      <c r="AE407" s="220"/>
      <c r="AF407" s="220"/>
      <c r="AG407" s="220"/>
      <c r="AH407" s="308"/>
      <c r="AI407" s="220"/>
      <c r="AJ407" s="220"/>
      <c r="AK407" s="220"/>
      <c r="AL407" s="220"/>
      <c r="AM407" s="220"/>
      <c r="AN407" s="220"/>
      <c r="AO407" s="220"/>
      <c r="AP407" s="220"/>
      <c r="AQ407" s="220"/>
      <c r="AR407" s="220"/>
      <c r="AS407" s="220"/>
      <c r="AT407" s="220"/>
      <c r="AU407" s="220"/>
      <c r="AV407" s="220"/>
      <c r="AW407" s="220"/>
      <c r="AX407" s="220"/>
      <c r="AY407" s="220"/>
      <c r="AZ407" s="220"/>
      <c r="BA407" s="220"/>
    </row>
    <row r="408">
      <c r="A408" s="290" t="str">
        <f>PRIX!A409</f>
        <v/>
      </c>
      <c r="B408" s="299" t="str">
        <f>IF(A408="","",PRIX!B409*'QUANTITE DETENUES'!B409)</f>
        <v/>
      </c>
      <c r="C408" s="299" t="str">
        <f>IF(B408="","",PRIX!C409*'QUANTITE DETENUES'!C409)</f>
        <v/>
      </c>
      <c r="D408" s="299" t="str">
        <f>IF(C408="","",PRIX!D409*'QUANTITE DETENUES'!D409)</f>
        <v/>
      </c>
      <c r="E408" s="299" t="str">
        <f>IF(D408="","",PRIX!E409*'QUANTITE DETENUES'!E409)</f>
        <v/>
      </c>
      <c r="F408" s="299" t="str">
        <f>IF(E408="","",PRIX!F409*'QUANTITE DETENUES'!F409)</f>
        <v/>
      </c>
      <c r="G408" s="299" t="str">
        <f>IF(F408="","",PRIX!G409*'QUANTITE DETENUES'!G409)</f>
        <v/>
      </c>
      <c r="H408" s="299" t="str">
        <f>IF(G408="","",PRIX!H409*'QUANTITE DETENUES'!H409)</f>
        <v/>
      </c>
      <c r="I408" s="299" t="str">
        <f>IF(H408="","",PRIX!I409*'QUANTITE DETENUES'!I409)</f>
        <v/>
      </c>
      <c r="J408" s="299" t="str">
        <f>IF(I408="","",PRIX!J409*'QUANTITE DETENUES'!J409)</f>
        <v/>
      </c>
      <c r="K408" s="299" t="str">
        <f>IF(J408="","",PRIX!K409*'QUANTITE DETENUES'!K409)</f>
        <v/>
      </c>
      <c r="L408" s="299" t="str">
        <f>IF(K408="","",PRIX!L409*'QUANTITE DETENUES'!L409)</f>
        <v/>
      </c>
      <c r="M408" s="299" t="str">
        <f>IF(L408="","",PRIX!M409*'QUANTITE DETENUES'!M409)</f>
        <v/>
      </c>
      <c r="N408" s="299" t="str">
        <f>IF(M408="","",PRIX!N409*'QUANTITE DETENUES'!N409)</f>
        <v/>
      </c>
      <c r="O408" s="299" t="str">
        <f>IF(N408="","",PRIX!O409*'QUANTITE DETENUES'!O409)</f>
        <v/>
      </c>
      <c r="P408" s="299" t="str">
        <f>IF(O408="","",PRIX!P409*'QUANTITE DETENUES'!P409)</f>
        <v/>
      </c>
      <c r="Q408" s="299" t="str">
        <f>IF(P408="","",PRIX!Q409*'QUANTITE DETENUES'!Q409)</f>
        <v/>
      </c>
      <c r="R408" s="299" t="str">
        <f>IF(Q408="","",PRIX!R409*'QUANTITE DETENUES'!R409)</f>
        <v/>
      </c>
      <c r="S408" s="300" t="str">
        <f>IF(R408="","",PRIX!S409*'QUANTITE DETENUES'!S409)</f>
        <v/>
      </c>
      <c r="T408" s="14" t="str">
        <f>IF(A408="","",ARBITRAGES!M409)</f>
        <v/>
      </c>
      <c r="U408" s="301" t="str">
        <f t="shared" si="1"/>
        <v/>
      </c>
      <c r="V408" s="302" t="str">
        <f t="shared" si="2"/>
        <v/>
      </c>
      <c r="W408" s="288"/>
      <c r="X408" s="220"/>
      <c r="Y408" s="220"/>
      <c r="Z408" s="220"/>
      <c r="AA408" s="220"/>
      <c r="AB408" s="220"/>
      <c r="AC408" s="220"/>
      <c r="AD408" s="220"/>
      <c r="AE408" s="220"/>
      <c r="AF408" s="220"/>
      <c r="AG408" s="220"/>
      <c r="AH408" s="308"/>
      <c r="AI408" s="220"/>
      <c r="AJ408" s="220"/>
      <c r="AK408" s="220"/>
      <c r="AL408" s="220"/>
      <c r="AM408" s="220"/>
      <c r="AN408" s="220"/>
      <c r="AO408" s="220"/>
      <c r="AP408" s="220"/>
      <c r="AQ408" s="220"/>
      <c r="AR408" s="220"/>
      <c r="AS408" s="220"/>
      <c r="AT408" s="220"/>
      <c r="AU408" s="220"/>
      <c r="AV408" s="220"/>
      <c r="AW408" s="220"/>
      <c r="AX408" s="220"/>
      <c r="AY408" s="220"/>
      <c r="AZ408" s="220"/>
      <c r="BA408" s="220"/>
    </row>
    <row r="409">
      <c r="A409" s="290" t="str">
        <f>PRIX!A410</f>
        <v/>
      </c>
      <c r="B409" s="299" t="str">
        <f>IF(A409="","",PRIX!B410*'QUANTITE DETENUES'!B410)</f>
        <v/>
      </c>
      <c r="C409" s="299" t="str">
        <f>IF(B409="","",PRIX!C410*'QUANTITE DETENUES'!C410)</f>
        <v/>
      </c>
      <c r="D409" s="299" t="str">
        <f>IF(C409="","",PRIX!D410*'QUANTITE DETENUES'!D410)</f>
        <v/>
      </c>
      <c r="E409" s="299" t="str">
        <f>IF(D409="","",PRIX!E410*'QUANTITE DETENUES'!E410)</f>
        <v/>
      </c>
      <c r="F409" s="299" t="str">
        <f>IF(E409="","",PRIX!F410*'QUANTITE DETENUES'!F410)</f>
        <v/>
      </c>
      <c r="G409" s="299" t="str">
        <f>IF(F409="","",PRIX!G410*'QUANTITE DETENUES'!G410)</f>
        <v/>
      </c>
      <c r="H409" s="299" t="str">
        <f>IF(G409="","",PRIX!H410*'QUANTITE DETENUES'!H410)</f>
        <v/>
      </c>
      <c r="I409" s="299" t="str">
        <f>IF(H409="","",PRIX!I410*'QUANTITE DETENUES'!I410)</f>
        <v/>
      </c>
      <c r="J409" s="299" t="str">
        <f>IF(I409="","",PRIX!J410*'QUANTITE DETENUES'!J410)</f>
        <v/>
      </c>
      <c r="K409" s="299" t="str">
        <f>IF(J409="","",PRIX!K410*'QUANTITE DETENUES'!K410)</f>
        <v/>
      </c>
      <c r="L409" s="299" t="str">
        <f>IF(K409="","",PRIX!L410*'QUANTITE DETENUES'!L410)</f>
        <v/>
      </c>
      <c r="M409" s="299" t="str">
        <f>IF(L409="","",PRIX!M410*'QUANTITE DETENUES'!M410)</f>
        <v/>
      </c>
      <c r="N409" s="299" t="str">
        <f>IF(M409="","",PRIX!N410*'QUANTITE DETENUES'!N410)</f>
        <v/>
      </c>
      <c r="O409" s="299" t="str">
        <f>IF(N409="","",PRIX!O410*'QUANTITE DETENUES'!O410)</f>
        <v/>
      </c>
      <c r="P409" s="299" t="str">
        <f>IF(O409="","",PRIX!P410*'QUANTITE DETENUES'!P410)</f>
        <v/>
      </c>
      <c r="Q409" s="299" t="str">
        <f>IF(P409="","",PRIX!Q410*'QUANTITE DETENUES'!Q410)</f>
        <v/>
      </c>
      <c r="R409" s="299" t="str">
        <f>IF(Q409="","",PRIX!R410*'QUANTITE DETENUES'!R410)</f>
        <v/>
      </c>
      <c r="S409" s="300" t="str">
        <f>IF(R409="","",PRIX!S410*'QUANTITE DETENUES'!S410)</f>
        <v/>
      </c>
      <c r="T409" s="14" t="str">
        <f>IF(A409="","",ARBITRAGES!M410)</f>
        <v/>
      </c>
      <c r="U409" s="301" t="str">
        <f t="shared" si="1"/>
        <v/>
      </c>
      <c r="V409" s="302" t="str">
        <f t="shared" si="2"/>
        <v/>
      </c>
      <c r="W409" s="288"/>
      <c r="X409" s="220"/>
      <c r="Y409" s="220"/>
      <c r="Z409" s="220"/>
      <c r="AA409" s="220"/>
      <c r="AB409" s="220"/>
      <c r="AC409" s="220"/>
      <c r="AD409" s="220"/>
      <c r="AE409" s="220"/>
      <c r="AF409" s="220"/>
      <c r="AG409" s="220"/>
      <c r="AH409" s="308"/>
      <c r="AI409" s="220"/>
      <c r="AJ409" s="220"/>
      <c r="AK409" s="220"/>
      <c r="AL409" s="220"/>
      <c r="AM409" s="220"/>
      <c r="AN409" s="220"/>
      <c r="AO409" s="220"/>
      <c r="AP409" s="220"/>
      <c r="AQ409" s="220"/>
      <c r="AR409" s="220"/>
      <c r="AS409" s="220"/>
      <c r="AT409" s="220"/>
      <c r="AU409" s="220"/>
      <c r="AV409" s="220"/>
      <c r="AW409" s="220"/>
      <c r="AX409" s="220"/>
      <c r="AY409" s="220"/>
      <c r="AZ409" s="220"/>
      <c r="BA409" s="220"/>
    </row>
    <row r="410">
      <c r="A410" s="290" t="str">
        <f>PRIX!A411</f>
        <v/>
      </c>
      <c r="B410" s="299" t="str">
        <f>IF(A410="","",PRIX!B411*'QUANTITE DETENUES'!B411)</f>
        <v/>
      </c>
      <c r="C410" s="299" t="str">
        <f>IF(B410="","",PRIX!C411*'QUANTITE DETENUES'!C411)</f>
        <v/>
      </c>
      <c r="D410" s="299" t="str">
        <f>IF(C410="","",PRIX!D411*'QUANTITE DETENUES'!D411)</f>
        <v/>
      </c>
      <c r="E410" s="299" t="str">
        <f>IF(D410="","",PRIX!E411*'QUANTITE DETENUES'!E411)</f>
        <v/>
      </c>
      <c r="F410" s="299" t="str">
        <f>IF(E410="","",PRIX!F411*'QUANTITE DETENUES'!F411)</f>
        <v/>
      </c>
      <c r="G410" s="299" t="str">
        <f>IF(F410="","",PRIX!G411*'QUANTITE DETENUES'!G411)</f>
        <v/>
      </c>
      <c r="H410" s="299" t="str">
        <f>IF(G410="","",PRIX!H411*'QUANTITE DETENUES'!H411)</f>
        <v/>
      </c>
      <c r="I410" s="299" t="str">
        <f>IF(H410="","",PRIX!I411*'QUANTITE DETENUES'!I411)</f>
        <v/>
      </c>
      <c r="J410" s="299" t="str">
        <f>IF(I410="","",PRIX!J411*'QUANTITE DETENUES'!J411)</f>
        <v/>
      </c>
      <c r="K410" s="299" t="str">
        <f>IF(J410="","",PRIX!K411*'QUANTITE DETENUES'!K411)</f>
        <v/>
      </c>
      <c r="L410" s="299" t="str">
        <f>IF(K410="","",PRIX!L411*'QUANTITE DETENUES'!L411)</f>
        <v/>
      </c>
      <c r="M410" s="299" t="str">
        <f>IF(L410="","",PRIX!M411*'QUANTITE DETENUES'!M411)</f>
        <v/>
      </c>
      <c r="N410" s="299" t="str">
        <f>IF(M410="","",PRIX!N411*'QUANTITE DETENUES'!N411)</f>
        <v/>
      </c>
      <c r="O410" s="299" t="str">
        <f>IF(N410="","",PRIX!O411*'QUANTITE DETENUES'!O411)</f>
        <v/>
      </c>
      <c r="P410" s="299" t="str">
        <f>IF(O410="","",PRIX!P411*'QUANTITE DETENUES'!P411)</f>
        <v/>
      </c>
      <c r="Q410" s="299" t="str">
        <f>IF(P410="","",PRIX!Q411*'QUANTITE DETENUES'!Q411)</f>
        <v/>
      </c>
      <c r="R410" s="299" t="str">
        <f>IF(Q410="","",PRIX!R411*'QUANTITE DETENUES'!R411)</f>
        <v/>
      </c>
      <c r="S410" s="300" t="str">
        <f>IF(R410="","",PRIX!S411*'QUANTITE DETENUES'!S411)</f>
        <v/>
      </c>
      <c r="T410" s="14" t="str">
        <f>IF(A410="","",ARBITRAGES!M411)</f>
        <v/>
      </c>
      <c r="U410" s="301" t="str">
        <f t="shared" si="1"/>
        <v/>
      </c>
      <c r="V410" s="302" t="str">
        <f t="shared" si="2"/>
        <v/>
      </c>
      <c r="W410" s="288"/>
      <c r="X410" s="220"/>
      <c r="Y410" s="220"/>
      <c r="Z410" s="220"/>
      <c r="AA410" s="220"/>
      <c r="AB410" s="220"/>
      <c r="AC410" s="220"/>
      <c r="AD410" s="220"/>
      <c r="AE410" s="220"/>
      <c r="AF410" s="220"/>
      <c r="AG410" s="220"/>
      <c r="AH410" s="308"/>
      <c r="AI410" s="220"/>
      <c r="AJ410" s="220"/>
      <c r="AK410" s="220"/>
      <c r="AL410" s="220"/>
      <c r="AM410" s="220"/>
      <c r="AN410" s="220"/>
      <c r="AO410" s="220"/>
      <c r="AP410" s="220"/>
      <c r="AQ410" s="220"/>
      <c r="AR410" s="220"/>
      <c r="AS410" s="220"/>
      <c r="AT410" s="220"/>
      <c r="AU410" s="220"/>
      <c r="AV410" s="220"/>
      <c r="AW410" s="220"/>
      <c r="AX410" s="220"/>
      <c r="AY410" s="220"/>
      <c r="AZ410" s="220"/>
      <c r="BA410" s="220"/>
    </row>
    <row r="411">
      <c r="A411" s="290" t="str">
        <f>PRIX!A412</f>
        <v/>
      </c>
      <c r="B411" s="299" t="str">
        <f>IF(A411="","",PRIX!B412*'QUANTITE DETENUES'!B412)</f>
        <v/>
      </c>
      <c r="C411" s="299" t="str">
        <f>IF(B411="","",PRIX!C412*'QUANTITE DETENUES'!C412)</f>
        <v/>
      </c>
      <c r="D411" s="299" t="str">
        <f>IF(C411="","",PRIX!D412*'QUANTITE DETENUES'!D412)</f>
        <v/>
      </c>
      <c r="E411" s="299" t="str">
        <f>IF(D411="","",PRIX!E412*'QUANTITE DETENUES'!E412)</f>
        <v/>
      </c>
      <c r="F411" s="299" t="str">
        <f>IF(E411="","",PRIX!F412*'QUANTITE DETENUES'!F412)</f>
        <v/>
      </c>
      <c r="G411" s="299" t="str">
        <f>IF(F411="","",PRIX!G412*'QUANTITE DETENUES'!G412)</f>
        <v/>
      </c>
      <c r="H411" s="299" t="str">
        <f>IF(G411="","",PRIX!H412*'QUANTITE DETENUES'!H412)</f>
        <v/>
      </c>
      <c r="I411" s="299" t="str">
        <f>IF(H411="","",PRIX!I412*'QUANTITE DETENUES'!I412)</f>
        <v/>
      </c>
      <c r="J411" s="299" t="str">
        <f>IF(I411="","",PRIX!J412*'QUANTITE DETENUES'!J412)</f>
        <v/>
      </c>
      <c r="K411" s="299" t="str">
        <f>IF(J411="","",PRIX!K412*'QUANTITE DETENUES'!K412)</f>
        <v/>
      </c>
      <c r="L411" s="299" t="str">
        <f>IF(K411="","",PRIX!L412*'QUANTITE DETENUES'!L412)</f>
        <v/>
      </c>
      <c r="M411" s="299" t="str">
        <f>IF(L411="","",PRIX!M412*'QUANTITE DETENUES'!M412)</f>
        <v/>
      </c>
      <c r="N411" s="299" t="str">
        <f>IF(M411="","",PRIX!N412*'QUANTITE DETENUES'!N412)</f>
        <v/>
      </c>
      <c r="O411" s="299" t="str">
        <f>IF(N411="","",PRIX!O412*'QUANTITE DETENUES'!O412)</f>
        <v/>
      </c>
      <c r="P411" s="299" t="str">
        <f>IF(O411="","",PRIX!P412*'QUANTITE DETENUES'!P412)</f>
        <v/>
      </c>
      <c r="Q411" s="299" t="str">
        <f>IF(P411="","",PRIX!Q412*'QUANTITE DETENUES'!Q412)</f>
        <v/>
      </c>
      <c r="R411" s="299" t="str">
        <f>IF(Q411="","",PRIX!R412*'QUANTITE DETENUES'!R412)</f>
        <v/>
      </c>
      <c r="S411" s="300" t="str">
        <f>IF(R411="","",PRIX!S412*'QUANTITE DETENUES'!S412)</f>
        <v/>
      </c>
      <c r="T411" s="14" t="str">
        <f>IF(A411="","",ARBITRAGES!M412)</f>
        <v/>
      </c>
      <c r="U411" s="301" t="str">
        <f t="shared" si="1"/>
        <v/>
      </c>
      <c r="V411" s="302" t="str">
        <f t="shared" si="2"/>
        <v/>
      </c>
      <c r="W411" s="288"/>
      <c r="X411" s="220"/>
      <c r="Y411" s="220"/>
      <c r="Z411" s="220"/>
      <c r="AA411" s="220"/>
      <c r="AB411" s="220"/>
      <c r="AC411" s="220"/>
      <c r="AD411" s="220"/>
      <c r="AE411" s="220"/>
      <c r="AF411" s="220"/>
      <c r="AG411" s="220"/>
      <c r="AH411" s="308"/>
      <c r="AI411" s="220"/>
      <c r="AJ411" s="220"/>
      <c r="AK411" s="220"/>
      <c r="AL411" s="220"/>
      <c r="AM411" s="220"/>
      <c r="AN411" s="220"/>
      <c r="AO411" s="220"/>
      <c r="AP411" s="220"/>
      <c r="AQ411" s="220"/>
      <c r="AR411" s="220"/>
      <c r="AS411" s="220"/>
      <c r="AT411" s="220"/>
      <c r="AU411" s="220"/>
      <c r="AV411" s="220"/>
      <c r="AW411" s="220"/>
      <c r="AX411" s="220"/>
      <c r="AY411" s="220"/>
      <c r="AZ411" s="220"/>
      <c r="BA411" s="220"/>
    </row>
    <row r="412">
      <c r="A412" s="290" t="str">
        <f>PRIX!A413</f>
        <v/>
      </c>
      <c r="B412" s="299" t="str">
        <f>IF(A412="","",PRIX!B413*'QUANTITE DETENUES'!B413)</f>
        <v/>
      </c>
      <c r="C412" s="299" t="str">
        <f>IF(B412="","",PRIX!C413*'QUANTITE DETENUES'!C413)</f>
        <v/>
      </c>
      <c r="D412" s="299" t="str">
        <f>IF(C412="","",PRIX!D413*'QUANTITE DETENUES'!D413)</f>
        <v/>
      </c>
      <c r="E412" s="299" t="str">
        <f>IF(D412="","",PRIX!E413*'QUANTITE DETENUES'!E413)</f>
        <v/>
      </c>
      <c r="F412" s="299" t="str">
        <f>IF(E412="","",PRIX!F413*'QUANTITE DETENUES'!F413)</f>
        <v/>
      </c>
      <c r="G412" s="299" t="str">
        <f>IF(F412="","",PRIX!G413*'QUANTITE DETENUES'!G413)</f>
        <v/>
      </c>
      <c r="H412" s="299" t="str">
        <f>IF(G412="","",PRIX!H413*'QUANTITE DETENUES'!H413)</f>
        <v/>
      </c>
      <c r="I412" s="299" t="str">
        <f>IF(H412="","",PRIX!I413*'QUANTITE DETENUES'!I413)</f>
        <v/>
      </c>
      <c r="J412" s="299" t="str">
        <f>IF(I412="","",PRIX!J413*'QUANTITE DETENUES'!J413)</f>
        <v/>
      </c>
      <c r="K412" s="299" t="str">
        <f>IF(J412="","",PRIX!K413*'QUANTITE DETENUES'!K413)</f>
        <v/>
      </c>
      <c r="L412" s="299" t="str">
        <f>IF(K412="","",PRIX!L413*'QUANTITE DETENUES'!L413)</f>
        <v/>
      </c>
      <c r="M412" s="299" t="str">
        <f>IF(L412="","",PRIX!M413*'QUANTITE DETENUES'!M413)</f>
        <v/>
      </c>
      <c r="N412" s="299" t="str">
        <f>IF(M412="","",PRIX!N413*'QUANTITE DETENUES'!N413)</f>
        <v/>
      </c>
      <c r="O412" s="299" t="str">
        <f>IF(N412="","",PRIX!O413*'QUANTITE DETENUES'!O413)</f>
        <v/>
      </c>
      <c r="P412" s="299" t="str">
        <f>IF(O412="","",PRIX!P413*'QUANTITE DETENUES'!P413)</f>
        <v/>
      </c>
      <c r="Q412" s="299" t="str">
        <f>IF(P412="","",PRIX!Q413*'QUANTITE DETENUES'!Q413)</f>
        <v/>
      </c>
      <c r="R412" s="299" t="str">
        <f>IF(Q412="","",PRIX!R413*'QUANTITE DETENUES'!R413)</f>
        <v/>
      </c>
      <c r="S412" s="300" t="str">
        <f>IF(R412="","",PRIX!S413*'QUANTITE DETENUES'!S413)</f>
        <v/>
      </c>
      <c r="T412" s="14" t="str">
        <f>IF(A412="","",ARBITRAGES!M413)</f>
        <v/>
      </c>
      <c r="U412" s="301" t="str">
        <f t="shared" si="1"/>
        <v/>
      </c>
      <c r="V412" s="302" t="str">
        <f t="shared" si="2"/>
        <v/>
      </c>
      <c r="W412" s="288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220"/>
      <c r="AH412" s="308"/>
      <c r="AI412" s="220"/>
      <c r="AJ412" s="220"/>
      <c r="AK412" s="220"/>
      <c r="AL412" s="220"/>
      <c r="AM412" s="220"/>
      <c r="AN412" s="220"/>
      <c r="AO412" s="220"/>
      <c r="AP412" s="220"/>
      <c r="AQ412" s="220"/>
      <c r="AR412" s="220"/>
      <c r="AS412" s="220"/>
      <c r="AT412" s="220"/>
      <c r="AU412" s="220"/>
      <c r="AV412" s="220"/>
      <c r="AW412" s="220"/>
      <c r="AX412" s="220"/>
      <c r="AY412" s="220"/>
      <c r="AZ412" s="220"/>
      <c r="BA412" s="220"/>
    </row>
    <row r="413">
      <c r="A413" s="290" t="str">
        <f>PRIX!A414</f>
        <v/>
      </c>
      <c r="B413" s="299" t="str">
        <f>IF(A413="","",PRIX!B414*'QUANTITE DETENUES'!B414)</f>
        <v/>
      </c>
      <c r="C413" s="299" t="str">
        <f>IF(B413="","",PRIX!C414*'QUANTITE DETENUES'!C414)</f>
        <v/>
      </c>
      <c r="D413" s="299" t="str">
        <f>IF(C413="","",PRIX!D414*'QUANTITE DETENUES'!D414)</f>
        <v/>
      </c>
      <c r="E413" s="299" t="str">
        <f>IF(D413="","",PRIX!E414*'QUANTITE DETENUES'!E414)</f>
        <v/>
      </c>
      <c r="F413" s="299" t="str">
        <f>IF(E413="","",PRIX!F414*'QUANTITE DETENUES'!F414)</f>
        <v/>
      </c>
      <c r="G413" s="299" t="str">
        <f>IF(F413="","",PRIX!G414*'QUANTITE DETENUES'!G414)</f>
        <v/>
      </c>
      <c r="H413" s="299" t="str">
        <f>IF(G413="","",PRIX!H414*'QUANTITE DETENUES'!H414)</f>
        <v/>
      </c>
      <c r="I413" s="299" t="str">
        <f>IF(H413="","",PRIX!I414*'QUANTITE DETENUES'!I414)</f>
        <v/>
      </c>
      <c r="J413" s="299" t="str">
        <f>IF(I413="","",PRIX!J414*'QUANTITE DETENUES'!J414)</f>
        <v/>
      </c>
      <c r="K413" s="299" t="str">
        <f>IF(J413="","",PRIX!K414*'QUANTITE DETENUES'!K414)</f>
        <v/>
      </c>
      <c r="L413" s="299" t="str">
        <f>IF(K413="","",PRIX!L414*'QUANTITE DETENUES'!L414)</f>
        <v/>
      </c>
      <c r="M413" s="299" t="str">
        <f>IF(L413="","",PRIX!M414*'QUANTITE DETENUES'!M414)</f>
        <v/>
      </c>
      <c r="N413" s="299" t="str">
        <f>IF(M413="","",PRIX!N414*'QUANTITE DETENUES'!N414)</f>
        <v/>
      </c>
      <c r="O413" s="299" t="str">
        <f>IF(N413="","",PRIX!O414*'QUANTITE DETENUES'!O414)</f>
        <v/>
      </c>
      <c r="P413" s="299" t="str">
        <f>IF(O413="","",PRIX!P414*'QUANTITE DETENUES'!P414)</f>
        <v/>
      </c>
      <c r="Q413" s="299" t="str">
        <f>IF(P413="","",PRIX!Q414*'QUANTITE DETENUES'!Q414)</f>
        <v/>
      </c>
      <c r="R413" s="299" t="str">
        <f>IF(Q413="","",PRIX!R414*'QUANTITE DETENUES'!R414)</f>
        <v/>
      </c>
      <c r="S413" s="300" t="str">
        <f>IF(R413="","",PRIX!S414*'QUANTITE DETENUES'!S414)</f>
        <v/>
      </c>
      <c r="T413" s="14" t="str">
        <f>IF(A413="","",ARBITRAGES!M414)</f>
        <v/>
      </c>
      <c r="U413" s="301" t="str">
        <f t="shared" si="1"/>
        <v/>
      </c>
      <c r="V413" s="302" t="str">
        <f t="shared" si="2"/>
        <v/>
      </c>
      <c r="W413" s="288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220"/>
      <c r="AH413" s="308"/>
      <c r="AI413" s="220"/>
      <c r="AJ413" s="220"/>
      <c r="AK413" s="220"/>
      <c r="AL413" s="220"/>
      <c r="AM413" s="220"/>
      <c r="AN413" s="220"/>
      <c r="AO413" s="220"/>
      <c r="AP413" s="220"/>
      <c r="AQ413" s="220"/>
      <c r="AR413" s="220"/>
      <c r="AS413" s="220"/>
      <c r="AT413" s="220"/>
      <c r="AU413" s="220"/>
      <c r="AV413" s="220"/>
      <c r="AW413" s="220"/>
      <c r="AX413" s="220"/>
      <c r="AY413" s="220"/>
      <c r="AZ413" s="220"/>
      <c r="BA413" s="220"/>
    </row>
    <row r="414">
      <c r="A414" s="290" t="str">
        <f>PRIX!A415</f>
        <v/>
      </c>
      <c r="B414" s="299" t="str">
        <f>IF(A414="","",PRIX!B415*'QUANTITE DETENUES'!B415)</f>
        <v/>
      </c>
      <c r="C414" s="299" t="str">
        <f>IF(B414="","",PRIX!C415*'QUANTITE DETENUES'!C415)</f>
        <v/>
      </c>
      <c r="D414" s="299" t="str">
        <f>IF(C414="","",PRIX!D415*'QUANTITE DETENUES'!D415)</f>
        <v/>
      </c>
      <c r="E414" s="299" t="str">
        <f>IF(D414="","",PRIX!E415*'QUANTITE DETENUES'!E415)</f>
        <v/>
      </c>
      <c r="F414" s="299" t="str">
        <f>IF(E414="","",PRIX!F415*'QUANTITE DETENUES'!F415)</f>
        <v/>
      </c>
      <c r="G414" s="299" t="str">
        <f>IF(F414="","",PRIX!G415*'QUANTITE DETENUES'!G415)</f>
        <v/>
      </c>
      <c r="H414" s="299" t="str">
        <f>IF(G414="","",PRIX!H415*'QUANTITE DETENUES'!H415)</f>
        <v/>
      </c>
      <c r="I414" s="299" t="str">
        <f>IF(H414="","",PRIX!I415*'QUANTITE DETENUES'!I415)</f>
        <v/>
      </c>
      <c r="J414" s="299" t="str">
        <f>IF(I414="","",PRIX!J415*'QUANTITE DETENUES'!J415)</f>
        <v/>
      </c>
      <c r="K414" s="299" t="str">
        <f>IF(J414="","",PRIX!K415*'QUANTITE DETENUES'!K415)</f>
        <v/>
      </c>
      <c r="L414" s="299" t="str">
        <f>IF(K414="","",PRIX!L415*'QUANTITE DETENUES'!L415)</f>
        <v/>
      </c>
      <c r="M414" s="299" t="str">
        <f>IF(L414="","",PRIX!M415*'QUANTITE DETENUES'!M415)</f>
        <v/>
      </c>
      <c r="N414" s="299" t="str">
        <f>IF(M414="","",PRIX!N415*'QUANTITE DETENUES'!N415)</f>
        <v/>
      </c>
      <c r="O414" s="299" t="str">
        <f>IF(N414="","",PRIX!O415*'QUANTITE DETENUES'!O415)</f>
        <v/>
      </c>
      <c r="P414" s="299" t="str">
        <f>IF(O414="","",PRIX!P415*'QUANTITE DETENUES'!P415)</f>
        <v/>
      </c>
      <c r="Q414" s="299" t="str">
        <f>IF(P414="","",PRIX!Q415*'QUANTITE DETENUES'!Q415)</f>
        <v/>
      </c>
      <c r="R414" s="299" t="str">
        <f>IF(Q414="","",PRIX!R415*'QUANTITE DETENUES'!R415)</f>
        <v/>
      </c>
      <c r="S414" s="300" t="str">
        <f>IF(R414="","",PRIX!S415*'QUANTITE DETENUES'!S415)</f>
        <v/>
      </c>
      <c r="T414" s="14" t="str">
        <f>IF(A414="","",ARBITRAGES!M415)</f>
        <v/>
      </c>
      <c r="U414" s="301" t="str">
        <f t="shared" si="1"/>
        <v/>
      </c>
      <c r="V414" s="302" t="str">
        <f t="shared" si="2"/>
        <v/>
      </c>
      <c r="W414" s="288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308"/>
      <c r="AI414" s="220"/>
      <c r="AJ414" s="220"/>
      <c r="AK414" s="220"/>
      <c r="AL414" s="220"/>
      <c r="AM414" s="220"/>
      <c r="AN414" s="220"/>
      <c r="AO414" s="220"/>
      <c r="AP414" s="220"/>
      <c r="AQ414" s="220"/>
      <c r="AR414" s="220"/>
      <c r="AS414" s="220"/>
      <c r="AT414" s="220"/>
      <c r="AU414" s="220"/>
      <c r="AV414" s="220"/>
      <c r="AW414" s="220"/>
      <c r="AX414" s="220"/>
      <c r="AY414" s="220"/>
      <c r="AZ414" s="220"/>
      <c r="BA414" s="220"/>
    </row>
    <row r="415">
      <c r="A415" s="290" t="str">
        <f>PRIX!A416</f>
        <v/>
      </c>
      <c r="B415" s="299" t="str">
        <f>IF(A415="","",PRIX!B416*'QUANTITE DETENUES'!B416)</f>
        <v/>
      </c>
      <c r="C415" s="299" t="str">
        <f>IF(B415="","",PRIX!C416*'QUANTITE DETENUES'!C416)</f>
        <v/>
      </c>
      <c r="D415" s="299" t="str">
        <f>IF(C415="","",PRIX!D416*'QUANTITE DETENUES'!D416)</f>
        <v/>
      </c>
      <c r="E415" s="299" t="str">
        <f>IF(D415="","",PRIX!E416*'QUANTITE DETENUES'!E416)</f>
        <v/>
      </c>
      <c r="F415" s="299" t="str">
        <f>IF(E415="","",PRIX!F416*'QUANTITE DETENUES'!F416)</f>
        <v/>
      </c>
      <c r="G415" s="299" t="str">
        <f>IF(F415="","",PRIX!G416*'QUANTITE DETENUES'!G416)</f>
        <v/>
      </c>
      <c r="H415" s="299" t="str">
        <f>IF(G415="","",PRIX!H416*'QUANTITE DETENUES'!H416)</f>
        <v/>
      </c>
      <c r="I415" s="299" t="str">
        <f>IF(H415="","",PRIX!I416*'QUANTITE DETENUES'!I416)</f>
        <v/>
      </c>
      <c r="J415" s="299" t="str">
        <f>IF(I415="","",PRIX!J416*'QUANTITE DETENUES'!J416)</f>
        <v/>
      </c>
      <c r="K415" s="299" t="str">
        <f>IF(J415="","",PRIX!K416*'QUANTITE DETENUES'!K416)</f>
        <v/>
      </c>
      <c r="L415" s="299" t="str">
        <f>IF(K415="","",PRIX!L416*'QUANTITE DETENUES'!L416)</f>
        <v/>
      </c>
      <c r="M415" s="299" t="str">
        <f>IF(L415="","",PRIX!M416*'QUANTITE DETENUES'!M416)</f>
        <v/>
      </c>
      <c r="N415" s="299" t="str">
        <f>IF(M415="","",PRIX!N416*'QUANTITE DETENUES'!N416)</f>
        <v/>
      </c>
      <c r="O415" s="299" t="str">
        <f>IF(N415="","",PRIX!O416*'QUANTITE DETENUES'!O416)</f>
        <v/>
      </c>
      <c r="P415" s="299" t="str">
        <f>IF(O415="","",PRIX!P416*'QUANTITE DETENUES'!P416)</f>
        <v/>
      </c>
      <c r="Q415" s="299" t="str">
        <f>IF(P415="","",PRIX!Q416*'QUANTITE DETENUES'!Q416)</f>
        <v/>
      </c>
      <c r="R415" s="299" t="str">
        <f>IF(Q415="","",PRIX!R416*'QUANTITE DETENUES'!R416)</f>
        <v/>
      </c>
      <c r="S415" s="300" t="str">
        <f>IF(R415="","",PRIX!S416*'QUANTITE DETENUES'!S416)</f>
        <v/>
      </c>
      <c r="T415" s="14" t="str">
        <f>IF(A415="","",ARBITRAGES!M416)</f>
        <v/>
      </c>
      <c r="U415" s="301" t="str">
        <f t="shared" si="1"/>
        <v/>
      </c>
      <c r="V415" s="302" t="str">
        <f t="shared" si="2"/>
        <v/>
      </c>
      <c r="W415" s="288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308"/>
      <c r="AI415" s="220"/>
      <c r="AJ415" s="220"/>
      <c r="AK415" s="220"/>
      <c r="AL415" s="220"/>
      <c r="AM415" s="220"/>
      <c r="AN415" s="220"/>
      <c r="AO415" s="220"/>
      <c r="AP415" s="220"/>
      <c r="AQ415" s="220"/>
      <c r="AR415" s="220"/>
      <c r="AS415" s="220"/>
      <c r="AT415" s="220"/>
      <c r="AU415" s="220"/>
      <c r="AV415" s="220"/>
      <c r="AW415" s="220"/>
      <c r="AX415" s="220"/>
      <c r="AY415" s="220"/>
      <c r="AZ415" s="220"/>
      <c r="BA415" s="220"/>
    </row>
    <row r="416">
      <c r="A416" s="290" t="str">
        <f>PRIX!A417</f>
        <v/>
      </c>
      <c r="B416" s="299" t="str">
        <f>IF(A416="","",PRIX!B417*'QUANTITE DETENUES'!B417)</f>
        <v/>
      </c>
      <c r="C416" s="299" t="str">
        <f>IF(B416="","",PRIX!C417*'QUANTITE DETENUES'!C417)</f>
        <v/>
      </c>
      <c r="D416" s="299" t="str">
        <f>IF(C416="","",PRIX!D417*'QUANTITE DETENUES'!D417)</f>
        <v/>
      </c>
      <c r="E416" s="299" t="str">
        <f>IF(D416="","",PRIX!E417*'QUANTITE DETENUES'!E417)</f>
        <v/>
      </c>
      <c r="F416" s="299" t="str">
        <f>IF(E416="","",PRIX!F417*'QUANTITE DETENUES'!F417)</f>
        <v/>
      </c>
      <c r="G416" s="299" t="str">
        <f>IF(F416="","",PRIX!G417*'QUANTITE DETENUES'!G417)</f>
        <v/>
      </c>
      <c r="H416" s="299" t="str">
        <f>IF(G416="","",PRIX!H417*'QUANTITE DETENUES'!H417)</f>
        <v/>
      </c>
      <c r="I416" s="299" t="str">
        <f>IF(H416="","",PRIX!I417*'QUANTITE DETENUES'!I417)</f>
        <v/>
      </c>
      <c r="J416" s="299" t="str">
        <f>IF(I416="","",PRIX!J417*'QUANTITE DETENUES'!J417)</f>
        <v/>
      </c>
      <c r="K416" s="299" t="str">
        <f>IF(J416="","",PRIX!K417*'QUANTITE DETENUES'!K417)</f>
        <v/>
      </c>
      <c r="L416" s="299" t="str">
        <f>IF(K416="","",PRIX!L417*'QUANTITE DETENUES'!L417)</f>
        <v/>
      </c>
      <c r="M416" s="299" t="str">
        <f>IF(L416="","",PRIX!M417*'QUANTITE DETENUES'!M417)</f>
        <v/>
      </c>
      <c r="N416" s="299" t="str">
        <f>IF(M416="","",PRIX!N417*'QUANTITE DETENUES'!N417)</f>
        <v/>
      </c>
      <c r="O416" s="299" t="str">
        <f>IF(N416="","",PRIX!O417*'QUANTITE DETENUES'!O417)</f>
        <v/>
      </c>
      <c r="P416" s="299" t="str">
        <f>IF(O416="","",PRIX!P417*'QUANTITE DETENUES'!P417)</f>
        <v/>
      </c>
      <c r="Q416" s="299" t="str">
        <f>IF(P416="","",PRIX!Q417*'QUANTITE DETENUES'!Q417)</f>
        <v/>
      </c>
      <c r="R416" s="299" t="str">
        <f>IF(Q416="","",PRIX!R417*'QUANTITE DETENUES'!R417)</f>
        <v/>
      </c>
      <c r="S416" s="300" t="str">
        <f>IF(R416="","",PRIX!S417*'QUANTITE DETENUES'!S417)</f>
        <v/>
      </c>
      <c r="T416" s="14" t="str">
        <f>IF(A416="","",ARBITRAGES!M417)</f>
        <v/>
      </c>
      <c r="U416" s="301" t="str">
        <f t="shared" si="1"/>
        <v/>
      </c>
      <c r="V416" s="302" t="str">
        <f t="shared" si="2"/>
        <v/>
      </c>
      <c r="W416" s="288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308"/>
      <c r="AI416" s="220"/>
      <c r="AJ416" s="220"/>
      <c r="AK416" s="220"/>
      <c r="AL416" s="220"/>
      <c r="AM416" s="220"/>
      <c r="AN416" s="220"/>
      <c r="AO416" s="220"/>
      <c r="AP416" s="220"/>
      <c r="AQ416" s="220"/>
      <c r="AR416" s="220"/>
      <c r="AS416" s="220"/>
      <c r="AT416" s="220"/>
      <c r="AU416" s="220"/>
      <c r="AV416" s="220"/>
      <c r="AW416" s="220"/>
      <c r="AX416" s="220"/>
      <c r="AY416" s="220"/>
      <c r="AZ416" s="220"/>
      <c r="BA416" s="220"/>
    </row>
    <row r="417">
      <c r="A417" s="290" t="str">
        <f>PRIX!A418</f>
        <v/>
      </c>
      <c r="B417" s="299" t="str">
        <f>IF(A417="","",PRIX!B418*'QUANTITE DETENUES'!B418)</f>
        <v/>
      </c>
      <c r="C417" s="299" t="str">
        <f>IF(B417="","",PRIX!C418*'QUANTITE DETENUES'!C418)</f>
        <v/>
      </c>
      <c r="D417" s="299" t="str">
        <f>IF(C417="","",PRIX!D418*'QUANTITE DETENUES'!D418)</f>
        <v/>
      </c>
      <c r="E417" s="299" t="str">
        <f>IF(D417="","",PRIX!E418*'QUANTITE DETENUES'!E418)</f>
        <v/>
      </c>
      <c r="F417" s="299" t="str">
        <f>IF(E417="","",PRIX!F418*'QUANTITE DETENUES'!F418)</f>
        <v/>
      </c>
      <c r="G417" s="299" t="str">
        <f>IF(F417="","",PRIX!G418*'QUANTITE DETENUES'!G418)</f>
        <v/>
      </c>
      <c r="H417" s="299" t="str">
        <f>IF(G417="","",PRIX!H418*'QUANTITE DETENUES'!H418)</f>
        <v/>
      </c>
      <c r="I417" s="299" t="str">
        <f>IF(H417="","",PRIX!I418*'QUANTITE DETENUES'!I418)</f>
        <v/>
      </c>
      <c r="J417" s="299" t="str">
        <f>IF(I417="","",PRIX!J418*'QUANTITE DETENUES'!J418)</f>
        <v/>
      </c>
      <c r="K417" s="299" t="str">
        <f>IF(J417="","",PRIX!K418*'QUANTITE DETENUES'!K418)</f>
        <v/>
      </c>
      <c r="L417" s="299" t="str">
        <f>IF(K417="","",PRIX!L418*'QUANTITE DETENUES'!L418)</f>
        <v/>
      </c>
      <c r="M417" s="299" t="str">
        <f>IF(L417="","",PRIX!M418*'QUANTITE DETENUES'!M418)</f>
        <v/>
      </c>
      <c r="N417" s="299" t="str">
        <f>IF(M417="","",PRIX!N418*'QUANTITE DETENUES'!N418)</f>
        <v/>
      </c>
      <c r="O417" s="299" t="str">
        <f>IF(N417="","",PRIX!O418*'QUANTITE DETENUES'!O418)</f>
        <v/>
      </c>
      <c r="P417" s="299" t="str">
        <f>IF(O417="","",PRIX!P418*'QUANTITE DETENUES'!P418)</f>
        <v/>
      </c>
      <c r="Q417" s="299" t="str">
        <f>IF(P417="","",PRIX!Q418*'QUANTITE DETENUES'!Q418)</f>
        <v/>
      </c>
      <c r="R417" s="299" t="str">
        <f>IF(Q417="","",PRIX!R418*'QUANTITE DETENUES'!R418)</f>
        <v/>
      </c>
      <c r="S417" s="300" t="str">
        <f>IF(R417="","",PRIX!S418*'QUANTITE DETENUES'!S418)</f>
        <v/>
      </c>
      <c r="T417" s="14" t="str">
        <f>IF(A417="","",ARBITRAGES!M418)</f>
        <v/>
      </c>
      <c r="U417" s="301" t="str">
        <f t="shared" si="1"/>
        <v/>
      </c>
      <c r="V417" s="302" t="str">
        <f t="shared" si="2"/>
        <v/>
      </c>
      <c r="W417" s="288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308"/>
      <c r="AI417" s="220"/>
      <c r="AJ417" s="220"/>
      <c r="AK417" s="220"/>
      <c r="AL417" s="220"/>
      <c r="AM417" s="220"/>
      <c r="AN417" s="220"/>
      <c r="AO417" s="220"/>
      <c r="AP417" s="220"/>
      <c r="AQ417" s="220"/>
      <c r="AR417" s="220"/>
      <c r="AS417" s="220"/>
      <c r="AT417" s="220"/>
      <c r="AU417" s="220"/>
      <c r="AV417" s="220"/>
      <c r="AW417" s="220"/>
      <c r="AX417" s="220"/>
      <c r="AY417" s="220"/>
      <c r="AZ417" s="220"/>
      <c r="BA417" s="220"/>
    </row>
    <row r="418">
      <c r="A418" s="290" t="str">
        <f>PRIX!A419</f>
        <v/>
      </c>
      <c r="B418" s="299" t="str">
        <f>IF(A418="","",PRIX!B419*'QUANTITE DETENUES'!B419)</f>
        <v/>
      </c>
      <c r="C418" s="299" t="str">
        <f>IF(B418="","",PRIX!C419*'QUANTITE DETENUES'!C419)</f>
        <v/>
      </c>
      <c r="D418" s="299" t="str">
        <f>IF(C418="","",PRIX!D419*'QUANTITE DETENUES'!D419)</f>
        <v/>
      </c>
      <c r="E418" s="299" t="str">
        <f>IF(D418="","",PRIX!E419*'QUANTITE DETENUES'!E419)</f>
        <v/>
      </c>
      <c r="F418" s="299" t="str">
        <f>IF(E418="","",PRIX!F419*'QUANTITE DETENUES'!F419)</f>
        <v/>
      </c>
      <c r="G418" s="299" t="str">
        <f>IF(F418="","",PRIX!G419*'QUANTITE DETENUES'!G419)</f>
        <v/>
      </c>
      <c r="H418" s="299" t="str">
        <f>IF(G418="","",PRIX!H419*'QUANTITE DETENUES'!H419)</f>
        <v/>
      </c>
      <c r="I418" s="299" t="str">
        <f>IF(H418="","",PRIX!I419*'QUANTITE DETENUES'!I419)</f>
        <v/>
      </c>
      <c r="J418" s="299" t="str">
        <f>IF(I418="","",PRIX!J419*'QUANTITE DETENUES'!J419)</f>
        <v/>
      </c>
      <c r="K418" s="299" t="str">
        <f>IF(J418="","",PRIX!K419*'QUANTITE DETENUES'!K419)</f>
        <v/>
      </c>
      <c r="L418" s="299" t="str">
        <f>IF(K418="","",PRIX!L419*'QUANTITE DETENUES'!L419)</f>
        <v/>
      </c>
      <c r="M418" s="299" t="str">
        <f>IF(L418="","",PRIX!M419*'QUANTITE DETENUES'!M419)</f>
        <v/>
      </c>
      <c r="N418" s="299" t="str">
        <f>IF(M418="","",PRIX!N419*'QUANTITE DETENUES'!N419)</f>
        <v/>
      </c>
      <c r="O418" s="299" t="str">
        <f>IF(N418="","",PRIX!O419*'QUANTITE DETENUES'!O419)</f>
        <v/>
      </c>
      <c r="P418" s="299" t="str">
        <f>IF(O418="","",PRIX!P419*'QUANTITE DETENUES'!P419)</f>
        <v/>
      </c>
      <c r="Q418" s="299" t="str">
        <f>IF(P418="","",PRIX!Q419*'QUANTITE DETENUES'!Q419)</f>
        <v/>
      </c>
      <c r="R418" s="299" t="str">
        <f>IF(Q418="","",PRIX!R419*'QUANTITE DETENUES'!R419)</f>
        <v/>
      </c>
      <c r="S418" s="300" t="str">
        <f>IF(R418="","",PRIX!S419*'QUANTITE DETENUES'!S419)</f>
        <v/>
      </c>
      <c r="T418" s="14" t="str">
        <f>IF(A418="","",ARBITRAGES!M419)</f>
        <v/>
      </c>
      <c r="U418" s="301" t="str">
        <f t="shared" si="1"/>
        <v/>
      </c>
      <c r="V418" s="302" t="str">
        <f t="shared" si="2"/>
        <v/>
      </c>
      <c r="W418" s="288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308"/>
      <c r="AI418" s="220"/>
      <c r="AJ418" s="220"/>
      <c r="AK418" s="220"/>
      <c r="AL418" s="220"/>
      <c r="AM418" s="220"/>
      <c r="AN418" s="220"/>
      <c r="AO418" s="220"/>
      <c r="AP418" s="220"/>
      <c r="AQ418" s="220"/>
      <c r="AR418" s="220"/>
      <c r="AS418" s="220"/>
      <c r="AT418" s="220"/>
      <c r="AU418" s="220"/>
      <c r="AV418" s="220"/>
      <c r="AW418" s="220"/>
      <c r="AX418" s="220"/>
      <c r="AY418" s="220"/>
      <c r="AZ418" s="220"/>
      <c r="BA418" s="220"/>
    </row>
    <row r="419">
      <c r="A419" s="240"/>
      <c r="B419" s="311"/>
      <c r="C419" s="311"/>
      <c r="D419" s="312"/>
      <c r="E419" s="311"/>
      <c r="F419" s="311"/>
      <c r="G419" s="312"/>
      <c r="H419" s="312"/>
      <c r="I419" s="313"/>
      <c r="J419" s="314"/>
      <c r="K419" s="313"/>
      <c r="L419" s="313"/>
      <c r="M419" s="313"/>
      <c r="N419" s="315"/>
      <c r="O419" s="313"/>
      <c r="P419" s="313"/>
      <c r="Q419" s="313"/>
      <c r="R419" s="313"/>
      <c r="S419" s="316"/>
      <c r="T419" s="317"/>
      <c r="U419" s="318"/>
      <c r="V419" s="319"/>
      <c r="W419" s="288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308"/>
      <c r="AI419" s="220"/>
      <c r="AJ419" s="220"/>
      <c r="AK419" s="220"/>
      <c r="AL419" s="220"/>
      <c r="AM419" s="220"/>
      <c r="AN419" s="220"/>
      <c r="AO419" s="220"/>
      <c r="AP419" s="220"/>
      <c r="AQ419" s="220"/>
      <c r="AR419" s="220"/>
      <c r="AS419" s="220"/>
      <c r="AT419" s="220"/>
      <c r="AU419" s="220"/>
      <c r="AV419" s="220"/>
      <c r="AW419" s="220"/>
      <c r="AX419" s="220"/>
      <c r="AY419" s="220"/>
      <c r="AZ419" s="220"/>
      <c r="BA419" s="220"/>
    </row>
    <row r="420">
      <c r="A420" s="240"/>
      <c r="B420" s="311"/>
      <c r="C420" s="311"/>
      <c r="D420" s="312"/>
      <c r="E420" s="311"/>
      <c r="F420" s="311"/>
      <c r="G420" s="312"/>
      <c r="H420" s="312"/>
      <c r="I420" s="313"/>
      <c r="J420" s="314"/>
      <c r="K420" s="313"/>
      <c r="L420" s="313"/>
      <c r="M420" s="313"/>
      <c r="N420" s="315"/>
      <c r="O420" s="313"/>
      <c r="P420" s="313"/>
      <c r="Q420" s="313"/>
      <c r="R420" s="313"/>
      <c r="S420" s="316"/>
      <c r="T420" s="317"/>
      <c r="U420" s="318"/>
      <c r="V420" s="319"/>
      <c r="W420" s="288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308"/>
      <c r="AI420" s="220"/>
      <c r="AJ420" s="220"/>
      <c r="AK420" s="220"/>
      <c r="AL420" s="220"/>
      <c r="AM420" s="220"/>
      <c r="AN420" s="220"/>
      <c r="AO420" s="220"/>
      <c r="AP420" s="220"/>
      <c r="AQ420" s="220"/>
      <c r="AR420" s="220"/>
      <c r="AS420" s="220"/>
      <c r="AT420" s="220"/>
      <c r="AU420" s="220"/>
      <c r="AV420" s="220"/>
      <c r="AW420" s="220"/>
      <c r="AX420" s="220"/>
      <c r="AY420" s="220"/>
      <c r="AZ420" s="220"/>
      <c r="BA420" s="220"/>
    </row>
    <row r="421">
      <c r="A421" s="240"/>
      <c r="B421" s="311"/>
      <c r="C421" s="311"/>
      <c r="D421" s="312"/>
      <c r="E421" s="311"/>
      <c r="F421" s="311"/>
      <c r="G421" s="312"/>
      <c r="H421" s="312"/>
      <c r="I421" s="313"/>
      <c r="J421" s="314"/>
      <c r="K421" s="313"/>
      <c r="L421" s="313"/>
      <c r="M421" s="313"/>
      <c r="N421" s="315"/>
      <c r="O421" s="313"/>
      <c r="P421" s="313"/>
      <c r="Q421" s="313"/>
      <c r="R421" s="313"/>
      <c r="S421" s="316"/>
      <c r="T421" s="317"/>
      <c r="U421" s="318"/>
      <c r="V421" s="319"/>
      <c r="W421" s="288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308"/>
      <c r="AI421" s="220"/>
      <c r="AJ421" s="220"/>
      <c r="AK421" s="220"/>
      <c r="AL421" s="220"/>
      <c r="AM421" s="220"/>
      <c r="AN421" s="220"/>
      <c r="AO421" s="220"/>
      <c r="AP421" s="220"/>
      <c r="AQ421" s="220"/>
      <c r="AR421" s="220"/>
      <c r="AS421" s="220"/>
      <c r="AT421" s="220"/>
      <c r="AU421" s="220"/>
      <c r="AV421" s="220"/>
      <c r="AW421" s="220"/>
      <c r="AX421" s="220"/>
      <c r="AY421" s="220"/>
      <c r="AZ421" s="220"/>
      <c r="BA421" s="220"/>
    </row>
    <row r="422">
      <c r="A422" s="240"/>
      <c r="B422" s="311"/>
      <c r="C422" s="311"/>
      <c r="D422" s="312"/>
      <c r="E422" s="311"/>
      <c r="F422" s="311"/>
      <c r="G422" s="312"/>
      <c r="H422" s="312"/>
      <c r="I422" s="313"/>
      <c r="J422" s="314"/>
      <c r="K422" s="313"/>
      <c r="L422" s="313"/>
      <c r="M422" s="313"/>
      <c r="N422" s="315"/>
      <c r="O422" s="313"/>
      <c r="P422" s="313"/>
      <c r="Q422" s="313"/>
      <c r="R422" s="313"/>
      <c r="S422" s="316"/>
      <c r="T422" s="317"/>
      <c r="U422" s="318"/>
      <c r="V422" s="319"/>
      <c r="W422" s="288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308"/>
      <c r="AI422" s="220"/>
      <c r="AJ422" s="220"/>
      <c r="AK422" s="220"/>
      <c r="AL422" s="220"/>
      <c r="AM422" s="220"/>
      <c r="AN422" s="220"/>
      <c r="AO422" s="220"/>
      <c r="AP422" s="220"/>
      <c r="AQ422" s="220"/>
      <c r="AR422" s="220"/>
      <c r="AS422" s="220"/>
      <c r="AT422" s="220"/>
      <c r="AU422" s="220"/>
      <c r="AV422" s="220"/>
      <c r="AW422" s="220"/>
      <c r="AX422" s="220"/>
      <c r="AY422" s="220"/>
      <c r="AZ422" s="220"/>
      <c r="BA422" s="220"/>
    </row>
    <row r="423">
      <c r="A423" s="240"/>
      <c r="B423" s="311"/>
      <c r="C423" s="311"/>
      <c r="D423" s="312"/>
      <c r="E423" s="311"/>
      <c r="F423" s="311"/>
      <c r="G423" s="312"/>
      <c r="H423" s="312"/>
      <c r="I423" s="313"/>
      <c r="J423" s="314"/>
      <c r="K423" s="313"/>
      <c r="L423" s="313"/>
      <c r="M423" s="313"/>
      <c r="N423" s="315"/>
      <c r="O423" s="313"/>
      <c r="P423" s="313"/>
      <c r="Q423" s="313"/>
      <c r="R423" s="313"/>
      <c r="S423" s="316"/>
      <c r="T423" s="317"/>
      <c r="U423" s="318"/>
      <c r="V423" s="319"/>
      <c r="W423" s="288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308"/>
      <c r="AI423" s="220"/>
      <c r="AJ423" s="220"/>
      <c r="AK423" s="220"/>
      <c r="AL423" s="220"/>
      <c r="AM423" s="220"/>
      <c r="AN423" s="220"/>
      <c r="AO423" s="220"/>
      <c r="AP423" s="220"/>
      <c r="AQ423" s="220"/>
      <c r="AR423" s="220"/>
      <c r="AS423" s="220"/>
      <c r="AT423" s="220"/>
      <c r="AU423" s="220"/>
      <c r="AV423" s="220"/>
      <c r="AW423" s="220"/>
      <c r="AX423" s="220"/>
      <c r="AY423" s="220"/>
      <c r="AZ423" s="220"/>
      <c r="BA423" s="220"/>
    </row>
    <row r="424">
      <c r="A424" s="240"/>
      <c r="B424" s="311"/>
      <c r="C424" s="311"/>
      <c r="D424" s="312"/>
      <c r="E424" s="311"/>
      <c r="F424" s="311"/>
      <c r="G424" s="312"/>
      <c r="H424" s="312"/>
      <c r="I424" s="313"/>
      <c r="J424" s="314"/>
      <c r="K424" s="313"/>
      <c r="L424" s="313"/>
      <c r="M424" s="313"/>
      <c r="N424" s="315"/>
      <c r="O424" s="313"/>
      <c r="P424" s="313"/>
      <c r="Q424" s="313"/>
      <c r="R424" s="313"/>
      <c r="S424" s="316"/>
      <c r="T424" s="317"/>
      <c r="U424" s="318"/>
      <c r="V424" s="319"/>
      <c r="W424" s="288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308"/>
      <c r="AI424" s="220"/>
      <c r="AJ424" s="220"/>
      <c r="AK424" s="220"/>
      <c r="AL424" s="220"/>
      <c r="AM424" s="220"/>
      <c r="AN424" s="220"/>
      <c r="AO424" s="220"/>
      <c r="AP424" s="220"/>
      <c r="AQ424" s="220"/>
      <c r="AR424" s="220"/>
      <c r="AS424" s="220"/>
      <c r="AT424" s="220"/>
      <c r="AU424" s="220"/>
      <c r="AV424" s="220"/>
      <c r="AW424" s="220"/>
      <c r="AX424" s="220"/>
      <c r="AY424" s="220"/>
      <c r="AZ424" s="220"/>
      <c r="BA424" s="220"/>
    </row>
    <row r="425">
      <c r="A425" s="240"/>
      <c r="B425" s="311"/>
      <c r="C425" s="311"/>
      <c r="D425" s="312"/>
      <c r="E425" s="311"/>
      <c r="F425" s="311"/>
      <c r="G425" s="312"/>
      <c r="H425" s="312"/>
      <c r="I425" s="313"/>
      <c r="J425" s="314"/>
      <c r="K425" s="313"/>
      <c r="L425" s="313"/>
      <c r="M425" s="313"/>
      <c r="N425" s="315"/>
      <c r="O425" s="313"/>
      <c r="P425" s="313"/>
      <c r="Q425" s="313"/>
      <c r="R425" s="313"/>
      <c r="S425" s="316"/>
      <c r="T425" s="317"/>
      <c r="U425" s="318"/>
      <c r="V425" s="319"/>
      <c r="W425" s="288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308"/>
      <c r="AI425" s="220"/>
      <c r="AJ425" s="220"/>
      <c r="AK425" s="220"/>
      <c r="AL425" s="220"/>
      <c r="AM425" s="220"/>
      <c r="AN425" s="220"/>
      <c r="AO425" s="220"/>
      <c r="AP425" s="220"/>
      <c r="AQ425" s="220"/>
      <c r="AR425" s="220"/>
      <c r="AS425" s="220"/>
      <c r="AT425" s="220"/>
      <c r="AU425" s="220"/>
      <c r="AV425" s="220"/>
      <c r="AW425" s="220"/>
      <c r="AX425" s="220"/>
      <c r="AY425" s="220"/>
      <c r="AZ425" s="220"/>
      <c r="BA425" s="220"/>
    </row>
    <row r="426">
      <c r="A426" s="240"/>
      <c r="B426" s="311"/>
      <c r="C426" s="311"/>
      <c r="D426" s="312"/>
      <c r="E426" s="311"/>
      <c r="F426" s="311"/>
      <c r="G426" s="312"/>
      <c r="H426" s="312"/>
      <c r="I426" s="313"/>
      <c r="J426" s="314"/>
      <c r="K426" s="313"/>
      <c r="L426" s="313"/>
      <c r="M426" s="313"/>
      <c r="N426" s="315"/>
      <c r="O426" s="313"/>
      <c r="P426" s="313"/>
      <c r="Q426" s="313"/>
      <c r="R426" s="313"/>
      <c r="S426" s="316"/>
      <c r="T426" s="317"/>
      <c r="U426" s="318"/>
      <c r="V426" s="319"/>
      <c r="W426" s="288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308"/>
      <c r="AI426" s="220"/>
      <c r="AJ426" s="220"/>
      <c r="AK426" s="220"/>
      <c r="AL426" s="220"/>
      <c r="AM426" s="220"/>
      <c r="AN426" s="220"/>
      <c r="AO426" s="220"/>
      <c r="AP426" s="220"/>
      <c r="AQ426" s="220"/>
      <c r="AR426" s="220"/>
      <c r="AS426" s="220"/>
      <c r="AT426" s="220"/>
      <c r="AU426" s="220"/>
      <c r="AV426" s="220"/>
      <c r="AW426" s="220"/>
      <c r="AX426" s="220"/>
      <c r="AY426" s="220"/>
      <c r="AZ426" s="220"/>
      <c r="BA426" s="220"/>
    </row>
    <row r="427">
      <c r="A427" s="240"/>
      <c r="B427" s="311"/>
      <c r="C427" s="311"/>
      <c r="D427" s="312"/>
      <c r="E427" s="311"/>
      <c r="F427" s="311"/>
      <c r="G427" s="312"/>
      <c r="H427" s="312"/>
      <c r="I427" s="313"/>
      <c r="J427" s="314"/>
      <c r="K427" s="313"/>
      <c r="L427" s="313"/>
      <c r="M427" s="313"/>
      <c r="N427" s="315"/>
      <c r="O427" s="313"/>
      <c r="P427" s="313"/>
      <c r="Q427" s="313"/>
      <c r="R427" s="313"/>
      <c r="S427" s="316"/>
      <c r="T427" s="317"/>
      <c r="U427" s="318"/>
      <c r="V427" s="319"/>
      <c r="W427" s="288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308"/>
      <c r="AI427" s="220"/>
      <c r="AJ427" s="220"/>
      <c r="AK427" s="220"/>
      <c r="AL427" s="220"/>
      <c r="AM427" s="220"/>
      <c r="AN427" s="220"/>
      <c r="AO427" s="220"/>
      <c r="AP427" s="220"/>
      <c r="AQ427" s="220"/>
      <c r="AR427" s="220"/>
      <c r="AS427" s="220"/>
      <c r="AT427" s="220"/>
      <c r="AU427" s="220"/>
      <c r="AV427" s="220"/>
      <c r="AW427" s="220"/>
      <c r="AX427" s="220"/>
      <c r="AY427" s="220"/>
      <c r="AZ427" s="220"/>
      <c r="BA427" s="220"/>
    </row>
    <row r="428">
      <c r="A428" s="240"/>
      <c r="B428" s="311"/>
      <c r="C428" s="311"/>
      <c r="D428" s="312"/>
      <c r="E428" s="311"/>
      <c r="F428" s="311"/>
      <c r="G428" s="312"/>
      <c r="H428" s="312"/>
      <c r="I428" s="313"/>
      <c r="J428" s="314"/>
      <c r="K428" s="313"/>
      <c r="L428" s="313"/>
      <c r="M428" s="313"/>
      <c r="N428" s="315"/>
      <c r="O428" s="313"/>
      <c r="P428" s="313"/>
      <c r="Q428" s="313"/>
      <c r="R428" s="313"/>
      <c r="S428" s="316"/>
      <c r="T428" s="317"/>
      <c r="U428" s="318"/>
      <c r="V428" s="319"/>
      <c r="W428" s="288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308"/>
      <c r="AI428" s="220"/>
      <c r="AJ428" s="220"/>
      <c r="AK428" s="220"/>
      <c r="AL428" s="220"/>
      <c r="AM428" s="220"/>
      <c r="AN428" s="220"/>
      <c r="AO428" s="220"/>
      <c r="AP428" s="220"/>
      <c r="AQ428" s="220"/>
      <c r="AR428" s="220"/>
      <c r="AS428" s="220"/>
      <c r="AT428" s="220"/>
      <c r="AU428" s="220"/>
      <c r="AV428" s="220"/>
      <c r="AW428" s="220"/>
      <c r="AX428" s="220"/>
      <c r="AY428" s="220"/>
      <c r="AZ428" s="220"/>
      <c r="BA428" s="220"/>
    </row>
    <row r="429">
      <c r="A429" s="240"/>
      <c r="B429" s="311"/>
      <c r="C429" s="311"/>
      <c r="D429" s="312"/>
      <c r="E429" s="311"/>
      <c r="F429" s="311"/>
      <c r="G429" s="312"/>
      <c r="H429" s="312"/>
      <c r="I429" s="313"/>
      <c r="J429" s="314"/>
      <c r="K429" s="313"/>
      <c r="L429" s="313"/>
      <c r="M429" s="313"/>
      <c r="N429" s="315"/>
      <c r="O429" s="313"/>
      <c r="P429" s="313"/>
      <c r="Q429" s="313"/>
      <c r="R429" s="313"/>
      <c r="S429" s="316"/>
      <c r="T429" s="317"/>
      <c r="U429" s="318"/>
      <c r="V429" s="319"/>
      <c r="W429" s="288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308"/>
      <c r="AI429" s="220"/>
      <c r="AJ429" s="220"/>
      <c r="AK429" s="220"/>
      <c r="AL429" s="220"/>
      <c r="AM429" s="220"/>
      <c r="AN429" s="220"/>
      <c r="AO429" s="220"/>
      <c r="AP429" s="220"/>
      <c r="AQ429" s="220"/>
      <c r="AR429" s="220"/>
      <c r="AS429" s="220"/>
      <c r="AT429" s="220"/>
      <c r="AU429" s="220"/>
      <c r="AV429" s="220"/>
      <c r="AW429" s="220"/>
      <c r="AX429" s="220"/>
      <c r="AY429" s="220"/>
      <c r="AZ429" s="220"/>
      <c r="BA429" s="220"/>
    </row>
    <row r="430">
      <c r="A430" s="240"/>
      <c r="B430" s="311"/>
      <c r="C430" s="311"/>
      <c r="D430" s="312"/>
      <c r="E430" s="311"/>
      <c r="F430" s="311"/>
      <c r="G430" s="312"/>
      <c r="H430" s="312"/>
      <c r="I430" s="313"/>
      <c r="J430" s="314"/>
      <c r="K430" s="313"/>
      <c r="L430" s="313"/>
      <c r="M430" s="313"/>
      <c r="N430" s="315"/>
      <c r="O430" s="313"/>
      <c r="P430" s="313"/>
      <c r="Q430" s="313"/>
      <c r="R430" s="313"/>
      <c r="S430" s="316"/>
      <c r="T430" s="317"/>
      <c r="U430" s="318"/>
      <c r="V430" s="319"/>
      <c r="W430" s="288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308"/>
      <c r="AI430" s="220"/>
      <c r="AJ430" s="220"/>
      <c r="AK430" s="220"/>
      <c r="AL430" s="220"/>
      <c r="AM430" s="220"/>
      <c r="AN430" s="220"/>
      <c r="AO430" s="220"/>
      <c r="AP430" s="220"/>
      <c r="AQ430" s="220"/>
      <c r="AR430" s="220"/>
      <c r="AS430" s="220"/>
      <c r="AT430" s="220"/>
      <c r="AU430" s="220"/>
      <c r="AV430" s="220"/>
      <c r="AW430" s="220"/>
      <c r="AX430" s="220"/>
      <c r="AY430" s="220"/>
      <c r="AZ430" s="220"/>
      <c r="BA430" s="220"/>
    </row>
    <row r="431">
      <c r="A431" s="240"/>
      <c r="B431" s="311"/>
      <c r="C431" s="311"/>
      <c r="D431" s="312"/>
      <c r="E431" s="311"/>
      <c r="F431" s="311"/>
      <c r="G431" s="312"/>
      <c r="H431" s="312"/>
      <c r="I431" s="313"/>
      <c r="J431" s="314"/>
      <c r="K431" s="313"/>
      <c r="L431" s="313"/>
      <c r="M431" s="313"/>
      <c r="N431" s="315"/>
      <c r="O431" s="313"/>
      <c r="P431" s="313"/>
      <c r="Q431" s="313"/>
      <c r="R431" s="313"/>
      <c r="S431" s="316"/>
      <c r="T431" s="317"/>
      <c r="U431" s="318"/>
      <c r="V431" s="319"/>
      <c r="W431" s="288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308"/>
      <c r="AI431" s="220"/>
      <c r="AJ431" s="220"/>
      <c r="AK431" s="220"/>
      <c r="AL431" s="220"/>
      <c r="AM431" s="220"/>
      <c r="AN431" s="220"/>
      <c r="AO431" s="220"/>
      <c r="AP431" s="220"/>
      <c r="AQ431" s="220"/>
      <c r="AR431" s="220"/>
      <c r="AS431" s="220"/>
      <c r="AT431" s="220"/>
      <c r="AU431" s="220"/>
      <c r="AV431" s="220"/>
      <c r="AW431" s="220"/>
      <c r="AX431" s="220"/>
      <c r="AY431" s="220"/>
      <c r="AZ431" s="220"/>
      <c r="BA431" s="220"/>
    </row>
    <row r="432">
      <c r="A432" s="240"/>
      <c r="B432" s="311"/>
      <c r="C432" s="311"/>
      <c r="D432" s="312"/>
      <c r="E432" s="311"/>
      <c r="F432" s="311"/>
      <c r="G432" s="312"/>
      <c r="H432" s="312"/>
      <c r="I432" s="313"/>
      <c r="J432" s="314"/>
      <c r="K432" s="313"/>
      <c r="L432" s="313"/>
      <c r="M432" s="313"/>
      <c r="N432" s="315"/>
      <c r="O432" s="313"/>
      <c r="P432" s="313"/>
      <c r="Q432" s="313"/>
      <c r="R432" s="313"/>
      <c r="S432" s="316"/>
      <c r="T432" s="317"/>
      <c r="U432" s="318"/>
      <c r="V432" s="319"/>
      <c r="W432" s="288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308"/>
      <c r="AI432" s="220"/>
      <c r="AJ432" s="220"/>
      <c r="AK432" s="220"/>
      <c r="AL432" s="220"/>
      <c r="AM432" s="220"/>
      <c r="AN432" s="220"/>
      <c r="AO432" s="220"/>
      <c r="AP432" s="220"/>
      <c r="AQ432" s="220"/>
      <c r="AR432" s="220"/>
      <c r="AS432" s="220"/>
      <c r="AT432" s="220"/>
      <c r="AU432" s="220"/>
      <c r="AV432" s="220"/>
      <c r="AW432" s="220"/>
      <c r="AX432" s="220"/>
      <c r="AY432" s="220"/>
      <c r="AZ432" s="220"/>
      <c r="BA432" s="220"/>
    </row>
    <row r="433">
      <c r="A433" s="240"/>
      <c r="B433" s="311"/>
      <c r="C433" s="311"/>
      <c r="D433" s="312"/>
      <c r="E433" s="311"/>
      <c r="F433" s="311"/>
      <c r="G433" s="312"/>
      <c r="H433" s="312"/>
      <c r="I433" s="313"/>
      <c r="J433" s="314"/>
      <c r="K433" s="313"/>
      <c r="L433" s="313"/>
      <c r="M433" s="313"/>
      <c r="N433" s="315"/>
      <c r="O433" s="313"/>
      <c r="P433" s="313"/>
      <c r="Q433" s="313"/>
      <c r="R433" s="313"/>
      <c r="S433" s="316"/>
      <c r="T433" s="317"/>
      <c r="U433" s="318"/>
      <c r="V433" s="319"/>
      <c r="W433" s="288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308"/>
      <c r="AI433" s="220"/>
      <c r="AJ433" s="220"/>
      <c r="AK433" s="220"/>
      <c r="AL433" s="220"/>
      <c r="AM433" s="220"/>
      <c r="AN433" s="220"/>
      <c r="AO433" s="220"/>
      <c r="AP433" s="220"/>
      <c r="AQ433" s="220"/>
      <c r="AR433" s="220"/>
      <c r="AS433" s="220"/>
      <c r="AT433" s="220"/>
      <c r="AU433" s="220"/>
      <c r="AV433" s="220"/>
      <c r="AW433" s="220"/>
      <c r="AX433" s="220"/>
      <c r="AY433" s="220"/>
      <c r="AZ433" s="220"/>
      <c r="BA433" s="220"/>
    </row>
    <row r="434">
      <c r="A434" s="240"/>
      <c r="B434" s="311"/>
      <c r="C434" s="311"/>
      <c r="D434" s="312"/>
      <c r="E434" s="311"/>
      <c r="F434" s="311"/>
      <c r="G434" s="312"/>
      <c r="H434" s="312"/>
      <c r="I434" s="313"/>
      <c r="J434" s="314"/>
      <c r="K434" s="313"/>
      <c r="L434" s="313"/>
      <c r="M434" s="313"/>
      <c r="N434" s="315"/>
      <c r="O434" s="313"/>
      <c r="P434" s="313"/>
      <c r="Q434" s="313"/>
      <c r="R434" s="313"/>
      <c r="S434" s="316"/>
      <c r="T434" s="317"/>
      <c r="U434" s="318"/>
      <c r="V434" s="319"/>
      <c r="W434" s="288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308"/>
      <c r="AI434" s="220"/>
      <c r="AJ434" s="220"/>
      <c r="AK434" s="220"/>
      <c r="AL434" s="220"/>
      <c r="AM434" s="220"/>
      <c r="AN434" s="220"/>
      <c r="AO434" s="220"/>
      <c r="AP434" s="220"/>
      <c r="AQ434" s="220"/>
      <c r="AR434" s="220"/>
      <c r="AS434" s="220"/>
      <c r="AT434" s="220"/>
      <c r="AU434" s="220"/>
      <c r="AV434" s="220"/>
      <c r="AW434" s="220"/>
      <c r="AX434" s="220"/>
      <c r="AY434" s="220"/>
      <c r="AZ434" s="220"/>
      <c r="BA434" s="220"/>
    </row>
    <row r="435">
      <c r="A435" s="240"/>
      <c r="B435" s="311"/>
      <c r="C435" s="311"/>
      <c r="D435" s="312"/>
      <c r="E435" s="311"/>
      <c r="F435" s="311"/>
      <c r="G435" s="312"/>
      <c r="H435" s="312"/>
      <c r="I435" s="313"/>
      <c r="J435" s="314"/>
      <c r="K435" s="313"/>
      <c r="L435" s="313"/>
      <c r="M435" s="313"/>
      <c r="N435" s="315"/>
      <c r="O435" s="313"/>
      <c r="P435" s="313"/>
      <c r="Q435" s="313"/>
      <c r="R435" s="313"/>
      <c r="S435" s="316"/>
      <c r="T435" s="317"/>
      <c r="U435" s="318"/>
      <c r="V435" s="319"/>
      <c r="W435" s="288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308"/>
      <c r="AI435" s="220"/>
      <c r="AJ435" s="220"/>
      <c r="AK435" s="220"/>
      <c r="AL435" s="220"/>
      <c r="AM435" s="220"/>
      <c r="AN435" s="220"/>
      <c r="AO435" s="220"/>
      <c r="AP435" s="220"/>
      <c r="AQ435" s="220"/>
      <c r="AR435" s="220"/>
      <c r="AS435" s="220"/>
      <c r="AT435" s="220"/>
      <c r="AU435" s="220"/>
      <c r="AV435" s="220"/>
      <c r="AW435" s="220"/>
      <c r="AX435" s="220"/>
      <c r="AY435" s="220"/>
      <c r="AZ435" s="220"/>
      <c r="BA435" s="220"/>
    </row>
    <row r="436">
      <c r="A436" s="240"/>
      <c r="B436" s="311"/>
      <c r="C436" s="311"/>
      <c r="D436" s="312"/>
      <c r="E436" s="311"/>
      <c r="F436" s="311"/>
      <c r="G436" s="312"/>
      <c r="H436" s="312"/>
      <c r="I436" s="313"/>
      <c r="J436" s="314"/>
      <c r="K436" s="313"/>
      <c r="L436" s="313"/>
      <c r="M436" s="313"/>
      <c r="N436" s="315"/>
      <c r="O436" s="313"/>
      <c r="P436" s="313"/>
      <c r="Q436" s="313"/>
      <c r="R436" s="313"/>
      <c r="S436" s="316"/>
      <c r="T436" s="317"/>
      <c r="U436" s="318"/>
      <c r="V436" s="319"/>
      <c r="W436" s="288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308"/>
      <c r="AI436" s="220"/>
      <c r="AJ436" s="220"/>
      <c r="AK436" s="220"/>
      <c r="AL436" s="220"/>
      <c r="AM436" s="220"/>
      <c r="AN436" s="220"/>
      <c r="AO436" s="220"/>
      <c r="AP436" s="220"/>
      <c r="AQ436" s="220"/>
      <c r="AR436" s="220"/>
      <c r="AS436" s="220"/>
      <c r="AT436" s="220"/>
      <c r="AU436" s="220"/>
      <c r="AV436" s="220"/>
      <c r="AW436" s="220"/>
      <c r="AX436" s="220"/>
      <c r="AY436" s="220"/>
      <c r="AZ436" s="220"/>
      <c r="BA436" s="220"/>
    </row>
    <row r="437">
      <c r="A437" s="240"/>
      <c r="B437" s="311"/>
      <c r="C437" s="311"/>
      <c r="D437" s="312"/>
      <c r="E437" s="311"/>
      <c r="F437" s="311"/>
      <c r="G437" s="312"/>
      <c r="H437" s="312"/>
      <c r="I437" s="313"/>
      <c r="J437" s="314"/>
      <c r="K437" s="313"/>
      <c r="L437" s="313"/>
      <c r="M437" s="313"/>
      <c r="N437" s="315"/>
      <c r="O437" s="313"/>
      <c r="P437" s="313"/>
      <c r="Q437" s="313"/>
      <c r="R437" s="313"/>
      <c r="S437" s="316"/>
      <c r="T437" s="317"/>
      <c r="U437" s="318"/>
      <c r="V437" s="319"/>
      <c r="W437" s="288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308"/>
      <c r="AI437" s="220"/>
      <c r="AJ437" s="220"/>
      <c r="AK437" s="220"/>
      <c r="AL437" s="220"/>
      <c r="AM437" s="220"/>
      <c r="AN437" s="220"/>
      <c r="AO437" s="220"/>
      <c r="AP437" s="220"/>
      <c r="AQ437" s="220"/>
      <c r="AR437" s="220"/>
      <c r="AS437" s="220"/>
      <c r="AT437" s="220"/>
      <c r="AU437" s="220"/>
      <c r="AV437" s="220"/>
      <c r="AW437" s="220"/>
      <c r="AX437" s="220"/>
      <c r="AY437" s="220"/>
      <c r="AZ437" s="220"/>
      <c r="BA437" s="220"/>
    </row>
    <row r="438">
      <c r="A438" s="240"/>
      <c r="B438" s="311"/>
      <c r="C438" s="311"/>
      <c r="D438" s="312"/>
      <c r="E438" s="311"/>
      <c r="F438" s="311"/>
      <c r="G438" s="312"/>
      <c r="H438" s="312"/>
      <c r="I438" s="313"/>
      <c r="J438" s="314"/>
      <c r="K438" s="313"/>
      <c r="L438" s="313"/>
      <c r="M438" s="313"/>
      <c r="N438" s="315"/>
      <c r="O438" s="313"/>
      <c r="P438" s="313"/>
      <c r="Q438" s="313"/>
      <c r="R438" s="313"/>
      <c r="S438" s="316"/>
      <c r="T438" s="317"/>
      <c r="U438" s="318"/>
      <c r="V438" s="319"/>
      <c r="W438" s="288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308"/>
      <c r="AI438" s="220"/>
      <c r="AJ438" s="220"/>
      <c r="AK438" s="220"/>
      <c r="AL438" s="220"/>
      <c r="AM438" s="220"/>
      <c r="AN438" s="220"/>
      <c r="AO438" s="220"/>
      <c r="AP438" s="220"/>
      <c r="AQ438" s="220"/>
      <c r="AR438" s="220"/>
      <c r="AS438" s="220"/>
      <c r="AT438" s="220"/>
      <c r="AU438" s="220"/>
      <c r="AV438" s="220"/>
      <c r="AW438" s="220"/>
      <c r="AX438" s="220"/>
      <c r="AY438" s="220"/>
      <c r="AZ438" s="220"/>
      <c r="BA438" s="220"/>
    </row>
    <row r="439">
      <c r="A439" s="240"/>
      <c r="B439" s="311"/>
      <c r="C439" s="311"/>
      <c r="D439" s="312"/>
      <c r="E439" s="311"/>
      <c r="F439" s="311"/>
      <c r="G439" s="312"/>
      <c r="H439" s="312"/>
      <c r="I439" s="313"/>
      <c r="J439" s="314"/>
      <c r="K439" s="313"/>
      <c r="L439" s="313"/>
      <c r="M439" s="313"/>
      <c r="N439" s="315"/>
      <c r="O439" s="313"/>
      <c r="P439" s="313"/>
      <c r="Q439" s="313"/>
      <c r="R439" s="313"/>
      <c r="S439" s="316"/>
      <c r="T439" s="317"/>
      <c r="U439" s="318"/>
      <c r="V439" s="319"/>
      <c r="W439" s="288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308"/>
      <c r="AI439" s="220"/>
      <c r="AJ439" s="220"/>
      <c r="AK439" s="220"/>
      <c r="AL439" s="220"/>
      <c r="AM439" s="220"/>
      <c r="AN439" s="220"/>
      <c r="AO439" s="220"/>
      <c r="AP439" s="220"/>
      <c r="AQ439" s="220"/>
      <c r="AR439" s="220"/>
      <c r="AS439" s="220"/>
      <c r="AT439" s="220"/>
      <c r="AU439" s="220"/>
      <c r="AV439" s="220"/>
      <c r="AW439" s="220"/>
      <c r="AX439" s="220"/>
      <c r="AY439" s="220"/>
      <c r="AZ439" s="220"/>
      <c r="BA439" s="220"/>
    </row>
    <row r="440">
      <c r="A440" s="240"/>
      <c r="B440" s="311"/>
      <c r="C440" s="311"/>
      <c r="D440" s="312"/>
      <c r="E440" s="311"/>
      <c r="F440" s="311"/>
      <c r="G440" s="312"/>
      <c r="H440" s="312"/>
      <c r="I440" s="313"/>
      <c r="J440" s="314"/>
      <c r="K440" s="313"/>
      <c r="L440" s="313"/>
      <c r="M440" s="313"/>
      <c r="N440" s="315"/>
      <c r="O440" s="313"/>
      <c r="P440" s="313"/>
      <c r="Q440" s="313"/>
      <c r="R440" s="313"/>
      <c r="S440" s="316"/>
      <c r="T440" s="317"/>
      <c r="U440" s="318"/>
      <c r="V440" s="319"/>
      <c r="W440" s="288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308"/>
      <c r="AI440" s="220"/>
      <c r="AJ440" s="220"/>
      <c r="AK440" s="220"/>
      <c r="AL440" s="220"/>
      <c r="AM440" s="220"/>
      <c r="AN440" s="220"/>
      <c r="AO440" s="220"/>
      <c r="AP440" s="220"/>
      <c r="AQ440" s="220"/>
      <c r="AR440" s="220"/>
      <c r="AS440" s="220"/>
      <c r="AT440" s="220"/>
      <c r="AU440" s="220"/>
      <c r="AV440" s="220"/>
      <c r="AW440" s="220"/>
      <c r="AX440" s="220"/>
      <c r="AY440" s="220"/>
      <c r="AZ440" s="220"/>
      <c r="BA440" s="220"/>
    </row>
    <row r="441">
      <c r="A441" s="240"/>
      <c r="B441" s="311"/>
      <c r="C441" s="311"/>
      <c r="D441" s="312"/>
      <c r="E441" s="311"/>
      <c r="F441" s="311"/>
      <c r="G441" s="312"/>
      <c r="H441" s="312"/>
      <c r="I441" s="313"/>
      <c r="J441" s="314"/>
      <c r="K441" s="313"/>
      <c r="L441" s="313"/>
      <c r="M441" s="313"/>
      <c r="N441" s="315"/>
      <c r="O441" s="313"/>
      <c r="P441" s="313"/>
      <c r="Q441" s="313"/>
      <c r="R441" s="313"/>
      <c r="S441" s="316"/>
      <c r="T441" s="317"/>
      <c r="U441" s="318"/>
      <c r="V441" s="319"/>
      <c r="W441" s="288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308"/>
      <c r="AI441" s="220"/>
      <c r="AJ441" s="220"/>
      <c r="AK441" s="220"/>
      <c r="AL441" s="220"/>
      <c r="AM441" s="220"/>
      <c r="AN441" s="220"/>
      <c r="AO441" s="220"/>
      <c r="AP441" s="220"/>
      <c r="AQ441" s="220"/>
      <c r="AR441" s="220"/>
      <c r="AS441" s="220"/>
      <c r="AT441" s="220"/>
      <c r="AU441" s="220"/>
      <c r="AV441" s="220"/>
      <c r="AW441" s="220"/>
      <c r="AX441" s="220"/>
      <c r="AY441" s="220"/>
      <c r="AZ441" s="220"/>
      <c r="BA441" s="220"/>
    </row>
    <row r="442">
      <c r="A442" s="240"/>
      <c r="B442" s="311"/>
      <c r="C442" s="311"/>
      <c r="D442" s="312"/>
      <c r="E442" s="311"/>
      <c r="F442" s="311"/>
      <c r="G442" s="312"/>
      <c r="H442" s="312"/>
      <c r="I442" s="313"/>
      <c r="J442" s="314"/>
      <c r="K442" s="313"/>
      <c r="L442" s="313"/>
      <c r="M442" s="313"/>
      <c r="N442" s="315"/>
      <c r="O442" s="313"/>
      <c r="P442" s="313"/>
      <c r="Q442" s="313"/>
      <c r="R442" s="313"/>
      <c r="S442" s="316"/>
      <c r="T442" s="317"/>
      <c r="U442" s="318"/>
      <c r="V442" s="319"/>
      <c r="W442" s="288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308"/>
      <c r="AI442" s="220"/>
      <c r="AJ442" s="220"/>
      <c r="AK442" s="220"/>
      <c r="AL442" s="220"/>
      <c r="AM442" s="220"/>
      <c r="AN442" s="220"/>
      <c r="AO442" s="220"/>
      <c r="AP442" s="220"/>
      <c r="AQ442" s="220"/>
      <c r="AR442" s="220"/>
      <c r="AS442" s="220"/>
      <c r="AT442" s="220"/>
      <c r="AU442" s="220"/>
      <c r="AV442" s="220"/>
      <c r="AW442" s="220"/>
      <c r="AX442" s="220"/>
      <c r="AY442" s="220"/>
      <c r="AZ442" s="220"/>
      <c r="BA442" s="220"/>
    </row>
    <row r="443">
      <c r="A443" s="240"/>
      <c r="B443" s="311"/>
      <c r="C443" s="311"/>
      <c r="D443" s="312"/>
      <c r="E443" s="311"/>
      <c r="F443" s="311"/>
      <c r="G443" s="312"/>
      <c r="H443" s="312"/>
      <c r="I443" s="313"/>
      <c r="J443" s="314"/>
      <c r="K443" s="313"/>
      <c r="L443" s="313"/>
      <c r="M443" s="313"/>
      <c r="N443" s="315"/>
      <c r="O443" s="313"/>
      <c r="P443" s="313"/>
      <c r="Q443" s="313"/>
      <c r="R443" s="313"/>
      <c r="S443" s="316"/>
      <c r="T443" s="317"/>
      <c r="U443" s="318"/>
      <c r="V443" s="319"/>
      <c r="W443" s="288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308"/>
      <c r="AI443" s="220"/>
      <c r="AJ443" s="220"/>
      <c r="AK443" s="220"/>
      <c r="AL443" s="220"/>
      <c r="AM443" s="220"/>
      <c r="AN443" s="220"/>
      <c r="AO443" s="220"/>
      <c r="AP443" s="220"/>
      <c r="AQ443" s="220"/>
      <c r="AR443" s="220"/>
      <c r="AS443" s="220"/>
      <c r="AT443" s="220"/>
      <c r="AU443" s="220"/>
      <c r="AV443" s="220"/>
      <c r="AW443" s="220"/>
      <c r="AX443" s="220"/>
      <c r="AY443" s="220"/>
      <c r="AZ443" s="220"/>
      <c r="BA443" s="220"/>
    </row>
    <row r="444">
      <c r="A444" s="240"/>
      <c r="B444" s="311"/>
      <c r="C444" s="311"/>
      <c r="D444" s="312"/>
      <c r="E444" s="311"/>
      <c r="F444" s="311"/>
      <c r="G444" s="312"/>
      <c r="H444" s="312"/>
      <c r="I444" s="313"/>
      <c r="J444" s="314"/>
      <c r="K444" s="313"/>
      <c r="L444" s="313"/>
      <c r="M444" s="313"/>
      <c r="N444" s="315"/>
      <c r="O444" s="313"/>
      <c r="P444" s="313"/>
      <c r="Q444" s="313"/>
      <c r="R444" s="313"/>
      <c r="S444" s="316"/>
      <c r="T444" s="317"/>
      <c r="U444" s="318"/>
      <c r="V444" s="319"/>
      <c r="W444" s="288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308"/>
      <c r="AI444" s="220"/>
      <c r="AJ444" s="220"/>
      <c r="AK444" s="220"/>
      <c r="AL444" s="220"/>
      <c r="AM444" s="220"/>
      <c r="AN444" s="220"/>
      <c r="AO444" s="220"/>
      <c r="AP444" s="220"/>
      <c r="AQ444" s="220"/>
      <c r="AR444" s="220"/>
      <c r="AS444" s="220"/>
      <c r="AT444" s="220"/>
      <c r="AU444" s="220"/>
      <c r="AV444" s="220"/>
      <c r="AW444" s="220"/>
      <c r="AX444" s="220"/>
      <c r="AY444" s="220"/>
      <c r="AZ444" s="220"/>
      <c r="BA444" s="220"/>
    </row>
    <row r="445">
      <c r="A445" s="240"/>
      <c r="B445" s="311"/>
      <c r="C445" s="311"/>
      <c r="D445" s="312"/>
      <c r="E445" s="311"/>
      <c r="F445" s="311"/>
      <c r="G445" s="312"/>
      <c r="H445" s="312"/>
      <c r="I445" s="313"/>
      <c r="J445" s="314"/>
      <c r="K445" s="313"/>
      <c r="L445" s="313"/>
      <c r="M445" s="313"/>
      <c r="N445" s="315"/>
      <c r="O445" s="313"/>
      <c r="P445" s="313"/>
      <c r="Q445" s="313"/>
      <c r="R445" s="313"/>
      <c r="S445" s="316"/>
      <c r="T445" s="317"/>
      <c r="U445" s="318"/>
      <c r="V445" s="319"/>
      <c r="W445" s="288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308"/>
      <c r="AI445" s="220"/>
      <c r="AJ445" s="220"/>
      <c r="AK445" s="220"/>
      <c r="AL445" s="220"/>
      <c r="AM445" s="220"/>
      <c r="AN445" s="220"/>
      <c r="AO445" s="220"/>
      <c r="AP445" s="220"/>
      <c r="AQ445" s="220"/>
      <c r="AR445" s="220"/>
      <c r="AS445" s="220"/>
      <c r="AT445" s="220"/>
      <c r="AU445" s="220"/>
      <c r="AV445" s="220"/>
      <c r="AW445" s="220"/>
      <c r="AX445" s="220"/>
      <c r="AY445" s="220"/>
      <c r="AZ445" s="220"/>
      <c r="BA445" s="220"/>
    </row>
    <row r="446">
      <c r="A446" s="240"/>
      <c r="B446" s="311"/>
      <c r="C446" s="311"/>
      <c r="D446" s="312"/>
      <c r="E446" s="311"/>
      <c r="F446" s="311"/>
      <c r="G446" s="312"/>
      <c r="H446" s="312"/>
      <c r="I446" s="313"/>
      <c r="J446" s="314"/>
      <c r="K446" s="313"/>
      <c r="L446" s="313"/>
      <c r="M446" s="313"/>
      <c r="N446" s="315"/>
      <c r="O446" s="313"/>
      <c r="P446" s="313"/>
      <c r="Q446" s="313"/>
      <c r="R446" s="313"/>
      <c r="S446" s="316"/>
      <c r="T446" s="317"/>
      <c r="U446" s="318"/>
      <c r="V446" s="319"/>
      <c r="W446" s="288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308"/>
      <c r="AI446" s="220"/>
      <c r="AJ446" s="220"/>
      <c r="AK446" s="220"/>
      <c r="AL446" s="220"/>
      <c r="AM446" s="220"/>
      <c r="AN446" s="220"/>
      <c r="AO446" s="220"/>
      <c r="AP446" s="220"/>
      <c r="AQ446" s="220"/>
      <c r="AR446" s="220"/>
      <c r="AS446" s="220"/>
      <c r="AT446" s="220"/>
      <c r="AU446" s="220"/>
      <c r="AV446" s="220"/>
      <c r="AW446" s="220"/>
      <c r="AX446" s="220"/>
      <c r="AY446" s="220"/>
      <c r="AZ446" s="220"/>
      <c r="BA446" s="220"/>
    </row>
    <row r="447">
      <c r="A447" s="240"/>
      <c r="B447" s="311"/>
      <c r="C447" s="311"/>
      <c r="D447" s="312"/>
      <c r="E447" s="311"/>
      <c r="F447" s="311"/>
      <c r="G447" s="312"/>
      <c r="H447" s="312"/>
      <c r="I447" s="313"/>
      <c r="J447" s="314"/>
      <c r="K447" s="313"/>
      <c r="L447" s="313"/>
      <c r="M447" s="313"/>
      <c r="N447" s="315"/>
      <c r="O447" s="313"/>
      <c r="P447" s="313"/>
      <c r="Q447" s="313"/>
      <c r="R447" s="313"/>
      <c r="S447" s="316"/>
      <c r="T447" s="317"/>
      <c r="U447" s="318"/>
      <c r="V447" s="319"/>
      <c r="W447" s="288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308"/>
      <c r="AI447" s="220"/>
      <c r="AJ447" s="220"/>
      <c r="AK447" s="220"/>
      <c r="AL447" s="220"/>
      <c r="AM447" s="220"/>
      <c r="AN447" s="220"/>
      <c r="AO447" s="220"/>
      <c r="AP447" s="220"/>
      <c r="AQ447" s="220"/>
      <c r="AR447" s="220"/>
      <c r="AS447" s="220"/>
      <c r="AT447" s="220"/>
      <c r="AU447" s="220"/>
      <c r="AV447" s="220"/>
      <c r="AW447" s="220"/>
      <c r="AX447" s="220"/>
      <c r="AY447" s="220"/>
      <c r="AZ447" s="220"/>
      <c r="BA447" s="220"/>
    </row>
    <row r="448">
      <c r="A448" s="240"/>
      <c r="B448" s="311"/>
      <c r="C448" s="311"/>
      <c r="D448" s="312"/>
      <c r="E448" s="311"/>
      <c r="F448" s="311"/>
      <c r="G448" s="312"/>
      <c r="H448" s="312"/>
      <c r="I448" s="313"/>
      <c r="J448" s="314"/>
      <c r="K448" s="313"/>
      <c r="L448" s="313"/>
      <c r="M448" s="313"/>
      <c r="N448" s="315"/>
      <c r="O448" s="313"/>
      <c r="P448" s="313"/>
      <c r="Q448" s="313"/>
      <c r="R448" s="313"/>
      <c r="S448" s="316"/>
      <c r="T448" s="317"/>
      <c r="U448" s="318"/>
      <c r="V448" s="319"/>
      <c r="W448" s="288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308"/>
      <c r="AI448" s="220"/>
      <c r="AJ448" s="220"/>
      <c r="AK448" s="220"/>
      <c r="AL448" s="220"/>
      <c r="AM448" s="220"/>
      <c r="AN448" s="220"/>
      <c r="AO448" s="220"/>
      <c r="AP448" s="220"/>
      <c r="AQ448" s="220"/>
      <c r="AR448" s="220"/>
      <c r="AS448" s="220"/>
      <c r="AT448" s="220"/>
      <c r="AU448" s="220"/>
      <c r="AV448" s="220"/>
      <c r="AW448" s="220"/>
      <c r="AX448" s="220"/>
      <c r="AY448" s="220"/>
      <c r="AZ448" s="220"/>
      <c r="BA448" s="220"/>
    </row>
    <row r="449">
      <c r="A449" s="240"/>
      <c r="B449" s="311"/>
      <c r="C449" s="311"/>
      <c r="D449" s="312"/>
      <c r="E449" s="311"/>
      <c r="F449" s="311"/>
      <c r="G449" s="312"/>
      <c r="H449" s="312"/>
      <c r="I449" s="313"/>
      <c r="J449" s="314"/>
      <c r="K449" s="313"/>
      <c r="L449" s="313"/>
      <c r="M449" s="313"/>
      <c r="N449" s="315"/>
      <c r="O449" s="313"/>
      <c r="P449" s="313"/>
      <c r="Q449" s="313"/>
      <c r="R449" s="313"/>
      <c r="S449" s="316"/>
      <c r="T449" s="317"/>
      <c r="U449" s="318"/>
      <c r="V449" s="319"/>
      <c r="W449" s="288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308"/>
      <c r="AI449" s="220"/>
      <c r="AJ449" s="220"/>
      <c r="AK449" s="220"/>
      <c r="AL449" s="220"/>
      <c r="AM449" s="220"/>
      <c r="AN449" s="220"/>
      <c r="AO449" s="220"/>
      <c r="AP449" s="220"/>
      <c r="AQ449" s="220"/>
      <c r="AR449" s="220"/>
      <c r="AS449" s="220"/>
      <c r="AT449" s="220"/>
      <c r="AU449" s="220"/>
      <c r="AV449" s="220"/>
      <c r="AW449" s="220"/>
      <c r="AX449" s="220"/>
      <c r="AY449" s="220"/>
      <c r="AZ449" s="220"/>
      <c r="BA449" s="220"/>
    </row>
    <row r="450">
      <c r="A450" s="240"/>
      <c r="B450" s="311"/>
      <c r="C450" s="311"/>
      <c r="D450" s="312"/>
      <c r="E450" s="311"/>
      <c r="F450" s="311"/>
      <c r="G450" s="312"/>
      <c r="H450" s="312"/>
      <c r="I450" s="313"/>
      <c r="J450" s="314"/>
      <c r="K450" s="313"/>
      <c r="L450" s="313"/>
      <c r="M450" s="313"/>
      <c r="N450" s="315"/>
      <c r="O450" s="313"/>
      <c r="P450" s="313"/>
      <c r="Q450" s="313"/>
      <c r="R450" s="313"/>
      <c r="S450" s="316"/>
      <c r="T450" s="317"/>
      <c r="U450" s="318"/>
      <c r="V450" s="319"/>
      <c r="W450" s="288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308"/>
      <c r="AI450" s="220"/>
      <c r="AJ450" s="220"/>
      <c r="AK450" s="220"/>
      <c r="AL450" s="220"/>
      <c r="AM450" s="220"/>
      <c r="AN450" s="220"/>
      <c r="AO450" s="220"/>
      <c r="AP450" s="220"/>
      <c r="AQ450" s="220"/>
      <c r="AR450" s="220"/>
      <c r="AS450" s="220"/>
      <c r="AT450" s="220"/>
      <c r="AU450" s="220"/>
      <c r="AV450" s="220"/>
      <c r="AW450" s="220"/>
      <c r="AX450" s="220"/>
      <c r="AY450" s="220"/>
      <c r="AZ450" s="220"/>
      <c r="BA450" s="220"/>
    </row>
    <row r="451">
      <c r="A451" s="240"/>
      <c r="B451" s="311"/>
      <c r="C451" s="311"/>
      <c r="D451" s="312"/>
      <c r="E451" s="311"/>
      <c r="F451" s="311"/>
      <c r="G451" s="312"/>
      <c r="H451" s="312"/>
      <c r="I451" s="313"/>
      <c r="J451" s="314"/>
      <c r="K451" s="313"/>
      <c r="L451" s="313"/>
      <c r="M451" s="313"/>
      <c r="N451" s="315"/>
      <c r="O451" s="313"/>
      <c r="P451" s="313"/>
      <c r="Q451" s="313"/>
      <c r="R451" s="313"/>
      <c r="S451" s="316"/>
      <c r="T451" s="317"/>
      <c r="U451" s="318"/>
      <c r="V451" s="319"/>
      <c r="W451" s="288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308"/>
      <c r="AI451" s="220"/>
      <c r="AJ451" s="220"/>
      <c r="AK451" s="220"/>
      <c r="AL451" s="220"/>
      <c r="AM451" s="220"/>
      <c r="AN451" s="220"/>
      <c r="AO451" s="220"/>
      <c r="AP451" s="220"/>
      <c r="AQ451" s="220"/>
      <c r="AR451" s="220"/>
      <c r="AS451" s="220"/>
      <c r="AT451" s="220"/>
      <c r="AU451" s="220"/>
      <c r="AV451" s="220"/>
      <c r="AW451" s="220"/>
      <c r="AX451" s="220"/>
      <c r="AY451" s="220"/>
      <c r="AZ451" s="220"/>
      <c r="BA451" s="220"/>
    </row>
    <row r="452">
      <c r="A452" s="240"/>
      <c r="B452" s="311"/>
      <c r="C452" s="311"/>
      <c r="D452" s="312"/>
      <c r="E452" s="311"/>
      <c r="F452" s="311"/>
      <c r="G452" s="312"/>
      <c r="H452" s="312"/>
      <c r="I452" s="313"/>
      <c r="J452" s="314"/>
      <c r="K452" s="313"/>
      <c r="L452" s="313"/>
      <c r="M452" s="313"/>
      <c r="N452" s="315"/>
      <c r="O452" s="313"/>
      <c r="P452" s="313"/>
      <c r="Q452" s="313"/>
      <c r="R452" s="313"/>
      <c r="S452" s="316"/>
      <c r="T452" s="317"/>
      <c r="U452" s="318"/>
      <c r="V452" s="319"/>
      <c r="W452" s="288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308"/>
      <c r="AI452" s="220"/>
      <c r="AJ452" s="220"/>
      <c r="AK452" s="220"/>
      <c r="AL452" s="220"/>
      <c r="AM452" s="220"/>
      <c r="AN452" s="220"/>
      <c r="AO452" s="220"/>
      <c r="AP452" s="220"/>
      <c r="AQ452" s="220"/>
      <c r="AR452" s="220"/>
      <c r="AS452" s="220"/>
      <c r="AT452" s="220"/>
      <c r="AU452" s="220"/>
      <c r="AV452" s="220"/>
      <c r="AW452" s="220"/>
      <c r="AX452" s="220"/>
      <c r="AY452" s="220"/>
      <c r="AZ452" s="220"/>
      <c r="BA452" s="220"/>
    </row>
    <row r="453">
      <c r="A453" s="240"/>
      <c r="B453" s="311"/>
      <c r="C453" s="311"/>
      <c r="D453" s="312"/>
      <c r="E453" s="311"/>
      <c r="F453" s="311"/>
      <c r="G453" s="312"/>
      <c r="H453" s="312"/>
      <c r="I453" s="313"/>
      <c r="J453" s="314"/>
      <c r="K453" s="313"/>
      <c r="L453" s="313"/>
      <c r="M453" s="313"/>
      <c r="N453" s="315"/>
      <c r="O453" s="313"/>
      <c r="P453" s="313"/>
      <c r="Q453" s="313"/>
      <c r="R453" s="313"/>
      <c r="S453" s="316"/>
      <c r="T453" s="317"/>
      <c r="U453" s="318"/>
      <c r="V453" s="319"/>
      <c r="W453" s="288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308"/>
      <c r="AI453" s="220"/>
      <c r="AJ453" s="220"/>
      <c r="AK453" s="220"/>
      <c r="AL453" s="220"/>
      <c r="AM453" s="220"/>
      <c r="AN453" s="220"/>
      <c r="AO453" s="220"/>
      <c r="AP453" s="220"/>
      <c r="AQ453" s="220"/>
      <c r="AR453" s="220"/>
      <c r="AS453" s="220"/>
      <c r="AT453" s="220"/>
      <c r="AU453" s="220"/>
      <c r="AV453" s="220"/>
      <c r="AW453" s="220"/>
      <c r="AX453" s="220"/>
      <c r="AY453" s="220"/>
      <c r="AZ453" s="220"/>
      <c r="BA453" s="220"/>
    </row>
    <row r="454">
      <c r="A454" s="240"/>
      <c r="B454" s="311"/>
      <c r="C454" s="311"/>
      <c r="D454" s="312"/>
      <c r="E454" s="311"/>
      <c r="F454" s="311"/>
      <c r="G454" s="312"/>
      <c r="H454" s="312"/>
      <c r="I454" s="313"/>
      <c r="J454" s="314"/>
      <c r="K454" s="313"/>
      <c r="L454" s="313"/>
      <c r="M454" s="313"/>
      <c r="N454" s="315"/>
      <c r="O454" s="313"/>
      <c r="P454" s="313"/>
      <c r="Q454" s="313"/>
      <c r="R454" s="313"/>
      <c r="S454" s="316"/>
      <c r="T454" s="317"/>
      <c r="U454" s="318"/>
      <c r="V454" s="319"/>
      <c r="W454" s="288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308"/>
      <c r="AI454" s="220"/>
      <c r="AJ454" s="220"/>
      <c r="AK454" s="220"/>
      <c r="AL454" s="220"/>
      <c r="AM454" s="220"/>
      <c r="AN454" s="220"/>
      <c r="AO454" s="220"/>
      <c r="AP454" s="220"/>
      <c r="AQ454" s="220"/>
      <c r="AR454" s="220"/>
      <c r="AS454" s="220"/>
      <c r="AT454" s="220"/>
      <c r="AU454" s="220"/>
      <c r="AV454" s="220"/>
      <c r="AW454" s="220"/>
      <c r="AX454" s="220"/>
      <c r="AY454" s="220"/>
      <c r="AZ454" s="220"/>
      <c r="BA454" s="220"/>
    </row>
    <row r="455">
      <c r="A455" s="240"/>
      <c r="B455" s="311"/>
      <c r="C455" s="311"/>
      <c r="D455" s="312"/>
      <c r="E455" s="311"/>
      <c r="F455" s="311"/>
      <c r="G455" s="312"/>
      <c r="H455" s="312"/>
      <c r="I455" s="313"/>
      <c r="J455" s="314"/>
      <c r="K455" s="313"/>
      <c r="L455" s="313"/>
      <c r="M455" s="313"/>
      <c r="N455" s="315"/>
      <c r="O455" s="313"/>
      <c r="P455" s="313"/>
      <c r="Q455" s="313"/>
      <c r="R455" s="313"/>
      <c r="S455" s="316"/>
      <c r="T455" s="317"/>
      <c r="U455" s="318"/>
      <c r="V455" s="319"/>
      <c r="W455" s="288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308"/>
      <c r="AI455" s="220"/>
      <c r="AJ455" s="220"/>
      <c r="AK455" s="220"/>
      <c r="AL455" s="220"/>
      <c r="AM455" s="220"/>
      <c r="AN455" s="220"/>
      <c r="AO455" s="220"/>
      <c r="AP455" s="220"/>
      <c r="AQ455" s="220"/>
      <c r="AR455" s="220"/>
      <c r="AS455" s="220"/>
      <c r="AT455" s="220"/>
      <c r="AU455" s="220"/>
      <c r="AV455" s="220"/>
      <c r="AW455" s="220"/>
      <c r="AX455" s="220"/>
      <c r="AY455" s="220"/>
      <c r="AZ455" s="220"/>
      <c r="BA455" s="220"/>
    </row>
    <row r="456">
      <c r="A456" s="240"/>
      <c r="B456" s="311"/>
      <c r="C456" s="311"/>
      <c r="D456" s="312"/>
      <c r="E456" s="311"/>
      <c r="F456" s="311"/>
      <c r="G456" s="312"/>
      <c r="H456" s="312"/>
      <c r="I456" s="313"/>
      <c r="J456" s="314"/>
      <c r="K456" s="313"/>
      <c r="L456" s="313"/>
      <c r="M456" s="313"/>
      <c r="N456" s="315"/>
      <c r="O456" s="313"/>
      <c r="P456" s="313"/>
      <c r="Q456" s="313"/>
      <c r="R456" s="313"/>
      <c r="S456" s="316"/>
      <c r="T456" s="317"/>
      <c r="U456" s="318"/>
      <c r="V456" s="319"/>
      <c r="W456" s="288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308"/>
      <c r="AI456" s="220"/>
      <c r="AJ456" s="220"/>
      <c r="AK456" s="220"/>
      <c r="AL456" s="220"/>
      <c r="AM456" s="220"/>
      <c r="AN456" s="220"/>
      <c r="AO456" s="220"/>
      <c r="AP456" s="220"/>
      <c r="AQ456" s="220"/>
      <c r="AR456" s="220"/>
      <c r="AS456" s="220"/>
      <c r="AT456" s="220"/>
      <c r="AU456" s="220"/>
      <c r="AV456" s="220"/>
      <c r="AW456" s="220"/>
      <c r="AX456" s="220"/>
      <c r="AY456" s="220"/>
      <c r="AZ456" s="220"/>
      <c r="BA456" s="220"/>
    </row>
    <row r="457">
      <c r="A457" s="240"/>
      <c r="B457" s="311"/>
      <c r="C457" s="311"/>
      <c r="D457" s="312"/>
      <c r="E457" s="311"/>
      <c r="F457" s="311"/>
      <c r="G457" s="312"/>
      <c r="H457" s="312"/>
      <c r="I457" s="313"/>
      <c r="J457" s="314"/>
      <c r="K457" s="313"/>
      <c r="L457" s="313"/>
      <c r="M457" s="313"/>
      <c r="N457" s="315"/>
      <c r="O457" s="313"/>
      <c r="P457" s="313"/>
      <c r="Q457" s="313"/>
      <c r="R457" s="313"/>
      <c r="S457" s="316"/>
      <c r="T457" s="317"/>
      <c r="U457" s="318"/>
      <c r="V457" s="319"/>
      <c r="W457" s="288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308"/>
      <c r="AI457" s="220"/>
      <c r="AJ457" s="220"/>
      <c r="AK457" s="220"/>
      <c r="AL457" s="220"/>
      <c r="AM457" s="220"/>
      <c r="AN457" s="220"/>
      <c r="AO457" s="220"/>
      <c r="AP457" s="220"/>
      <c r="AQ457" s="220"/>
      <c r="AR457" s="220"/>
      <c r="AS457" s="220"/>
      <c r="AT457" s="220"/>
      <c r="AU457" s="220"/>
      <c r="AV457" s="220"/>
      <c r="AW457" s="220"/>
      <c r="AX457" s="220"/>
      <c r="AY457" s="220"/>
      <c r="AZ457" s="220"/>
      <c r="BA457" s="220"/>
    </row>
    <row r="458">
      <c r="A458" s="240"/>
      <c r="B458" s="311"/>
      <c r="C458" s="311"/>
      <c r="D458" s="312"/>
      <c r="E458" s="311"/>
      <c r="F458" s="311"/>
      <c r="G458" s="312"/>
      <c r="H458" s="312"/>
      <c r="I458" s="313"/>
      <c r="J458" s="314"/>
      <c r="K458" s="313"/>
      <c r="L458" s="313"/>
      <c r="M458" s="313"/>
      <c r="N458" s="315"/>
      <c r="O458" s="313"/>
      <c r="P458" s="313"/>
      <c r="Q458" s="313"/>
      <c r="R458" s="313"/>
      <c r="S458" s="316"/>
      <c r="T458" s="317"/>
      <c r="U458" s="318"/>
      <c r="V458" s="319"/>
      <c r="W458" s="288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308"/>
      <c r="AI458" s="220"/>
      <c r="AJ458" s="220"/>
      <c r="AK458" s="220"/>
      <c r="AL458" s="220"/>
      <c r="AM458" s="220"/>
      <c r="AN458" s="220"/>
      <c r="AO458" s="220"/>
      <c r="AP458" s="220"/>
      <c r="AQ458" s="220"/>
      <c r="AR458" s="220"/>
      <c r="AS458" s="220"/>
      <c r="AT458" s="220"/>
      <c r="AU458" s="220"/>
      <c r="AV458" s="220"/>
      <c r="AW458" s="220"/>
      <c r="AX458" s="220"/>
      <c r="AY458" s="220"/>
      <c r="AZ458" s="220"/>
      <c r="BA458" s="220"/>
    </row>
    <row r="459">
      <c r="A459" s="240"/>
      <c r="B459" s="311"/>
      <c r="C459" s="311"/>
      <c r="D459" s="312"/>
      <c r="E459" s="311"/>
      <c r="F459" s="311"/>
      <c r="G459" s="312"/>
      <c r="H459" s="312"/>
      <c r="I459" s="313"/>
      <c r="J459" s="314"/>
      <c r="K459" s="313"/>
      <c r="L459" s="313"/>
      <c r="M459" s="313"/>
      <c r="N459" s="315"/>
      <c r="O459" s="313"/>
      <c r="P459" s="313"/>
      <c r="Q459" s="313"/>
      <c r="R459" s="313"/>
      <c r="S459" s="316"/>
      <c r="T459" s="317"/>
      <c r="U459" s="318"/>
      <c r="V459" s="319"/>
      <c r="W459" s="288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308"/>
      <c r="AI459" s="220"/>
      <c r="AJ459" s="220"/>
      <c r="AK459" s="220"/>
      <c r="AL459" s="220"/>
      <c r="AM459" s="220"/>
      <c r="AN459" s="220"/>
      <c r="AO459" s="220"/>
      <c r="AP459" s="220"/>
      <c r="AQ459" s="220"/>
      <c r="AR459" s="220"/>
      <c r="AS459" s="220"/>
      <c r="AT459" s="220"/>
      <c r="AU459" s="220"/>
      <c r="AV459" s="220"/>
      <c r="AW459" s="220"/>
      <c r="AX459" s="220"/>
      <c r="AY459" s="220"/>
      <c r="AZ459" s="220"/>
      <c r="BA459" s="220"/>
    </row>
    <row r="460">
      <c r="A460" s="240"/>
      <c r="B460" s="311"/>
      <c r="C460" s="311"/>
      <c r="D460" s="312"/>
      <c r="E460" s="311"/>
      <c r="F460" s="311"/>
      <c r="G460" s="312"/>
      <c r="H460" s="312"/>
      <c r="I460" s="313"/>
      <c r="J460" s="314"/>
      <c r="K460" s="313"/>
      <c r="L460" s="313"/>
      <c r="M460" s="313"/>
      <c r="N460" s="315"/>
      <c r="O460" s="313"/>
      <c r="P460" s="313"/>
      <c r="Q460" s="313"/>
      <c r="R460" s="313"/>
      <c r="S460" s="316"/>
      <c r="T460" s="317"/>
      <c r="U460" s="318"/>
      <c r="V460" s="319"/>
      <c r="W460" s="288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308"/>
      <c r="AI460" s="220"/>
      <c r="AJ460" s="220"/>
      <c r="AK460" s="220"/>
      <c r="AL460" s="220"/>
      <c r="AM460" s="220"/>
      <c r="AN460" s="220"/>
      <c r="AO460" s="220"/>
      <c r="AP460" s="220"/>
      <c r="AQ460" s="220"/>
      <c r="AR460" s="220"/>
      <c r="AS460" s="220"/>
      <c r="AT460" s="220"/>
      <c r="AU460" s="220"/>
      <c r="AV460" s="220"/>
      <c r="AW460" s="220"/>
      <c r="AX460" s="220"/>
      <c r="AY460" s="220"/>
      <c r="AZ460" s="220"/>
      <c r="BA460" s="220"/>
    </row>
    <row r="461">
      <c r="A461" s="240"/>
      <c r="B461" s="311"/>
      <c r="C461" s="311"/>
      <c r="D461" s="312"/>
      <c r="E461" s="311"/>
      <c r="F461" s="311"/>
      <c r="G461" s="312"/>
      <c r="H461" s="312"/>
      <c r="I461" s="313"/>
      <c r="J461" s="314"/>
      <c r="K461" s="313"/>
      <c r="L461" s="313"/>
      <c r="M461" s="313"/>
      <c r="N461" s="315"/>
      <c r="O461" s="313"/>
      <c r="P461" s="313"/>
      <c r="Q461" s="313"/>
      <c r="R461" s="313"/>
      <c r="S461" s="316"/>
      <c r="T461" s="317"/>
      <c r="U461" s="318"/>
      <c r="V461" s="319"/>
      <c r="W461" s="288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308"/>
      <c r="AI461" s="220"/>
      <c r="AJ461" s="220"/>
      <c r="AK461" s="220"/>
      <c r="AL461" s="220"/>
      <c r="AM461" s="220"/>
      <c r="AN461" s="220"/>
      <c r="AO461" s="220"/>
      <c r="AP461" s="220"/>
      <c r="AQ461" s="220"/>
      <c r="AR461" s="220"/>
      <c r="AS461" s="220"/>
      <c r="AT461" s="220"/>
      <c r="AU461" s="220"/>
      <c r="AV461" s="220"/>
      <c r="AW461" s="220"/>
      <c r="AX461" s="220"/>
      <c r="AY461" s="220"/>
      <c r="AZ461" s="220"/>
      <c r="BA461" s="220"/>
    </row>
    <row r="462">
      <c r="A462" s="240"/>
      <c r="B462" s="311"/>
      <c r="C462" s="311"/>
      <c r="D462" s="312"/>
      <c r="E462" s="311"/>
      <c r="F462" s="311"/>
      <c r="G462" s="312"/>
      <c r="H462" s="312"/>
      <c r="I462" s="313"/>
      <c r="J462" s="314"/>
      <c r="K462" s="313"/>
      <c r="L462" s="313"/>
      <c r="M462" s="313"/>
      <c r="N462" s="315"/>
      <c r="O462" s="313"/>
      <c r="P462" s="313"/>
      <c r="Q462" s="313"/>
      <c r="R462" s="313"/>
      <c r="S462" s="316"/>
      <c r="T462" s="317"/>
      <c r="U462" s="318"/>
      <c r="V462" s="319"/>
      <c r="W462" s="288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308"/>
      <c r="AI462" s="220"/>
      <c r="AJ462" s="220"/>
      <c r="AK462" s="220"/>
      <c r="AL462" s="220"/>
      <c r="AM462" s="220"/>
      <c r="AN462" s="220"/>
      <c r="AO462" s="220"/>
      <c r="AP462" s="220"/>
      <c r="AQ462" s="220"/>
      <c r="AR462" s="220"/>
      <c r="AS462" s="220"/>
      <c r="AT462" s="220"/>
      <c r="AU462" s="220"/>
      <c r="AV462" s="220"/>
      <c r="AW462" s="220"/>
      <c r="AX462" s="220"/>
      <c r="AY462" s="220"/>
      <c r="AZ462" s="220"/>
      <c r="BA462" s="220"/>
    </row>
    <row r="463">
      <c r="A463" s="240"/>
      <c r="B463" s="311"/>
      <c r="C463" s="311"/>
      <c r="D463" s="312"/>
      <c r="E463" s="311"/>
      <c r="F463" s="311"/>
      <c r="G463" s="312"/>
      <c r="H463" s="312"/>
      <c r="I463" s="313"/>
      <c r="J463" s="314"/>
      <c r="K463" s="313"/>
      <c r="L463" s="313"/>
      <c r="M463" s="313"/>
      <c r="N463" s="315"/>
      <c r="O463" s="313"/>
      <c r="P463" s="313"/>
      <c r="Q463" s="313"/>
      <c r="R463" s="313"/>
      <c r="S463" s="316"/>
      <c r="T463" s="317"/>
      <c r="U463" s="318"/>
      <c r="V463" s="319"/>
      <c r="W463" s="288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308"/>
      <c r="AI463" s="220"/>
      <c r="AJ463" s="220"/>
      <c r="AK463" s="220"/>
      <c r="AL463" s="220"/>
      <c r="AM463" s="220"/>
      <c r="AN463" s="220"/>
      <c r="AO463" s="220"/>
      <c r="AP463" s="220"/>
      <c r="AQ463" s="220"/>
      <c r="AR463" s="220"/>
      <c r="AS463" s="220"/>
      <c r="AT463" s="220"/>
      <c r="AU463" s="220"/>
      <c r="AV463" s="220"/>
      <c r="AW463" s="220"/>
      <c r="AX463" s="220"/>
      <c r="AY463" s="220"/>
      <c r="AZ463" s="220"/>
      <c r="BA463" s="220"/>
    </row>
    <row r="464">
      <c r="A464" s="240"/>
      <c r="B464" s="311"/>
      <c r="C464" s="311"/>
      <c r="D464" s="312"/>
      <c r="E464" s="311"/>
      <c r="F464" s="311"/>
      <c r="G464" s="312"/>
      <c r="H464" s="312"/>
      <c r="I464" s="313"/>
      <c r="J464" s="314"/>
      <c r="K464" s="313"/>
      <c r="L464" s="313"/>
      <c r="M464" s="313"/>
      <c r="N464" s="315"/>
      <c r="O464" s="313"/>
      <c r="P464" s="313"/>
      <c r="Q464" s="313"/>
      <c r="R464" s="313"/>
      <c r="S464" s="316"/>
      <c r="T464" s="317"/>
      <c r="U464" s="318"/>
      <c r="V464" s="319"/>
      <c r="W464" s="288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308"/>
      <c r="AI464" s="220"/>
      <c r="AJ464" s="220"/>
      <c r="AK464" s="220"/>
      <c r="AL464" s="220"/>
      <c r="AM464" s="220"/>
      <c r="AN464" s="220"/>
      <c r="AO464" s="220"/>
      <c r="AP464" s="220"/>
      <c r="AQ464" s="220"/>
      <c r="AR464" s="220"/>
      <c r="AS464" s="220"/>
      <c r="AT464" s="220"/>
      <c r="AU464" s="220"/>
      <c r="AV464" s="220"/>
      <c r="AW464" s="220"/>
      <c r="AX464" s="220"/>
      <c r="AY464" s="220"/>
      <c r="AZ464" s="220"/>
      <c r="BA464" s="220"/>
    </row>
    <row r="465">
      <c r="A465" s="240"/>
      <c r="B465" s="311"/>
      <c r="C465" s="311"/>
      <c r="D465" s="312"/>
      <c r="E465" s="311"/>
      <c r="F465" s="311"/>
      <c r="G465" s="312"/>
      <c r="H465" s="312"/>
      <c r="I465" s="313"/>
      <c r="J465" s="314"/>
      <c r="K465" s="313"/>
      <c r="L465" s="313"/>
      <c r="M465" s="313"/>
      <c r="N465" s="315"/>
      <c r="O465" s="313"/>
      <c r="P465" s="313"/>
      <c r="Q465" s="313"/>
      <c r="R465" s="313"/>
      <c r="S465" s="316"/>
      <c r="T465" s="317"/>
      <c r="U465" s="318"/>
      <c r="V465" s="319"/>
      <c r="W465" s="288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308"/>
      <c r="AI465" s="220"/>
      <c r="AJ465" s="220"/>
      <c r="AK465" s="220"/>
      <c r="AL465" s="220"/>
      <c r="AM465" s="220"/>
      <c r="AN465" s="220"/>
      <c r="AO465" s="220"/>
      <c r="AP465" s="220"/>
      <c r="AQ465" s="220"/>
      <c r="AR465" s="220"/>
      <c r="AS465" s="220"/>
      <c r="AT465" s="220"/>
      <c r="AU465" s="220"/>
      <c r="AV465" s="220"/>
      <c r="AW465" s="220"/>
      <c r="AX465" s="220"/>
      <c r="AY465" s="220"/>
      <c r="AZ465" s="220"/>
      <c r="BA465" s="220"/>
    </row>
    <row r="466">
      <c r="A466" s="240"/>
      <c r="B466" s="311"/>
      <c r="C466" s="311"/>
      <c r="D466" s="312"/>
      <c r="E466" s="311"/>
      <c r="F466" s="311"/>
      <c r="G466" s="312"/>
      <c r="H466" s="312"/>
      <c r="I466" s="313"/>
      <c r="J466" s="314"/>
      <c r="K466" s="313"/>
      <c r="L466" s="313"/>
      <c r="M466" s="313"/>
      <c r="N466" s="315"/>
      <c r="O466" s="313"/>
      <c r="P466" s="313"/>
      <c r="Q466" s="313"/>
      <c r="R466" s="313"/>
      <c r="S466" s="316"/>
      <c r="T466" s="317"/>
      <c r="U466" s="318"/>
      <c r="V466" s="319"/>
      <c r="W466" s="288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308"/>
      <c r="AI466" s="220"/>
      <c r="AJ466" s="220"/>
      <c r="AK466" s="220"/>
      <c r="AL466" s="220"/>
      <c r="AM466" s="220"/>
      <c r="AN466" s="220"/>
      <c r="AO466" s="220"/>
      <c r="AP466" s="220"/>
      <c r="AQ466" s="220"/>
      <c r="AR466" s="220"/>
      <c r="AS466" s="220"/>
      <c r="AT466" s="220"/>
      <c r="AU466" s="220"/>
      <c r="AV466" s="220"/>
      <c r="AW466" s="220"/>
      <c r="AX466" s="220"/>
      <c r="AY466" s="220"/>
      <c r="AZ466" s="220"/>
      <c r="BA466" s="220"/>
    </row>
    <row r="467">
      <c r="A467" s="240"/>
      <c r="B467" s="311"/>
      <c r="C467" s="311"/>
      <c r="D467" s="312"/>
      <c r="E467" s="311"/>
      <c r="F467" s="311"/>
      <c r="G467" s="312"/>
      <c r="H467" s="312"/>
      <c r="I467" s="313"/>
      <c r="J467" s="314"/>
      <c r="K467" s="313"/>
      <c r="L467" s="313"/>
      <c r="M467" s="313"/>
      <c r="N467" s="315"/>
      <c r="O467" s="313"/>
      <c r="P467" s="313"/>
      <c r="Q467" s="313"/>
      <c r="R467" s="313"/>
      <c r="S467" s="316"/>
      <c r="T467" s="317"/>
      <c r="U467" s="318"/>
      <c r="V467" s="319"/>
      <c r="W467" s="288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308"/>
      <c r="AI467" s="220"/>
      <c r="AJ467" s="220"/>
      <c r="AK467" s="220"/>
      <c r="AL467" s="220"/>
      <c r="AM467" s="220"/>
      <c r="AN467" s="220"/>
      <c r="AO467" s="220"/>
      <c r="AP467" s="220"/>
      <c r="AQ467" s="220"/>
      <c r="AR467" s="220"/>
      <c r="AS467" s="220"/>
      <c r="AT467" s="220"/>
      <c r="AU467" s="220"/>
      <c r="AV467" s="220"/>
      <c r="AW467" s="220"/>
      <c r="AX467" s="220"/>
      <c r="AY467" s="220"/>
      <c r="AZ467" s="220"/>
      <c r="BA467" s="220"/>
    </row>
    <row r="468">
      <c r="A468" s="240"/>
      <c r="B468" s="311"/>
      <c r="C468" s="311"/>
      <c r="D468" s="312"/>
      <c r="E468" s="311"/>
      <c r="F468" s="311"/>
      <c r="G468" s="312"/>
      <c r="H468" s="312"/>
      <c r="I468" s="313"/>
      <c r="J468" s="314"/>
      <c r="K468" s="313"/>
      <c r="L468" s="313"/>
      <c r="M468" s="313"/>
      <c r="N468" s="315"/>
      <c r="O468" s="313"/>
      <c r="P468" s="313"/>
      <c r="Q468" s="313"/>
      <c r="R468" s="313"/>
      <c r="S468" s="316"/>
      <c r="T468" s="317"/>
      <c r="U468" s="318"/>
      <c r="V468" s="319"/>
      <c r="W468" s="288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308"/>
      <c r="AI468" s="220"/>
      <c r="AJ468" s="220"/>
      <c r="AK468" s="220"/>
      <c r="AL468" s="220"/>
      <c r="AM468" s="220"/>
      <c r="AN468" s="220"/>
      <c r="AO468" s="220"/>
      <c r="AP468" s="220"/>
      <c r="AQ468" s="220"/>
      <c r="AR468" s="220"/>
      <c r="AS468" s="220"/>
      <c r="AT468" s="220"/>
      <c r="AU468" s="220"/>
      <c r="AV468" s="220"/>
      <c r="AW468" s="220"/>
      <c r="AX468" s="220"/>
      <c r="AY468" s="220"/>
      <c r="AZ468" s="220"/>
      <c r="BA468" s="220"/>
    </row>
    <row r="469">
      <c r="A469" s="240"/>
      <c r="B469" s="311"/>
      <c r="C469" s="311"/>
      <c r="D469" s="312"/>
      <c r="E469" s="311"/>
      <c r="F469" s="311"/>
      <c r="G469" s="312"/>
      <c r="H469" s="312"/>
      <c r="I469" s="313"/>
      <c r="J469" s="314"/>
      <c r="K469" s="313"/>
      <c r="L469" s="313"/>
      <c r="M469" s="313"/>
      <c r="N469" s="315"/>
      <c r="O469" s="313"/>
      <c r="P469" s="313"/>
      <c r="Q469" s="313"/>
      <c r="R469" s="313"/>
      <c r="S469" s="316"/>
      <c r="T469" s="317"/>
      <c r="U469" s="318"/>
      <c r="V469" s="319"/>
      <c r="W469" s="288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308"/>
      <c r="AI469" s="220"/>
      <c r="AJ469" s="220"/>
      <c r="AK469" s="220"/>
      <c r="AL469" s="220"/>
      <c r="AM469" s="220"/>
      <c r="AN469" s="220"/>
      <c r="AO469" s="220"/>
      <c r="AP469" s="220"/>
      <c r="AQ469" s="220"/>
      <c r="AR469" s="220"/>
      <c r="AS469" s="220"/>
      <c r="AT469" s="220"/>
      <c r="AU469" s="220"/>
      <c r="AV469" s="220"/>
      <c r="AW469" s="220"/>
      <c r="AX469" s="220"/>
      <c r="AY469" s="220"/>
      <c r="AZ469" s="220"/>
      <c r="BA469" s="220"/>
    </row>
    <row r="470">
      <c r="A470" s="240"/>
      <c r="B470" s="311"/>
      <c r="C470" s="311"/>
      <c r="D470" s="312"/>
      <c r="E470" s="311"/>
      <c r="F470" s="311"/>
      <c r="G470" s="312"/>
      <c r="H470" s="312"/>
      <c r="I470" s="313"/>
      <c r="J470" s="314"/>
      <c r="K470" s="313"/>
      <c r="L470" s="313"/>
      <c r="M470" s="313"/>
      <c r="N470" s="315"/>
      <c r="O470" s="313"/>
      <c r="P470" s="313"/>
      <c r="Q470" s="313"/>
      <c r="R470" s="313"/>
      <c r="S470" s="316"/>
      <c r="T470" s="317"/>
      <c r="U470" s="318"/>
      <c r="V470" s="319"/>
      <c r="W470" s="288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308"/>
      <c r="AI470" s="220"/>
      <c r="AJ470" s="220"/>
      <c r="AK470" s="220"/>
      <c r="AL470" s="220"/>
      <c r="AM470" s="220"/>
      <c r="AN470" s="220"/>
      <c r="AO470" s="220"/>
      <c r="AP470" s="220"/>
      <c r="AQ470" s="220"/>
      <c r="AR470" s="220"/>
      <c r="AS470" s="220"/>
      <c r="AT470" s="220"/>
      <c r="AU470" s="220"/>
      <c r="AV470" s="220"/>
      <c r="AW470" s="220"/>
      <c r="AX470" s="220"/>
      <c r="AY470" s="220"/>
      <c r="AZ470" s="220"/>
      <c r="BA470" s="220"/>
    </row>
    <row r="471">
      <c r="A471" s="240"/>
      <c r="B471" s="311"/>
      <c r="C471" s="311"/>
      <c r="D471" s="312"/>
      <c r="E471" s="311"/>
      <c r="F471" s="311"/>
      <c r="G471" s="312"/>
      <c r="H471" s="312"/>
      <c r="I471" s="313"/>
      <c r="J471" s="314"/>
      <c r="K471" s="313"/>
      <c r="L471" s="313"/>
      <c r="M471" s="313"/>
      <c r="N471" s="315"/>
      <c r="O471" s="313"/>
      <c r="P471" s="313"/>
      <c r="Q471" s="313"/>
      <c r="R471" s="313"/>
      <c r="S471" s="316"/>
      <c r="T471" s="317"/>
      <c r="U471" s="318"/>
      <c r="V471" s="319"/>
      <c r="W471" s="288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308"/>
      <c r="AI471" s="220"/>
      <c r="AJ471" s="220"/>
      <c r="AK471" s="220"/>
      <c r="AL471" s="220"/>
      <c r="AM471" s="220"/>
      <c r="AN471" s="220"/>
      <c r="AO471" s="220"/>
      <c r="AP471" s="220"/>
      <c r="AQ471" s="220"/>
      <c r="AR471" s="220"/>
      <c r="AS471" s="220"/>
      <c r="AT471" s="220"/>
      <c r="AU471" s="220"/>
      <c r="AV471" s="220"/>
      <c r="AW471" s="220"/>
      <c r="AX471" s="220"/>
      <c r="AY471" s="220"/>
      <c r="AZ471" s="220"/>
      <c r="BA471" s="220"/>
    </row>
    <row r="472">
      <c r="A472" s="240"/>
      <c r="B472" s="311"/>
      <c r="C472" s="311"/>
      <c r="D472" s="312"/>
      <c r="E472" s="311"/>
      <c r="F472" s="311"/>
      <c r="G472" s="312"/>
      <c r="H472" s="312"/>
      <c r="I472" s="313"/>
      <c r="J472" s="314"/>
      <c r="K472" s="313"/>
      <c r="L472" s="313"/>
      <c r="M472" s="313"/>
      <c r="N472" s="315"/>
      <c r="O472" s="313"/>
      <c r="P472" s="313"/>
      <c r="Q472" s="313"/>
      <c r="R472" s="313"/>
      <c r="S472" s="316"/>
      <c r="T472" s="317"/>
      <c r="U472" s="318"/>
      <c r="V472" s="319"/>
      <c r="W472" s="288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308"/>
      <c r="AI472" s="220"/>
      <c r="AJ472" s="220"/>
      <c r="AK472" s="220"/>
      <c r="AL472" s="220"/>
      <c r="AM472" s="220"/>
      <c r="AN472" s="220"/>
      <c r="AO472" s="220"/>
      <c r="AP472" s="220"/>
      <c r="AQ472" s="220"/>
      <c r="AR472" s="220"/>
      <c r="AS472" s="220"/>
      <c r="AT472" s="220"/>
      <c r="AU472" s="220"/>
      <c r="AV472" s="220"/>
      <c r="AW472" s="220"/>
      <c r="AX472" s="220"/>
      <c r="AY472" s="220"/>
      <c r="AZ472" s="220"/>
      <c r="BA472" s="220"/>
    </row>
    <row r="473">
      <c r="A473" s="240"/>
      <c r="B473" s="311"/>
      <c r="C473" s="311"/>
      <c r="D473" s="312"/>
      <c r="E473" s="311"/>
      <c r="F473" s="311"/>
      <c r="G473" s="312"/>
      <c r="H473" s="312"/>
      <c r="I473" s="313"/>
      <c r="J473" s="314"/>
      <c r="K473" s="313"/>
      <c r="L473" s="313"/>
      <c r="M473" s="313"/>
      <c r="N473" s="315"/>
      <c r="O473" s="313"/>
      <c r="P473" s="313"/>
      <c r="Q473" s="313"/>
      <c r="R473" s="313"/>
      <c r="S473" s="316"/>
      <c r="T473" s="317"/>
      <c r="U473" s="318"/>
      <c r="V473" s="319"/>
      <c r="W473" s="288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308"/>
      <c r="AI473" s="220"/>
      <c r="AJ473" s="220"/>
      <c r="AK473" s="220"/>
      <c r="AL473" s="220"/>
      <c r="AM473" s="220"/>
      <c r="AN473" s="220"/>
      <c r="AO473" s="220"/>
      <c r="AP473" s="220"/>
      <c r="AQ473" s="220"/>
      <c r="AR473" s="220"/>
      <c r="AS473" s="220"/>
      <c r="AT473" s="220"/>
      <c r="AU473" s="220"/>
      <c r="AV473" s="220"/>
      <c r="AW473" s="220"/>
      <c r="AX473" s="220"/>
      <c r="AY473" s="220"/>
      <c r="AZ473" s="220"/>
      <c r="BA473" s="220"/>
    </row>
    <row r="474">
      <c r="A474" s="240"/>
      <c r="B474" s="311"/>
      <c r="C474" s="311"/>
      <c r="D474" s="312"/>
      <c r="E474" s="311"/>
      <c r="F474" s="311"/>
      <c r="G474" s="312"/>
      <c r="H474" s="312"/>
      <c r="I474" s="313"/>
      <c r="J474" s="314"/>
      <c r="K474" s="313"/>
      <c r="L474" s="313"/>
      <c r="M474" s="313"/>
      <c r="N474" s="315"/>
      <c r="O474" s="313"/>
      <c r="P474" s="313"/>
      <c r="Q474" s="313"/>
      <c r="R474" s="313"/>
      <c r="S474" s="316"/>
      <c r="T474" s="317"/>
      <c r="U474" s="318"/>
      <c r="V474" s="319"/>
      <c r="W474" s="288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308"/>
      <c r="AI474" s="220"/>
      <c r="AJ474" s="220"/>
      <c r="AK474" s="220"/>
      <c r="AL474" s="220"/>
      <c r="AM474" s="220"/>
      <c r="AN474" s="220"/>
      <c r="AO474" s="220"/>
      <c r="AP474" s="220"/>
      <c r="AQ474" s="220"/>
      <c r="AR474" s="220"/>
      <c r="AS474" s="220"/>
      <c r="AT474" s="220"/>
      <c r="AU474" s="220"/>
      <c r="AV474" s="220"/>
      <c r="AW474" s="220"/>
      <c r="AX474" s="220"/>
      <c r="AY474" s="220"/>
      <c r="AZ474" s="220"/>
      <c r="BA474" s="220"/>
    </row>
    <row r="475">
      <c r="A475" s="240"/>
      <c r="B475" s="311"/>
      <c r="C475" s="311"/>
      <c r="D475" s="312"/>
      <c r="E475" s="311"/>
      <c r="F475" s="311"/>
      <c r="G475" s="312"/>
      <c r="H475" s="312"/>
      <c r="I475" s="313"/>
      <c r="J475" s="314"/>
      <c r="K475" s="313"/>
      <c r="L475" s="313"/>
      <c r="M475" s="313"/>
      <c r="N475" s="315"/>
      <c r="O475" s="313"/>
      <c r="P475" s="313"/>
      <c r="Q475" s="313"/>
      <c r="R475" s="313"/>
      <c r="S475" s="316"/>
      <c r="T475" s="317"/>
      <c r="U475" s="318"/>
      <c r="V475" s="319"/>
      <c r="W475" s="288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308"/>
      <c r="AI475" s="220"/>
      <c r="AJ475" s="220"/>
      <c r="AK475" s="220"/>
      <c r="AL475" s="220"/>
      <c r="AM475" s="220"/>
      <c r="AN475" s="220"/>
      <c r="AO475" s="220"/>
      <c r="AP475" s="220"/>
      <c r="AQ475" s="220"/>
      <c r="AR475" s="220"/>
      <c r="AS475" s="220"/>
      <c r="AT475" s="220"/>
      <c r="AU475" s="220"/>
      <c r="AV475" s="220"/>
      <c r="AW475" s="220"/>
      <c r="AX475" s="220"/>
      <c r="AY475" s="220"/>
      <c r="AZ475" s="220"/>
      <c r="BA475" s="220"/>
    </row>
    <row r="476">
      <c r="A476" s="240"/>
      <c r="B476" s="311"/>
      <c r="C476" s="311"/>
      <c r="D476" s="312"/>
      <c r="E476" s="311"/>
      <c r="F476" s="311"/>
      <c r="G476" s="312"/>
      <c r="H476" s="312"/>
      <c r="I476" s="313"/>
      <c r="J476" s="314"/>
      <c r="K476" s="313"/>
      <c r="L476" s="313"/>
      <c r="M476" s="313"/>
      <c r="N476" s="315"/>
      <c r="O476" s="313"/>
      <c r="P476" s="313"/>
      <c r="Q476" s="313"/>
      <c r="R476" s="313"/>
      <c r="S476" s="316"/>
      <c r="T476" s="317"/>
      <c r="U476" s="318"/>
      <c r="V476" s="319"/>
      <c r="W476" s="288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308"/>
      <c r="AI476" s="220"/>
      <c r="AJ476" s="220"/>
      <c r="AK476" s="220"/>
      <c r="AL476" s="220"/>
      <c r="AM476" s="220"/>
      <c r="AN476" s="220"/>
      <c r="AO476" s="220"/>
      <c r="AP476" s="220"/>
      <c r="AQ476" s="220"/>
      <c r="AR476" s="220"/>
      <c r="AS476" s="220"/>
      <c r="AT476" s="220"/>
      <c r="AU476" s="220"/>
      <c r="AV476" s="220"/>
      <c r="AW476" s="220"/>
      <c r="AX476" s="220"/>
      <c r="AY476" s="220"/>
      <c r="AZ476" s="220"/>
      <c r="BA476" s="220"/>
    </row>
    <row r="477">
      <c r="A477" s="240"/>
      <c r="B477" s="311"/>
      <c r="C477" s="311"/>
      <c r="D477" s="312"/>
      <c r="E477" s="311"/>
      <c r="F477" s="311"/>
      <c r="G477" s="312"/>
      <c r="H477" s="312"/>
      <c r="I477" s="313"/>
      <c r="J477" s="314"/>
      <c r="K477" s="313"/>
      <c r="L477" s="313"/>
      <c r="M477" s="313"/>
      <c r="N477" s="315"/>
      <c r="O477" s="313"/>
      <c r="P477" s="313"/>
      <c r="Q477" s="313"/>
      <c r="R477" s="313"/>
      <c r="S477" s="316"/>
      <c r="T477" s="317"/>
      <c r="U477" s="318"/>
      <c r="V477" s="319"/>
      <c r="W477" s="288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308"/>
      <c r="AI477" s="220"/>
      <c r="AJ477" s="220"/>
      <c r="AK477" s="220"/>
      <c r="AL477" s="220"/>
      <c r="AM477" s="220"/>
      <c r="AN477" s="220"/>
      <c r="AO477" s="220"/>
      <c r="AP477" s="220"/>
      <c r="AQ477" s="220"/>
      <c r="AR477" s="220"/>
      <c r="AS477" s="220"/>
      <c r="AT477" s="220"/>
      <c r="AU477" s="220"/>
      <c r="AV477" s="220"/>
      <c r="AW477" s="220"/>
      <c r="AX477" s="220"/>
      <c r="AY477" s="220"/>
      <c r="AZ477" s="220"/>
      <c r="BA477" s="220"/>
    </row>
    <row r="478">
      <c r="A478" s="240"/>
      <c r="B478" s="311"/>
      <c r="C478" s="311"/>
      <c r="D478" s="312"/>
      <c r="E478" s="311"/>
      <c r="F478" s="311"/>
      <c r="G478" s="312"/>
      <c r="H478" s="312"/>
      <c r="I478" s="313"/>
      <c r="J478" s="314"/>
      <c r="K478" s="313"/>
      <c r="L478" s="313"/>
      <c r="M478" s="313"/>
      <c r="N478" s="315"/>
      <c r="O478" s="313"/>
      <c r="P478" s="313"/>
      <c r="Q478" s="313"/>
      <c r="R478" s="313"/>
      <c r="S478" s="316"/>
      <c r="T478" s="317"/>
      <c r="U478" s="318"/>
      <c r="V478" s="319"/>
      <c r="W478" s="288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308"/>
      <c r="AI478" s="220"/>
      <c r="AJ478" s="220"/>
      <c r="AK478" s="220"/>
      <c r="AL478" s="220"/>
      <c r="AM478" s="220"/>
      <c r="AN478" s="220"/>
      <c r="AO478" s="220"/>
      <c r="AP478" s="220"/>
      <c r="AQ478" s="220"/>
      <c r="AR478" s="220"/>
      <c r="AS478" s="220"/>
      <c r="AT478" s="220"/>
      <c r="AU478" s="220"/>
      <c r="AV478" s="220"/>
      <c r="AW478" s="220"/>
      <c r="AX478" s="220"/>
      <c r="AY478" s="220"/>
      <c r="AZ478" s="220"/>
      <c r="BA478" s="220"/>
    </row>
    <row r="479">
      <c r="A479" s="240"/>
      <c r="B479" s="311"/>
      <c r="C479" s="311"/>
      <c r="D479" s="312"/>
      <c r="E479" s="311"/>
      <c r="F479" s="311"/>
      <c r="G479" s="312"/>
      <c r="H479" s="312"/>
      <c r="I479" s="313"/>
      <c r="J479" s="314"/>
      <c r="K479" s="313"/>
      <c r="L479" s="313"/>
      <c r="M479" s="313"/>
      <c r="N479" s="315"/>
      <c r="O479" s="313"/>
      <c r="P479" s="313"/>
      <c r="Q479" s="313"/>
      <c r="R479" s="313"/>
      <c r="S479" s="316"/>
      <c r="T479" s="317"/>
      <c r="U479" s="318"/>
      <c r="V479" s="319"/>
      <c r="W479" s="288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308"/>
      <c r="AI479" s="220"/>
      <c r="AJ479" s="220"/>
      <c r="AK479" s="220"/>
      <c r="AL479" s="220"/>
      <c r="AM479" s="220"/>
      <c r="AN479" s="220"/>
      <c r="AO479" s="220"/>
      <c r="AP479" s="220"/>
      <c r="AQ479" s="220"/>
      <c r="AR479" s="220"/>
      <c r="AS479" s="220"/>
      <c r="AT479" s="220"/>
      <c r="AU479" s="220"/>
      <c r="AV479" s="220"/>
      <c r="AW479" s="220"/>
      <c r="AX479" s="220"/>
      <c r="AY479" s="220"/>
      <c r="AZ479" s="220"/>
      <c r="BA479" s="220"/>
    </row>
    <row r="480">
      <c r="A480" s="240"/>
      <c r="B480" s="311"/>
      <c r="C480" s="311"/>
      <c r="D480" s="312"/>
      <c r="E480" s="311"/>
      <c r="F480" s="311"/>
      <c r="G480" s="312"/>
      <c r="H480" s="312"/>
      <c r="I480" s="313"/>
      <c r="J480" s="314"/>
      <c r="K480" s="313"/>
      <c r="L480" s="313"/>
      <c r="M480" s="313"/>
      <c r="N480" s="315"/>
      <c r="O480" s="313"/>
      <c r="P480" s="313"/>
      <c r="Q480" s="313"/>
      <c r="R480" s="313"/>
      <c r="S480" s="316"/>
      <c r="T480" s="317"/>
      <c r="U480" s="318"/>
      <c r="V480" s="319"/>
      <c r="W480" s="288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308"/>
      <c r="AI480" s="220"/>
      <c r="AJ480" s="220"/>
      <c r="AK480" s="220"/>
      <c r="AL480" s="220"/>
      <c r="AM480" s="220"/>
      <c r="AN480" s="220"/>
      <c r="AO480" s="220"/>
      <c r="AP480" s="220"/>
      <c r="AQ480" s="220"/>
      <c r="AR480" s="220"/>
      <c r="AS480" s="220"/>
      <c r="AT480" s="220"/>
      <c r="AU480" s="220"/>
      <c r="AV480" s="220"/>
      <c r="AW480" s="220"/>
      <c r="AX480" s="220"/>
      <c r="AY480" s="220"/>
      <c r="AZ480" s="220"/>
      <c r="BA480" s="220"/>
    </row>
    <row r="481">
      <c r="A481" s="240"/>
      <c r="B481" s="311"/>
      <c r="C481" s="311"/>
      <c r="D481" s="312"/>
      <c r="E481" s="311"/>
      <c r="F481" s="311"/>
      <c r="G481" s="312"/>
      <c r="H481" s="312"/>
      <c r="I481" s="313"/>
      <c r="J481" s="314"/>
      <c r="K481" s="313"/>
      <c r="L481" s="313"/>
      <c r="M481" s="313"/>
      <c r="N481" s="315"/>
      <c r="O481" s="313"/>
      <c r="P481" s="313"/>
      <c r="Q481" s="313"/>
      <c r="R481" s="313"/>
      <c r="S481" s="316"/>
      <c r="T481" s="317"/>
      <c r="U481" s="318"/>
      <c r="V481" s="319"/>
      <c r="W481" s="288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308"/>
      <c r="AI481" s="220"/>
      <c r="AJ481" s="220"/>
      <c r="AK481" s="220"/>
      <c r="AL481" s="220"/>
      <c r="AM481" s="220"/>
      <c r="AN481" s="220"/>
      <c r="AO481" s="220"/>
      <c r="AP481" s="220"/>
      <c r="AQ481" s="220"/>
      <c r="AR481" s="220"/>
      <c r="AS481" s="220"/>
      <c r="AT481" s="220"/>
      <c r="AU481" s="220"/>
      <c r="AV481" s="220"/>
      <c r="AW481" s="220"/>
      <c r="AX481" s="220"/>
      <c r="AY481" s="220"/>
      <c r="AZ481" s="220"/>
      <c r="BA481" s="220"/>
    </row>
    <row r="482">
      <c r="A482" s="240"/>
      <c r="B482" s="311"/>
      <c r="C482" s="311"/>
      <c r="D482" s="312"/>
      <c r="E482" s="311"/>
      <c r="F482" s="311"/>
      <c r="G482" s="312"/>
      <c r="H482" s="312"/>
      <c r="I482" s="313"/>
      <c r="J482" s="314"/>
      <c r="K482" s="313"/>
      <c r="L482" s="313"/>
      <c r="M482" s="313"/>
      <c r="N482" s="315"/>
      <c r="O482" s="313"/>
      <c r="P482" s="313"/>
      <c r="Q482" s="313"/>
      <c r="R482" s="313"/>
      <c r="S482" s="316"/>
      <c r="T482" s="317"/>
      <c r="U482" s="318"/>
      <c r="V482" s="319"/>
      <c r="W482" s="288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308"/>
      <c r="AI482" s="220"/>
      <c r="AJ482" s="220"/>
      <c r="AK482" s="220"/>
      <c r="AL482" s="220"/>
      <c r="AM482" s="220"/>
      <c r="AN482" s="220"/>
      <c r="AO482" s="220"/>
      <c r="AP482" s="220"/>
      <c r="AQ482" s="220"/>
      <c r="AR482" s="220"/>
      <c r="AS482" s="220"/>
      <c r="AT482" s="220"/>
      <c r="AU482" s="220"/>
      <c r="AV482" s="220"/>
      <c r="AW482" s="220"/>
      <c r="AX482" s="220"/>
      <c r="AY482" s="220"/>
      <c r="AZ482" s="220"/>
      <c r="BA482" s="220"/>
    </row>
    <row r="483">
      <c r="A483" s="240"/>
      <c r="B483" s="311"/>
      <c r="C483" s="311"/>
      <c r="D483" s="312"/>
      <c r="E483" s="311"/>
      <c r="F483" s="311"/>
      <c r="G483" s="312"/>
      <c r="H483" s="312"/>
      <c r="I483" s="313"/>
      <c r="J483" s="314"/>
      <c r="K483" s="313"/>
      <c r="L483" s="313"/>
      <c r="M483" s="313"/>
      <c r="N483" s="315"/>
      <c r="O483" s="313"/>
      <c r="P483" s="313"/>
      <c r="Q483" s="313"/>
      <c r="R483" s="313"/>
      <c r="S483" s="316"/>
      <c r="T483" s="317"/>
      <c r="U483" s="318"/>
      <c r="V483" s="319"/>
      <c r="W483" s="288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308"/>
      <c r="AI483" s="220"/>
      <c r="AJ483" s="220"/>
      <c r="AK483" s="220"/>
      <c r="AL483" s="220"/>
      <c r="AM483" s="220"/>
      <c r="AN483" s="220"/>
      <c r="AO483" s="220"/>
      <c r="AP483" s="220"/>
      <c r="AQ483" s="220"/>
      <c r="AR483" s="220"/>
      <c r="AS483" s="220"/>
      <c r="AT483" s="220"/>
      <c r="AU483" s="220"/>
      <c r="AV483" s="220"/>
      <c r="AW483" s="220"/>
      <c r="AX483" s="220"/>
      <c r="AY483" s="220"/>
      <c r="AZ483" s="220"/>
      <c r="BA483" s="220"/>
    </row>
    <row r="484">
      <c r="A484" s="240"/>
      <c r="B484" s="311"/>
      <c r="C484" s="311"/>
      <c r="D484" s="312"/>
      <c r="E484" s="311"/>
      <c r="F484" s="311"/>
      <c r="G484" s="312"/>
      <c r="H484" s="312"/>
      <c r="I484" s="313"/>
      <c r="J484" s="314"/>
      <c r="K484" s="313"/>
      <c r="L484" s="313"/>
      <c r="M484" s="313"/>
      <c r="N484" s="315"/>
      <c r="O484" s="313"/>
      <c r="P484" s="313"/>
      <c r="Q484" s="313"/>
      <c r="R484" s="313"/>
      <c r="S484" s="316"/>
      <c r="T484" s="317"/>
      <c r="U484" s="318"/>
      <c r="V484" s="319"/>
      <c r="W484" s="288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308"/>
      <c r="AI484" s="220"/>
      <c r="AJ484" s="220"/>
      <c r="AK484" s="220"/>
      <c r="AL484" s="220"/>
      <c r="AM484" s="220"/>
      <c r="AN484" s="220"/>
      <c r="AO484" s="220"/>
      <c r="AP484" s="220"/>
      <c r="AQ484" s="220"/>
      <c r="AR484" s="220"/>
      <c r="AS484" s="220"/>
      <c r="AT484" s="220"/>
      <c r="AU484" s="220"/>
      <c r="AV484" s="220"/>
      <c r="AW484" s="220"/>
      <c r="AX484" s="220"/>
      <c r="AY484" s="220"/>
      <c r="AZ484" s="220"/>
      <c r="BA484" s="220"/>
    </row>
    <row r="485">
      <c r="A485" s="240"/>
      <c r="B485" s="311"/>
      <c r="C485" s="311"/>
      <c r="D485" s="312"/>
      <c r="E485" s="311"/>
      <c r="F485" s="311"/>
      <c r="G485" s="312"/>
      <c r="H485" s="312"/>
      <c r="I485" s="313"/>
      <c r="J485" s="314"/>
      <c r="K485" s="313"/>
      <c r="L485" s="313"/>
      <c r="M485" s="313"/>
      <c r="N485" s="315"/>
      <c r="O485" s="313"/>
      <c r="P485" s="313"/>
      <c r="Q485" s="313"/>
      <c r="R485" s="313"/>
      <c r="S485" s="316"/>
      <c r="T485" s="317"/>
      <c r="U485" s="318"/>
      <c r="V485" s="319"/>
      <c r="W485" s="288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308"/>
      <c r="AI485" s="220"/>
      <c r="AJ485" s="220"/>
      <c r="AK485" s="220"/>
      <c r="AL485" s="220"/>
      <c r="AM485" s="220"/>
      <c r="AN485" s="220"/>
      <c r="AO485" s="220"/>
      <c r="AP485" s="220"/>
      <c r="AQ485" s="220"/>
      <c r="AR485" s="220"/>
      <c r="AS485" s="220"/>
      <c r="AT485" s="220"/>
      <c r="AU485" s="220"/>
      <c r="AV485" s="220"/>
      <c r="AW485" s="220"/>
      <c r="AX485" s="220"/>
      <c r="AY485" s="220"/>
      <c r="AZ485" s="220"/>
      <c r="BA485" s="220"/>
    </row>
    <row r="486">
      <c r="A486" s="240"/>
      <c r="B486" s="311"/>
      <c r="C486" s="311"/>
      <c r="D486" s="312"/>
      <c r="E486" s="311"/>
      <c r="F486" s="311"/>
      <c r="G486" s="312"/>
      <c r="H486" s="312"/>
      <c r="I486" s="313"/>
      <c r="J486" s="314"/>
      <c r="K486" s="313"/>
      <c r="L486" s="313"/>
      <c r="M486" s="313"/>
      <c r="N486" s="315"/>
      <c r="O486" s="313"/>
      <c r="P486" s="313"/>
      <c r="Q486" s="313"/>
      <c r="R486" s="313"/>
      <c r="S486" s="316"/>
      <c r="T486" s="317"/>
      <c r="U486" s="318"/>
      <c r="V486" s="319"/>
      <c r="W486" s="288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308"/>
      <c r="AI486" s="220"/>
      <c r="AJ486" s="220"/>
      <c r="AK486" s="220"/>
      <c r="AL486" s="220"/>
      <c r="AM486" s="220"/>
      <c r="AN486" s="220"/>
      <c r="AO486" s="220"/>
      <c r="AP486" s="220"/>
      <c r="AQ486" s="220"/>
      <c r="AR486" s="220"/>
      <c r="AS486" s="220"/>
      <c r="AT486" s="220"/>
      <c r="AU486" s="220"/>
      <c r="AV486" s="220"/>
      <c r="AW486" s="220"/>
      <c r="AX486" s="220"/>
      <c r="AY486" s="220"/>
      <c r="AZ486" s="220"/>
      <c r="BA486" s="220"/>
    </row>
    <row r="487">
      <c r="A487" s="240"/>
      <c r="B487" s="311"/>
      <c r="C487" s="311"/>
      <c r="D487" s="312"/>
      <c r="E487" s="311"/>
      <c r="F487" s="311"/>
      <c r="G487" s="312"/>
      <c r="H487" s="312"/>
      <c r="I487" s="313"/>
      <c r="J487" s="314"/>
      <c r="K487" s="313"/>
      <c r="L487" s="313"/>
      <c r="M487" s="313"/>
      <c r="N487" s="315"/>
      <c r="O487" s="313"/>
      <c r="P487" s="313"/>
      <c r="Q487" s="313"/>
      <c r="R487" s="313"/>
      <c r="S487" s="316"/>
      <c r="T487" s="317"/>
      <c r="U487" s="318"/>
      <c r="V487" s="319"/>
      <c r="W487" s="288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308"/>
      <c r="AI487" s="220"/>
      <c r="AJ487" s="220"/>
      <c r="AK487" s="220"/>
      <c r="AL487" s="220"/>
      <c r="AM487" s="220"/>
      <c r="AN487" s="220"/>
      <c r="AO487" s="220"/>
      <c r="AP487" s="220"/>
      <c r="AQ487" s="220"/>
      <c r="AR487" s="220"/>
      <c r="AS487" s="220"/>
      <c r="AT487" s="220"/>
      <c r="AU487" s="220"/>
      <c r="AV487" s="220"/>
      <c r="AW487" s="220"/>
      <c r="AX487" s="220"/>
      <c r="AY487" s="220"/>
      <c r="AZ487" s="220"/>
      <c r="BA487" s="220"/>
    </row>
    <row r="488">
      <c r="A488" s="240"/>
      <c r="B488" s="311"/>
      <c r="C488" s="311"/>
      <c r="D488" s="312"/>
      <c r="E488" s="311"/>
      <c r="F488" s="311"/>
      <c r="G488" s="312"/>
      <c r="H488" s="312"/>
      <c r="I488" s="313"/>
      <c r="J488" s="314"/>
      <c r="K488" s="313"/>
      <c r="L488" s="313"/>
      <c r="M488" s="313"/>
      <c r="N488" s="315"/>
      <c r="O488" s="313"/>
      <c r="P488" s="313"/>
      <c r="Q488" s="313"/>
      <c r="R488" s="313"/>
      <c r="S488" s="316"/>
      <c r="T488" s="317"/>
      <c r="U488" s="318"/>
      <c r="V488" s="319"/>
      <c r="W488" s="288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308"/>
      <c r="AI488" s="220"/>
      <c r="AJ488" s="220"/>
      <c r="AK488" s="220"/>
      <c r="AL488" s="220"/>
      <c r="AM488" s="220"/>
      <c r="AN488" s="220"/>
      <c r="AO488" s="220"/>
      <c r="AP488" s="220"/>
      <c r="AQ488" s="220"/>
      <c r="AR488" s="220"/>
      <c r="AS488" s="220"/>
      <c r="AT488" s="220"/>
      <c r="AU488" s="220"/>
      <c r="AV488" s="220"/>
      <c r="AW488" s="220"/>
      <c r="AX488" s="220"/>
      <c r="AY488" s="220"/>
      <c r="AZ488" s="220"/>
      <c r="BA488" s="220"/>
    </row>
    <row r="489">
      <c r="A489" s="240"/>
      <c r="B489" s="311"/>
      <c r="C489" s="311"/>
      <c r="D489" s="312"/>
      <c r="E489" s="311"/>
      <c r="F489" s="311"/>
      <c r="G489" s="312"/>
      <c r="H489" s="312"/>
      <c r="I489" s="313"/>
      <c r="J489" s="314"/>
      <c r="K489" s="313"/>
      <c r="L489" s="313"/>
      <c r="M489" s="313"/>
      <c r="N489" s="315"/>
      <c r="O489" s="313"/>
      <c r="P489" s="313"/>
      <c r="Q489" s="313"/>
      <c r="R489" s="313"/>
      <c r="S489" s="316"/>
      <c r="T489" s="317"/>
      <c r="U489" s="318"/>
      <c r="V489" s="319"/>
      <c r="W489" s="288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308"/>
      <c r="AI489" s="220"/>
      <c r="AJ489" s="220"/>
      <c r="AK489" s="220"/>
      <c r="AL489" s="220"/>
      <c r="AM489" s="220"/>
      <c r="AN489" s="220"/>
      <c r="AO489" s="220"/>
      <c r="AP489" s="220"/>
      <c r="AQ489" s="220"/>
      <c r="AR489" s="220"/>
      <c r="AS489" s="220"/>
      <c r="AT489" s="220"/>
      <c r="AU489" s="220"/>
      <c r="AV489" s="220"/>
      <c r="AW489" s="220"/>
      <c r="AX489" s="220"/>
      <c r="AY489" s="220"/>
      <c r="AZ489" s="220"/>
      <c r="BA489" s="220"/>
    </row>
    <row r="490">
      <c r="A490" s="240"/>
      <c r="B490" s="311"/>
      <c r="C490" s="311"/>
      <c r="D490" s="312"/>
      <c r="E490" s="311"/>
      <c r="F490" s="311"/>
      <c r="G490" s="312"/>
      <c r="H490" s="312"/>
      <c r="I490" s="313"/>
      <c r="J490" s="314"/>
      <c r="K490" s="313"/>
      <c r="L490" s="313"/>
      <c r="M490" s="313"/>
      <c r="N490" s="315"/>
      <c r="O490" s="313"/>
      <c r="P490" s="313"/>
      <c r="Q490" s="313"/>
      <c r="R490" s="313"/>
      <c r="S490" s="316"/>
      <c r="T490" s="317"/>
      <c r="U490" s="318"/>
      <c r="V490" s="319"/>
      <c r="W490" s="288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308"/>
      <c r="AI490" s="220"/>
      <c r="AJ490" s="220"/>
      <c r="AK490" s="220"/>
      <c r="AL490" s="220"/>
      <c r="AM490" s="220"/>
      <c r="AN490" s="220"/>
      <c r="AO490" s="220"/>
      <c r="AP490" s="220"/>
      <c r="AQ490" s="220"/>
      <c r="AR490" s="220"/>
      <c r="AS490" s="220"/>
      <c r="AT490" s="220"/>
      <c r="AU490" s="220"/>
      <c r="AV490" s="220"/>
      <c r="AW490" s="220"/>
      <c r="AX490" s="220"/>
      <c r="AY490" s="220"/>
      <c r="AZ490" s="220"/>
      <c r="BA490" s="220"/>
    </row>
    <row r="491">
      <c r="A491" s="240"/>
      <c r="B491" s="311"/>
      <c r="C491" s="311"/>
      <c r="D491" s="312"/>
      <c r="E491" s="311"/>
      <c r="F491" s="311"/>
      <c r="G491" s="312"/>
      <c r="H491" s="312"/>
      <c r="I491" s="313"/>
      <c r="J491" s="314"/>
      <c r="K491" s="313"/>
      <c r="L491" s="313"/>
      <c r="M491" s="313"/>
      <c r="N491" s="315"/>
      <c r="O491" s="313"/>
      <c r="P491" s="313"/>
      <c r="Q491" s="313"/>
      <c r="R491" s="313"/>
      <c r="S491" s="316"/>
      <c r="T491" s="317"/>
      <c r="U491" s="318"/>
      <c r="V491" s="319"/>
      <c r="W491" s="288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308"/>
      <c r="AI491" s="220"/>
      <c r="AJ491" s="220"/>
      <c r="AK491" s="220"/>
      <c r="AL491" s="220"/>
      <c r="AM491" s="220"/>
      <c r="AN491" s="220"/>
      <c r="AO491" s="220"/>
      <c r="AP491" s="220"/>
      <c r="AQ491" s="220"/>
      <c r="AR491" s="220"/>
      <c r="AS491" s="220"/>
      <c r="AT491" s="220"/>
      <c r="AU491" s="220"/>
      <c r="AV491" s="220"/>
      <c r="AW491" s="220"/>
      <c r="AX491" s="220"/>
      <c r="AY491" s="220"/>
      <c r="AZ491" s="220"/>
      <c r="BA491" s="220"/>
    </row>
    <row r="492">
      <c r="A492" s="240"/>
      <c r="B492" s="311"/>
      <c r="C492" s="311"/>
      <c r="D492" s="312"/>
      <c r="E492" s="311"/>
      <c r="F492" s="311"/>
      <c r="G492" s="312"/>
      <c r="H492" s="312"/>
      <c r="I492" s="313"/>
      <c r="J492" s="314"/>
      <c r="K492" s="313"/>
      <c r="L492" s="313"/>
      <c r="M492" s="313"/>
      <c r="N492" s="315"/>
      <c r="O492" s="313"/>
      <c r="P492" s="313"/>
      <c r="Q492" s="313"/>
      <c r="R492" s="313"/>
      <c r="S492" s="316"/>
      <c r="T492" s="317"/>
      <c r="U492" s="318"/>
      <c r="V492" s="319"/>
      <c r="W492" s="288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308"/>
      <c r="AI492" s="220"/>
      <c r="AJ492" s="220"/>
      <c r="AK492" s="220"/>
      <c r="AL492" s="220"/>
      <c r="AM492" s="220"/>
      <c r="AN492" s="220"/>
      <c r="AO492" s="220"/>
      <c r="AP492" s="220"/>
      <c r="AQ492" s="220"/>
      <c r="AR492" s="220"/>
      <c r="AS492" s="220"/>
      <c r="AT492" s="220"/>
      <c r="AU492" s="220"/>
      <c r="AV492" s="220"/>
      <c r="AW492" s="220"/>
      <c r="AX492" s="220"/>
      <c r="AY492" s="220"/>
      <c r="AZ492" s="220"/>
      <c r="BA492" s="220"/>
    </row>
    <row r="493">
      <c r="A493" s="240"/>
      <c r="B493" s="311"/>
      <c r="C493" s="311"/>
      <c r="D493" s="312"/>
      <c r="E493" s="311"/>
      <c r="F493" s="311"/>
      <c r="G493" s="312"/>
      <c r="H493" s="312"/>
      <c r="I493" s="313"/>
      <c r="J493" s="314"/>
      <c r="K493" s="313"/>
      <c r="L493" s="313"/>
      <c r="M493" s="313"/>
      <c r="N493" s="315"/>
      <c r="O493" s="313"/>
      <c r="P493" s="313"/>
      <c r="Q493" s="313"/>
      <c r="R493" s="313"/>
      <c r="S493" s="316"/>
      <c r="T493" s="317"/>
      <c r="U493" s="318"/>
      <c r="V493" s="319"/>
      <c r="W493" s="288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308"/>
      <c r="AI493" s="220"/>
      <c r="AJ493" s="220"/>
      <c r="AK493" s="220"/>
      <c r="AL493" s="220"/>
      <c r="AM493" s="220"/>
      <c r="AN493" s="220"/>
      <c r="AO493" s="220"/>
      <c r="AP493" s="220"/>
      <c r="AQ493" s="220"/>
      <c r="AR493" s="220"/>
      <c r="AS493" s="220"/>
      <c r="AT493" s="220"/>
      <c r="AU493" s="220"/>
      <c r="AV493" s="220"/>
      <c r="AW493" s="220"/>
      <c r="AX493" s="220"/>
      <c r="AY493" s="220"/>
      <c r="AZ493" s="220"/>
      <c r="BA493" s="220"/>
    </row>
    <row r="494">
      <c r="A494" s="240"/>
      <c r="B494" s="311"/>
      <c r="C494" s="311"/>
      <c r="D494" s="312"/>
      <c r="E494" s="311"/>
      <c r="F494" s="311"/>
      <c r="G494" s="312"/>
      <c r="H494" s="312"/>
      <c r="I494" s="313"/>
      <c r="J494" s="314"/>
      <c r="K494" s="313"/>
      <c r="L494" s="313"/>
      <c r="M494" s="313"/>
      <c r="N494" s="315"/>
      <c r="O494" s="313"/>
      <c r="P494" s="313"/>
      <c r="Q494" s="313"/>
      <c r="R494" s="313"/>
      <c r="S494" s="316"/>
      <c r="T494" s="317"/>
      <c r="U494" s="318"/>
      <c r="V494" s="319"/>
      <c r="W494" s="288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308"/>
      <c r="AI494" s="220"/>
      <c r="AJ494" s="220"/>
      <c r="AK494" s="220"/>
      <c r="AL494" s="220"/>
      <c r="AM494" s="220"/>
      <c r="AN494" s="220"/>
      <c r="AO494" s="220"/>
      <c r="AP494" s="220"/>
      <c r="AQ494" s="220"/>
      <c r="AR494" s="220"/>
      <c r="AS494" s="220"/>
      <c r="AT494" s="220"/>
      <c r="AU494" s="220"/>
      <c r="AV494" s="220"/>
      <c r="AW494" s="220"/>
      <c r="AX494" s="220"/>
      <c r="AY494" s="220"/>
      <c r="AZ494" s="220"/>
      <c r="BA494" s="220"/>
    </row>
    <row r="495">
      <c r="A495" s="240"/>
      <c r="B495" s="311"/>
      <c r="C495" s="311"/>
      <c r="D495" s="312"/>
      <c r="E495" s="311"/>
      <c r="F495" s="311"/>
      <c r="G495" s="312"/>
      <c r="H495" s="312"/>
      <c r="I495" s="313"/>
      <c r="J495" s="314"/>
      <c r="K495" s="313"/>
      <c r="L495" s="313"/>
      <c r="M495" s="313"/>
      <c r="N495" s="315"/>
      <c r="O495" s="313"/>
      <c r="P495" s="313"/>
      <c r="Q495" s="313"/>
      <c r="R495" s="313"/>
      <c r="S495" s="316"/>
      <c r="T495" s="317"/>
      <c r="U495" s="318"/>
      <c r="V495" s="319"/>
      <c r="W495" s="288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308"/>
      <c r="AI495" s="220"/>
      <c r="AJ495" s="220"/>
      <c r="AK495" s="220"/>
      <c r="AL495" s="220"/>
      <c r="AM495" s="220"/>
      <c r="AN495" s="220"/>
      <c r="AO495" s="220"/>
      <c r="AP495" s="220"/>
      <c r="AQ495" s="220"/>
      <c r="AR495" s="220"/>
      <c r="AS495" s="220"/>
      <c r="AT495" s="220"/>
      <c r="AU495" s="220"/>
      <c r="AV495" s="220"/>
      <c r="AW495" s="220"/>
      <c r="AX495" s="220"/>
      <c r="AY495" s="220"/>
      <c r="AZ495" s="220"/>
      <c r="BA495" s="220"/>
    </row>
    <row r="496">
      <c r="A496" s="240"/>
      <c r="B496" s="311"/>
      <c r="C496" s="311"/>
      <c r="D496" s="312"/>
      <c r="E496" s="311"/>
      <c r="F496" s="311"/>
      <c r="G496" s="312"/>
      <c r="H496" s="312"/>
      <c r="I496" s="313"/>
      <c r="J496" s="314"/>
      <c r="K496" s="313"/>
      <c r="L496" s="313"/>
      <c r="M496" s="313"/>
      <c r="N496" s="315"/>
      <c r="O496" s="313"/>
      <c r="P496" s="313"/>
      <c r="Q496" s="313"/>
      <c r="R496" s="313"/>
      <c r="S496" s="316"/>
      <c r="T496" s="317"/>
      <c r="U496" s="318"/>
      <c r="V496" s="319"/>
      <c r="W496" s="288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308"/>
      <c r="AI496" s="220"/>
      <c r="AJ496" s="220"/>
      <c r="AK496" s="220"/>
      <c r="AL496" s="220"/>
      <c r="AM496" s="220"/>
      <c r="AN496" s="220"/>
      <c r="AO496" s="220"/>
      <c r="AP496" s="220"/>
      <c r="AQ496" s="220"/>
      <c r="AR496" s="220"/>
      <c r="AS496" s="220"/>
      <c r="AT496" s="220"/>
      <c r="AU496" s="220"/>
      <c r="AV496" s="220"/>
      <c r="AW496" s="220"/>
      <c r="AX496" s="220"/>
      <c r="AY496" s="220"/>
      <c r="AZ496" s="220"/>
      <c r="BA496" s="220"/>
    </row>
    <row r="497">
      <c r="A497" s="240"/>
      <c r="B497" s="311"/>
      <c r="C497" s="311"/>
      <c r="D497" s="312"/>
      <c r="E497" s="311"/>
      <c r="F497" s="311"/>
      <c r="G497" s="312"/>
      <c r="H497" s="312"/>
      <c r="I497" s="313"/>
      <c r="J497" s="314"/>
      <c r="K497" s="313"/>
      <c r="L497" s="313"/>
      <c r="M497" s="313"/>
      <c r="N497" s="315"/>
      <c r="O497" s="313"/>
      <c r="P497" s="313"/>
      <c r="Q497" s="313"/>
      <c r="R497" s="313"/>
      <c r="S497" s="316"/>
      <c r="T497" s="317"/>
      <c r="U497" s="318"/>
      <c r="V497" s="319"/>
      <c r="W497" s="288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308"/>
      <c r="AI497" s="220"/>
      <c r="AJ497" s="220"/>
      <c r="AK497" s="220"/>
      <c r="AL497" s="220"/>
      <c r="AM497" s="220"/>
      <c r="AN497" s="220"/>
      <c r="AO497" s="220"/>
      <c r="AP497" s="220"/>
      <c r="AQ497" s="220"/>
      <c r="AR497" s="220"/>
      <c r="AS497" s="220"/>
      <c r="AT497" s="220"/>
      <c r="AU497" s="220"/>
      <c r="AV497" s="220"/>
      <c r="AW497" s="220"/>
      <c r="AX497" s="220"/>
      <c r="AY497" s="220"/>
      <c r="AZ497" s="220"/>
      <c r="BA497" s="220"/>
    </row>
    <row r="498">
      <c r="A498" s="240"/>
      <c r="B498" s="311"/>
      <c r="C498" s="311"/>
      <c r="D498" s="312"/>
      <c r="E498" s="311"/>
      <c r="F498" s="311"/>
      <c r="G498" s="312"/>
      <c r="H498" s="312"/>
      <c r="I498" s="313"/>
      <c r="J498" s="314"/>
      <c r="K498" s="313"/>
      <c r="L498" s="313"/>
      <c r="M498" s="313"/>
      <c r="N498" s="315"/>
      <c r="O498" s="313"/>
      <c r="P498" s="313"/>
      <c r="Q498" s="313"/>
      <c r="R498" s="313"/>
      <c r="S498" s="316"/>
      <c r="T498" s="317"/>
      <c r="U498" s="318"/>
      <c r="V498" s="319"/>
      <c r="W498" s="288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308"/>
      <c r="AI498" s="220"/>
      <c r="AJ498" s="220"/>
      <c r="AK498" s="220"/>
      <c r="AL498" s="220"/>
      <c r="AM498" s="220"/>
      <c r="AN498" s="220"/>
      <c r="AO498" s="220"/>
      <c r="AP498" s="220"/>
      <c r="AQ498" s="220"/>
      <c r="AR498" s="220"/>
      <c r="AS498" s="220"/>
      <c r="AT498" s="220"/>
      <c r="AU498" s="220"/>
      <c r="AV498" s="220"/>
      <c r="AW498" s="220"/>
      <c r="AX498" s="220"/>
      <c r="AY498" s="220"/>
      <c r="AZ498" s="220"/>
      <c r="BA498" s="220"/>
    </row>
    <row r="499">
      <c r="A499" s="240"/>
      <c r="B499" s="311"/>
      <c r="C499" s="311"/>
      <c r="D499" s="312"/>
      <c r="E499" s="311"/>
      <c r="F499" s="311"/>
      <c r="G499" s="312"/>
      <c r="H499" s="312"/>
      <c r="I499" s="313"/>
      <c r="J499" s="314"/>
      <c r="K499" s="313"/>
      <c r="L499" s="313"/>
      <c r="M499" s="313"/>
      <c r="N499" s="315"/>
      <c r="O499" s="313"/>
      <c r="P499" s="313"/>
      <c r="Q499" s="313"/>
      <c r="R499" s="313"/>
      <c r="S499" s="316"/>
      <c r="T499" s="317"/>
      <c r="U499" s="318"/>
      <c r="V499" s="319"/>
      <c r="W499" s="288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308"/>
      <c r="AI499" s="220"/>
      <c r="AJ499" s="220"/>
      <c r="AK499" s="220"/>
      <c r="AL499" s="220"/>
      <c r="AM499" s="220"/>
      <c r="AN499" s="220"/>
      <c r="AO499" s="220"/>
      <c r="AP499" s="220"/>
      <c r="AQ499" s="220"/>
      <c r="AR499" s="220"/>
      <c r="AS499" s="220"/>
      <c r="AT499" s="220"/>
      <c r="AU499" s="220"/>
      <c r="AV499" s="220"/>
      <c r="AW499" s="220"/>
      <c r="AX499" s="220"/>
      <c r="AY499" s="220"/>
      <c r="AZ499" s="220"/>
      <c r="BA499" s="220"/>
    </row>
    <row r="500">
      <c r="A500" s="240"/>
      <c r="B500" s="311"/>
      <c r="C500" s="311"/>
      <c r="D500" s="312"/>
      <c r="E500" s="311"/>
      <c r="F500" s="311"/>
      <c r="G500" s="312"/>
      <c r="H500" s="312"/>
      <c r="I500" s="313"/>
      <c r="J500" s="314"/>
      <c r="K500" s="313"/>
      <c r="L500" s="313"/>
      <c r="M500" s="313"/>
      <c r="N500" s="315"/>
      <c r="O500" s="313"/>
      <c r="P500" s="313"/>
      <c r="Q500" s="313"/>
      <c r="R500" s="313"/>
      <c r="S500" s="316"/>
      <c r="T500" s="317"/>
      <c r="U500" s="318"/>
      <c r="V500" s="319"/>
      <c r="W500" s="288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308"/>
      <c r="AI500" s="220"/>
      <c r="AJ500" s="220"/>
      <c r="AK500" s="220"/>
      <c r="AL500" s="220"/>
      <c r="AM500" s="220"/>
      <c r="AN500" s="220"/>
      <c r="AO500" s="220"/>
      <c r="AP500" s="220"/>
      <c r="AQ500" s="220"/>
      <c r="AR500" s="220"/>
      <c r="AS500" s="220"/>
      <c r="AT500" s="220"/>
      <c r="AU500" s="220"/>
      <c r="AV500" s="220"/>
      <c r="AW500" s="220"/>
      <c r="AX500" s="220"/>
      <c r="AY500" s="220"/>
      <c r="AZ500" s="220"/>
      <c r="BA500" s="220"/>
    </row>
    <row r="501">
      <c r="A501" s="240"/>
      <c r="B501" s="311"/>
      <c r="C501" s="311"/>
      <c r="D501" s="312"/>
      <c r="E501" s="311"/>
      <c r="F501" s="311"/>
      <c r="G501" s="312"/>
      <c r="H501" s="312"/>
      <c r="I501" s="313"/>
      <c r="J501" s="314"/>
      <c r="K501" s="313"/>
      <c r="L501" s="313"/>
      <c r="M501" s="313"/>
      <c r="N501" s="315"/>
      <c r="O501" s="313"/>
      <c r="P501" s="313"/>
      <c r="Q501" s="313"/>
      <c r="R501" s="313"/>
      <c r="S501" s="316"/>
      <c r="T501" s="317"/>
      <c r="U501" s="318"/>
      <c r="V501" s="319"/>
      <c r="W501" s="288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308"/>
      <c r="AI501" s="220"/>
      <c r="AJ501" s="220"/>
      <c r="AK501" s="220"/>
      <c r="AL501" s="220"/>
      <c r="AM501" s="220"/>
      <c r="AN501" s="220"/>
      <c r="AO501" s="220"/>
      <c r="AP501" s="220"/>
      <c r="AQ501" s="220"/>
      <c r="AR501" s="220"/>
      <c r="AS501" s="220"/>
      <c r="AT501" s="220"/>
      <c r="AU501" s="220"/>
      <c r="AV501" s="220"/>
      <c r="AW501" s="220"/>
      <c r="AX501" s="220"/>
      <c r="AY501" s="220"/>
      <c r="AZ501" s="220"/>
      <c r="BA501" s="220"/>
    </row>
    <row r="502">
      <c r="A502" s="240"/>
      <c r="B502" s="311"/>
      <c r="C502" s="311"/>
      <c r="D502" s="312"/>
      <c r="E502" s="311"/>
      <c r="F502" s="311"/>
      <c r="G502" s="312"/>
      <c r="H502" s="312"/>
      <c r="I502" s="313"/>
      <c r="J502" s="314"/>
      <c r="K502" s="313"/>
      <c r="L502" s="313"/>
      <c r="M502" s="313"/>
      <c r="N502" s="315"/>
      <c r="O502" s="313"/>
      <c r="P502" s="313"/>
      <c r="Q502" s="313"/>
      <c r="R502" s="313"/>
      <c r="S502" s="316"/>
      <c r="T502" s="317"/>
      <c r="U502" s="318"/>
      <c r="V502" s="319"/>
      <c r="W502" s="288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308"/>
      <c r="AI502" s="220"/>
      <c r="AJ502" s="220"/>
      <c r="AK502" s="220"/>
      <c r="AL502" s="220"/>
      <c r="AM502" s="220"/>
      <c r="AN502" s="220"/>
      <c r="AO502" s="220"/>
      <c r="AP502" s="220"/>
      <c r="AQ502" s="220"/>
      <c r="AR502" s="220"/>
      <c r="AS502" s="220"/>
      <c r="AT502" s="220"/>
      <c r="AU502" s="220"/>
      <c r="AV502" s="220"/>
      <c r="AW502" s="220"/>
      <c r="AX502" s="220"/>
      <c r="AY502" s="220"/>
      <c r="AZ502" s="220"/>
      <c r="BA502" s="220"/>
    </row>
    <row r="503">
      <c r="A503" s="240"/>
      <c r="B503" s="311"/>
      <c r="C503" s="311"/>
      <c r="D503" s="312"/>
      <c r="E503" s="311"/>
      <c r="F503" s="311"/>
      <c r="G503" s="312"/>
      <c r="H503" s="312"/>
      <c r="I503" s="313"/>
      <c r="J503" s="314"/>
      <c r="K503" s="313"/>
      <c r="L503" s="313"/>
      <c r="M503" s="313"/>
      <c r="N503" s="315"/>
      <c r="O503" s="313"/>
      <c r="P503" s="313"/>
      <c r="Q503" s="313"/>
      <c r="R503" s="313"/>
      <c r="S503" s="316"/>
      <c r="T503" s="317"/>
      <c r="U503" s="318"/>
      <c r="V503" s="319"/>
      <c r="W503" s="288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308"/>
      <c r="AI503" s="220"/>
      <c r="AJ503" s="220"/>
      <c r="AK503" s="220"/>
      <c r="AL503" s="220"/>
      <c r="AM503" s="220"/>
      <c r="AN503" s="220"/>
      <c r="AO503" s="220"/>
      <c r="AP503" s="220"/>
      <c r="AQ503" s="220"/>
      <c r="AR503" s="220"/>
      <c r="AS503" s="220"/>
      <c r="AT503" s="220"/>
      <c r="AU503" s="220"/>
      <c r="AV503" s="220"/>
      <c r="AW503" s="220"/>
      <c r="AX503" s="220"/>
      <c r="AY503" s="220"/>
      <c r="AZ503" s="220"/>
      <c r="BA503" s="220"/>
    </row>
    <row r="504">
      <c r="A504" s="240"/>
      <c r="B504" s="311"/>
      <c r="C504" s="311"/>
      <c r="D504" s="312"/>
      <c r="E504" s="311"/>
      <c r="F504" s="311"/>
      <c r="G504" s="312"/>
      <c r="H504" s="312"/>
      <c r="I504" s="313"/>
      <c r="J504" s="314"/>
      <c r="K504" s="313"/>
      <c r="L504" s="313"/>
      <c r="M504" s="313"/>
      <c r="N504" s="315"/>
      <c r="O504" s="313"/>
      <c r="P504" s="313"/>
      <c r="Q504" s="313"/>
      <c r="R504" s="313"/>
      <c r="S504" s="316"/>
      <c r="T504" s="317"/>
      <c r="U504" s="318"/>
      <c r="V504" s="319"/>
      <c r="W504" s="288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308"/>
      <c r="AI504" s="220"/>
      <c r="AJ504" s="220"/>
      <c r="AK504" s="220"/>
      <c r="AL504" s="220"/>
      <c r="AM504" s="220"/>
      <c r="AN504" s="220"/>
      <c r="AO504" s="220"/>
      <c r="AP504" s="220"/>
      <c r="AQ504" s="220"/>
      <c r="AR504" s="220"/>
      <c r="AS504" s="220"/>
      <c r="AT504" s="220"/>
      <c r="AU504" s="220"/>
      <c r="AV504" s="220"/>
      <c r="AW504" s="220"/>
      <c r="AX504" s="220"/>
      <c r="AY504" s="220"/>
      <c r="AZ504" s="220"/>
      <c r="BA504" s="220"/>
    </row>
    <row r="505">
      <c r="A505" s="240"/>
      <c r="B505" s="311"/>
      <c r="C505" s="311"/>
      <c r="D505" s="312"/>
      <c r="E505" s="311"/>
      <c r="F505" s="311"/>
      <c r="G505" s="312"/>
      <c r="H505" s="312"/>
      <c r="I505" s="313"/>
      <c r="J505" s="314"/>
      <c r="K505" s="313"/>
      <c r="L505" s="313"/>
      <c r="M505" s="313"/>
      <c r="N505" s="315"/>
      <c r="O505" s="313"/>
      <c r="P505" s="313"/>
      <c r="Q505" s="313"/>
      <c r="R505" s="313"/>
      <c r="S505" s="316"/>
      <c r="T505" s="317"/>
      <c r="U505" s="318"/>
      <c r="V505" s="319"/>
      <c r="W505" s="288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308"/>
      <c r="AI505" s="220"/>
      <c r="AJ505" s="220"/>
      <c r="AK505" s="220"/>
      <c r="AL505" s="220"/>
      <c r="AM505" s="220"/>
      <c r="AN505" s="220"/>
      <c r="AO505" s="220"/>
      <c r="AP505" s="220"/>
      <c r="AQ505" s="220"/>
      <c r="AR505" s="220"/>
      <c r="AS505" s="220"/>
      <c r="AT505" s="220"/>
      <c r="AU505" s="220"/>
      <c r="AV505" s="220"/>
      <c r="AW505" s="220"/>
      <c r="AX505" s="220"/>
      <c r="AY505" s="220"/>
      <c r="AZ505" s="220"/>
      <c r="BA505" s="220"/>
    </row>
    <row r="506">
      <c r="A506" s="240"/>
      <c r="B506" s="311"/>
      <c r="C506" s="311"/>
      <c r="D506" s="312"/>
      <c r="E506" s="311"/>
      <c r="F506" s="311"/>
      <c r="G506" s="312"/>
      <c r="H506" s="312"/>
      <c r="I506" s="313"/>
      <c r="J506" s="314"/>
      <c r="K506" s="313"/>
      <c r="L506" s="313"/>
      <c r="M506" s="313"/>
      <c r="N506" s="315"/>
      <c r="O506" s="313"/>
      <c r="P506" s="313"/>
      <c r="Q506" s="313"/>
      <c r="R506" s="313"/>
      <c r="S506" s="316"/>
      <c r="T506" s="317"/>
      <c r="U506" s="318"/>
      <c r="V506" s="319"/>
      <c r="W506" s="288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308"/>
      <c r="AI506" s="220"/>
      <c r="AJ506" s="220"/>
      <c r="AK506" s="220"/>
      <c r="AL506" s="220"/>
      <c r="AM506" s="220"/>
      <c r="AN506" s="220"/>
      <c r="AO506" s="220"/>
      <c r="AP506" s="220"/>
      <c r="AQ506" s="220"/>
      <c r="AR506" s="220"/>
      <c r="AS506" s="220"/>
      <c r="AT506" s="220"/>
      <c r="AU506" s="220"/>
      <c r="AV506" s="220"/>
      <c r="AW506" s="220"/>
      <c r="AX506" s="220"/>
      <c r="AY506" s="220"/>
      <c r="AZ506" s="220"/>
      <c r="BA506" s="220"/>
    </row>
    <row r="507">
      <c r="A507" s="240"/>
      <c r="B507" s="311"/>
      <c r="C507" s="311"/>
      <c r="D507" s="312"/>
      <c r="E507" s="311"/>
      <c r="F507" s="311"/>
      <c r="G507" s="312"/>
      <c r="H507" s="312"/>
      <c r="I507" s="313"/>
      <c r="J507" s="314"/>
      <c r="K507" s="313"/>
      <c r="L507" s="313"/>
      <c r="M507" s="313"/>
      <c r="N507" s="315"/>
      <c r="O507" s="313"/>
      <c r="P507" s="313"/>
      <c r="Q507" s="313"/>
      <c r="R507" s="313"/>
      <c r="S507" s="316"/>
      <c r="T507" s="317"/>
      <c r="U507" s="318"/>
      <c r="V507" s="319"/>
      <c r="W507" s="288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308"/>
      <c r="AI507" s="220"/>
      <c r="AJ507" s="220"/>
      <c r="AK507" s="220"/>
      <c r="AL507" s="220"/>
      <c r="AM507" s="220"/>
      <c r="AN507" s="220"/>
      <c r="AO507" s="220"/>
      <c r="AP507" s="220"/>
      <c r="AQ507" s="220"/>
      <c r="AR507" s="220"/>
      <c r="AS507" s="220"/>
      <c r="AT507" s="220"/>
      <c r="AU507" s="220"/>
      <c r="AV507" s="220"/>
      <c r="AW507" s="220"/>
      <c r="AX507" s="220"/>
      <c r="AY507" s="220"/>
      <c r="AZ507" s="220"/>
      <c r="BA507" s="220"/>
    </row>
    <row r="508">
      <c r="A508" s="240"/>
      <c r="B508" s="311"/>
      <c r="C508" s="311"/>
      <c r="D508" s="312"/>
      <c r="E508" s="311"/>
      <c r="F508" s="311"/>
      <c r="G508" s="312"/>
      <c r="H508" s="312"/>
      <c r="I508" s="313"/>
      <c r="J508" s="314"/>
      <c r="K508" s="313"/>
      <c r="L508" s="313"/>
      <c r="M508" s="313"/>
      <c r="N508" s="315"/>
      <c r="O508" s="313"/>
      <c r="P508" s="313"/>
      <c r="Q508" s="313"/>
      <c r="R508" s="313"/>
      <c r="S508" s="316"/>
      <c r="T508" s="317"/>
      <c r="U508" s="318"/>
      <c r="V508" s="319"/>
      <c r="W508" s="288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308"/>
      <c r="AI508" s="220"/>
      <c r="AJ508" s="220"/>
      <c r="AK508" s="220"/>
      <c r="AL508" s="220"/>
      <c r="AM508" s="220"/>
      <c r="AN508" s="220"/>
      <c r="AO508" s="220"/>
      <c r="AP508" s="220"/>
      <c r="AQ508" s="220"/>
      <c r="AR508" s="220"/>
      <c r="AS508" s="220"/>
      <c r="AT508" s="220"/>
      <c r="AU508" s="220"/>
      <c r="AV508" s="220"/>
      <c r="AW508" s="220"/>
      <c r="AX508" s="220"/>
      <c r="AY508" s="220"/>
      <c r="AZ508" s="220"/>
      <c r="BA508" s="220"/>
    </row>
    <row r="509">
      <c r="A509" s="240"/>
      <c r="B509" s="311"/>
      <c r="C509" s="311"/>
      <c r="D509" s="312"/>
      <c r="E509" s="311"/>
      <c r="F509" s="311"/>
      <c r="G509" s="312"/>
      <c r="H509" s="312"/>
      <c r="I509" s="313"/>
      <c r="J509" s="314"/>
      <c r="K509" s="313"/>
      <c r="L509" s="313"/>
      <c r="M509" s="313"/>
      <c r="N509" s="315"/>
      <c r="O509" s="313"/>
      <c r="P509" s="313"/>
      <c r="Q509" s="313"/>
      <c r="R509" s="313"/>
      <c r="S509" s="316"/>
      <c r="T509" s="317"/>
      <c r="U509" s="318"/>
      <c r="V509" s="319"/>
      <c r="W509" s="288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308"/>
      <c r="AI509" s="220"/>
      <c r="AJ509" s="220"/>
      <c r="AK509" s="220"/>
      <c r="AL509" s="220"/>
      <c r="AM509" s="220"/>
      <c r="AN509" s="220"/>
      <c r="AO509" s="220"/>
      <c r="AP509" s="220"/>
      <c r="AQ509" s="220"/>
      <c r="AR509" s="220"/>
      <c r="AS509" s="220"/>
      <c r="AT509" s="220"/>
      <c r="AU509" s="220"/>
      <c r="AV509" s="220"/>
      <c r="AW509" s="220"/>
      <c r="AX509" s="220"/>
      <c r="AY509" s="220"/>
      <c r="AZ509" s="220"/>
      <c r="BA509" s="220"/>
    </row>
    <row r="510">
      <c r="A510" s="240"/>
      <c r="B510" s="311"/>
      <c r="C510" s="311"/>
      <c r="D510" s="312"/>
      <c r="E510" s="311"/>
      <c r="F510" s="311"/>
      <c r="G510" s="312"/>
      <c r="H510" s="312"/>
      <c r="I510" s="313"/>
      <c r="J510" s="314"/>
      <c r="K510" s="313"/>
      <c r="L510" s="313"/>
      <c r="M510" s="313"/>
      <c r="N510" s="315"/>
      <c r="O510" s="313"/>
      <c r="P510" s="313"/>
      <c r="Q510" s="313"/>
      <c r="R510" s="313"/>
      <c r="S510" s="316"/>
      <c r="T510" s="317"/>
      <c r="U510" s="318"/>
      <c r="V510" s="319"/>
      <c r="W510" s="288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308"/>
      <c r="AI510" s="220"/>
      <c r="AJ510" s="220"/>
      <c r="AK510" s="220"/>
      <c r="AL510" s="220"/>
      <c r="AM510" s="220"/>
      <c r="AN510" s="220"/>
      <c r="AO510" s="220"/>
      <c r="AP510" s="220"/>
      <c r="AQ510" s="220"/>
      <c r="AR510" s="220"/>
      <c r="AS510" s="220"/>
      <c r="AT510" s="220"/>
      <c r="AU510" s="220"/>
      <c r="AV510" s="220"/>
      <c r="AW510" s="220"/>
      <c r="AX510" s="220"/>
      <c r="AY510" s="220"/>
      <c r="AZ510" s="220"/>
      <c r="BA510" s="220"/>
    </row>
    <row r="511">
      <c r="A511" s="240"/>
      <c r="B511" s="311"/>
      <c r="C511" s="311"/>
      <c r="D511" s="312"/>
      <c r="E511" s="311"/>
      <c r="F511" s="311"/>
      <c r="G511" s="312"/>
      <c r="H511" s="312"/>
      <c r="I511" s="313"/>
      <c r="J511" s="314"/>
      <c r="K511" s="313"/>
      <c r="L511" s="313"/>
      <c r="M511" s="313"/>
      <c r="N511" s="315"/>
      <c r="O511" s="313"/>
      <c r="P511" s="313"/>
      <c r="Q511" s="313"/>
      <c r="R511" s="313"/>
      <c r="S511" s="316"/>
      <c r="T511" s="317"/>
      <c r="U511" s="318"/>
      <c r="V511" s="319"/>
      <c r="W511" s="288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308"/>
      <c r="AI511" s="220"/>
      <c r="AJ511" s="220"/>
      <c r="AK511" s="220"/>
      <c r="AL511" s="220"/>
      <c r="AM511" s="220"/>
      <c r="AN511" s="220"/>
      <c r="AO511" s="220"/>
      <c r="AP511" s="220"/>
      <c r="AQ511" s="220"/>
      <c r="AR511" s="220"/>
      <c r="AS511" s="220"/>
      <c r="AT511" s="220"/>
      <c r="AU511" s="220"/>
      <c r="AV511" s="220"/>
      <c r="AW511" s="220"/>
      <c r="AX511" s="220"/>
      <c r="AY511" s="220"/>
      <c r="AZ511" s="220"/>
      <c r="BA511" s="220"/>
    </row>
    <row r="512">
      <c r="A512" s="240"/>
      <c r="B512" s="311"/>
      <c r="C512" s="311"/>
      <c r="D512" s="312"/>
      <c r="E512" s="311"/>
      <c r="F512" s="311"/>
      <c r="G512" s="312"/>
      <c r="H512" s="312"/>
      <c r="I512" s="313"/>
      <c r="J512" s="314"/>
      <c r="K512" s="313"/>
      <c r="L512" s="313"/>
      <c r="M512" s="313"/>
      <c r="N512" s="315"/>
      <c r="O512" s="313"/>
      <c r="P512" s="313"/>
      <c r="Q512" s="313"/>
      <c r="R512" s="313"/>
      <c r="S512" s="316"/>
      <c r="T512" s="317"/>
      <c r="U512" s="318"/>
      <c r="V512" s="319"/>
      <c r="W512" s="288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308"/>
      <c r="AI512" s="220"/>
      <c r="AJ512" s="220"/>
      <c r="AK512" s="220"/>
      <c r="AL512" s="220"/>
      <c r="AM512" s="220"/>
      <c r="AN512" s="220"/>
      <c r="AO512" s="220"/>
      <c r="AP512" s="220"/>
      <c r="AQ512" s="220"/>
      <c r="AR512" s="220"/>
      <c r="AS512" s="220"/>
      <c r="AT512" s="220"/>
      <c r="AU512" s="220"/>
      <c r="AV512" s="220"/>
      <c r="AW512" s="220"/>
      <c r="AX512" s="220"/>
      <c r="AY512" s="220"/>
      <c r="AZ512" s="220"/>
      <c r="BA512" s="220"/>
    </row>
    <row r="513">
      <c r="A513" s="240"/>
      <c r="B513" s="311"/>
      <c r="C513" s="311"/>
      <c r="D513" s="312"/>
      <c r="E513" s="311"/>
      <c r="F513" s="311"/>
      <c r="G513" s="312"/>
      <c r="H513" s="312"/>
      <c r="I513" s="313"/>
      <c r="J513" s="314"/>
      <c r="K513" s="313"/>
      <c r="L513" s="313"/>
      <c r="M513" s="313"/>
      <c r="N513" s="315"/>
      <c r="O513" s="313"/>
      <c r="P513" s="313"/>
      <c r="Q513" s="313"/>
      <c r="R513" s="313"/>
      <c r="S513" s="316"/>
      <c r="T513" s="317"/>
      <c r="U513" s="318"/>
      <c r="V513" s="319"/>
      <c r="W513" s="288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308"/>
      <c r="AI513" s="220"/>
      <c r="AJ513" s="220"/>
      <c r="AK513" s="220"/>
      <c r="AL513" s="220"/>
      <c r="AM513" s="220"/>
      <c r="AN513" s="220"/>
      <c r="AO513" s="220"/>
      <c r="AP513" s="220"/>
      <c r="AQ513" s="220"/>
      <c r="AR513" s="220"/>
      <c r="AS513" s="220"/>
      <c r="AT513" s="220"/>
      <c r="AU513" s="220"/>
      <c r="AV513" s="220"/>
      <c r="AW513" s="220"/>
      <c r="AX513" s="220"/>
      <c r="AY513" s="220"/>
      <c r="AZ513" s="220"/>
      <c r="BA513" s="220"/>
    </row>
    <row r="514">
      <c r="A514" s="240"/>
      <c r="B514" s="311"/>
      <c r="C514" s="311"/>
      <c r="D514" s="312"/>
      <c r="E514" s="311"/>
      <c r="F514" s="311"/>
      <c r="G514" s="312"/>
      <c r="H514" s="312"/>
      <c r="I514" s="313"/>
      <c r="J514" s="314"/>
      <c r="K514" s="313"/>
      <c r="L514" s="313"/>
      <c r="M514" s="313"/>
      <c r="N514" s="315"/>
      <c r="O514" s="313"/>
      <c r="P514" s="313"/>
      <c r="Q514" s="313"/>
      <c r="R514" s="313"/>
      <c r="S514" s="316"/>
      <c r="T514" s="317"/>
      <c r="U514" s="318"/>
      <c r="V514" s="319"/>
      <c r="W514" s="288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308"/>
      <c r="AI514" s="220"/>
      <c r="AJ514" s="220"/>
      <c r="AK514" s="220"/>
      <c r="AL514" s="220"/>
      <c r="AM514" s="220"/>
      <c r="AN514" s="220"/>
      <c r="AO514" s="220"/>
      <c r="AP514" s="220"/>
      <c r="AQ514" s="220"/>
      <c r="AR514" s="220"/>
      <c r="AS514" s="220"/>
      <c r="AT514" s="220"/>
      <c r="AU514" s="220"/>
      <c r="AV514" s="220"/>
      <c r="AW514" s="220"/>
      <c r="AX514" s="220"/>
      <c r="AY514" s="220"/>
      <c r="AZ514" s="220"/>
      <c r="BA514" s="220"/>
    </row>
    <row r="515">
      <c r="A515" s="240"/>
      <c r="B515" s="311"/>
      <c r="C515" s="311"/>
      <c r="D515" s="312"/>
      <c r="E515" s="311"/>
      <c r="F515" s="311"/>
      <c r="G515" s="312"/>
      <c r="H515" s="312"/>
      <c r="I515" s="313"/>
      <c r="J515" s="314"/>
      <c r="K515" s="313"/>
      <c r="L515" s="313"/>
      <c r="M515" s="313"/>
      <c r="N515" s="315"/>
      <c r="O515" s="313"/>
      <c r="P515" s="313"/>
      <c r="Q515" s="313"/>
      <c r="R515" s="313"/>
      <c r="S515" s="316"/>
      <c r="T515" s="317"/>
      <c r="U515" s="318"/>
      <c r="V515" s="319"/>
      <c r="W515" s="288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308"/>
      <c r="AI515" s="220"/>
      <c r="AJ515" s="220"/>
      <c r="AK515" s="220"/>
      <c r="AL515" s="220"/>
      <c r="AM515" s="220"/>
      <c r="AN515" s="220"/>
      <c r="AO515" s="220"/>
      <c r="AP515" s="220"/>
      <c r="AQ515" s="220"/>
      <c r="AR515" s="220"/>
      <c r="AS515" s="220"/>
      <c r="AT515" s="220"/>
      <c r="AU515" s="220"/>
      <c r="AV515" s="220"/>
      <c r="AW515" s="220"/>
      <c r="AX515" s="220"/>
      <c r="AY515" s="220"/>
      <c r="AZ515" s="220"/>
      <c r="BA515" s="220"/>
    </row>
    <row r="516">
      <c r="A516" s="240"/>
      <c r="B516" s="311"/>
      <c r="C516" s="311"/>
      <c r="D516" s="312"/>
      <c r="E516" s="311"/>
      <c r="F516" s="311"/>
      <c r="G516" s="312"/>
      <c r="H516" s="312"/>
      <c r="I516" s="313"/>
      <c r="J516" s="314"/>
      <c r="K516" s="313"/>
      <c r="L516" s="313"/>
      <c r="M516" s="313"/>
      <c r="N516" s="315"/>
      <c r="O516" s="313"/>
      <c r="P516" s="313"/>
      <c r="Q516" s="313"/>
      <c r="R516" s="313"/>
      <c r="S516" s="316"/>
      <c r="T516" s="317"/>
      <c r="U516" s="318"/>
      <c r="V516" s="319"/>
      <c r="W516" s="288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308"/>
      <c r="AI516" s="220"/>
      <c r="AJ516" s="220"/>
      <c r="AK516" s="220"/>
      <c r="AL516" s="220"/>
      <c r="AM516" s="220"/>
      <c r="AN516" s="220"/>
      <c r="AO516" s="220"/>
      <c r="AP516" s="220"/>
      <c r="AQ516" s="220"/>
      <c r="AR516" s="220"/>
      <c r="AS516" s="220"/>
      <c r="AT516" s="220"/>
      <c r="AU516" s="220"/>
      <c r="AV516" s="220"/>
      <c r="AW516" s="220"/>
      <c r="AX516" s="220"/>
      <c r="AY516" s="220"/>
      <c r="AZ516" s="220"/>
      <c r="BA516" s="220"/>
    </row>
    <row r="517">
      <c r="A517" s="240"/>
      <c r="B517" s="311"/>
      <c r="C517" s="311"/>
      <c r="D517" s="312"/>
      <c r="E517" s="311"/>
      <c r="F517" s="311"/>
      <c r="G517" s="312"/>
      <c r="H517" s="312"/>
      <c r="I517" s="313"/>
      <c r="J517" s="314"/>
      <c r="K517" s="313"/>
      <c r="L517" s="313"/>
      <c r="M517" s="313"/>
      <c r="N517" s="315"/>
      <c r="O517" s="313"/>
      <c r="P517" s="313"/>
      <c r="Q517" s="313"/>
      <c r="R517" s="313"/>
      <c r="S517" s="316"/>
      <c r="T517" s="317"/>
      <c r="U517" s="318"/>
      <c r="V517" s="319"/>
      <c r="W517" s="288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308"/>
      <c r="AI517" s="220"/>
      <c r="AJ517" s="220"/>
      <c r="AK517" s="220"/>
      <c r="AL517" s="220"/>
      <c r="AM517" s="220"/>
      <c r="AN517" s="220"/>
      <c r="AO517" s="220"/>
      <c r="AP517" s="220"/>
      <c r="AQ517" s="220"/>
      <c r="AR517" s="220"/>
      <c r="AS517" s="220"/>
      <c r="AT517" s="220"/>
      <c r="AU517" s="220"/>
      <c r="AV517" s="220"/>
      <c r="AW517" s="220"/>
      <c r="AX517" s="220"/>
      <c r="AY517" s="220"/>
      <c r="AZ517" s="220"/>
      <c r="BA517" s="220"/>
    </row>
    <row r="518">
      <c r="A518" s="240"/>
      <c r="B518" s="311"/>
      <c r="C518" s="311"/>
      <c r="D518" s="312"/>
      <c r="E518" s="311"/>
      <c r="F518" s="311"/>
      <c r="G518" s="312"/>
      <c r="H518" s="312"/>
      <c r="I518" s="313"/>
      <c r="J518" s="314"/>
      <c r="K518" s="313"/>
      <c r="L518" s="313"/>
      <c r="M518" s="313"/>
      <c r="N518" s="315"/>
      <c r="O518" s="313"/>
      <c r="P518" s="313"/>
      <c r="Q518" s="313"/>
      <c r="R518" s="313"/>
      <c r="S518" s="316"/>
      <c r="T518" s="317"/>
      <c r="U518" s="318"/>
      <c r="V518" s="319"/>
      <c r="W518" s="288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308"/>
      <c r="AI518" s="220"/>
      <c r="AJ518" s="220"/>
      <c r="AK518" s="220"/>
      <c r="AL518" s="220"/>
      <c r="AM518" s="220"/>
      <c r="AN518" s="220"/>
      <c r="AO518" s="220"/>
      <c r="AP518" s="220"/>
      <c r="AQ518" s="220"/>
      <c r="AR518" s="220"/>
      <c r="AS518" s="220"/>
      <c r="AT518" s="220"/>
      <c r="AU518" s="220"/>
      <c r="AV518" s="220"/>
      <c r="AW518" s="220"/>
      <c r="AX518" s="220"/>
      <c r="AY518" s="220"/>
      <c r="AZ518" s="220"/>
      <c r="BA518" s="220"/>
    </row>
    <row r="519">
      <c r="A519" s="240"/>
      <c r="B519" s="311"/>
      <c r="C519" s="311"/>
      <c r="D519" s="312"/>
      <c r="E519" s="311"/>
      <c r="F519" s="311"/>
      <c r="G519" s="312"/>
      <c r="H519" s="312"/>
      <c r="I519" s="313"/>
      <c r="J519" s="314"/>
      <c r="K519" s="313"/>
      <c r="L519" s="313"/>
      <c r="M519" s="313"/>
      <c r="N519" s="315"/>
      <c r="O519" s="313"/>
      <c r="P519" s="313"/>
      <c r="Q519" s="313"/>
      <c r="R519" s="313"/>
      <c r="S519" s="316"/>
      <c r="T519" s="317"/>
      <c r="U519" s="318"/>
      <c r="V519" s="319"/>
      <c r="W519" s="288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308"/>
      <c r="AI519" s="220"/>
      <c r="AJ519" s="220"/>
      <c r="AK519" s="220"/>
      <c r="AL519" s="220"/>
      <c r="AM519" s="220"/>
      <c r="AN519" s="220"/>
      <c r="AO519" s="220"/>
      <c r="AP519" s="220"/>
      <c r="AQ519" s="220"/>
      <c r="AR519" s="220"/>
      <c r="AS519" s="220"/>
      <c r="AT519" s="220"/>
      <c r="AU519" s="220"/>
      <c r="AV519" s="220"/>
      <c r="AW519" s="220"/>
      <c r="AX519" s="220"/>
      <c r="AY519" s="220"/>
      <c r="AZ519" s="220"/>
      <c r="BA519" s="220"/>
    </row>
    <row r="520">
      <c r="A520" s="240"/>
      <c r="B520" s="311"/>
      <c r="C520" s="311"/>
      <c r="D520" s="312"/>
      <c r="E520" s="311"/>
      <c r="F520" s="311"/>
      <c r="G520" s="312"/>
      <c r="H520" s="312"/>
      <c r="I520" s="313"/>
      <c r="J520" s="314"/>
      <c r="K520" s="313"/>
      <c r="L520" s="313"/>
      <c r="M520" s="313"/>
      <c r="N520" s="315"/>
      <c r="O520" s="313"/>
      <c r="P520" s="313"/>
      <c r="Q520" s="313"/>
      <c r="R520" s="313"/>
      <c r="S520" s="316"/>
      <c r="T520" s="317"/>
      <c r="U520" s="318"/>
      <c r="V520" s="319"/>
      <c r="W520" s="288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308"/>
      <c r="AI520" s="220"/>
      <c r="AJ520" s="220"/>
      <c r="AK520" s="220"/>
      <c r="AL520" s="220"/>
      <c r="AM520" s="220"/>
      <c r="AN520" s="220"/>
      <c r="AO520" s="220"/>
      <c r="AP520" s="220"/>
      <c r="AQ520" s="220"/>
      <c r="AR520" s="220"/>
      <c r="AS520" s="220"/>
      <c r="AT520" s="220"/>
      <c r="AU520" s="220"/>
      <c r="AV520" s="220"/>
      <c r="AW520" s="220"/>
      <c r="AX520" s="220"/>
      <c r="AY520" s="220"/>
      <c r="AZ520" s="220"/>
      <c r="BA520" s="220"/>
    </row>
    <row r="521">
      <c r="A521" s="240"/>
      <c r="B521" s="311"/>
      <c r="C521" s="311"/>
      <c r="D521" s="312"/>
      <c r="E521" s="311"/>
      <c r="F521" s="311"/>
      <c r="G521" s="312"/>
      <c r="H521" s="312"/>
      <c r="I521" s="313"/>
      <c r="J521" s="314"/>
      <c r="K521" s="313"/>
      <c r="L521" s="313"/>
      <c r="M521" s="313"/>
      <c r="N521" s="315"/>
      <c r="O521" s="313"/>
      <c r="P521" s="313"/>
      <c r="Q521" s="313"/>
      <c r="R521" s="313"/>
      <c r="S521" s="316"/>
      <c r="T521" s="317"/>
      <c r="U521" s="318"/>
      <c r="V521" s="319"/>
      <c r="W521" s="288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308"/>
      <c r="AI521" s="220"/>
      <c r="AJ521" s="220"/>
      <c r="AK521" s="220"/>
      <c r="AL521" s="220"/>
      <c r="AM521" s="220"/>
      <c r="AN521" s="220"/>
      <c r="AO521" s="220"/>
      <c r="AP521" s="220"/>
      <c r="AQ521" s="220"/>
      <c r="AR521" s="220"/>
      <c r="AS521" s="220"/>
      <c r="AT521" s="220"/>
      <c r="AU521" s="220"/>
      <c r="AV521" s="220"/>
      <c r="AW521" s="220"/>
      <c r="AX521" s="220"/>
      <c r="AY521" s="220"/>
      <c r="AZ521" s="220"/>
      <c r="BA521" s="220"/>
    </row>
    <row r="522">
      <c r="A522" s="240"/>
      <c r="B522" s="311"/>
      <c r="C522" s="311"/>
      <c r="D522" s="312"/>
      <c r="E522" s="311"/>
      <c r="F522" s="311"/>
      <c r="G522" s="312"/>
      <c r="H522" s="312"/>
      <c r="I522" s="313"/>
      <c r="J522" s="314"/>
      <c r="K522" s="313"/>
      <c r="L522" s="313"/>
      <c r="M522" s="313"/>
      <c r="N522" s="315"/>
      <c r="O522" s="313"/>
      <c r="P522" s="313"/>
      <c r="Q522" s="313"/>
      <c r="R522" s="313"/>
      <c r="S522" s="316"/>
      <c r="T522" s="317"/>
      <c r="U522" s="318"/>
      <c r="V522" s="319"/>
      <c r="W522" s="288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308"/>
      <c r="AI522" s="220"/>
      <c r="AJ522" s="220"/>
      <c r="AK522" s="220"/>
      <c r="AL522" s="220"/>
      <c r="AM522" s="220"/>
      <c r="AN522" s="220"/>
      <c r="AO522" s="220"/>
      <c r="AP522" s="220"/>
      <c r="AQ522" s="220"/>
      <c r="AR522" s="220"/>
      <c r="AS522" s="220"/>
      <c r="AT522" s="220"/>
      <c r="AU522" s="220"/>
      <c r="AV522" s="220"/>
      <c r="AW522" s="220"/>
      <c r="AX522" s="220"/>
      <c r="AY522" s="220"/>
      <c r="AZ522" s="220"/>
      <c r="BA522" s="220"/>
    </row>
    <row r="523">
      <c r="A523" s="240"/>
      <c r="B523" s="311"/>
      <c r="C523" s="311"/>
      <c r="D523" s="312"/>
      <c r="E523" s="311"/>
      <c r="F523" s="311"/>
      <c r="G523" s="312"/>
      <c r="H523" s="312"/>
      <c r="I523" s="313"/>
      <c r="J523" s="314"/>
      <c r="K523" s="313"/>
      <c r="L523" s="313"/>
      <c r="M523" s="313"/>
      <c r="N523" s="315"/>
      <c r="O523" s="313"/>
      <c r="P523" s="313"/>
      <c r="Q523" s="313"/>
      <c r="R523" s="313"/>
      <c r="S523" s="316"/>
      <c r="T523" s="317"/>
      <c r="U523" s="318"/>
      <c r="V523" s="319"/>
      <c r="W523" s="288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308"/>
      <c r="AI523" s="220"/>
      <c r="AJ523" s="220"/>
      <c r="AK523" s="220"/>
      <c r="AL523" s="220"/>
      <c r="AM523" s="220"/>
      <c r="AN523" s="220"/>
      <c r="AO523" s="220"/>
      <c r="AP523" s="220"/>
      <c r="AQ523" s="220"/>
      <c r="AR523" s="220"/>
      <c r="AS523" s="220"/>
      <c r="AT523" s="220"/>
      <c r="AU523" s="220"/>
      <c r="AV523" s="220"/>
      <c r="AW523" s="220"/>
      <c r="AX523" s="220"/>
      <c r="AY523" s="220"/>
      <c r="AZ523" s="220"/>
      <c r="BA523" s="220"/>
    </row>
    <row r="524">
      <c r="A524" s="240"/>
      <c r="B524" s="311"/>
      <c r="C524" s="311"/>
      <c r="D524" s="312"/>
      <c r="E524" s="311"/>
      <c r="F524" s="311"/>
      <c r="G524" s="312"/>
      <c r="H524" s="312"/>
      <c r="I524" s="313"/>
      <c r="J524" s="314"/>
      <c r="K524" s="313"/>
      <c r="L524" s="313"/>
      <c r="M524" s="313"/>
      <c r="N524" s="315"/>
      <c r="O524" s="313"/>
      <c r="P524" s="313"/>
      <c r="Q524" s="313"/>
      <c r="R524" s="313"/>
      <c r="S524" s="316"/>
      <c r="T524" s="317"/>
      <c r="U524" s="318"/>
      <c r="V524" s="319"/>
      <c r="W524" s="288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308"/>
      <c r="AI524" s="220"/>
      <c r="AJ524" s="220"/>
      <c r="AK524" s="220"/>
      <c r="AL524" s="220"/>
      <c r="AM524" s="220"/>
      <c r="AN524" s="220"/>
      <c r="AO524" s="220"/>
      <c r="AP524" s="220"/>
      <c r="AQ524" s="220"/>
      <c r="AR524" s="220"/>
      <c r="AS524" s="220"/>
      <c r="AT524" s="220"/>
      <c r="AU524" s="220"/>
      <c r="AV524" s="220"/>
      <c r="AW524" s="220"/>
      <c r="AX524" s="220"/>
      <c r="AY524" s="220"/>
      <c r="AZ524" s="220"/>
      <c r="BA524" s="220"/>
    </row>
    <row r="525">
      <c r="A525" s="240"/>
      <c r="B525" s="311"/>
      <c r="C525" s="311"/>
      <c r="D525" s="312"/>
      <c r="E525" s="311"/>
      <c r="F525" s="311"/>
      <c r="G525" s="312"/>
      <c r="H525" s="312"/>
      <c r="I525" s="313"/>
      <c r="J525" s="314"/>
      <c r="K525" s="313"/>
      <c r="L525" s="313"/>
      <c r="M525" s="313"/>
      <c r="N525" s="315"/>
      <c r="O525" s="313"/>
      <c r="P525" s="313"/>
      <c r="Q525" s="313"/>
      <c r="R525" s="313"/>
      <c r="S525" s="316"/>
      <c r="T525" s="317"/>
      <c r="U525" s="318"/>
      <c r="V525" s="319"/>
      <c r="W525" s="288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308"/>
      <c r="AI525" s="220"/>
      <c r="AJ525" s="220"/>
      <c r="AK525" s="220"/>
      <c r="AL525" s="220"/>
      <c r="AM525" s="220"/>
      <c r="AN525" s="220"/>
      <c r="AO525" s="220"/>
      <c r="AP525" s="220"/>
      <c r="AQ525" s="220"/>
      <c r="AR525" s="220"/>
      <c r="AS525" s="220"/>
      <c r="AT525" s="220"/>
      <c r="AU525" s="220"/>
      <c r="AV525" s="220"/>
      <c r="AW525" s="220"/>
      <c r="AX525" s="220"/>
      <c r="AY525" s="220"/>
      <c r="AZ525" s="220"/>
      <c r="BA525" s="220"/>
    </row>
    <row r="526">
      <c r="A526" s="240"/>
      <c r="B526" s="311"/>
      <c r="C526" s="311"/>
      <c r="D526" s="312"/>
      <c r="E526" s="311"/>
      <c r="F526" s="311"/>
      <c r="G526" s="312"/>
      <c r="H526" s="312"/>
      <c r="I526" s="313"/>
      <c r="J526" s="314"/>
      <c r="K526" s="313"/>
      <c r="L526" s="313"/>
      <c r="M526" s="313"/>
      <c r="N526" s="315"/>
      <c r="O526" s="313"/>
      <c r="P526" s="313"/>
      <c r="Q526" s="313"/>
      <c r="R526" s="313"/>
      <c r="S526" s="316"/>
      <c r="T526" s="317"/>
      <c r="U526" s="318"/>
      <c r="V526" s="319"/>
      <c r="W526" s="288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308"/>
      <c r="AI526" s="220"/>
      <c r="AJ526" s="220"/>
      <c r="AK526" s="220"/>
      <c r="AL526" s="220"/>
      <c r="AM526" s="220"/>
      <c r="AN526" s="220"/>
      <c r="AO526" s="220"/>
      <c r="AP526" s="220"/>
      <c r="AQ526" s="220"/>
      <c r="AR526" s="220"/>
      <c r="AS526" s="220"/>
      <c r="AT526" s="220"/>
      <c r="AU526" s="220"/>
      <c r="AV526" s="220"/>
      <c r="AW526" s="220"/>
      <c r="AX526" s="220"/>
      <c r="AY526" s="220"/>
      <c r="AZ526" s="220"/>
      <c r="BA526" s="220"/>
    </row>
    <row r="527">
      <c r="A527" s="240"/>
      <c r="B527" s="311"/>
      <c r="C527" s="311"/>
      <c r="D527" s="312"/>
      <c r="E527" s="311"/>
      <c r="F527" s="311"/>
      <c r="G527" s="312"/>
      <c r="H527" s="312"/>
      <c r="I527" s="313"/>
      <c r="J527" s="314"/>
      <c r="K527" s="313"/>
      <c r="L527" s="313"/>
      <c r="M527" s="313"/>
      <c r="N527" s="315"/>
      <c r="O527" s="313"/>
      <c r="P527" s="313"/>
      <c r="Q527" s="313"/>
      <c r="R527" s="313"/>
      <c r="S527" s="316"/>
      <c r="T527" s="317"/>
      <c r="U527" s="318"/>
      <c r="V527" s="319"/>
      <c r="W527" s="288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308"/>
      <c r="AI527" s="220"/>
      <c r="AJ527" s="220"/>
      <c r="AK527" s="220"/>
      <c r="AL527" s="220"/>
      <c r="AM527" s="220"/>
      <c r="AN527" s="220"/>
      <c r="AO527" s="220"/>
      <c r="AP527" s="220"/>
      <c r="AQ527" s="220"/>
      <c r="AR527" s="220"/>
      <c r="AS527" s="220"/>
      <c r="AT527" s="220"/>
      <c r="AU527" s="220"/>
      <c r="AV527" s="220"/>
      <c r="AW527" s="220"/>
      <c r="AX527" s="220"/>
      <c r="AY527" s="220"/>
      <c r="AZ527" s="220"/>
      <c r="BA527" s="220"/>
    </row>
    <row r="528">
      <c r="A528" s="240"/>
      <c r="B528" s="311"/>
      <c r="C528" s="311"/>
      <c r="D528" s="312"/>
      <c r="E528" s="311"/>
      <c r="F528" s="311"/>
      <c r="G528" s="312"/>
      <c r="H528" s="312"/>
      <c r="I528" s="313"/>
      <c r="J528" s="314"/>
      <c r="K528" s="313"/>
      <c r="L528" s="313"/>
      <c r="M528" s="313"/>
      <c r="N528" s="315"/>
      <c r="O528" s="313"/>
      <c r="P528" s="313"/>
      <c r="Q528" s="313"/>
      <c r="R528" s="313"/>
      <c r="S528" s="316"/>
      <c r="T528" s="317"/>
      <c r="U528" s="318"/>
      <c r="V528" s="319"/>
      <c r="W528" s="288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308"/>
      <c r="AI528" s="220"/>
      <c r="AJ528" s="220"/>
      <c r="AK528" s="220"/>
      <c r="AL528" s="220"/>
      <c r="AM528" s="220"/>
      <c r="AN528" s="220"/>
      <c r="AO528" s="220"/>
      <c r="AP528" s="220"/>
      <c r="AQ528" s="220"/>
      <c r="AR528" s="220"/>
      <c r="AS528" s="220"/>
      <c r="AT528" s="220"/>
      <c r="AU528" s="220"/>
      <c r="AV528" s="220"/>
      <c r="AW528" s="220"/>
      <c r="AX528" s="220"/>
      <c r="AY528" s="220"/>
      <c r="AZ528" s="220"/>
      <c r="BA528" s="220"/>
    </row>
    <row r="529">
      <c r="A529" s="240"/>
      <c r="B529" s="311"/>
      <c r="C529" s="311"/>
      <c r="D529" s="312"/>
      <c r="E529" s="311"/>
      <c r="F529" s="311"/>
      <c r="G529" s="312"/>
      <c r="H529" s="312"/>
      <c r="I529" s="313"/>
      <c r="J529" s="314"/>
      <c r="K529" s="313"/>
      <c r="L529" s="313"/>
      <c r="M529" s="313"/>
      <c r="N529" s="315"/>
      <c r="O529" s="313"/>
      <c r="P529" s="313"/>
      <c r="Q529" s="313"/>
      <c r="R529" s="313"/>
      <c r="S529" s="316"/>
      <c r="T529" s="317"/>
      <c r="U529" s="318"/>
      <c r="V529" s="319"/>
      <c r="W529" s="288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308"/>
      <c r="AI529" s="220"/>
      <c r="AJ529" s="220"/>
      <c r="AK529" s="220"/>
      <c r="AL529" s="220"/>
      <c r="AM529" s="220"/>
      <c r="AN529" s="220"/>
      <c r="AO529" s="220"/>
      <c r="AP529" s="220"/>
      <c r="AQ529" s="220"/>
      <c r="AR529" s="220"/>
      <c r="AS529" s="220"/>
      <c r="AT529" s="220"/>
      <c r="AU529" s="220"/>
      <c r="AV529" s="220"/>
      <c r="AW529" s="220"/>
      <c r="AX529" s="220"/>
      <c r="AY529" s="220"/>
      <c r="AZ529" s="220"/>
      <c r="BA529" s="220"/>
    </row>
    <row r="530">
      <c r="A530" s="240"/>
      <c r="B530" s="311"/>
      <c r="C530" s="311"/>
      <c r="D530" s="312"/>
      <c r="E530" s="311"/>
      <c r="F530" s="311"/>
      <c r="G530" s="312"/>
      <c r="H530" s="312"/>
      <c r="I530" s="313"/>
      <c r="J530" s="314"/>
      <c r="K530" s="313"/>
      <c r="L530" s="313"/>
      <c r="M530" s="313"/>
      <c r="N530" s="315"/>
      <c r="O530" s="313"/>
      <c r="P530" s="313"/>
      <c r="Q530" s="313"/>
      <c r="R530" s="313"/>
      <c r="S530" s="316"/>
      <c r="T530" s="317"/>
      <c r="U530" s="318"/>
      <c r="V530" s="319"/>
      <c r="W530" s="288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308"/>
      <c r="AI530" s="220"/>
      <c r="AJ530" s="220"/>
      <c r="AK530" s="220"/>
      <c r="AL530" s="220"/>
      <c r="AM530" s="220"/>
      <c r="AN530" s="220"/>
      <c r="AO530" s="220"/>
      <c r="AP530" s="220"/>
      <c r="AQ530" s="220"/>
      <c r="AR530" s="220"/>
      <c r="AS530" s="220"/>
      <c r="AT530" s="220"/>
      <c r="AU530" s="220"/>
      <c r="AV530" s="220"/>
      <c r="AW530" s="220"/>
      <c r="AX530" s="220"/>
      <c r="AY530" s="220"/>
      <c r="AZ530" s="220"/>
      <c r="BA530" s="220"/>
    </row>
    <row r="531">
      <c r="A531" s="240"/>
      <c r="B531" s="311"/>
      <c r="C531" s="311"/>
      <c r="D531" s="312"/>
      <c r="E531" s="311"/>
      <c r="F531" s="311"/>
      <c r="G531" s="312"/>
      <c r="H531" s="312"/>
      <c r="I531" s="313"/>
      <c r="J531" s="314"/>
      <c r="K531" s="313"/>
      <c r="L531" s="313"/>
      <c r="M531" s="313"/>
      <c r="N531" s="315"/>
      <c r="O531" s="313"/>
      <c r="P531" s="313"/>
      <c r="Q531" s="313"/>
      <c r="R531" s="313"/>
      <c r="S531" s="316"/>
      <c r="T531" s="317"/>
      <c r="U531" s="318"/>
      <c r="V531" s="319"/>
      <c r="W531" s="288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308"/>
      <c r="AI531" s="220"/>
      <c r="AJ531" s="220"/>
      <c r="AK531" s="220"/>
      <c r="AL531" s="220"/>
      <c r="AM531" s="220"/>
      <c r="AN531" s="220"/>
      <c r="AO531" s="220"/>
      <c r="AP531" s="220"/>
      <c r="AQ531" s="220"/>
      <c r="AR531" s="220"/>
      <c r="AS531" s="220"/>
      <c r="AT531" s="220"/>
      <c r="AU531" s="220"/>
      <c r="AV531" s="220"/>
      <c r="AW531" s="220"/>
      <c r="AX531" s="220"/>
      <c r="AY531" s="220"/>
      <c r="AZ531" s="220"/>
      <c r="BA531" s="220"/>
    </row>
    <row r="532">
      <c r="A532" s="240"/>
      <c r="B532" s="311"/>
      <c r="C532" s="311"/>
      <c r="D532" s="312"/>
      <c r="E532" s="311"/>
      <c r="F532" s="311"/>
      <c r="G532" s="312"/>
      <c r="H532" s="312"/>
      <c r="I532" s="313"/>
      <c r="J532" s="314"/>
      <c r="K532" s="313"/>
      <c r="L532" s="313"/>
      <c r="M532" s="313"/>
      <c r="N532" s="315"/>
      <c r="O532" s="313"/>
      <c r="P532" s="313"/>
      <c r="Q532" s="313"/>
      <c r="R532" s="313"/>
      <c r="S532" s="316"/>
      <c r="T532" s="317"/>
      <c r="U532" s="318"/>
      <c r="V532" s="319"/>
      <c r="W532" s="288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308"/>
      <c r="AI532" s="220"/>
      <c r="AJ532" s="220"/>
      <c r="AK532" s="220"/>
      <c r="AL532" s="220"/>
      <c r="AM532" s="220"/>
      <c r="AN532" s="220"/>
      <c r="AO532" s="220"/>
      <c r="AP532" s="220"/>
      <c r="AQ532" s="220"/>
      <c r="AR532" s="220"/>
      <c r="AS532" s="220"/>
      <c r="AT532" s="220"/>
      <c r="AU532" s="220"/>
      <c r="AV532" s="220"/>
      <c r="AW532" s="220"/>
      <c r="AX532" s="220"/>
      <c r="AY532" s="220"/>
      <c r="AZ532" s="220"/>
      <c r="BA532" s="220"/>
    </row>
    <row r="533">
      <c r="A533" s="240"/>
      <c r="B533" s="311"/>
      <c r="C533" s="311"/>
      <c r="D533" s="312"/>
      <c r="E533" s="311"/>
      <c r="F533" s="311"/>
      <c r="G533" s="312"/>
      <c r="H533" s="312"/>
      <c r="I533" s="313"/>
      <c r="J533" s="314"/>
      <c r="K533" s="313"/>
      <c r="L533" s="313"/>
      <c r="M533" s="313"/>
      <c r="N533" s="315"/>
      <c r="O533" s="313"/>
      <c r="P533" s="313"/>
      <c r="Q533" s="313"/>
      <c r="R533" s="313"/>
      <c r="S533" s="316"/>
      <c r="T533" s="317"/>
      <c r="U533" s="318"/>
      <c r="V533" s="319"/>
      <c r="W533" s="288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308"/>
      <c r="AI533" s="220"/>
      <c r="AJ533" s="220"/>
      <c r="AK533" s="220"/>
      <c r="AL533" s="220"/>
      <c r="AM533" s="220"/>
      <c r="AN533" s="220"/>
      <c r="AO533" s="220"/>
      <c r="AP533" s="220"/>
      <c r="AQ533" s="220"/>
      <c r="AR533" s="220"/>
      <c r="AS533" s="220"/>
      <c r="AT533" s="220"/>
      <c r="AU533" s="220"/>
      <c r="AV533" s="220"/>
      <c r="AW533" s="220"/>
      <c r="AX533" s="220"/>
      <c r="AY533" s="220"/>
      <c r="AZ533" s="220"/>
      <c r="BA533" s="220"/>
    </row>
    <row r="534">
      <c r="A534" s="240"/>
      <c r="B534" s="311"/>
      <c r="C534" s="311"/>
      <c r="D534" s="312"/>
      <c r="E534" s="311"/>
      <c r="F534" s="311"/>
      <c r="G534" s="312"/>
      <c r="H534" s="312"/>
      <c r="I534" s="313"/>
      <c r="J534" s="314"/>
      <c r="K534" s="313"/>
      <c r="L534" s="313"/>
      <c r="M534" s="313"/>
      <c r="N534" s="315"/>
      <c r="O534" s="313"/>
      <c r="P534" s="313"/>
      <c r="Q534" s="313"/>
      <c r="R534" s="313"/>
      <c r="S534" s="316"/>
      <c r="T534" s="317"/>
      <c r="U534" s="318"/>
      <c r="V534" s="319"/>
      <c r="W534" s="288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308"/>
      <c r="AI534" s="220"/>
      <c r="AJ534" s="220"/>
      <c r="AK534" s="220"/>
      <c r="AL534" s="220"/>
      <c r="AM534" s="220"/>
      <c r="AN534" s="220"/>
      <c r="AO534" s="220"/>
      <c r="AP534" s="220"/>
      <c r="AQ534" s="220"/>
      <c r="AR534" s="220"/>
      <c r="AS534" s="220"/>
      <c r="AT534" s="220"/>
      <c r="AU534" s="220"/>
      <c r="AV534" s="220"/>
      <c r="AW534" s="220"/>
      <c r="AX534" s="220"/>
      <c r="AY534" s="220"/>
      <c r="AZ534" s="220"/>
      <c r="BA534" s="220"/>
    </row>
    <row r="535">
      <c r="A535" s="240"/>
      <c r="B535" s="311"/>
      <c r="C535" s="311"/>
      <c r="D535" s="312"/>
      <c r="E535" s="311"/>
      <c r="F535" s="311"/>
      <c r="G535" s="312"/>
      <c r="H535" s="312"/>
      <c r="I535" s="313"/>
      <c r="J535" s="314"/>
      <c r="K535" s="313"/>
      <c r="L535" s="313"/>
      <c r="M535" s="313"/>
      <c r="N535" s="315"/>
      <c r="O535" s="313"/>
      <c r="P535" s="313"/>
      <c r="Q535" s="313"/>
      <c r="R535" s="313"/>
      <c r="S535" s="316"/>
      <c r="T535" s="317"/>
      <c r="U535" s="318"/>
      <c r="V535" s="319"/>
      <c r="W535" s="288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308"/>
      <c r="AI535" s="220"/>
      <c r="AJ535" s="220"/>
      <c r="AK535" s="220"/>
      <c r="AL535" s="220"/>
      <c r="AM535" s="220"/>
      <c r="AN535" s="220"/>
      <c r="AO535" s="220"/>
      <c r="AP535" s="220"/>
      <c r="AQ535" s="220"/>
      <c r="AR535" s="220"/>
      <c r="AS535" s="220"/>
      <c r="AT535" s="220"/>
      <c r="AU535" s="220"/>
      <c r="AV535" s="220"/>
      <c r="AW535" s="220"/>
      <c r="AX535" s="220"/>
      <c r="AY535" s="220"/>
      <c r="AZ535" s="220"/>
      <c r="BA535" s="220"/>
    </row>
    <row r="536">
      <c r="A536" s="240"/>
      <c r="B536" s="311"/>
      <c r="C536" s="311"/>
      <c r="D536" s="312"/>
      <c r="E536" s="311"/>
      <c r="F536" s="311"/>
      <c r="G536" s="312"/>
      <c r="H536" s="312"/>
      <c r="I536" s="313"/>
      <c r="J536" s="314"/>
      <c r="K536" s="313"/>
      <c r="L536" s="313"/>
      <c r="M536" s="313"/>
      <c r="N536" s="315"/>
      <c r="O536" s="313"/>
      <c r="P536" s="313"/>
      <c r="Q536" s="313"/>
      <c r="R536" s="313"/>
      <c r="S536" s="316"/>
      <c r="T536" s="317"/>
      <c r="U536" s="318"/>
      <c r="V536" s="319"/>
      <c r="W536" s="288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308"/>
      <c r="AI536" s="220"/>
      <c r="AJ536" s="220"/>
      <c r="AK536" s="220"/>
      <c r="AL536" s="220"/>
      <c r="AM536" s="220"/>
      <c r="AN536" s="220"/>
      <c r="AO536" s="220"/>
      <c r="AP536" s="220"/>
      <c r="AQ536" s="220"/>
      <c r="AR536" s="220"/>
      <c r="AS536" s="220"/>
      <c r="AT536" s="220"/>
      <c r="AU536" s="220"/>
      <c r="AV536" s="220"/>
      <c r="AW536" s="220"/>
      <c r="AX536" s="220"/>
      <c r="AY536" s="220"/>
      <c r="AZ536" s="220"/>
      <c r="BA536" s="220"/>
    </row>
    <row r="537">
      <c r="A537" s="240"/>
      <c r="B537" s="311"/>
      <c r="C537" s="311"/>
      <c r="D537" s="312"/>
      <c r="E537" s="311"/>
      <c r="F537" s="311"/>
      <c r="G537" s="312"/>
      <c r="H537" s="312"/>
      <c r="I537" s="313"/>
      <c r="J537" s="314"/>
      <c r="K537" s="313"/>
      <c r="L537" s="313"/>
      <c r="M537" s="313"/>
      <c r="N537" s="315"/>
      <c r="O537" s="313"/>
      <c r="P537" s="313"/>
      <c r="Q537" s="313"/>
      <c r="R537" s="313"/>
      <c r="S537" s="316"/>
      <c r="T537" s="317"/>
      <c r="U537" s="318"/>
      <c r="V537" s="319"/>
      <c r="W537" s="288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308"/>
      <c r="AI537" s="220"/>
      <c r="AJ537" s="220"/>
      <c r="AK537" s="220"/>
      <c r="AL537" s="220"/>
      <c r="AM537" s="220"/>
      <c r="AN537" s="220"/>
      <c r="AO537" s="220"/>
      <c r="AP537" s="220"/>
      <c r="AQ537" s="220"/>
      <c r="AR537" s="220"/>
      <c r="AS537" s="220"/>
      <c r="AT537" s="220"/>
      <c r="AU537" s="220"/>
      <c r="AV537" s="220"/>
      <c r="AW537" s="220"/>
      <c r="AX537" s="220"/>
      <c r="AY537" s="220"/>
      <c r="AZ537" s="220"/>
      <c r="BA537" s="220"/>
    </row>
    <row r="538">
      <c r="A538" s="240"/>
      <c r="B538" s="311"/>
      <c r="C538" s="311"/>
      <c r="D538" s="312"/>
      <c r="E538" s="311"/>
      <c r="F538" s="311"/>
      <c r="G538" s="312"/>
      <c r="H538" s="312"/>
      <c r="I538" s="313"/>
      <c r="J538" s="314"/>
      <c r="K538" s="313"/>
      <c r="L538" s="313"/>
      <c r="M538" s="313"/>
      <c r="N538" s="315"/>
      <c r="O538" s="313"/>
      <c r="P538" s="313"/>
      <c r="Q538" s="313"/>
      <c r="R538" s="313"/>
      <c r="S538" s="316"/>
      <c r="T538" s="317"/>
      <c r="U538" s="318"/>
      <c r="V538" s="319"/>
      <c r="W538" s="288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308"/>
      <c r="AI538" s="220"/>
      <c r="AJ538" s="220"/>
      <c r="AK538" s="220"/>
      <c r="AL538" s="220"/>
      <c r="AM538" s="220"/>
      <c r="AN538" s="220"/>
      <c r="AO538" s="220"/>
      <c r="AP538" s="220"/>
      <c r="AQ538" s="220"/>
      <c r="AR538" s="220"/>
      <c r="AS538" s="220"/>
      <c r="AT538" s="220"/>
      <c r="AU538" s="220"/>
      <c r="AV538" s="220"/>
      <c r="AW538" s="220"/>
      <c r="AX538" s="220"/>
      <c r="AY538" s="220"/>
      <c r="AZ538" s="220"/>
      <c r="BA538" s="220"/>
    </row>
    <row r="539">
      <c r="A539" s="240"/>
      <c r="B539" s="311"/>
      <c r="C539" s="311"/>
      <c r="D539" s="312"/>
      <c r="E539" s="311"/>
      <c r="F539" s="311"/>
      <c r="G539" s="312"/>
      <c r="H539" s="312"/>
      <c r="I539" s="313"/>
      <c r="J539" s="314"/>
      <c r="K539" s="313"/>
      <c r="L539" s="313"/>
      <c r="M539" s="313"/>
      <c r="N539" s="315"/>
      <c r="O539" s="313"/>
      <c r="P539" s="313"/>
      <c r="Q539" s="313"/>
      <c r="R539" s="313"/>
      <c r="S539" s="316"/>
      <c r="T539" s="317"/>
      <c r="U539" s="318"/>
      <c r="V539" s="319"/>
      <c r="W539" s="288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308"/>
      <c r="AI539" s="220"/>
      <c r="AJ539" s="220"/>
      <c r="AK539" s="220"/>
      <c r="AL539" s="220"/>
      <c r="AM539" s="220"/>
      <c r="AN539" s="220"/>
      <c r="AO539" s="220"/>
      <c r="AP539" s="220"/>
      <c r="AQ539" s="220"/>
      <c r="AR539" s="220"/>
      <c r="AS539" s="220"/>
      <c r="AT539" s="220"/>
      <c r="AU539" s="220"/>
      <c r="AV539" s="220"/>
      <c r="AW539" s="220"/>
      <c r="AX539" s="220"/>
      <c r="AY539" s="220"/>
      <c r="AZ539" s="220"/>
      <c r="BA539" s="220"/>
    </row>
    <row r="540">
      <c r="A540" s="240"/>
      <c r="B540" s="311"/>
      <c r="C540" s="311"/>
      <c r="D540" s="312"/>
      <c r="E540" s="311"/>
      <c r="F540" s="311"/>
      <c r="G540" s="312"/>
      <c r="H540" s="312"/>
      <c r="I540" s="313"/>
      <c r="J540" s="314"/>
      <c r="K540" s="313"/>
      <c r="L540" s="313"/>
      <c r="M540" s="313"/>
      <c r="N540" s="315"/>
      <c r="O540" s="313"/>
      <c r="P540" s="313"/>
      <c r="Q540" s="313"/>
      <c r="R540" s="313"/>
      <c r="S540" s="316"/>
      <c r="T540" s="317"/>
      <c r="U540" s="318"/>
      <c r="V540" s="319"/>
      <c r="W540" s="288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308"/>
      <c r="AI540" s="220"/>
      <c r="AJ540" s="220"/>
      <c r="AK540" s="220"/>
      <c r="AL540" s="220"/>
      <c r="AM540" s="220"/>
      <c r="AN540" s="220"/>
      <c r="AO540" s="220"/>
      <c r="AP540" s="220"/>
      <c r="AQ540" s="220"/>
      <c r="AR540" s="220"/>
      <c r="AS540" s="220"/>
      <c r="AT540" s="220"/>
      <c r="AU540" s="220"/>
      <c r="AV540" s="220"/>
      <c r="AW540" s="220"/>
      <c r="AX540" s="220"/>
      <c r="AY540" s="220"/>
      <c r="AZ540" s="220"/>
      <c r="BA540" s="220"/>
    </row>
    <row r="541">
      <c r="A541" s="240"/>
      <c r="B541" s="311"/>
      <c r="C541" s="311"/>
      <c r="D541" s="312"/>
      <c r="E541" s="311"/>
      <c r="F541" s="311"/>
      <c r="G541" s="312"/>
      <c r="H541" s="312"/>
      <c r="I541" s="313"/>
      <c r="J541" s="314"/>
      <c r="K541" s="313"/>
      <c r="L541" s="313"/>
      <c r="M541" s="313"/>
      <c r="N541" s="315"/>
      <c r="O541" s="313"/>
      <c r="P541" s="313"/>
      <c r="Q541" s="313"/>
      <c r="R541" s="313"/>
      <c r="S541" s="316"/>
      <c r="T541" s="317"/>
      <c r="U541" s="318"/>
      <c r="V541" s="319"/>
      <c r="W541" s="288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308"/>
      <c r="AI541" s="220"/>
      <c r="AJ541" s="220"/>
      <c r="AK541" s="220"/>
      <c r="AL541" s="220"/>
      <c r="AM541" s="220"/>
      <c r="AN541" s="220"/>
      <c r="AO541" s="220"/>
      <c r="AP541" s="220"/>
      <c r="AQ541" s="220"/>
      <c r="AR541" s="220"/>
      <c r="AS541" s="220"/>
      <c r="AT541" s="220"/>
      <c r="AU541" s="220"/>
      <c r="AV541" s="220"/>
      <c r="AW541" s="220"/>
      <c r="AX541" s="220"/>
      <c r="AY541" s="220"/>
      <c r="AZ541" s="220"/>
      <c r="BA541" s="220"/>
    </row>
    <row r="542">
      <c r="A542" s="240"/>
      <c r="B542" s="311"/>
      <c r="C542" s="311"/>
      <c r="D542" s="312"/>
      <c r="E542" s="311"/>
      <c r="F542" s="311"/>
      <c r="G542" s="312"/>
      <c r="H542" s="312"/>
      <c r="I542" s="313"/>
      <c r="J542" s="314"/>
      <c r="K542" s="313"/>
      <c r="L542" s="313"/>
      <c r="M542" s="313"/>
      <c r="N542" s="315"/>
      <c r="O542" s="313"/>
      <c r="P542" s="313"/>
      <c r="Q542" s="313"/>
      <c r="R542" s="313"/>
      <c r="S542" s="316"/>
      <c r="T542" s="317"/>
      <c r="U542" s="318"/>
      <c r="V542" s="319"/>
      <c r="W542" s="288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308"/>
      <c r="AI542" s="220"/>
      <c r="AJ542" s="220"/>
      <c r="AK542" s="220"/>
      <c r="AL542" s="220"/>
      <c r="AM542" s="220"/>
      <c r="AN542" s="220"/>
      <c r="AO542" s="220"/>
      <c r="AP542" s="220"/>
      <c r="AQ542" s="220"/>
      <c r="AR542" s="220"/>
      <c r="AS542" s="220"/>
      <c r="AT542" s="220"/>
      <c r="AU542" s="220"/>
      <c r="AV542" s="220"/>
      <c r="AW542" s="220"/>
      <c r="AX542" s="220"/>
      <c r="AY542" s="220"/>
      <c r="AZ542" s="220"/>
      <c r="BA542" s="220"/>
    </row>
    <row r="543">
      <c r="A543" s="240"/>
      <c r="B543" s="311"/>
      <c r="C543" s="311"/>
      <c r="D543" s="312"/>
      <c r="E543" s="311"/>
      <c r="F543" s="311"/>
      <c r="G543" s="312"/>
      <c r="H543" s="312"/>
      <c r="I543" s="313"/>
      <c r="J543" s="314"/>
      <c r="K543" s="313"/>
      <c r="L543" s="313"/>
      <c r="M543" s="313"/>
      <c r="N543" s="315"/>
      <c r="O543" s="313"/>
      <c r="P543" s="313"/>
      <c r="Q543" s="313"/>
      <c r="R543" s="313"/>
      <c r="S543" s="316"/>
      <c r="T543" s="317"/>
      <c r="U543" s="318"/>
      <c r="V543" s="319"/>
      <c r="W543" s="288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308"/>
      <c r="AI543" s="220"/>
      <c r="AJ543" s="220"/>
      <c r="AK543" s="220"/>
      <c r="AL543" s="220"/>
      <c r="AM543" s="220"/>
      <c r="AN543" s="220"/>
      <c r="AO543" s="220"/>
      <c r="AP543" s="220"/>
      <c r="AQ543" s="220"/>
      <c r="AR543" s="220"/>
      <c r="AS543" s="220"/>
      <c r="AT543" s="220"/>
      <c r="AU543" s="220"/>
      <c r="AV543" s="220"/>
      <c r="AW543" s="220"/>
      <c r="AX543" s="220"/>
      <c r="AY543" s="220"/>
      <c r="AZ543" s="220"/>
      <c r="BA543" s="220"/>
    </row>
    <row r="544">
      <c r="A544" s="240"/>
      <c r="B544" s="311"/>
      <c r="C544" s="311"/>
      <c r="D544" s="312"/>
      <c r="E544" s="311"/>
      <c r="F544" s="311"/>
      <c r="G544" s="312"/>
      <c r="H544" s="312"/>
      <c r="I544" s="313"/>
      <c r="J544" s="314"/>
      <c r="K544" s="313"/>
      <c r="L544" s="313"/>
      <c r="M544" s="313"/>
      <c r="N544" s="315"/>
      <c r="O544" s="313"/>
      <c r="P544" s="313"/>
      <c r="Q544" s="313"/>
      <c r="R544" s="313"/>
      <c r="S544" s="316"/>
      <c r="T544" s="317"/>
      <c r="U544" s="318"/>
      <c r="V544" s="319"/>
      <c r="W544" s="288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308"/>
      <c r="AI544" s="220"/>
      <c r="AJ544" s="220"/>
      <c r="AK544" s="220"/>
      <c r="AL544" s="220"/>
      <c r="AM544" s="220"/>
      <c r="AN544" s="220"/>
      <c r="AO544" s="220"/>
      <c r="AP544" s="220"/>
      <c r="AQ544" s="220"/>
      <c r="AR544" s="220"/>
      <c r="AS544" s="220"/>
      <c r="AT544" s="220"/>
      <c r="AU544" s="220"/>
      <c r="AV544" s="220"/>
      <c r="AW544" s="220"/>
      <c r="AX544" s="220"/>
      <c r="AY544" s="220"/>
      <c r="AZ544" s="220"/>
      <c r="BA544" s="220"/>
    </row>
    <row r="545">
      <c r="A545" s="240"/>
      <c r="B545" s="311"/>
      <c r="C545" s="311"/>
      <c r="D545" s="312"/>
      <c r="E545" s="311"/>
      <c r="F545" s="311"/>
      <c r="G545" s="312"/>
      <c r="H545" s="312"/>
      <c r="I545" s="313"/>
      <c r="J545" s="314"/>
      <c r="K545" s="313"/>
      <c r="L545" s="313"/>
      <c r="M545" s="313"/>
      <c r="N545" s="315"/>
      <c r="O545" s="313"/>
      <c r="P545" s="313"/>
      <c r="Q545" s="313"/>
      <c r="R545" s="313"/>
      <c r="S545" s="316"/>
      <c r="T545" s="317"/>
      <c r="U545" s="318"/>
      <c r="V545" s="319"/>
      <c r="W545" s="288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308"/>
      <c r="AI545" s="220"/>
      <c r="AJ545" s="220"/>
      <c r="AK545" s="220"/>
      <c r="AL545" s="220"/>
      <c r="AM545" s="220"/>
      <c r="AN545" s="220"/>
      <c r="AO545" s="220"/>
      <c r="AP545" s="220"/>
      <c r="AQ545" s="220"/>
      <c r="AR545" s="220"/>
      <c r="AS545" s="220"/>
      <c r="AT545" s="220"/>
      <c r="AU545" s="220"/>
      <c r="AV545" s="220"/>
      <c r="AW545" s="220"/>
      <c r="AX545" s="220"/>
      <c r="AY545" s="220"/>
      <c r="AZ545" s="220"/>
      <c r="BA545" s="220"/>
    </row>
    <row r="546">
      <c r="A546" s="240"/>
      <c r="B546" s="311"/>
      <c r="C546" s="311"/>
      <c r="D546" s="312"/>
      <c r="E546" s="311"/>
      <c r="F546" s="311"/>
      <c r="G546" s="312"/>
      <c r="H546" s="312"/>
      <c r="I546" s="313"/>
      <c r="J546" s="314"/>
      <c r="K546" s="313"/>
      <c r="L546" s="313"/>
      <c r="M546" s="313"/>
      <c r="N546" s="315"/>
      <c r="O546" s="313"/>
      <c r="P546" s="313"/>
      <c r="Q546" s="313"/>
      <c r="R546" s="313"/>
      <c r="S546" s="316"/>
      <c r="T546" s="317"/>
      <c r="U546" s="318"/>
      <c r="V546" s="319"/>
      <c r="W546" s="288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308"/>
      <c r="AI546" s="220"/>
      <c r="AJ546" s="220"/>
      <c r="AK546" s="220"/>
      <c r="AL546" s="220"/>
      <c r="AM546" s="220"/>
      <c r="AN546" s="220"/>
      <c r="AO546" s="220"/>
      <c r="AP546" s="220"/>
      <c r="AQ546" s="220"/>
      <c r="AR546" s="220"/>
      <c r="AS546" s="220"/>
      <c r="AT546" s="220"/>
      <c r="AU546" s="220"/>
      <c r="AV546" s="220"/>
      <c r="AW546" s="220"/>
      <c r="AX546" s="220"/>
      <c r="AY546" s="220"/>
      <c r="AZ546" s="220"/>
      <c r="BA546" s="220"/>
    </row>
    <row r="547">
      <c r="A547" s="240"/>
      <c r="B547" s="311"/>
      <c r="C547" s="311"/>
      <c r="D547" s="312"/>
      <c r="E547" s="311"/>
      <c r="F547" s="311"/>
      <c r="G547" s="312"/>
      <c r="H547" s="312"/>
      <c r="I547" s="313"/>
      <c r="J547" s="314"/>
      <c r="K547" s="313"/>
      <c r="L547" s="313"/>
      <c r="M547" s="313"/>
      <c r="N547" s="315"/>
      <c r="O547" s="313"/>
      <c r="P547" s="313"/>
      <c r="Q547" s="313"/>
      <c r="R547" s="313"/>
      <c r="S547" s="316"/>
      <c r="T547" s="317"/>
      <c r="U547" s="318"/>
      <c r="V547" s="319"/>
      <c r="W547" s="288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308"/>
      <c r="AI547" s="220"/>
      <c r="AJ547" s="220"/>
      <c r="AK547" s="220"/>
      <c r="AL547" s="220"/>
      <c r="AM547" s="220"/>
      <c r="AN547" s="220"/>
      <c r="AO547" s="220"/>
      <c r="AP547" s="220"/>
      <c r="AQ547" s="220"/>
      <c r="AR547" s="220"/>
      <c r="AS547" s="220"/>
      <c r="AT547" s="220"/>
      <c r="AU547" s="220"/>
      <c r="AV547" s="220"/>
      <c r="AW547" s="220"/>
      <c r="AX547" s="220"/>
      <c r="AY547" s="220"/>
      <c r="AZ547" s="220"/>
      <c r="BA547" s="220"/>
    </row>
    <row r="548">
      <c r="A548" s="240"/>
      <c r="B548" s="311"/>
      <c r="C548" s="311"/>
      <c r="D548" s="312"/>
      <c r="E548" s="311"/>
      <c r="F548" s="311"/>
      <c r="G548" s="312"/>
      <c r="H548" s="312"/>
      <c r="I548" s="313"/>
      <c r="J548" s="314"/>
      <c r="K548" s="313"/>
      <c r="L548" s="313"/>
      <c r="M548" s="313"/>
      <c r="N548" s="315"/>
      <c r="O548" s="313"/>
      <c r="P548" s="313"/>
      <c r="Q548" s="313"/>
      <c r="R548" s="313"/>
      <c r="S548" s="316"/>
      <c r="T548" s="317"/>
      <c r="U548" s="318"/>
      <c r="V548" s="319"/>
      <c r="W548" s="288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308"/>
      <c r="AI548" s="220"/>
      <c r="AJ548" s="220"/>
      <c r="AK548" s="220"/>
      <c r="AL548" s="220"/>
      <c r="AM548" s="220"/>
      <c r="AN548" s="220"/>
      <c r="AO548" s="220"/>
      <c r="AP548" s="220"/>
      <c r="AQ548" s="220"/>
      <c r="AR548" s="220"/>
      <c r="AS548" s="220"/>
      <c r="AT548" s="220"/>
      <c r="AU548" s="220"/>
      <c r="AV548" s="220"/>
      <c r="AW548" s="220"/>
      <c r="AX548" s="220"/>
      <c r="AY548" s="220"/>
      <c r="AZ548" s="220"/>
      <c r="BA548" s="220"/>
    </row>
    <row r="549">
      <c r="A549" s="240"/>
      <c r="B549" s="311"/>
      <c r="C549" s="311"/>
      <c r="D549" s="312"/>
      <c r="E549" s="311"/>
      <c r="F549" s="311"/>
      <c r="G549" s="312"/>
      <c r="H549" s="312"/>
      <c r="I549" s="313"/>
      <c r="J549" s="314"/>
      <c r="K549" s="313"/>
      <c r="L549" s="313"/>
      <c r="M549" s="313"/>
      <c r="N549" s="315"/>
      <c r="O549" s="313"/>
      <c r="P549" s="313"/>
      <c r="Q549" s="313"/>
      <c r="R549" s="313"/>
      <c r="S549" s="316"/>
      <c r="T549" s="317"/>
      <c r="U549" s="318"/>
      <c r="V549" s="319"/>
      <c r="W549" s="288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308"/>
      <c r="AI549" s="220"/>
      <c r="AJ549" s="220"/>
      <c r="AK549" s="220"/>
      <c r="AL549" s="220"/>
      <c r="AM549" s="220"/>
      <c r="AN549" s="220"/>
      <c r="AO549" s="220"/>
      <c r="AP549" s="220"/>
      <c r="AQ549" s="220"/>
      <c r="AR549" s="220"/>
      <c r="AS549" s="220"/>
      <c r="AT549" s="220"/>
      <c r="AU549" s="220"/>
      <c r="AV549" s="220"/>
      <c r="AW549" s="220"/>
      <c r="AX549" s="220"/>
      <c r="AY549" s="220"/>
      <c r="AZ549" s="220"/>
      <c r="BA549" s="220"/>
    </row>
    <row r="550">
      <c r="A550" s="240"/>
      <c r="B550" s="311"/>
      <c r="C550" s="311"/>
      <c r="D550" s="312"/>
      <c r="E550" s="311"/>
      <c r="F550" s="311"/>
      <c r="G550" s="312"/>
      <c r="H550" s="312"/>
      <c r="I550" s="313"/>
      <c r="J550" s="314"/>
      <c r="K550" s="313"/>
      <c r="L550" s="313"/>
      <c r="M550" s="313"/>
      <c r="N550" s="315"/>
      <c r="O550" s="313"/>
      <c r="P550" s="313"/>
      <c r="Q550" s="313"/>
      <c r="R550" s="313"/>
      <c r="S550" s="316"/>
      <c r="T550" s="317"/>
      <c r="U550" s="318"/>
      <c r="V550" s="319"/>
      <c r="W550" s="288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308"/>
      <c r="AI550" s="220"/>
      <c r="AJ550" s="220"/>
      <c r="AK550" s="220"/>
      <c r="AL550" s="220"/>
      <c r="AM550" s="220"/>
      <c r="AN550" s="220"/>
      <c r="AO550" s="220"/>
      <c r="AP550" s="220"/>
      <c r="AQ550" s="220"/>
      <c r="AR550" s="220"/>
      <c r="AS550" s="220"/>
      <c r="AT550" s="220"/>
      <c r="AU550" s="220"/>
      <c r="AV550" s="220"/>
      <c r="AW550" s="220"/>
      <c r="AX550" s="220"/>
      <c r="AY550" s="220"/>
      <c r="AZ550" s="220"/>
      <c r="BA550" s="220"/>
    </row>
    <row r="551">
      <c r="A551" s="240"/>
      <c r="B551" s="311"/>
      <c r="C551" s="311"/>
      <c r="D551" s="312"/>
      <c r="E551" s="311"/>
      <c r="F551" s="311"/>
      <c r="G551" s="312"/>
      <c r="H551" s="312"/>
      <c r="I551" s="313"/>
      <c r="J551" s="314"/>
      <c r="K551" s="313"/>
      <c r="L551" s="313"/>
      <c r="M551" s="313"/>
      <c r="N551" s="315"/>
      <c r="O551" s="313"/>
      <c r="P551" s="313"/>
      <c r="Q551" s="313"/>
      <c r="R551" s="313"/>
      <c r="S551" s="316"/>
      <c r="T551" s="317"/>
      <c r="U551" s="318"/>
      <c r="V551" s="319"/>
      <c r="W551" s="288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308"/>
      <c r="AI551" s="220"/>
      <c r="AJ551" s="220"/>
      <c r="AK551" s="220"/>
      <c r="AL551" s="220"/>
      <c r="AM551" s="220"/>
      <c r="AN551" s="220"/>
      <c r="AO551" s="220"/>
      <c r="AP551" s="220"/>
      <c r="AQ551" s="220"/>
      <c r="AR551" s="220"/>
      <c r="AS551" s="220"/>
      <c r="AT551" s="220"/>
      <c r="AU551" s="220"/>
      <c r="AV551" s="220"/>
      <c r="AW551" s="220"/>
      <c r="AX551" s="220"/>
      <c r="AY551" s="220"/>
      <c r="AZ551" s="220"/>
      <c r="BA551" s="220"/>
    </row>
    <row r="552">
      <c r="A552" s="240"/>
      <c r="B552" s="311"/>
      <c r="C552" s="311"/>
      <c r="D552" s="312"/>
      <c r="E552" s="311"/>
      <c r="F552" s="311"/>
      <c r="G552" s="312"/>
      <c r="H552" s="312"/>
      <c r="I552" s="313"/>
      <c r="J552" s="314"/>
      <c r="K552" s="313"/>
      <c r="L552" s="313"/>
      <c r="M552" s="313"/>
      <c r="N552" s="315"/>
      <c r="O552" s="313"/>
      <c r="P552" s="313"/>
      <c r="Q552" s="313"/>
      <c r="R552" s="313"/>
      <c r="S552" s="316"/>
      <c r="T552" s="317"/>
      <c r="U552" s="318"/>
      <c r="V552" s="319"/>
      <c r="W552" s="288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308"/>
      <c r="AI552" s="220"/>
      <c r="AJ552" s="220"/>
      <c r="AK552" s="220"/>
      <c r="AL552" s="220"/>
      <c r="AM552" s="220"/>
      <c r="AN552" s="220"/>
      <c r="AO552" s="220"/>
      <c r="AP552" s="220"/>
      <c r="AQ552" s="220"/>
      <c r="AR552" s="220"/>
      <c r="AS552" s="220"/>
      <c r="AT552" s="220"/>
      <c r="AU552" s="220"/>
      <c r="AV552" s="220"/>
      <c r="AW552" s="220"/>
      <c r="AX552" s="220"/>
      <c r="AY552" s="220"/>
      <c r="AZ552" s="220"/>
      <c r="BA552" s="220"/>
    </row>
    <row r="553">
      <c r="A553" s="240"/>
      <c r="B553" s="311"/>
      <c r="C553" s="311"/>
      <c r="D553" s="312"/>
      <c r="E553" s="311"/>
      <c r="F553" s="311"/>
      <c r="G553" s="312"/>
      <c r="H553" s="312"/>
      <c r="I553" s="313"/>
      <c r="J553" s="314"/>
      <c r="K553" s="313"/>
      <c r="L553" s="313"/>
      <c r="M553" s="313"/>
      <c r="N553" s="315"/>
      <c r="O553" s="313"/>
      <c r="P553" s="313"/>
      <c r="Q553" s="313"/>
      <c r="R553" s="313"/>
      <c r="S553" s="316"/>
      <c r="T553" s="317"/>
      <c r="U553" s="318"/>
      <c r="V553" s="319"/>
      <c r="W553" s="288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308"/>
      <c r="AI553" s="220"/>
      <c r="AJ553" s="220"/>
      <c r="AK553" s="220"/>
      <c r="AL553" s="220"/>
      <c r="AM553" s="220"/>
      <c r="AN553" s="220"/>
      <c r="AO553" s="220"/>
      <c r="AP553" s="220"/>
      <c r="AQ553" s="220"/>
      <c r="AR553" s="220"/>
      <c r="AS553" s="220"/>
      <c r="AT553" s="220"/>
      <c r="AU553" s="220"/>
      <c r="AV553" s="220"/>
      <c r="AW553" s="220"/>
      <c r="AX553" s="220"/>
      <c r="AY553" s="220"/>
      <c r="AZ553" s="220"/>
      <c r="BA553" s="220"/>
    </row>
    <row r="554">
      <c r="A554" s="240"/>
      <c r="B554" s="311"/>
      <c r="C554" s="311"/>
      <c r="D554" s="312"/>
      <c r="E554" s="311"/>
      <c r="F554" s="311"/>
      <c r="G554" s="312"/>
      <c r="H554" s="312"/>
      <c r="I554" s="313"/>
      <c r="J554" s="314"/>
      <c r="K554" s="313"/>
      <c r="L554" s="313"/>
      <c r="M554" s="313"/>
      <c r="N554" s="315"/>
      <c r="O554" s="313"/>
      <c r="P554" s="313"/>
      <c r="Q554" s="313"/>
      <c r="R554" s="313"/>
      <c r="S554" s="316"/>
      <c r="T554" s="317"/>
      <c r="U554" s="318"/>
      <c r="V554" s="319"/>
      <c r="W554" s="288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308"/>
      <c r="AI554" s="220"/>
      <c r="AJ554" s="220"/>
      <c r="AK554" s="220"/>
      <c r="AL554" s="220"/>
      <c r="AM554" s="220"/>
      <c r="AN554" s="220"/>
      <c r="AO554" s="220"/>
      <c r="AP554" s="220"/>
      <c r="AQ554" s="220"/>
      <c r="AR554" s="220"/>
      <c r="AS554" s="220"/>
      <c r="AT554" s="220"/>
      <c r="AU554" s="220"/>
      <c r="AV554" s="220"/>
      <c r="AW554" s="220"/>
      <c r="AX554" s="220"/>
      <c r="AY554" s="220"/>
      <c r="AZ554" s="220"/>
      <c r="BA554" s="220"/>
    </row>
    <row r="555">
      <c r="A555" s="240"/>
      <c r="B555" s="311"/>
      <c r="C555" s="311"/>
      <c r="D555" s="312"/>
      <c r="E555" s="311"/>
      <c r="F555" s="311"/>
      <c r="G555" s="312"/>
      <c r="H555" s="312"/>
      <c r="I555" s="313"/>
      <c r="J555" s="314"/>
      <c r="K555" s="313"/>
      <c r="L555" s="313"/>
      <c r="M555" s="313"/>
      <c r="N555" s="315"/>
      <c r="O555" s="313"/>
      <c r="P555" s="313"/>
      <c r="Q555" s="313"/>
      <c r="R555" s="313"/>
      <c r="S555" s="316"/>
      <c r="T555" s="317"/>
      <c r="U555" s="318"/>
      <c r="V555" s="319"/>
      <c r="W555" s="288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308"/>
      <c r="AI555" s="220"/>
      <c r="AJ555" s="220"/>
      <c r="AK555" s="220"/>
      <c r="AL555" s="220"/>
      <c r="AM555" s="220"/>
      <c r="AN555" s="220"/>
      <c r="AO555" s="220"/>
      <c r="AP555" s="220"/>
      <c r="AQ555" s="220"/>
      <c r="AR555" s="220"/>
      <c r="AS555" s="220"/>
      <c r="AT555" s="220"/>
      <c r="AU555" s="220"/>
      <c r="AV555" s="220"/>
      <c r="AW555" s="220"/>
      <c r="AX555" s="220"/>
      <c r="AY555" s="220"/>
      <c r="AZ555" s="220"/>
      <c r="BA555" s="220"/>
    </row>
    <row r="556">
      <c r="A556" s="240"/>
      <c r="B556" s="311"/>
      <c r="C556" s="311"/>
      <c r="D556" s="312"/>
      <c r="E556" s="311"/>
      <c r="F556" s="311"/>
      <c r="G556" s="312"/>
      <c r="H556" s="312"/>
      <c r="I556" s="313"/>
      <c r="J556" s="314"/>
      <c r="K556" s="313"/>
      <c r="L556" s="313"/>
      <c r="M556" s="313"/>
      <c r="N556" s="315"/>
      <c r="O556" s="313"/>
      <c r="P556" s="313"/>
      <c r="Q556" s="313"/>
      <c r="R556" s="313"/>
      <c r="S556" s="316"/>
      <c r="T556" s="317"/>
      <c r="U556" s="318"/>
      <c r="V556" s="319"/>
      <c r="W556" s="288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308"/>
      <c r="AI556" s="220"/>
      <c r="AJ556" s="220"/>
      <c r="AK556" s="220"/>
      <c r="AL556" s="220"/>
      <c r="AM556" s="220"/>
      <c r="AN556" s="220"/>
      <c r="AO556" s="220"/>
      <c r="AP556" s="220"/>
      <c r="AQ556" s="220"/>
      <c r="AR556" s="220"/>
      <c r="AS556" s="220"/>
      <c r="AT556" s="220"/>
      <c r="AU556" s="220"/>
      <c r="AV556" s="220"/>
      <c r="AW556" s="220"/>
      <c r="AX556" s="220"/>
      <c r="AY556" s="220"/>
      <c r="AZ556" s="220"/>
      <c r="BA556" s="220"/>
    </row>
    <row r="557">
      <c r="A557" s="240"/>
      <c r="B557" s="311"/>
      <c r="C557" s="311"/>
      <c r="D557" s="312"/>
      <c r="E557" s="311"/>
      <c r="F557" s="311"/>
      <c r="G557" s="312"/>
      <c r="H557" s="312"/>
      <c r="I557" s="313"/>
      <c r="J557" s="314"/>
      <c r="K557" s="313"/>
      <c r="L557" s="313"/>
      <c r="M557" s="313"/>
      <c r="N557" s="315"/>
      <c r="O557" s="313"/>
      <c r="P557" s="313"/>
      <c r="Q557" s="313"/>
      <c r="R557" s="313"/>
      <c r="S557" s="316"/>
      <c r="T557" s="317"/>
      <c r="U557" s="318"/>
      <c r="V557" s="319"/>
      <c r="W557" s="288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308"/>
      <c r="AI557" s="220"/>
      <c r="AJ557" s="220"/>
      <c r="AK557" s="220"/>
      <c r="AL557" s="220"/>
      <c r="AM557" s="220"/>
      <c r="AN557" s="220"/>
      <c r="AO557" s="220"/>
      <c r="AP557" s="220"/>
      <c r="AQ557" s="220"/>
      <c r="AR557" s="220"/>
      <c r="AS557" s="220"/>
      <c r="AT557" s="220"/>
      <c r="AU557" s="220"/>
      <c r="AV557" s="220"/>
      <c r="AW557" s="220"/>
      <c r="AX557" s="220"/>
      <c r="AY557" s="220"/>
      <c r="AZ557" s="220"/>
      <c r="BA557" s="220"/>
    </row>
    <row r="558">
      <c r="A558" s="240"/>
      <c r="B558" s="311"/>
      <c r="C558" s="311"/>
      <c r="D558" s="312"/>
      <c r="E558" s="311"/>
      <c r="F558" s="311"/>
      <c r="G558" s="312"/>
      <c r="H558" s="312"/>
      <c r="I558" s="313"/>
      <c r="J558" s="314"/>
      <c r="K558" s="313"/>
      <c r="L558" s="313"/>
      <c r="M558" s="313"/>
      <c r="N558" s="315"/>
      <c r="O558" s="313"/>
      <c r="P558" s="313"/>
      <c r="Q558" s="313"/>
      <c r="R558" s="313"/>
      <c r="S558" s="316"/>
      <c r="T558" s="317"/>
      <c r="U558" s="318"/>
      <c r="V558" s="319"/>
      <c r="W558" s="288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308"/>
      <c r="AI558" s="220"/>
      <c r="AJ558" s="220"/>
      <c r="AK558" s="220"/>
      <c r="AL558" s="220"/>
      <c r="AM558" s="220"/>
      <c r="AN558" s="220"/>
      <c r="AO558" s="220"/>
      <c r="AP558" s="220"/>
      <c r="AQ558" s="220"/>
      <c r="AR558" s="220"/>
      <c r="AS558" s="220"/>
      <c r="AT558" s="220"/>
      <c r="AU558" s="220"/>
      <c r="AV558" s="220"/>
      <c r="AW558" s="220"/>
      <c r="AX558" s="220"/>
      <c r="AY558" s="220"/>
      <c r="AZ558" s="220"/>
      <c r="BA558" s="220"/>
    </row>
    <row r="559">
      <c r="A559" s="240"/>
      <c r="B559" s="311"/>
      <c r="C559" s="311"/>
      <c r="D559" s="312"/>
      <c r="E559" s="311"/>
      <c r="F559" s="311"/>
      <c r="G559" s="312"/>
      <c r="H559" s="312"/>
      <c r="I559" s="313"/>
      <c r="J559" s="314"/>
      <c r="K559" s="313"/>
      <c r="L559" s="313"/>
      <c r="M559" s="313"/>
      <c r="N559" s="315"/>
      <c r="O559" s="313"/>
      <c r="P559" s="313"/>
      <c r="Q559" s="313"/>
      <c r="R559" s="313"/>
      <c r="S559" s="316"/>
      <c r="T559" s="317"/>
      <c r="U559" s="318"/>
      <c r="V559" s="319"/>
      <c r="W559" s="288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308"/>
      <c r="AI559" s="220"/>
      <c r="AJ559" s="220"/>
      <c r="AK559" s="220"/>
      <c r="AL559" s="220"/>
      <c r="AM559" s="220"/>
      <c r="AN559" s="220"/>
      <c r="AO559" s="220"/>
      <c r="AP559" s="220"/>
      <c r="AQ559" s="220"/>
      <c r="AR559" s="220"/>
      <c r="AS559" s="220"/>
      <c r="AT559" s="220"/>
      <c r="AU559" s="220"/>
      <c r="AV559" s="220"/>
      <c r="AW559" s="220"/>
      <c r="AX559" s="220"/>
      <c r="AY559" s="220"/>
      <c r="AZ559" s="220"/>
      <c r="BA559" s="220"/>
    </row>
    <row r="560">
      <c r="A560" s="240"/>
      <c r="B560" s="311"/>
      <c r="C560" s="311"/>
      <c r="D560" s="312"/>
      <c r="E560" s="311"/>
      <c r="F560" s="311"/>
      <c r="G560" s="312"/>
      <c r="H560" s="312"/>
      <c r="I560" s="313"/>
      <c r="J560" s="314"/>
      <c r="K560" s="313"/>
      <c r="L560" s="313"/>
      <c r="M560" s="313"/>
      <c r="N560" s="315"/>
      <c r="O560" s="313"/>
      <c r="P560" s="313"/>
      <c r="Q560" s="313"/>
      <c r="R560" s="313"/>
      <c r="S560" s="316"/>
      <c r="T560" s="317"/>
      <c r="U560" s="318"/>
      <c r="V560" s="319"/>
      <c r="W560" s="288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308"/>
      <c r="AI560" s="220"/>
      <c r="AJ560" s="220"/>
      <c r="AK560" s="220"/>
      <c r="AL560" s="220"/>
      <c r="AM560" s="220"/>
      <c r="AN560" s="220"/>
      <c r="AO560" s="220"/>
      <c r="AP560" s="220"/>
      <c r="AQ560" s="220"/>
      <c r="AR560" s="220"/>
      <c r="AS560" s="220"/>
      <c r="AT560" s="220"/>
      <c r="AU560" s="220"/>
      <c r="AV560" s="220"/>
      <c r="AW560" s="220"/>
      <c r="AX560" s="220"/>
      <c r="AY560" s="220"/>
      <c r="AZ560" s="220"/>
      <c r="BA560" s="220"/>
    </row>
    <row r="561">
      <c r="A561" s="240"/>
      <c r="B561" s="311"/>
      <c r="C561" s="311"/>
      <c r="D561" s="312"/>
      <c r="E561" s="311"/>
      <c r="F561" s="311"/>
      <c r="G561" s="312"/>
      <c r="H561" s="312"/>
      <c r="I561" s="313"/>
      <c r="J561" s="314"/>
      <c r="K561" s="313"/>
      <c r="L561" s="313"/>
      <c r="M561" s="313"/>
      <c r="N561" s="315"/>
      <c r="O561" s="313"/>
      <c r="P561" s="313"/>
      <c r="Q561" s="313"/>
      <c r="R561" s="313"/>
      <c r="S561" s="316"/>
      <c r="T561" s="317"/>
      <c r="U561" s="318"/>
      <c r="V561" s="319"/>
      <c r="W561" s="288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308"/>
      <c r="AI561" s="220"/>
      <c r="AJ561" s="220"/>
      <c r="AK561" s="220"/>
      <c r="AL561" s="220"/>
      <c r="AM561" s="220"/>
      <c r="AN561" s="220"/>
      <c r="AO561" s="220"/>
      <c r="AP561" s="220"/>
      <c r="AQ561" s="220"/>
      <c r="AR561" s="220"/>
      <c r="AS561" s="220"/>
      <c r="AT561" s="220"/>
      <c r="AU561" s="220"/>
      <c r="AV561" s="220"/>
      <c r="AW561" s="220"/>
      <c r="AX561" s="220"/>
      <c r="AY561" s="220"/>
      <c r="AZ561" s="220"/>
      <c r="BA561" s="220"/>
    </row>
    <row r="562">
      <c r="A562" s="240"/>
      <c r="B562" s="311"/>
      <c r="C562" s="311"/>
      <c r="D562" s="312"/>
      <c r="E562" s="311"/>
      <c r="F562" s="311"/>
      <c r="G562" s="312"/>
      <c r="H562" s="312"/>
      <c r="I562" s="313"/>
      <c r="J562" s="314"/>
      <c r="K562" s="313"/>
      <c r="L562" s="313"/>
      <c r="M562" s="313"/>
      <c r="N562" s="315"/>
      <c r="O562" s="313"/>
      <c r="P562" s="313"/>
      <c r="Q562" s="313"/>
      <c r="R562" s="313"/>
      <c r="S562" s="316"/>
      <c r="T562" s="317"/>
      <c r="U562" s="318"/>
      <c r="V562" s="319"/>
      <c r="W562" s="288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308"/>
      <c r="AI562" s="220"/>
      <c r="AJ562" s="220"/>
      <c r="AK562" s="220"/>
      <c r="AL562" s="220"/>
      <c r="AM562" s="220"/>
      <c r="AN562" s="220"/>
      <c r="AO562" s="220"/>
      <c r="AP562" s="220"/>
      <c r="AQ562" s="220"/>
      <c r="AR562" s="220"/>
      <c r="AS562" s="220"/>
      <c r="AT562" s="220"/>
      <c r="AU562" s="220"/>
      <c r="AV562" s="220"/>
      <c r="AW562" s="220"/>
      <c r="AX562" s="220"/>
      <c r="AY562" s="220"/>
      <c r="AZ562" s="220"/>
      <c r="BA562" s="220"/>
    </row>
    <row r="563">
      <c r="A563" s="240"/>
      <c r="B563" s="311"/>
      <c r="C563" s="311"/>
      <c r="D563" s="312"/>
      <c r="E563" s="311"/>
      <c r="F563" s="311"/>
      <c r="G563" s="312"/>
      <c r="H563" s="312"/>
      <c r="I563" s="313"/>
      <c r="J563" s="314"/>
      <c r="K563" s="313"/>
      <c r="L563" s="313"/>
      <c r="M563" s="313"/>
      <c r="N563" s="315"/>
      <c r="O563" s="313"/>
      <c r="P563" s="313"/>
      <c r="Q563" s="313"/>
      <c r="R563" s="313"/>
      <c r="S563" s="316"/>
      <c r="T563" s="317"/>
      <c r="U563" s="318"/>
      <c r="V563" s="319"/>
      <c r="W563" s="288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308"/>
      <c r="AI563" s="220"/>
      <c r="AJ563" s="220"/>
      <c r="AK563" s="220"/>
      <c r="AL563" s="220"/>
      <c r="AM563" s="220"/>
      <c r="AN563" s="220"/>
      <c r="AO563" s="220"/>
      <c r="AP563" s="220"/>
      <c r="AQ563" s="220"/>
      <c r="AR563" s="220"/>
      <c r="AS563" s="220"/>
      <c r="AT563" s="220"/>
      <c r="AU563" s="220"/>
      <c r="AV563" s="220"/>
      <c r="AW563" s="220"/>
      <c r="AX563" s="220"/>
      <c r="AY563" s="220"/>
      <c r="AZ563" s="220"/>
      <c r="BA563" s="220"/>
    </row>
    <row r="564">
      <c r="A564" s="240"/>
      <c r="B564" s="311"/>
      <c r="C564" s="311"/>
      <c r="D564" s="312"/>
      <c r="E564" s="311"/>
      <c r="F564" s="311"/>
      <c r="G564" s="312"/>
      <c r="H564" s="312"/>
      <c r="I564" s="313"/>
      <c r="J564" s="314"/>
      <c r="K564" s="313"/>
      <c r="L564" s="313"/>
      <c r="M564" s="313"/>
      <c r="N564" s="315"/>
      <c r="O564" s="313"/>
      <c r="P564" s="313"/>
      <c r="Q564" s="313"/>
      <c r="R564" s="313"/>
      <c r="S564" s="316"/>
      <c r="T564" s="317"/>
      <c r="U564" s="318"/>
      <c r="V564" s="319"/>
      <c r="W564" s="288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308"/>
      <c r="AI564" s="220"/>
      <c r="AJ564" s="220"/>
      <c r="AK564" s="220"/>
      <c r="AL564" s="220"/>
      <c r="AM564" s="220"/>
      <c r="AN564" s="220"/>
      <c r="AO564" s="220"/>
      <c r="AP564" s="220"/>
      <c r="AQ564" s="220"/>
      <c r="AR564" s="220"/>
      <c r="AS564" s="220"/>
      <c r="AT564" s="220"/>
      <c r="AU564" s="220"/>
      <c r="AV564" s="220"/>
      <c r="AW564" s="220"/>
      <c r="AX564" s="220"/>
      <c r="AY564" s="220"/>
      <c r="AZ564" s="220"/>
      <c r="BA564" s="220"/>
    </row>
    <row r="565">
      <c r="A565" s="240"/>
      <c r="B565" s="311"/>
      <c r="C565" s="311"/>
      <c r="D565" s="312"/>
      <c r="E565" s="311"/>
      <c r="F565" s="311"/>
      <c r="G565" s="312"/>
      <c r="H565" s="312"/>
      <c r="I565" s="313"/>
      <c r="J565" s="314"/>
      <c r="K565" s="313"/>
      <c r="L565" s="313"/>
      <c r="M565" s="313"/>
      <c r="N565" s="315"/>
      <c r="O565" s="313"/>
      <c r="P565" s="313"/>
      <c r="Q565" s="313"/>
      <c r="R565" s="313"/>
      <c r="S565" s="316"/>
      <c r="T565" s="317"/>
      <c r="U565" s="318"/>
      <c r="V565" s="319"/>
      <c r="W565" s="288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308"/>
      <c r="AI565" s="220"/>
      <c r="AJ565" s="220"/>
      <c r="AK565" s="220"/>
      <c r="AL565" s="220"/>
      <c r="AM565" s="220"/>
      <c r="AN565" s="220"/>
      <c r="AO565" s="220"/>
      <c r="AP565" s="220"/>
      <c r="AQ565" s="220"/>
      <c r="AR565" s="220"/>
      <c r="AS565" s="220"/>
      <c r="AT565" s="220"/>
      <c r="AU565" s="220"/>
      <c r="AV565" s="220"/>
      <c r="AW565" s="220"/>
      <c r="AX565" s="220"/>
      <c r="AY565" s="220"/>
      <c r="AZ565" s="220"/>
      <c r="BA565" s="220"/>
    </row>
    <row r="566">
      <c r="A566" s="240"/>
      <c r="B566" s="311"/>
      <c r="C566" s="311"/>
      <c r="D566" s="312"/>
      <c r="E566" s="311"/>
      <c r="F566" s="311"/>
      <c r="G566" s="312"/>
      <c r="H566" s="312"/>
      <c r="I566" s="313"/>
      <c r="J566" s="314"/>
      <c r="K566" s="313"/>
      <c r="L566" s="313"/>
      <c r="M566" s="313"/>
      <c r="N566" s="315"/>
      <c r="O566" s="313"/>
      <c r="P566" s="313"/>
      <c r="Q566" s="313"/>
      <c r="R566" s="313"/>
      <c r="S566" s="316"/>
      <c r="T566" s="317"/>
      <c r="U566" s="318"/>
      <c r="V566" s="319"/>
      <c r="W566" s="288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308"/>
      <c r="AI566" s="220"/>
      <c r="AJ566" s="220"/>
      <c r="AK566" s="220"/>
      <c r="AL566" s="220"/>
      <c r="AM566" s="220"/>
      <c r="AN566" s="220"/>
      <c r="AO566" s="220"/>
      <c r="AP566" s="220"/>
      <c r="AQ566" s="220"/>
      <c r="AR566" s="220"/>
      <c r="AS566" s="220"/>
      <c r="AT566" s="220"/>
      <c r="AU566" s="220"/>
      <c r="AV566" s="220"/>
      <c r="AW566" s="220"/>
      <c r="AX566" s="220"/>
      <c r="AY566" s="220"/>
      <c r="AZ566" s="220"/>
      <c r="BA566" s="220"/>
    </row>
    <row r="567">
      <c r="A567" s="240"/>
      <c r="B567" s="311"/>
      <c r="C567" s="311"/>
      <c r="D567" s="312"/>
      <c r="E567" s="311"/>
      <c r="F567" s="311"/>
      <c r="G567" s="312"/>
      <c r="H567" s="312"/>
      <c r="I567" s="313"/>
      <c r="J567" s="314"/>
      <c r="K567" s="313"/>
      <c r="L567" s="313"/>
      <c r="M567" s="313"/>
      <c r="N567" s="315"/>
      <c r="O567" s="313"/>
      <c r="P567" s="313"/>
      <c r="Q567" s="313"/>
      <c r="R567" s="313"/>
      <c r="S567" s="316"/>
      <c r="T567" s="317"/>
      <c r="U567" s="318"/>
      <c r="V567" s="319"/>
      <c r="W567" s="288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308"/>
      <c r="AI567" s="220"/>
      <c r="AJ567" s="220"/>
      <c r="AK567" s="220"/>
      <c r="AL567" s="220"/>
      <c r="AM567" s="220"/>
      <c r="AN567" s="220"/>
      <c r="AO567" s="220"/>
      <c r="AP567" s="220"/>
      <c r="AQ567" s="220"/>
      <c r="AR567" s="220"/>
      <c r="AS567" s="220"/>
      <c r="AT567" s="220"/>
      <c r="AU567" s="220"/>
      <c r="AV567" s="220"/>
      <c r="AW567" s="220"/>
      <c r="AX567" s="220"/>
      <c r="AY567" s="220"/>
      <c r="AZ567" s="220"/>
      <c r="BA567" s="220"/>
    </row>
    <row r="568">
      <c r="A568" s="240"/>
      <c r="B568" s="311"/>
      <c r="C568" s="311"/>
      <c r="D568" s="312"/>
      <c r="E568" s="311"/>
      <c r="F568" s="311"/>
      <c r="G568" s="312"/>
      <c r="H568" s="312"/>
      <c r="I568" s="313"/>
      <c r="J568" s="314"/>
      <c r="K568" s="313"/>
      <c r="L568" s="313"/>
      <c r="M568" s="313"/>
      <c r="N568" s="315"/>
      <c r="O568" s="313"/>
      <c r="P568" s="313"/>
      <c r="Q568" s="313"/>
      <c r="R568" s="313"/>
      <c r="S568" s="316"/>
      <c r="T568" s="317"/>
      <c r="U568" s="318"/>
      <c r="V568" s="319"/>
      <c r="W568" s="288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308"/>
      <c r="AI568" s="220"/>
      <c r="AJ568" s="220"/>
      <c r="AK568" s="220"/>
      <c r="AL568" s="220"/>
      <c r="AM568" s="220"/>
      <c r="AN568" s="220"/>
      <c r="AO568" s="220"/>
      <c r="AP568" s="220"/>
      <c r="AQ568" s="220"/>
      <c r="AR568" s="220"/>
      <c r="AS568" s="220"/>
      <c r="AT568" s="220"/>
      <c r="AU568" s="220"/>
      <c r="AV568" s="220"/>
      <c r="AW568" s="220"/>
      <c r="AX568" s="220"/>
      <c r="AY568" s="220"/>
      <c r="AZ568" s="220"/>
      <c r="BA568" s="220"/>
    </row>
    <row r="569">
      <c r="A569" s="240"/>
      <c r="B569" s="311"/>
      <c r="C569" s="311"/>
      <c r="D569" s="312"/>
      <c r="E569" s="311"/>
      <c r="F569" s="311"/>
      <c r="G569" s="312"/>
      <c r="H569" s="312"/>
      <c r="I569" s="313"/>
      <c r="J569" s="314"/>
      <c r="K569" s="313"/>
      <c r="L569" s="313"/>
      <c r="M569" s="313"/>
      <c r="N569" s="315"/>
      <c r="O569" s="313"/>
      <c r="P569" s="313"/>
      <c r="Q569" s="313"/>
      <c r="R569" s="313"/>
      <c r="S569" s="316"/>
      <c r="T569" s="317"/>
      <c r="U569" s="318"/>
      <c r="V569" s="319"/>
      <c r="W569" s="288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308"/>
      <c r="AI569" s="220"/>
      <c r="AJ569" s="220"/>
      <c r="AK569" s="220"/>
      <c r="AL569" s="220"/>
      <c r="AM569" s="220"/>
      <c r="AN569" s="220"/>
      <c r="AO569" s="220"/>
      <c r="AP569" s="220"/>
      <c r="AQ569" s="220"/>
      <c r="AR569" s="220"/>
      <c r="AS569" s="220"/>
      <c r="AT569" s="220"/>
      <c r="AU569" s="220"/>
      <c r="AV569" s="220"/>
      <c r="AW569" s="220"/>
      <c r="AX569" s="220"/>
      <c r="AY569" s="220"/>
      <c r="AZ569" s="220"/>
      <c r="BA569" s="220"/>
    </row>
    <row r="570">
      <c r="A570" s="240"/>
      <c r="B570" s="311"/>
      <c r="C570" s="311"/>
      <c r="D570" s="312"/>
      <c r="E570" s="311"/>
      <c r="F570" s="311"/>
      <c r="G570" s="312"/>
      <c r="H570" s="312"/>
      <c r="I570" s="313"/>
      <c r="J570" s="314"/>
      <c r="K570" s="313"/>
      <c r="L570" s="313"/>
      <c r="M570" s="313"/>
      <c r="N570" s="315"/>
      <c r="O570" s="313"/>
      <c r="P570" s="313"/>
      <c r="Q570" s="313"/>
      <c r="R570" s="313"/>
      <c r="S570" s="316"/>
      <c r="T570" s="317"/>
      <c r="U570" s="318"/>
      <c r="V570" s="319"/>
      <c r="W570" s="288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308"/>
      <c r="AI570" s="220"/>
      <c r="AJ570" s="220"/>
      <c r="AK570" s="220"/>
      <c r="AL570" s="220"/>
      <c r="AM570" s="220"/>
      <c r="AN570" s="220"/>
      <c r="AO570" s="220"/>
      <c r="AP570" s="220"/>
      <c r="AQ570" s="220"/>
      <c r="AR570" s="220"/>
      <c r="AS570" s="220"/>
      <c r="AT570" s="220"/>
      <c r="AU570" s="220"/>
      <c r="AV570" s="220"/>
      <c r="AW570" s="220"/>
      <c r="AX570" s="220"/>
      <c r="AY570" s="220"/>
      <c r="AZ570" s="220"/>
      <c r="BA570" s="220"/>
    </row>
    <row r="571">
      <c r="A571" s="240"/>
      <c r="B571" s="311"/>
      <c r="C571" s="311"/>
      <c r="D571" s="312"/>
      <c r="E571" s="311"/>
      <c r="F571" s="311"/>
      <c r="G571" s="312"/>
      <c r="H571" s="312"/>
      <c r="I571" s="313"/>
      <c r="J571" s="314"/>
      <c r="K571" s="313"/>
      <c r="L571" s="313"/>
      <c r="M571" s="313"/>
      <c r="N571" s="315"/>
      <c r="O571" s="313"/>
      <c r="P571" s="313"/>
      <c r="Q571" s="313"/>
      <c r="R571" s="313"/>
      <c r="S571" s="316"/>
      <c r="T571" s="317"/>
      <c r="U571" s="318"/>
      <c r="V571" s="319"/>
      <c r="W571" s="288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308"/>
      <c r="AI571" s="220"/>
      <c r="AJ571" s="220"/>
      <c r="AK571" s="220"/>
      <c r="AL571" s="220"/>
      <c r="AM571" s="220"/>
      <c r="AN571" s="220"/>
      <c r="AO571" s="220"/>
      <c r="AP571" s="220"/>
      <c r="AQ571" s="220"/>
      <c r="AR571" s="220"/>
      <c r="AS571" s="220"/>
      <c r="AT571" s="220"/>
      <c r="AU571" s="220"/>
      <c r="AV571" s="220"/>
      <c r="AW571" s="220"/>
      <c r="AX571" s="220"/>
      <c r="AY571" s="220"/>
      <c r="AZ571" s="220"/>
      <c r="BA571" s="220"/>
    </row>
    <row r="572">
      <c r="A572" s="240"/>
      <c r="B572" s="311"/>
      <c r="C572" s="311"/>
      <c r="D572" s="312"/>
      <c r="E572" s="311"/>
      <c r="F572" s="311"/>
      <c r="G572" s="312"/>
      <c r="H572" s="312"/>
      <c r="I572" s="313"/>
      <c r="J572" s="314"/>
      <c r="K572" s="313"/>
      <c r="L572" s="313"/>
      <c r="M572" s="313"/>
      <c r="N572" s="315"/>
      <c r="O572" s="313"/>
      <c r="P572" s="313"/>
      <c r="Q572" s="313"/>
      <c r="R572" s="313"/>
      <c r="S572" s="316"/>
      <c r="T572" s="317"/>
      <c r="U572" s="318"/>
      <c r="V572" s="319"/>
      <c r="W572" s="288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308"/>
      <c r="AI572" s="220"/>
      <c r="AJ572" s="220"/>
      <c r="AK572" s="220"/>
      <c r="AL572" s="220"/>
      <c r="AM572" s="220"/>
      <c r="AN572" s="220"/>
      <c r="AO572" s="220"/>
      <c r="AP572" s="220"/>
      <c r="AQ572" s="220"/>
      <c r="AR572" s="220"/>
      <c r="AS572" s="220"/>
      <c r="AT572" s="220"/>
      <c r="AU572" s="220"/>
      <c r="AV572" s="220"/>
      <c r="AW572" s="220"/>
      <c r="AX572" s="220"/>
      <c r="AY572" s="220"/>
      <c r="AZ572" s="220"/>
      <c r="BA572" s="220"/>
    </row>
    <row r="573">
      <c r="A573" s="240"/>
      <c r="B573" s="311"/>
      <c r="C573" s="311"/>
      <c r="D573" s="312"/>
      <c r="E573" s="311"/>
      <c r="F573" s="311"/>
      <c r="G573" s="312"/>
      <c r="H573" s="312"/>
      <c r="I573" s="313"/>
      <c r="J573" s="314"/>
      <c r="K573" s="313"/>
      <c r="L573" s="313"/>
      <c r="M573" s="313"/>
      <c r="N573" s="315"/>
      <c r="O573" s="313"/>
      <c r="P573" s="313"/>
      <c r="Q573" s="313"/>
      <c r="R573" s="313"/>
      <c r="S573" s="316"/>
      <c r="T573" s="317"/>
      <c r="U573" s="318"/>
      <c r="V573" s="319"/>
      <c r="W573" s="288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308"/>
      <c r="AI573" s="220"/>
      <c r="AJ573" s="220"/>
      <c r="AK573" s="220"/>
      <c r="AL573" s="220"/>
      <c r="AM573" s="220"/>
      <c r="AN573" s="220"/>
      <c r="AO573" s="220"/>
      <c r="AP573" s="220"/>
      <c r="AQ573" s="220"/>
      <c r="AR573" s="220"/>
      <c r="AS573" s="220"/>
      <c r="AT573" s="220"/>
      <c r="AU573" s="220"/>
      <c r="AV573" s="220"/>
      <c r="AW573" s="220"/>
      <c r="AX573" s="220"/>
      <c r="AY573" s="220"/>
      <c r="AZ573" s="220"/>
      <c r="BA573" s="220"/>
    </row>
    <row r="574">
      <c r="A574" s="240"/>
      <c r="B574" s="311"/>
      <c r="C574" s="311"/>
      <c r="D574" s="312"/>
      <c r="E574" s="311"/>
      <c r="F574" s="311"/>
      <c r="G574" s="312"/>
      <c r="H574" s="312"/>
      <c r="I574" s="313"/>
      <c r="J574" s="314"/>
      <c r="K574" s="313"/>
      <c r="L574" s="313"/>
      <c r="M574" s="313"/>
      <c r="N574" s="315"/>
      <c r="O574" s="313"/>
      <c r="P574" s="313"/>
      <c r="Q574" s="313"/>
      <c r="R574" s="313"/>
      <c r="S574" s="316"/>
      <c r="T574" s="317"/>
      <c r="U574" s="318"/>
      <c r="V574" s="319"/>
      <c r="W574" s="288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308"/>
      <c r="AI574" s="220"/>
      <c r="AJ574" s="220"/>
      <c r="AK574" s="220"/>
      <c r="AL574" s="220"/>
      <c r="AM574" s="220"/>
      <c r="AN574" s="220"/>
      <c r="AO574" s="220"/>
      <c r="AP574" s="220"/>
      <c r="AQ574" s="220"/>
      <c r="AR574" s="220"/>
      <c r="AS574" s="220"/>
      <c r="AT574" s="220"/>
      <c r="AU574" s="220"/>
      <c r="AV574" s="220"/>
      <c r="AW574" s="220"/>
      <c r="AX574" s="220"/>
      <c r="AY574" s="220"/>
      <c r="AZ574" s="220"/>
      <c r="BA574" s="220"/>
    </row>
    <row r="575">
      <c r="A575" s="240"/>
      <c r="B575" s="311"/>
      <c r="C575" s="311"/>
      <c r="D575" s="312"/>
      <c r="E575" s="311"/>
      <c r="F575" s="311"/>
      <c r="G575" s="312"/>
      <c r="H575" s="312"/>
      <c r="I575" s="313"/>
      <c r="J575" s="314"/>
      <c r="K575" s="313"/>
      <c r="L575" s="313"/>
      <c r="M575" s="313"/>
      <c r="N575" s="315"/>
      <c r="O575" s="313"/>
      <c r="P575" s="313"/>
      <c r="Q575" s="313"/>
      <c r="R575" s="313"/>
      <c r="S575" s="316"/>
      <c r="T575" s="317"/>
      <c r="U575" s="318"/>
      <c r="V575" s="319"/>
      <c r="W575" s="288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308"/>
      <c r="AI575" s="220"/>
      <c r="AJ575" s="220"/>
      <c r="AK575" s="220"/>
      <c r="AL575" s="220"/>
      <c r="AM575" s="220"/>
      <c r="AN575" s="220"/>
      <c r="AO575" s="220"/>
      <c r="AP575" s="220"/>
      <c r="AQ575" s="220"/>
      <c r="AR575" s="220"/>
      <c r="AS575" s="220"/>
      <c r="AT575" s="220"/>
      <c r="AU575" s="220"/>
      <c r="AV575" s="220"/>
      <c r="AW575" s="220"/>
      <c r="AX575" s="220"/>
      <c r="AY575" s="220"/>
      <c r="AZ575" s="220"/>
      <c r="BA575" s="220"/>
    </row>
    <row r="576">
      <c r="A576" s="240"/>
      <c r="B576" s="311"/>
      <c r="C576" s="311"/>
      <c r="D576" s="312"/>
      <c r="E576" s="311"/>
      <c r="F576" s="311"/>
      <c r="G576" s="312"/>
      <c r="H576" s="312"/>
      <c r="I576" s="313"/>
      <c r="J576" s="314"/>
      <c r="K576" s="313"/>
      <c r="L576" s="313"/>
      <c r="M576" s="313"/>
      <c r="N576" s="315"/>
      <c r="O576" s="313"/>
      <c r="P576" s="313"/>
      <c r="Q576" s="313"/>
      <c r="R576" s="313"/>
      <c r="S576" s="316"/>
      <c r="T576" s="317"/>
      <c r="U576" s="318"/>
      <c r="V576" s="319"/>
      <c r="W576" s="288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308"/>
      <c r="AI576" s="220"/>
      <c r="AJ576" s="220"/>
      <c r="AK576" s="220"/>
      <c r="AL576" s="220"/>
      <c r="AM576" s="220"/>
      <c r="AN576" s="220"/>
      <c r="AO576" s="220"/>
      <c r="AP576" s="220"/>
      <c r="AQ576" s="220"/>
      <c r="AR576" s="220"/>
      <c r="AS576" s="220"/>
      <c r="AT576" s="220"/>
      <c r="AU576" s="220"/>
      <c r="AV576" s="220"/>
      <c r="AW576" s="220"/>
      <c r="AX576" s="220"/>
      <c r="AY576" s="220"/>
      <c r="AZ576" s="220"/>
      <c r="BA576" s="220"/>
    </row>
    <row r="577">
      <c r="A577" s="240"/>
      <c r="B577" s="311"/>
      <c r="C577" s="311"/>
      <c r="D577" s="312"/>
      <c r="E577" s="311"/>
      <c r="F577" s="311"/>
      <c r="G577" s="312"/>
      <c r="H577" s="312"/>
      <c r="I577" s="313"/>
      <c r="J577" s="314"/>
      <c r="K577" s="313"/>
      <c r="L577" s="313"/>
      <c r="M577" s="313"/>
      <c r="N577" s="315"/>
      <c r="O577" s="313"/>
      <c r="P577" s="313"/>
      <c r="Q577" s="313"/>
      <c r="R577" s="313"/>
      <c r="S577" s="316"/>
      <c r="T577" s="317"/>
      <c r="U577" s="318"/>
      <c r="V577" s="319"/>
      <c r="W577" s="288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308"/>
      <c r="AI577" s="220"/>
      <c r="AJ577" s="220"/>
      <c r="AK577" s="220"/>
      <c r="AL577" s="220"/>
      <c r="AM577" s="220"/>
      <c r="AN577" s="220"/>
      <c r="AO577" s="220"/>
      <c r="AP577" s="220"/>
      <c r="AQ577" s="220"/>
      <c r="AR577" s="220"/>
      <c r="AS577" s="220"/>
      <c r="AT577" s="220"/>
      <c r="AU577" s="220"/>
      <c r="AV577" s="220"/>
      <c r="AW577" s="220"/>
      <c r="AX577" s="220"/>
      <c r="AY577" s="220"/>
      <c r="AZ577" s="220"/>
      <c r="BA577" s="220"/>
    </row>
    <row r="578">
      <c r="A578" s="240"/>
      <c r="B578" s="311"/>
      <c r="C578" s="311"/>
      <c r="D578" s="312"/>
      <c r="E578" s="311"/>
      <c r="F578" s="311"/>
      <c r="G578" s="312"/>
      <c r="H578" s="312"/>
      <c r="I578" s="313"/>
      <c r="J578" s="314"/>
      <c r="K578" s="313"/>
      <c r="L578" s="313"/>
      <c r="M578" s="313"/>
      <c r="N578" s="315"/>
      <c r="O578" s="313"/>
      <c r="P578" s="313"/>
      <c r="Q578" s="313"/>
      <c r="R578" s="313"/>
      <c r="S578" s="316"/>
      <c r="T578" s="317"/>
      <c r="U578" s="318"/>
      <c r="V578" s="319"/>
      <c r="W578" s="288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308"/>
      <c r="AI578" s="220"/>
      <c r="AJ578" s="220"/>
      <c r="AK578" s="220"/>
      <c r="AL578" s="220"/>
      <c r="AM578" s="220"/>
      <c r="AN578" s="220"/>
      <c r="AO578" s="220"/>
      <c r="AP578" s="220"/>
      <c r="AQ578" s="220"/>
      <c r="AR578" s="220"/>
      <c r="AS578" s="220"/>
      <c r="AT578" s="220"/>
      <c r="AU578" s="220"/>
      <c r="AV578" s="220"/>
      <c r="AW578" s="220"/>
      <c r="AX578" s="220"/>
      <c r="AY578" s="220"/>
      <c r="AZ578" s="220"/>
      <c r="BA578" s="220"/>
    </row>
    <row r="579">
      <c r="A579" s="240"/>
      <c r="B579" s="311"/>
      <c r="C579" s="311"/>
      <c r="D579" s="312"/>
      <c r="E579" s="311"/>
      <c r="F579" s="311"/>
      <c r="G579" s="312"/>
      <c r="H579" s="312"/>
      <c r="I579" s="313"/>
      <c r="J579" s="314"/>
      <c r="K579" s="313"/>
      <c r="L579" s="313"/>
      <c r="M579" s="313"/>
      <c r="N579" s="315"/>
      <c r="O579" s="313"/>
      <c r="P579" s="313"/>
      <c r="Q579" s="313"/>
      <c r="R579" s="313"/>
      <c r="S579" s="316"/>
      <c r="T579" s="317"/>
      <c r="U579" s="318"/>
      <c r="V579" s="319"/>
      <c r="W579" s="288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308"/>
      <c r="AI579" s="220"/>
      <c r="AJ579" s="220"/>
      <c r="AK579" s="220"/>
      <c r="AL579" s="220"/>
      <c r="AM579" s="220"/>
      <c r="AN579" s="220"/>
      <c r="AO579" s="220"/>
      <c r="AP579" s="220"/>
      <c r="AQ579" s="220"/>
      <c r="AR579" s="220"/>
      <c r="AS579" s="220"/>
      <c r="AT579" s="220"/>
      <c r="AU579" s="220"/>
      <c r="AV579" s="220"/>
      <c r="AW579" s="220"/>
      <c r="AX579" s="220"/>
      <c r="AY579" s="220"/>
      <c r="AZ579" s="220"/>
      <c r="BA579" s="220"/>
    </row>
    <row r="580">
      <c r="A580" s="240"/>
      <c r="B580" s="311"/>
      <c r="C580" s="311"/>
      <c r="D580" s="312"/>
      <c r="E580" s="311"/>
      <c r="F580" s="311"/>
      <c r="G580" s="312"/>
      <c r="H580" s="312"/>
      <c r="I580" s="313"/>
      <c r="J580" s="314"/>
      <c r="K580" s="313"/>
      <c r="L580" s="313"/>
      <c r="M580" s="313"/>
      <c r="N580" s="315"/>
      <c r="O580" s="313"/>
      <c r="P580" s="313"/>
      <c r="Q580" s="313"/>
      <c r="R580" s="313"/>
      <c r="S580" s="316"/>
      <c r="T580" s="317"/>
      <c r="U580" s="318"/>
      <c r="V580" s="319"/>
      <c r="W580" s="288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308"/>
      <c r="AI580" s="220"/>
      <c r="AJ580" s="220"/>
      <c r="AK580" s="220"/>
      <c r="AL580" s="220"/>
      <c r="AM580" s="220"/>
      <c r="AN580" s="220"/>
      <c r="AO580" s="220"/>
      <c r="AP580" s="220"/>
      <c r="AQ580" s="220"/>
      <c r="AR580" s="220"/>
      <c r="AS580" s="220"/>
      <c r="AT580" s="220"/>
      <c r="AU580" s="220"/>
      <c r="AV580" s="220"/>
      <c r="AW580" s="220"/>
      <c r="AX580" s="220"/>
      <c r="AY580" s="220"/>
      <c r="AZ580" s="220"/>
      <c r="BA580" s="220"/>
    </row>
    <row r="581">
      <c r="A581" s="240"/>
      <c r="B581" s="311"/>
      <c r="C581" s="311"/>
      <c r="D581" s="312"/>
      <c r="E581" s="311"/>
      <c r="F581" s="311"/>
      <c r="G581" s="312"/>
      <c r="H581" s="312"/>
      <c r="I581" s="313"/>
      <c r="J581" s="314"/>
      <c r="K581" s="313"/>
      <c r="L581" s="313"/>
      <c r="M581" s="313"/>
      <c r="N581" s="315"/>
      <c r="O581" s="313"/>
      <c r="P581" s="313"/>
      <c r="Q581" s="313"/>
      <c r="R581" s="313"/>
      <c r="S581" s="316"/>
      <c r="T581" s="317"/>
      <c r="U581" s="318"/>
      <c r="V581" s="319"/>
      <c r="W581" s="288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308"/>
      <c r="AI581" s="220"/>
      <c r="AJ581" s="220"/>
      <c r="AK581" s="220"/>
      <c r="AL581" s="220"/>
      <c r="AM581" s="220"/>
      <c r="AN581" s="220"/>
      <c r="AO581" s="220"/>
      <c r="AP581" s="220"/>
      <c r="AQ581" s="220"/>
      <c r="AR581" s="220"/>
      <c r="AS581" s="220"/>
      <c r="AT581" s="220"/>
      <c r="AU581" s="220"/>
      <c r="AV581" s="220"/>
      <c r="AW581" s="220"/>
      <c r="AX581" s="220"/>
      <c r="AY581" s="220"/>
      <c r="AZ581" s="220"/>
      <c r="BA581" s="220"/>
    </row>
    <row r="582">
      <c r="A582" s="240"/>
      <c r="B582" s="311"/>
      <c r="C582" s="311"/>
      <c r="D582" s="312"/>
      <c r="E582" s="311"/>
      <c r="F582" s="311"/>
      <c r="G582" s="312"/>
      <c r="H582" s="312"/>
      <c r="I582" s="313"/>
      <c r="J582" s="314"/>
      <c r="K582" s="313"/>
      <c r="L582" s="313"/>
      <c r="M582" s="313"/>
      <c r="N582" s="315"/>
      <c r="O582" s="313"/>
      <c r="P582" s="313"/>
      <c r="Q582" s="313"/>
      <c r="R582" s="313"/>
      <c r="S582" s="316"/>
      <c r="T582" s="317"/>
      <c r="U582" s="318"/>
      <c r="V582" s="319"/>
      <c r="W582" s="288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308"/>
      <c r="AI582" s="220"/>
      <c r="AJ582" s="220"/>
      <c r="AK582" s="220"/>
      <c r="AL582" s="220"/>
      <c r="AM582" s="220"/>
      <c r="AN582" s="220"/>
      <c r="AO582" s="220"/>
      <c r="AP582" s="220"/>
      <c r="AQ582" s="220"/>
      <c r="AR582" s="220"/>
      <c r="AS582" s="220"/>
      <c r="AT582" s="220"/>
      <c r="AU582" s="220"/>
      <c r="AV582" s="220"/>
      <c r="AW582" s="220"/>
      <c r="AX582" s="220"/>
      <c r="AY582" s="220"/>
      <c r="AZ582" s="220"/>
      <c r="BA582" s="220"/>
    </row>
    <row r="583">
      <c r="A583" s="240"/>
      <c r="B583" s="311"/>
      <c r="C583" s="311"/>
      <c r="D583" s="312"/>
      <c r="E583" s="311"/>
      <c r="F583" s="311"/>
      <c r="G583" s="312"/>
      <c r="H583" s="312"/>
      <c r="I583" s="313"/>
      <c r="J583" s="314"/>
      <c r="K583" s="313"/>
      <c r="L583" s="313"/>
      <c r="M583" s="313"/>
      <c r="N583" s="315"/>
      <c r="O583" s="313"/>
      <c r="P583" s="313"/>
      <c r="Q583" s="313"/>
      <c r="R583" s="313"/>
      <c r="S583" s="316"/>
      <c r="T583" s="317"/>
      <c r="U583" s="318"/>
      <c r="V583" s="319"/>
      <c r="W583" s="288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308"/>
      <c r="AI583" s="220"/>
      <c r="AJ583" s="220"/>
      <c r="AK583" s="220"/>
      <c r="AL583" s="220"/>
      <c r="AM583" s="220"/>
      <c r="AN583" s="220"/>
      <c r="AO583" s="220"/>
      <c r="AP583" s="220"/>
      <c r="AQ583" s="220"/>
      <c r="AR583" s="220"/>
      <c r="AS583" s="220"/>
      <c r="AT583" s="220"/>
      <c r="AU583" s="220"/>
      <c r="AV583" s="220"/>
      <c r="AW583" s="220"/>
      <c r="AX583" s="220"/>
      <c r="AY583" s="220"/>
      <c r="AZ583" s="220"/>
      <c r="BA583" s="220"/>
    </row>
    <row r="584">
      <c r="A584" s="240"/>
      <c r="B584" s="311"/>
      <c r="C584" s="311"/>
      <c r="D584" s="312"/>
      <c r="E584" s="311"/>
      <c r="F584" s="311"/>
      <c r="G584" s="312"/>
      <c r="H584" s="312"/>
      <c r="I584" s="313"/>
      <c r="J584" s="314"/>
      <c r="K584" s="313"/>
      <c r="L584" s="313"/>
      <c r="M584" s="313"/>
      <c r="N584" s="315"/>
      <c r="O584" s="313"/>
      <c r="P584" s="313"/>
      <c r="Q584" s="313"/>
      <c r="R584" s="313"/>
      <c r="S584" s="316"/>
      <c r="T584" s="317"/>
      <c r="U584" s="318"/>
      <c r="V584" s="319"/>
      <c r="W584" s="288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308"/>
      <c r="AI584" s="220"/>
      <c r="AJ584" s="220"/>
      <c r="AK584" s="220"/>
      <c r="AL584" s="220"/>
      <c r="AM584" s="220"/>
      <c r="AN584" s="220"/>
      <c r="AO584" s="220"/>
      <c r="AP584" s="220"/>
      <c r="AQ584" s="220"/>
      <c r="AR584" s="220"/>
      <c r="AS584" s="220"/>
      <c r="AT584" s="220"/>
      <c r="AU584" s="220"/>
      <c r="AV584" s="220"/>
      <c r="AW584" s="220"/>
      <c r="AX584" s="220"/>
      <c r="AY584" s="220"/>
      <c r="AZ584" s="220"/>
      <c r="BA584" s="220"/>
    </row>
    <row r="585">
      <c r="A585" s="240"/>
      <c r="B585" s="311"/>
      <c r="C585" s="311"/>
      <c r="D585" s="312"/>
      <c r="E585" s="311"/>
      <c r="F585" s="311"/>
      <c r="G585" s="312"/>
      <c r="H585" s="312"/>
      <c r="I585" s="313"/>
      <c r="J585" s="314"/>
      <c r="K585" s="313"/>
      <c r="L585" s="313"/>
      <c r="M585" s="313"/>
      <c r="N585" s="315"/>
      <c r="O585" s="313"/>
      <c r="P585" s="313"/>
      <c r="Q585" s="313"/>
      <c r="R585" s="313"/>
      <c r="S585" s="316"/>
      <c r="T585" s="317"/>
      <c r="U585" s="318"/>
      <c r="V585" s="319"/>
      <c r="W585" s="288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308"/>
      <c r="AI585" s="220"/>
      <c r="AJ585" s="220"/>
      <c r="AK585" s="220"/>
      <c r="AL585" s="220"/>
      <c r="AM585" s="220"/>
      <c r="AN585" s="220"/>
      <c r="AO585" s="220"/>
      <c r="AP585" s="220"/>
      <c r="AQ585" s="220"/>
      <c r="AR585" s="220"/>
      <c r="AS585" s="220"/>
      <c r="AT585" s="220"/>
      <c r="AU585" s="220"/>
      <c r="AV585" s="220"/>
      <c r="AW585" s="220"/>
      <c r="AX585" s="220"/>
      <c r="AY585" s="220"/>
      <c r="AZ585" s="220"/>
      <c r="BA585" s="220"/>
    </row>
    <row r="586">
      <c r="A586" s="240"/>
      <c r="B586" s="311"/>
      <c r="C586" s="311"/>
      <c r="D586" s="312"/>
      <c r="E586" s="311"/>
      <c r="F586" s="311"/>
      <c r="G586" s="312"/>
      <c r="H586" s="312"/>
      <c r="I586" s="313"/>
      <c r="J586" s="314"/>
      <c r="K586" s="313"/>
      <c r="L586" s="313"/>
      <c r="M586" s="313"/>
      <c r="N586" s="315"/>
      <c r="O586" s="313"/>
      <c r="P586" s="313"/>
      <c r="Q586" s="313"/>
      <c r="R586" s="313"/>
      <c r="S586" s="316"/>
      <c r="T586" s="317"/>
      <c r="U586" s="318"/>
      <c r="V586" s="319"/>
      <c r="W586" s="288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308"/>
      <c r="AI586" s="220"/>
      <c r="AJ586" s="220"/>
      <c r="AK586" s="220"/>
      <c r="AL586" s="220"/>
      <c r="AM586" s="220"/>
      <c r="AN586" s="220"/>
      <c r="AO586" s="220"/>
      <c r="AP586" s="220"/>
      <c r="AQ586" s="220"/>
      <c r="AR586" s="220"/>
      <c r="AS586" s="220"/>
      <c r="AT586" s="220"/>
      <c r="AU586" s="220"/>
      <c r="AV586" s="220"/>
      <c r="AW586" s="220"/>
      <c r="AX586" s="220"/>
      <c r="AY586" s="220"/>
      <c r="AZ586" s="220"/>
      <c r="BA586" s="220"/>
    </row>
    <row r="587">
      <c r="A587" s="240"/>
      <c r="B587" s="311"/>
      <c r="C587" s="311"/>
      <c r="D587" s="312"/>
      <c r="E587" s="311"/>
      <c r="F587" s="311"/>
      <c r="G587" s="312"/>
      <c r="H587" s="312"/>
      <c r="I587" s="313"/>
      <c r="J587" s="314"/>
      <c r="K587" s="313"/>
      <c r="L587" s="313"/>
      <c r="M587" s="313"/>
      <c r="N587" s="315"/>
      <c r="O587" s="313"/>
      <c r="P587" s="313"/>
      <c r="Q587" s="313"/>
      <c r="R587" s="313"/>
      <c r="S587" s="316"/>
      <c r="T587" s="317"/>
      <c r="U587" s="318"/>
      <c r="V587" s="319"/>
      <c r="W587" s="288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308"/>
      <c r="AI587" s="220"/>
      <c r="AJ587" s="220"/>
      <c r="AK587" s="220"/>
      <c r="AL587" s="220"/>
      <c r="AM587" s="220"/>
      <c r="AN587" s="220"/>
      <c r="AO587" s="220"/>
      <c r="AP587" s="220"/>
      <c r="AQ587" s="220"/>
      <c r="AR587" s="220"/>
      <c r="AS587" s="220"/>
      <c r="AT587" s="220"/>
      <c r="AU587" s="220"/>
      <c r="AV587" s="220"/>
      <c r="AW587" s="220"/>
      <c r="AX587" s="220"/>
      <c r="AY587" s="220"/>
      <c r="AZ587" s="220"/>
      <c r="BA587" s="220"/>
    </row>
    <row r="588">
      <c r="A588" s="240"/>
      <c r="B588" s="311"/>
      <c r="C588" s="311"/>
      <c r="D588" s="312"/>
      <c r="E588" s="311"/>
      <c r="F588" s="311"/>
      <c r="G588" s="312"/>
      <c r="H588" s="312"/>
      <c r="I588" s="313"/>
      <c r="J588" s="314"/>
      <c r="K588" s="313"/>
      <c r="L588" s="313"/>
      <c r="M588" s="313"/>
      <c r="N588" s="315"/>
      <c r="O588" s="313"/>
      <c r="P588" s="313"/>
      <c r="Q588" s="313"/>
      <c r="R588" s="313"/>
      <c r="S588" s="316"/>
      <c r="T588" s="317"/>
      <c r="U588" s="318"/>
      <c r="V588" s="319"/>
      <c r="W588" s="288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308"/>
      <c r="AI588" s="220"/>
      <c r="AJ588" s="220"/>
      <c r="AK588" s="220"/>
      <c r="AL588" s="220"/>
      <c r="AM588" s="220"/>
      <c r="AN588" s="220"/>
      <c r="AO588" s="220"/>
      <c r="AP588" s="220"/>
      <c r="AQ588" s="220"/>
      <c r="AR588" s="220"/>
      <c r="AS588" s="220"/>
      <c r="AT588" s="220"/>
      <c r="AU588" s="220"/>
      <c r="AV588" s="220"/>
      <c r="AW588" s="220"/>
      <c r="AX588" s="220"/>
      <c r="AY588" s="220"/>
      <c r="AZ588" s="220"/>
      <c r="BA588" s="220"/>
    </row>
    <row r="589">
      <c r="A589" s="240"/>
      <c r="B589" s="311"/>
      <c r="C589" s="311"/>
      <c r="D589" s="312"/>
      <c r="E589" s="311"/>
      <c r="F589" s="311"/>
      <c r="G589" s="312"/>
      <c r="H589" s="312"/>
      <c r="I589" s="313"/>
      <c r="J589" s="314"/>
      <c r="K589" s="313"/>
      <c r="L589" s="313"/>
      <c r="M589" s="313"/>
      <c r="N589" s="315"/>
      <c r="O589" s="313"/>
      <c r="P589" s="313"/>
      <c r="Q589" s="313"/>
      <c r="R589" s="313"/>
      <c r="S589" s="316"/>
      <c r="T589" s="317"/>
      <c r="U589" s="318"/>
      <c r="V589" s="319"/>
      <c r="W589" s="288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308"/>
      <c r="AI589" s="220"/>
      <c r="AJ589" s="220"/>
      <c r="AK589" s="220"/>
      <c r="AL589" s="220"/>
      <c r="AM589" s="220"/>
      <c r="AN589" s="220"/>
      <c r="AO589" s="220"/>
      <c r="AP589" s="220"/>
      <c r="AQ589" s="220"/>
      <c r="AR589" s="220"/>
      <c r="AS589" s="220"/>
      <c r="AT589" s="220"/>
      <c r="AU589" s="220"/>
      <c r="AV589" s="220"/>
      <c r="AW589" s="220"/>
      <c r="AX589" s="220"/>
      <c r="AY589" s="220"/>
      <c r="AZ589" s="220"/>
      <c r="BA589" s="220"/>
    </row>
    <row r="590">
      <c r="A590" s="240"/>
      <c r="B590" s="311"/>
      <c r="C590" s="311"/>
      <c r="D590" s="312"/>
      <c r="E590" s="311"/>
      <c r="F590" s="311"/>
      <c r="G590" s="312"/>
      <c r="H590" s="312"/>
      <c r="I590" s="313"/>
      <c r="J590" s="314"/>
      <c r="K590" s="313"/>
      <c r="L590" s="313"/>
      <c r="M590" s="313"/>
      <c r="N590" s="315"/>
      <c r="O590" s="313"/>
      <c r="P590" s="313"/>
      <c r="Q590" s="313"/>
      <c r="R590" s="313"/>
      <c r="S590" s="316"/>
      <c r="T590" s="317"/>
      <c r="U590" s="318"/>
      <c r="V590" s="319"/>
      <c r="W590" s="288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308"/>
      <c r="AI590" s="220"/>
      <c r="AJ590" s="220"/>
      <c r="AK590" s="220"/>
      <c r="AL590" s="220"/>
      <c r="AM590" s="220"/>
      <c r="AN590" s="220"/>
      <c r="AO590" s="220"/>
      <c r="AP590" s="220"/>
      <c r="AQ590" s="220"/>
      <c r="AR590" s="220"/>
      <c r="AS590" s="220"/>
      <c r="AT590" s="220"/>
      <c r="AU590" s="220"/>
      <c r="AV590" s="220"/>
      <c r="AW590" s="220"/>
      <c r="AX590" s="220"/>
      <c r="AY590" s="220"/>
      <c r="AZ590" s="220"/>
      <c r="BA590" s="220"/>
    </row>
    <row r="591">
      <c r="A591" s="240"/>
      <c r="B591" s="311"/>
      <c r="C591" s="311"/>
      <c r="D591" s="312"/>
      <c r="E591" s="311"/>
      <c r="F591" s="311"/>
      <c r="G591" s="312"/>
      <c r="H591" s="312"/>
      <c r="I591" s="313"/>
      <c r="J591" s="314"/>
      <c r="K591" s="313"/>
      <c r="L591" s="313"/>
      <c r="M591" s="313"/>
      <c r="N591" s="315"/>
      <c r="O591" s="313"/>
      <c r="P591" s="313"/>
      <c r="Q591" s="313"/>
      <c r="R591" s="313"/>
      <c r="S591" s="316"/>
      <c r="T591" s="317"/>
      <c r="U591" s="318"/>
      <c r="V591" s="319"/>
      <c r="W591" s="288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308"/>
      <c r="AI591" s="220"/>
      <c r="AJ591" s="220"/>
      <c r="AK591" s="220"/>
      <c r="AL591" s="220"/>
      <c r="AM591" s="220"/>
      <c r="AN591" s="220"/>
      <c r="AO591" s="220"/>
      <c r="AP591" s="220"/>
      <c r="AQ591" s="220"/>
      <c r="AR591" s="220"/>
      <c r="AS591" s="220"/>
      <c r="AT591" s="220"/>
      <c r="AU591" s="220"/>
      <c r="AV591" s="220"/>
      <c r="AW591" s="220"/>
      <c r="AX591" s="220"/>
      <c r="AY591" s="220"/>
      <c r="AZ591" s="220"/>
      <c r="BA591" s="220"/>
    </row>
    <row r="592">
      <c r="A592" s="240"/>
      <c r="B592" s="311"/>
      <c r="C592" s="311"/>
      <c r="D592" s="312"/>
      <c r="E592" s="311"/>
      <c r="F592" s="311"/>
      <c r="G592" s="312"/>
      <c r="H592" s="312"/>
      <c r="I592" s="313"/>
      <c r="J592" s="314"/>
      <c r="K592" s="313"/>
      <c r="L592" s="313"/>
      <c r="M592" s="313"/>
      <c r="N592" s="315"/>
      <c r="O592" s="313"/>
      <c r="P592" s="313"/>
      <c r="Q592" s="313"/>
      <c r="R592" s="313"/>
      <c r="S592" s="316"/>
      <c r="T592" s="317"/>
      <c r="U592" s="318"/>
      <c r="V592" s="319"/>
      <c r="W592" s="288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308"/>
      <c r="AI592" s="220"/>
      <c r="AJ592" s="220"/>
      <c r="AK592" s="220"/>
      <c r="AL592" s="220"/>
      <c r="AM592" s="220"/>
      <c r="AN592" s="220"/>
      <c r="AO592" s="220"/>
      <c r="AP592" s="220"/>
      <c r="AQ592" s="220"/>
      <c r="AR592" s="220"/>
      <c r="AS592" s="220"/>
      <c r="AT592" s="220"/>
      <c r="AU592" s="220"/>
      <c r="AV592" s="220"/>
      <c r="AW592" s="220"/>
      <c r="AX592" s="220"/>
      <c r="AY592" s="220"/>
      <c r="AZ592" s="220"/>
      <c r="BA592" s="220"/>
    </row>
    <row r="593">
      <c r="A593" s="240"/>
      <c r="B593" s="311"/>
      <c r="C593" s="311"/>
      <c r="D593" s="312"/>
      <c r="E593" s="311"/>
      <c r="F593" s="311"/>
      <c r="G593" s="312"/>
      <c r="H593" s="312"/>
      <c r="I593" s="313"/>
      <c r="J593" s="314"/>
      <c r="K593" s="313"/>
      <c r="L593" s="313"/>
      <c r="M593" s="313"/>
      <c r="N593" s="315"/>
      <c r="O593" s="313"/>
      <c r="P593" s="313"/>
      <c r="Q593" s="313"/>
      <c r="R593" s="313"/>
      <c r="S593" s="316"/>
      <c r="T593" s="317"/>
      <c r="U593" s="318"/>
      <c r="V593" s="319"/>
      <c r="W593" s="288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308"/>
      <c r="AI593" s="220"/>
      <c r="AJ593" s="220"/>
      <c r="AK593" s="220"/>
      <c r="AL593" s="220"/>
      <c r="AM593" s="220"/>
      <c r="AN593" s="220"/>
      <c r="AO593" s="220"/>
      <c r="AP593" s="220"/>
      <c r="AQ593" s="220"/>
      <c r="AR593" s="220"/>
      <c r="AS593" s="220"/>
      <c r="AT593" s="220"/>
      <c r="AU593" s="220"/>
      <c r="AV593" s="220"/>
      <c r="AW593" s="220"/>
      <c r="AX593" s="220"/>
      <c r="AY593" s="220"/>
      <c r="AZ593" s="220"/>
      <c r="BA593" s="220"/>
    </row>
    <row r="594">
      <c r="A594" s="240"/>
      <c r="B594" s="311"/>
      <c r="C594" s="311"/>
      <c r="D594" s="312"/>
      <c r="E594" s="311"/>
      <c r="F594" s="311"/>
      <c r="G594" s="312"/>
      <c r="H594" s="312"/>
      <c r="I594" s="313"/>
      <c r="J594" s="314"/>
      <c r="K594" s="313"/>
      <c r="L594" s="313"/>
      <c r="M594" s="313"/>
      <c r="N594" s="315"/>
      <c r="O594" s="313"/>
      <c r="P594" s="313"/>
      <c r="Q594" s="313"/>
      <c r="R594" s="313"/>
      <c r="S594" s="316"/>
      <c r="T594" s="317"/>
      <c r="U594" s="318"/>
      <c r="V594" s="319"/>
      <c r="W594" s="288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308"/>
      <c r="AI594" s="220"/>
      <c r="AJ594" s="220"/>
      <c r="AK594" s="220"/>
      <c r="AL594" s="220"/>
      <c r="AM594" s="220"/>
      <c r="AN594" s="220"/>
      <c r="AO594" s="220"/>
      <c r="AP594" s="220"/>
      <c r="AQ594" s="220"/>
      <c r="AR594" s="220"/>
      <c r="AS594" s="220"/>
      <c r="AT594" s="220"/>
      <c r="AU594" s="220"/>
      <c r="AV594" s="220"/>
      <c r="AW594" s="220"/>
      <c r="AX594" s="220"/>
      <c r="AY594" s="220"/>
      <c r="AZ594" s="220"/>
      <c r="BA594" s="220"/>
    </row>
    <row r="595">
      <c r="A595" s="240"/>
      <c r="B595" s="311"/>
      <c r="C595" s="311"/>
      <c r="D595" s="312"/>
      <c r="E595" s="311"/>
      <c r="F595" s="311"/>
      <c r="G595" s="312"/>
      <c r="H595" s="312"/>
      <c r="I595" s="313"/>
      <c r="J595" s="314"/>
      <c r="K595" s="313"/>
      <c r="L595" s="313"/>
      <c r="M595" s="313"/>
      <c r="N595" s="315"/>
      <c r="O595" s="313"/>
      <c r="P595" s="313"/>
      <c r="Q595" s="313"/>
      <c r="R595" s="313"/>
      <c r="S595" s="316"/>
      <c r="T595" s="317"/>
      <c r="U595" s="318"/>
      <c r="V595" s="319"/>
      <c r="W595" s="288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308"/>
      <c r="AI595" s="220"/>
      <c r="AJ595" s="220"/>
      <c r="AK595" s="220"/>
      <c r="AL595" s="220"/>
      <c r="AM595" s="220"/>
      <c r="AN595" s="220"/>
      <c r="AO595" s="220"/>
      <c r="AP595" s="220"/>
      <c r="AQ595" s="220"/>
      <c r="AR595" s="220"/>
      <c r="AS595" s="220"/>
      <c r="AT595" s="220"/>
      <c r="AU595" s="220"/>
      <c r="AV595" s="220"/>
      <c r="AW595" s="220"/>
      <c r="AX595" s="220"/>
      <c r="AY595" s="220"/>
      <c r="AZ595" s="220"/>
      <c r="BA595" s="220"/>
    </row>
    <row r="596">
      <c r="A596" s="240"/>
      <c r="B596" s="311"/>
      <c r="C596" s="311"/>
      <c r="D596" s="312"/>
      <c r="E596" s="311"/>
      <c r="F596" s="311"/>
      <c r="G596" s="312"/>
      <c r="H596" s="312"/>
      <c r="I596" s="313"/>
      <c r="J596" s="314"/>
      <c r="K596" s="313"/>
      <c r="L596" s="313"/>
      <c r="M596" s="313"/>
      <c r="N596" s="315"/>
      <c r="O596" s="313"/>
      <c r="P596" s="313"/>
      <c r="Q596" s="313"/>
      <c r="R596" s="313"/>
      <c r="S596" s="316"/>
      <c r="T596" s="317"/>
      <c r="U596" s="318"/>
      <c r="V596" s="319"/>
      <c r="W596" s="288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308"/>
      <c r="AI596" s="220"/>
      <c r="AJ596" s="220"/>
      <c r="AK596" s="220"/>
      <c r="AL596" s="220"/>
      <c r="AM596" s="220"/>
      <c r="AN596" s="220"/>
      <c r="AO596" s="220"/>
      <c r="AP596" s="220"/>
      <c r="AQ596" s="220"/>
      <c r="AR596" s="220"/>
      <c r="AS596" s="220"/>
      <c r="AT596" s="220"/>
      <c r="AU596" s="220"/>
      <c r="AV596" s="220"/>
      <c r="AW596" s="220"/>
      <c r="AX596" s="220"/>
      <c r="AY596" s="220"/>
      <c r="AZ596" s="220"/>
      <c r="BA596" s="220"/>
    </row>
    <row r="597">
      <c r="A597" s="240"/>
      <c r="B597" s="311"/>
      <c r="C597" s="311"/>
      <c r="D597" s="312"/>
      <c r="E597" s="311"/>
      <c r="F597" s="311"/>
      <c r="G597" s="312"/>
      <c r="H597" s="312"/>
      <c r="I597" s="313"/>
      <c r="J597" s="314"/>
      <c r="K597" s="313"/>
      <c r="L597" s="313"/>
      <c r="M597" s="313"/>
      <c r="N597" s="315"/>
      <c r="O597" s="313"/>
      <c r="P597" s="313"/>
      <c r="Q597" s="313"/>
      <c r="R597" s="313"/>
      <c r="S597" s="316"/>
      <c r="T597" s="317"/>
      <c r="U597" s="318"/>
      <c r="V597" s="319"/>
      <c r="W597" s="288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308"/>
      <c r="AI597" s="220"/>
      <c r="AJ597" s="220"/>
      <c r="AK597" s="220"/>
      <c r="AL597" s="220"/>
      <c r="AM597" s="220"/>
      <c r="AN597" s="220"/>
      <c r="AO597" s="220"/>
      <c r="AP597" s="220"/>
      <c r="AQ597" s="220"/>
      <c r="AR597" s="220"/>
      <c r="AS597" s="220"/>
      <c r="AT597" s="220"/>
      <c r="AU597" s="220"/>
      <c r="AV597" s="220"/>
      <c r="AW597" s="220"/>
      <c r="AX597" s="220"/>
      <c r="AY597" s="220"/>
      <c r="AZ597" s="220"/>
      <c r="BA597" s="220"/>
    </row>
    <row r="598">
      <c r="A598" s="240"/>
      <c r="B598" s="311"/>
      <c r="C598" s="311"/>
      <c r="D598" s="312"/>
      <c r="E598" s="311"/>
      <c r="F598" s="311"/>
      <c r="G598" s="312"/>
      <c r="H598" s="312"/>
      <c r="I598" s="313"/>
      <c r="J598" s="314"/>
      <c r="K598" s="313"/>
      <c r="L598" s="313"/>
      <c r="M598" s="313"/>
      <c r="N598" s="315"/>
      <c r="O598" s="313"/>
      <c r="P598" s="313"/>
      <c r="Q598" s="313"/>
      <c r="R598" s="313"/>
      <c r="S598" s="316"/>
      <c r="T598" s="317"/>
      <c r="U598" s="318"/>
      <c r="V598" s="319"/>
      <c r="W598" s="288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308"/>
      <c r="AI598" s="220"/>
      <c r="AJ598" s="220"/>
      <c r="AK598" s="220"/>
      <c r="AL598" s="220"/>
      <c r="AM598" s="220"/>
      <c r="AN598" s="220"/>
      <c r="AO598" s="220"/>
      <c r="AP598" s="220"/>
      <c r="AQ598" s="220"/>
      <c r="AR598" s="220"/>
      <c r="AS598" s="220"/>
      <c r="AT598" s="220"/>
      <c r="AU598" s="220"/>
      <c r="AV598" s="220"/>
      <c r="AW598" s="220"/>
      <c r="AX598" s="220"/>
      <c r="AY598" s="220"/>
      <c r="AZ598" s="220"/>
      <c r="BA598" s="220"/>
    </row>
    <row r="599">
      <c r="A599" s="240"/>
      <c r="B599" s="311"/>
      <c r="C599" s="311"/>
      <c r="D599" s="312"/>
      <c r="E599" s="311"/>
      <c r="F599" s="311"/>
      <c r="G599" s="312"/>
      <c r="H599" s="312"/>
      <c r="I599" s="313"/>
      <c r="J599" s="314"/>
      <c r="K599" s="313"/>
      <c r="L599" s="313"/>
      <c r="M599" s="313"/>
      <c r="N599" s="315"/>
      <c r="O599" s="313"/>
      <c r="P599" s="313"/>
      <c r="Q599" s="313"/>
      <c r="R599" s="313"/>
      <c r="S599" s="316"/>
      <c r="T599" s="317"/>
      <c r="U599" s="318"/>
      <c r="V599" s="319"/>
      <c r="W599" s="288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308"/>
      <c r="AI599" s="220"/>
      <c r="AJ599" s="220"/>
      <c r="AK599" s="220"/>
      <c r="AL599" s="220"/>
      <c r="AM599" s="220"/>
      <c r="AN599" s="220"/>
      <c r="AO599" s="220"/>
      <c r="AP599" s="220"/>
      <c r="AQ599" s="220"/>
      <c r="AR599" s="220"/>
      <c r="AS599" s="220"/>
      <c r="AT599" s="220"/>
      <c r="AU599" s="220"/>
      <c r="AV599" s="220"/>
      <c r="AW599" s="220"/>
      <c r="AX599" s="220"/>
      <c r="AY599" s="220"/>
      <c r="AZ599" s="220"/>
      <c r="BA599" s="220"/>
    </row>
    <row r="600">
      <c r="A600" s="240"/>
      <c r="B600" s="311"/>
      <c r="C600" s="311"/>
      <c r="D600" s="312"/>
      <c r="E600" s="311"/>
      <c r="F600" s="311"/>
      <c r="G600" s="312"/>
      <c r="H600" s="312"/>
      <c r="I600" s="313"/>
      <c r="J600" s="314"/>
      <c r="K600" s="313"/>
      <c r="L600" s="313"/>
      <c r="M600" s="313"/>
      <c r="N600" s="315"/>
      <c r="O600" s="313"/>
      <c r="P600" s="313"/>
      <c r="Q600" s="313"/>
      <c r="R600" s="313"/>
      <c r="S600" s="316"/>
      <c r="T600" s="317"/>
      <c r="U600" s="318"/>
      <c r="V600" s="319"/>
      <c r="W600" s="288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308"/>
      <c r="AI600" s="220"/>
      <c r="AJ600" s="220"/>
      <c r="AK600" s="220"/>
      <c r="AL600" s="220"/>
      <c r="AM600" s="220"/>
      <c r="AN600" s="220"/>
      <c r="AO600" s="220"/>
      <c r="AP600" s="220"/>
      <c r="AQ600" s="220"/>
      <c r="AR600" s="220"/>
      <c r="AS600" s="220"/>
      <c r="AT600" s="220"/>
      <c r="AU600" s="220"/>
      <c r="AV600" s="220"/>
      <c r="AW600" s="220"/>
      <c r="AX600" s="220"/>
      <c r="AY600" s="220"/>
      <c r="AZ600" s="220"/>
      <c r="BA600" s="220"/>
    </row>
    <row r="601">
      <c r="A601" s="240"/>
      <c r="B601" s="311"/>
      <c r="C601" s="311"/>
      <c r="D601" s="312"/>
      <c r="E601" s="311"/>
      <c r="F601" s="311"/>
      <c r="G601" s="312"/>
      <c r="H601" s="312"/>
      <c r="I601" s="313"/>
      <c r="J601" s="314"/>
      <c r="K601" s="313"/>
      <c r="L601" s="313"/>
      <c r="M601" s="313"/>
      <c r="N601" s="315"/>
      <c r="O601" s="313"/>
      <c r="P601" s="313"/>
      <c r="Q601" s="313"/>
      <c r="R601" s="313"/>
      <c r="S601" s="316"/>
      <c r="T601" s="317"/>
      <c r="U601" s="318"/>
      <c r="V601" s="319"/>
      <c r="W601" s="288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308"/>
      <c r="AI601" s="220"/>
      <c r="AJ601" s="220"/>
      <c r="AK601" s="220"/>
      <c r="AL601" s="220"/>
      <c r="AM601" s="220"/>
      <c r="AN601" s="220"/>
      <c r="AO601" s="220"/>
      <c r="AP601" s="220"/>
      <c r="AQ601" s="220"/>
      <c r="AR601" s="220"/>
      <c r="AS601" s="220"/>
      <c r="AT601" s="220"/>
      <c r="AU601" s="220"/>
      <c r="AV601" s="220"/>
      <c r="AW601" s="220"/>
      <c r="AX601" s="220"/>
      <c r="AY601" s="220"/>
      <c r="AZ601" s="220"/>
      <c r="BA601" s="220"/>
    </row>
    <row r="602">
      <c r="A602" s="240"/>
      <c r="B602" s="311"/>
      <c r="C602" s="311"/>
      <c r="D602" s="312"/>
      <c r="E602" s="311"/>
      <c r="F602" s="311"/>
      <c r="G602" s="312"/>
      <c r="H602" s="312"/>
      <c r="I602" s="313"/>
      <c r="J602" s="314"/>
      <c r="K602" s="313"/>
      <c r="L602" s="313"/>
      <c r="M602" s="313"/>
      <c r="N602" s="315"/>
      <c r="O602" s="313"/>
      <c r="P602" s="313"/>
      <c r="Q602" s="313"/>
      <c r="R602" s="313"/>
      <c r="S602" s="316"/>
      <c r="T602" s="317"/>
      <c r="U602" s="318"/>
      <c r="V602" s="319"/>
      <c r="W602" s="288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308"/>
      <c r="AI602" s="220"/>
      <c r="AJ602" s="220"/>
      <c r="AK602" s="220"/>
      <c r="AL602" s="220"/>
      <c r="AM602" s="220"/>
      <c r="AN602" s="220"/>
      <c r="AO602" s="220"/>
      <c r="AP602" s="220"/>
      <c r="AQ602" s="220"/>
      <c r="AR602" s="220"/>
      <c r="AS602" s="220"/>
      <c r="AT602" s="220"/>
      <c r="AU602" s="220"/>
      <c r="AV602" s="220"/>
      <c r="AW602" s="220"/>
      <c r="AX602" s="220"/>
      <c r="AY602" s="220"/>
      <c r="AZ602" s="220"/>
      <c r="BA602" s="220"/>
    </row>
    <row r="603">
      <c r="A603" s="240"/>
      <c r="B603" s="311"/>
      <c r="C603" s="311"/>
      <c r="D603" s="312"/>
      <c r="E603" s="311"/>
      <c r="F603" s="311"/>
      <c r="G603" s="312"/>
      <c r="H603" s="312"/>
      <c r="I603" s="313"/>
      <c r="J603" s="314"/>
      <c r="K603" s="313"/>
      <c r="L603" s="313"/>
      <c r="M603" s="313"/>
      <c r="N603" s="315"/>
      <c r="O603" s="313"/>
      <c r="P603" s="313"/>
      <c r="Q603" s="313"/>
      <c r="R603" s="313"/>
      <c r="S603" s="316"/>
      <c r="T603" s="317"/>
      <c r="U603" s="318"/>
      <c r="V603" s="319"/>
      <c r="W603" s="288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308"/>
      <c r="AI603" s="220"/>
      <c r="AJ603" s="220"/>
      <c r="AK603" s="220"/>
      <c r="AL603" s="220"/>
      <c r="AM603" s="220"/>
      <c r="AN603" s="220"/>
      <c r="AO603" s="220"/>
      <c r="AP603" s="220"/>
      <c r="AQ603" s="220"/>
      <c r="AR603" s="220"/>
      <c r="AS603" s="220"/>
      <c r="AT603" s="220"/>
      <c r="AU603" s="220"/>
      <c r="AV603" s="220"/>
      <c r="AW603" s="220"/>
      <c r="AX603" s="220"/>
      <c r="AY603" s="220"/>
      <c r="AZ603" s="220"/>
      <c r="BA603" s="220"/>
    </row>
    <row r="604">
      <c r="A604" s="240"/>
      <c r="B604" s="311"/>
      <c r="C604" s="311"/>
      <c r="D604" s="312"/>
      <c r="E604" s="311"/>
      <c r="F604" s="311"/>
      <c r="G604" s="312"/>
      <c r="H604" s="312"/>
      <c r="I604" s="313"/>
      <c r="J604" s="314"/>
      <c r="K604" s="313"/>
      <c r="L604" s="313"/>
      <c r="M604" s="313"/>
      <c r="N604" s="315"/>
      <c r="O604" s="313"/>
      <c r="P604" s="313"/>
      <c r="Q604" s="313"/>
      <c r="R604" s="313"/>
      <c r="S604" s="316"/>
      <c r="T604" s="317"/>
      <c r="U604" s="318"/>
      <c r="V604" s="319"/>
      <c r="W604" s="288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308"/>
      <c r="AI604" s="220"/>
      <c r="AJ604" s="220"/>
      <c r="AK604" s="220"/>
      <c r="AL604" s="220"/>
      <c r="AM604" s="220"/>
      <c r="AN604" s="220"/>
      <c r="AO604" s="220"/>
      <c r="AP604" s="220"/>
      <c r="AQ604" s="220"/>
      <c r="AR604" s="220"/>
      <c r="AS604" s="220"/>
      <c r="AT604" s="220"/>
      <c r="AU604" s="220"/>
      <c r="AV604" s="220"/>
      <c r="AW604" s="220"/>
      <c r="AX604" s="220"/>
      <c r="AY604" s="220"/>
      <c r="AZ604" s="220"/>
      <c r="BA604" s="220"/>
    </row>
    <row r="605">
      <c r="A605" s="240"/>
      <c r="B605" s="311"/>
      <c r="C605" s="311"/>
      <c r="D605" s="312"/>
      <c r="E605" s="311"/>
      <c r="F605" s="311"/>
      <c r="G605" s="312"/>
      <c r="H605" s="312"/>
      <c r="I605" s="313"/>
      <c r="J605" s="314"/>
      <c r="K605" s="313"/>
      <c r="L605" s="313"/>
      <c r="M605" s="313"/>
      <c r="N605" s="315"/>
      <c r="O605" s="313"/>
      <c r="P605" s="313"/>
      <c r="Q605" s="313"/>
      <c r="R605" s="313"/>
      <c r="S605" s="316"/>
      <c r="T605" s="317"/>
      <c r="U605" s="318"/>
      <c r="V605" s="319"/>
      <c r="W605" s="288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308"/>
      <c r="AI605" s="220"/>
      <c r="AJ605" s="220"/>
      <c r="AK605" s="220"/>
      <c r="AL605" s="220"/>
      <c r="AM605" s="220"/>
      <c r="AN605" s="220"/>
      <c r="AO605" s="220"/>
      <c r="AP605" s="220"/>
      <c r="AQ605" s="220"/>
      <c r="AR605" s="220"/>
      <c r="AS605" s="220"/>
      <c r="AT605" s="220"/>
      <c r="AU605" s="220"/>
      <c r="AV605" s="220"/>
      <c r="AW605" s="220"/>
      <c r="AX605" s="220"/>
      <c r="AY605" s="220"/>
      <c r="AZ605" s="220"/>
      <c r="BA605" s="220"/>
    </row>
    <row r="606">
      <c r="A606" s="240"/>
      <c r="B606" s="311"/>
      <c r="C606" s="311"/>
      <c r="D606" s="312"/>
      <c r="E606" s="311"/>
      <c r="F606" s="311"/>
      <c r="G606" s="312"/>
      <c r="H606" s="312"/>
      <c r="I606" s="313"/>
      <c r="J606" s="314"/>
      <c r="K606" s="313"/>
      <c r="L606" s="313"/>
      <c r="M606" s="313"/>
      <c r="N606" s="315"/>
      <c r="O606" s="313"/>
      <c r="P606" s="313"/>
      <c r="Q606" s="313"/>
      <c r="R606" s="313"/>
      <c r="S606" s="316"/>
      <c r="T606" s="317"/>
      <c r="U606" s="318"/>
      <c r="V606" s="319"/>
      <c r="W606" s="288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308"/>
      <c r="AI606" s="220"/>
      <c r="AJ606" s="220"/>
      <c r="AK606" s="220"/>
      <c r="AL606" s="220"/>
      <c r="AM606" s="220"/>
      <c r="AN606" s="220"/>
      <c r="AO606" s="220"/>
      <c r="AP606" s="220"/>
      <c r="AQ606" s="220"/>
      <c r="AR606" s="220"/>
      <c r="AS606" s="220"/>
      <c r="AT606" s="220"/>
      <c r="AU606" s="220"/>
      <c r="AV606" s="220"/>
      <c r="AW606" s="220"/>
      <c r="AX606" s="220"/>
      <c r="AY606" s="220"/>
      <c r="AZ606" s="220"/>
      <c r="BA606" s="220"/>
    </row>
    <row r="607">
      <c r="A607" s="240"/>
      <c r="B607" s="311"/>
      <c r="C607" s="311"/>
      <c r="D607" s="312"/>
      <c r="E607" s="311"/>
      <c r="F607" s="311"/>
      <c r="G607" s="312"/>
      <c r="H607" s="312"/>
      <c r="I607" s="313"/>
      <c r="J607" s="314"/>
      <c r="K607" s="313"/>
      <c r="L607" s="313"/>
      <c r="M607" s="313"/>
      <c r="N607" s="315"/>
      <c r="O607" s="313"/>
      <c r="P607" s="313"/>
      <c r="Q607" s="313"/>
      <c r="R607" s="313"/>
      <c r="S607" s="316"/>
      <c r="T607" s="317"/>
      <c r="U607" s="318"/>
      <c r="V607" s="319"/>
      <c r="W607" s="288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308"/>
      <c r="AI607" s="220"/>
      <c r="AJ607" s="220"/>
      <c r="AK607" s="220"/>
      <c r="AL607" s="220"/>
      <c r="AM607" s="220"/>
      <c r="AN607" s="220"/>
      <c r="AO607" s="220"/>
      <c r="AP607" s="220"/>
      <c r="AQ607" s="220"/>
      <c r="AR607" s="220"/>
      <c r="AS607" s="220"/>
      <c r="AT607" s="220"/>
      <c r="AU607" s="220"/>
      <c r="AV607" s="220"/>
      <c r="AW607" s="220"/>
      <c r="AX607" s="220"/>
      <c r="AY607" s="220"/>
      <c r="AZ607" s="220"/>
      <c r="BA607" s="220"/>
    </row>
    <row r="608">
      <c r="A608" s="240"/>
      <c r="B608" s="311"/>
      <c r="C608" s="311"/>
      <c r="D608" s="312"/>
      <c r="E608" s="311"/>
      <c r="F608" s="311"/>
      <c r="G608" s="312"/>
      <c r="H608" s="312"/>
      <c r="I608" s="313"/>
      <c r="J608" s="314"/>
      <c r="K608" s="313"/>
      <c r="L608" s="313"/>
      <c r="M608" s="313"/>
      <c r="N608" s="315"/>
      <c r="O608" s="313"/>
      <c r="P608" s="313"/>
      <c r="Q608" s="313"/>
      <c r="R608" s="313"/>
      <c r="S608" s="316"/>
      <c r="T608" s="317"/>
      <c r="U608" s="318"/>
      <c r="V608" s="319"/>
      <c r="W608" s="288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308"/>
      <c r="AI608" s="220"/>
      <c r="AJ608" s="220"/>
      <c r="AK608" s="220"/>
      <c r="AL608" s="220"/>
      <c r="AM608" s="220"/>
      <c r="AN608" s="220"/>
      <c r="AO608" s="220"/>
      <c r="AP608" s="220"/>
      <c r="AQ608" s="220"/>
      <c r="AR608" s="220"/>
      <c r="AS608" s="220"/>
      <c r="AT608" s="220"/>
      <c r="AU608" s="220"/>
      <c r="AV608" s="220"/>
      <c r="AW608" s="220"/>
      <c r="AX608" s="220"/>
      <c r="AY608" s="220"/>
      <c r="AZ608" s="220"/>
      <c r="BA608" s="220"/>
    </row>
    <row r="609">
      <c r="A609" s="240"/>
      <c r="B609" s="311"/>
      <c r="C609" s="311"/>
      <c r="D609" s="312"/>
      <c r="E609" s="311"/>
      <c r="F609" s="311"/>
      <c r="G609" s="312"/>
      <c r="H609" s="312"/>
      <c r="I609" s="313"/>
      <c r="J609" s="314"/>
      <c r="K609" s="313"/>
      <c r="L609" s="313"/>
      <c r="M609" s="313"/>
      <c r="N609" s="315"/>
      <c r="O609" s="313"/>
      <c r="P609" s="313"/>
      <c r="Q609" s="313"/>
      <c r="R609" s="313"/>
      <c r="S609" s="316"/>
      <c r="T609" s="317"/>
      <c r="U609" s="318"/>
      <c r="V609" s="319"/>
      <c r="W609" s="288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308"/>
      <c r="AI609" s="220"/>
      <c r="AJ609" s="220"/>
      <c r="AK609" s="220"/>
      <c r="AL609" s="220"/>
      <c r="AM609" s="220"/>
      <c r="AN609" s="220"/>
      <c r="AO609" s="220"/>
      <c r="AP609" s="220"/>
      <c r="AQ609" s="220"/>
      <c r="AR609" s="220"/>
      <c r="AS609" s="220"/>
      <c r="AT609" s="220"/>
      <c r="AU609" s="220"/>
      <c r="AV609" s="220"/>
      <c r="AW609" s="220"/>
      <c r="AX609" s="220"/>
      <c r="AY609" s="220"/>
      <c r="AZ609" s="220"/>
      <c r="BA609" s="220"/>
    </row>
    <row r="610">
      <c r="A610" s="240"/>
      <c r="B610" s="311"/>
      <c r="C610" s="311"/>
      <c r="D610" s="312"/>
      <c r="E610" s="311"/>
      <c r="F610" s="311"/>
      <c r="G610" s="312"/>
      <c r="H610" s="312"/>
      <c r="I610" s="313"/>
      <c r="J610" s="314"/>
      <c r="K610" s="313"/>
      <c r="L610" s="313"/>
      <c r="M610" s="313"/>
      <c r="N610" s="315"/>
      <c r="O610" s="313"/>
      <c r="P610" s="313"/>
      <c r="Q610" s="313"/>
      <c r="R610" s="313"/>
      <c r="S610" s="316"/>
      <c r="T610" s="317"/>
      <c r="U610" s="318"/>
      <c r="V610" s="319"/>
      <c r="W610" s="288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308"/>
      <c r="AI610" s="220"/>
      <c r="AJ610" s="220"/>
      <c r="AK610" s="220"/>
      <c r="AL610" s="220"/>
      <c r="AM610" s="220"/>
      <c r="AN610" s="220"/>
      <c r="AO610" s="220"/>
      <c r="AP610" s="220"/>
      <c r="AQ610" s="220"/>
      <c r="AR610" s="220"/>
      <c r="AS610" s="220"/>
      <c r="AT610" s="220"/>
      <c r="AU610" s="220"/>
      <c r="AV610" s="220"/>
      <c r="AW610" s="220"/>
      <c r="AX610" s="220"/>
      <c r="AY610" s="220"/>
      <c r="AZ610" s="220"/>
      <c r="BA610" s="220"/>
    </row>
    <row r="611">
      <c r="A611" s="240"/>
      <c r="B611" s="311"/>
      <c r="C611" s="311"/>
      <c r="D611" s="312"/>
      <c r="E611" s="311"/>
      <c r="F611" s="311"/>
      <c r="G611" s="312"/>
      <c r="H611" s="312"/>
      <c r="I611" s="313"/>
      <c r="J611" s="314"/>
      <c r="K611" s="313"/>
      <c r="L611" s="313"/>
      <c r="M611" s="313"/>
      <c r="N611" s="315"/>
      <c r="O611" s="313"/>
      <c r="P611" s="313"/>
      <c r="Q611" s="313"/>
      <c r="R611" s="313"/>
      <c r="S611" s="316"/>
      <c r="T611" s="317"/>
      <c r="U611" s="318"/>
      <c r="V611" s="319"/>
      <c r="W611" s="288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308"/>
      <c r="AI611" s="220"/>
      <c r="AJ611" s="220"/>
      <c r="AK611" s="220"/>
      <c r="AL611" s="220"/>
      <c r="AM611" s="220"/>
      <c r="AN611" s="220"/>
      <c r="AO611" s="220"/>
      <c r="AP611" s="220"/>
      <c r="AQ611" s="220"/>
      <c r="AR611" s="220"/>
      <c r="AS611" s="220"/>
      <c r="AT611" s="220"/>
      <c r="AU611" s="220"/>
      <c r="AV611" s="220"/>
      <c r="AW611" s="220"/>
      <c r="AX611" s="220"/>
      <c r="AY611" s="220"/>
      <c r="AZ611" s="220"/>
      <c r="BA611" s="220"/>
    </row>
    <row r="612">
      <c r="A612" s="240"/>
      <c r="B612" s="311"/>
      <c r="C612" s="311"/>
      <c r="D612" s="312"/>
      <c r="E612" s="311"/>
      <c r="F612" s="311"/>
      <c r="G612" s="312"/>
      <c r="H612" s="312"/>
      <c r="I612" s="313"/>
      <c r="J612" s="314"/>
      <c r="K612" s="313"/>
      <c r="L612" s="313"/>
      <c r="M612" s="313"/>
      <c r="N612" s="315"/>
      <c r="O612" s="313"/>
      <c r="P612" s="313"/>
      <c r="Q612" s="313"/>
      <c r="R612" s="313"/>
      <c r="S612" s="316"/>
      <c r="T612" s="317"/>
      <c r="U612" s="318"/>
      <c r="V612" s="319"/>
      <c r="W612" s="288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308"/>
      <c r="AI612" s="220"/>
      <c r="AJ612" s="220"/>
      <c r="AK612" s="220"/>
      <c r="AL612" s="220"/>
      <c r="AM612" s="220"/>
      <c r="AN612" s="220"/>
      <c r="AO612" s="220"/>
      <c r="AP612" s="220"/>
      <c r="AQ612" s="220"/>
      <c r="AR612" s="220"/>
      <c r="AS612" s="220"/>
      <c r="AT612" s="220"/>
      <c r="AU612" s="220"/>
      <c r="AV612" s="220"/>
      <c r="AW612" s="220"/>
      <c r="AX612" s="220"/>
      <c r="AY612" s="220"/>
      <c r="AZ612" s="220"/>
      <c r="BA612" s="220"/>
    </row>
    <row r="613">
      <c r="A613" s="240"/>
      <c r="B613" s="311"/>
      <c r="C613" s="311"/>
      <c r="D613" s="312"/>
      <c r="E613" s="311"/>
      <c r="F613" s="311"/>
      <c r="G613" s="312"/>
      <c r="H613" s="312"/>
      <c r="I613" s="313"/>
      <c r="J613" s="314"/>
      <c r="K613" s="313"/>
      <c r="L613" s="313"/>
      <c r="M613" s="313"/>
      <c r="N613" s="315"/>
      <c r="O613" s="313"/>
      <c r="P613" s="313"/>
      <c r="Q613" s="313"/>
      <c r="R613" s="313"/>
      <c r="S613" s="316"/>
      <c r="T613" s="317"/>
      <c r="U613" s="318"/>
      <c r="V613" s="319"/>
      <c r="W613" s="288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308"/>
      <c r="AI613" s="220"/>
      <c r="AJ613" s="220"/>
      <c r="AK613" s="220"/>
      <c r="AL613" s="220"/>
      <c r="AM613" s="220"/>
      <c r="AN613" s="220"/>
      <c r="AO613" s="220"/>
      <c r="AP613" s="220"/>
      <c r="AQ613" s="220"/>
      <c r="AR613" s="220"/>
      <c r="AS613" s="220"/>
      <c r="AT613" s="220"/>
      <c r="AU613" s="220"/>
      <c r="AV613" s="220"/>
      <c r="AW613" s="220"/>
      <c r="AX613" s="220"/>
      <c r="AY613" s="220"/>
      <c r="AZ613" s="220"/>
      <c r="BA613" s="220"/>
    </row>
    <row r="614">
      <c r="A614" s="240"/>
      <c r="B614" s="311"/>
      <c r="C614" s="311"/>
      <c r="D614" s="312"/>
      <c r="E614" s="311"/>
      <c r="F614" s="311"/>
      <c r="G614" s="312"/>
      <c r="H614" s="312"/>
      <c r="I614" s="313"/>
      <c r="J614" s="314"/>
      <c r="K614" s="313"/>
      <c r="L614" s="313"/>
      <c r="M614" s="313"/>
      <c r="N614" s="315"/>
      <c r="O614" s="313"/>
      <c r="P614" s="313"/>
      <c r="Q614" s="313"/>
      <c r="R614" s="313"/>
      <c r="S614" s="316"/>
      <c r="T614" s="317"/>
      <c r="U614" s="318"/>
      <c r="V614" s="319"/>
      <c r="W614" s="288"/>
      <c r="X614" s="220"/>
      <c r="Y614" s="220"/>
      <c r="Z614" s="220"/>
      <c r="AA614" s="220"/>
      <c r="AB614" s="220"/>
      <c r="AC614" s="220"/>
      <c r="AD614" s="220"/>
      <c r="AE614" s="220"/>
      <c r="AF614" s="220"/>
      <c r="AG614" s="220"/>
      <c r="AH614" s="308"/>
      <c r="AI614" s="220"/>
      <c r="AJ614" s="220"/>
      <c r="AK614" s="220"/>
      <c r="AL614" s="220"/>
      <c r="AM614" s="220"/>
      <c r="AN614" s="220"/>
      <c r="AO614" s="220"/>
      <c r="AP614" s="220"/>
      <c r="AQ614" s="220"/>
      <c r="AR614" s="220"/>
      <c r="AS614" s="220"/>
      <c r="AT614" s="220"/>
      <c r="AU614" s="220"/>
      <c r="AV614" s="220"/>
      <c r="AW614" s="220"/>
      <c r="AX614" s="220"/>
      <c r="AY614" s="220"/>
      <c r="AZ614" s="220"/>
      <c r="BA614" s="220"/>
    </row>
    <row r="615">
      <c r="A615" s="240"/>
      <c r="B615" s="311"/>
      <c r="C615" s="311"/>
      <c r="D615" s="312"/>
      <c r="E615" s="311"/>
      <c r="F615" s="311"/>
      <c r="G615" s="312"/>
      <c r="H615" s="312"/>
      <c r="I615" s="313"/>
      <c r="J615" s="314"/>
      <c r="K615" s="313"/>
      <c r="L615" s="313"/>
      <c r="M615" s="313"/>
      <c r="N615" s="315"/>
      <c r="O615" s="313"/>
      <c r="P615" s="313"/>
      <c r="Q615" s="313"/>
      <c r="R615" s="313"/>
      <c r="S615" s="316"/>
      <c r="T615" s="317"/>
      <c r="U615" s="318"/>
      <c r="V615" s="319"/>
      <c r="W615" s="288"/>
      <c r="X615" s="220"/>
      <c r="Y615" s="220"/>
      <c r="Z615" s="220"/>
      <c r="AA615" s="220"/>
      <c r="AB615" s="220"/>
      <c r="AC615" s="220"/>
      <c r="AD615" s="220"/>
      <c r="AE615" s="220"/>
      <c r="AF615" s="220"/>
      <c r="AG615" s="220"/>
      <c r="AH615" s="308"/>
      <c r="AI615" s="220"/>
      <c r="AJ615" s="220"/>
      <c r="AK615" s="220"/>
      <c r="AL615" s="220"/>
      <c r="AM615" s="220"/>
      <c r="AN615" s="220"/>
      <c r="AO615" s="220"/>
      <c r="AP615" s="220"/>
      <c r="AQ615" s="220"/>
      <c r="AR615" s="220"/>
      <c r="AS615" s="220"/>
      <c r="AT615" s="220"/>
      <c r="AU615" s="220"/>
      <c r="AV615" s="220"/>
      <c r="AW615" s="220"/>
      <c r="AX615" s="220"/>
      <c r="AY615" s="220"/>
      <c r="AZ615" s="220"/>
      <c r="BA615" s="220"/>
    </row>
    <row r="616">
      <c r="A616" s="240"/>
      <c r="B616" s="311"/>
      <c r="C616" s="311"/>
      <c r="D616" s="312"/>
      <c r="E616" s="311"/>
      <c r="F616" s="311"/>
      <c r="G616" s="312"/>
      <c r="H616" s="312"/>
      <c r="I616" s="313"/>
      <c r="J616" s="314"/>
      <c r="K616" s="313"/>
      <c r="L616" s="313"/>
      <c r="M616" s="313"/>
      <c r="N616" s="315"/>
      <c r="O616" s="313"/>
      <c r="P616" s="313"/>
      <c r="Q616" s="313"/>
      <c r="R616" s="313"/>
      <c r="S616" s="316"/>
      <c r="T616" s="317"/>
      <c r="U616" s="318"/>
      <c r="V616" s="319"/>
      <c r="W616" s="288"/>
      <c r="X616" s="220"/>
      <c r="Y616" s="220"/>
      <c r="Z616" s="220"/>
      <c r="AA616" s="220"/>
      <c r="AB616" s="220"/>
      <c r="AC616" s="220"/>
      <c r="AD616" s="220"/>
      <c r="AE616" s="220"/>
      <c r="AF616" s="220"/>
      <c r="AG616" s="220"/>
      <c r="AH616" s="308"/>
      <c r="AI616" s="220"/>
      <c r="AJ616" s="220"/>
      <c r="AK616" s="220"/>
      <c r="AL616" s="220"/>
      <c r="AM616" s="220"/>
      <c r="AN616" s="220"/>
      <c r="AO616" s="220"/>
      <c r="AP616" s="220"/>
      <c r="AQ616" s="220"/>
      <c r="AR616" s="220"/>
      <c r="AS616" s="220"/>
      <c r="AT616" s="220"/>
      <c r="AU616" s="220"/>
      <c r="AV616" s="220"/>
      <c r="AW616" s="220"/>
      <c r="AX616" s="220"/>
      <c r="AY616" s="220"/>
      <c r="AZ616" s="220"/>
      <c r="BA616" s="220"/>
    </row>
    <row r="617">
      <c r="A617" s="240"/>
      <c r="B617" s="311"/>
      <c r="C617" s="311"/>
      <c r="D617" s="312"/>
      <c r="E617" s="311"/>
      <c r="F617" s="311"/>
      <c r="G617" s="312"/>
      <c r="H617" s="312"/>
      <c r="I617" s="313"/>
      <c r="J617" s="314"/>
      <c r="K617" s="313"/>
      <c r="L617" s="313"/>
      <c r="M617" s="313"/>
      <c r="N617" s="315"/>
      <c r="O617" s="313"/>
      <c r="P617" s="313"/>
      <c r="Q617" s="313"/>
      <c r="R617" s="313"/>
      <c r="S617" s="316"/>
      <c r="T617" s="317"/>
      <c r="U617" s="318"/>
      <c r="V617" s="319"/>
      <c r="W617" s="288"/>
      <c r="X617" s="220"/>
      <c r="Y617" s="220"/>
      <c r="Z617" s="220"/>
      <c r="AA617" s="220"/>
      <c r="AB617" s="220"/>
      <c r="AC617" s="220"/>
      <c r="AD617" s="220"/>
      <c r="AE617" s="220"/>
      <c r="AF617" s="220"/>
      <c r="AG617" s="220"/>
      <c r="AH617" s="308"/>
      <c r="AI617" s="220"/>
      <c r="AJ617" s="220"/>
      <c r="AK617" s="220"/>
      <c r="AL617" s="220"/>
      <c r="AM617" s="220"/>
      <c r="AN617" s="220"/>
      <c r="AO617" s="220"/>
      <c r="AP617" s="220"/>
      <c r="AQ617" s="220"/>
      <c r="AR617" s="220"/>
      <c r="AS617" s="220"/>
      <c r="AT617" s="220"/>
      <c r="AU617" s="220"/>
      <c r="AV617" s="220"/>
      <c r="AW617" s="220"/>
      <c r="AX617" s="220"/>
      <c r="AY617" s="220"/>
      <c r="AZ617" s="220"/>
      <c r="BA617" s="220"/>
    </row>
    <row r="618">
      <c r="A618" s="240"/>
      <c r="B618" s="311"/>
      <c r="C618" s="311"/>
      <c r="D618" s="312"/>
      <c r="E618" s="311"/>
      <c r="F618" s="311"/>
      <c r="G618" s="312"/>
      <c r="H618" s="312"/>
      <c r="I618" s="313"/>
      <c r="J618" s="314"/>
      <c r="K618" s="313"/>
      <c r="L618" s="313"/>
      <c r="M618" s="313"/>
      <c r="N618" s="315"/>
      <c r="O618" s="313"/>
      <c r="P618" s="313"/>
      <c r="Q618" s="313"/>
      <c r="R618" s="313"/>
      <c r="S618" s="316"/>
      <c r="T618" s="317"/>
      <c r="U618" s="318"/>
      <c r="V618" s="319"/>
      <c r="W618" s="288"/>
      <c r="X618" s="220"/>
      <c r="Y618" s="220"/>
      <c r="Z618" s="220"/>
      <c r="AA618" s="220"/>
      <c r="AB618" s="220"/>
      <c r="AC618" s="220"/>
      <c r="AD618" s="220"/>
      <c r="AE618" s="220"/>
      <c r="AF618" s="220"/>
      <c r="AG618" s="220"/>
      <c r="AH618" s="308"/>
      <c r="AI618" s="220"/>
      <c r="AJ618" s="220"/>
      <c r="AK618" s="220"/>
      <c r="AL618" s="220"/>
      <c r="AM618" s="220"/>
      <c r="AN618" s="220"/>
      <c r="AO618" s="220"/>
      <c r="AP618" s="220"/>
      <c r="AQ618" s="220"/>
      <c r="AR618" s="220"/>
      <c r="AS618" s="220"/>
      <c r="AT618" s="220"/>
      <c r="AU618" s="220"/>
      <c r="AV618" s="220"/>
      <c r="AW618" s="220"/>
      <c r="AX618" s="220"/>
      <c r="AY618" s="220"/>
      <c r="AZ618" s="220"/>
      <c r="BA618" s="220"/>
    </row>
    <row r="619">
      <c r="A619" s="240"/>
      <c r="B619" s="311"/>
      <c r="C619" s="311"/>
      <c r="D619" s="312"/>
      <c r="E619" s="311"/>
      <c r="F619" s="311"/>
      <c r="G619" s="312"/>
      <c r="H619" s="312"/>
      <c r="I619" s="313"/>
      <c r="J619" s="314"/>
      <c r="K619" s="313"/>
      <c r="L619" s="313"/>
      <c r="M619" s="313"/>
      <c r="N619" s="315"/>
      <c r="O619" s="313"/>
      <c r="P619" s="313"/>
      <c r="Q619" s="313"/>
      <c r="R619" s="313"/>
      <c r="S619" s="316"/>
      <c r="T619" s="317"/>
      <c r="U619" s="318"/>
      <c r="V619" s="319"/>
      <c r="W619" s="288"/>
      <c r="X619" s="220"/>
      <c r="Y619" s="220"/>
      <c r="Z619" s="220"/>
      <c r="AA619" s="220"/>
      <c r="AB619" s="220"/>
      <c r="AC619" s="220"/>
      <c r="AD619" s="220"/>
      <c r="AE619" s="220"/>
      <c r="AF619" s="220"/>
      <c r="AG619" s="220"/>
      <c r="AH619" s="308"/>
      <c r="AI619" s="220"/>
      <c r="AJ619" s="220"/>
      <c r="AK619" s="220"/>
      <c r="AL619" s="220"/>
      <c r="AM619" s="220"/>
      <c r="AN619" s="220"/>
      <c r="AO619" s="220"/>
      <c r="AP619" s="220"/>
      <c r="AQ619" s="220"/>
      <c r="AR619" s="220"/>
      <c r="AS619" s="220"/>
      <c r="AT619" s="220"/>
      <c r="AU619" s="220"/>
      <c r="AV619" s="220"/>
      <c r="AW619" s="220"/>
      <c r="AX619" s="220"/>
      <c r="AY619" s="220"/>
      <c r="AZ619" s="220"/>
      <c r="BA619" s="220"/>
    </row>
    <row r="620">
      <c r="A620" s="240"/>
      <c r="B620" s="311"/>
      <c r="C620" s="311"/>
      <c r="D620" s="312"/>
      <c r="E620" s="311"/>
      <c r="F620" s="311"/>
      <c r="G620" s="312"/>
      <c r="H620" s="312"/>
      <c r="I620" s="313"/>
      <c r="J620" s="314"/>
      <c r="K620" s="313"/>
      <c r="L620" s="313"/>
      <c r="M620" s="313"/>
      <c r="N620" s="315"/>
      <c r="O620" s="313"/>
      <c r="P620" s="313"/>
      <c r="Q620" s="313"/>
      <c r="R620" s="313"/>
      <c r="S620" s="316"/>
      <c r="T620" s="317"/>
      <c r="U620" s="318"/>
      <c r="V620" s="319"/>
      <c r="W620" s="288"/>
      <c r="X620" s="220"/>
      <c r="Y620" s="220"/>
      <c r="Z620" s="220"/>
      <c r="AA620" s="220"/>
      <c r="AB620" s="220"/>
      <c r="AC620" s="220"/>
      <c r="AD620" s="220"/>
      <c r="AE620" s="220"/>
      <c r="AF620" s="220"/>
      <c r="AG620" s="220"/>
      <c r="AH620" s="308"/>
      <c r="AI620" s="220"/>
      <c r="AJ620" s="220"/>
      <c r="AK620" s="220"/>
      <c r="AL620" s="220"/>
      <c r="AM620" s="220"/>
      <c r="AN620" s="220"/>
      <c r="AO620" s="220"/>
      <c r="AP620" s="220"/>
      <c r="AQ620" s="220"/>
      <c r="AR620" s="220"/>
      <c r="AS620" s="220"/>
      <c r="AT620" s="220"/>
      <c r="AU620" s="220"/>
      <c r="AV620" s="220"/>
      <c r="AW620" s="220"/>
      <c r="AX620" s="220"/>
      <c r="AY620" s="220"/>
      <c r="AZ620" s="220"/>
      <c r="BA620" s="220"/>
    </row>
    <row r="621">
      <c r="A621" s="240"/>
      <c r="B621" s="311"/>
      <c r="C621" s="311"/>
      <c r="D621" s="312"/>
      <c r="E621" s="311"/>
      <c r="F621" s="311"/>
      <c r="G621" s="312"/>
      <c r="H621" s="312"/>
      <c r="I621" s="313"/>
      <c r="J621" s="314"/>
      <c r="K621" s="313"/>
      <c r="L621" s="313"/>
      <c r="M621" s="313"/>
      <c r="N621" s="315"/>
      <c r="O621" s="313"/>
      <c r="P621" s="313"/>
      <c r="Q621" s="313"/>
      <c r="R621" s="313"/>
      <c r="S621" s="316"/>
      <c r="T621" s="317"/>
      <c r="U621" s="318"/>
      <c r="V621" s="319"/>
      <c r="W621" s="288"/>
      <c r="X621" s="220"/>
      <c r="Y621" s="220"/>
      <c r="Z621" s="220"/>
      <c r="AA621" s="220"/>
      <c r="AB621" s="220"/>
      <c r="AC621" s="220"/>
      <c r="AD621" s="220"/>
      <c r="AE621" s="220"/>
      <c r="AF621" s="220"/>
      <c r="AG621" s="220"/>
      <c r="AH621" s="308"/>
      <c r="AI621" s="220"/>
      <c r="AJ621" s="220"/>
      <c r="AK621" s="220"/>
      <c r="AL621" s="220"/>
      <c r="AM621" s="220"/>
      <c r="AN621" s="220"/>
      <c r="AO621" s="220"/>
      <c r="AP621" s="220"/>
      <c r="AQ621" s="220"/>
      <c r="AR621" s="220"/>
      <c r="AS621" s="220"/>
      <c r="AT621" s="220"/>
      <c r="AU621" s="220"/>
      <c r="AV621" s="220"/>
      <c r="AW621" s="220"/>
      <c r="AX621" s="220"/>
      <c r="AY621" s="220"/>
      <c r="AZ621" s="220"/>
      <c r="BA621" s="220"/>
    </row>
    <row r="622">
      <c r="A622" s="240"/>
      <c r="B622" s="311"/>
      <c r="C622" s="311"/>
      <c r="D622" s="312"/>
      <c r="E622" s="311"/>
      <c r="F622" s="311"/>
      <c r="G622" s="312"/>
      <c r="H622" s="312"/>
      <c r="I622" s="313"/>
      <c r="J622" s="314"/>
      <c r="K622" s="313"/>
      <c r="L622" s="313"/>
      <c r="M622" s="313"/>
      <c r="N622" s="315"/>
      <c r="O622" s="313"/>
      <c r="P622" s="313"/>
      <c r="Q622" s="313"/>
      <c r="R622" s="313"/>
      <c r="S622" s="316"/>
      <c r="T622" s="317"/>
      <c r="U622" s="318"/>
      <c r="V622" s="319"/>
      <c r="W622" s="288"/>
      <c r="X622" s="220"/>
      <c r="Y622" s="220"/>
      <c r="Z622" s="220"/>
      <c r="AA622" s="220"/>
      <c r="AB622" s="220"/>
      <c r="AC622" s="220"/>
      <c r="AD622" s="220"/>
      <c r="AE622" s="220"/>
      <c r="AF622" s="220"/>
      <c r="AG622" s="220"/>
      <c r="AH622" s="308"/>
      <c r="AI622" s="220"/>
      <c r="AJ622" s="220"/>
      <c r="AK622" s="220"/>
      <c r="AL622" s="220"/>
      <c r="AM622" s="220"/>
      <c r="AN622" s="220"/>
      <c r="AO622" s="220"/>
      <c r="AP622" s="220"/>
      <c r="AQ622" s="220"/>
      <c r="AR622" s="220"/>
      <c r="AS622" s="220"/>
      <c r="AT622" s="220"/>
      <c r="AU622" s="220"/>
      <c r="AV622" s="220"/>
      <c r="AW622" s="220"/>
      <c r="AX622" s="220"/>
      <c r="AY622" s="220"/>
      <c r="AZ622" s="220"/>
      <c r="BA622" s="220"/>
    </row>
    <row r="623">
      <c r="A623" s="240"/>
      <c r="B623" s="311"/>
      <c r="C623" s="311"/>
      <c r="D623" s="312"/>
      <c r="E623" s="311"/>
      <c r="F623" s="311"/>
      <c r="G623" s="312"/>
      <c r="H623" s="312"/>
      <c r="I623" s="313"/>
      <c r="J623" s="314"/>
      <c r="K623" s="313"/>
      <c r="L623" s="313"/>
      <c r="M623" s="313"/>
      <c r="N623" s="315"/>
      <c r="O623" s="313"/>
      <c r="P623" s="313"/>
      <c r="Q623" s="313"/>
      <c r="R623" s="313"/>
      <c r="S623" s="316"/>
      <c r="T623" s="317"/>
      <c r="U623" s="318"/>
      <c r="V623" s="319"/>
      <c r="W623" s="288"/>
      <c r="X623" s="220"/>
      <c r="Y623" s="220"/>
      <c r="Z623" s="220"/>
      <c r="AA623" s="220"/>
      <c r="AB623" s="220"/>
      <c r="AC623" s="220"/>
      <c r="AD623" s="220"/>
      <c r="AE623" s="220"/>
      <c r="AF623" s="220"/>
      <c r="AG623" s="220"/>
      <c r="AH623" s="308"/>
      <c r="AI623" s="220"/>
      <c r="AJ623" s="220"/>
      <c r="AK623" s="220"/>
      <c r="AL623" s="220"/>
      <c r="AM623" s="220"/>
      <c r="AN623" s="220"/>
      <c r="AO623" s="220"/>
      <c r="AP623" s="220"/>
      <c r="AQ623" s="220"/>
      <c r="AR623" s="220"/>
      <c r="AS623" s="220"/>
      <c r="AT623" s="220"/>
      <c r="AU623" s="220"/>
      <c r="AV623" s="220"/>
      <c r="AW623" s="220"/>
      <c r="AX623" s="220"/>
      <c r="AY623" s="220"/>
      <c r="AZ623" s="220"/>
      <c r="BA623" s="220"/>
    </row>
    <row r="624">
      <c r="A624" s="240"/>
      <c r="B624" s="311"/>
      <c r="C624" s="311"/>
      <c r="D624" s="312"/>
      <c r="E624" s="311"/>
      <c r="F624" s="311"/>
      <c r="G624" s="312"/>
      <c r="H624" s="312"/>
      <c r="I624" s="313"/>
      <c r="J624" s="314"/>
      <c r="K624" s="313"/>
      <c r="L624" s="313"/>
      <c r="M624" s="313"/>
      <c r="N624" s="315"/>
      <c r="O624" s="313"/>
      <c r="P624" s="313"/>
      <c r="Q624" s="313"/>
      <c r="R624" s="313"/>
      <c r="S624" s="316"/>
      <c r="T624" s="317"/>
      <c r="U624" s="318"/>
      <c r="V624" s="319"/>
      <c r="W624" s="288"/>
      <c r="X624" s="220"/>
      <c r="Y624" s="220"/>
      <c r="Z624" s="220"/>
      <c r="AA624" s="220"/>
      <c r="AB624" s="220"/>
      <c r="AC624" s="220"/>
      <c r="AD624" s="220"/>
      <c r="AE624" s="220"/>
      <c r="AF624" s="220"/>
      <c r="AG624" s="220"/>
      <c r="AH624" s="308"/>
      <c r="AI624" s="220"/>
      <c r="AJ624" s="220"/>
      <c r="AK624" s="220"/>
      <c r="AL624" s="220"/>
      <c r="AM624" s="220"/>
      <c r="AN624" s="220"/>
      <c r="AO624" s="220"/>
      <c r="AP624" s="220"/>
      <c r="AQ624" s="220"/>
      <c r="AR624" s="220"/>
      <c r="AS624" s="220"/>
      <c r="AT624" s="220"/>
      <c r="AU624" s="220"/>
      <c r="AV624" s="220"/>
      <c r="AW624" s="220"/>
      <c r="AX624" s="220"/>
      <c r="AY624" s="220"/>
      <c r="AZ624" s="220"/>
      <c r="BA624" s="220"/>
    </row>
    <row r="625">
      <c r="A625" s="240"/>
      <c r="B625" s="311"/>
      <c r="C625" s="311"/>
      <c r="D625" s="312"/>
      <c r="E625" s="311"/>
      <c r="F625" s="311"/>
      <c r="G625" s="312"/>
      <c r="H625" s="312"/>
      <c r="I625" s="313"/>
      <c r="J625" s="314"/>
      <c r="K625" s="313"/>
      <c r="L625" s="313"/>
      <c r="M625" s="313"/>
      <c r="N625" s="315"/>
      <c r="O625" s="313"/>
      <c r="P625" s="313"/>
      <c r="Q625" s="313"/>
      <c r="R625" s="313"/>
      <c r="S625" s="316"/>
      <c r="T625" s="317"/>
      <c r="U625" s="318"/>
      <c r="V625" s="319"/>
      <c r="W625" s="288"/>
      <c r="X625" s="220"/>
      <c r="Y625" s="220"/>
      <c r="Z625" s="220"/>
      <c r="AA625" s="220"/>
      <c r="AB625" s="220"/>
      <c r="AC625" s="220"/>
      <c r="AD625" s="220"/>
      <c r="AE625" s="220"/>
      <c r="AF625" s="220"/>
      <c r="AG625" s="220"/>
      <c r="AH625" s="308"/>
      <c r="AI625" s="220"/>
      <c r="AJ625" s="220"/>
      <c r="AK625" s="220"/>
      <c r="AL625" s="220"/>
      <c r="AM625" s="220"/>
      <c r="AN625" s="220"/>
      <c r="AO625" s="220"/>
      <c r="AP625" s="220"/>
      <c r="AQ625" s="220"/>
      <c r="AR625" s="220"/>
      <c r="AS625" s="220"/>
      <c r="AT625" s="220"/>
      <c r="AU625" s="220"/>
      <c r="AV625" s="220"/>
      <c r="AW625" s="220"/>
      <c r="AX625" s="220"/>
      <c r="AY625" s="220"/>
      <c r="AZ625" s="220"/>
      <c r="BA625" s="220"/>
    </row>
    <row r="626">
      <c r="A626" s="240"/>
      <c r="B626" s="311"/>
      <c r="C626" s="311"/>
      <c r="D626" s="312"/>
      <c r="E626" s="311"/>
      <c r="F626" s="311"/>
      <c r="G626" s="312"/>
      <c r="H626" s="312"/>
      <c r="I626" s="313"/>
      <c r="J626" s="314"/>
      <c r="K626" s="313"/>
      <c r="L626" s="313"/>
      <c r="M626" s="313"/>
      <c r="N626" s="315"/>
      <c r="O626" s="313"/>
      <c r="P626" s="313"/>
      <c r="Q626" s="313"/>
      <c r="R626" s="313"/>
      <c r="S626" s="316"/>
      <c r="T626" s="317"/>
      <c r="U626" s="318"/>
      <c r="V626" s="319"/>
      <c r="W626" s="288"/>
      <c r="X626" s="220"/>
      <c r="Y626" s="220"/>
      <c r="Z626" s="220"/>
      <c r="AA626" s="220"/>
      <c r="AB626" s="220"/>
      <c r="AC626" s="220"/>
      <c r="AD626" s="220"/>
      <c r="AE626" s="220"/>
      <c r="AF626" s="220"/>
      <c r="AG626" s="220"/>
      <c r="AH626" s="308"/>
      <c r="AI626" s="220"/>
      <c r="AJ626" s="220"/>
      <c r="AK626" s="220"/>
      <c r="AL626" s="220"/>
      <c r="AM626" s="220"/>
      <c r="AN626" s="220"/>
      <c r="AO626" s="220"/>
      <c r="AP626" s="220"/>
      <c r="AQ626" s="220"/>
      <c r="AR626" s="220"/>
      <c r="AS626" s="220"/>
      <c r="AT626" s="220"/>
      <c r="AU626" s="220"/>
      <c r="AV626" s="220"/>
      <c r="AW626" s="220"/>
      <c r="AX626" s="220"/>
      <c r="AY626" s="220"/>
      <c r="AZ626" s="220"/>
      <c r="BA626" s="220"/>
    </row>
    <row r="627">
      <c r="A627" s="240"/>
      <c r="B627" s="311"/>
      <c r="C627" s="311"/>
      <c r="D627" s="312"/>
      <c r="E627" s="311"/>
      <c r="F627" s="311"/>
      <c r="G627" s="312"/>
      <c r="H627" s="312"/>
      <c r="I627" s="313"/>
      <c r="J627" s="314"/>
      <c r="K627" s="313"/>
      <c r="L627" s="313"/>
      <c r="M627" s="313"/>
      <c r="N627" s="315"/>
      <c r="O627" s="313"/>
      <c r="P627" s="313"/>
      <c r="Q627" s="313"/>
      <c r="R627" s="313"/>
      <c r="S627" s="316"/>
      <c r="T627" s="317"/>
      <c r="U627" s="318"/>
      <c r="V627" s="319"/>
      <c r="W627" s="288"/>
      <c r="X627" s="220"/>
      <c r="Y627" s="220"/>
      <c r="Z627" s="220"/>
      <c r="AA627" s="220"/>
      <c r="AB627" s="220"/>
      <c r="AC627" s="220"/>
      <c r="AD627" s="220"/>
      <c r="AE627" s="220"/>
      <c r="AF627" s="220"/>
      <c r="AG627" s="220"/>
      <c r="AH627" s="308"/>
      <c r="AI627" s="220"/>
      <c r="AJ627" s="220"/>
      <c r="AK627" s="220"/>
      <c r="AL627" s="220"/>
      <c r="AM627" s="220"/>
      <c r="AN627" s="220"/>
      <c r="AO627" s="220"/>
      <c r="AP627" s="220"/>
      <c r="AQ627" s="220"/>
      <c r="AR627" s="220"/>
      <c r="AS627" s="220"/>
      <c r="AT627" s="220"/>
      <c r="AU627" s="220"/>
      <c r="AV627" s="220"/>
      <c r="AW627" s="220"/>
      <c r="AX627" s="220"/>
      <c r="AY627" s="220"/>
      <c r="AZ627" s="220"/>
      <c r="BA627" s="220"/>
    </row>
    <row r="628">
      <c r="A628" s="240"/>
      <c r="B628" s="311"/>
      <c r="C628" s="311"/>
      <c r="D628" s="312"/>
      <c r="E628" s="311"/>
      <c r="F628" s="311"/>
      <c r="G628" s="312"/>
      <c r="H628" s="312"/>
      <c r="I628" s="313"/>
      <c r="J628" s="314"/>
      <c r="K628" s="313"/>
      <c r="L628" s="313"/>
      <c r="M628" s="313"/>
      <c r="N628" s="315"/>
      <c r="O628" s="313"/>
      <c r="P628" s="313"/>
      <c r="Q628" s="313"/>
      <c r="R628" s="313"/>
      <c r="S628" s="316"/>
      <c r="T628" s="317"/>
      <c r="U628" s="318"/>
      <c r="V628" s="319"/>
      <c r="W628" s="288"/>
      <c r="X628" s="220"/>
      <c r="Y628" s="220"/>
      <c r="Z628" s="220"/>
      <c r="AA628" s="220"/>
      <c r="AB628" s="220"/>
      <c r="AC628" s="220"/>
      <c r="AD628" s="220"/>
      <c r="AE628" s="220"/>
      <c r="AF628" s="220"/>
      <c r="AG628" s="220"/>
      <c r="AH628" s="308"/>
      <c r="AI628" s="220"/>
      <c r="AJ628" s="220"/>
      <c r="AK628" s="220"/>
      <c r="AL628" s="220"/>
      <c r="AM628" s="220"/>
      <c r="AN628" s="220"/>
      <c r="AO628" s="220"/>
      <c r="AP628" s="220"/>
      <c r="AQ628" s="220"/>
      <c r="AR628" s="220"/>
      <c r="AS628" s="220"/>
      <c r="AT628" s="220"/>
      <c r="AU628" s="220"/>
      <c r="AV628" s="220"/>
      <c r="AW628" s="220"/>
      <c r="AX628" s="220"/>
      <c r="AY628" s="220"/>
      <c r="AZ628" s="220"/>
      <c r="BA628" s="220"/>
    </row>
    <row r="629">
      <c r="A629" s="240"/>
      <c r="B629" s="311"/>
      <c r="C629" s="311"/>
      <c r="D629" s="312"/>
      <c r="E629" s="311"/>
      <c r="F629" s="311"/>
      <c r="G629" s="312"/>
      <c r="H629" s="312"/>
      <c r="I629" s="313"/>
      <c r="J629" s="314"/>
      <c r="K629" s="313"/>
      <c r="L629" s="313"/>
      <c r="M629" s="313"/>
      <c r="N629" s="315"/>
      <c r="O629" s="313"/>
      <c r="P629" s="313"/>
      <c r="Q629" s="313"/>
      <c r="R629" s="313"/>
      <c r="S629" s="316"/>
      <c r="T629" s="317"/>
      <c r="U629" s="318"/>
      <c r="V629" s="319"/>
      <c r="W629" s="288"/>
      <c r="X629" s="220"/>
      <c r="Y629" s="220"/>
      <c r="Z629" s="220"/>
      <c r="AA629" s="220"/>
      <c r="AB629" s="220"/>
      <c r="AC629" s="220"/>
      <c r="AD629" s="220"/>
      <c r="AE629" s="220"/>
      <c r="AF629" s="220"/>
      <c r="AG629" s="220"/>
      <c r="AH629" s="308"/>
      <c r="AI629" s="220"/>
      <c r="AJ629" s="220"/>
      <c r="AK629" s="220"/>
      <c r="AL629" s="220"/>
      <c r="AM629" s="220"/>
      <c r="AN629" s="220"/>
      <c r="AO629" s="220"/>
      <c r="AP629" s="220"/>
      <c r="AQ629" s="220"/>
      <c r="AR629" s="220"/>
      <c r="AS629" s="220"/>
      <c r="AT629" s="220"/>
      <c r="AU629" s="220"/>
      <c r="AV629" s="220"/>
      <c r="AW629" s="220"/>
      <c r="AX629" s="220"/>
      <c r="AY629" s="220"/>
      <c r="AZ629" s="220"/>
      <c r="BA629" s="220"/>
    </row>
    <row r="630">
      <c r="A630" s="240"/>
      <c r="B630" s="311"/>
      <c r="C630" s="311"/>
      <c r="D630" s="312"/>
      <c r="E630" s="311"/>
      <c r="F630" s="311"/>
      <c r="G630" s="312"/>
      <c r="H630" s="312"/>
      <c r="I630" s="313"/>
      <c r="J630" s="314"/>
      <c r="K630" s="313"/>
      <c r="L630" s="313"/>
      <c r="M630" s="313"/>
      <c r="N630" s="315"/>
      <c r="O630" s="313"/>
      <c r="P630" s="313"/>
      <c r="Q630" s="313"/>
      <c r="R630" s="313"/>
      <c r="S630" s="316"/>
      <c r="T630" s="317"/>
      <c r="U630" s="318"/>
      <c r="V630" s="319"/>
      <c r="W630" s="288"/>
      <c r="X630" s="220"/>
      <c r="Y630" s="220"/>
      <c r="Z630" s="220"/>
      <c r="AA630" s="220"/>
      <c r="AB630" s="220"/>
      <c r="AC630" s="220"/>
      <c r="AD630" s="220"/>
      <c r="AE630" s="220"/>
      <c r="AF630" s="220"/>
      <c r="AG630" s="220"/>
      <c r="AH630" s="308"/>
      <c r="AI630" s="220"/>
      <c r="AJ630" s="220"/>
      <c r="AK630" s="220"/>
      <c r="AL630" s="220"/>
      <c r="AM630" s="220"/>
      <c r="AN630" s="220"/>
      <c r="AO630" s="220"/>
      <c r="AP630" s="220"/>
      <c r="AQ630" s="220"/>
      <c r="AR630" s="220"/>
      <c r="AS630" s="220"/>
      <c r="AT630" s="220"/>
      <c r="AU630" s="220"/>
      <c r="AV630" s="220"/>
      <c r="AW630" s="220"/>
      <c r="AX630" s="220"/>
      <c r="AY630" s="220"/>
      <c r="AZ630" s="220"/>
      <c r="BA630" s="220"/>
    </row>
    <row r="631">
      <c r="A631" s="240"/>
      <c r="B631" s="311"/>
      <c r="C631" s="311"/>
      <c r="D631" s="312"/>
      <c r="E631" s="311"/>
      <c r="F631" s="311"/>
      <c r="G631" s="312"/>
      <c r="H631" s="312"/>
      <c r="I631" s="313"/>
      <c r="J631" s="314"/>
      <c r="K631" s="313"/>
      <c r="L631" s="313"/>
      <c r="M631" s="313"/>
      <c r="N631" s="315"/>
      <c r="O631" s="313"/>
      <c r="P631" s="313"/>
      <c r="Q631" s="313"/>
      <c r="R631" s="313"/>
      <c r="S631" s="316"/>
      <c r="T631" s="317"/>
      <c r="U631" s="318"/>
      <c r="V631" s="319"/>
      <c r="W631" s="288"/>
      <c r="X631" s="220"/>
      <c r="Y631" s="220"/>
      <c r="Z631" s="220"/>
      <c r="AA631" s="220"/>
      <c r="AB631" s="220"/>
      <c r="AC631" s="220"/>
      <c r="AD631" s="220"/>
      <c r="AE631" s="220"/>
      <c r="AF631" s="220"/>
      <c r="AG631" s="220"/>
      <c r="AH631" s="308"/>
      <c r="AI631" s="220"/>
      <c r="AJ631" s="220"/>
      <c r="AK631" s="220"/>
      <c r="AL631" s="220"/>
      <c r="AM631" s="220"/>
      <c r="AN631" s="220"/>
      <c r="AO631" s="220"/>
      <c r="AP631" s="220"/>
      <c r="AQ631" s="220"/>
      <c r="AR631" s="220"/>
      <c r="AS631" s="220"/>
      <c r="AT631" s="220"/>
      <c r="AU631" s="220"/>
      <c r="AV631" s="220"/>
      <c r="AW631" s="220"/>
      <c r="AX631" s="220"/>
      <c r="AY631" s="220"/>
      <c r="AZ631" s="220"/>
      <c r="BA631" s="220"/>
    </row>
    <row r="632">
      <c r="A632" s="240"/>
      <c r="B632" s="311"/>
      <c r="C632" s="311"/>
      <c r="D632" s="312"/>
      <c r="E632" s="311"/>
      <c r="F632" s="311"/>
      <c r="G632" s="312"/>
      <c r="H632" s="312"/>
      <c r="I632" s="313"/>
      <c r="J632" s="314"/>
      <c r="K632" s="313"/>
      <c r="L632" s="313"/>
      <c r="M632" s="313"/>
      <c r="N632" s="315"/>
      <c r="O632" s="313"/>
      <c r="P632" s="313"/>
      <c r="Q632" s="313"/>
      <c r="R632" s="313"/>
      <c r="S632" s="316"/>
      <c r="T632" s="317"/>
      <c r="U632" s="318"/>
      <c r="V632" s="319"/>
      <c r="W632" s="288"/>
      <c r="X632" s="220"/>
      <c r="Y632" s="220"/>
      <c r="Z632" s="220"/>
      <c r="AA632" s="220"/>
      <c r="AB632" s="220"/>
      <c r="AC632" s="220"/>
      <c r="AD632" s="220"/>
      <c r="AE632" s="220"/>
      <c r="AF632" s="220"/>
      <c r="AG632" s="220"/>
      <c r="AH632" s="308"/>
      <c r="AI632" s="220"/>
      <c r="AJ632" s="220"/>
      <c r="AK632" s="220"/>
      <c r="AL632" s="220"/>
      <c r="AM632" s="220"/>
      <c r="AN632" s="220"/>
      <c r="AO632" s="220"/>
      <c r="AP632" s="220"/>
      <c r="AQ632" s="220"/>
      <c r="AR632" s="220"/>
      <c r="AS632" s="220"/>
      <c r="AT632" s="220"/>
      <c r="AU632" s="220"/>
      <c r="AV632" s="220"/>
      <c r="AW632" s="220"/>
      <c r="AX632" s="220"/>
      <c r="AY632" s="220"/>
      <c r="AZ632" s="220"/>
      <c r="BA632" s="220"/>
    </row>
    <row r="633">
      <c r="A633" s="240"/>
      <c r="B633" s="311"/>
      <c r="C633" s="311"/>
      <c r="D633" s="312"/>
      <c r="E633" s="311"/>
      <c r="F633" s="311"/>
      <c r="G633" s="312"/>
      <c r="H633" s="312"/>
      <c r="I633" s="313"/>
      <c r="J633" s="314"/>
      <c r="K633" s="313"/>
      <c r="L633" s="313"/>
      <c r="M633" s="313"/>
      <c r="N633" s="315"/>
      <c r="O633" s="313"/>
      <c r="P633" s="313"/>
      <c r="Q633" s="313"/>
      <c r="R633" s="313"/>
      <c r="S633" s="316"/>
      <c r="T633" s="317"/>
      <c r="U633" s="318"/>
      <c r="V633" s="319"/>
      <c r="W633" s="288"/>
      <c r="X633" s="220"/>
      <c r="Y633" s="220"/>
      <c r="Z633" s="220"/>
      <c r="AA633" s="220"/>
      <c r="AB633" s="220"/>
      <c r="AC633" s="220"/>
      <c r="AD633" s="220"/>
      <c r="AE633" s="220"/>
      <c r="AF633" s="220"/>
      <c r="AG633" s="220"/>
      <c r="AH633" s="308"/>
      <c r="AI633" s="220"/>
      <c r="AJ633" s="220"/>
      <c r="AK633" s="220"/>
      <c r="AL633" s="220"/>
      <c r="AM633" s="220"/>
      <c r="AN633" s="220"/>
      <c r="AO633" s="220"/>
      <c r="AP633" s="220"/>
      <c r="AQ633" s="220"/>
      <c r="AR633" s="220"/>
      <c r="AS633" s="220"/>
      <c r="AT633" s="220"/>
      <c r="AU633" s="220"/>
      <c r="AV633" s="220"/>
      <c r="AW633" s="220"/>
      <c r="AX633" s="220"/>
      <c r="AY633" s="220"/>
      <c r="AZ633" s="220"/>
      <c r="BA633" s="220"/>
    </row>
    <row r="634">
      <c r="A634" s="240"/>
      <c r="B634" s="311"/>
      <c r="C634" s="311"/>
      <c r="D634" s="312"/>
      <c r="E634" s="311"/>
      <c r="F634" s="311"/>
      <c r="G634" s="312"/>
      <c r="H634" s="312"/>
      <c r="I634" s="313"/>
      <c r="J634" s="314"/>
      <c r="K634" s="313"/>
      <c r="L634" s="313"/>
      <c r="M634" s="313"/>
      <c r="N634" s="315"/>
      <c r="O634" s="313"/>
      <c r="P634" s="313"/>
      <c r="Q634" s="313"/>
      <c r="R634" s="313"/>
      <c r="S634" s="316"/>
      <c r="T634" s="317"/>
      <c r="U634" s="318"/>
      <c r="V634" s="319"/>
      <c r="W634" s="288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220"/>
      <c r="AH634" s="308"/>
      <c r="AI634" s="220"/>
      <c r="AJ634" s="220"/>
      <c r="AK634" s="220"/>
      <c r="AL634" s="220"/>
      <c r="AM634" s="220"/>
      <c r="AN634" s="220"/>
      <c r="AO634" s="220"/>
      <c r="AP634" s="220"/>
      <c r="AQ634" s="220"/>
      <c r="AR634" s="220"/>
      <c r="AS634" s="220"/>
      <c r="AT634" s="220"/>
      <c r="AU634" s="220"/>
      <c r="AV634" s="220"/>
      <c r="AW634" s="220"/>
      <c r="AX634" s="220"/>
      <c r="AY634" s="220"/>
      <c r="AZ634" s="220"/>
      <c r="BA634" s="220"/>
    </row>
    <row r="635">
      <c r="A635" s="240"/>
      <c r="B635" s="311"/>
      <c r="C635" s="311"/>
      <c r="D635" s="312"/>
      <c r="E635" s="311"/>
      <c r="F635" s="311"/>
      <c r="G635" s="312"/>
      <c r="H635" s="312"/>
      <c r="I635" s="313"/>
      <c r="J635" s="314"/>
      <c r="K635" s="313"/>
      <c r="L635" s="313"/>
      <c r="M635" s="313"/>
      <c r="N635" s="315"/>
      <c r="O635" s="313"/>
      <c r="P635" s="313"/>
      <c r="Q635" s="313"/>
      <c r="R635" s="313"/>
      <c r="S635" s="316"/>
      <c r="T635" s="317"/>
      <c r="U635" s="318"/>
      <c r="V635" s="319"/>
      <c r="W635" s="288"/>
      <c r="X635" s="220"/>
      <c r="Y635" s="220"/>
      <c r="Z635" s="220"/>
      <c r="AA635" s="220"/>
      <c r="AB635" s="220"/>
      <c r="AC635" s="220"/>
      <c r="AD635" s="220"/>
      <c r="AE635" s="220"/>
      <c r="AF635" s="220"/>
      <c r="AG635" s="220"/>
      <c r="AH635" s="308"/>
      <c r="AI635" s="220"/>
      <c r="AJ635" s="220"/>
      <c r="AK635" s="220"/>
      <c r="AL635" s="220"/>
      <c r="AM635" s="220"/>
      <c r="AN635" s="220"/>
      <c r="AO635" s="220"/>
      <c r="AP635" s="220"/>
      <c r="AQ635" s="220"/>
      <c r="AR635" s="220"/>
      <c r="AS635" s="220"/>
      <c r="AT635" s="220"/>
      <c r="AU635" s="220"/>
      <c r="AV635" s="220"/>
      <c r="AW635" s="220"/>
      <c r="AX635" s="220"/>
      <c r="AY635" s="220"/>
      <c r="AZ635" s="220"/>
      <c r="BA635" s="220"/>
    </row>
    <row r="636">
      <c r="A636" s="240"/>
      <c r="B636" s="311"/>
      <c r="C636" s="311"/>
      <c r="D636" s="312"/>
      <c r="E636" s="311"/>
      <c r="F636" s="311"/>
      <c r="G636" s="312"/>
      <c r="H636" s="312"/>
      <c r="I636" s="313"/>
      <c r="J636" s="314"/>
      <c r="K636" s="313"/>
      <c r="L636" s="313"/>
      <c r="M636" s="313"/>
      <c r="N636" s="315"/>
      <c r="O636" s="313"/>
      <c r="P636" s="313"/>
      <c r="Q636" s="313"/>
      <c r="R636" s="313"/>
      <c r="S636" s="316"/>
      <c r="T636" s="317"/>
      <c r="U636" s="318"/>
      <c r="V636" s="319"/>
      <c r="W636" s="288"/>
      <c r="X636" s="220"/>
      <c r="Y636" s="220"/>
      <c r="Z636" s="220"/>
      <c r="AA636" s="220"/>
      <c r="AB636" s="220"/>
      <c r="AC636" s="220"/>
      <c r="AD636" s="220"/>
      <c r="AE636" s="220"/>
      <c r="AF636" s="220"/>
      <c r="AG636" s="220"/>
      <c r="AH636" s="308"/>
      <c r="AI636" s="220"/>
      <c r="AJ636" s="220"/>
      <c r="AK636" s="220"/>
      <c r="AL636" s="220"/>
      <c r="AM636" s="220"/>
      <c r="AN636" s="220"/>
      <c r="AO636" s="220"/>
      <c r="AP636" s="220"/>
      <c r="AQ636" s="220"/>
      <c r="AR636" s="220"/>
      <c r="AS636" s="220"/>
      <c r="AT636" s="220"/>
      <c r="AU636" s="220"/>
      <c r="AV636" s="220"/>
      <c r="AW636" s="220"/>
      <c r="AX636" s="220"/>
      <c r="AY636" s="220"/>
      <c r="AZ636" s="220"/>
      <c r="BA636" s="220"/>
    </row>
    <row r="637">
      <c r="A637" s="240"/>
      <c r="B637" s="311"/>
      <c r="C637" s="311"/>
      <c r="D637" s="312"/>
      <c r="E637" s="311"/>
      <c r="F637" s="311"/>
      <c r="G637" s="312"/>
      <c r="H637" s="312"/>
      <c r="I637" s="313"/>
      <c r="J637" s="314"/>
      <c r="K637" s="313"/>
      <c r="L637" s="313"/>
      <c r="M637" s="313"/>
      <c r="N637" s="315"/>
      <c r="O637" s="313"/>
      <c r="P637" s="313"/>
      <c r="Q637" s="313"/>
      <c r="R637" s="313"/>
      <c r="S637" s="316"/>
      <c r="T637" s="317"/>
      <c r="U637" s="318"/>
      <c r="V637" s="319"/>
      <c r="W637" s="288"/>
      <c r="X637" s="220"/>
      <c r="Y637" s="220"/>
      <c r="Z637" s="220"/>
      <c r="AA637" s="220"/>
      <c r="AB637" s="220"/>
      <c r="AC637" s="220"/>
      <c r="AD637" s="220"/>
      <c r="AE637" s="220"/>
      <c r="AF637" s="220"/>
      <c r="AG637" s="220"/>
      <c r="AH637" s="308"/>
      <c r="AI637" s="220"/>
      <c r="AJ637" s="220"/>
      <c r="AK637" s="220"/>
      <c r="AL637" s="220"/>
      <c r="AM637" s="220"/>
      <c r="AN637" s="220"/>
      <c r="AO637" s="220"/>
      <c r="AP637" s="220"/>
      <c r="AQ637" s="220"/>
      <c r="AR637" s="220"/>
      <c r="AS637" s="220"/>
      <c r="AT637" s="220"/>
      <c r="AU637" s="220"/>
      <c r="AV637" s="220"/>
      <c r="AW637" s="220"/>
      <c r="AX637" s="220"/>
      <c r="AY637" s="220"/>
      <c r="AZ637" s="220"/>
      <c r="BA637" s="220"/>
    </row>
    <row r="638">
      <c r="A638" s="240"/>
      <c r="B638" s="311"/>
      <c r="C638" s="311"/>
      <c r="D638" s="312"/>
      <c r="E638" s="311"/>
      <c r="F638" s="311"/>
      <c r="G638" s="312"/>
      <c r="H638" s="312"/>
      <c r="I638" s="313"/>
      <c r="J638" s="314"/>
      <c r="K638" s="313"/>
      <c r="L638" s="313"/>
      <c r="M638" s="313"/>
      <c r="N638" s="315"/>
      <c r="O638" s="313"/>
      <c r="P638" s="313"/>
      <c r="Q638" s="313"/>
      <c r="R638" s="313"/>
      <c r="S638" s="316"/>
      <c r="T638" s="317"/>
      <c r="U638" s="318"/>
      <c r="V638" s="319"/>
      <c r="W638" s="288"/>
      <c r="X638" s="220"/>
      <c r="Y638" s="220"/>
      <c r="Z638" s="220"/>
      <c r="AA638" s="220"/>
      <c r="AB638" s="220"/>
      <c r="AC638" s="220"/>
      <c r="AD638" s="220"/>
      <c r="AE638" s="220"/>
      <c r="AF638" s="220"/>
      <c r="AG638" s="220"/>
      <c r="AH638" s="308"/>
      <c r="AI638" s="220"/>
      <c r="AJ638" s="220"/>
      <c r="AK638" s="220"/>
      <c r="AL638" s="220"/>
      <c r="AM638" s="220"/>
      <c r="AN638" s="220"/>
      <c r="AO638" s="220"/>
      <c r="AP638" s="220"/>
      <c r="AQ638" s="220"/>
      <c r="AR638" s="220"/>
      <c r="AS638" s="220"/>
      <c r="AT638" s="220"/>
      <c r="AU638" s="220"/>
      <c r="AV638" s="220"/>
      <c r="AW638" s="220"/>
      <c r="AX638" s="220"/>
      <c r="AY638" s="220"/>
      <c r="AZ638" s="220"/>
      <c r="BA638" s="220"/>
    </row>
    <row r="639">
      <c r="A639" s="240"/>
      <c r="B639" s="311"/>
      <c r="C639" s="311"/>
      <c r="D639" s="312"/>
      <c r="E639" s="311"/>
      <c r="F639" s="311"/>
      <c r="G639" s="312"/>
      <c r="H639" s="312"/>
      <c r="I639" s="313"/>
      <c r="J639" s="314"/>
      <c r="K639" s="313"/>
      <c r="L639" s="313"/>
      <c r="M639" s="313"/>
      <c r="N639" s="315"/>
      <c r="O639" s="313"/>
      <c r="P639" s="313"/>
      <c r="Q639" s="313"/>
      <c r="R639" s="313"/>
      <c r="S639" s="316"/>
      <c r="T639" s="317"/>
      <c r="U639" s="318"/>
      <c r="V639" s="319"/>
      <c r="W639" s="288"/>
      <c r="X639" s="220"/>
      <c r="Y639" s="220"/>
      <c r="Z639" s="220"/>
      <c r="AA639" s="220"/>
      <c r="AB639" s="220"/>
      <c r="AC639" s="220"/>
      <c r="AD639" s="220"/>
      <c r="AE639" s="220"/>
      <c r="AF639" s="220"/>
      <c r="AG639" s="220"/>
      <c r="AH639" s="308"/>
      <c r="AI639" s="220"/>
      <c r="AJ639" s="220"/>
      <c r="AK639" s="220"/>
      <c r="AL639" s="220"/>
      <c r="AM639" s="220"/>
      <c r="AN639" s="220"/>
      <c r="AO639" s="220"/>
      <c r="AP639" s="220"/>
      <c r="AQ639" s="220"/>
      <c r="AR639" s="220"/>
      <c r="AS639" s="220"/>
      <c r="AT639" s="220"/>
      <c r="AU639" s="220"/>
      <c r="AV639" s="220"/>
      <c r="AW639" s="220"/>
      <c r="AX639" s="220"/>
      <c r="AY639" s="220"/>
      <c r="AZ639" s="220"/>
      <c r="BA639" s="220"/>
    </row>
    <row r="640">
      <c r="A640" s="240"/>
      <c r="B640" s="311"/>
      <c r="C640" s="311"/>
      <c r="D640" s="312"/>
      <c r="E640" s="311"/>
      <c r="F640" s="311"/>
      <c r="G640" s="312"/>
      <c r="H640" s="312"/>
      <c r="I640" s="313"/>
      <c r="J640" s="314"/>
      <c r="K640" s="313"/>
      <c r="L640" s="313"/>
      <c r="M640" s="313"/>
      <c r="N640" s="315"/>
      <c r="O640" s="313"/>
      <c r="P640" s="313"/>
      <c r="Q640" s="313"/>
      <c r="R640" s="313"/>
      <c r="S640" s="316"/>
      <c r="T640" s="317"/>
      <c r="U640" s="318"/>
      <c r="V640" s="319"/>
      <c r="W640" s="288"/>
      <c r="X640" s="220"/>
      <c r="Y640" s="220"/>
      <c r="Z640" s="220"/>
      <c r="AA640" s="220"/>
      <c r="AB640" s="220"/>
      <c r="AC640" s="220"/>
      <c r="AD640" s="220"/>
      <c r="AE640" s="220"/>
      <c r="AF640" s="220"/>
      <c r="AG640" s="220"/>
      <c r="AH640" s="308"/>
      <c r="AI640" s="220"/>
      <c r="AJ640" s="220"/>
      <c r="AK640" s="220"/>
      <c r="AL640" s="220"/>
      <c r="AM640" s="220"/>
      <c r="AN640" s="220"/>
      <c r="AO640" s="220"/>
      <c r="AP640" s="220"/>
      <c r="AQ640" s="220"/>
      <c r="AR640" s="220"/>
      <c r="AS640" s="220"/>
      <c r="AT640" s="220"/>
      <c r="AU640" s="220"/>
      <c r="AV640" s="220"/>
      <c r="AW640" s="220"/>
      <c r="AX640" s="220"/>
      <c r="AY640" s="220"/>
      <c r="AZ640" s="220"/>
      <c r="BA640" s="220"/>
    </row>
    <row r="641">
      <c r="A641" s="240"/>
      <c r="B641" s="311"/>
      <c r="C641" s="311"/>
      <c r="D641" s="312"/>
      <c r="E641" s="311"/>
      <c r="F641" s="311"/>
      <c r="G641" s="312"/>
      <c r="H641" s="312"/>
      <c r="I641" s="313"/>
      <c r="J641" s="314"/>
      <c r="K641" s="313"/>
      <c r="L641" s="313"/>
      <c r="M641" s="313"/>
      <c r="N641" s="315"/>
      <c r="O641" s="313"/>
      <c r="P641" s="313"/>
      <c r="Q641" s="313"/>
      <c r="R641" s="313"/>
      <c r="S641" s="316"/>
      <c r="T641" s="317"/>
      <c r="U641" s="318"/>
      <c r="V641" s="319"/>
      <c r="W641" s="288"/>
      <c r="X641" s="220"/>
      <c r="Y641" s="220"/>
      <c r="Z641" s="220"/>
      <c r="AA641" s="220"/>
      <c r="AB641" s="220"/>
      <c r="AC641" s="220"/>
      <c r="AD641" s="220"/>
      <c r="AE641" s="220"/>
      <c r="AF641" s="220"/>
      <c r="AG641" s="220"/>
      <c r="AH641" s="308"/>
      <c r="AI641" s="220"/>
      <c r="AJ641" s="220"/>
      <c r="AK641" s="220"/>
      <c r="AL641" s="220"/>
      <c r="AM641" s="220"/>
      <c r="AN641" s="220"/>
      <c r="AO641" s="220"/>
      <c r="AP641" s="220"/>
      <c r="AQ641" s="220"/>
      <c r="AR641" s="220"/>
      <c r="AS641" s="220"/>
      <c r="AT641" s="220"/>
      <c r="AU641" s="220"/>
      <c r="AV641" s="220"/>
      <c r="AW641" s="220"/>
      <c r="AX641" s="220"/>
      <c r="AY641" s="220"/>
      <c r="AZ641" s="220"/>
      <c r="BA641" s="220"/>
    </row>
    <row r="642">
      <c r="A642" s="240"/>
      <c r="B642" s="311"/>
      <c r="C642" s="311"/>
      <c r="D642" s="312"/>
      <c r="E642" s="311"/>
      <c r="F642" s="311"/>
      <c r="G642" s="312"/>
      <c r="H642" s="312"/>
      <c r="I642" s="313"/>
      <c r="J642" s="314"/>
      <c r="K642" s="313"/>
      <c r="L642" s="313"/>
      <c r="M642" s="313"/>
      <c r="N642" s="315"/>
      <c r="O642" s="313"/>
      <c r="P642" s="313"/>
      <c r="Q642" s="313"/>
      <c r="R642" s="313"/>
      <c r="S642" s="316"/>
      <c r="T642" s="317"/>
      <c r="U642" s="318"/>
      <c r="V642" s="319"/>
      <c r="W642" s="288"/>
      <c r="X642" s="220"/>
      <c r="Y642" s="220"/>
      <c r="Z642" s="220"/>
      <c r="AA642" s="220"/>
      <c r="AB642" s="220"/>
      <c r="AC642" s="220"/>
      <c r="AD642" s="220"/>
      <c r="AE642" s="220"/>
      <c r="AF642" s="220"/>
      <c r="AG642" s="220"/>
      <c r="AH642" s="308"/>
      <c r="AI642" s="220"/>
      <c r="AJ642" s="220"/>
      <c r="AK642" s="220"/>
      <c r="AL642" s="220"/>
      <c r="AM642" s="220"/>
      <c r="AN642" s="220"/>
      <c r="AO642" s="220"/>
      <c r="AP642" s="220"/>
      <c r="AQ642" s="220"/>
      <c r="AR642" s="220"/>
      <c r="AS642" s="220"/>
      <c r="AT642" s="220"/>
      <c r="AU642" s="220"/>
      <c r="AV642" s="220"/>
      <c r="AW642" s="220"/>
      <c r="AX642" s="220"/>
      <c r="AY642" s="220"/>
      <c r="AZ642" s="220"/>
      <c r="BA642" s="220"/>
    </row>
    <row r="643">
      <c r="A643" s="240"/>
      <c r="B643" s="311"/>
      <c r="C643" s="311"/>
      <c r="D643" s="312"/>
      <c r="E643" s="311"/>
      <c r="F643" s="311"/>
      <c r="G643" s="312"/>
      <c r="H643" s="312"/>
      <c r="I643" s="313"/>
      <c r="J643" s="314"/>
      <c r="K643" s="313"/>
      <c r="L643" s="313"/>
      <c r="M643" s="313"/>
      <c r="N643" s="315"/>
      <c r="O643" s="313"/>
      <c r="P643" s="313"/>
      <c r="Q643" s="313"/>
      <c r="R643" s="313"/>
      <c r="S643" s="316"/>
      <c r="T643" s="317"/>
      <c r="U643" s="318"/>
      <c r="V643" s="319"/>
      <c r="W643" s="288"/>
      <c r="X643" s="220"/>
      <c r="Y643" s="220"/>
      <c r="Z643" s="220"/>
      <c r="AA643" s="220"/>
      <c r="AB643" s="220"/>
      <c r="AC643" s="220"/>
      <c r="AD643" s="220"/>
      <c r="AE643" s="220"/>
      <c r="AF643" s="220"/>
      <c r="AG643" s="220"/>
      <c r="AH643" s="308"/>
      <c r="AI643" s="220"/>
      <c r="AJ643" s="220"/>
      <c r="AK643" s="220"/>
      <c r="AL643" s="220"/>
      <c r="AM643" s="220"/>
      <c r="AN643" s="220"/>
      <c r="AO643" s="220"/>
      <c r="AP643" s="220"/>
      <c r="AQ643" s="220"/>
      <c r="AR643" s="220"/>
      <c r="AS643" s="220"/>
      <c r="AT643" s="220"/>
      <c r="AU643" s="220"/>
      <c r="AV643" s="220"/>
      <c r="AW643" s="220"/>
      <c r="AX643" s="220"/>
      <c r="AY643" s="220"/>
      <c r="AZ643" s="220"/>
      <c r="BA643" s="220"/>
    </row>
    <row r="644">
      <c r="A644" s="240"/>
      <c r="B644" s="311"/>
      <c r="C644" s="311"/>
      <c r="D644" s="312"/>
      <c r="E644" s="311"/>
      <c r="F644" s="311"/>
      <c r="G644" s="312"/>
      <c r="H644" s="312"/>
      <c r="I644" s="313"/>
      <c r="J644" s="314"/>
      <c r="K644" s="313"/>
      <c r="L644" s="313"/>
      <c r="M644" s="313"/>
      <c r="N644" s="315"/>
      <c r="O644" s="313"/>
      <c r="P644" s="313"/>
      <c r="Q644" s="313"/>
      <c r="R644" s="313"/>
      <c r="S644" s="316"/>
      <c r="T644" s="317"/>
      <c r="U644" s="318"/>
      <c r="V644" s="319"/>
      <c r="W644" s="288"/>
      <c r="X644" s="220"/>
      <c r="Y644" s="220"/>
      <c r="Z644" s="220"/>
      <c r="AA644" s="220"/>
      <c r="AB644" s="220"/>
      <c r="AC644" s="220"/>
      <c r="AD644" s="220"/>
      <c r="AE644" s="220"/>
      <c r="AF644" s="220"/>
      <c r="AG644" s="220"/>
      <c r="AH644" s="308"/>
      <c r="AI644" s="220"/>
      <c r="AJ644" s="220"/>
      <c r="AK644" s="220"/>
      <c r="AL644" s="220"/>
      <c r="AM644" s="220"/>
      <c r="AN644" s="220"/>
      <c r="AO644" s="220"/>
      <c r="AP644" s="220"/>
      <c r="AQ644" s="220"/>
      <c r="AR644" s="220"/>
      <c r="AS644" s="220"/>
      <c r="AT644" s="220"/>
      <c r="AU644" s="220"/>
      <c r="AV644" s="220"/>
      <c r="AW644" s="220"/>
      <c r="AX644" s="220"/>
      <c r="AY644" s="220"/>
      <c r="AZ644" s="220"/>
      <c r="BA644" s="220"/>
    </row>
    <row r="645">
      <c r="A645" s="240"/>
      <c r="B645" s="311"/>
      <c r="C645" s="311"/>
      <c r="D645" s="312"/>
      <c r="E645" s="311"/>
      <c r="F645" s="311"/>
      <c r="G645" s="312"/>
      <c r="H645" s="312"/>
      <c r="I645" s="313"/>
      <c r="J645" s="314"/>
      <c r="K645" s="313"/>
      <c r="L645" s="313"/>
      <c r="M645" s="313"/>
      <c r="N645" s="315"/>
      <c r="O645" s="313"/>
      <c r="P645" s="313"/>
      <c r="Q645" s="313"/>
      <c r="R645" s="313"/>
      <c r="S645" s="316"/>
      <c r="T645" s="317"/>
      <c r="U645" s="318"/>
      <c r="V645" s="319"/>
      <c r="W645" s="288"/>
      <c r="X645" s="220"/>
      <c r="Y645" s="220"/>
      <c r="Z645" s="220"/>
      <c r="AA645" s="220"/>
      <c r="AB645" s="220"/>
      <c r="AC645" s="220"/>
      <c r="AD645" s="220"/>
      <c r="AE645" s="220"/>
      <c r="AF645" s="220"/>
      <c r="AG645" s="220"/>
      <c r="AH645" s="308"/>
      <c r="AI645" s="220"/>
      <c r="AJ645" s="220"/>
      <c r="AK645" s="220"/>
      <c r="AL645" s="220"/>
      <c r="AM645" s="220"/>
      <c r="AN645" s="220"/>
      <c r="AO645" s="220"/>
      <c r="AP645" s="220"/>
      <c r="AQ645" s="220"/>
      <c r="AR645" s="220"/>
      <c r="AS645" s="220"/>
      <c r="AT645" s="220"/>
      <c r="AU645" s="220"/>
      <c r="AV645" s="220"/>
      <c r="AW645" s="220"/>
      <c r="AX645" s="220"/>
      <c r="AY645" s="220"/>
      <c r="AZ645" s="220"/>
      <c r="BA645" s="220"/>
    </row>
    <row r="646">
      <c r="A646" s="240"/>
      <c r="B646" s="311"/>
      <c r="C646" s="311"/>
      <c r="D646" s="312"/>
      <c r="E646" s="311"/>
      <c r="F646" s="311"/>
      <c r="G646" s="312"/>
      <c r="H646" s="312"/>
      <c r="I646" s="313"/>
      <c r="J646" s="314"/>
      <c r="K646" s="313"/>
      <c r="L646" s="313"/>
      <c r="M646" s="313"/>
      <c r="N646" s="315"/>
      <c r="O646" s="313"/>
      <c r="P646" s="313"/>
      <c r="Q646" s="313"/>
      <c r="R646" s="313"/>
      <c r="S646" s="316"/>
      <c r="T646" s="317"/>
      <c r="U646" s="318"/>
      <c r="V646" s="319"/>
      <c r="W646" s="288"/>
      <c r="X646" s="220"/>
      <c r="Y646" s="220"/>
      <c r="Z646" s="220"/>
      <c r="AA646" s="220"/>
      <c r="AB646" s="220"/>
      <c r="AC646" s="220"/>
      <c r="AD646" s="220"/>
      <c r="AE646" s="220"/>
      <c r="AF646" s="220"/>
      <c r="AG646" s="220"/>
      <c r="AH646" s="308"/>
      <c r="AI646" s="220"/>
      <c r="AJ646" s="220"/>
      <c r="AK646" s="220"/>
      <c r="AL646" s="220"/>
      <c r="AM646" s="220"/>
      <c r="AN646" s="220"/>
      <c r="AO646" s="220"/>
      <c r="AP646" s="220"/>
      <c r="AQ646" s="220"/>
      <c r="AR646" s="220"/>
      <c r="AS646" s="220"/>
      <c r="AT646" s="220"/>
      <c r="AU646" s="220"/>
      <c r="AV646" s="220"/>
      <c r="AW646" s="220"/>
      <c r="AX646" s="220"/>
      <c r="AY646" s="220"/>
      <c r="AZ646" s="220"/>
      <c r="BA646" s="220"/>
    </row>
    <row r="647">
      <c r="A647" s="240"/>
      <c r="B647" s="311"/>
      <c r="C647" s="311"/>
      <c r="D647" s="312"/>
      <c r="E647" s="311"/>
      <c r="F647" s="311"/>
      <c r="G647" s="312"/>
      <c r="H647" s="312"/>
      <c r="I647" s="313"/>
      <c r="J647" s="314"/>
      <c r="K647" s="313"/>
      <c r="L647" s="313"/>
      <c r="M647" s="313"/>
      <c r="N647" s="315"/>
      <c r="O647" s="313"/>
      <c r="P647" s="313"/>
      <c r="Q647" s="313"/>
      <c r="R647" s="313"/>
      <c r="S647" s="316"/>
      <c r="T647" s="317"/>
      <c r="U647" s="318"/>
      <c r="V647" s="319"/>
      <c r="W647" s="288"/>
      <c r="X647" s="220"/>
      <c r="Y647" s="220"/>
      <c r="Z647" s="220"/>
      <c r="AA647" s="220"/>
      <c r="AB647" s="220"/>
      <c r="AC647" s="220"/>
      <c r="AD647" s="220"/>
      <c r="AE647" s="220"/>
      <c r="AF647" s="220"/>
      <c r="AG647" s="220"/>
      <c r="AH647" s="308"/>
      <c r="AI647" s="220"/>
      <c r="AJ647" s="220"/>
      <c r="AK647" s="220"/>
      <c r="AL647" s="220"/>
      <c r="AM647" s="220"/>
      <c r="AN647" s="220"/>
      <c r="AO647" s="220"/>
      <c r="AP647" s="220"/>
      <c r="AQ647" s="220"/>
      <c r="AR647" s="220"/>
      <c r="AS647" s="220"/>
      <c r="AT647" s="220"/>
      <c r="AU647" s="220"/>
      <c r="AV647" s="220"/>
      <c r="AW647" s="220"/>
      <c r="AX647" s="220"/>
      <c r="AY647" s="220"/>
      <c r="AZ647" s="220"/>
      <c r="BA647" s="220"/>
    </row>
    <row r="648">
      <c r="A648" s="240"/>
      <c r="B648" s="311"/>
      <c r="C648" s="311"/>
      <c r="D648" s="312"/>
      <c r="E648" s="311"/>
      <c r="F648" s="311"/>
      <c r="G648" s="312"/>
      <c r="H648" s="312"/>
      <c r="I648" s="313"/>
      <c r="J648" s="314"/>
      <c r="K648" s="313"/>
      <c r="L648" s="313"/>
      <c r="M648" s="313"/>
      <c r="N648" s="315"/>
      <c r="O648" s="313"/>
      <c r="P648" s="313"/>
      <c r="Q648" s="313"/>
      <c r="R648" s="313"/>
      <c r="S648" s="316"/>
      <c r="T648" s="317"/>
      <c r="U648" s="318"/>
      <c r="V648" s="319"/>
      <c r="W648" s="288"/>
      <c r="X648" s="220"/>
      <c r="Y648" s="220"/>
      <c r="Z648" s="220"/>
      <c r="AA648" s="220"/>
      <c r="AB648" s="220"/>
      <c r="AC648" s="220"/>
      <c r="AD648" s="220"/>
      <c r="AE648" s="220"/>
      <c r="AF648" s="220"/>
      <c r="AG648" s="220"/>
      <c r="AH648" s="308"/>
      <c r="AI648" s="220"/>
      <c r="AJ648" s="220"/>
      <c r="AK648" s="220"/>
      <c r="AL648" s="220"/>
      <c r="AM648" s="220"/>
      <c r="AN648" s="220"/>
      <c r="AO648" s="220"/>
      <c r="AP648" s="220"/>
      <c r="AQ648" s="220"/>
      <c r="AR648" s="220"/>
      <c r="AS648" s="220"/>
      <c r="AT648" s="220"/>
      <c r="AU648" s="220"/>
      <c r="AV648" s="220"/>
      <c r="AW648" s="220"/>
      <c r="AX648" s="220"/>
      <c r="AY648" s="220"/>
      <c r="AZ648" s="220"/>
      <c r="BA648" s="220"/>
    </row>
    <row r="649">
      <c r="A649" s="240"/>
      <c r="B649" s="311"/>
      <c r="C649" s="311"/>
      <c r="D649" s="312"/>
      <c r="E649" s="311"/>
      <c r="F649" s="311"/>
      <c r="G649" s="312"/>
      <c r="H649" s="312"/>
      <c r="I649" s="313"/>
      <c r="J649" s="314"/>
      <c r="K649" s="313"/>
      <c r="L649" s="313"/>
      <c r="M649" s="313"/>
      <c r="N649" s="315"/>
      <c r="O649" s="313"/>
      <c r="P649" s="313"/>
      <c r="Q649" s="313"/>
      <c r="R649" s="313"/>
      <c r="S649" s="316"/>
      <c r="T649" s="317"/>
      <c r="U649" s="318"/>
      <c r="V649" s="319"/>
      <c r="W649" s="288"/>
      <c r="X649" s="220"/>
      <c r="Y649" s="220"/>
      <c r="Z649" s="220"/>
      <c r="AA649" s="220"/>
      <c r="AB649" s="220"/>
      <c r="AC649" s="220"/>
      <c r="AD649" s="220"/>
      <c r="AE649" s="220"/>
      <c r="AF649" s="220"/>
      <c r="AG649" s="220"/>
      <c r="AH649" s="308"/>
      <c r="AI649" s="220"/>
      <c r="AJ649" s="220"/>
      <c r="AK649" s="220"/>
      <c r="AL649" s="220"/>
      <c r="AM649" s="220"/>
      <c r="AN649" s="220"/>
      <c r="AO649" s="220"/>
      <c r="AP649" s="220"/>
      <c r="AQ649" s="220"/>
      <c r="AR649" s="220"/>
      <c r="AS649" s="220"/>
      <c r="AT649" s="220"/>
      <c r="AU649" s="220"/>
      <c r="AV649" s="220"/>
      <c r="AW649" s="220"/>
      <c r="AX649" s="220"/>
      <c r="AY649" s="220"/>
      <c r="AZ649" s="220"/>
      <c r="BA649" s="220"/>
    </row>
    <row r="650">
      <c r="A650" s="240"/>
      <c r="B650" s="311"/>
      <c r="C650" s="311"/>
      <c r="D650" s="312"/>
      <c r="E650" s="311"/>
      <c r="F650" s="311"/>
      <c r="G650" s="312"/>
      <c r="H650" s="312"/>
      <c r="I650" s="313"/>
      <c r="J650" s="314"/>
      <c r="K650" s="313"/>
      <c r="L650" s="313"/>
      <c r="M650" s="313"/>
      <c r="N650" s="315"/>
      <c r="O650" s="313"/>
      <c r="P650" s="313"/>
      <c r="Q650" s="313"/>
      <c r="R650" s="313"/>
      <c r="S650" s="316"/>
      <c r="T650" s="317"/>
      <c r="U650" s="318"/>
      <c r="V650" s="319"/>
      <c r="W650" s="288"/>
      <c r="X650" s="220"/>
      <c r="Y650" s="220"/>
      <c r="Z650" s="220"/>
      <c r="AA650" s="220"/>
      <c r="AB650" s="220"/>
      <c r="AC650" s="220"/>
      <c r="AD650" s="220"/>
      <c r="AE650" s="220"/>
      <c r="AF650" s="220"/>
      <c r="AG650" s="220"/>
      <c r="AH650" s="308"/>
      <c r="AI650" s="220"/>
      <c r="AJ650" s="220"/>
      <c r="AK650" s="220"/>
      <c r="AL650" s="220"/>
      <c r="AM650" s="220"/>
      <c r="AN650" s="220"/>
      <c r="AO650" s="220"/>
      <c r="AP650" s="220"/>
      <c r="AQ650" s="220"/>
      <c r="AR650" s="220"/>
      <c r="AS650" s="220"/>
      <c r="AT650" s="220"/>
      <c r="AU650" s="220"/>
      <c r="AV650" s="220"/>
      <c r="AW650" s="220"/>
      <c r="AX650" s="220"/>
      <c r="AY650" s="220"/>
      <c r="AZ650" s="220"/>
      <c r="BA650" s="220"/>
    </row>
    <row r="651">
      <c r="A651" s="240"/>
      <c r="B651" s="311"/>
      <c r="C651" s="311"/>
      <c r="D651" s="312"/>
      <c r="E651" s="311"/>
      <c r="F651" s="311"/>
      <c r="G651" s="312"/>
      <c r="H651" s="312"/>
      <c r="I651" s="313"/>
      <c r="J651" s="314"/>
      <c r="K651" s="313"/>
      <c r="L651" s="313"/>
      <c r="M651" s="313"/>
      <c r="N651" s="315"/>
      <c r="O651" s="313"/>
      <c r="P651" s="313"/>
      <c r="Q651" s="313"/>
      <c r="R651" s="313"/>
      <c r="S651" s="316"/>
      <c r="T651" s="317"/>
      <c r="U651" s="318"/>
      <c r="V651" s="319"/>
      <c r="W651" s="288"/>
      <c r="X651" s="220"/>
      <c r="Y651" s="220"/>
      <c r="Z651" s="220"/>
      <c r="AA651" s="220"/>
      <c r="AB651" s="220"/>
      <c r="AC651" s="220"/>
      <c r="AD651" s="220"/>
      <c r="AE651" s="220"/>
      <c r="AF651" s="220"/>
      <c r="AG651" s="220"/>
      <c r="AH651" s="308"/>
      <c r="AI651" s="220"/>
      <c r="AJ651" s="220"/>
      <c r="AK651" s="220"/>
      <c r="AL651" s="220"/>
      <c r="AM651" s="220"/>
      <c r="AN651" s="220"/>
      <c r="AO651" s="220"/>
      <c r="AP651" s="220"/>
      <c r="AQ651" s="220"/>
      <c r="AR651" s="220"/>
      <c r="AS651" s="220"/>
      <c r="AT651" s="220"/>
      <c r="AU651" s="220"/>
      <c r="AV651" s="220"/>
      <c r="AW651" s="220"/>
      <c r="AX651" s="220"/>
      <c r="AY651" s="220"/>
      <c r="AZ651" s="220"/>
      <c r="BA651" s="220"/>
    </row>
    <row r="652">
      <c r="A652" s="240"/>
      <c r="B652" s="311"/>
      <c r="C652" s="311"/>
      <c r="D652" s="312"/>
      <c r="E652" s="311"/>
      <c r="F652" s="311"/>
      <c r="G652" s="312"/>
      <c r="H652" s="312"/>
      <c r="I652" s="313"/>
      <c r="J652" s="314"/>
      <c r="K652" s="313"/>
      <c r="L652" s="313"/>
      <c r="M652" s="313"/>
      <c r="N652" s="315"/>
      <c r="O652" s="313"/>
      <c r="P652" s="313"/>
      <c r="Q652" s="313"/>
      <c r="R652" s="313"/>
      <c r="S652" s="316"/>
      <c r="T652" s="317"/>
      <c r="U652" s="318"/>
      <c r="V652" s="319"/>
      <c r="W652" s="288"/>
      <c r="X652" s="220"/>
      <c r="Y652" s="220"/>
      <c r="Z652" s="220"/>
      <c r="AA652" s="220"/>
      <c r="AB652" s="220"/>
      <c r="AC652" s="220"/>
      <c r="AD652" s="220"/>
      <c r="AE652" s="220"/>
      <c r="AF652" s="220"/>
      <c r="AG652" s="220"/>
      <c r="AH652" s="308"/>
      <c r="AI652" s="220"/>
      <c r="AJ652" s="220"/>
      <c r="AK652" s="220"/>
      <c r="AL652" s="220"/>
      <c r="AM652" s="220"/>
      <c r="AN652" s="220"/>
      <c r="AO652" s="220"/>
      <c r="AP652" s="220"/>
      <c r="AQ652" s="220"/>
      <c r="AR652" s="220"/>
      <c r="AS652" s="220"/>
      <c r="AT652" s="220"/>
      <c r="AU652" s="220"/>
      <c r="AV652" s="220"/>
      <c r="AW652" s="220"/>
      <c r="AX652" s="220"/>
      <c r="AY652" s="220"/>
      <c r="AZ652" s="220"/>
      <c r="BA652" s="220"/>
    </row>
    <row r="653">
      <c r="A653" s="240"/>
      <c r="B653" s="311"/>
      <c r="C653" s="311"/>
      <c r="D653" s="312"/>
      <c r="E653" s="311"/>
      <c r="F653" s="311"/>
      <c r="G653" s="312"/>
      <c r="H653" s="312"/>
      <c r="I653" s="313"/>
      <c r="J653" s="314"/>
      <c r="K653" s="313"/>
      <c r="L653" s="313"/>
      <c r="M653" s="313"/>
      <c r="N653" s="315"/>
      <c r="O653" s="313"/>
      <c r="P653" s="313"/>
      <c r="Q653" s="313"/>
      <c r="R653" s="313"/>
      <c r="S653" s="316"/>
      <c r="T653" s="317"/>
      <c r="U653" s="318"/>
      <c r="V653" s="319"/>
      <c r="W653" s="288"/>
      <c r="X653" s="220"/>
      <c r="Y653" s="220"/>
      <c r="Z653" s="220"/>
      <c r="AA653" s="220"/>
      <c r="AB653" s="220"/>
      <c r="AC653" s="220"/>
      <c r="AD653" s="220"/>
      <c r="AE653" s="220"/>
      <c r="AF653" s="220"/>
      <c r="AG653" s="220"/>
      <c r="AH653" s="308"/>
      <c r="AI653" s="220"/>
      <c r="AJ653" s="220"/>
      <c r="AK653" s="220"/>
      <c r="AL653" s="220"/>
      <c r="AM653" s="220"/>
      <c r="AN653" s="220"/>
      <c r="AO653" s="220"/>
      <c r="AP653" s="220"/>
      <c r="AQ653" s="220"/>
      <c r="AR653" s="220"/>
      <c r="AS653" s="220"/>
      <c r="AT653" s="220"/>
      <c r="AU653" s="220"/>
      <c r="AV653" s="220"/>
      <c r="AW653" s="220"/>
      <c r="AX653" s="220"/>
      <c r="AY653" s="220"/>
      <c r="AZ653" s="220"/>
      <c r="BA653" s="220"/>
    </row>
    <row r="654">
      <c r="A654" s="240"/>
      <c r="B654" s="311"/>
      <c r="C654" s="311"/>
      <c r="D654" s="312"/>
      <c r="E654" s="311"/>
      <c r="F654" s="311"/>
      <c r="G654" s="312"/>
      <c r="H654" s="312"/>
      <c r="I654" s="313"/>
      <c r="J654" s="314"/>
      <c r="K654" s="313"/>
      <c r="L654" s="313"/>
      <c r="M654" s="313"/>
      <c r="N654" s="315"/>
      <c r="O654" s="313"/>
      <c r="P654" s="313"/>
      <c r="Q654" s="313"/>
      <c r="R654" s="313"/>
      <c r="S654" s="316"/>
      <c r="T654" s="317"/>
      <c r="U654" s="318"/>
      <c r="V654" s="319"/>
      <c r="W654" s="288"/>
      <c r="X654" s="220"/>
      <c r="Y654" s="220"/>
      <c r="Z654" s="220"/>
      <c r="AA654" s="220"/>
      <c r="AB654" s="220"/>
      <c r="AC654" s="220"/>
      <c r="AD654" s="220"/>
      <c r="AE654" s="220"/>
      <c r="AF654" s="220"/>
      <c r="AG654" s="220"/>
      <c r="AH654" s="308"/>
      <c r="AI654" s="220"/>
      <c r="AJ654" s="220"/>
      <c r="AK654" s="220"/>
      <c r="AL654" s="220"/>
      <c r="AM654" s="220"/>
      <c r="AN654" s="220"/>
      <c r="AO654" s="220"/>
      <c r="AP654" s="220"/>
      <c r="AQ654" s="220"/>
      <c r="AR654" s="220"/>
      <c r="AS654" s="220"/>
      <c r="AT654" s="220"/>
      <c r="AU654" s="220"/>
      <c r="AV654" s="220"/>
      <c r="AW654" s="220"/>
      <c r="AX654" s="220"/>
      <c r="AY654" s="220"/>
      <c r="AZ654" s="220"/>
      <c r="BA654" s="220"/>
    </row>
    <row r="655">
      <c r="A655" s="240"/>
      <c r="B655" s="311"/>
      <c r="C655" s="311"/>
      <c r="D655" s="312"/>
      <c r="E655" s="311"/>
      <c r="F655" s="311"/>
      <c r="G655" s="312"/>
      <c r="H655" s="312"/>
      <c r="I655" s="313"/>
      <c r="J655" s="314"/>
      <c r="K655" s="313"/>
      <c r="L655" s="313"/>
      <c r="M655" s="313"/>
      <c r="N655" s="315"/>
      <c r="O655" s="313"/>
      <c r="P655" s="313"/>
      <c r="Q655" s="313"/>
      <c r="R655" s="313"/>
      <c r="S655" s="316"/>
      <c r="T655" s="317"/>
      <c r="U655" s="318"/>
      <c r="V655" s="319"/>
      <c r="W655" s="288"/>
      <c r="X655" s="220"/>
      <c r="Y655" s="220"/>
      <c r="Z655" s="220"/>
      <c r="AA655" s="220"/>
      <c r="AB655" s="220"/>
      <c r="AC655" s="220"/>
      <c r="AD655" s="220"/>
      <c r="AE655" s="220"/>
      <c r="AF655" s="220"/>
      <c r="AG655" s="220"/>
      <c r="AH655" s="308"/>
      <c r="AI655" s="220"/>
      <c r="AJ655" s="220"/>
      <c r="AK655" s="220"/>
      <c r="AL655" s="220"/>
      <c r="AM655" s="220"/>
      <c r="AN655" s="220"/>
      <c r="AO655" s="220"/>
      <c r="AP655" s="220"/>
      <c r="AQ655" s="220"/>
      <c r="AR655" s="220"/>
      <c r="AS655" s="220"/>
      <c r="AT655" s="220"/>
      <c r="AU655" s="220"/>
      <c r="AV655" s="220"/>
      <c r="AW655" s="220"/>
      <c r="AX655" s="220"/>
      <c r="AY655" s="220"/>
      <c r="AZ655" s="220"/>
      <c r="BA655" s="220"/>
    </row>
    <row r="656">
      <c r="A656" s="240"/>
      <c r="B656" s="311"/>
      <c r="C656" s="311"/>
      <c r="D656" s="312"/>
      <c r="E656" s="311"/>
      <c r="F656" s="311"/>
      <c r="G656" s="312"/>
      <c r="H656" s="312"/>
      <c r="I656" s="313"/>
      <c r="J656" s="314"/>
      <c r="K656" s="313"/>
      <c r="L656" s="313"/>
      <c r="M656" s="313"/>
      <c r="N656" s="315"/>
      <c r="O656" s="313"/>
      <c r="P656" s="313"/>
      <c r="Q656" s="313"/>
      <c r="R656" s="313"/>
      <c r="S656" s="316"/>
      <c r="T656" s="317"/>
      <c r="U656" s="318"/>
      <c r="V656" s="319"/>
      <c r="W656" s="288"/>
      <c r="X656" s="220"/>
      <c r="Y656" s="220"/>
      <c r="Z656" s="220"/>
      <c r="AA656" s="220"/>
      <c r="AB656" s="220"/>
      <c r="AC656" s="220"/>
      <c r="AD656" s="220"/>
      <c r="AE656" s="220"/>
      <c r="AF656" s="220"/>
      <c r="AG656" s="220"/>
      <c r="AH656" s="308"/>
      <c r="AI656" s="220"/>
      <c r="AJ656" s="220"/>
      <c r="AK656" s="220"/>
      <c r="AL656" s="220"/>
      <c r="AM656" s="220"/>
      <c r="AN656" s="220"/>
      <c r="AO656" s="220"/>
      <c r="AP656" s="220"/>
      <c r="AQ656" s="220"/>
      <c r="AR656" s="220"/>
      <c r="AS656" s="220"/>
      <c r="AT656" s="220"/>
      <c r="AU656" s="220"/>
      <c r="AV656" s="220"/>
      <c r="AW656" s="220"/>
      <c r="AX656" s="220"/>
      <c r="AY656" s="220"/>
      <c r="AZ656" s="220"/>
      <c r="BA656" s="220"/>
    </row>
    <row r="657">
      <c r="A657" s="240"/>
      <c r="B657" s="311"/>
      <c r="C657" s="311"/>
      <c r="D657" s="312"/>
      <c r="E657" s="311"/>
      <c r="F657" s="311"/>
      <c r="G657" s="312"/>
      <c r="H657" s="312"/>
      <c r="I657" s="313"/>
      <c r="J657" s="314"/>
      <c r="K657" s="313"/>
      <c r="L657" s="313"/>
      <c r="M657" s="313"/>
      <c r="N657" s="315"/>
      <c r="O657" s="313"/>
      <c r="P657" s="313"/>
      <c r="Q657" s="313"/>
      <c r="R657" s="313"/>
      <c r="S657" s="316"/>
      <c r="T657" s="317"/>
      <c r="U657" s="318"/>
      <c r="V657" s="319"/>
      <c r="W657" s="288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220"/>
      <c r="AH657" s="308"/>
      <c r="AI657" s="220"/>
      <c r="AJ657" s="220"/>
      <c r="AK657" s="220"/>
      <c r="AL657" s="220"/>
      <c r="AM657" s="220"/>
      <c r="AN657" s="220"/>
      <c r="AO657" s="220"/>
      <c r="AP657" s="220"/>
      <c r="AQ657" s="220"/>
      <c r="AR657" s="220"/>
      <c r="AS657" s="220"/>
      <c r="AT657" s="220"/>
      <c r="AU657" s="220"/>
      <c r="AV657" s="220"/>
      <c r="AW657" s="220"/>
      <c r="AX657" s="220"/>
      <c r="AY657" s="220"/>
      <c r="AZ657" s="220"/>
      <c r="BA657" s="220"/>
    </row>
    <row r="658">
      <c r="A658" s="240"/>
      <c r="B658" s="311"/>
      <c r="C658" s="311"/>
      <c r="D658" s="312"/>
      <c r="E658" s="311"/>
      <c r="F658" s="311"/>
      <c r="G658" s="312"/>
      <c r="H658" s="312"/>
      <c r="I658" s="313"/>
      <c r="J658" s="314"/>
      <c r="K658" s="313"/>
      <c r="L658" s="313"/>
      <c r="M658" s="313"/>
      <c r="N658" s="315"/>
      <c r="O658" s="313"/>
      <c r="P658" s="313"/>
      <c r="Q658" s="313"/>
      <c r="R658" s="313"/>
      <c r="S658" s="316"/>
      <c r="T658" s="317"/>
      <c r="U658" s="318"/>
      <c r="V658" s="319"/>
      <c r="W658" s="288"/>
      <c r="X658" s="220"/>
      <c r="Y658" s="220"/>
      <c r="Z658" s="220"/>
      <c r="AA658" s="220"/>
      <c r="AB658" s="220"/>
      <c r="AC658" s="220"/>
      <c r="AD658" s="220"/>
      <c r="AE658" s="220"/>
      <c r="AF658" s="220"/>
      <c r="AG658" s="220"/>
      <c r="AH658" s="308"/>
      <c r="AI658" s="220"/>
      <c r="AJ658" s="220"/>
      <c r="AK658" s="220"/>
      <c r="AL658" s="220"/>
      <c r="AM658" s="220"/>
      <c r="AN658" s="220"/>
      <c r="AO658" s="220"/>
      <c r="AP658" s="220"/>
      <c r="AQ658" s="220"/>
      <c r="AR658" s="220"/>
      <c r="AS658" s="220"/>
      <c r="AT658" s="220"/>
      <c r="AU658" s="220"/>
      <c r="AV658" s="220"/>
      <c r="AW658" s="220"/>
      <c r="AX658" s="220"/>
      <c r="AY658" s="220"/>
      <c r="AZ658" s="220"/>
      <c r="BA658" s="220"/>
    </row>
    <row r="659">
      <c r="A659" s="240"/>
      <c r="B659" s="311"/>
      <c r="C659" s="311"/>
      <c r="D659" s="312"/>
      <c r="E659" s="311"/>
      <c r="F659" s="311"/>
      <c r="G659" s="312"/>
      <c r="H659" s="312"/>
      <c r="I659" s="313"/>
      <c r="J659" s="314"/>
      <c r="K659" s="313"/>
      <c r="L659" s="313"/>
      <c r="M659" s="313"/>
      <c r="N659" s="315"/>
      <c r="O659" s="313"/>
      <c r="P659" s="313"/>
      <c r="Q659" s="313"/>
      <c r="R659" s="313"/>
      <c r="S659" s="316"/>
      <c r="T659" s="317"/>
      <c r="U659" s="318"/>
      <c r="V659" s="319"/>
      <c r="W659" s="288"/>
      <c r="X659" s="220"/>
      <c r="Y659" s="220"/>
      <c r="Z659" s="220"/>
      <c r="AA659" s="220"/>
      <c r="AB659" s="220"/>
      <c r="AC659" s="220"/>
      <c r="AD659" s="220"/>
      <c r="AE659" s="220"/>
      <c r="AF659" s="220"/>
      <c r="AG659" s="220"/>
      <c r="AH659" s="308"/>
      <c r="AI659" s="220"/>
      <c r="AJ659" s="220"/>
      <c r="AK659" s="220"/>
      <c r="AL659" s="220"/>
      <c r="AM659" s="220"/>
      <c r="AN659" s="220"/>
      <c r="AO659" s="220"/>
      <c r="AP659" s="220"/>
      <c r="AQ659" s="220"/>
      <c r="AR659" s="220"/>
      <c r="AS659" s="220"/>
      <c r="AT659" s="220"/>
      <c r="AU659" s="220"/>
      <c r="AV659" s="220"/>
      <c r="AW659" s="220"/>
      <c r="AX659" s="220"/>
      <c r="AY659" s="220"/>
      <c r="AZ659" s="220"/>
      <c r="BA659" s="220"/>
    </row>
    <row r="660">
      <c r="A660" s="240"/>
      <c r="B660" s="311"/>
      <c r="C660" s="311"/>
      <c r="D660" s="312"/>
      <c r="E660" s="311"/>
      <c r="F660" s="311"/>
      <c r="G660" s="312"/>
      <c r="H660" s="312"/>
      <c r="I660" s="313"/>
      <c r="J660" s="314"/>
      <c r="K660" s="313"/>
      <c r="L660" s="313"/>
      <c r="M660" s="313"/>
      <c r="N660" s="315"/>
      <c r="O660" s="313"/>
      <c r="P660" s="313"/>
      <c r="Q660" s="313"/>
      <c r="R660" s="313"/>
      <c r="S660" s="316"/>
      <c r="T660" s="317"/>
      <c r="U660" s="318"/>
      <c r="V660" s="319"/>
      <c r="W660" s="288"/>
      <c r="X660" s="220"/>
      <c r="Y660" s="220"/>
      <c r="Z660" s="220"/>
      <c r="AA660" s="220"/>
      <c r="AB660" s="220"/>
      <c r="AC660" s="220"/>
      <c r="AD660" s="220"/>
      <c r="AE660" s="220"/>
      <c r="AF660" s="220"/>
      <c r="AG660" s="220"/>
      <c r="AH660" s="308"/>
      <c r="AI660" s="220"/>
      <c r="AJ660" s="220"/>
      <c r="AK660" s="220"/>
      <c r="AL660" s="220"/>
      <c r="AM660" s="220"/>
      <c r="AN660" s="220"/>
      <c r="AO660" s="220"/>
      <c r="AP660" s="220"/>
      <c r="AQ660" s="220"/>
      <c r="AR660" s="220"/>
      <c r="AS660" s="220"/>
      <c r="AT660" s="220"/>
      <c r="AU660" s="220"/>
      <c r="AV660" s="220"/>
      <c r="AW660" s="220"/>
      <c r="AX660" s="220"/>
      <c r="AY660" s="220"/>
      <c r="AZ660" s="220"/>
      <c r="BA660" s="220"/>
    </row>
    <row r="661">
      <c r="A661" s="240"/>
      <c r="B661" s="311"/>
      <c r="C661" s="311"/>
      <c r="D661" s="312"/>
      <c r="E661" s="311"/>
      <c r="F661" s="311"/>
      <c r="G661" s="312"/>
      <c r="H661" s="312"/>
      <c r="I661" s="313"/>
      <c r="J661" s="314"/>
      <c r="K661" s="313"/>
      <c r="L661" s="313"/>
      <c r="M661" s="313"/>
      <c r="N661" s="315"/>
      <c r="O661" s="313"/>
      <c r="P661" s="313"/>
      <c r="Q661" s="313"/>
      <c r="R661" s="313"/>
      <c r="S661" s="316"/>
      <c r="T661" s="317"/>
      <c r="U661" s="318"/>
      <c r="V661" s="319"/>
      <c r="W661" s="288"/>
      <c r="X661" s="220"/>
      <c r="Y661" s="220"/>
      <c r="Z661" s="220"/>
      <c r="AA661" s="220"/>
      <c r="AB661" s="220"/>
      <c r="AC661" s="220"/>
      <c r="AD661" s="220"/>
      <c r="AE661" s="220"/>
      <c r="AF661" s="220"/>
      <c r="AG661" s="220"/>
      <c r="AH661" s="308"/>
      <c r="AI661" s="220"/>
      <c r="AJ661" s="220"/>
      <c r="AK661" s="220"/>
      <c r="AL661" s="220"/>
      <c r="AM661" s="220"/>
      <c r="AN661" s="220"/>
      <c r="AO661" s="220"/>
      <c r="AP661" s="220"/>
      <c r="AQ661" s="220"/>
      <c r="AR661" s="220"/>
      <c r="AS661" s="220"/>
      <c r="AT661" s="220"/>
      <c r="AU661" s="220"/>
      <c r="AV661" s="220"/>
      <c r="AW661" s="220"/>
      <c r="AX661" s="220"/>
      <c r="AY661" s="220"/>
      <c r="AZ661" s="220"/>
      <c r="BA661" s="220"/>
    </row>
    <row r="662">
      <c r="A662" s="240"/>
      <c r="B662" s="311"/>
      <c r="C662" s="311"/>
      <c r="D662" s="312"/>
      <c r="E662" s="311"/>
      <c r="F662" s="311"/>
      <c r="G662" s="312"/>
      <c r="H662" s="312"/>
      <c r="I662" s="313"/>
      <c r="J662" s="314"/>
      <c r="K662" s="313"/>
      <c r="L662" s="313"/>
      <c r="M662" s="313"/>
      <c r="N662" s="315"/>
      <c r="O662" s="313"/>
      <c r="P662" s="313"/>
      <c r="Q662" s="313"/>
      <c r="R662" s="313"/>
      <c r="S662" s="316"/>
      <c r="T662" s="317"/>
      <c r="U662" s="318"/>
      <c r="V662" s="319"/>
      <c r="W662" s="288"/>
      <c r="X662" s="220"/>
      <c r="Y662" s="220"/>
      <c r="Z662" s="220"/>
      <c r="AA662" s="220"/>
      <c r="AB662" s="220"/>
      <c r="AC662" s="220"/>
      <c r="AD662" s="220"/>
      <c r="AE662" s="220"/>
      <c r="AF662" s="220"/>
      <c r="AG662" s="220"/>
      <c r="AH662" s="308"/>
      <c r="AI662" s="220"/>
      <c r="AJ662" s="220"/>
      <c r="AK662" s="220"/>
      <c r="AL662" s="220"/>
      <c r="AM662" s="220"/>
      <c r="AN662" s="220"/>
      <c r="AO662" s="220"/>
      <c r="AP662" s="220"/>
      <c r="AQ662" s="220"/>
      <c r="AR662" s="220"/>
      <c r="AS662" s="220"/>
      <c r="AT662" s="220"/>
      <c r="AU662" s="220"/>
      <c r="AV662" s="220"/>
      <c r="AW662" s="220"/>
      <c r="AX662" s="220"/>
      <c r="AY662" s="220"/>
      <c r="AZ662" s="220"/>
      <c r="BA662" s="220"/>
    </row>
    <row r="663">
      <c r="A663" s="240"/>
      <c r="B663" s="311"/>
      <c r="C663" s="311"/>
      <c r="D663" s="312"/>
      <c r="E663" s="311"/>
      <c r="F663" s="311"/>
      <c r="G663" s="312"/>
      <c r="H663" s="312"/>
      <c r="I663" s="313"/>
      <c r="J663" s="314"/>
      <c r="K663" s="313"/>
      <c r="L663" s="313"/>
      <c r="M663" s="313"/>
      <c r="N663" s="315"/>
      <c r="O663" s="313"/>
      <c r="P663" s="313"/>
      <c r="Q663" s="313"/>
      <c r="R663" s="313"/>
      <c r="S663" s="316"/>
      <c r="T663" s="317"/>
      <c r="U663" s="318"/>
      <c r="V663" s="319"/>
      <c r="W663" s="288"/>
      <c r="X663" s="220"/>
      <c r="Y663" s="220"/>
      <c r="Z663" s="220"/>
      <c r="AA663" s="220"/>
      <c r="AB663" s="220"/>
      <c r="AC663" s="220"/>
      <c r="AD663" s="220"/>
      <c r="AE663" s="220"/>
      <c r="AF663" s="220"/>
      <c r="AG663" s="220"/>
      <c r="AH663" s="308"/>
      <c r="AI663" s="220"/>
      <c r="AJ663" s="220"/>
      <c r="AK663" s="220"/>
      <c r="AL663" s="220"/>
      <c r="AM663" s="220"/>
      <c r="AN663" s="220"/>
      <c r="AO663" s="220"/>
      <c r="AP663" s="220"/>
      <c r="AQ663" s="220"/>
      <c r="AR663" s="220"/>
      <c r="AS663" s="220"/>
      <c r="AT663" s="220"/>
      <c r="AU663" s="220"/>
      <c r="AV663" s="220"/>
      <c r="AW663" s="220"/>
      <c r="AX663" s="220"/>
      <c r="AY663" s="220"/>
      <c r="AZ663" s="220"/>
      <c r="BA663" s="220"/>
    </row>
    <row r="664">
      <c r="A664" s="240"/>
      <c r="B664" s="311"/>
      <c r="C664" s="311"/>
      <c r="D664" s="312"/>
      <c r="E664" s="311"/>
      <c r="F664" s="311"/>
      <c r="G664" s="312"/>
      <c r="H664" s="312"/>
      <c r="I664" s="313"/>
      <c r="J664" s="314"/>
      <c r="K664" s="313"/>
      <c r="L664" s="313"/>
      <c r="M664" s="313"/>
      <c r="N664" s="315"/>
      <c r="O664" s="313"/>
      <c r="P664" s="313"/>
      <c r="Q664" s="313"/>
      <c r="R664" s="313"/>
      <c r="S664" s="316"/>
      <c r="T664" s="317"/>
      <c r="U664" s="318"/>
      <c r="V664" s="319"/>
      <c r="W664" s="288"/>
      <c r="X664" s="220"/>
      <c r="Y664" s="220"/>
      <c r="Z664" s="220"/>
      <c r="AA664" s="220"/>
      <c r="AB664" s="220"/>
      <c r="AC664" s="220"/>
      <c r="AD664" s="220"/>
      <c r="AE664" s="220"/>
      <c r="AF664" s="220"/>
      <c r="AG664" s="220"/>
      <c r="AH664" s="308"/>
      <c r="AI664" s="220"/>
      <c r="AJ664" s="220"/>
      <c r="AK664" s="220"/>
      <c r="AL664" s="220"/>
      <c r="AM664" s="220"/>
      <c r="AN664" s="220"/>
      <c r="AO664" s="220"/>
      <c r="AP664" s="220"/>
      <c r="AQ664" s="220"/>
      <c r="AR664" s="220"/>
      <c r="AS664" s="220"/>
      <c r="AT664" s="220"/>
      <c r="AU664" s="220"/>
      <c r="AV664" s="220"/>
      <c r="AW664" s="220"/>
      <c r="AX664" s="220"/>
      <c r="AY664" s="220"/>
      <c r="AZ664" s="220"/>
      <c r="BA664" s="220"/>
    </row>
    <row r="665">
      <c r="A665" s="240"/>
      <c r="B665" s="311"/>
      <c r="C665" s="311"/>
      <c r="D665" s="312"/>
      <c r="E665" s="311"/>
      <c r="F665" s="311"/>
      <c r="G665" s="312"/>
      <c r="H665" s="312"/>
      <c r="I665" s="313"/>
      <c r="J665" s="314"/>
      <c r="K665" s="313"/>
      <c r="L665" s="313"/>
      <c r="M665" s="313"/>
      <c r="N665" s="315"/>
      <c r="O665" s="313"/>
      <c r="P665" s="313"/>
      <c r="Q665" s="313"/>
      <c r="R665" s="313"/>
      <c r="S665" s="316"/>
      <c r="T665" s="317"/>
      <c r="U665" s="318"/>
      <c r="V665" s="319"/>
      <c r="W665" s="288"/>
      <c r="X665" s="220"/>
      <c r="Y665" s="220"/>
      <c r="Z665" s="220"/>
      <c r="AA665" s="220"/>
      <c r="AB665" s="220"/>
      <c r="AC665" s="220"/>
      <c r="AD665" s="220"/>
      <c r="AE665" s="220"/>
      <c r="AF665" s="220"/>
      <c r="AG665" s="220"/>
      <c r="AH665" s="308"/>
      <c r="AI665" s="220"/>
      <c r="AJ665" s="220"/>
      <c r="AK665" s="220"/>
      <c r="AL665" s="220"/>
      <c r="AM665" s="220"/>
      <c r="AN665" s="220"/>
      <c r="AO665" s="220"/>
      <c r="AP665" s="220"/>
      <c r="AQ665" s="220"/>
      <c r="AR665" s="220"/>
      <c r="AS665" s="220"/>
      <c r="AT665" s="220"/>
      <c r="AU665" s="220"/>
      <c r="AV665" s="220"/>
      <c r="AW665" s="220"/>
      <c r="AX665" s="220"/>
      <c r="AY665" s="220"/>
      <c r="AZ665" s="220"/>
      <c r="BA665" s="220"/>
    </row>
    <row r="666">
      <c r="A666" s="240"/>
      <c r="B666" s="311"/>
      <c r="C666" s="311"/>
      <c r="D666" s="312"/>
      <c r="E666" s="311"/>
      <c r="F666" s="311"/>
      <c r="G666" s="312"/>
      <c r="H666" s="312"/>
      <c r="I666" s="313"/>
      <c r="J666" s="314"/>
      <c r="K666" s="313"/>
      <c r="L666" s="313"/>
      <c r="M666" s="313"/>
      <c r="N666" s="315"/>
      <c r="O666" s="313"/>
      <c r="P666" s="313"/>
      <c r="Q666" s="313"/>
      <c r="R666" s="313"/>
      <c r="S666" s="316"/>
      <c r="T666" s="317"/>
      <c r="U666" s="318"/>
      <c r="V666" s="319"/>
      <c r="W666" s="288"/>
      <c r="X666" s="220"/>
      <c r="Y666" s="220"/>
      <c r="Z666" s="220"/>
      <c r="AA666" s="220"/>
      <c r="AB666" s="220"/>
      <c r="AC666" s="220"/>
      <c r="AD666" s="220"/>
      <c r="AE666" s="220"/>
      <c r="AF666" s="220"/>
      <c r="AG666" s="220"/>
      <c r="AH666" s="308"/>
      <c r="AI666" s="220"/>
      <c r="AJ666" s="220"/>
      <c r="AK666" s="220"/>
      <c r="AL666" s="220"/>
      <c r="AM666" s="220"/>
      <c r="AN666" s="220"/>
      <c r="AO666" s="220"/>
      <c r="AP666" s="220"/>
      <c r="AQ666" s="220"/>
      <c r="AR666" s="220"/>
      <c r="AS666" s="220"/>
      <c r="AT666" s="220"/>
      <c r="AU666" s="220"/>
      <c r="AV666" s="220"/>
      <c r="AW666" s="220"/>
      <c r="AX666" s="220"/>
      <c r="AY666" s="220"/>
      <c r="AZ666" s="220"/>
      <c r="BA666" s="220"/>
    </row>
    <row r="667">
      <c r="A667" s="240"/>
      <c r="B667" s="311"/>
      <c r="C667" s="311"/>
      <c r="D667" s="312"/>
      <c r="E667" s="311"/>
      <c r="F667" s="311"/>
      <c r="G667" s="312"/>
      <c r="H667" s="312"/>
      <c r="I667" s="313"/>
      <c r="J667" s="314"/>
      <c r="K667" s="313"/>
      <c r="L667" s="313"/>
      <c r="M667" s="313"/>
      <c r="N667" s="315"/>
      <c r="O667" s="313"/>
      <c r="P667" s="313"/>
      <c r="Q667" s="313"/>
      <c r="R667" s="313"/>
      <c r="S667" s="316"/>
      <c r="T667" s="317"/>
      <c r="U667" s="318"/>
      <c r="V667" s="319"/>
      <c r="W667" s="288"/>
      <c r="X667" s="220"/>
      <c r="Y667" s="220"/>
      <c r="Z667" s="220"/>
      <c r="AA667" s="220"/>
      <c r="AB667" s="220"/>
      <c r="AC667" s="220"/>
      <c r="AD667" s="220"/>
      <c r="AE667" s="220"/>
      <c r="AF667" s="220"/>
      <c r="AG667" s="220"/>
      <c r="AH667" s="308"/>
      <c r="AI667" s="220"/>
      <c r="AJ667" s="220"/>
      <c r="AK667" s="220"/>
      <c r="AL667" s="220"/>
      <c r="AM667" s="220"/>
      <c r="AN667" s="220"/>
      <c r="AO667" s="220"/>
      <c r="AP667" s="220"/>
      <c r="AQ667" s="220"/>
      <c r="AR667" s="220"/>
      <c r="AS667" s="220"/>
      <c r="AT667" s="220"/>
      <c r="AU667" s="220"/>
      <c r="AV667" s="220"/>
      <c r="AW667" s="220"/>
      <c r="AX667" s="220"/>
      <c r="AY667" s="220"/>
      <c r="AZ667" s="220"/>
      <c r="BA667" s="220"/>
    </row>
    <row r="668">
      <c r="A668" s="240"/>
      <c r="B668" s="311"/>
      <c r="C668" s="311"/>
      <c r="D668" s="312"/>
      <c r="E668" s="311"/>
      <c r="F668" s="311"/>
      <c r="G668" s="312"/>
      <c r="H668" s="312"/>
      <c r="I668" s="313"/>
      <c r="J668" s="314"/>
      <c r="K668" s="313"/>
      <c r="L668" s="313"/>
      <c r="M668" s="313"/>
      <c r="N668" s="315"/>
      <c r="O668" s="313"/>
      <c r="P668" s="313"/>
      <c r="Q668" s="313"/>
      <c r="R668" s="313"/>
      <c r="S668" s="316"/>
      <c r="T668" s="317"/>
      <c r="U668" s="318"/>
      <c r="V668" s="319"/>
      <c r="W668" s="288"/>
      <c r="X668" s="220"/>
      <c r="Y668" s="220"/>
      <c r="Z668" s="220"/>
      <c r="AA668" s="220"/>
      <c r="AB668" s="220"/>
      <c r="AC668" s="220"/>
      <c r="AD668" s="220"/>
      <c r="AE668" s="220"/>
      <c r="AF668" s="220"/>
      <c r="AG668" s="220"/>
      <c r="AH668" s="308"/>
      <c r="AI668" s="220"/>
      <c r="AJ668" s="220"/>
      <c r="AK668" s="220"/>
      <c r="AL668" s="220"/>
      <c r="AM668" s="220"/>
      <c r="AN668" s="220"/>
      <c r="AO668" s="220"/>
      <c r="AP668" s="220"/>
      <c r="AQ668" s="220"/>
      <c r="AR668" s="220"/>
      <c r="AS668" s="220"/>
      <c r="AT668" s="220"/>
      <c r="AU668" s="220"/>
      <c r="AV668" s="220"/>
      <c r="AW668" s="220"/>
      <c r="AX668" s="220"/>
      <c r="AY668" s="220"/>
      <c r="AZ668" s="220"/>
      <c r="BA668" s="220"/>
    </row>
    <row r="669">
      <c r="A669" s="240"/>
      <c r="B669" s="311"/>
      <c r="C669" s="311"/>
      <c r="D669" s="312"/>
      <c r="E669" s="311"/>
      <c r="F669" s="311"/>
      <c r="G669" s="312"/>
      <c r="H669" s="312"/>
      <c r="I669" s="313"/>
      <c r="J669" s="314"/>
      <c r="K669" s="313"/>
      <c r="L669" s="313"/>
      <c r="M669" s="313"/>
      <c r="N669" s="315"/>
      <c r="O669" s="313"/>
      <c r="P669" s="313"/>
      <c r="Q669" s="313"/>
      <c r="R669" s="313"/>
      <c r="S669" s="316"/>
      <c r="T669" s="317"/>
      <c r="U669" s="318"/>
      <c r="V669" s="319"/>
      <c r="W669" s="288"/>
      <c r="X669" s="220"/>
      <c r="Y669" s="220"/>
      <c r="Z669" s="220"/>
      <c r="AA669" s="220"/>
      <c r="AB669" s="220"/>
      <c r="AC669" s="220"/>
      <c r="AD669" s="220"/>
      <c r="AE669" s="220"/>
      <c r="AF669" s="220"/>
      <c r="AG669" s="220"/>
      <c r="AH669" s="308"/>
      <c r="AI669" s="220"/>
      <c r="AJ669" s="220"/>
      <c r="AK669" s="220"/>
      <c r="AL669" s="220"/>
      <c r="AM669" s="220"/>
      <c r="AN669" s="220"/>
      <c r="AO669" s="220"/>
      <c r="AP669" s="220"/>
      <c r="AQ669" s="220"/>
      <c r="AR669" s="220"/>
      <c r="AS669" s="220"/>
      <c r="AT669" s="220"/>
      <c r="AU669" s="220"/>
      <c r="AV669" s="220"/>
      <c r="AW669" s="220"/>
      <c r="AX669" s="220"/>
      <c r="AY669" s="220"/>
      <c r="AZ669" s="220"/>
      <c r="BA669" s="220"/>
    </row>
    <row r="670">
      <c r="A670" s="240"/>
      <c r="B670" s="311"/>
      <c r="C670" s="311"/>
      <c r="D670" s="312"/>
      <c r="E670" s="311"/>
      <c r="F670" s="311"/>
      <c r="G670" s="312"/>
      <c r="H670" s="312"/>
      <c r="I670" s="313"/>
      <c r="J670" s="314"/>
      <c r="K670" s="313"/>
      <c r="L670" s="313"/>
      <c r="M670" s="313"/>
      <c r="N670" s="315"/>
      <c r="O670" s="313"/>
      <c r="P670" s="313"/>
      <c r="Q670" s="313"/>
      <c r="R670" s="313"/>
      <c r="S670" s="316"/>
      <c r="T670" s="317"/>
      <c r="U670" s="318"/>
      <c r="V670" s="319"/>
      <c r="W670" s="288"/>
      <c r="X670" s="220"/>
      <c r="Y670" s="220"/>
      <c r="Z670" s="220"/>
      <c r="AA670" s="220"/>
      <c r="AB670" s="220"/>
      <c r="AC670" s="220"/>
      <c r="AD670" s="220"/>
      <c r="AE670" s="220"/>
      <c r="AF670" s="220"/>
      <c r="AG670" s="220"/>
      <c r="AH670" s="308"/>
      <c r="AI670" s="220"/>
      <c r="AJ670" s="220"/>
      <c r="AK670" s="220"/>
      <c r="AL670" s="220"/>
      <c r="AM670" s="220"/>
      <c r="AN670" s="220"/>
      <c r="AO670" s="220"/>
      <c r="AP670" s="220"/>
      <c r="AQ670" s="220"/>
      <c r="AR670" s="220"/>
      <c r="AS670" s="220"/>
      <c r="AT670" s="220"/>
      <c r="AU670" s="220"/>
      <c r="AV670" s="220"/>
      <c r="AW670" s="220"/>
      <c r="AX670" s="220"/>
      <c r="AY670" s="220"/>
      <c r="AZ670" s="220"/>
      <c r="BA670" s="220"/>
    </row>
    <row r="671">
      <c r="A671" s="240"/>
      <c r="B671" s="311"/>
      <c r="C671" s="311"/>
      <c r="D671" s="312"/>
      <c r="E671" s="311"/>
      <c r="F671" s="311"/>
      <c r="G671" s="312"/>
      <c r="H671" s="312"/>
      <c r="I671" s="313"/>
      <c r="J671" s="314"/>
      <c r="K671" s="313"/>
      <c r="L671" s="313"/>
      <c r="M671" s="313"/>
      <c r="N671" s="315"/>
      <c r="O671" s="313"/>
      <c r="P671" s="313"/>
      <c r="Q671" s="313"/>
      <c r="R671" s="313"/>
      <c r="S671" s="316"/>
      <c r="T671" s="317"/>
      <c r="U671" s="318"/>
      <c r="V671" s="319"/>
      <c r="W671" s="288"/>
      <c r="X671" s="220"/>
      <c r="Y671" s="220"/>
      <c r="Z671" s="220"/>
      <c r="AA671" s="220"/>
      <c r="AB671" s="220"/>
      <c r="AC671" s="220"/>
      <c r="AD671" s="220"/>
      <c r="AE671" s="220"/>
      <c r="AF671" s="220"/>
      <c r="AG671" s="220"/>
      <c r="AH671" s="308"/>
      <c r="AI671" s="220"/>
      <c r="AJ671" s="220"/>
      <c r="AK671" s="220"/>
      <c r="AL671" s="220"/>
      <c r="AM671" s="220"/>
      <c r="AN671" s="220"/>
      <c r="AO671" s="220"/>
      <c r="AP671" s="220"/>
      <c r="AQ671" s="220"/>
      <c r="AR671" s="220"/>
      <c r="AS671" s="220"/>
      <c r="AT671" s="220"/>
      <c r="AU671" s="220"/>
      <c r="AV671" s="220"/>
      <c r="AW671" s="220"/>
      <c r="AX671" s="220"/>
      <c r="AY671" s="220"/>
      <c r="AZ671" s="220"/>
      <c r="BA671" s="220"/>
    </row>
    <row r="672">
      <c r="A672" s="240"/>
      <c r="B672" s="311"/>
      <c r="C672" s="311"/>
      <c r="D672" s="312"/>
      <c r="E672" s="311"/>
      <c r="F672" s="311"/>
      <c r="G672" s="312"/>
      <c r="H672" s="312"/>
      <c r="I672" s="313"/>
      <c r="J672" s="314"/>
      <c r="K672" s="313"/>
      <c r="L672" s="313"/>
      <c r="M672" s="313"/>
      <c r="N672" s="315"/>
      <c r="O672" s="313"/>
      <c r="P672" s="313"/>
      <c r="Q672" s="313"/>
      <c r="R672" s="313"/>
      <c r="S672" s="316"/>
      <c r="T672" s="317"/>
      <c r="U672" s="318"/>
      <c r="V672" s="319"/>
      <c r="W672" s="288"/>
      <c r="X672" s="220"/>
      <c r="Y672" s="220"/>
      <c r="Z672" s="220"/>
      <c r="AA672" s="220"/>
      <c r="AB672" s="220"/>
      <c r="AC672" s="220"/>
      <c r="AD672" s="220"/>
      <c r="AE672" s="220"/>
      <c r="AF672" s="220"/>
      <c r="AG672" s="220"/>
      <c r="AH672" s="308"/>
      <c r="AI672" s="220"/>
      <c r="AJ672" s="220"/>
      <c r="AK672" s="220"/>
      <c r="AL672" s="220"/>
      <c r="AM672" s="220"/>
      <c r="AN672" s="220"/>
      <c r="AO672" s="220"/>
      <c r="AP672" s="220"/>
      <c r="AQ672" s="220"/>
      <c r="AR672" s="220"/>
      <c r="AS672" s="220"/>
      <c r="AT672" s="220"/>
      <c r="AU672" s="220"/>
      <c r="AV672" s="220"/>
      <c r="AW672" s="220"/>
      <c r="AX672" s="220"/>
      <c r="AY672" s="220"/>
      <c r="AZ672" s="220"/>
      <c r="BA672" s="220"/>
    </row>
    <row r="673">
      <c r="A673" s="240"/>
      <c r="B673" s="311"/>
      <c r="C673" s="311"/>
      <c r="D673" s="312"/>
      <c r="E673" s="311"/>
      <c r="F673" s="311"/>
      <c r="G673" s="312"/>
      <c r="H673" s="312"/>
      <c r="I673" s="313"/>
      <c r="J673" s="314"/>
      <c r="K673" s="313"/>
      <c r="L673" s="313"/>
      <c r="M673" s="313"/>
      <c r="N673" s="315"/>
      <c r="O673" s="313"/>
      <c r="P673" s="313"/>
      <c r="Q673" s="313"/>
      <c r="R673" s="313"/>
      <c r="S673" s="316"/>
      <c r="T673" s="317"/>
      <c r="U673" s="318"/>
      <c r="V673" s="319"/>
      <c r="W673" s="288"/>
      <c r="X673" s="220"/>
      <c r="Y673" s="220"/>
      <c r="Z673" s="220"/>
      <c r="AA673" s="220"/>
      <c r="AB673" s="220"/>
      <c r="AC673" s="220"/>
      <c r="AD673" s="220"/>
      <c r="AE673" s="220"/>
      <c r="AF673" s="220"/>
      <c r="AG673" s="220"/>
      <c r="AH673" s="308"/>
      <c r="AI673" s="220"/>
      <c r="AJ673" s="220"/>
      <c r="AK673" s="220"/>
      <c r="AL673" s="220"/>
      <c r="AM673" s="220"/>
      <c r="AN673" s="220"/>
      <c r="AO673" s="220"/>
      <c r="AP673" s="220"/>
      <c r="AQ673" s="220"/>
      <c r="AR673" s="220"/>
      <c r="AS673" s="220"/>
      <c r="AT673" s="220"/>
      <c r="AU673" s="220"/>
      <c r="AV673" s="220"/>
      <c r="AW673" s="220"/>
      <c r="AX673" s="220"/>
      <c r="AY673" s="220"/>
      <c r="AZ673" s="220"/>
      <c r="BA673" s="220"/>
    </row>
    <row r="674">
      <c r="A674" s="240"/>
      <c r="B674" s="311"/>
      <c r="C674" s="311"/>
      <c r="D674" s="312"/>
      <c r="E674" s="311"/>
      <c r="F674" s="311"/>
      <c r="G674" s="312"/>
      <c r="H674" s="312"/>
      <c r="I674" s="313"/>
      <c r="J674" s="314"/>
      <c r="K674" s="313"/>
      <c r="L674" s="313"/>
      <c r="M674" s="313"/>
      <c r="N674" s="315"/>
      <c r="O674" s="313"/>
      <c r="P674" s="313"/>
      <c r="Q674" s="313"/>
      <c r="R674" s="313"/>
      <c r="S674" s="316"/>
      <c r="T674" s="317"/>
      <c r="U674" s="318"/>
      <c r="V674" s="319"/>
      <c r="W674" s="288"/>
      <c r="X674" s="220"/>
      <c r="Y674" s="220"/>
      <c r="Z674" s="220"/>
      <c r="AA674" s="220"/>
      <c r="AB674" s="220"/>
      <c r="AC674" s="220"/>
      <c r="AD674" s="220"/>
      <c r="AE674" s="220"/>
      <c r="AF674" s="220"/>
      <c r="AG674" s="220"/>
      <c r="AH674" s="308"/>
      <c r="AI674" s="220"/>
      <c r="AJ674" s="220"/>
      <c r="AK674" s="220"/>
      <c r="AL674" s="220"/>
      <c r="AM674" s="220"/>
      <c r="AN674" s="220"/>
      <c r="AO674" s="220"/>
      <c r="AP674" s="220"/>
      <c r="AQ674" s="220"/>
      <c r="AR674" s="220"/>
      <c r="AS674" s="220"/>
      <c r="AT674" s="220"/>
      <c r="AU674" s="220"/>
      <c r="AV674" s="220"/>
      <c r="AW674" s="220"/>
      <c r="AX674" s="220"/>
      <c r="AY674" s="220"/>
      <c r="AZ674" s="220"/>
      <c r="BA674" s="220"/>
    </row>
    <row r="675">
      <c r="A675" s="240"/>
      <c r="B675" s="311"/>
      <c r="C675" s="311"/>
      <c r="D675" s="312"/>
      <c r="E675" s="311"/>
      <c r="F675" s="311"/>
      <c r="G675" s="312"/>
      <c r="H675" s="312"/>
      <c r="I675" s="313"/>
      <c r="J675" s="314"/>
      <c r="K675" s="313"/>
      <c r="L675" s="313"/>
      <c r="M675" s="313"/>
      <c r="N675" s="315"/>
      <c r="O675" s="313"/>
      <c r="P675" s="313"/>
      <c r="Q675" s="313"/>
      <c r="R675" s="313"/>
      <c r="S675" s="316"/>
      <c r="T675" s="317"/>
      <c r="U675" s="318"/>
      <c r="V675" s="319"/>
      <c r="W675" s="288"/>
      <c r="X675" s="220"/>
      <c r="Y675" s="220"/>
      <c r="Z675" s="220"/>
      <c r="AA675" s="220"/>
      <c r="AB675" s="220"/>
      <c r="AC675" s="220"/>
      <c r="AD675" s="220"/>
      <c r="AE675" s="220"/>
      <c r="AF675" s="220"/>
      <c r="AG675" s="220"/>
      <c r="AH675" s="308"/>
      <c r="AI675" s="220"/>
      <c r="AJ675" s="220"/>
      <c r="AK675" s="220"/>
      <c r="AL675" s="220"/>
      <c r="AM675" s="220"/>
      <c r="AN675" s="220"/>
      <c r="AO675" s="220"/>
      <c r="AP675" s="220"/>
      <c r="AQ675" s="220"/>
      <c r="AR675" s="220"/>
      <c r="AS675" s="220"/>
      <c r="AT675" s="220"/>
      <c r="AU675" s="220"/>
      <c r="AV675" s="220"/>
      <c r="AW675" s="220"/>
      <c r="AX675" s="220"/>
      <c r="AY675" s="220"/>
      <c r="AZ675" s="220"/>
      <c r="BA675" s="220"/>
    </row>
    <row r="676">
      <c r="A676" s="240"/>
      <c r="B676" s="311"/>
      <c r="C676" s="311"/>
      <c r="D676" s="312"/>
      <c r="E676" s="311"/>
      <c r="F676" s="311"/>
      <c r="G676" s="312"/>
      <c r="H676" s="312"/>
      <c r="I676" s="313"/>
      <c r="J676" s="314"/>
      <c r="K676" s="313"/>
      <c r="L676" s="313"/>
      <c r="M676" s="313"/>
      <c r="N676" s="315"/>
      <c r="O676" s="313"/>
      <c r="P676" s="313"/>
      <c r="Q676" s="313"/>
      <c r="R676" s="313"/>
      <c r="S676" s="316"/>
      <c r="T676" s="317"/>
      <c r="U676" s="318"/>
      <c r="V676" s="319"/>
      <c r="W676" s="288"/>
      <c r="X676" s="220"/>
      <c r="Y676" s="220"/>
      <c r="Z676" s="220"/>
      <c r="AA676" s="220"/>
      <c r="AB676" s="220"/>
      <c r="AC676" s="220"/>
      <c r="AD676" s="220"/>
      <c r="AE676" s="220"/>
      <c r="AF676" s="220"/>
      <c r="AG676" s="220"/>
      <c r="AH676" s="308"/>
      <c r="AI676" s="220"/>
      <c r="AJ676" s="220"/>
      <c r="AK676" s="220"/>
      <c r="AL676" s="220"/>
      <c r="AM676" s="220"/>
      <c r="AN676" s="220"/>
      <c r="AO676" s="220"/>
      <c r="AP676" s="220"/>
      <c r="AQ676" s="220"/>
      <c r="AR676" s="220"/>
      <c r="AS676" s="220"/>
      <c r="AT676" s="220"/>
      <c r="AU676" s="220"/>
      <c r="AV676" s="220"/>
      <c r="AW676" s="220"/>
      <c r="AX676" s="220"/>
      <c r="AY676" s="220"/>
      <c r="AZ676" s="220"/>
      <c r="BA676" s="220"/>
    </row>
    <row r="677">
      <c r="A677" s="240"/>
      <c r="B677" s="311"/>
      <c r="C677" s="311"/>
      <c r="D677" s="312"/>
      <c r="E677" s="311"/>
      <c r="F677" s="311"/>
      <c r="G677" s="312"/>
      <c r="H677" s="312"/>
      <c r="I677" s="313"/>
      <c r="J677" s="314"/>
      <c r="K677" s="313"/>
      <c r="L677" s="313"/>
      <c r="M677" s="313"/>
      <c r="N677" s="315"/>
      <c r="O677" s="313"/>
      <c r="P677" s="313"/>
      <c r="Q677" s="313"/>
      <c r="R677" s="313"/>
      <c r="S677" s="316"/>
      <c r="T677" s="317"/>
      <c r="U677" s="318"/>
      <c r="V677" s="319"/>
      <c r="W677" s="288"/>
      <c r="X677" s="220"/>
      <c r="Y677" s="220"/>
      <c r="Z677" s="220"/>
      <c r="AA677" s="220"/>
      <c r="AB677" s="220"/>
      <c r="AC677" s="220"/>
      <c r="AD677" s="220"/>
      <c r="AE677" s="220"/>
      <c r="AF677" s="220"/>
      <c r="AG677" s="220"/>
      <c r="AH677" s="308"/>
      <c r="AI677" s="220"/>
      <c r="AJ677" s="220"/>
      <c r="AK677" s="220"/>
      <c r="AL677" s="220"/>
      <c r="AM677" s="220"/>
      <c r="AN677" s="220"/>
      <c r="AO677" s="220"/>
      <c r="AP677" s="220"/>
      <c r="AQ677" s="220"/>
      <c r="AR677" s="220"/>
      <c r="AS677" s="220"/>
      <c r="AT677" s="220"/>
      <c r="AU677" s="220"/>
      <c r="AV677" s="220"/>
      <c r="AW677" s="220"/>
      <c r="AX677" s="220"/>
      <c r="AY677" s="220"/>
      <c r="AZ677" s="220"/>
      <c r="BA677" s="220"/>
    </row>
    <row r="678">
      <c r="A678" s="240"/>
      <c r="B678" s="311"/>
      <c r="C678" s="311"/>
      <c r="D678" s="312"/>
      <c r="E678" s="311"/>
      <c r="F678" s="311"/>
      <c r="G678" s="312"/>
      <c r="H678" s="312"/>
      <c r="I678" s="313"/>
      <c r="J678" s="314"/>
      <c r="K678" s="313"/>
      <c r="L678" s="313"/>
      <c r="M678" s="313"/>
      <c r="N678" s="315"/>
      <c r="O678" s="313"/>
      <c r="P678" s="313"/>
      <c r="Q678" s="313"/>
      <c r="R678" s="313"/>
      <c r="S678" s="316"/>
      <c r="T678" s="317"/>
      <c r="U678" s="318"/>
      <c r="V678" s="319"/>
      <c r="W678" s="288"/>
      <c r="X678" s="220"/>
      <c r="Y678" s="220"/>
      <c r="Z678" s="220"/>
      <c r="AA678" s="220"/>
      <c r="AB678" s="220"/>
      <c r="AC678" s="220"/>
      <c r="AD678" s="220"/>
      <c r="AE678" s="220"/>
      <c r="AF678" s="220"/>
      <c r="AG678" s="220"/>
      <c r="AH678" s="308"/>
      <c r="AI678" s="220"/>
      <c r="AJ678" s="220"/>
      <c r="AK678" s="220"/>
      <c r="AL678" s="220"/>
      <c r="AM678" s="220"/>
      <c r="AN678" s="220"/>
      <c r="AO678" s="220"/>
      <c r="AP678" s="220"/>
      <c r="AQ678" s="220"/>
      <c r="AR678" s="220"/>
      <c r="AS678" s="220"/>
      <c r="AT678" s="220"/>
      <c r="AU678" s="220"/>
      <c r="AV678" s="220"/>
      <c r="AW678" s="220"/>
      <c r="AX678" s="220"/>
      <c r="AY678" s="220"/>
      <c r="AZ678" s="220"/>
      <c r="BA678" s="220"/>
    </row>
    <row r="679">
      <c r="A679" s="240"/>
      <c r="B679" s="311"/>
      <c r="C679" s="311"/>
      <c r="D679" s="312"/>
      <c r="E679" s="311"/>
      <c r="F679" s="311"/>
      <c r="G679" s="312"/>
      <c r="H679" s="312"/>
      <c r="I679" s="313"/>
      <c r="J679" s="314"/>
      <c r="K679" s="313"/>
      <c r="L679" s="313"/>
      <c r="M679" s="313"/>
      <c r="N679" s="315"/>
      <c r="O679" s="313"/>
      <c r="P679" s="313"/>
      <c r="Q679" s="313"/>
      <c r="R679" s="313"/>
      <c r="S679" s="316"/>
      <c r="T679" s="317"/>
      <c r="U679" s="318"/>
      <c r="V679" s="319"/>
      <c r="W679" s="288"/>
      <c r="X679" s="220"/>
      <c r="Y679" s="220"/>
      <c r="Z679" s="220"/>
      <c r="AA679" s="220"/>
      <c r="AB679" s="220"/>
      <c r="AC679" s="220"/>
      <c r="AD679" s="220"/>
      <c r="AE679" s="220"/>
      <c r="AF679" s="220"/>
      <c r="AG679" s="220"/>
      <c r="AH679" s="308"/>
      <c r="AI679" s="220"/>
      <c r="AJ679" s="220"/>
      <c r="AK679" s="220"/>
      <c r="AL679" s="220"/>
      <c r="AM679" s="220"/>
      <c r="AN679" s="220"/>
      <c r="AO679" s="220"/>
      <c r="AP679" s="220"/>
      <c r="AQ679" s="220"/>
      <c r="AR679" s="220"/>
      <c r="AS679" s="220"/>
      <c r="AT679" s="220"/>
      <c r="AU679" s="220"/>
      <c r="AV679" s="220"/>
      <c r="AW679" s="220"/>
      <c r="AX679" s="220"/>
      <c r="AY679" s="220"/>
      <c r="AZ679" s="220"/>
      <c r="BA679" s="220"/>
    </row>
    <row r="680">
      <c r="A680" s="240"/>
      <c r="B680" s="311"/>
      <c r="C680" s="311"/>
      <c r="D680" s="312"/>
      <c r="E680" s="311"/>
      <c r="F680" s="311"/>
      <c r="G680" s="312"/>
      <c r="H680" s="312"/>
      <c r="I680" s="313"/>
      <c r="J680" s="314"/>
      <c r="K680" s="313"/>
      <c r="L680" s="313"/>
      <c r="M680" s="313"/>
      <c r="N680" s="315"/>
      <c r="O680" s="313"/>
      <c r="P680" s="313"/>
      <c r="Q680" s="313"/>
      <c r="R680" s="313"/>
      <c r="S680" s="316"/>
      <c r="T680" s="317"/>
      <c r="U680" s="318"/>
      <c r="V680" s="319"/>
      <c r="W680" s="288"/>
      <c r="X680" s="220"/>
      <c r="Y680" s="220"/>
      <c r="Z680" s="220"/>
      <c r="AA680" s="220"/>
      <c r="AB680" s="220"/>
      <c r="AC680" s="220"/>
      <c r="AD680" s="220"/>
      <c r="AE680" s="220"/>
      <c r="AF680" s="220"/>
      <c r="AG680" s="220"/>
      <c r="AH680" s="308"/>
      <c r="AI680" s="220"/>
      <c r="AJ680" s="220"/>
      <c r="AK680" s="220"/>
      <c r="AL680" s="220"/>
      <c r="AM680" s="220"/>
      <c r="AN680" s="220"/>
      <c r="AO680" s="220"/>
      <c r="AP680" s="220"/>
      <c r="AQ680" s="220"/>
      <c r="AR680" s="220"/>
      <c r="AS680" s="220"/>
      <c r="AT680" s="220"/>
      <c r="AU680" s="220"/>
      <c r="AV680" s="220"/>
      <c r="AW680" s="220"/>
      <c r="AX680" s="220"/>
      <c r="AY680" s="220"/>
      <c r="AZ680" s="220"/>
      <c r="BA680" s="220"/>
    </row>
    <row r="681">
      <c r="A681" s="240"/>
      <c r="B681" s="311"/>
      <c r="C681" s="311"/>
      <c r="D681" s="312"/>
      <c r="E681" s="311"/>
      <c r="F681" s="311"/>
      <c r="G681" s="312"/>
      <c r="H681" s="312"/>
      <c r="I681" s="313"/>
      <c r="J681" s="314"/>
      <c r="K681" s="313"/>
      <c r="L681" s="313"/>
      <c r="M681" s="313"/>
      <c r="N681" s="315"/>
      <c r="O681" s="313"/>
      <c r="P681" s="313"/>
      <c r="Q681" s="313"/>
      <c r="R681" s="313"/>
      <c r="S681" s="316"/>
      <c r="T681" s="317"/>
      <c r="U681" s="318"/>
      <c r="V681" s="319"/>
      <c r="W681" s="288"/>
      <c r="X681" s="220"/>
      <c r="Y681" s="220"/>
      <c r="Z681" s="220"/>
      <c r="AA681" s="220"/>
      <c r="AB681" s="220"/>
      <c r="AC681" s="220"/>
      <c r="AD681" s="220"/>
      <c r="AE681" s="220"/>
      <c r="AF681" s="220"/>
      <c r="AG681" s="220"/>
      <c r="AH681" s="308"/>
      <c r="AI681" s="220"/>
      <c r="AJ681" s="220"/>
      <c r="AK681" s="220"/>
      <c r="AL681" s="220"/>
      <c r="AM681" s="220"/>
      <c r="AN681" s="220"/>
      <c r="AO681" s="220"/>
      <c r="AP681" s="220"/>
      <c r="AQ681" s="220"/>
      <c r="AR681" s="220"/>
      <c r="AS681" s="220"/>
      <c r="AT681" s="220"/>
      <c r="AU681" s="220"/>
      <c r="AV681" s="220"/>
      <c r="AW681" s="220"/>
      <c r="AX681" s="220"/>
      <c r="AY681" s="220"/>
      <c r="AZ681" s="220"/>
      <c r="BA681" s="220"/>
    </row>
    <row r="682">
      <c r="A682" s="240"/>
      <c r="B682" s="311"/>
      <c r="C682" s="311"/>
      <c r="D682" s="312"/>
      <c r="E682" s="311"/>
      <c r="F682" s="311"/>
      <c r="G682" s="312"/>
      <c r="H682" s="312"/>
      <c r="I682" s="313"/>
      <c r="J682" s="314"/>
      <c r="K682" s="313"/>
      <c r="L682" s="313"/>
      <c r="M682" s="313"/>
      <c r="N682" s="315"/>
      <c r="O682" s="313"/>
      <c r="P682" s="313"/>
      <c r="Q682" s="313"/>
      <c r="R682" s="313"/>
      <c r="S682" s="316"/>
      <c r="T682" s="317"/>
      <c r="U682" s="318"/>
      <c r="V682" s="319"/>
      <c r="W682" s="288"/>
      <c r="X682" s="220"/>
      <c r="Y682" s="220"/>
      <c r="Z682" s="220"/>
      <c r="AA682" s="220"/>
      <c r="AB682" s="220"/>
      <c r="AC682" s="220"/>
      <c r="AD682" s="220"/>
      <c r="AE682" s="220"/>
      <c r="AF682" s="220"/>
      <c r="AG682" s="220"/>
      <c r="AH682" s="308"/>
      <c r="AI682" s="220"/>
      <c r="AJ682" s="220"/>
      <c r="AK682" s="220"/>
      <c r="AL682" s="220"/>
      <c r="AM682" s="220"/>
      <c r="AN682" s="220"/>
      <c r="AO682" s="220"/>
      <c r="AP682" s="220"/>
      <c r="AQ682" s="220"/>
      <c r="AR682" s="220"/>
      <c r="AS682" s="220"/>
      <c r="AT682" s="220"/>
      <c r="AU682" s="220"/>
      <c r="AV682" s="220"/>
      <c r="AW682" s="220"/>
      <c r="AX682" s="220"/>
      <c r="AY682" s="220"/>
      <c r="AZ682" s="220"/>
      <c r="BA682" s="220"/>
    </row>
    <row r="683">
      <c r="A683" s="240"/>
      <c r="B683" s="311"/>
      <c r="C683" s="311"/>
      <c r="D683" s="312"/>
      <c r="E683" s="311"/>
      <c r="F683" s="311"/>
      <c r="G683" s="312"/>
      <c r="H683" s="312"/>
      <c r="I683" s="313"/>
      <c r="J683" s="314"/>
      <c r="K683" s="313"/>
      <c r="L683" s="313"/>
      <c r="M683" s="313"/>
      <c r="N683" s="315"/>
      <c r="O683" s="313"/>
      <c r="P683" s="313"/>
      <c r="Q683" s="313"/>
      <c r="R683" s="313"/>
      <c r="S683" s="316"/>
      <c r="T683" s="317"/>
      <c r="U683" s="318"/>
      <c r="V683" s="319"/>
      <c r="W683" s="288"/>
      <c r="X683" s="220"/>
      <c r="Y683" s="220"/>
      <c r="Z683" s="220"/>
      <c r="AA683" s="220"/>
      <c r="AB683" s="220"/>
      <c r="AC683" s="220"/>
      <c r="AD683" s="220"/>
      <c r="AE683" s="220"/>
      <c r="AF683" s="220"/>
      <c r="AG683" s="220"/>
      <c r="AH683" s="308"/>
      <c r="AI683" s="220"/>
      <c r="AJ683" s="220"/>
      <c r="AK683" s="220"/>
      <c r="AL683" s="220"/>
      <c r="AM683" s="220"/>
      <c r="AN683" s="220"/>
      <c r="AO683" s="220"/>
      <c r="AP683" s="220"/>
      <c r="AQ683" s="220"/>
      <c r="AR683" s="220"/>
      <c r="AS683" s="220"/>
      <c r="AT683" s="220"/>
      <c r="AU683" s="220"/>
      <c r="AV683" s="220"/>
      <c r="AW683" s="220"/>
      <c r="AX683" s="220"/>
      <c r="AY683" s="220"/>
      <c r="AZ683" s="220"/>
      <c r="BA683" s="220"/>
    </row>
    <row r="684">
      <c r="A684" s="240"/>
      <c r="B684" s="311"/>
      <c r="C684" s="311"/>
      <c r="D684" s="312"/>
      <c r="E684" s="311"/>
      <c r="F684" s="311"/>
      <c r="G684" s="312"/>
      <c r="H684" s="312"/>
      <c r="I684" s="313"/>
      <c r="J684" s="314"/>
      <c r="K684" s="313"/>
      <c r="L684" s="313"/>
      <c r="M684" s="313"/>
      <c r="N684" s="315"/>
      <c r="O684" s="313"/>
      <c r="P684" s="313"/>
      <c r="Q684" s="313"/>
      <c r="R684" s="313"/>
      <c r="S684" s="316"/>
      <c r="T684" s="317"/>
      <c r="U684" s="318"/>
      <c r="V684" s="319"/>
      <c r="W684" s="288"/>
      <c r="X684" s="220"/>
      <c r="Y684" s="220"/>
      <c r="Z684" s="220"/>
      <c r="AA684" s="220"/>
      <c r="AB684" s="220"/>
      <c r="AC684" s="220"/>
      <c r="AD684" s="220"/>
      <c r="AE684" s="220"/>
      <c r="AF684" s="220"/>
      <c r="AG684" s="220"/>
      <c r="AH684" s="308"/>
      <c r="AI684" s="220"/>
      <c r="AJ684" s="220"/>
      <c r="AK684" s="220"/>
      <c r="AL684" s="220"/>
      <c r="AM684" s="220"/>
      <c r="AN684" s="220"/>
      <c r="AO684" s="220"/>
      <c r="AP684" s="220"/>
      <c r="AQ684" s="220"/>
      <c r="AR684" s="220"/>
      <c r="AS684" s="220"/>
      <c r="AT684" s="220"/>
      <c r="AU684" s="220"/>
      <c r="AV684" s="220"/>
      <c r="AW684" s="220"/>
      <c r="AX684" s="220"/>
      <c r="AY684" s="220"/>
      <c r="AZ684" s="220"/>
      <c r="BA684" s="220"/>
    </row>
    <row r="685">
      <c r="A685" s="240"/>
      <c r="B685" s="311"/>
      <c r="C685" s="311"/>
      <c r="D685" s="312"/>
      <c r="E685" s="311"/>
      <c r="F685" s="311"/>
      <c r="G685" s="312"/>
      <c r="H685" s="312"/>
      <c r="I685" s="313"/>
      <c r="J685" s="314"/>
      <c r="K685" s="313"/>
      <c r="L685" s="313"/>
      <c r="M685" s="313"/>
      <c r="N685" s="315"/>
      <c r="O685" s="313"/>
      <c r="P685" s="313"/>
      <c r="Q685" s="313"/>
      <c r="R685" s="313"/>
      <c r="S685" s="316"/>
      <c r="T685" s="317"/>
      <c r="U685" s="318"/>
      <c r="V685" s="319"/>
      <c r="W685" s="288"/>
      <c r="X685" s="220"/>
      <c r="Y685" s="220"/>
      <c r="Z685" s="220"/>
      <c r="AA685" s="220"/>
      <c r="AB685" s="220"/>
      <c r="AC685" s="220"/>
      <c r="AD685" s="220"/>
      <c r="AE685" s="220"/>
      <c r="AF685" s="220"/>
      <c r="AG685" s="220"/>
      <c r="AH685" s="308"/>
      <c r="AI685" s="220"/>
      <c r="AJ685" s="220"/>
      <c r="AK685" s="220"/>
      <c r="AL685" s="220"/>
      <c r="AM685" s="220"/>
      <c r="AN685" s="220"/>
      <c r="AO685" s="220"/>
      <c r="AP685" s="220"/>
      <c r="AQ685" s="220"/>
      <c r="AR685" s="220"/>
      <c r="AS685" s="220"/>
      <c r="AT685" s="220"/>
      <c r="AU685" s="220"/>
      <c r="AV685" s="220"/>
      <c r="AW685" s="220"/>
      <c r="AX685" s="220"/>
      <c r="AY685" s="220"/>
      <c r="AZ685" s="220"/>
      <c r="BA685" s="220"/>
    </row>
    <row r="686">
      <c r="A686" s="240"/>
      <c r="B686" s="311"/>
      <c r="C686" s="311"/>
      <c r="D686" s="312"/>
      <c r="E686" s="311"/>
      <c r="F686" s="311"/>
      <c r="G686" s="312"/>
      <c r="H686" s="312"/>
      <c r="I686" s="313"/>
      <c r="J686" s="314"/>
      <c r="K686" s="313"/>
      <c r="L686" s="313"/>
      <c r="M686" s="313"/>
      <c r="N686" s="315"/>
      <c r="O686" s="313"/>
      <c r="P686" s="313"/>
      <c r="Q686" s="313"/>
      <c r="R686" s="313"/>
      <c r="S686" s="316"/>
      <c r="T686" s="317"/>
      <c r="U686" s="318"/>
      <c r="V686" s="319"/>
      <c r="W686" s="288"/>
      <c r="X686" s="220"/>
      <c r="Y686" s="220"/>
      <c r="Z686" s="220"/>
      <c r="AA686" s="220"/>
      <c r="AB686" s="220"/>
      <c r="AC686" s="220"/>
      <c r="AD686" s="220"/>
      <c r="AE686" s="220"/>
      <c r="AF686" s="220"/>
      <c r="AG686" s="220"/>
      <c r="AH686" s="308"/>
      <c r="AI686" s="220"/>
      <c r="AJ686" s="220"/>
      <c r="AK686" s="220"/>
      <c r="AL686" s="220"/>
      <c r="AM686" s="220"/>
      <c r="AN686" s="220"/>
      <c r="AO686" s="220"/>
      <c r="AP686" s="220"/>
      <c r="AQ686" s="220"/>
      <c r="AR686" s="220"/>
      <c r="AS686" s="220"/>
      <c r="AT686" s="220"/>
      <c r="AU686" s="220"/>
      <c r="AV686" s="220"/>
      <c r="AW686" s="220"/>
      <c r="AX686" s="220"/>
      <c r="AY686" s="220"/>
      <c r="AZ686" s="220"/>
      <c r="BA686" s="220"/>
    </row>
    <row r="687">
      <c r="A687" s="240"/>
      <c r="B687" s="311"/>
      <c r="C687" s="311"/>
      <c r="D687" s="312"/>
      <c r="E687" s="311"/>
      <c r="F687" s="311"/>
      <c r="G687" s="312"/>
      <c r="H687" s="312"/>
      <c r="I687" s="313"/>
      <c r="J687" s="314"/>
      <c r="K687" s="313"/>
      <c r="L687" s="313"/>
      <c r="M687" s="313"/>
      <c r="N687" s="315"/>
      <c r="O687" s="313"/>
      <c r="P687" s="313"/>
      <c r="Q687" s="313"/>
      <c r="R687" s="313"/>
      <c r="S687" s="316"/>
      <c r="T687" s="317"/>
      <c r="U687" s="318"/>
      <c r="V687" s="319"/>
      <c r="W687" s="288"/>
      <c r="X687" s="220"/>
      <c r="Y687" s="220"/>
      <c r="Z687" s="220"/>
      <c r="AA687" s="220"/>
      <c r="AB687" s="220"/>
      <c r="AC687" s="220"/>
      <c r="AD687" s="220"/>
      <c r="AE687" s="220"/>
      <c r="AF687" s="220"/>
      <c r="AG687" s="220"/>
      <c r="AH687" s="308"/>
      <c r="AI687" s="220"/>
      <c r="AJ687" s="220"/>
      <c r="AK687" s="220"/>
      <c r="AL687" s="220"/>
      <c r="AM687" s="220"/>
      <c r="AN687" s="220"/>
      <c r="AO687" s="220"/>
      <c r="AP687" s="220"/>
      <c r="AQ687" s="220"/>
      <c r="AR687" s="220"/>
      <c r="AS687" s="220"/>
      <c r="AT687" s="220"/>
      <c r="AU687" s="220"/>
      <c r="AV687" s="220"/>
      <c r="AW687" s="220"/>
      <c r="AX687" s="220"/>
      <c r="AY687" s="220"/>
      <c r="AZ687" s="220"/>
      <c r="BA687" s="220"/>
    </row>
    <row r="688">
      <c r="A688" s="240"/>
      <c r="B688" s="311"/>
      <c r="C688" s="311"/>
      <c r="D688" s="312"/>
      <c r="E688" s="311"/>
      <c r="F688" s="311"/>
      <c r="G688" s="312"/>
      <c r="H688" s="312"/>
      <c r="I688" s="313"/>
      <c r="J688" s="314"/>
      <c r="K688" s="313"/>
      <c r="L688" s="313"/>
      <c r="M688" s="313"/>
      <c r="N688" s="315"/>
      <c r="O688" s="313"/>
      <c r="P688" s="313"/>
      <c r="Q688" s="313"/>
      <c r="R688" s="313"/>
      <c r="S688" s="316"/>
      <c r="T688" s="317"/>
      <c r="U688" s="318"/>
      <c r="V688" s="319"/>
      <c r="W688" s="288"/>
      <c r="X688" s="220"/>
      <c r="Y688" s="220"/>
      <c r="Z688" s="220"/>
      <c r="AA688" s="220"/>
      <c r="AB688" s="220"/>
      <c r="AC688" s="220"/>
      <c r="AD688" s="220"/>
      <c r="AE688" s="220"/>
      <c r="AF688" s="220"/>
      <c r="AG688" s="220"/>
      <c r="AH688" s="308"/>
      <c r="AI688" s="220"/>
      <c r="AJ688" s="220"/>
      <c r="AK688" s="220"/>
      <c r="AL688" s="220"/>
      <c r="AM688" s="220"/>
      <c r="AN688" s="220"/>
      <c r="AO688" s="220"/>
      <c r="AP688" s="220"/>
      <c r="AQ688" s="220"/>
      <c r="AR688" s="220"/>
      <c r="AS688" s="220"/>
      <c r="AT688" s="220"/>
      <c r="AU688" s="220"/>
      <c r="AV688" s="220"/>
      <c r="AW688" s="220"/>
      <c r="AX688" s="220"/>
      <c r="AY688" s="220"/>
      <c r="AZ688" s="220"/>
      <c r="BA688" s="220"/>
    </row>
    <row r="689">
      <c r="A689" s="240"/>
      <c r="B689" s="311"/>
      <c r="C689" s="311"/>
      <c r="D689" s="312"/>
      <c r="E689" s="311"/>
      <c r="F689" s="311"/>
      <c r="G689" s="312"/>
      <c r="H689" s="312"/>
      <c r="I689" s="313"/>
      <c r="J689" s="314"/>
      <c r="K689" s="313"/>
      <c r="L689" s="313"/>
      <c r="M689" s="313"/>
      <c r="N689" s="315"/>
      <c r="O689" s="313"/>
      <c r="P689" s="313"/>
      <c r="Q689" s="313"/>
      <c r="R689" s="313"/>
      <c r="S689" s="316"/>
      <c r="T689" s="317"/>
      <c r="U689" s="318"/>
      <c r="V689" s="319"/>
      <c r="W689" s="288"/>
      <c r="X689" s="220"/>
      <c r="Y689" s="220"/>
      <c r="Z689" s="220"/>
      <c r="AA689" s="220"/>
      <c r="AB689" s="220"/>
      <c r="AC689" s="220"/>
      <c r="AD689" s="220"/>
      <c r="AE689" s="220"/>
      <c r="AF689" s="220"/>
      <c r="AG689" s="220"/>
      <c r="AH689" s="308"/>
      <c r="AI689" s="220"/>
      <c r="AJ689" s="220"/>
      <c r="AK689" s="220"/>
      <c r="AL689" s="220"/>
      <c r="AM689" s="220"/>
      <c r="AN689" s="220"/>
      <c r="AO689" s="220"/>
      <c r="AP689" s="220"/>
      <c r="AQ689" s="220"/>
      <c r="AR689" s="220"/>
      <c r="AS689" s="220"/>
      <c r="AT689" s="220"/>
      <c r="AU689" s="220"/>
      <c r="AV689" s="220"/>
      <c r="AW689" s="220"/>
      <c r="AX689" s="220"/>
      <c r="AY689" s="220"/>
      <c r="AZ689" s="220"/>
      <c r="BA689" s="220"/>
    </row>
    <row r="690">
      <c r="A690" s="240"/>
      <c r="B690" s="311"/>
      <c r="C690" s="311"/>
      <c r="D690" s="312"/>
      <c r="E690" s="311"/>
      <c r="F690" s="311"/>
      <c r="G690" s="312"/>
      <c r="H690" s="312"/>
      <c r="I690" s="313"/>
      <c r="J690" s="314"/>
      <c r="K690" s="313"/>
      <c r="L690" s="313"/>
      <c r="M690" s="313"/>
      <c r="N690" s="315"/>
      <c r="O690" s="313"/>
      <c r="P690" s="313"/>
      <c r="Q690" s="313"/>
      <c r="R690" s="313"/>
      <c r="S690" s="316"/>
      <c r="T690" s="317"/>
      <c r="U690" s="318"/>
      <c r="V690" s="319"/>
      <c r="W690" s="288"/>
      <c r="X690" s="220"/>
      <c r="Y690" s="220"/>
      <c r="Z690" s="220"/>
      <c r="AA690" s="220"/>
      <c r="AB690" s="220"/>
      <c r="AC690" s="220"/>
      <c r="AD690" s="220"/>
      <c r="AE690" s="220"/>
      <c r="AF690" s="220"/>
      <c r="AG690" s="220"/>
      <c r="AH690" s="308"/>
      <c r="AI690" s="220"/>
      <c r="AJ690" s="220"/>
      <c r="AK690" s="220"/>
      <c r="AL690" s="220"/>
      <c r="AM690" s="220"/>
      <c r="AN690" s="220"/>
      <c r="AO690" s="220"/>
      <c r="AP690" s="220"/>
      <c r="AQ690" s="220"/>
      <c r="AR690" s="220"/>
      <c r="AS690" s="220"/>
      <c r="AT690" s="220"/>
      <c r="AU690" s="220"/>
      <c r="AV690" s="220"/>
      <c r="AW690" s="220"/>
      <c r="AX690" s="220"/>
      <c r="AY690" s="220"/>
      <c r="AZ690" s="220"/>
      <c r="BA690" s="220"/>
    </row>
    <row r="691">
      <c r="A691" s="240"/>
      <c r="B691" s="311"/>
      <c r="C691" s="311"/>
      <c r="D691" s="312"/>
      <c r="E691" s="311"/>
      <c r="F691" s="311"/>
      <c r="G691" s="312"/>
      <c r="H691" s="312"/>
      <c r="I691" s="313"/>
      <c r="J691" s="314"/>
      <c r="K691" s="313"/>
      <c r="L691" s="313"/>
      <c r="M691" s="313"/>
      <c r="N691" s="315"/>
      <c r="O691" s="313"/>
      <c r="P691" s="313"/>
      <c r="Q691" s="313"/>
      <c r="R691" s="313"/>
      <c r="S691" s="316"/>
      <c r="T691" s="317"/>
      <c r="U691" s="318"/>
      <c r="V691" s="319"/>
      <c r="W691" s="288"/>
      <c r="X691" s="220"/>
      <c r="Y691" s="220"/>
      <c r="Z691" s="220"/>
      <c r="AA691" s="220"/>
      <c r="AB691" s="220"/>
      <c r="AC691" s="220"/>
      <c r="AD691" s="220"/>
      <c r="AE691" s="220"/>
      <c r="AF691" s="220"/>
      <c r="AG691" s="220"/>
      <c r="AH691" s="308"/>
      <c r="AI691" s="220"/>
      <c r="AJ691" s="220"/>
      <c r="AK691" s="220"/>
      <c r="AL691" s="220"/>
      <c r="AM691" s="220"/>
      <c r="AN691" s="220"/>
      <c r="AO691" s="220"/>
      <c r="AP691" s="220"/>
      <c r="AQ691" s="220"/>
      <c r="AR691" s="220"/>
      <c r="AS691" s="220"/>
      <c r="AT691" s="220"/>
      <c r="AU691" s="220"/>
      <c r="AV691" s="220"/>
      <c r="AW691" s="220"/>
      <c r="AX691" s="220"/>
      <c r="AY691" s="220"/>
      <c r="AZ691" s="220"/>
      <c r="BA691" s="220"/>
    </row>
    <row r="692">
      <c r="A692" s="240"/>
      <c r="B692" s="311"/>
      <c r="C692" s="311"/>
      <c r="D692" s="312"/>
      <c r="E692" s="311"/>
      <c r="F692" s="311"/>
      <c r="G692" s="312"/>
      <c r="H692" s="312"/>
      <c r="I692" s="313"/>
      <c r="J692" s="314"/>
      <c r="K692" s="313"/>
      <c r="L692" s="313"/>
      <c r="M692" s="313"/>
      <c r="N692" s="315"/>
      <c r="O692" s="313"/>
      <c r="P692" s="313"/>
      <c r="Q692" s="313"/>
      <c r="R692" s="313"/>
      <c r="S692" s="316"/>
      <c r="T692" s="317"/>
      <c r="U692" s="318"/>
      <c r="V692" s="319"/>
      <c r="W692" s="288"/>
      <c r="X692" s="220"/>
      <c r="Y692" s="220"/>
      <c r="Z692" s="220"/>
      <c r="AA692" s="220"/>
      <c r="AB692" s="220"/>
      <c r="AC692" s="220"/>
      <c r="AD692" s="220"/>
      <c r="AE692" s="220"/>
      <c r="AF692" s="220"/>
      <c r="AG692" s="220"/>
      <c r="AH692" s="308"/>
      <c r="AI692" s="220"/>
      <c r="AJ692" s="220"/>
      <c r="AK692" s="220"/>
      <c r="AL692" s="220"/>
      <c r="AM692" s="220"/>
      <c r="AN692" s="220"/>
      <c r="AO692" s="220"/>
      <c r="AP692" s="220"/>
      <c r="AQ692" s="220"/>
      <c r="AR692" s="220"/>
      <c r="AS692" s="220"/>
      <c r="AT692" s="220"/>
      <c r="AU692" s="220"/>
      <c r="AV692" s="220"/>
      <c r="AW692" s="220"/>
      <c r="AX692" s="220"/>
      <c r="AY692" s="220"/>
      <c r="AZ692" s="220"/>
      <c r="BA692" s="220"/>
    </row>
    <row r="693">
      <c r="A693" s="240"/>
      <c r="B693" s="311"/>
      <c r="C693" s="311"/>
      <c r="D693" s="312"/>
      <c r="E693" s="311"/>
      <c r="F693" s="311"/>
      <c r="G693" s="312"/>
      <c r="H693" s="312"/>
      <c r="I693" s="313"/>
      <c r="J693" s="314"/>
      <c r="K693" s="313"/>
      <c r="L693" s="313"/>
      <c r="M693" s="313"/>
      <c r="N693" s="315"/>
      <c r="O693" s="313"/>
      <c r="P693" s="313"/>
      <c r="Q693" s="313"/>
      <c r="R693" s="313"/>
      <c r="S693" s="316"/>
      <c r="T693" s="317"/>
      <c r="U693" s="318"/>
      <c r="V693" s="319"/>
      <c r="W693" s="288"/>
      <c r="X693" s="220"/>
      <c r="Y693" s="220"/>
      <c r="Z693" s="220"/>
      <c r="AA693" s="220"/>
      <c r="AB693" s="220"/>
      <c r="AC693" s="220"/>
      <c r="AD693" s="220"/>
      <c r="AE693" s="220"/>
      <c r="AF693" s="220"/>
      <c r="AG693" s="220"/>
      <c r="AH693" s="308"/>
      <c r="AI693" s="220"/>
      <c r="AJ693" s="220"/>
      <c r="AK693" s="220"/>
      <c r="AL693" s="220"/>
      <c r="AM693" s="220"/>
      <c r="AN693" s="220"/>
      <c r="AO693" s="220"/>
      <c r="AP693" s="220"/>
      <c r="AQ693" s="220"/>
      <c r="AR693" s="220"/>
      <c r="AS693" s="220"/>
      <c r="AT693" s="220"/>
      <c r="AU693" s="220"/>
      <c r="AV693" s="220"/>
      <c r="AW693" s="220"/>
      <c r="AX693" s="220"/>
      <c r="AY693" s="220"/>
      <c r="AZ693" s="220"/>
      <c r="BA693" s="220"/>
    </row>
    <row r="694">
      <c r="A694" s="240"/>
      <c r="B694" s="311"/>
      <c r="C694" s="311"/>
      <c r="D694" s="312"/>
      <c r="E694" s="311"/>
      <c r="F694" s="311"/>
      <c r="G694" s="312"/>
      <c r="H694" s="312"/>
      <c r="I694" s="313"/>
      <c r="J694" s="314"/>
      <c r="K694" s="313"/>
      <c r="L694" s="313"/>
      <c r="M694" s="313"/>
      <c r="N694" s="315"/>
      <c r="O694" s="313"/>
      <c r="P694" s="313"/>
      <c r="Q694" s="313"/>
      <c r="R694" s="313"/>
      <c r="S694" s="316"/>
      <c r="T694" s="317"/>
      <c r="U694" s="318"/>
      <c r="V694" s="319"/>
      <c r="W694" s="288"/>
      <c r="X694" s="220"/>
      <c r="Y694" s="220"/>
      <c r="Z694" s="220"/>
      <c r="AA694" s="220"/>
      <c r="AB694" s="220"/>
      <c r="AC694" s="220"/>
      <c r="AD694" s="220"/>
      <c r="AE694" s="220"/>
      <c r="AF694" s="220"/>
      <c r="AG694" s="220"/>
      <c r="AH694" s="308"/>
      <c r="AI694" s="220"/>
      <c r="AJ694" s="220"/>
      <c r="AK694" s="220"/>
      <c r="AL694" s="220"/>
      <c r="AM694" s="220"/>
      <c r="AN694" s="220"/>
      <c r="AO694" s="220"/>
      <c r="AP694" s="220"/>
      <c r="AQ694" s="220"/>
      <c r="AR694" s="220"/>
      <c r="AS694" s="220"/>
      <c r="AT694" s="220"/>
      <c r="AU694" s="220"/>
      <c r="AV694" s="220"/>
      <c r="AW694" s="220"/>
      <c r="AX694" s="220"/>
      <c r="AY694" s="220"/>
      <c r="AZ694" s="220"/>
      <c r="BA694" s="220"/>
    </row>
    <row r="695">
      <c r="A695" s="240"/>
      <c r="B695" s="311"/>
      <c r="C695" s="311"/>
      <c r="D695" s="312"/>
      <c r="E695" s="311"/>
      <c r="F695" s="311"/>
      <c r="G695" s="312"/>
      <c r="H695" s="312"/>
      <c r="I695" s="313"/>
      <c r="J695" s="314"/>
      <c r="K695" s="313"/>
      <c r="L695" s="313"/>
      <c r="M695" s="313"/>
      <c r="N695" s="315"/>
      <c r="O695" s="313"/>
      <c r="P695" s="313"/>
      <c r="Q695" s="313"/>
      <c r="R695" s="313"/>
      <c r="S695" s="316"/>
      <c r="T695" s="317"/>
      <c r="U695" s="318"/>
      <c r="V695" s="319"/>
      <c r="W695" s="288"/>
      <c r="X695" s="220"/>
      <c r="Y695" s="220"/>
      <c r="Z695" s="220"/>
      <c r="AA695" s="220"/>
      <c r="AB695" s="220"/>
      <c r="AC695" s="220"/>
      <c r="AD695" s="220"/>
      <c r="AE695" s="220"/>
      <c r="AF695" s="220"/>
      <c r="AG695" s="220"/>
      <c r="AH695" s="308"/>
      <c r="AI695" s="220"/>
      <c r="AJ695" s="220"/>
      <c r="AK695" s="220"/>
      <c r="AL695" s="220"/>
      <c r="AM695" s="220"/>
      <c r="AN695" s="220"/>
      <c r="AO695" s="220"/>
      <c r="AP695" s="220"/>
      <c r="AQ695" s="220"/>
      <c r="AR695" s="220"/>
      <c r="AS695" s="220"/>
      <c r="AT695" s="220"/>
      <c r="AU695" s="220"/>
      <c r="AV695" s="220"/>
      <c r="AW695" s="220"/>
      <c r="AX695" s="220"/>
      <c r="AY695" s="220"/>
      <c r="AZ695" s="220"/>
      <c r="BA695" s="220"/>
    </row>
    <row r="696">
      <c r="A696" s="240"/>
      <c r="B696" s="311"/>
      <c r="C696" s="311"/>
      <c r="D696" s="312"/>
      <c r="E696" s="311"/>
      <c r="F696" s="311"/>
      <c r="G696" s="312"/>
      <c r="H696" s="312"/>
      <c r="I696" s="313"/>
      <c r="J696" s="314"/>
      <c r="K696" s="313"/>
      <c r="L696" s="313"/>
      <c r="M696" s="313"/>
      <c r="N696" s="315"/>
      <c r="O696" s="313"/>
      <c r="P696" s="313"/>
      <c r="Q696" s="313"/>
      <c r="R696" s="313"/>
      <c r="S696" s="316"/>
      <c r="T696" s="317"/>
      <c r="U696" s="318"/>
      <c r="V696" s="319"/>
      <c r="W696" s="288"/>
      <c r="X696" s="220"/>
      <c r="Y696" s="220"/>
      <c r="Z696" s="220"/>
      <c r="AA696" s="220"/>
      <c r="AB696" s="220"/>
      <c r="AC696" s="220"/>
      <c r="AD696" s="220"/>
      <c r="AE696" s="220"/>
      <c r="AF696" s="220"/>
      <c r="AG696" s="220"/>
      <c r="AH696" s="308"/>
      <c r="AI696" s="220"/>
      <c r="AJ696" s="220"/>
      <c r="AK696" s="220"/>
      <c r="AL696" s="220"/>
      <c r="AM696" s="220"/>
      <c r="AN696" s="220"/>
      <c r="AO696" s="220"/>
      <c r="AP696" s="220"/>
      <c r="AQ696" s="220"/>
      <c r="AR696" s="220"/>
      <c r="AS696" s="220"/>
      <c r="AT696" s="220"/>
      <c r="AU696" s="220"/>
      <c r="AV696" s="220"/>
      <c r="AW696" s="220"/>
      <c r="AX696" s="220"/>
      <c r="AY696" s="220"/>
      <c r="AZ696" s="220"/>
      <c r="BA696" s="220"/>
    </row>
    <row r="697">
      <c r="A697" s="240"/>
      <c r="B697" s="311"/>
      <c r="C697" s="311"/>
      <c r="D697" s="312"/>
      <c r="E697" s="311"/>
      <c r="F697" s="311"/>
      <c r="G697" s="312"/>
      <c r="H697" s="312"/>
      <c r="I697" s="313"/>
      <c r="J697" s="314"/>
      <c r="K697" s="313"/>
      <c r="L697" s="313"/>
      <c r="M697" s="313"/>
      <c r="N697" s="315"/>
      <c r="O697" s="313"/>
      <c r="P697" s="313"/>
      <c r="Q697" s="313"/>
      <c r="R697" s="313"/>
      <c r="S697" s="316"/>
      <c r="T697" s="317"/>
      <c r="U697" s="318"/>
      <c r="V697" s="319"/>
      <c r="W697" s="288"/>
      <c r="X697" s="220"/>
      <c r="Y697" s="220"/>
      <c r="Z697" s="220"/>
      <c r="AA697" s="220"/>
      <c r="AB697" s="220"/>
      <c r="AC697" s="220"/>
      <c r="AD697" s="220"/>
      <c r="AE697" s="220"/>
      <c r="AF697" s="220"/>
      <c r="AG697" s="220"/>
      <c r="AH697" s="308"/>
      <c r="AI697" s="220"/>
      <c r="AJ697" s="220"/>
      <c r="AK697" s="220"/>
      <c r="AL697" s="220"/>
      <c r="AM697" s="220"/>
      <c r="AN697" s="220"/>
      <c r="AO697" s="220"/>
      <c r="AP697" s="220"/>
      <c r="AQ697" s="220"/>
      <c r="AR697" s="220"/>
      <c r="AS697" s="220"/>
      <c r="AT697" s="220"/>
      <c r="AU697" s="220"/>
      <c r="AV697" s="220"/>
      <c r="AW697" s="220"/>
      <c r="AX697" s="220"/>
      <c r="AY697" s="220"/>
      <c r="AZ697" s="220"/>
      <c r="BA697" s="220"/>
    </row>
    <row r="698">
      <c r="A698" s="240"/>
      <c r="B698" s="311"/>
      <c r="C698" s="311"/>
      <c r="D698" s="312"/>
      <c r="E698" s="311"/>
      <c r="F698" s="311"/>
      <c r="G698" s="312"/>
      <c r="H698" s="312"/>
      <c r="I698" s="313"/>
      <c r="J698" s="314"/>
      <c r="K698" s="313"/>
      <c r="L698" s="313"/>
      <c r="M698" s="313"/>
      <c r="N698" s="315"/>
      <c r="O698" s="313"/>
      <c r="P698" s="313"/>
      <c r="Q698" s="313"/>
      <c r="R698" s="313"/>
      <c r="S698" s="316"/>
      <c r="T698" s="317"/>
      <c r="U698" s="318"/>
      <c r="V698" s="319"/>
      <c r="W698" s="288"/>
      <c r="X698" s="220"/>
      <c r="Y698" s="220"/>
      <c r="Z698" s="220"/>
      <c r="AA698" s="220"/>
      <c r="AB698" s="220"/>
      <c r="AC698" s="220"/>
      <c r="AD698" s="220"/>
      <c r="AE698" s="220"/>
      <c r="AF698" s="220"/>
      <c r="AG698" s="220"/>
      <c r="AH698" s="308"/>
      <c r="AI698" s="220"/>
      <c r="AJ698" s="220"/>
      <c r="AK698" s="220"/>
      <c r="AL698" s="220"/>
      <c r="AM698" s="220"/>
      <c r="AN698" s="220"/>
      <c r="AO698" s="220"/>
      <c r="AP698" s="220"/>
      <c r="AQ698" s="220"/>
      <c r="AR698" s="220"/>
      <c r="AS698" s="220"/>
      <c r="AT698" s="220"/>
      <c r="AU698" s="220"/>
      <c r="AV698" s="220"/>
      <c r="AW698" s="220"/>
      <c r="AX698" s="220"/>
      <c r="AY698" s="220"/>
      <c r="AZ698" s="220"/>
      <c r="BA698" s="220"/>
    </row>
    <row r="699">
      <c r="A699" s="240"/>
      <c r="B699" s="311"/>
      <c r="C699" s="311"/>
      <c r="D699" s="312"/>
      <c r="E699" s="311"/>
      <c r="F699" s="311"/>
      <c r="G699" s="312"/>
      <c r="H699" s="312"/>
      <c r="I699" s="313"/>
      <c r="J699" s="314"/>
      <c r="K699" s="313"/>
      <c r="L699" s="313"/>
      <c r="M699" s="313"/>
      <c r="N699" s="315"/>
      <c r="O699" s="313"/>
      <c r="P699" s="313"/>
      <c r="Q699" s="313"/>
      <c r="R699" s="313"/>
      <c r="S699" s="316"/>
      <c r="T699" s="317"/>
      <c r="U699" s="318"/>
      <c r="V699" s="319"/>
      <c r="W699" s="288"/>
      <c r="X699" s="220"/>
      <c r="Y699" s="220"/>
      <c r="Z699" s="220"/>
      <c r="AA699" s="220"/>
      <c r="AB699" s="220"/>
      <c r="AC699" s="220"/>
      <c r="AD699" s="220"/>
      <c r="AE699" s="220"/>
      <c r="AF699" s="220"/>
      <c r="AG699" s="220"/>
      <c r="AH699" s="308"/>
      <c r="AI699" s="220"/>
      <c r="AJ699" s="220"/>
      <c r="AK699" s="220"/>
      <c r="AL699" s="220"/>
      <c r="AM699" s="220"/>
      <c r="AN699" s="220"/>
      <c r="AO699" s="220"/>
      <c r="AP699" s="220"/>
      <c r="AQ699" s="220"/>
      <c r="AR699" s="220"/>
      <c r="AS699" s="220"/>
      <c r="AT699" s="220"/>
      <c r="AU699" s="220"/>
      <c r="AV699" s="220"/>
      <c r="AW699" s="220"/>
      <c r="AX699" s="220"/>
      <c r="AY699" s="220"/>
      <c r="AZ699" s="220"/>
      <c r="BA699" s="220"/>
    </row>
    <row r="700">
      <c r="A700" s="240"/>
      <c r="B700" s="311"/>
      <c r="C700" s="311"/>
      <c r="D700" s="312"/>
      <c r="E700" s="311"/>
      <c r="F700" s="311"/>
      <c r="G700" s="312"/>
      <c r="H700" s="312"/>
      <c r="I700" s="313"/>
      <c r="J700" s="314"/>
      <c r="K700" s="313"/>
      <c r="L700" s="313"/>
      <c r="M700" s="313"/>
      <c r="N700" s="315"/>
      <c r="O700" s="313"/>
      <c r="P700" s="313"/>
      <c r="Q700" s="313"/>
      <c r="R700" s="313"/>
      <c r="S700" s="316"/>
      <c r="T700" s="317"/>
      <c r="U700" s="318"/>
      <c r="V700" s="319"/>
      <c r="W700" s="288"/>
      <c r="X700" s="220"/>
      <c r="Y700" s="220"/>
      <c r="Z700" s="220"/>
      <c r="AA700" s="220"/>
      <c r="AB700" s="220"/>
      <c r="AC700" s="220"/>
      <c r="AD700" s="220"/>
      <c r="AE700" s="220"/>
      <c r="AF700" s="220"/>
      <c r="AG700" s="220"/>
      <c r="AH700" s="308"/>
      <c r="AI700" s="220"/>
      <c r="AJ700" s="220"/>
      <c r="AK700" s="220"/>
      <c r="AL700" s="220"/>
      <c r="AM700" s="220"/>
      <c r="AN700" s="220"/>
      <c r="AO700" s="220"/>
      <c r="AP700" s="220"/>
      <c r="AQ700" s="220"/>
      <c r="AR700" s="220"/>
      <c r="AS700" s="220"/>
      <c r="AT700" s="220"/>
      <c r="AU700" s="220"/>
      <c r="AV700" s="220"/>
      <c r="AW700" s="220"/>
      <c r="AX700" s="220"/>
      <c r="AY700" s="220"/>
      <c r="AZ700" s="220"/>
      <c r="BA700" s="220"/>
    </row>
    <row r="701">
      <c r="A701" s="240"/>
      <c r="B701" s="311"/>
      <c r="C701" s="311"/>
      <c r="D701" s="312"/>
      <c r="E701" s="311"/>
      <c r="F701" s="311"/>
      <c r="G701" s="312"/>
      <c r="H701" s="312"/>
      <c r="I701" s="313"/>
      <c r="J701" s="314"/>
      <c r="K701" s="313"/>
      <c r="L701" s="313"/>
      <c r="M701" s="313"/>
      <c r="N701" s="315"/>
      <c r="O701" s="313"/>
      <c r="P701" s="313"/>
      <c r="Q701" s="313"/>
      <c r="R701" s="313"/>
      <c r="S701" s="316"/>
      <c r="T701" s="317"/>
      <c r="U701" s="318"/>
      <c r="V701" s="319"/>
      <c r="W701" s="288"/>
      <c r="X701" s="220"/>
      <c r="Y701" s="220"/>
      <c r="Z701" s="220"/>
      <c r="AA701" s="220"/>
      <c r="AB701" s="220"/>
      <c r="AC701" s="220"/>
      <c r="AD701" s="220"/>
      <c r="AE701" s="220"/>
      <c r="AF701" s="220"/>
      <c r="AG701" s="220"/>
      <c r="AH701" s="308"/>
      <c r="AI701" s="220"/>
      <c r="AJ701" s="220"/>
      <c r="AK701" s="220"/>
      <c r="AL701" s="220"/>
      <c r="AM701" s="220"/>
      <c r="AN701" s="220"/>
      <c r="AO701" s="220"/>
      <c r="AP701" s="220"/>
      <c r="AQ701" s="220"/>
      <c r="AR701" s="220"/>
      <c r="AS701" s="220"/>
      <c r="AT701" s="220"/>
      <c r="AU701" s="220"/>
      <c r="AV701" s="220"/>
      <c r="AW701" s="220"/>
      <c r="AX701" s="220"/>
      <c r="AY701" s="220"/>
      <c r="AZ701" s="220"/>
      <c r="BA701" s="220"/>
    </row>
    <row r="702">
      <c r="A702" s="240"/>
      <c r="B702" s="311"/>
      <c r="C702" s="311"/>
      <c r="D702" s="312"/>
      <c r="E702" s="311"/>
      <c r="F702" s="311"/>
      <c r="G702" s="312"/>
      <c r="H702" s="312"/>
      <c r="I702" s="313"/>
      <c r="J702" s="314"/>
      <c r="K702" s="313"/>
      <c r="L702" s="313"/>
      <c r="M702" s="313"/>
      <c r="N702" s="315"/>
      <c r="O702" s="313"/>
      <c r="P702" s="313"/>
      <c r="Q702" s="313"/>
      <c r="R702" s="313"/>
      <c r="S702" s="316"/>
      <c r="T702" s="317"/>
      <c r="U702" s="318"/>
      <c r="V702" s="319"/>
      <c r="W702" s="288"/>
      <c r="X702" s="220"/>
      <c r="Y702" s="220"/>
      <c r="Z702" s="220"/>
      <c r="AA702" s="220"/>
      <c r="AB702" s="220"/>
      <c r="AC702" s="220"/>
      <c r="AD702" s="220"/>
      <c r="AE702" s="220"/>
      <c r="AF702" s="220"/>
      <c r="AG702" s="220"/>
      <c r="AH702" s="308"/>
      <c r="AI702" s="220"/>
      <c r="AJ702" s="220"/>
      <c r="AK702" s="220"/>
      <c r="AL702" s="220"/>
      <c r="AM702" s="220"/>
      <c r="AN702" s="220"/>
      <c r="AO702" s="220"/>
      <c r="AP702" s="220"/>
      <c r="AQ702" s="220"/>
      <c r="AR702" s="220"/>
      <c r="AS702" s="220"/>
      <c r="AT702" s="220"/>
      <c r="AU702" s="220"/>
      <c r="AV702" s="220"/>
      <c r="AW702" s="220"/>
      <c r="AX702" s="220"/>
      <c r="AY702" s="220"/>
      <c r="AZ702" s="220"/>
      <c r="BA702" s="220"/>
    </row>
    <row r="703">
      <c r="A703" s="240"/>
      <c r="B703" s="311"/>
      <c r="C703" s="311"/>
      <c r="D703" s="312"/>
      <c r="E703" s="311"/>
      <c r="F703" s="311"/>
      <c r="G703" s="312"/>
      <c r="H703" s="312"/>
      <c r="I703" s="313"/>
      <c r="J703" s="314"/>
      <c r="K703" s="313"/>
      <c r="L703" s="313"/>
      <c r="M703" s="313"/>
      <c r="N703" s="315"/>
      <c r="O703" s="313"/>
      <c r="P703" s="313"/>
      <c r="Q703" s="313"/>
      <c r="R703" s="313"/>
      <c r="S703" s="316"/>
      <c r="T703" s="317"/>
      <c r="U703" s="318"/>
      <c r="V703" s="319"/>
      <c r="W703" s="288"/>
      <c r="X703" s="220"/>
      <c r="Y703" s="220"/>
      <c r="Z703" s="220"/>
      <c r="AA703" s="220"/>
      <c r="AB703" s="220"/>
      <c r="AC703" s="220"/>
      <c r="AD703" s="220"/>
      <c r="AE703" s="220"/>
      <c r="AF703" s="220"/>
      <c r="AG703" s="220"/>
      <c r="AH703" s="308"/>
      <c r="AI703" s="220"/>
      <c r="AJ703" s="220"/>
      <c r="AK703" s="220"/>
      <c r="AL703" s="220"/>
      <c r="AM703" s="220"/>
      <c r="AN703" s="220"/>
      <c r="AO703" s="220"/>
      <c r="AP703" s="220"/>
      <c r="AQ703" s="220"/>
      <c r="AR703" s="220"/>
      <c r="AS703" s="220"/>
      <c r="AT703" s="220"/>
      <c r="AU703" s="220"/>
      <c r="AV703" s="220"/>
      <c r="AW703" s="220"/>
      <c r="AX703" s="220"/>
      <c r="AY703" s="220"/>
      <c r="AZ703" s="220"/>
      <c r="BA703" s="220"/>
    </row>
    <row r="704">
      <c r="A704" s="240"/>
      <c r="B704" s="311"/>
      <c r="C704" s="311"/>
      <c r="D704" s="312"/>
      <c r="E704" s="311"/>
      <c r="F704" s="311"/>
      <c r="G704" s="312"/>
      <c r="H704" s="312"/>
      <c r="I704" s="313"/>
      <c r="J704" s="314"/>
      <c r="K704" s="313"/>
      <c r="L704" s="313"/>
      <c r="M704" s="313"/>
      <c r="N704" s="315"/>
      <c r="O704" s="313"/>
      <c r="P704" s="313"/>
      <c r="Q704" s="313"/>
      <c r="R704" s="313"/>
      <c r="S704" s="316"/>
      <c r="T704" s="317"/>
      <c r="U704" s="318"/>
      <c r="V704" s="319"/>
      <c r="W704" s="288"/>
      <c r="X704" s="220"/>
      <c r="Y704" s="220"/>
      <c r="Z704" s="220"/>
      <c r="AA704" s="220"/>
      <c r="AB704" s="220"/>
      <c r="AC704" s="220"/>
      <c r="AD704" s="220"/>
      <c r="AE704" s="220"/>
      <c r="AF704" s="220"/>
      <c r="AG704" s="220"/>
      <c r="AH704" s="308"/>
      <c r="AI704" s="220"/>
      <c r="AJ704" s="220"/>
      <c r="AK704" s="220"/>
      <c r="AL704" s="220"/>
      <c r="AM704" s="220"/>
      <c r="AN704" s="220"/>
      <c r="AO704" s="220"/>
      <c r="AP704" s="220"/>
      <c r="AQ704" s="220"/>
      <c r="AR704" s="220"/>
      <c r="AS704" s="220"/>
      <c r="AT704" s="220"/>
      <c r="AU704" s="220"/>
      <c r="AV704" s="220"/>
      <c r="AW704" s="220"/>
      <c r="AX704" s="220"/>
      <c r="AY704" s="220"/>
      <c r="AZ704" s="220"/>
      <c r="BA704" s="220"/>
    </row>
    <row r="705">
      <c r="A705" s="240"/>
      <c r="B705" s="311"/>
      <c r="C705" s="311"/>
      <c r="D705" s="312"/>
      <c r="E705" s="311"/>
      <c r="F705" s="311"/>
      <c r="G705" s="312"/>
      <c r="H705" s="312"/>
      <c r="I705" s="313"/>
      <c r="J705" s="314"/>
      <c r="K705" s="313"/>
      <c r="L705" s="313"/>
      <c r="M705" s="313"/>
      <c r="N705" s="315"/>
      <c r="O705" s="313"/>
      <c r="P705" s="313"/>
      <c r="Q705" s="313"/>
      <c r="R705" s="313"/>
      <c r="S705" s="316"/>
      <c r="T705" s="317"/>
      <c r="U705" s="318"/>
      <c r="V705" s="319"/>
      <c r="W705" s="288"/>
      <c r="X705" s="220"/>
      <c r="Y705" s="220"/>
      <c r="Z705" s="220"/>
      <c r="AA705" s="220"/>
      <c r="AB705" s="220"/>
      <c r="AC705" s="220"/>
      <c r="AD705" s="220"/>
      <c r="AE705" s="220"/>
      <c r="AF705" s="220"/>
      <c r="AG705" s="220"/>
      <c r="AH705" s="308"/>
      <c r="AI705" s="220"/>
      <c r="AJ705" s="220"/>
      <c r="AK705" s="220"/>
      <c r="AL705" s="220"/>
      <c r="AM705" s="220"/>
      <c r="AN705" s="220"/>
      <c r="AO705" s="220"/>
      <c r="AP705" s="220"/>
      <c r="AQ705" s="220"/>
      <c r="AR705" s="220"/>
      <c r="AS705" s="220"/>
      <c r="AT705" s="220"/>
      <c r="AU705" s="220"/>
      <c r="AV705" s="220"/>
      <c r="AW705" s="220"/>
      <c r="AX705" s="220"/>
      <c r="AY705" s="220"/>
      <c r="AZ705" s="220"/>
      <c r="BA705" s="220"/>
    </row>
    <row r="706">
      <c r="A706" s="240"/>
      <c r="B706" s="311"/>
      <c r="C706" s="311"/>
      <c r="D706" s="312"/>
      <c r="E706" s="311"/>
      <c r="F706" s="311"/>
      <c r="G706" s="312"/>
      <c r="H706" s="312"/>
      <c r="I706" s="313"/>
      <c r="J706" s="314"/>
      <c r="K706" s="313"/>
      <c r="L706" s="313"/>
      <c r="M706" s="313"/>
      <c r="N706" s="315"/>
      <c r="O706" s="313"/>
      <c r="P706" s="313"/>
      <c r="Q706" s="313"/>
      <c r="R706" s="313"/>
      <c r="S706" s="316"/>
      <c r="T706" s="317"/>
      <c r="U706" s="318"/>
      <c r="V706" s="319"/>
      <c r="W706" s="288"/>
      <c r="X706" s="220"/>
      <c r="Y706" s="220"/>
      <c r="Z706" s="220"/>
      <c r="AA706" s="220"/>
      <c r="AB706" s="220"/>
      <c r="AC706" s="220"/>
      <c r="AD706" s="220"/>
      <c r="AE706" s="220"/>
      <c r="AF706" s="220"/>
      <c r="AG706" s="220"/>
      <c r="AH706" s="308"/>
      <c r="AI706" s="220"/>
      <c r="AJ706" s="220"/>
      <c r="AK706" s="220"/>
      <c r="AL706" s="220"/>
      <c r="AM706" s="220"/>
      <c r="AN706" s="220"/>
      <c r="AO706" s="220"/>
      <c r="AP706" s="220"/>
      <c r="AQ706" s="220"/>
      <c r="AR706" s="220"/>
      <c r="AS706" s="220"/>
      <c r="AT706" s="220"/>
      <c r="AU706" s="220"/>
      <c r="AV706" s="220"/>
      <c r="AW706" s="220"/>
      <c r="AX706" s="220"/>
      <c r="AY706" s="220"/>
      <c r="AZ706" s="220"/>
      <c r="BA706" s="220"/>
    </row>
    <row r="707">
      <c r="A707" s="240"/>
      <c r="B707" s="311"/>
      <c r="C707" s="311"/>
      <c r="D707" s="312"/>
      <c r="E707" s="311"/>
      <c r="F707" s="311"/>
      <c r="G707" s="312"/>
      <c r="H707" s="312"/>
      <c r="I707" s="313"/>
      <c r="J707" s="314"/>
      <c r="K707" s="313"/>
      <c r="L707" s="313"/>
      <c r="M707" s="313"/>
      <c r="N707" s="315"/>
      <c r="O707" s="313"/>
      <c r="P707" s="313"/>
      <c r="Q707" s="313"/>
      <c r="R707" s="313"/>
      <c r="S707" s="316"/>
      <c r="T707" s="317"/>
      <c r="U707" s="318"/>
      <c r="V707" s="319"/>
      <c r="W707" s="288"/>
      <c r="X707" s="220"/>
      <c r="Y707" s="220"/>
      <c r="Z707" s="220"/>
      <c r="AA707" s="220"/>
      <c r="AB707" s="220"/>
      <c r="AC707" s="220"/>
      <c r="AD707" s="220"/>
      <c r="AE707" s="220"/>
      <c r="AF707" s="220"/>
      <c r="AG707" s="220"/>
      <c r="AH707" s="308"/>
      <c r="AI707" s="220"/>
      <c r="AJ707" s="220"/>
      <c r="AK707" s="220"/>
      <c r="AL707" s="220"/>
      <c r="AM707" s="220"/>
      <c r="AN707" s="220"/>
      <c r="AO707" s="220"/>
      <c r="AP707" s="220"/>
      <c r="AQ707" s="220"/>
      <c r="AR707" s="220"/>
      <c r="AS707" s="220"/>
      <c r="AT707" s="220"/>
      <c r="AU707" s="220"/>
      <c r="AV707" s="220"/>
      <c r="AW707" s="220"/>
      <c r="AX707" s="220"/>
      <c r="AY707" s="220"/>
      <c r="AZ707" s="220"/>
      <c r="BA707" s="220"/>
    </row>
    <row r="708">
      <c r="A708" s="240"/>
      <c r="B708" s="311"/>
      <c r="C708" s="311"/>
      <c r="D708" s="312"/>
      <c r="E708" s="311"/>
      <c r="F708" s="311"/>
      <c r="G708" s="312"/>
      <c r="H708" s="312"/>
      <c r="I708" s="313"/>
      <c r="J708" s="314"/>
      <c r="K708" s="313"/>
      <c r="L708" s="313"/>
      <c r="M708" s="313"/>
      <c r="N708" s="315"/>
      <c r="O708" s="313"/>
      <c r="P708" s="313"/>
      <c r="Q708" s="313"/>
      <c r="R708" s="313"/>
      <c r="S708" s="316"/>
      <c r="T708" s="317"/>
      <c r="U708" s="318"/>
      <c r="V708" s="319"/>
      <c r="W708" s="288"/>
      <c r="X708" s="220"/>
      <c r="Y708" s="220"/>
      <c r="Z708" s="220"/>
      <c r="AA708" s="220"/>
      <c r="AB708" s="220"/>
      <c r="AC708" s="220"/>
      <c r="AD708" s="220"/>
      <c r="AE708" s="220"/>
      <c r="AF708" s="220"/>
      <c r="AG708" s="220"/>
      <c r="AH708" s="308"/>
      <c r="AI708" s="220"/>
      <c r="AJ708" s="220"/>
      <c r="AK708" s="220"/>
      <c r="AL708" s="220"/>
      <c r="AM708" s="220"/>
      <c r="AN708" s="220"/>
      <c r="AO708" s="220"/>
      <c r="AP708" s="220"/>
      <c r="AQ708" s="220"/>
      <c r="AR708" s="220"/>
      <c r="AS708" s="220"/>
      <c r="AT708" s="220"/>
      <c r="AU708" s="220"/>
      <c r="AV708" s="220"/>
      <c r="AW708" s="220"/>
      <c r="AX708" s="220"/>
      <c r="AY708" s="220"/>
      <c r="AZ708" s="220"/>
      <c r="BA708" s="220"/>
    </row>
    <row r="709">
      <c r="A709" s="240"/>
      <c r="B709" s="311"/>
      <c r="C709" s="311"/>
      <c r="D709" s="312"/>
      <c r="E709" s="311"/>
      <c r="F709" s="311"/>
      <c r="G709" s="312"/>
      <c r="H709" s="312"/>
      <c r="I709" s="313"/>
      <c r="J709" s="314"/>
      <c r="K709" s="313"/>
      <c r="L709" s="313"/>
      <c r="M709" s="313"/>
      <c r="N709" s="315"/>
      <c r="O709" s="313"/>
      <c r="P709" s="313"/>
      <c r="Q709" s="313"/>
      <c r="R709" s="313"/>
      <c r="S709" s="316"/>
      <c r="T709" s="317"/>
      <c r="U709" s="318"/>
      <c r="V709" s="319"/>
      <c r="W709" s="288"/>
      <c r="X709" s="220"/>
      <c r="Y709" s="220"/>
      <c r="Z709" s="220"/>
      <c r="AA709" s="220"/>
      <c r="AB709" s="220"/>
      <c r="AC709" s="220"/>
      <c r="AD709" s="220"/>
      <c r="AE709" s="220"/>
      <c r="AF709" s="220"/>
      <c r="AG709" s="220"/>
      <c r="AH709" s="308"/>
      <c r="AI709" s="220"/>
      <c r="AJ709" s="220"/>
      <c r="AK709" s="220"/>
      <c r="AL709" s="220"/>
      <c r="AM709" s="220"/>
      <c r="AN709" s="220"/>
      <c r="AO709" s="220"/>
      <c r="AP709" s="220"/>
      <c r="AQ709" s="220"/>
      <c r="AR709" s="220"/>
      <c r="AS709" s="220"/>
      <c r="AT709" s="220"/>
      <c r="AU709" s="220"/>
      <c r="AV709" s="220"/>
      <c r="AW709" s="220"/>
      <c r="AX709" s="220"/>
      <c r="AY709" s="220"/>
      <c r="AZ709" s="220"/>
      <c r="BA709" s="220"/>
    </row>
    <row r="710">
      <c r="A710" s="240"/>
      <c r="B710" s="311"/>
      <c r="C710" s="311"/>
      <c r="D710" s="312"/>
      <c r="E710" s="311"/>
      <c r="F710" s="311"/>
      <c r="G710" s="312"/>
      <c r="H710" s="312"/>
      <c r="I710" s="313"/>
      <c r="J710" s="314"/>
      <c r="K710" s="313"/>
      <c r="L710" s="313"/>
      <c r="M710" s="313"/>
      <c r="N710" s="315"/>
      <c r="O710" s="313"/>
      <c r="P710" s="313"/>
      <c r="Q710" s="313"/>
      <c r="R710" s="313"/>
      <c r="S710" s="316"/>
      <c r="T710" s="317"/>
      <c r="U710" s="318"/>
      <c r="V710" s="319"/>
      <c r="W710" s="288"/>
      <c r="X710" s="220"/>
      <c r="Y710" s="220"/>
      <c r="Z710" s="220"/>
      <c r="AA710" s="220"/>
      <c r="AB710" s="220"/>
      <c r="AC710" s="220"/>
      <c r="AD710" s="220"/>
      <c r="AE710" s="220"/>
      <c r="AF710" s="220"/>
      <c r="AG710" s="220"/>
      <c r="AH710" s="308"/>
      <c r="AI710" s="220"/>
      <c r="AJ710" s="220"/>
      <c r="AK710" s="220"/>
      <c r="AL710" s="220"/>
      <c r="AM710" s="220"/>
      <c r="AN710" s="220"/>
      <c r="AO710" s="220"/>
      <c r="AP710" s="220"/>
      <c r="AQ710" s="220"/>
      <c r="AR710" s="220"/>
      <c r="AS710" s="220"/>
      <c r="AT710" s="220"/>
      <c r="AU710" s="220"/>
      <c r="AV710" s="220"/>
      <c r="AW710" s="220"/>
      <c r="AX710" s="220"/>
      <c r="AY710" s="220"/>
      <c r="AZ710" s="220"/>
      <c r="BA710" s="220"/>
    </row>
    <row r="711">
      <c r="A711" s="240"/>
      <c r="B711" s="311"/>
      <c r="C711" s="311"/>
      <c r="D711" s="312"/>
      <c r="E711" s="311"/>
      <c r="F711" s="311"/>
      <c r="G711" s="312"/>
      <c r="H711" s="312"/>
      <c r="I711" s="313"/>
      <c r="J711" s="314"/>
      <c r="K711" s="313"/>
      <c r="L711" s="313"/>
      <c r="M711" s="313"/>
      <c r="N711" s="315"/>
      <c r="O711" s="313"/>
      <c r="P711" s="313"/>
      <c r="Q711" s="313"/>
      <c r="R711" s="313"/>
      <c r="S711" s="316"/>
      <c r="T711" s="317"/>
      <c r="U711" s="318"/>
      <c r="V711" s="319"/>
      <c r="W711" s="288"/>
      <c r="X711" s="220"/>
      <c r="Y711" s="220"/>
      <c r="Z711" s="220"/>
      <c r="AA711" s="220"/>
      <c r="AB711" s="220"/>
      <c r="AC711" s="220"/>
      <c r="AD711" s="220"/>
      <c r="AE711" s="220"/>
      <c r="AF711" s="220"/>
      <c r="AG711" s="220"/>
      <c r="AH711" s="308"/>
      <c r="AI711" s="220"/>
      <c r="AJ711" s="220"/>
      <c r="AK711" s="220"/>
      <c r="AL711" s="220"/>
      <c r="AM711" s="220"/>
      <c r="AN711" s="220"/>
      <c r="AO711" s="220"/>
      <c r="AP711" s="220"/>
      <c r="AQ711" s="220"/>
      <c r="AR711" s="220"/>
      <c r="AS711" s="220"/>
      <c r="AT711" s="220"/>
      <c r="AU711" s="220"/>
      <c r="AV711" s="220"/>
      <c r="AW711" s="220"/>
      <c r="AX711" s="220"/>
      <c r="AY711" s="220"/>
      <c r="AZ711" s="220"/>
      <c r="BA711" s="220"/>
    </row>
    <row r="712">
      <c r="A712" s="240"/>
      <c r="B712" s="311"/>
      <c r="C712" s="311"/>
      <c r="D712" s="312"/>
      <c r="E712" s="311"/>
      <c r="F712" s="311"/>
      <c r="G712" s="312"/>
      <c r="H712" s="312"/>
      <c r="I712" s="313"/>
      <c r="J712" s="314"/>
      <c r="K712" s="313"/>
      <c r="L712" s="313"/>
      <c r="M712" s="313"/>
      <c r="N712" s="315"/>
      <c r="O712" s="313"/>
      <c r="P712" s="313"/>
      <c r="Q712" s="313"/>
      <c r="R712" s="313"/>
      <c r="S712" s="316"/>
      <c r="T712" s="317"/>
      <c r="U712" s="318"/>
      <c r="V712" s="319"/>
      <c r="W712" s="288"/>
      <c r="X712" s="220"/>
      <c r="Y712" s="220"/>
      <c r="Z712" s="220"/>
      <c r="AA712" s="220"/>
      <c r="AB712" s="220"/>
      <c r="AC712" s="220"/>
      <c r="AD712" s="220"/>
      <c r="AE712" s="220"/>
      <c r="AF712" s="220"/>
      <c r="AG712" s="220"/>
      <c r="AH712" s="308"/>
      <c r="AI712" s="220"/>
      <c r="AJ712" s="220"/>
      <c r="AK712" s="220"/>
      <c r="AL712" s="220"/>
      <c r="AM712" s="220"/>
      <c r="AN712" s="220"/>
      <c r="AO712" s="220"/>
      <c r="AP712" s="220"/>
      <c r="AQ712" s="220"/>
      <c r="AR712" s="220"/>
      <c r="AS712" s="220"/>
      <c r="AT712" s="220"/>
      <c r="AU712" s="220"/>
      <c r="AV712" s="220"/>
      <c r="AW712" s="220"/>
      <c r="AX712" s="220"/>
      <c r="AY712" s="220"/>
      <c r="AZ712" s="220"/>
      <c r="BA712" s="220"/>
    </row>
    <row r="713">
      <c r="A713" s="240"/>
      <c r="B713" s="311"/>
      <c r="C713" s="311"/>
      <c r="D713" s="312"/>
      <c r="E713" s="311"/>
      <c r="F713" s="311"/>
      <c r="G713" s="312"/>
      <c r="H713" s="312"/>
      <c r="I713" s="313"/>
      <c r="J713" s="314"/>
      <c r="K713" s="313"/>
      <c r="L713" s="313"/>
      <c r="M713" s="313"/>
      <c r="N713" s="315"/>
      <c r="O713" s="313"/>
      <c r="P713" s="313"/>
      <c r="Q713" s="313"/>
      <c r="R713" s="313"/>
      <c r="S713" s="316"/>
      <c r="T713" s="317"/>
      <c r="U713" s="318"/>
      <c r="V713" s="319"/>
      <c r="W713" s="288"/>
      <c r="X713" s="220"/>
      <c r="Y713" s="220"/>
      <c r="Z713" s="220"/>
      <c r="AA713" s="220"/>
      <c r="AB713" s="220"/>
      <c r="AC713" s="220"/>
      <c r="AD713" s="220"/>
      <c r="AE713" s="220"/>
      <c r="AF713" s="220"/>
      <c r="AG713" s="220"/>
      <c r="AH713" s="308"/>
      <c r="AI713" s="220"/>
      <c r="AJ713" s="220"/>
      <c r="AK713" s="220"/>
      <c r="AL713" s="220"/>
      <c r="AM713" s="220"/>
      <c r="AN713" s="220"/>
      <c r="AO713" s="220"/>
      <c r="AP713" s="220"/>
      <c r="AQ713" s="220"/>
      <c r="AR713" s="220"/>
      <c r="AS713" s="220"/>
      <c r="AT713" s="220"/>
      <c r="AU713" s="220"/>
      <c r="AV713" s="220"/>
      <c r="AW713" s="220"/>
      <c r="AX713" s="220"/>
      <c r="AY713" s="220"/>
      <c r="AZ713" s="220"/>
      <c r="BA713" s="220"/>
    </row>
    <row r="714">
      <c r="A714" s="240"/>
      <c r="B714" s="311"/>
      <c r="C714" s="311"/>
      <c r="D714" s="312"/>
      <c r="E714" s="311"/>
      <c r="F714" s="311"/>
      <c r="G714" s="312"/>
      <c r="H714" s="312"/>
      <c r="I714" s="313"/>
      <c r="J714" s="314"/>
      <c r="K714" s="313"/>
      <c r="L714" s="313"/>
      <c r="M714" s="313"/>
      <c r="N714" s="315"/>
      <c r="O714" s="313"/>
      <c r="P714" s="313"/>
      <c r="Q714" s="313"/>
      <c r="R714" s="313"/>
      <c r="S714" s="316"/>
      <c r="T714" s="317"/>
      <c r="U714" s="318"/>
      <c r="V714" s="319"/>
      <c r="W714" s="288"/>
      <c r="X714" s="220"/>
      <c r="Y714" s="220"/>
      <c r="Z714" s="220"/>
      <c r="AA714" s="220"/>
      <c r="AB714" s="220"/>
      <c r="AC714" s="220"/>
      <c r="AD714" s="220"/>
      <c r="AE714" s="220"/>
      <c r="AF714" s="220"/>
      <c r="AG714" s="220"/>
      <c r="AH714" s="308"/>
      <c r="AI714" s="220"/>
      <c r="AJ714" s="220"/>
      <c r="AK714" s="220"/>
      <c r="AL714" s="220"/>
      <c r="AM714" s="220"/>
      <c r="AN714" s="220"/>
      <c r="AO714" s="220"/>
      <c r="AP714" s="220"/>
      <c r="AQ714" s="220"/>
      <c r="AR714" s="220"/>
      <c r="AS714" s="220"/>
      <c r="AT714" s="220"/>
      <c r="AU714" s="220"/>
      <c r="AV714" s="220"/>
      <c r="AW714" s="220"/>
      <c r="AX714" s="220"/>
      <c r="AY714" s="220"/>
      <c r="AZ714" s="220"/>
      <c r="BA714" s="220"/>
    </row>
    <row r="715">
      <c r="A715" s="240"/>
      <c r="B715" s="311"/>
      <c r="C715" s="311"/>
      <c r="D715" s="312"/>
      <c r="E715" s="311"/>
      <c r="F715" s="311"/>
      <c r="G715" s="312"/>
      <c r="H715" s="312"/>
      <c r="I715" s="313"/>
      <c r="J715" s="314"/>
      <c r="K715" s="313"/>
      <c r="L715" s="313"/>
      <c r="M715" s="313"/>
      <c r="N715" s="315"/>
      <c r="O715" s="313"/>
      <c r="P715" s="313"/>
      <c r="Q715" s="313"/>
      <c r="R715" s="313"/>
      <c r="S715" s="316"/>
      <c r="T715" s="317"/>
      <c r="U715" s="318"/>
      <c r="V715" s="319"/>
      <c r="W715" s="288"/>
      <c r="X715" s="220"/>
      <c r="Y715" s="220"/>
      <c r="Z715" s="220"/>
      <c r="AA715" s="220"/>
      <c r="AB715" s="220"/>
      <c r="AC715" s="220"/>
      <c r="AD715" s="220"/>
      <c r="AE715" s="220"/>
      <c r="AF715" s="220"/>
      <c r="AG715" s="220"/>
      <c r="AH715" s="308"/>
      <c r="AI715" s="220"/>
      <c r="AJ715" s="220"/>
      <c r="AK715" s="220"/>
      <c r="AL715" s="220"/>
      <c r="AM715" s="220"/>
      <c r="AN715" s="220"/>
      <c r="AO715" s="220"/>
      <c r="AP715" s="220"/>
      <c r="AQ715" s="220"/>
      <c r="AR715" s="220"/>
      <c r="AS715" s="220"/>
      <c r="AT715" s="220"/>
      <c r="AU715" s="220"/>
      <c r="AV715" s="220"/>
      <c r="AW715" s="220"/>
      <c r="AX715" s="220"/>
      <c r="AY715" s="220"/>
      <c r="AZ715" s="220"/>
      <c r="BA715" s="220"/>
    </row>
    <row r="716">
      <c r="A716" s="240"/>
      <c r="B716" s="311"/>
      <c r="C716" s="311"/>
      <c r="D716" s="312"/>
      <c r="E716" s="311"/>
      <c r="F716" s="311"/>
      <c r="G716" s="312"/>
      <c r="H716" s="312"/>
      <c r="I716" s="313"/>
      <c r="J716" s="314"/>
      <c r="K716" s="313"/>
      <c r="L716" s="313"/>
      <c r="M716" s="313"/>
      <c r="N716" s="315"/>
      <c r="O716" s="313"/>
      <c r="P716" s="313"/>
      <c r="Q716" s="313"/>
      <c r="R716" s="313"/>
      <c r="S716" s="316"/>
      <c r="T716" s="317"/>
      <c r="U716" s="318"/>
      <c r="V716" s="319"/>
      <c r="W716" s="288"/>
      <c r="X716" s="220"/>
      <c r="Y716" s="220"/>
      <c r="Z716" s="220"/>
      <c r="AA716" s="220"/>
      <c r="AB716" s="220"/>
      <c r="AC716" s="220"/>
      <c r="AD716" s="220"/>
      <c r="AE716" s="220"/>
      <c r="AF716" s="220"/>
      <c r="AG716" s="220"/>
      <c r="AH716" s="308"/>
      <c r="AI716" s="220"/>
      <c r="AJ716" s="220"/>
      <c r="AK716" s="220"/>
      <c r="AL716" s="220"/>
      <c r="AM716" s="220"/>
      <c r="AN716" s="220"/>
      <c r="AO716" s="220"/>
      <c r="AP716" s="220"/>
      <c r="AQ716" s="220"/>
      <c r="AR716" s="220"/>
      <c r="AS716" s="220"/>
      <c r="AT716" s="220"/>
      <c r="AU716" s="220"/>
      <c r="AV716" s="220"/>
      <c r="AW716" s="220"/>
      <c r="AX716" s="220"/>
      <c r="AY716" s="220"/>
      <c r="AZ716" s="220"/>
      <c r="BA716" s="220"/>
    </row>
    <row r="717">
      <c r="A717" s="240"/>
      <c r="B717" s="311"/>
      <c r="C717" s="311"/>
      <c r="D717" s="312"/>
      <c r="E717" s="311"/>
      <c r="F717" s="311"/>
      <c r="G717" s="312"/>
      <c r="H717" s="312"/>
      <c r="I717" s="313"/>
      <c r="J717" s="314"/>
      <c r="K717" s="313"/>
      <c r="L717" s="313"/>
      <c r="M717" s="313"/>
      <c r="N717" s="315"/>
      <c r="O717" s="313"/>
      <c r="P717" s="313"/>
      <c r="Q717" s="313"/>
      <c r="R717" s="313"/>
      <c r="S717" s="316"/>
      <c r="T717" s="317"/>
      <c r="U717" s="318"/>
      <c r="V717" s="319"/>
      <c r="W717" s="288"/>
      <c r="X717" s="220"/>
      <c r="Y717" s="220"/>
      <c r="Z717" s="220"/>
      <c r="AA717" s="220"/>
      <c r="AB717" s="220"/>
      <c r="AC717" s="220"/>
      <c r="AD717" s="220"/>
      <c r="AE717" s="220"/>
      <c r="AF717" s="220"/>
      <c r="AG717" s="220"/>
      <c r="AH717" s="308"/>
      <c r="AI717" s="220"/>
      <c r="AJ717" s="220"/>
      <c r="AK717" s="220"/>
      <c r="AL717" s="220"/>
      <c r="AM717" s="220"/>
      <c r="AN717" s="220"/>
      <c r="AO717" s="220"/>
      <c r="AP717" s="220"/>
      <c r="AQ717" s="220"/>
      <c r="AR717" s="220"/>
      <c r="AS717" s="220"/>
      <c r="AT717" s="220"/>
      <c r="AU717" s="220"/>
      <c r="AV717" s="220"/>
      <c r="AW717" s="220"/>
      <c r="AX717" s="220"/>
      <c r="AY717" s="220"/>
      <c r="AZ717" s="220"/>
      <c r="BA717" s="220"/>
    </row>
    <row r="718">
      <c r="A718" s="240"/>
      <c r="B718" s="311"/>
      <c r="C718" s="311"/>
      <c r="D718" s="312"/>
      <c r="E718" s="311"/>
      <c r="F718" s="311"/>
      <c r="G718" s="312"/>
      <c r="H718" s="312"/>
      <c r="I718" s="313"/>
      <c r="J718" s="314"/>
      <c r="K718" s="313"/>
      <c r="L718" s="313"/>
      <c r="M718" s="313"/>
      <c r="N718" s="315"/>
      <c r="O718" s="313"/>
      <c r="P718" s="313"/>
      <c r="Q718" s="313"/>
      <c r="R718" s="313"/>
      <c r="S718" s="316"/>
      <c r="T718" s="317"/>
      <c r="U718" s="318"/>
      <c r="V718" s="319"/>
      <c r="W718" s="288"/>
      <c r="X718" s="220"/>
      <c r="Y718" s="220"/>
      <c r="Z718" s="220"/>
      <c r="AA718" s="220"/>
      <c r="AB718" s="220"/>
      <c r="AC718" s="220"/>
      <c r="AD718" s="220"/>
      <c r="AE718" s="220"/>
      <c r="AF718" s="220"/>
      <c r="AG718" s="220"/>
      <c r="AH718" s="308"/>
      <c r="AI718" s="220"/>
      <c r="AJ718" s="220"/>
      <c r="AK718" s="220"/>
      <c r="AL718" s="220"/>
      <c r="AM718" s="220"/>
      <c r="AN718" s="220"/>
      <c r="AO718" s="220"/>
      <c r="AP718" s="220"/>
      <c r="AQ718" s="220"/>
      <c r="AR718" s="220"/>
      <c r="AS718" s="220"/>
      <c r="AT718" s="220"/>
      <c r="AU718" s="220"/>
      <c r="AV718" s="220"/>
      <c r="AW718" s="220"/>
      <c r="AX718" s="220"/>
      <c r="AY718" s="220"/>
      <c r="AZ718" s="220"/>
      <c r="BA718" s="220"/>
    </row>
    <row r="719">
      <c r="A719" s="240"/>
      <c r="B719" s="311"/>
      <c r="C719" s="311"/>
      <c r="D719" s="312"/>
      <c r="E719" s="311"/>
      <c r="F719" s="311"/>
      <c r="G719" s="312"/>
      <c r="H719" s="312"/>
      <c r="I719" s="313"/>
      <c r="J719" s="314"/>
      <c r="K719" s="313"/>
      <c r="L719" s="313"/>
      <c r="M719" s="313"/>
      <c r="N719" s="315"/>
      <c r="O719" s="313"/>
      <c r="P719" s="313"/>
      <c r="Q719" s="313"/>
      <c r="R719" s="313"/>
      <c r="S719" s="316"/>
      <c r="T719" s="317"/>
      <c r="U719" s="318"/>
      <c r="V719" s="319"/>
      <c r="W719" s="288"/>
      <c r="X719" s="220"/>
      <c r="Y719" s="220"/>
      <c r="Z719" s="220"/>
      <c r="AA719" s="220"/>
      <c r="AB719" s="220"/>
      <c r="AC719" s="220"/>
      <c r="AD719" s="220"/>
      <c r="AE719" s="220"/>
      <c r="AF719" s="220"/>
      <c r="AG719" s="220"/>
      <c r="AH719" s="308"/>
      <c r="AI719" s="220"/>
      <c r="AJ719" s="220"/>
      <c r="AK719" s="220"/>
      <c r="AL719" s="220"/>
      <c r="AM719" s="220"/>
      <c r="AN719" s="220"/>
      <c r="AO719" s="220"/>
      <c r="AP719" s="220"/>
      <c r="AQ719" s="220"/>
      <c r="AR719" s="220"/>
      <c r="AS719" s="220"/>
      <c r="AT719" s="220"/>
      <c r="AU719" s="220"/>
      <c r="AV719" s="220"/>
      <c r="AW719" s="220"/>
      <c r="AX719" s="220"/>
      <c r="AY719" s="220"/>
      <c r="AZ719" s="220"/>
      <c r="BA719" s="220"/>
    </row>
    <row r="720">
      <c r="A720" s="240"/>
      <c r="B720" s="311"/>
      <c r="C720" s="311"/>
      <c r="D720" s="312"/>
      <c r="E720" s="311"/>
      <c r="F720" s="311"/>
      <c r="G720" s="312"/>
      <c r="H720" s="312"/>
      <c r="I720" s="313"/>
      <c r="J720" s="314"/>
      <c r="K720" s="313"/>
      <c r="L720" s="313"/>
      <c r="M720" s="313"/>
      <c r="N720" s="315"/>
      <c r="O720" s="313"/>
      <c r="P720" s="313"/>
      <c r="Q720" s="313"/>
      <c r="R720" s="313"/>
      <c r="S720" s="316"/>
      <c r="T720" s="317"/>
      <c r="U720" s="318"/>
      <c r="V720" s="319"/>
      <c r="W720" s="288"/>
      <c r="X720" s="220"/>
      <c r="Y720" s="220"/>
      <c r="Z720" s="220"/>
      <c r="AA720" s="220"/>
      <c r="AB720" s="220"/>
      <c r="AC720" s="220"/>
      <c r="AD720" s="220"/>
      <c r="AE720" s="220"/>
      <c r="AF720" s="220"/>
      <c r="AG720" s="220"/>
      <c r="AH720" s="308"/>
      <c r="AI720" s="220"/>
      <c r="AJ720" s="220"/>
      <c r="AK720" s="220"/>
      <c r="AL720" s="220"/>
      <c r="AM720" s="220"/>
      <c r="AN720" s="220"/>
      <c r="AO720" s="220"/>
      <c r="AP720" s="220"/>
      <c r="AQ720" s="220"/>
      <c r="AR720" s="220"/>
      <c r="AS720" s="220"/>
      <c r="AT720" s="220"/>
      <c r="AU720" s="220"/>
      <c r="AV720" s="220"/>
      <c r="AW720" s="220"/>
      <c r="AX720" s="220"/>
      <c r="AY720" s="220"/>
      <c r="AZ720" s="220"/>
      <c r="BA720" s="220"/>
    </row>
    <row r="721">
      <c r="A721" s="240"/>
      <c r="B721" s="311"/>
      <c r="C721" s="311"/>
      <c r="D721" s="312"/>
      <c r="E721" s="311"/>
      <c r="F721" s="311"/>
      <c r="G721" s="312"/>
      <c r="H721" s="312"/>
      <c r="I721" s="313"/>
      <c r="J721" s="314"/>
      <c r="K721" s="313"/>
      <c r="L721" s="313"/>
      <c r="M721" s="313"/>
      <c r="N721" s="315"/>
      <c r="O721" s="313"/>
      <c r="P721" s="313"/>
      <c r="Q721" s="313"/>
      <c r="R721" s="313"/>
      <c r="S721" s="316"/>
      <c r="T721" s="317"/>
      <c r="U721" s="318"/>
      <c r="V721" s="319"/>
      <c r="W721" s="288"/>
      <c r="X721" s="220"/>
      <c r="Y721" s="220"/>
      <c r="Z721" s="220"/>
      <c r="AA721" s="220"/>
      <c r="AB721" s="220"/>
      <c r="AC721" s="220"/>
      <c r="AD721" s="220"/>
      <c r="AE721" s="220"/>
      <c r="AF721" s="220"/>
      <c r="AG721" s="220"/>
      <c r="AH721" s="308"/>
      <c r="AI721" s="220"/>
      <c r="AJ721" s="220"/>
      <c r="AK721" s="220"/>
      <c r="AL721" s="220"/>
      <c r="AM721" s="220"/>
      <c r="AN721" s="220"/>
      <c r="AO721" s="220"/>
      <c r="AP721" s="220"/>
      <c r="AQ721" s="220"/>
      <c r="AR721" s="220"/>
      <c r="AS721" s="220"/>
      <c r="AT721" s="220"/>
      <c r="AU721" s="220"/>
      <c r="AV721" s="220"/>
      <c r="AW721" s="220"/>
      <c r="AX721" s="220"/>
      <c r="AY721" s="220"/>
      <c r="AZ721" s="220"/>
      <c r="BA721" s="220"/>
    </row>
    <row r="722">
      <c r="A722" s="240"/>
      <c r="B722" s="311"/>
      <c r="C722" s="311"/>
      <c r="D722" s="312"/>
      <c r="E722" s="311"/>
      <c r="F722" s="311"/>
      <c r="G722" s="312"/>
      <c r="H722" s="312"/>
      <c r="I722" s="313"/>
      <c r="J722" s="314"/>
      <c r="K722" s="313"/>
      <c r="L722" s="313"/>
      <c r="M722" s="313"/>
      <c r="N722" s="315"/>
      <c r="O722" s="313"/>
      <c r="P722" s="313"/>
      <c r="Q722" s="313"/>
      <c r="R722" s="313"/>
      <c r="S722" s="316"/>
      <c r="T722" s="317"/>
      <c r="U722" s="318"/>
      <c r="V722" s="319"/>
      <c r="W722" s="288"/>
      <c r="X722" s="220"/>
      <c r="Y722" s="220"/>
      <c r="Z722" s="220"/>
      <c r="AA722" s="220"/>
      <c r="AB722" s="220"/>
      <c r="AC722" s="220"/>
      <c r="AD722" s="220"/>
      <c r="AE722" s="220"/>
      <c r="AF722" s="220"/>
      <c r="AG722" s="220"/>
      <c r="AH722" s="308"/>
      <c r="AI722" s="220"/>
      <c r="AJ722" s="220"/>
      <c r="AK722" s="220"/>
      <c r="AL722" s="220"/>
      <c r="AM722" s="220"/>
      <c r="AN722" s="220"/>
      <c r="AO722" s="220"/>
      <c r="AP722" s="220"/>
      <c r="AQ722" s="220"/>
      <c r="AR722" s="220"/>
      <c r="AS722" s="220"/>
      <c r="AT722" s="220"/>
      <c r="AU722" s="220"/>
      <c r="AV722" s="220"/>
      <c r="AW722" s="220"/>
      <c r="AX722" s="220"/>
      <c r="AY722" s="220"/>
      <c r="AZ722" s="220"/>
      <c r="BA722" s="220"/>
    </row>
    <row r="723">
      <c r="A723" s="240"/>
      <c r="B723" s="311"/>
      <c r="C723" s="311"/>
      <c r="D723" s="312"/>
      <c r="E723" s="311"/>
      <c r="F723" s="311"/>
      <c r="G723" s="312"/>
      <c r="H723" s="312"/>
      <c r="I723" s="313"/>
      <c r="J723" s="314"/>
      <c r="K723" s="313"/>
      <c r="L723" s="313"/>
      <c r="M723" s="313"/>
      <c r="N723" s="315"/>
      <c r="O723" s="313"/>
      <c r="P723" s="313"/>
      <c r="Q723" s="313"/>
      <c r="R723" s="313"/>
      <c r="S723" s="316"/>
      <c r="T723" s="317"/>
      <c r="U723" s="318"/>
      <c r="V723" s="319"/>
      <c r="W723" s="288"/>
      <c r="X723" s="220"/>
      <c r="Y723" s="220"/>
      <c r="Z723" s="220"/>
      <c r="AA723" s="220"/>
      <c r="AB723" s="220"/>
      <c r="AC723" s="220"/>
      <c r="AD723" s="220"/>
      <c r="AE723" s="220"/>
      <c r="AF723" s="220"/>
      <c r="AG723" s="220"/>
      <c r="AH723" s="308"/>
      <c r="AI723" s="220"/>
      <c r="AJ723" s="220"/>
      <c r="AK723" s="220"/>
      <c r="AL723" s="220"/>
      <c r="AM723" s="220"/>
      <c r="AN723" s="220"/>
      <c r="AO723" s="220"/>
      <c r="AP723" s="220"/>
      <c r="AQ723" s="220"/>
      <c r="AR723" s="220"/>
      <c r="AS723" s="220"/>
      <c r="AT723" s="220"/>
      <c r="AU723" s="220"/>
      <c r="AV723" s="220"/>
      <c r="AW723" s="220"/>
      <c r="AX723" s="220"/>
      <c r="AY723" s="220"/>
      <c r="AZ723" s="220"/>
      <c r="BA723" s="220"/>
    </row>
    <row r="724">
      <c r="A724" s="240"/>
      <c r="B724" s="311"/>
      <c r="C724" s="311"/>
      <c r="D724" s="312"/>
      <c r="E724" s="311"/>
      <c r="F724" s="311"/>
      <c r="G724" s="312"/>
      <c r="H724" s="312"/>
      <c r="I724" s="313"/>
      <c r="J724" s="314"/>
      <c r="K724" s="313"/>
      <c r="L724" s="313"/>
      <c r="M724" s="313"/>
      <c r="N724" s="315"/>
      <c r="O724" s="313"/>
      <c r="P724" s="313"/>
      <c r="Q724" s="313"/>
      <c r="R724" s="313"/>
      <c r="S724" s="316"/>
      <c r="T724" s="317"/>
      <c r="U724" s="318"/>
      <c r="V724" s="319"/>
      <c r="W724" s="288"/>
      <c r="X724" s="220"/>
      <c r="Y724" s="220"/>
      <c r="Z724" s="220"/>
      <c r="AA724" s="220"/>
      <c r="AB724" s="220"/>
      <c r="AC724" s="220"/>
      <c r="AD724" s="220"/>
      <c r="AE724" s="220"/>
      <c r="AF724" s="220"/>
      <c r="AG724" s="220"/>
      <c r="AH724" s="308"/>
      <c r="AI724" s="220"/>
      <c r="AJ724" s="220"/>
      <c r="AK724" s="220"/>
      <c r="AL724" s="220"/>
      <c r="AM724" s="220"/>
      <c r="AN724" s="220"/>
      <c r="AO724" s="220"/>
      <c r="AP724" s="220"/>
      <c r="AQ724" s="220"/>
      <c r="AR724" s="220"/>
      <c r="AS724" s="220"/>
      <c r="AT724" s="220"/>
      <c r="AU724" s="220"/>
      <c r="AV724" s="220"/>
      <c r="AW724" s="220"/>
      <c r="AX724" s="220"/>
      <c r="AY724" s="220"/>
      <c r="AZ724" s="220"/>
      <c r="BA724" s="220"/>
    </row>
    <row r="725">
      <c r="A725" s="240"/>
      <c r="B725" s="311"/>
      <c r="C725" s="311"/>
      <c r="D725" s="312"/>
      <c r="E725" s="311"/>
      <c r="F725" s="311"/>
      <c r="G725" s="312"/>
      <c r="H725" s="312"/>
      <c r="I725" s="313"/>
      <c r="J725" s="314"/>
      <c r="K725" s="313"/>
      <c r="L725" s="313"/>
      <c r="M725" s="313"/>
      <c r="N725" s="315"/>
      <c r="O725" s="313"/>
      <c r="P725" s="313"/>
      <c r="Q725" s="313"/>
      <c r="R725" s="313"/>
      <c r="S725" s="316"/>
      <c r="T725" s="317"/>
      <c r="U725" s="318"/>
      <c r="V725" s="319"/>
      <c r="W725" s="288"/>
      <c r="X725" s="220"/>
      <c r="Y725" s="220"/>
      <c r="Z725" s="220"/>
      <c r="AA725" s="220"/>
      <c r="AB725" s="220"/>
      <c r="AC725" s="220"/>
      <c r="AD725" s="220"/>
      <c r="AE725" s="220"/>
      <c r="AF725" s="220"/>
      <c r="AG725" s="220"/>
      <c r="AH725" s="308"/>
      <c r="AI725" s="220"/>
      <c r="AJ725" s="220"/>
      <c r="AK725" s="220"/>
      <c r="AL725" s="220"/>
      <c r="AM725" s="220"/>
      <c r="AN725" s="220"/>
      <c r="AO725" s="220"/>
      <c r="AP725" s="220"/>
      <c r="AQ725" s="220"/>
      <c r="AR725" s="220"/>
      <c r="AS725" s="220"/>
      <c r="AT725" s="220"/>
      <c r="AU725" s="220"/>
      <c r="AV725" s="220"/>
      <c r="AW725" s="220"/>
      <c r="AX725" s="220"/>
      <c r="AY725" s="220"/>
      <c r="AZ725" s="220"/>
      <c r="BA725" s="220"/>
    </row>
    <row r="726">
      <c r="A726" s="240"/>
      <c r="B726" s="311"/>
      <c r="C726" s="311"/>
      <c r="D726" s="312"/>
      <c r="E726" s="311"/>
      <c r="F726" s="311"/>
      <c r="G726" s="312"/>
      <c r="H726" s="312"/>
      <c r="I726" s="313"/>
      <c r="J726" s="314"/>
      <c r="K726" s="313"/>
      <c r="L726" s="313"/>
      <c r="M726" s="313"/>
      <c r="N726" s="315"/>
      <c r="O726" s="313"/>
      <c r="P726" s="313"/>
      <c r="Q726" s="313"/>
      <c r="R726" s="313"/>
      <c r="S726" s="316"/>
      <c r="T726" s="317"/>
      <c r="U726" s="318"/>
      <c r="V726" s="319"/>
      <c r="W726" s="288"/>
      <c r="X726" s="220"/>
      <c r="Y726" s="220"/>
      <c r="Z726" s="220"/>
      <c r="AA726" s="220"/>
      <c r="AB726" s="220"/>
      <c r="AC726" s="220"/>
      <c r="AD726" s="220"/>
      <c r="AE726" s="220"/>
      <c r="AF726" s="220"/>
      <c r="AG726" s="220"/>
      <c r="AH726" s="308"/>
      <c r="AI726" s="220"/>
      <c r="AJ726" s="220"/>
      <c r="AK726" s="220"/>
      <c r="AL726" s="220"/>
      <c r="AM726" s="220"/>
      <c r="AN726" s="220"/>
      <c r="AO726" s="220"/>
      <c r="AP726" s="220"/>
      <c r="AQ726" s="220"/>
      <c r="AR726" s="220"/>
      <c r="AS726" s="220"/>
      <c r="AT726" s="220"/>
      <c r="AU726" s="220"/>
      <c r="AV726" s="220"/>
      <c r="AW726" s="220"/>
      <c r="AX726" s="220"/>
      <c r="AY726" s="220"/>
      <c r="AZ726" s="220"/>
      <c r="BA726" s="220"/>
    </row>
    <row r="727">
      <c r="A727" s="240"/>
      <c r="B727" s="311"/>
      <c r="C727" s="311"/>
      <c r="D727" s="312"/>
      <c r="E727" s="311"/>
      <c r="F727" s="311"/>
      <c r="G727" s="312"/>
      <c r="H727" s="312"/>
      <c r="I727" s="313"/>
      <c r="J727" s="314"/>
      <c r="K727" s="313"/>
      <c r="L727" s="313"/>
      <c r="M727" s="313"/>
      <c r="N727" s="315"/>
      <c r="O727" s="313"/>
      <c r="P727" s="313"/>
      <c r="Q727" s="313"/>
      <c r="R727" s="313"/>
      <c r="S727" s="316"/>
      <c r="T727" s="317"/>
      <c r="U727" s="318"/>
      <c r="V727" s="319"/>
      <c r="W727" s="288"/>
      <c r="X727" s="220"/>
      <c r="Y727" s="220"/>
      <c r="Z727" s="220"/>
      <c r="AA727" s="220"/>
      <c r="AB727" s="220"/>
      <c r="AC727" s="220"/>
      <c r="AD727" s="220"/>
      <c r="AE727" s="220"/>
      <c r="AF727" s="220"/>
      <c r="AG727" s="220"/>
      <c r="AH727" s="308"/>
      <c r="AI727" s="220"/>
      <c r="AJ727" s="220"/>
      <c r="AK727" s="220"/>
      <c r="AL727" s="220"/>
      <c r="AM727" s="220"/>
      <c r="AN727" s="220"/>
      <c r="AO727" s="220"/>
      <c r="AP727" s="220"/>
      <c r="AQ727" s="220"/>
      <c r="AR727" s="220"/>
      <c r="AS727" s="220"/>
      <c r="AT727" s="220"/>
      <c r="AU727" s="220"/>
      <c r="AV727" s="220"/>
      <c r="AW727" s="220"/>
      <c r="AX727" s="220"/>
      <c r="AY727" s="220"/>
      <c r="AZ727" s="220"/>
      <c r="BA727" s="220"/>
    </row>
    <row r="728">
      <c r="A728" s="240"/>
      <c r="B728" s="311"/>
      <c r="C728" s="311"/>
      <c r="D728" s="312"/>
      <c r="E728" s="311"/>
      <c r="F728" s="311"/>
      <c r="G728" s="312"/>
      <c r="H728" s="312"/>
      <c r="I728" s="313"/>
      <c r="J728" s="314"/>
      <c r="K728" s="313"/>
      <c r="L728" s="313"/>
      <c r="M728" s="313"/>
      <c r="N728" s="315"/>
      <c r="O728" s="313"/>
      <c r="P728" s="313"/>
      <c r="Q728" s="313"/>
      <c r="R728" s="313"/>
      <c r="S728" s="316"/>
      <c r="T728" s="317"/>
      <c r="U728" s="318"/>
      <c r="V728" s="319"/>
      <c r="W728" s="288"/>
      <c r="X728" s="220"/>
      <c r="Y728" s="220"/>
      <c r="Z728" s="220"/>
      <c r="AA728" s="220"/>
      <c r="AB728" s="220"/>
      <c r="AC728" s="220"/>
      <c r="AD728" s="220"/>
      <c r="AE728" s="220"/>
      <c r="AF728" s="220"/>
      <c r="AG728" s="220"/>
      <c r="AH728" s="308"/>
      <c r="AI728" s="220"/>
      <c r="AJ728" s="220"/>
      <c r="AK728" s="220"/>
      <c r="AL728" s="220"/>
      <c r="AM728" s="220"/>
      <c r="AN728" s="220"/>
      <c r="AO728" s="220"/>
      <c r="AP728" s="220"/>
      <c r="AQ728" s="220"/>
      <c r="AR728" s="220"/>
      <c r="AS728" s="220"/>
      <c r="AT728" s="220"/>
      <c r="AU728" s="220"/>
      <c r="AV728" s="220"/>
      <c r="AW728" s="220"/>
      <c r="AX728" s="220"/>
      <c r="AY728" s="220"/>
      <c r="AZ728" s="220"/>
      <c r="BA728" s="220"/>
    </row>
    <row r="729">
      <c r="A729" s="240"/>
      <c r="B729" s="311"/>
      <c r="C729" s="311"/>
      <c r="D729" s="312"/>
      <c r="E729" s="311"/>
      <c r="F729" s="311"/>
      <c r="G729" s="312"/>
      <c r="H729" s="312"/>
      <c r="I729" s="313"/>
      <c r="J729" s="314"/>
      <c r="K729" s="313"/>
      <c r="L729" s="313"/>
      <c r="M729" s="313"/>
      <c r="N729" s="315"/>
      <c r="O729" s="313"/>
      <c r="P729" s="313"/>
      <c r="Q729" s="313"/>
      <c r="R729" s="313"/>
      <c r="S729" s="316"/>
      <c r="T729" s="317"/>
      <c r="U729" s="318"/>
      <c r="V729" s="319"/>
      <c r="W729" s="288"/>
      <c r="X729" s="220"/>
      <c r="Y729" s="220"/>
      <c r="Z729" s="220"/>
      <c r="AA729" s="220"/>
      <c r="AB729" s="220"/>
      <c r="AC729" s="220"/>
      <c r="AD729" s="220"/>
      <c r="AE729" s="220"/>
      <c r="AF729" s="220"/>
      <c r="AG729" s="220"/>
      <c r="AH729" s="308"/>
      <c r="AI729" s="220"/>
      <c r="AJ729" s="220"/>
      <c r="AK729" s="220"/>
      <c r="AL729" s="220"/>
      <c r="AM729" s="220"/>
      <c r="AN729" s="220"/>
      <c r="AO729" s="220"/>
      <c r="AP729" s="220"/>
      <c r="AQ729" s="220"/>
      <c r="AR729" s="220"/>
      <c r="AS729" s="220"/>
      <c r="AT729" s="220"/>
      <c r="AU729" s="220"/>
      <c r="AV729" s="220"/>
      <c r="AW729" s="220"/>
      <c r="AX729" s="220"/>
      <c r="AY729" s="220"/>
      <c r="AZ729" s="220"/>
      <c r="BA729" s="220"/>
    </row>
    <row r="730">
      <c r="A730" s="240"/>
      <c r="B730" s="311"/>
      <c r="C730" s="311"/>
      <c r="D730" s="312"/>
      <c r="E730" s="311"/>
      <c r="F730" s="311"/>
      <c r="G730" s="312"/>
      <c r="H730" s="312"/>
      <c r="I730" s="313"/>
      <c r="J730" s="314"/>
      <c r="K730" s="313"/>
      <c r="L730" s="313"/>
      <c r="M730" s="313"/>
      <c r="N730" s="315"/>
      <c r="O730" s="313"/>
      <c r="P730" s="313"/>
      <c r="Q730" s="313"/>
      <c r="R730" s="313"/>
      <c r="S730" s="316"/>
      <c r="T730" s="317"/>
      <c r="U730" s="318"/>
      <c r="V730" s="319"/>
      <c r="W730" s="288"/>
      <c r="X730" s="220"/>
      <c r="Y730" s="220"/>
      <c r="Z730" s="220"/>
      <c r="AA730" s="220"/>
      <c r="AB730" s="220"/>
      <c r="AC730" s="220"/>
      <c r="AD730" s="220"/>
      <c r="AE730" s="220"/>
      <c r="AF730" s="220"/>
      <c r="AG730" s="220"/>
      <c r="AH730" s="308"/>
      <c r="AI730" s="220"/>
      <c r="AJ730" s="220"/>
      <c r="AK730" s="220"/>
      <c r="AL730" s="220"/>
      <c r="AM730" s="220"/>
      <c r="AN730" s="220"/>
      <c r="AO730" s="220"/>
      <c r="AP730" s="220"/>
      <c r="AQ730" s="220"/>
      <c r="AR730" s="220"/>
      <c r="AS730" s="220"/>
      <c r="AT730" s="220"/>
      <c r="AU730" s="220"/>
      <c r="AV730" s="220"/>
      <c r="AW730" s="220"/>
      <c r="AX730" s="220"/>
      <c r="AY730" s="220"/>
      <c r="AZ730" s="220"/>
      <c r="BA730" s="220"/>
    </row>
    <row r="731">
      <c r="A731" s="240"/>
      <c r="B731" s="311"/>
      <c r="C731" s="311"/>
      <c r="D731" s="312"/>
      <c r="E731" s="311"/>
      <c r="F731" s="311"/>
      <c r="G731" s="312"/>
      <c r="H731" s="312"/>
      <c r="I731" s="313"/>
      <c r="J731" s="314"/>
      <c r="K731" s="313"/>
      <c r="L731" s="313"/>
      <c r="M731" s="313"/>
      <c r="N731" s="315"/>
      <c r="O731" s="313"/>
      <c r="P731" s="313"/>
      <c r="Q731" s="313"/>
      <c r="R731" s="313"/>
      <c r="S731" s="316"/>
      <c r="T731" s="317"/>
      <c r="U731" s="318"/>
      <c r="V731" s="319"/>
      <c r="W731" s="288"/>
      <c r="X731" s="220"/>
      <c r="Y731" s="220"/>
      <c r="Z731" s="220"/>
      <c r="AA731" s="220"/>
      <c r="AB731" s="220"/>
      <c r="AC731" s="220"/>
      <c r="AD731" s="220"/>
      <c r="AE731" s="220"/>
      <c r="AF731" s="220"/>
      <c r="AG731" s="220"/>
      <c r="AH731" s="308"/>
      <c r="AI731" s="220"/>
      <c r="AJ731" s="220"/>
      <c r="AK731" s="220"/>
      <c r="AL731" s="220"/>
      <c r="AM731" s="220"/>
      <c r="AN731" s="220"/>
      <c r="AO731" s="220"/>
      <c r="AP731" s="220"/>
      <c r="AQ731" s="220"/>
      <c r="AR731" s="220"/>
      <c r="AS731" s="220"/>
      <c r="AT731" s="220"/>
      <c r="AU731" s="220"/>
      <c r="AV731" s="220"/>
      <c r="AW731" s="220"/>
      <c r="AX731" s="220"/>
      <c r="AY731" s="220"/>
      <c r="AZ731" s="220"/>
      <c r="BA731" s="220"/>
    </row>
    <row r="732">
      <c r="A732" s="240"/>
      <c r="B732" s="311"/>
      <c r="C732" s="311"/>
      <c r="D732" s="312"/>
      <c r="E732" s="311"/>
      <c r="F732" s="311"/>
      <c r="G732" s="312"/>
      <c r="H732" s="312"/>
      <c r="I732" s="313"/>
      <c r="J732" s="314"/>
      <c r="K732" s="313"/>
      <c r="L732" s="313"/>
      <c r="M732" s="313"/>
      <c r="N732" s="315"/>
      <c r="O732" s="313"/>
      <c r="P732" s="313"/>
      <c r="Q732" s="313"/>
      <c r="R732" s="313"/>
      <c r="S732" s="316"/>
      <c r="T732" s="317"/>
      <c r="U732" s="318"/>
      <c r="V732" s="319"/>
      <c r="W732" s="288"/>
      <c r="X732" s="220"/>
      <c r="Y732" s="220"/>
      <c r="Z732" s="220"/>
      <c r="AA732" s="220"/>
      <c r="AB732" s="220"/>
      <c r="AC732" s="220"/>
      <c r="AD732" s="220"/>
      <c r="AE732" s="220"/>
      <c r="AF732" s="220"/>
      <c r="AG732" s="220"/>
      <c r="AH732" s="308"/>
      <c r="AI732" s="220"/>
      <c r="AJ732" s="220"/>
      <c r="AK732" s="220"/>
      <c r="AL732" s="220"/>
      <c r="AM732" s="220"/>
      <c r="AN732" s="220"/>
      <c r="AO732" s="220"/>
      <c r="AP732" s="220"/>
      <c r="AQ732" s="220"/>
      <c r="AR732" s="220"/>
      <c r="AS732" s="220"/>
      <c r="AT732" s="220"/>
      <c r="AU732" s="220"/>
      <c r="AV732" s="220"/>
      <c r="AW732" s="220"/>
      <c r="AX732" s="220"/>
      <c r="AY732" s="220"/>
      <c r="AZ732" s="220"/>
      <c r="BA732" s="220"/>
    </row>
    <row r="733">
      <c r="A733" s="240"/>
      <c r="B733" s="311"/>
      <c r="C733" s="311"/>
      <c r="D733" s="312"/>
      <c r="E733" s="311"/>
      <c r="F733" s="311"/>
      <c r="G733" s="312"/>
      <c r="H733" s="312"/>
      <c r="I733" s="313"/>
      <c r="J733" s="314"/>
      <c r="K733" s="313"/>
      <c r="L733" s="313"/>
      <c r="M733" s="313"/>
      <c r="N733" s="315"/>
      <c r="O733" s="313"/>
      <c r="P733" s="313"/>
      <c r="Q733" s="313"/>
      <c r="R733" s="313"/>
      <c r="S733" s="316"/>
      <c r="T733" s="317"/>
      <c r="U733" s="318"/>
      <c r="V733" s="319"/>
      <c r="W733" s="288"/>
      <c r="X733" s="220"/>
      <c r="Y733" s="220"/>
      <c r="Z733" s="220"/>
      <c r="AA733" s="220"/>
      <c r="AB733" s="220"/>
      <c r="AC733" s="220"/>
      <c r="AD733" s="220"/>
      <c r="AE733" s="220"/>
      <c r="AF733" s="220"/>
      <c r="AG733" s="220"/>
      <c r="AH733" s="308"/>
      <c r="AI733" s="220"/>
      <c r="AJ733" s="220"/>
      <c r="AK733" s="220"/>
      <c r="AL733" s="220"/>
      <c r="AM733" s="220"/>
      <c r="AN733" s="220"/>
      <c r="AO733" s="220"/>
      <c r="AP733" s="220"/>
      <c r="AQ733" s="220"/>
      <c r="AR733" s="220"/>
      <c r="AS733" s="220"/>
      <c r="AT733" s="220"/>
      <c r="AU733" s="220"/>
      <c r="AV733" s="220"/>
      <c r="AW733" s="220"/>
      <c r="AX733" s="220"/>
      <c r="AY733" s="220"/>
      <c r="AZ733" s="220"/>
      <c r="BA733" s="220"/>
    </row>
    <row r="734">
      <c r="A734" s="240"/>
      <c r="B734" s="311"/>
      <c r="C734" s="311"/>
      <c r="D734" s="312"/>
      <c r="E734" s="311"/>
      <c r="F734" s="311"/>
      <c r="G734" s="312"/>
      <c r="H734" s="312"/>
      <c r="I734" s="313"/>
      <c r="J734" s="314"/>
      <c r="K734" s="313"/>
      <c r="L734" s="313"/>
      <c r="M734" s="313"/>
      <c r="N734" s="315"/>
      <c r="O734" s="313"/>
      <c r="P734" s="313"/>
      <c r="Q734" s="313"/>
      <c r="R734" s="313"/>
      <c r="S734" s="316"/>
      <c r="T734" s="317"/>
      <c r="U734" s="318"/>
      <c r="V734" s="319"/>
      <c r="W734" s="288"/>
      <c r="X734" s="220"/>
      <c r="Y734" s="220"/>
      <c r="Z734" s="220"/>
      <c r="AA734" s="220"/>
      <c r="AB734" s="220"/>
      <c r="AC734" s="220"/>
      <c r="AD734" s="220"/>
      <c r="AE734" s="220"/>
      <c r="AF734" s="220"/>
      <c r="AG734" s="220"/>
      <c r="AH734" s="308"/>
      <c r="AI734" s="220"/>
      <c r="AJ734" s="220"/>
      <c r="AK734" s="220"/>
      <c r="AL734" s="220"/>
      <c r="AM734" s="220"/>
      <c r="AN734" s="220"/>
      <c r="AO734" s="220"/>
      <c r="AP734" s="220"/>
      <c r="AQ734" s="220"/>
      <c r="AR734" s="220"/>
      <c r="AS734" s="220"/>
      <c r="AT734" s="220"/>
      <c r="AU734" s="220"/>
      <c r="AV734" s="220"/>
      <c r="AW734" s="220"/>
      <c r="AX734" s="220"/>
      <c r="AY734" s="220"/>
      <c r="AZ734" s="220"/>
      <c r="BA734" s="220"/>
    </row>
    <row r="735">
      <c r="A735" s="240"/>
      <c r="B735" s="311"/>
      <c r="C735" s="311"/>
      <c r="D735" s="312"/>
      <c r="E735" s="311"/>
      <c r="F735" s="311"/>
      <c r="G735" s="312"/>
      <c r="H735" s="312"/>
      <c r="I735" s="313"/>
      <c r="J735" s="314"/>
      <c r="K735" s="313"/>
      <c r="L735" s="313"/>
      <c r="M735" s="313"/>
      <c r="N735" s="315"/>
      <c r="O735" s="313"/>
      <c r="P735" s="313"/>
      <c r="Q735" s="313"/>
      <c r="R735" s="313"/>
      <c r="S735" s="316"/>
      <c r="T735" s="317"/>
      <c r="U735" s="318"/>
      <c r="V735" s="319"/>
      <c r="W735" s="288"/>
      <c r="X735" s="220"/>
      <c r="Y735" s="220"/>
      <c r="Z735" s="220"/>
      <c r="AA735" s="220"/>
      <c r="AB735" s="220"/>
      <c r="AC735" s="220"/>
      <c r="AD735" s="220"/>
      <c r="AE735" s="220"/>
      <c r="AF735" s="220"/>
      <c r="AG735" s="220"/>
      <c r="AH735" s="308"/>
      <c r="AI735" s="220"/>
      <c r="AJ735" s="220"/>
      <c r="AK735" s="220"/>
      <c r="AL735" s="220"/>
      <c r="AM735" s="220"/>
      <c r="AN735" s="220"/>
      <c r="AO735" s="220"/>
      <c r="AP735" s="220"/>
      <c r="AQ735" s="220"/>
      <c r="AR735" s="220"/>
      <c r="AS735" s="220"/>
      <c r="AT735" s="220"/>
      <c r="AU735" s="220"/>
      <c r="AV735" s="220"/>
      <c r="AW735" s="220"/>
      <c r="AX735" s="220"/>
      <c r="AY735" s="220"/>
      <c r="AZ735" s="220"/>
      <c r="BA735" s="220"/>
    </row>
    <row r="736">
      <c r="A736" s="240"/>
      <c r="B736" s="311"/>
      <c r="C736" s="311"/>
      <c r="D736" s="312"/>
      <c r="E736" s="311"/>
      <c r="F736" s="311"/>
      <c r="G736" s="312"/>
      <c r="H736" s="312"/>
      <c r="I736" s="313"/>
      <c r="J736" s="314"/>
      <c r="K736" s="313"/>
      <c r="L736" s="313"/>
      <c r="M736" s="313"/>
      <c r="N736" s="315"/>
      <c r="O736" s="313"/>
      <c r="P736" s="313"/>
      <c r="Q736" s="313"/>
      <c r="R736" s="313"/>
      <c r="S736" s="316"/>
      <c r="T736" s="317"/>
      <c r="U736" s="318"/>
      <c r="V736" s="319"/>
      <c r="W736" s="288"/>
      <c r="X736" s="220"/>
      <c r="Y736" s="220"/>
      <c r="Z736" s="220"/>
      <c r="AA736" s="220"/>
      <c r="AB736" s="220"/>
      <c r="AC736" s="220"/>
      <c r="AD736" s="220"/>
      <c r="AE736" s="220"/>
      <c r="AF736" s="220"/>
      <c r="AG736" s="220"/>
      <c r="AH736" s="308"/>
      <c r="AI736" s="220"/>
      <c r="AJ736" s="220"/>
      <c r="AK736" s="220"/>
      <c r="AL736" s="220"/>
      <c r="AM736" s="220"/>
      <c r="AN736" s="220"/>
      <c r="AO736" s="220"/>
      <c r="AP736" s="220"/>
      <c r="AQ736" s="220"/>
      <c r="AR736" s="220"/>
      <c r="AS736" s="220"/>
      <c r="AT736" s="220"/>
      <c r="AU736" s="220"/>
      <c r="AV736" s="220"/>
      <c r="AW736" s="220"/>
      <c r="AX736" s="220"/>
      <c r="AY736" s="220"/>
      <c r="AZ736" s="220"/>
      <c r="BA736" s="220"/>
    </row>
    <row r="737">
      <c r="A737" s="240"/>
      <c r="B737" s="311"/>
      <c r="C737" s="311"/>
      <c r="D737" s="312"/>
      <c r="E737" s="311"/>
      <c r="F737" s="311"/>
      <c r="G737" s="312"/>
      <c r="H737" s="312"/>
      <c r="I737" s="313"/>
      <c r="J737" s="314"/>
      <c r="K737" s="313"/>
      <c r="L737" s="313"/>
      <c r="M737" s="313"/>
      <c r="N737" s="315"/>
      <c r="O737" s="313"/>
      <c r="P737" s="313"/>
      <c r="Q737" s="313"/>
      <c r="R737" s="313"/>
      <c r="S737" s="316"/>
      <c r="T737" s="317"/>
      <c r="U737" s="318"/>
      <c r="V737" s="319"/>
      <c r="W737" s="288"/>
      <c r="X737" s="220"/>
      <c r="Y737" s="220"/>
      <c r="Z737" s="220"/>
      <c r="AA737" s="220"/>
      <c r="AB737" s="220"/>
      <c r="AC737" s="220"/>
      <c r="AD737" s="220"/>
      <c r="AE737" s="220"/>
      <c r="AF737" s="220"/>
      <c r="AG737" s="220"/>
      <c r="AH737" s="308"/>
      <c r="AI737" s="220"/>
      <c r="AJ737" s="220"/>
      <c r="AK737" s="220"/>
      <c r="AL737" s="220"/>
      <c r="AM737" s="220"/>
      <c r="AN737" s="220"/>
      <c r="AO737" s="220"/>
      <c r="AP737" s="220"/>
      <c r="AQ737" s="220"/>
      <c r="AR737" s="220"/>
      <c r="AS737" s="220"/>
      <c r="AT737" s="220"/>
      <c r="AU737" s="220"/>
      <c r="AV737" s="220"/>
      <c r="AW737" s="220"/>
      <c r="AX737" s="220"/>
      <c r="AY737" s="220"/>
      <c r="AZ737" s="220"/>
      <c r="BA737" s="220"/>
    </row>
    <row r="738">
      <c r="A738" s="240"/>
      <c r="B738" s="311"/>
      <c r="C738" s="311"/>
      <c r="D738" s="312"/>
      <c r="E738" s="311"/>
      <c r="F738" s="311"/>
      <c r="G738" s="312"/>
      <c r="H738" s="312"/>
      <c r="I738" s="313"/>
      <c r="J738" s="314"/>
      <c r="K738" s="313"/>
      <c r="L738" s="313"/>
      <c r="M738" s="313"/>
      <c r="N738" s="315"/>
      <c r="O738" s="313"/>
      <c r="P738" s="313"/>
      <c r="Q738" s="313"/>
      <c r="R738" s="313"/>
      <c r="S738" s="316"/>
      <c r="T738" s="317"/>
      <c r="U738" s="318"/>
      <c r="V738" s="319"/>
      <c r="W738" s="288"/>
      <c r="X738" s="220"/>
      <c r="Y738" s="220"/>
      <c r="Z738" s="220"/>
      <c r="AA738" s="220"/>
      <c r="AB738" s="220"/>
      <c r="AC738" s="220"/>
      <c r="AD738" s="220"/>
      <c r="AE738" s="220"/>
      <c r="AF738" s="220"/>
      <c r="AG738" s="220"/>
      <c r="AH738" s="308"/>
      <c r="AI738" s="220"/>
      <c r="AJ738" s="220"/>
      <c r="AK738" s="220"/>
      <c r="AL738" s="220"/>
      <c r="AM738" s="220"/>
      <c r="AN738" s="220"/>
      <c r="AO738" s="220"/>
      <c r="AP738" s="220"/>
      <c r="AQ738" s="220"/>
      <c r="AR738" s="220"/>
      <c r="AS738" s="220"/>
      <c r="AT738" s="220"/>
      <c r="AU738" s="220"/>
      <c r="AV738" s="220"/>
      <c r="AW738" s="220"/>
      <c r="AX738" s="220"/>
      <c r="AY738" s="220"/>
      <c r="AZ738" s="220"/>
      <c r="BA738" s="220"/>
    </row>
    <row r="739">
      <c r="A739" s="240"/>
      <c r="B739" s="311"/>
      <c r="C739" s="311"/>
      <c r="D739" s="312"/>
      <c r="E739" s="311"/>
      <c r="F739" s="311"/>
      <c r="G739" s="312"/>
      <c r="H739" s="312"/>
      <c r="I739" s="313"/>
      <c r="J739" s="314"/>
      <c r="K739" s="313"/>
      <c r="L739" s="313"/>
      <c r="M739" s="313"/>
      <c r="N739" s="315"/>
      <c r="O739" s="313"/>
      <c r="P739" s="313"/>
      <c r="Q739" s="313"/>
      <c r="R739" s="313"/>
      <c r="S739" s="316"/>
      <c r="T739" s="317"/>
      <c r="U739" s="318"/>
      <c r="V739" s="319"/>
      <c r="W739" s="288"/>
      <c r="X739" s="220"/>
      <c r="Y739" s="220"/>
      <c r="Z739" s="220"/>
      <c r="AA739" s="220"/>
      <c r="AB739" s="220"/>
      <c r="AC739" s="220"/>
      <c r="AD739" s="220"/>
      <c r="AE739" s="220"/>
      <c r="AF739" s="220"/>
      <c r="AG739" s="220"/>
      <c r="AH739" s="308"/>
      <c r="AI739" s="220"/>
      <c r="AJ739" s="220"/>
      <c r="AK739" s="220"/>
      <c r="AL739" s="220"/>
      <c r="AM739" s="220"/>
      <c r="AN739" s="220"/>
      <c r="AO739" s="220"/>
      <c r="AP739" s="220"/>
      <c r="AQ739" s="220"/>
      <c r="AR739" s="220"/>
      <c r="AS739" s="220"/>
      <c r="AT739" s="220"/>
      <c r="AU739" s="220"/>
      <c r="AV739" s="220"/>
      <c r="AW739" s="220"/>
      <c r="AX739" s="220"/>
      <c r="AY739" s="220"/>
      <c r="AZ739" s="220"/>
      <c r="BA739" s="220"/>
    </row>
    <row r="740">
      <c r="A740" s="240"/>
      <c r="B740" s="311"/>
      <c r="C740" s="311"/>
      <c r="D740" s="312"/>
      <c r="E740" s="311"/>
      <c r="F740" s="311"/>
      <c r="G740" s="312"/>
      <c r="H740" s="312"/>
      <c r="I740" s="313"/>
      <c r="J740" s="314"/>
      <c r="K740" s="313"/>
      <c r="L740" s="313"/>
      <c r="M740" s="313"/>
      <c r="N740" s="315"/>
      <c r="O740" s="313"/>
      <c r="P740" s="313"/>
      <c r="Q740" s="313"/>
      <c r="R740" s="313"/>
      <c r="S740" s="316"/>
      <c r="T740" s="317"/>
      <c r="U740" s="318"/>
      <c r="V740" s="319"/>
      <c r="W740" s="288"/>
      <c r="X740" s="220"/>
      <c r="Y740" s="220"/>
      <c r="Z740" s="220"/>
      <c r="AA740" s="220"/>
      <c r="AB740" s="220"/>
      <c r="AC740" s="220"/>
      <c r="AD740" s="220"/>
      <c r="AE740" s="220"/>
      <c r="AF740" s="220"/>
      <c r="AG740" s="220"/>
      <c r="AH740" s="308"/>
      <c r="AI740" s="220"/>
      <c r="AJ740" s="220"/>
      <c r="AK740" s="220"/>
      <c r="AL740" s="220"/>
      <c r="AM740" s="220"/>
      <c r="AN740" s="220"/>
      <c r="AO740" s="220"/>
      <c r="AP740" s="220"/>
      <c r="AQ740" s="220"/>
      <c r="AR740" s="220"/>
      <c r="AS740" s="220"/>
      <c r="AT740" s="220"/>
      <c r="AU740" s="220"/>
      <c r="AV740" s="220"/>
      <c r="AW740" s="220"/>
      <c r="AX740" s="220"/>
      <c r="AY740" s="220"/>
      <c r="AZ740" s="220"/>
      <c r="BA740" s="220"/>
    </row>
    <row r="741">
      <c r="A741" s="240"/>
      <c r="B741" s="311"/>
      <c r="C741" s="311"/>
      <c r="D741" s="312"/>
      <c r="E741" s="311"/>
      <c r="F741" s="311"/>
      <c r="G741" s="312"/>
      <c r="H741" s="312"/>
      <c r="I741" s="313"/>
      <c r="J741" s="314"/>
      <c r="K741" s="313"/>
      <c r="L741" s="313"/>
      <c r="M741" s="313"/>
      <c r="N741" s="315"/>
      <c r="O741" s="313"/>
      <c r="P741" s="313"/>
      <c r="Q741" s="313"/>
      <c r="R741" s="313"/>
      <c r="S741" s="316"/>
      <c r="T741" s="317"/>
      <c r="U741" s="318"/>
      <c r="V741" s="319"/>
      <c r="W741" s="288"/>
      <c r="X741" s="220"/>
      <c r="Y741" s="220"/>
      <c r="Z741" s="220"/>
      <c r="AA741" s="220"/>
      <c r="AB741" s="220"/>
      <c r="AC741" s="220"/>
      <c r="AD741" s="220"/>
      <c r="AE741" s="220"/>
      <c r="AF741" s="220"/>
      <c r="AG741" s="220"/>
      <c r="AH741" s="308"/>
      <c r="AI741" s="220"/>
      <c r="AJ741" s="220"/>
      <c r="AK741" s="220"/>
      <c r="AL741" s="220"/>
      <c r="AM741" s="220"/>
      <c r="AN741" s="220"/>
      <c r="AO741" s="220"/>
      <c r="AP741" s="220"/>
      <c r="AQ741" s="220"/>
      <c r="AR741" s="220"/>
      <c r="AS741" s="220"/>
      <c r="AT741" s="220"/>
      <c r="AU741" s="220"/>
      <c r="AV741" s="220"/>
      <c r="AW741" s="220"/>
      <c r="AX741" s="220"/>
      <c r="AY741" s="220"/>
      <c r="AZ741" s="220"/>
      <c r="BA741" s="220"/>
    </row>
    <row r="742">
      <c r="A742" s="240"/>
      <c r="B742" s="311"/>
      <c r="C742" s="311"/>
      <c r="D742" s="312"/>
      <c r="E742" s="311"/>
      <c r="F742" s="311"/>
      <c r="G742" s="312"/>
      <c r="H742" s="312"/>
      <c r="I742" s="313"/>
      <c r="J742" s="314"/>
      <c r="K742" s="313"/>
      <c r="L742" s="313"/>
      <c r="M742" s="313"/>
      <c r="N742" s="315"/>
      <c r="O742" s="313"/>
      <c r="P742" s="313"/>
      <c r="Q742" s="313"/>
      <c r="R742" s="313"/>
      <c r="S742" s="316"/>
      <c r="T742" s="317"/>
      <c r="U742" s="318"/>
      <c r="V742" s="319"/>
      <c r="W742" s="288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220"/>
      <c r="AH742" s="308"/>
      <c r="AI742" s="220"/>
      <c r="AJ742" s="220"/>
      <c r="AK742" s="220"/>
      <c r="AL742" s="220"/>
      <c r="AM742" s="220"/>
      <c r="AN742" s="220"/>
      <c r="AO742" s="220"/>
      <c r="AP742" s="220"/>
      <c r="AQ742" s="220"/>
      <c r="AR742" s="220"/>
      <c r="AS742" s="220"/>
      <c r="AT742" s="220"/>
      <c r="AU742" s="220"/>
      <c r="AV742" s="220"/>
      <c r="AW742" s="220"/>
      <c r="AX742" s="220"/>
      <c r="AY742" s="220"/>
      <c r="AZ742" s="220"/>
      <c r="BA742" s="220"/>
    </row>
    <row r="743">
      <c r="A743" s="240"/>
      <c r="B743" s="311"/>
      <c r="C743" s="311"/>
      <c r="D743" s="312"/>
      <c r="E743" s="311"/>
      <c r="F743" s="311"/>
      <c r="G743" s="312"/>
      <c r="H743" s="312"/>
      <c r="I743" s="313"/>
      <c r="J743" s="314"/>
      <c r="K743" s="313"/>
      <c r="L743" s="313"/>
      <c r="M743" s="313"/>
      <c r="N743" s="315"/>
      <c r="O743" s="313"/>
      <c r="P743" s="313"/>
      <c r="Q743" s="313"/>
      <c r="R743" s="313"/>
      <c r="S743" s="316"/>
      <c r="T743" s="317"/>
      <c r="U743" s="318"/>
      <c r="V743" s="319"/>
      <c r="W743" s="288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220"/>
      <c r="AH743" s="308"/>
      <c r="AI743" s="220"/>
      <c r="AJ743" s="220"/>
      <c r="AK743" s="220"/>
      <c r="AL743" s="220"/>
      <c r="AM743" s="220"/>
      <c r="AN743" s="220"/>
      <c r="AO743" s="220"/>
      <c r="AP743" s="220"/>
      <c r="AQ743" s="220"/>
      <c r="AR743" s="220"/>
      <c r="AS743" s="220"/>
      <c r="AT743" s="220"/>
      <c r="AU743" s="220"/>
      <c r="AV743" s="220"/>
      <c r="AW743" s="220"/>
      <c r="AX743" s="220"/>
      <c r="AY743" s="220"/>
      <c r="AZ743" s="220"/>
      <c r="BA743" s="220"/>
    </row>
    <row r="744">
      <c r="A744" s="240"/>
      <c r="B744" s="311"/>
      <c r="C744" s="311"/>
      <c r="D744" s="312"/>
      <c r="E744" s="311"/>
      <c r="F744" s="311"/>
      <c r="G744" s="312"/>
      <c r="H744" s="312"/>
      <c r="I744" s="313"/>
      <c r="J744" s="314"/>
      <c r="K744" s="313"/>
      <c r="L744" s="313"/>
      <c r="M744" s="313"/>
      <c r="N744" s="315"/>
      <c r="O744" s="313"/>
      <c r="P744" s="313"/>
      <c r="Q744" s="313"/>
      <c r="R744" s="313"/>
      <c r="S744" s="316"/>
      <c r="T744" s="317"/>
      <c r="U744" s="318"/>
      <c r="V744" s="319"/>
      <c r="W744" s="288"/>
      <c r="X744" s="220"/>
      <c r="Y744" s="220"/>
      <c r="Z744" s="220"/>
      <c r="AA744" s="220"/>
      <c r="AB744" s="220"/>
      <c r="AC744" s="220"/>
      <c r="AD744" s="220"/>
      <c r="AE744" s="220"/>
      <c r="AF744" s="220"/>
      <c r="AG744" s="220"/>
      <c r="AH744" s="308"/>
      <c r="AI744" s="220"/>
      <c r="AJ744" s="220"/>
      <c r="AK744" s="220"/>
      <c r="AL744" s="220"/>
      <c r="AM744" s="220"/>
      <c r="AN744" s="220"/>
      <c r="AO744" s="220"/>
      <c r="AP744" s="220"/>
      <c r="AQ744" s="220"/>
      <c r="AR744" s="220"/>
      <c r="AS744" s="220"/>
      <c r="AT744" s="220"/>
      <c r="AU744" s="220"/>
      <c r="AV744" s="220"/>
      <c r="AW744" s="220"/>
      <c r="AX744" s="220"/>
      <c r="AY744" s="220"/>
      <c r="AZ744" s="220"/>
      <c r="BA744" s="220"/>
    </row>
    <row r="745">
      <c r="A745" s="240"/>
      <c r="B745" s="311"/>
      <c r="C745" s="311"/>
      <c r="D745" s="312"/>
      <c r="E745" s="311"/>
      <c r="F745" s="311"/>
      <c r="G745" s="312"/>
      <c r="H745" s="312"/>
      <c r="I745" s="313"/>
      <c r="J745" s="314"/>
      <c r="K745" s="313"/>
      <c r="L745" s="313"/>
      <c r="M745" s="313"/>
      <c r="N745" s="315"/>
      <c r="O745" s="313"/>
      <c r="P745" s="313"/>
      <c r="Q745" s="313"/>
      <c r="R745" s="313"/>
      <c r="S745" s="316"/>
      <c r="T745" s="317"/>
      <c r="U745" s="318"/>
      <c r="V745" s="319"/>
      <c r="W745" s="288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220"/>
      <c r="AH745" s="308"/>
      <c r="AI745" s="220"/>
      <c r="AJ745" s="220"/>
      <c r="AK745" s="220"/>
      <c r="AL745" s="220"/>
      <c r="AM745" s="220"/>
      <c r="AN745" s="220"/>
      <c r="AO745" s="220"/>
      <c r="AP745" s="220"/>
      <c r="AQ745" s="220"/>
      <c r="AR745" s="220"/>
      <c r="AS745" s="220"/>
      <c r="AT745" s="220"/>
      <c r="AU745" s="220"/>
      <c r="AV745" s="220"/>
      <c r="AW745" s="220"/>
      <c r="AX745" s="220"/>
      <c r="AY745" s="220"/>
      <c r="AZ745" s="220"/>
      <c r="BA745" s="220"/>
    </row>
    <row r="746">
      <c r="A746" s="240"/>
      <c r="B746" s="311"/>
      <c r="C746" s="311"/>
      <c r="D746" s="312"/>
      <c r="E746" s="311"/>
      <c r="F746" s="311"/>
      <c r="G746" s="312"/>
      <c r="H746" s="312"/>
      <c r="I746" s="313"/>
      <c r="J746" s="314"/>
      <c r="K746" s="313"/>
      <c r="L746" s="313"/>
      <c r="M746" s="313"/>
      <c r="N746" s="315"/>
      <c r="O746" s="313"/>
      <c r="P746" s="313"/>
      <c r="Q746" s="313"/>
      <c r="R746" s="313"/>
      <c r="S746" s="316"/>
      <c r="T746" s="317"/>
      <c r="U746" s="318"/>
      <c r="V746" s="319"/>
      <c r="W746" s="288"/>
      <c r="X746" s="220"/>
      <c r="Y746" s="220"/>
      <c r="Z746" s="220"/>
      <c r="AA746" s="220"/>
      <c r="AB746" s="220"/>
      <c r="AC746" s="220"/>
      <c r="AD746" s="220"/>
      <c r="AE746" s="220"/>
      <c r="AF746" s="220"/>
      <c r="AG746" s="220"/>
      <c r="AH746" s="308"/>
      <c r="AI746" s="220"/>
      <c r="AJ746" s="220"/>
      <c r="AK746" s="220"/>
      <c r="AL746" s="220"/>
      <c r="AM746" s="220"/>
      <c r="AN746" s="220"/>
      <c r="AO746" s="220"/>
      <c r="AP746" s="220"/>
      <c r="AQ746" s="220"/>
      <c r="AR746" s="220"/>
      <c r="AS746" s="220"/>
      <c r="AT746" s="220"/>
      <c r="AU746" s="220"/>
      <c r="AV746" s="220"/>
      <c r="AW746" s="220"/>
      <c r="AX746" s="220"/>
      <c r="AY746" s="220"/>
      <c r="AZ746" s="220"/>
      <c r="BA746" s="220"/>
    </row>
    <row r="747">
      <c r="A747" s="240"/>
      <c r="B747" s="311"/>
      <c r="C747" s="311"/>
      <c r="D747" s="312"/>
      <c r="E747" s="311"/>
      <c r="F747" s="311"/>
      <c r="G747" s="312"/>
      <c r="H747" s="312"/>
      <c r="I747" s="313"/>
      <c r="J747" s="314"/>
      <c r="K747" s="313"/>
      <c r="L747" s="313"/>
      <c r="M747" s="313"/>
      <c r="N747" s="315"/>
      <c r="O747" s="313"/>
      <c r="P747" s="313"/>
      <c r="Q747" s="313"/>
      <c r="R747" s="313"/>
      <c r="S747" s="316"/>
      <c r="T747" s="317"/>
      <c r="U747" s="318"/>
      <c r="V747" s="319"/>
      <c r="W747" s="288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220"/>
      <c r="AH747" s="308"/>
      <c r="AI747" s="220"/>
      <c r="AJ747" s="220"/>
      <c r="AK747" s="220"/>
      <c r="AL747" s="220"/>
      <c r="AM747" s="220"/>
      <c r="AN747" s="220"/>
      <c r="AO747" s="220"/>
      <c r="AP747" s="220"/>
      <c r="AQ747" s="220"/>
      <c r="AR747" s="220"/>
      <c r="AS747" s="220"/>
      <c r="AT747" s="220"/>
      <c r="AU747" s="220"/>
      <c r="AV747" s="220"/>
      <c r="AW747" s="220"/>
      <c r="AX747" s="220"/>
      <c r="AY747" s="220"/>
      <c r="AZ747" s="220"/>
      <c r="BA747" s="220"/>
    </row>
    <row r="748">
      <c r="A748" s="240"/>
      <c r="B748" s="311"/>
      <c r="C748" s="311"/>
      <c r="D748" s="312"/>
      <c r="E748" s="311"/>
      <c r="F748" s="311"/>
      <c r="G748" s="312"/>
      <c r="H748" s="312"/>
      <c r="I748" s="313"/>
      <c r="J748" s="314"/>
      <c r="K748" s="313"/>
      <c r="L748" s="313"/>
      <c r="M748" s="313"/>
      <c r="N748" s="315"/>
      <c r="O748" s="313"/>
      <c r="P748" s="313"/>
      <c r="Q748" s="313"/>
      <c r="R748" s="313"/>
      <c r="S748" s="316"/>
      <c r="T748" s="317"/>
      <c r="U748" s="318"/>
      <c r="V748" s="319"/>
      <c r="W748" s="288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220"/>
      <c r="AH748" s="308"/>
      <c r="AI748" s="220"/>
      <c r="AJ748" s="220"/>
      <c r="AK748" s="220"/>
      <c r="AL748" s="220"/>
      <c r="AM748" s="220"/>
      <c r="AN748" s="220"/>
      <c r="AO748" s="220"/>
      <c r="AP748" s="220"/>
      <c r="AQ748" s="220"/>
      <c r="AR748" s="220"/>
      <c r="AS748" s="220"/>
      <c r="AT748" s="220"/>
      <c r="AU748" s="220"/>
      <c r="AV748" s="220"/>
      <c r="AW748" s="220"/>
      <c r="AX748" s="220"/>
      <c r="AY748" s="220"/>
      <c r="AZ748" s="220"/>
      <c r="BA748" s="220"/>
    </row>
    <row r="749">
      <c r="A749" s="240"/>
      <c r="B749" s="311"/>
      <c r="C749" s="311"/>
      <c r="D749" s="312"/>
      <c r="E749" s="311"/>
      <c r="F749" s="311"/>
      <c r="G749" s="312"/>
      <c r="H749" s="312"/>
      <c r="I749" s="313"/>
      <c r="J749" s="314"/>
      <c r="K749" s="313"/>
      <c r="L749" s="313"/>
      <c r="M749" s="313"/>
      <c r="N749" s="315"/>
      <c r="O749" s="313"/>
      <c r="P749" s="313"/>
      <c r="Q749" s="313"/>
      <c r="R749" s="313"/>
      <c r="S749" s="316"/>
      <c r="T749" s="317"/>
      <c r="U749" s="318"/>
      <c r="V749" s="319"/>
      <c r="W749" s="288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220"/>
      <c r="AH749" s="308"/>
      <c r="AI749" s="220"/>
      <c r="AJ749" s="220"/>
      <c r="AK749" s="220"/>
      <c r="AL749" s="220"/>
      <c r="AM749" s="220"/>
      <c r="AN749" s="220"/>
      <c r="AO749" s="220"/>
      <c r="AP749" s="220"/>
      <c r="AQ749" s="220"/>
      <c r="AR749" s="220"/>
      <c r="AS749" s="220"/>
      <c r="AT749" s="220"/>
      <c r="AU749" s="220"/>
      <c r="AV749" s="220"/>
      <c r="AW749" s="220"/>
      <c r="AX749" s="220"/>
      <c r="AY749" s="220"/>
      <c r="AZ749" s="220"/>
      <c r="BA749" s="220"/>
    </row>
    <row r="750">
      <c r="A750" s="240"/>
      <c r="B750" s="311"/>
      <c r="C750" s="311"/>
      <c r="D750" s="312"/>
      <c r="E750" s="311"/>
      <c r="F750" s="311"/>
      <c r="G750" s="312"/>
      <c r="H750" s="312"/>
      <c r="I750" s="313"/>
      <c r="J750" s="314"/>
      <c r="K750" s="313"/>
      <c r="L750" s="313"/>
      <c r="M750" s="313"/>
      <c r="N750" s="315"/>
      <c r="O750" s="313"/>
      <c r="P750" s="313"/>
      <c r="Q750" s="313"/>
      <c r="R750" s="313"/>
      <c r="S750" s="316"/>
      <c r="T750" s="317"/>
      <c r="U750" s="318"/>
      <c r="V750" s="319"/>
      <c r="W750" s="288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220"/>
      <c r="AH750" s="308"/>
      <c r="AI750" s="220"/>
      <c r="AJ750" s="220"/>
      <c r="AK750" s="220"/>
      <c r="AL750" s="220"/>
      <c r="AM750" s="220"/>
      <c r="AN750" s="220"/>
      <c r="AO750" s="220"/>
      <c r="AP750" s="220"/>
      <c r="AQ750" s="220"/>
      <c r="AR750" s="220"/>
      <c r="AS750" s="220"/>
      <c r="AT750" s="220"/>
      <c r="AU750" s="220"/>
      <c r="AV750" s="220"/>
      <c r="AW750" s="220"/>
      <c r="AX750" s="220"/>
      <c r="AY750" s="220"/>
      <c r="AZ750" s="220"/>
      <c r="BA750" s="220"/>
    </row>
    <row r="751">
      <c r="A751" s="240"/>
      <c r="B751" s="311"/>
      <c r="C751" s="311"/>
      <c r="D751" s="312"/>
      <c r="E751" s="311"/>
      <c r="F751" s="311"/>
      <c r="G751" s="312"/>
      <c r="H751" s="312"/>
      <c r="I751" s="313"/>
      <c r="J751" s="314"/>
      <c r="K751" s="313"/>
      <c r="L751" s="313"/>
      <c r="M751" s="313"/>
      <c r="N751" s="315"/>
      <c r="O751" s="313"/>
      <c r="P751" s="313"/>
      <c r="Q751" s="313"/>
      <c r="R751" s="313"/>
      <c r="S751" s="316"/>
      <c r="T751" s="317"/>
      <c r="U751" s="318"/>
      <c r="V751" s="319"/>
      <c r="W751" s="288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220"/>
      <c r="AH751" s="308"/>
      <c r="AI751" s="220"/>
      <c r="AJ751" s="220"/>
      <c r="AK751" s="220"/>
      <c r="AL751" s="220"/>
      <c r="AM751" s="220"/>
      <c r="AN751" s="220"/>
      <c r="AO751" s="220"/>
      <c r="AP751" s="220"/>
      <c r="AQ751" s="220"/>
      <c r="AR751" s="220"/>
      <c r="AS751" s="220"/>
      <c r="AT751" s="220"/>
      <c r="AU751" s="220"/>
      <c r="AV751" s="220"/>
      <c r="AW751" s="220"/>
      <c r="AX751" s="220"/>
      <c r="AY751" s="220"/>
      <c r="AZ751" s="220"/>
      <c r="BA751" s="220"/>
    </row>
    <row r="752">
      <c r="A752" s="240"/>
      <c r="B752" s="311"/>
      <c r="C752" s="311"/>
      <c r="D752" s="312"/>
      <c r="E752" s="311"/>
      <c r="F752" s="311"/>
      <c r="G752" s="312"/>
      <c r="H752" s="312"/>
      <c r="I752" s="313"/>
      <c r="J752" s="314"/>
      <c r="K752" s="313"/>
      <c r="L752" s="313"/>
      <c r="M752" s="313"/>
      <c r="N752" s="315"/>
      <c r="O752" s="313"/>
      <c r="P752" s="313"/>
      <c r="Q752" s="313"/>
      <c r="R752" s="313"/>
      <c r="S752" s="316"/>
      <c r="T752" s="317"/>
      <c r="U752" s="318"/>
      <c r="V752" s="319"/>
      <c r="W752" s="288"/>
      <c r="X752" s="220"/>
      <c r="Y752" s="220"/>
      <c r="Z752" s="220"/>
      <c r="AA752" s="220"/>
      <c r="AB752" s="220"/>
      <c r="AC752" s="220"/>
      <c r="AD752" s="220"/>
      <c r="AE752" s="220"/>
      <c r="AF752" s="220"/>
      <c r="AG752" s="220"/>
      <c r="AH752" s="308"/>
      <c r="AI752" s="220"/>
      <c r="AJ752" s="220"/>
      <c r="AK752" s="220"/>
      <c r="AL752" s="220"/>
      <c r="AM752" s="220"/>
      <c r="AN752" s="220"/>
      <c r="AO752" s="220"/>
      <c r="AP752" s="220"/>
      <c r="AQ752" s="220"/>
      <c r="AR752" s="220"/>
      <c r="AS752" s="220"/>
      <c r="AT752" s="220"/>
      <c r="AU752" s="220"/>
      <c r="AV752" s="220"/>
      <c r="AW752" s="220"/>
      <c r="AX752" s="220"/>
      <c r="AY752" s="220"/>
      <c r="AZ752" s="220"/>
      <c r="BA752" s="220"/>
    </row>
    <row r="753">
      <c r="A753" s="240"/>
      <c r="B753" s="311"/>
      <c r="C753" s="311"/>
      <c r="D753" s="312"/>
      <c r="E753" s="311"/>
      <c r="F753" s="311"/>
      <c r="G753" s="312"/>
      <c r="H753" s="312"/>
      <c r="I753" s="313"/>
      <c r="J753" s="314"/>
      <c r="K753" s="313"/>
      <c r="L753" s="313"/>
      <c r="M753" s="313"/>
      <c r="N753" s="315"/>
      <c r="O753" s="313"/>
      <c r="P753" s="313"/>
      <c r="Q753" s="313"/>
      <c r="R753" s="313"/>
      <c r="S753" s="316"/>
      <c r="T753" s="317"/>
      <c r="U753" s="318"/>
      <c r="V753" s="319"/>
      <c r="W753" s="288"/>
      <c r="X753" s="220"/>
      <c r="Y753" s="220"/>
      <c r="Z753" s="220"/>
      <c r="AA753" s="220"/>
      <c r="AB753" s="220"/>
      <c r="AC753" s="220"/>
      <c r="AD753" s="220"/>
      <c r="AE753" s="220"/>
      <c r="AF753" s="220"/>
      <c r="AG753" s="220"/>
      <c r="AH753" s="308"/>
      <c r="AI753" s="220"/>
      <c r="AJ753" s="220"/>
      <c r="AK753" s="220"/>
      <c r="AL753" s="220"/>
      <c r="AM753" s="220"/>
      <c r="AN753" s="220"/>
      <c r="AO753" s="220"/>
      <c r="AP753" s="220"/>
      <c r="AQ753" s="220"/>
      <c r="AR753" s="220"/>
      <c r="AS753" s="220"/>
      <c r="AT753" s="220"/>
      <c r="AU753" s="220"/>
      <c r="AV753" s="220"/>
      <c r="AW753" s="220"/>
      <c r="AX753" s="220"/>
      <c r="AY753" s="220"/>
      <c r="AZ753" s="220"/>
      <c r="BA753" s="220"/>
    </row>
    <row r="754">
      <c r="A754" s="240"/>
      <c r="B754" s="311"/>
      <c r="C754" s="311"/>
      <c r="D754" s="312"/>
      <c r="E754" s="311"/>
      <c r="F754" s="311"/>
      <c r="G754" s="312"/>
      <c r="H754" s="312"/>
      <c r="I754" s="313"/>
      <c r="J754" s="314"/>
      <c r="K754" s="313"/>
      <c r="L754" s="313"/>
      <c r="M754" s="313"/>
      <c r="N754" s="315"/>
      <c r="O754" s="313"/>
      <c r="P754" s="313"/>
      <c r="Q754" s="313"/>
      <c r="R754" s="313"/>
      <c r="S754" s="316"/>
      <c r="T754" s="317"/>
      <c r="U754" s="318"/>
      <c r="V754" s="319"/>
      <c r="W754" s="288"/>
      <c r="X754" s="220"/>
      <c r="Y754" s="220"/>
      <c r="Z754" s="220"/>
      <c r="AA754" s="220"/>
      <c r="AB754" s="220"/>
      <c r="AC754" s="220"/>
      <c r="AD754" s="220"/>
      <c r="AE754" s="220"/>
      <c r="AF754" s="220"/>
      <c r="AG754" s="220"/>
      <c r="AH754" s="308"/>
      <c r="AI754" s="220"/>
      <c r="AJ754" s="220"/>
      <c r="AK754" s="220"/>
      <c r="AL754" s="220"/>
      <c r="AM754" s="220"/>
      <c r="AN754" s="220"/>
      <c r="AO754" s="220"/>
      <c r="AP754" s="220"/>
      <c r="AQ754" s="220"/>
      <c r="AR754" s="220"/>
      <c r="AS754" s="220"/>
      <c r="AT754" s="220"/>
      <c r="AU754" s="220"/>
      <c r="AV754" s="220"/>
      <c r="AW754" s="220"/>
      <c r="AX754" s="220"/>
      <c r="AY754" s="220"/>
      <c r="AZ754" s="220"/>
      <c r="BA754" s="220"/>
    </row>
    <row r="755">
      <c r="A755" s="240"/>
      <c r="B755" s="311"/>
      <c r="C755" s="311"/>
      <c r="D755" s="312"/>
      <c r="E755" s="311"/>
      <c r="F755" s="311"/>
      <c r="G755" s="312"/>
      <c r="H755" s="312"/>
      <c r="I755" s="313"/>
      <c r="J755" s="314"/>
      <c r="K755" s="313"/>
      <c r="L755" s="313"/>
      <c r="M755" s="313"/>
      <c r="N755" s="315"/>
      <c r="O755" s="313"/>
      <c r="P755" s="313"/>
      <c r="Q755" s="313"/>
      <c r="R755" s="313"/>
      <c r="S755" s="316"/>
      <c r="T755" s="317"/>
      <c r="U755" s="318"/>
      <c r="V755" s="319"/>
      <c r="W755" s="288"/>
      <c r="X755" s="220"/>
      <c r="Y755" s="220"/>
      <c r="Z755" s="220"/>
      <c r="AA755" s="220"/>
      <c r="AB755" s="220"/>
      <c r="AC755" s="220"/>
      <c r="AD755" s="220"/>
      <c r="AE755" s="220"/>
      <c r="AF755" s="220"/>
      <c r="AG755" s="220"/>
      <c r="AH755" s="308"/>
      <c r="AI755" s="220"/>
      <c r="AJ755" s="220"/>
      <c r="AK755" s="220"/>
      <c r="AL755" s="220"/>
      <c r="AM755" s="220"/>
      <c r="AN755" s="220"/>
      <c r="AO755" s="220"/>
      <c r="AP755" s="220"/>
      <c r="AQ755" s="220"/>
      <c r="AR755" s="220"/>
      <c r="AS755" s="220"/>
      <c r="AT755" s="220"/>
      <c r="AU755" s="220"/>
      <c r="AV755" s="220"/>
      <c r="AW755" s="220"/>
      <c r="AX755" s="220"/>
      <c r="AY755" s="220"/>
      <c r="AZ755" s="220"/>
      <c r="BA755" s="220"/>
    </row>
    <row r="756">
      <c r="A756" s="240"/>
      <c r="B756" s="311"/>
      <c r="C756" s="311"/>
      <c r="D756" s="312"/>
      <c r="E756" s="311"/>
      <c r="F756" s="311"/>
      <c r="G756" s="312"/>
      <c r="H756" s="312"/>
      <c r="I756" s="313"/>
      <c r="J756" s="314"/>
      <c r="K756" s="313"/>
      <c r="L756" s="313"/>
      <c r="M756" s="313"/>
      <c r="N756" s="315"/>
      <c r="O756" s="313"/>
      <c r="P756" s="313"/>
      <c r="Q756" s="313"/>
      <c r="R756" s="313"/>
      <c r="S756" s="316"/>
      <c r="T756" s="317"/>
      <c r="U756" s="318"/>
      <c r="V756" s="319"/>
      <c r="W756" s="288"/>
      <c r="X756" s="220"/>
      <c r="Y756" s="220"/>
      <c r="Z756" s="220"/>
      <c r="AA756" s="220"/>
      <c r="AB756" s="220"/>
      <c r="AC756" s="220"/>
      <c r="AD756" s="220"/>
      <c r="AE756" s="220"/>
      <c r="AF756" s="220"/>
      <c r="AG756" s="220"/>
      <c r="AH756" s="308"/>
      <c r="AI756" s="220"/>
      <c r="AJ756" s="220"/>
      <c r="AK756" s="220"/>
      <c r="AL756" s="220"/>
      <c r="AM756" s="220"/>
      <c r="AN756" s="220"/>
      <c r="AO756" s="220"/>
      <c r="AP756" s="220"/>
      <c r="AQ756" s="220"/>
      <c r="AR756" s="220"/>
      <c r="AS756" s="220"/>
      <c r="AT756" s="220"/>
      <c r="AU756" s="220"/>
      <c r="AV756" s="220"/>
      <c r="AW756" s="220"/>
      <c r="AX756" s="220"/>
      <c r="AY756" s="220"/>
      <c r="AZ756" s="220"/>
      <c r="BA756" s="220"/>
    </row>
    <row r="757">
      <c r="A757" s="240"/>
      <c r="B757" s="311"/>
      <c r="C757" s="311"/>
      <c r="D757" s="312"/>
      <c r="E757" s="311"/>
      <c r="F757" s="311"/>
      <c r="G757" s="312"/>
      <c r="H757" s="312"/>
      <c r="I757" s="313"/>
      <c r="J757" s="314"/>
      <c r="K757" s="313"/>
      <c r="L757" s="313"/>
      <c r="M757" s="313"/>
      <c r="N757" s="315"/>
      <c r="O757" s="313"/>
      <c r="P757" s="313"/>
      <c r="Q757" s="313"/>
      <c r="R757" s="313"/>
      <c r="S757" s="316"/>
      <c r="T757" s="317"/>
      <c r="U757" s="318"/>
      <c r="V757" s="319"/>
      <c r="W757" s="288"/>
      <c r="X757" s="220"/>
      <c r="Y757" s="220"/>
      <c r="Z757" s="220"/>
      <c r="AA757" s="220"/>
      <c r="AB757" s="220"/>
      <c r="AC757" s="220"/>
      <c r="AD757" s="220"/>
      <c r="AE757" s="220"/>
      <c r="AF757" s="220"/>
      <c r="AG757" s="220"/>
      <c r="AH757" s="308"/>
      <c r="AI757" s="220"/>
      <c r="AJ757" s="220"/>
      <c r="AK757" s="220"/>
      <c r="AL757" s="220"/>
      <c r="AM757" s="220"/>
      <c r="AN757" s="220"/>
      <c r="AO757" s="220"/>
      <c r="AP757" s="220"/>
      <c r="AQ757" s="220"/>
      <c r="AR757" s="220"/>
      <c r="AS757" s="220"/>
      <c r="AT757" s="220"/>
      <c r="AU757" s="220"/>
      <c r="AV757" s="220"/>
      <c r="AW757" s="220"/>
      <c r="AX757" s="220"/>
      <c r="AY757" s="220"/>
      <c r="AZ757" s="220"/>
      <c r="BA757" s="220"/>
    </row>
    <row r="758">
      <c r="A758" s="240"/>
      <c r="B758" s="311"/>
      <c r="C758" s="311"/>
      <c r="D758" s="312"/>
      <c r="E758" s="311"/>
      <c r="F758" s="311"/>
      <c r="G758" s="312"/>
      <c r="H758" s="312"/>
      <c r="I758" s="313"/>
      <c r="J758" s="314"/>
      <c r="K758" s="313"/>
      <c r="L758" s="313"/>
      <c r="M758" s="313"/>
      <c r="N758" s="315"/>
      <c r="O758" s="313"/>
      <c r="P758" s="313"/>
      <c r="Q758" s="313"/>
      <c r="R758" s="313"/>
      <c r="S758" s="316"/>
      <c r="T758" s="317"/>
      <c r="U758" s="318"/>
      <c r="V758" s="319"/>
      <c r="W758" s="288"/>
      <c r="X758" s="220"/>
      <c r="Y758" s="220"/>
      <c r="Z758" s="220"/>
      <c r="AA758" s="220"/>
      <c r="AB758" s="220"/>
      <c r="AC758" s="220"/>
      <c r="AD758" s="220"/>
      <c r="AE758" s="220"/>
      <c r="AF758" s="220"/>
      <c r="AG758" s="220"/>
      <c r="AH758" s="308"/>
      <c r="AI758" s="220"/>
      <c r="AJ758" s="220"/>
      <c r="AK758" s="220"/>
      <c r="AL758" s="220"/>
      <c r="AM758" s="220"/>
      <c r="AN758" s="220"/>
      <c r="AO758" s="220"/>
      <c r="AP758" s="220"/>
      <c r="AQ758" s="220"/>
      <c r="AR758" s="220"/>
      <c r="AS758" s="220"/>
      <c r="AT758" s="220"/>
      <c r="AU758" s="220"/>
      <c r="AV758" s="220"/>
      <c r="AW758" s="220"/>
      <c r="AX758" s="220"/>
      <c r="AY758" s="220"/>
      <c r="AZ758" s="220"/>
      <c r="BA758" s="220"/>
    </row>
    <row r="759">
      <c r="A759" s="240"/>
      <c r="B759" s="311"/>
      <c r="C759" s="311"/>
      <c r="D759" s="312"/>
      <c r="E759" s="311"/>
      <c r="F759" s="311"/>
      <c r="G759" s="312"/>
      <c r="H759" s="312"/>
      <c r="I759" s="313"/>
      <c r="J759" s="314"/>
      <c r="K759" s="313"/>
      <c r="L759" s="313"/>
      <c r="M759" s="313"/>
      <c r="N759" s="315"/>
      <c r="O759" s="313"/>
      <c r="P759" s="313"/>
      <c r="Q759" s="313"/>
      <c r="R759" s="313"/>
      <c r="S759" s="316"/>
      <c r="T759" s="317"/>
      <c r="U759" s="318"/>
      <c r="V759" s="319"/>
      <c r="W759" s="288"/>
      <c r="X759" s="220"/>
      <c r="Y759" s="220"/>
      <c r="Z759" s="220"/>
      <c r="AA759" s="220"/>
      <c r="AB759" s="220"/>
      <c r="AC759" s="220"/>
      <c r="AD759" s="220"/>
      <c r="AE759" s="220"/>
      <c r="AF759" s="220"/>
      <c r="AG759" s="220"/>
      <c r="AH759" s="308"/>
      <c r="AI759" s="220"/>
      <c r="AJ759" s="220"/>
      <c r="AK759" s="220"/>
      <c r="AL759" s="220"/>
      <c r="AM759" s="220"/>
      <c r="AN759" s="220"/>
      <c r="AO759" s="220"/>
      <c r="AP759" s="220"/>
      <c r="AQ759" s="220"/>
      <c r="AR759" s="220"/>
      <c r="AS759" s="220"/>
      <c r="AT759" s="220"/>
      <c r="AU759" s="220"/>
      <c r="AV759" s="220"/>
      <c r="AW759" s="220"/>
      <c r="AX759" s="220"/>
      <c r="AY759" s="220"/>
      <c r="AZ759" s="220"/>
      <c r="BA759" s="220"/>
    </row>
    <row r="760">
      <c r="A760" s="240"/>
      <c r="B760" s="311"/>
      <c r="C760" s="311"/>
      <c r="D760" s="312"/>
      <c r="E760" s="311"/>
      <c r="F760" s="311"/>
      <c r="G760" s="312"/>
      <c r="H760" s="312"/>
      <c r="I760" s="313"/>
      <c r="J760" s="314"/>
      <c r="K760" s="313"/>
      <c r="L760" s="313"/>
      <c r="M760" s="313"/>
      <c r="N760" s="315"/>
      <c r="O760" s="313"/>
      <c r="P760" s="313"/>
      <c r="Q760" s="313"/>
      <c r="R760" s="313"/>
      <c r="S760" s="316"/>
      <c r="T760" s="317"/>
      <c r="U760" s="318"/>
      <c r="V760" s="319"/>
      <c r="W760" s="288"/>
      <c r="X760" s="220"/>
      <c r="Y760" s="220"/>
      <c r="Z760" s="220"/>
      <c r="AA760" s="220"/>
      <c r="AB760" s="220"/>
      <c r="AC760" s="220"/>
      <c r="AD760" s="220"/>
      <c r="AE760" s="220"/>
      <c r="AF760" s="220"/>
      <c r="AG760" s="220"/>
      <c r="AH760" s="308"/>
      <c r="AI760" s="220"/>
      <c r="AJ760" s="220"/>
      <c r="AK760" s="220"/>
      <c r="AL760" s="220"/>
      <c r="AM760" s="220"/>
      <c r="AN760" s="220"/>
      <c r="AO760" s="220"/>
      <c r="AP760" s="220"/>
      <c r="AQ760" s="220"/>
      <c r="AR760" s="220"/>
      <c r="AS760" s="220"/>
      <c r="AT760" s="220"/>
      <c r="AU760" s="220"/>
      <c r="AV760" s="220"/>
      <c r="AW760" s="220"/>
      <c r="AX760" s="220"/>
      <c r="AY760" s="220"/>
      <c r="AZ760" s="220"/>
      <c r="BA760" s="220"/>
    </row>
    <row r="761">
      <c r="A761" s="240"/>
      <c r="B761" s="311"/>
      <c r="C761" s="311"/>
      <c r="D761" s="312"/>
      <c r="E761" s="311"/>
      <c r="F761" s="311"/>
      <c r="G761" s="312"/>
      <c r="H761" s="312"/>
      <c r="I761" s="313"/>
      <c r="J761" s="314"/>
      <c r="K761" s="313"/>
      <c r="L761" s="313"/>
      <c r="M761" s="313"/>
      <c r="N761" s="315"/>
      <c r="O761" s="313"/>
      <c r="P761" s="313"/>
      <c r="Q761" s="313"/>
      <c r="R761" s="313"/>
      <c r="S761" s="316"/>
      <c r="T761" s="317"/>
      <c r="U761" s="318"/>
      <c r="V761" s="319"/>
      <c r="W761" s="288"/>
      <c r="X761" s="220"/>
      <c r="Y761" s="220"/>
      <c r="Z761" s="220"/>
      <c r="AA761" s="220"/>
      <c r="AB761" s="220"/>
      <c r="AC761" s="220"/>
      <c r="AD761" s="220"/>
      <c r="AE761" s="220"/>
      <c r="AF761" s="220"/>
      <c r="AG761" s="220"/>
      <c r="AH761" s="308"/>
      <c r="AI761" s="220"/>
      <c r="AJ761" s="220"/>
      <c r="AK761" s="220"/>
      <c r="AL761" s="220"/>
      <c r="AM761" s="220"/>
      <c r="AN761" s="220"/>
      <c r="AO761" s="220"/>
      <c r="AP761" s="220"/>
      <c r="AQ761" s="220"/>
      <c r="AR761" s="220"/>
      <c r="AS761" s="220"/>
      <c r="AT761" s="220"/>
      <c r="AU761" s="220"/>
      <c r="AV761" s="220"/>
      <c r="AW761" s="220"/>
      <c r="AX761" s="220"/>
      <c r="AY761" s="220"/>
      <c r="AZ761" s="220"/>
      <c r="BA761" s="220"/>
    </row>
    <row r="762">
      <c r="A762" s="240"/>
      <c r="B762" s="311"/>
      <c r="C762" s="311"/>
      <c r="D762" s="312"/>
      <c r="E762" s="311"/>
      <c r="F762" s="311"/>
      <c r="G762" s="312"/>
      <c r="H762" s="312"/>
      <c r="I762" s="313"/>
      <c r="J762" s="314"/>
      <c r="K762" s="313"/>
      <c r="L762" s="313"/>
      <c r="M762" s="313"/>
      <c r="N762" s="315"/>
      <c r="O762" s="313"/>
      <c r="P762" s="313"/>
      <c r="Q762" s="313"/>
      <c r="R762" s="313"/>
      <c r="S762" s="316"/>
      <c r="T762" s="317"/>
      <c r="U762" s="318"/>
      <c r="V762" s="319"/>
      <c r="W762" s="288"/>
      <c r="X762" s="220"/>
      <c r="Y762" s="220"/>
      <c r="Z762" s="220"/>
      <c r="AA762" s="220"/>
      <c r="AB762" s="220"/>
      <c r="AC762" s="220"/>
      <c r="AD762" s="220"/>
      <c r="AE762" s="220"/>
      <c r="AF762" s="220"/>
      <c r="AG762" s="220"/>
      <c r="AH762" s="308"/>
      <c r="AI762" s="220"/>
      <c r="AJ762" s="220"/>
      <c r="AK762" s="220"/>
      <c r="AL762" s="220"/>
      <c r="AM762" s="220"/>
      <c r="AN762" s="220"/>
      <c r="AO762" s="220"/>
      <c r="AP762" s="220"/>
      <c r="AQ762" s="220"/>
      <c r="AR762" s="220"/>
      <c r="AS762" s="220"/>
      <c r="AT762" s="220"/>
      <c r="AU762" s="220"/>
      <c r="AV762" s="220"/>
      <c r="AW762" s="220"/>
      <c r="AX762" s="220"/>
      <c r="AY762" s="220"/>
      <c r="AZ762" s="220"/>
      <c r="BA762" s="220"/>
    </row>
    <row r="763">
      <c r="A763" s="240"/>
      <c r="B763" s="311"/>
      <c r="C763" s="311"/>
      <c r="D763" s="312"/>
      <c r="E763" s="311"/>
      <c r="F763" s="311"/>
      <c r="G763" s="312"/>
      <c r="H763" s="312"/>
      <c r="I763" s="313"/>
      <c r="J763" s="314"/>
      <c r="K763" s="313"/>
      <c r="L763" s="313"/>
      <c r="M763" s="313"/>
      <c r="N763" s="315"/>
      <c r="O763" s="313"/>
      <c r="P763" s="313"/>
      <c r="Q763" s="313"/>
      <c r="R763" s="313"/>
      <c r="S763" s="316"/>
      <c r="T763" s="317"/>
      <c r="U763" s="318"/>
      <c r="V763" s="319"/>
      <c r="W763" s="288"/>
      <c r="X763" s="220"/>
      <c r="Y763" s="220"/>
      <c r="Z763" s="220"/>
      <c r="AA763" s="220"/>
      <c r="AB763" s="220"/>
      <c r="AC763" s="220"/>
      <c r="AD763" s="220"/>
      <c r="AE763" s="220"/>
      <c r="AF763" s="220"/>
      <c r="AG763" s="220"/>
      <c r="AH763" s="308"/>
      <c r="AI763" s="220"/>
      <c r="AJ763" s="220"/>
      <c r="AK763" s="220"/>
      <c r="AL763" s="220"/>
      <c r="AM763" s="220"/>
      <c r="AN763" s="220"/>
      <c r="AO763" s="220"/>
      <c r="AP763" s="220"/>
      <c r="AQ763" s="220"/>
      <c r="AR763" s="220"/>
      <c r="AS763" s="220"/>
      <c r="AT763" s="220"/>
      <c r="AU763" s="220"/>
      <c r="AV763" s="220"/>
      <c r="AW763" s="220"/>
      <c r="AX763" s="220"/>
      <c r="AY763" s="220"/>
      <c r="AZ763" s="220"/>
      <c r="BA763" s="220"/>
    </row>
    <row r="764">
      <c r="A764" s="240"/>
      <c r="B764" s="311"/>
      <c r="C764" s="311"/>
      <c r="D764" s="312"/>
      <c r="E764" s="311"/>
      <c r="F764" s="311"/>
      <c r="G764" s="312"/>
      <c r="H764" s="312"/>
      <c r="I764" s="313"/>
      <c r="J764" s="314"/>
      <c r="K764" s="313"/>
      <c r="L764" s="313"/>
      <c r="M764" s="313"/>
      <c r="N764" s="315"/>
      <c r="O764" s="313"/>
      <c r="P764" s="313"/>
      <c r="Q764" s="313"/>
      <c r="R764" s="313"/>
      <c r="S764" s="316"/>
      <c r="T764" s="317"/>
      <c r="U764" s="318"/>
      <c r="V764" s="319"/>
      <c r="W764" s="288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220"/>
      <c r="AH764" s="308"/>
      <c r="AI764" s="220"/>
      <c r="AJ764" s="220"/>
      <c r="AK764" s="220"/>
      <c r="AL764" s="220"/>
      <c r="AM764" s="220"/>
      <c r="AN764" s="220"/>
      <c r="AO764" s="220"/>
      <c r="AP764" s="220"/>
      <c r="AQ764" s="220"/>
      <c r="AR764" s="220"/>
      <c r="AS764" s="220"/>
      <c r="AT764" s="220"/>
      <c r="AU764" s="220"/>
      <c r="AV764" s="220"/>
      <c r="AW764" s="220"/>
      <c r="AX764" s="220"/>
      <c r="AY764" s="220"/>
      <c r="AZ764" s="220"/>
      <c r="BA764" s="220"/>
    </row>
    <row r="765">
      <c r="A765" s="240"/>
      <c r="B765" s="311"/>
      <c r="C765" s="311"/>
      <c r="D765" s="312"/>
      <c r="E765" s="311"/>
      <c r="F765" s="311"/>
      <c r="G765" s="312"/>
      <c r="H765" s="312"/>
      <c r="I765" s="313"/>
      <c r="J765" s="314"/>
      <c r="K765" s="313"/>
      <c r="L765" s="313"/>
      <c r="M765" s="313"/>
      <c r="N765" s="315"/>
      <c r="O765" s="313"/>
      <c r="P765" s="313"/>
      <c r="Q765" s="313"/>
      <c r="R765" s="313"/>
      <c r="S765" s="316"/>
      <c r="T765" s="317"/>
      <c r="U765" s="318"/>
      <c r="V765" s="319"/>
      <c r="W765" s="288"/>
      <c r="X765" s="220"/>
      <c r="Y765" s="220"/>
      <c r="Z765" s="220"/>
      <c r="AA765" s="220"/>
      <c r="AB765" s="220"/>
      <c r="AC765" s="220"/>
      <c r="AD765" s="220"/>
      <c r="AE765" s="220"/>
      <c r="AF765" s="220"/>
      <c r="AG765" s="220"/>
      <c r="AH765" s="308"/>
      <c r="AI765" s="220"/>
      <c r="AJ765" s="220"/>
      <c r="AK765" s="220"/>
      <c r="AL765" s="220"/>
      <c r="AM765" s="220"/>
      <c r="AN765" s="220"/>
      <c r="AO765" s="220"/>
      <c r="AP765" s="220"/>
      <c r="AQ765" s="220"/>
      <c r="AR765" s="220"/>
      <c r="AS765" s="220"/>
      <c r="AT765" s="220"/>
      <c r="AU765" s="220"/>
      <c r="AV765" s="220"/>
      <c r="AW765" s="220"/>
      <c r="AX765" s="220"/>
      <c r="AY765" s="220"/>
      <c r="AZ765" s="220"/>
      <c r="BA765" s="220"/>
    </row>
    <row r="766">
      <c r="A766" s="240"/>
      <c r="B766" s="311"/>
      <c r="C766" s="311"/>
      <c r="D766" s="312"/>
      <c r="E766" s="311"/>
      <c r="F766" s="311"/>
      <c r="G766" s="312"/>
      <c r="H766" s="312"/>
      <c r="I766" s="313"/>
      <c r="J766" s="314"/>
      <c r="K766" s="313"/>
      <c r="L766" s="313"/>
      <c r="M766" s="313"/>
      <c r="N766" s="315"/>
      <c r="O766" s="313"/>
      <c r="P766" s="313"/>
      <c r="Q766" s="313"/>
      <c r="R766" s="313"/>
      <c r="S766" s="316"/>
      <c r="T766" s="317"/>
      <c r="U766" s="318"/>
      <c r="V766" s="319"/>
      <c r="W766" s="288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220"/>
      <c r="AH766" s="308"/>
      <c r="AI766" s="220"/>
      <c r="AJ766" s="220"/>
      <c r="AK766" s="220"/>
      <c r="AL766" s="220"/>
      <c r="AM766" s="220"/>
      <c r="AN766" s="220"/>
      <c r="AO766" s="220"/>
      <c r="AP766" s="220"/>
      <c r="AQ766" s="220"/>
      <c r="AR766" s="220"/>
      <c r="AS766" s="220"/>
      <c r="AT766" s="220"/>
      <c r="AU766" s="220"/>
      <c r="AV766" s="220"/>
      <c r="AW766" s="220"/>
      <c r="AX766" s="220"/>
      <c r="AY766" s="220"/>
      <c r="AZ766" s="220"/>
      <c r="BA766" s="220"/>
    </row>
    <row r="767">
      <c r="A767" s="240"/>
      <c r="B767" s="311"/>
      <c r="C767" s="311"/>
      <c r="D767" s="312"/>
      <c r="E767" s="311"/>
      <c r="F767" s="311"/>
      <c r="G767" s="312"/>
      <c r="H767" s="312"/>
      <c r="I767" s="313"/>
      <c r="J767" s="314"/>
      <c r="K767" s="313"/>
      <c r="L767" s="313"/>
      <c r="M767" s="313"/>
      <c r="N767" s="315"/>
      <c r="O767" s="313"/>
      <c r="P767" s="313"/>
      <c r="Q767" s="313"/>
      <c r="R767" s="313"/>
      <c r="S767" s="316"/>
      <c r="T767" s="317"/>
      <c r="U767" s="318"/>
      <c r="V767" s="319"/>
      <c r="W767" s="288"/>
      <c r="X767" s="220"/>
      <c r="Y767" s="220"/>
      <c r="Z767" s="220"/>
      <c r="AA767" s="220"/>
      <c r="AB767" s="220"/>
      <c r="AC767" s="220"/>
      <c r="AD767" s="220"/>
      <c r="AE767" s="220"/>
      <c r="AF767" s="220"/>
      <c r="AG767" s="220"/>
      <c r="AH767" s="308"/>
      <c r="AI767" s="220"/>
      <c r="AJ767" s="220"/>
      <c r="AK767" s="220"/>
      <c r="AL767" s="220"/>
      <c r="AM767" s="220"/>
      <c r="AN767" s="220"/>
      <c r="AO767" s="220"/>
      <c r="AP767" s="220"/>
      <c r="AQ767" s="220"/>
      <c r="AR767" s="220"/>
      <c r="AS767" s="220"/>
      <c r="AT767" s="220"/>
      <c r="AU767" s="220"/>
      <c r="AV767" s="220"/>
      <c r="AW767" s="220"/>
      <c r="AX767" s="220"/>
      <c r="AY767" s="220"/>
      <c r="AZ767" s="220"/>
      <c r="BA767" s="220"/>
    </row>
    <row r="768">
      <c r="A768" s="240"/>
      <c r="B768" s="311"/>
      <c r="C768" s="311"/>
      <c r="D768" s="312"/>
      <c r="E768" s="311"/>
      <c r="F768" s="311"/>
      <c r="G768" s="312"/>
      <c r="H768" s="312"/>
      <c r="I768" s="313"/>
      <c r="J768" s="314"/>
      <c r="K768" s="313"/>
      <c r="L768" s="313"/>
      <c r="M768" s="313"/>
      <c r="N768" s="315"/>
      <c r="O768" s="313"/>
      <c r="P768" s="313"/>
      <c r="Q768" s="313"/>
      <c r="R768" s="313"/>
      <c r="S768" s="316"/>
      <c r="T768" s="317"/>
      <c r="U768" s="318"/>
      <c r="V768" s="319"/>
      <c r="W768" s="288"/>
      <c r="X768" s="220"/>
      <c r="Y768" s="220"/>
      <c r="Z768" s="220"/>
      <c r="AA768" s="220"/>
      <c r="AB768" s="220"/>
      <c r="AC768" s="220"/>
      <c r="AD768" s="220"/>
      <c r="AE768" s="220"/>
      <c r="AF768" s="220"/>
      <c r="AG768" s="220"/>
      <c r="AH768" s="308"/>
      <c r="AI768" s="220"/>
      <c r="AJ768" s="220"/>
      <c r="AK768" s="220"/>
      <c r="AL768" s="220"/>
      <c r="AM768" s="220"/>
      <c r="AN768" s="220"/>
      <c r="AO768" s="220"/>
      <c r="AP768" s="220"/>
      <c r="AQ768" s="220"/>
      <c r="AR768" s="220"/>
      <c r="AS768" s="220"/>
      <c r="AT768" s="220"/>
      <c r="AU768" s="220"/>
      <c r="AV768" s="220"/>
      <c r="AW768" s="220"/>
      <c r="AX768" s="220"/>
      <c r="AY768" s="220"/>
      <c r="AZ768" s="220"/>
      <c r="BA768" s="220"/>
    </row>
    <row r="769">
      <c r="A769" s="240"/>
      <c r="B769" s="311"/>
      <c r="C769" s="311"/>
      <c r="D769" s="312"/>
      <c r="E769" s="311"/>
      <c r="F769" s="311"/>
      <c r="G769" s="312"/>
      <c r="H769" s="312"/>
      <c r="I769" s="313"/>
      <c r="J769" s="314"/>
      <c r="K769" s="313"/>
      <c r="L769" s="313"/>
      <c r="M769" s="313"/>
      <c r="N769" s="315"/>
      <c r="O769" s="313"/>
      <c r="P769" s="313"/>
      <c r="Q769" s="313"/>
      <c r="R769" s="313"/>
      <c r="S769" s="316"/>
      <c r="T769" s="317"/>
      <c r="U769" s="318"/>
      <c r="V769" s="319"/>
      <c r="W769" s="288"/>
      <c r="X769" s="220"/>
      <c r="Y769" s="220"/>
      <c r="Z769" s="220"/>
      <c r="AA769" s="220"/>
      <c r="AB769" s="220"/>
      <c r="AC769" s="220"/>
      <c r="AD769" s="220"/>
      <c r="AE769" s="220"/>
      <c r="AF769" s="220"/>
      <c r="AG769" s="220"/>
      <c r="AH769" s="308"/>
      <c r="AI769" s="220"/>
      <c r="AJ769" s="220"/>
      <c r="AK769" s="220"/>
      <c r="AL769" s="220"/>
      <c r="AM769" s="220"/>
      <c r="AN769" s="220"/>
      <c r="AO769" s="220"/>
      <c r="AP769" s="220"/>
      <c r="AQ769" s="220"/>
      <c r="AR769" s="220"/>
      <c r="AS769" s="220"/>
      <c r="AT769" s="220"/>
      <c r="AU769" s="220"/>
      <c r="AV769" s="220"/>
      <c r="AW769" s="220"/>
      <c r="AX769" s="220"/>
      <c r="AY769" s="220"/>
      <c r="AZ769" s="220"/>
      <c r="BA769" s="220"/>
    </row>
    <row r="770">
      <c r="A770" s="240"/>
      <c r="B770" s="311"/>
      <c r="C770" s="311"/>
      <c r="D770" s="312"/>
      <c r="E770" s="311"/>
      <c r="F770" s="311"/>
      <c r="G770" s="312"/>
      <c r="H770" s="312"/>
      <c r="I770" s="313"/>
      <c r="J770" s="314"/>
      <c r="K770" s="313"/>
      <c r="L770" s="313"/>
      <c r="M770" s="313"/>
      <c r="N770" s="315"/>
      <c r="O770" s="313"/>
      <c r="P770" s="313"/>
      <c r="Q770" s="313"/>
      <c r="R770" s="313"/>
      <c r="S770" s="316"/>
      <c r="T770" s="317"/>
      <c r="U770" s="318"/>
      <c r="V770" s="319"/>
      <c r="W770" s="288"/>
      <c r="X770" s="220"/>
      <c r="Y770" s="220"/>
      <c r="Z770" s="220"/>
      <c r="AA770" s="220"/>
      <c r="AB770" s="220"/>
      <c r="AC770" s="220"/>
      <c r="AD770" s="220"/>
      <c r="AE770" s="220"/>
      <c r="AF770" s="220"/>
      <c r="AG770" s="220"/>
      <c r="AH770" s="308"/>
      <c r="AI770" s="220"/>
      <c r="AJ770" s="220"/>
      <c r="AK770" s="220"/>
      <c r="AL770" s="220"/>
      <c r="AM770" s="220"/>
      <c r="AN770" s="220"/>
      <c r="AO770" s="220"/>
      <c r="AP770" s="220"/>
      <c r="AQ770" s="220"/>
      <c r="AR770" s="220"/>
      <c r="AS770" s="220"/>
      <c r="AT770" s="220"/>
      <c r="AU770" s="220"/>
      <c r="AV770" s="220"/>
      <c r="AW770" s="220"/>
      <c r="AX770" s="220"/>
      <c r="AY770" s="220"/>
      <c r="AZ770" s="220"/>
      <c r="BA770" s="220"/>
    </row>
    <row r="771">
      <c r="A771" s="240"/>
      <c r="B771" s="311"/>
      <c r="C771" s="311"/>
      <c r="D771" s="312"/>
      <c r="E771" s="311"/>
      <c r="F771" s="311"/>
      <c r="G771" s="312"/>
      <c r="H771" s="312"/>
      <c r="I771" s="313"/>
      <c r="J771" s="314"/>
      <c r="K771" s="313"/>
      <c r="L771" s="313"/>
      <c r="M771" s="313"/>
      <c r="N771" s="315"/>
      <c r="O771" s="313"/>
      <c r="P771" s="313"/>
      <c r="Q771" s="313"/>
      <c r="R771" s="313"/>
      <c r="S771" s="316"/>
      <c r="T771" s="317"/>
      <c r="U771" s="318"/>
      <c r="V771" s="319"/>
      <c r="W771" s="288"/>
      <c r="X771" s="220"/>
      <c r="Y771" s="220"/>
      <c r="Z771" s="220"/>
      <c r="AA771" s="220"/>
      <c r="AB771" s="220"/>
      <c r="AC771" s="220"/>
      <c r="AD771" s="220"/>
      <c r="AE771" s="220"/>
      <c r="AF771" s="220"/>
      <c r="AG771" s="220"/>
      <c r="AH771" s="308"/>
      <c r="AI771" s="220"/>
      <c r="AJ771" s="220"/>
      <c r="AK771" s="220"/>
      <c r="AL771" s="220"/>
      <c r="AM771" s="220"/>
      <c r="AN771" s="220"/>
      <c r="AO771" s="220"/>
      <c r="AP771" s="220"/>
      <c r="AQ771" s="220"/>
      <c r="AR771" s="220"/>
      <c r="AS771" s="220"/>
      <c r="AT771" s="220"/>
      <c r="AU771" s="220"/>
      <c r="AV771" s="220"/>
      <c r="AW771" s="220"/>
      <c r="AX771" s="220"/>
      <c r="AY771" s="220"/>
      <c r="AZ771" s="220"/>
      <c r="BA771" s="220"/>
    </row>
    <row r="772">
      <c r="A772" s="240"/>
      <c r="B772" s="311"/>
      <c r="C772" s="311"/>
      <c r="D772" s="312"/>
      <c r="E772" s="311"/>
      <c r="F772" s="311"/>
      <c r="G772" s="312"/>
      <c r="H772" s="312"/>
      <c r="I772" s="313"/>
      <c r="J772" s="314"/>
      <c r="K772" s="313"/>
      <c r="L772" s="313"/>
      <c r="M772" s="313"/>
      <c r="N772" s="315"/>
      <c r="O772" s="313"/>
      <c r="P772" s="313"/>
      <c r="Q772" s="313"/>
      <c r="R772" s="313"/>
      <c r="S772" s="316"/>
      <c r="T772" s="317"/>
      <c r="U772" s="318"/>
      <c r="V772" s="319"/>
      <c r="W772" s="288"/>
      <c r="X772" s="220"/>
      <c r="Y772" s="220"/>
      <c r="Z772" s="220"/>
      <c r="AA772" s="220"/>
      <c r="AB772" s="220"/>
      <c r="AC772" s="220"/>
      <c r="AD772" s="220"/>
      <c r="AE772" s="220"/>
      <c r="AF772" s="220"/>
      <c r="AG772" s="220"/>
      <c r="AH772" s="308"/>
      <c r="AI772" s="220"/>
      <c r="AJ772" s="220"/>
      <c r="AK772" s="220"/>
      <c r="AL772" s="220"/>
      <c r="AM772" s="220"/>
      <c r="AN772" s="220"/>
      <c r="AO772" s="220"/>
      <c r="AP772" s="220"/>
      <c r="AQ772" s="220"/>
      <c r="AR772" s="220"/>
      <c r="AS772" s="220"/>
      <c r="AT772" s="220"/>
      <c r="AU772" s="220"/>
      <c r="AV772" s="220"/>
      <c r="AW772" s="220"/>
      <c r="AX772" s="220"/>
      <c r="AY772" s="220"/>
      <c r="AZ772" s="220"/>
      <c r="BA772" s="220"/>
    </row>
    <row r="773">
      <c r="A773" s="240"/>
      <c r="B773" s="311"/>
      <c r="C773" s="311"/>
      <c r="D773" s="312"/>
      <c r="E773" s="311"/>
      <c r="F773" s="311"/>
      <c r="G773" s="312"/>
      <c r="H773" s="312"/>
      <c r="I773" s="313"/>
      <c r="J773" s="314"/>
      <c r="K773" s="313"/>
      <c r="L773" s="313"/>
      <c r="M773" s="313"/>
      <c r="N773" s="315"/>
      <c r="O773" s="313"/>
      <c r="P773" s="313"/>
      <c r="Q773" s="313"/>
      <c r="R773" s="313"/>
      <c r="S773" s="316"/>
      <c r="T773" s="317"/>
      <c r="U773" s="318"/>
      <c r="V773" s="319"/>
      <c r="W773" s="288"/>
      <c r="X773" s="220"/>
      <c r="Y773" s="220"/>
      <c r="Z773" s="220"/>
      <c r="AA773" s="220"/>
      <c r="AB773" s="220"/>
      <c r="AC773" s="220"/>
      <c r="AD773" s="220"/>
      <c r="AE773" s="220"/>
      <c r="AF773" s="220"/>
      <c r="AG773" s="220"/>
      <c r="AH773" s="308"/>
      <c r="AI773" s="220"/>
      <c r="AJ773" s="220"/>
      <c r="AK773" s="220"/>
      <c r="AL773" s="220"/>
      <c r="AM773" s="220"/>
      <c r="AN773" s="220"/>
      <c r="AO773" s="220"/>
      <c r="AP773" s="220"/>
      <c r="AQ773" s="220"/>
      <c r="AR773" s="220"/>
      <c r="AS773" s="220"/>
      <c r="AT773" s="220"/>
      <c r="AU773" s="220"/>
      <c r="AV773" s="220"/>
      <c r="AW773" s="220"/>
      <c r="AX773" s="220"/>
      <c r="AY773" s="220"/>
      <c r="AZ773" s="220"/>
      <c r="BA773" s="220"/>
    </row>
    <row r="774">
      <c r="A774" s="240"/>
      <c r="B774" s="311"/>
      <c r="C774" s="311"/>
      <c r="D774" s="312"/>
      <c r="E774" s="311"/>
      <c r="F774" s="311"/>
      <c r="G774" s="312"/>
      <c r="H774" s="312"/>
      <c r="I774" s="313"/>
      <c r="J774" s="314"/>
      <c r="K774" s="313"/>
      <c r="L774" s="313"/>
      <c r="M774" s="313"/>
      <c r="N774" s="315"/>
      <c r="O774" s="313"/>
      <c r="P774" s="313"/>
      <c r="Q774" s="313"/>
      <c r="R774" s="313"/>
      <c r="S774" s="316"/>
      <c r="T774" s="317"/>
      <c r="U774" s="318"/>
      <c r="V774" s="319"/>
      <c r="W774" s="288"/>
      <c r="X774" s="220"/>
      <c r="Y774" s="220"/>
      <c r="Z774" s="220"/>
      <c r="AA774" s="220"/>
      <c r="AB774" s="220"/>
      <c r="AC774" s="220"/>
      <c r="AD774" s="220"/>
      <c r="AE774" s="220"/>
      <c r="AF774" s="220"/>
      <c r="AG774" s="220"/>
      <c r="AH774" s="308"/>
      <c r="AI774" s="220"/>
      <c r="AJ774" s="220"/>
      <c r="AK774" s="220"/>
      <c r="AL774" s="220"/>
      <c r="AM774" s="220"/>
      <c r="AN774" s="220"/>
      <c r="AO774" s="220"/>
      <c r="AP774" s="220"/>
      <c r="AQ774" s="220"/>
      <c r="AR774" s="220"/>
      <c r="AS774" s="220"/>
      <c r="AT774" s="220"/>
      <c r="AU774" s="220"/>
      <c r="AV774" s="220"/>
      <c r="AW774" s="220"/>
      <c r="AX774" s="220"/>
      <c r="AY774" s="220"/>
      <c r="AZ774" s="220"/>
      <c r="BA774" s="220"/>
    </row>
    <row r="775">
      <c r="A775" s="240"/>
      <c r="B775" s="311"/>
      <c r="C775" s="311"/>
      <c r="D775" s="312"/>
      <c r="E775" s="311"/>
      <c r="F775" s="311"/>
      <c r="G775" s="312"/>
      <c r="H775" s="312"/>
      <c r="I775" s="313"/>
      <c r="J775" s="314"/>
      <c r="K775" s="313"/>
      <c r="L775" s="313"/>
      <c r="M775" s="313"/>
      <c r="N775" s="315"/>
      <c r="O775" s="313"/>
      <c r="P775" s="313"/>
      <c r="Q775" s="313"/>
      <c r="R775" s="313"/>
      <c r="S775" s="316"/>
      <c r="T775" s="317"/>
      <c r="U775" s="318"/>
      <c r="V775" s="319"/>
      <c r="W775" s="288"/>
      <c r="X775" s="220"/>
      <c r="Y775" s="220"/>
      <c r="Z775" s="220"/>
      <c r="AA775" s="220"/>
      <c r="AB775" s="220"/>
      <c r="AC775" s="220"/>
      <c r="AD775" s="220"/>
      <c r="AE775" s="220"/>
      <c r="AF775" s="220"/>
      <c r="AG775" s="220"/>
      <c r="AH775" s="308"/>
      <c r="AI775" s="220"/>
      <c r="AJ775" s="220"/>
      <c r="AK775" s="220"/>
      <c r="AL775" s="220"/>
      <c r="AM775" s="220"/>
      <c r="AN775" s="220"/>
      <c r="AO775" s="220"/>
      <c r="AP775" s="220"/>
      <c r="AQ775" s="220"/>
      <c r="AR775" s="220"/>
      <c r="AS775" s="220"/>
      <c r="AT775" s="220"/>
      <c r="AU775" s="220"/>
      <c r="AV775" s="220"/>
      <c r="AW775" s="220"/>
      <c r="AX775" s="220"/>
      <c r="AY775" s="220"/>
      <c r="AZ775" s="220"/>
      <c r="BA775" s="220"/>
    </row>
    <row r="776">
      <c r="A776" s="240"/>
      <c r="B776" s="311"/>
      <c r="C776" s="311"/>
      <c r="D776" s="312"/>
      <c r="E776" s="311"/>
      <c r="F776" s="311"/>
      <c r="G776" s="312"/>
      <c r="H776" s="312"/>
      <c r="I776" s="313"/>
      <c r="J776" s="314"/>
      <c r="K776" s="313"/>
      <c r="L776" s="313"/>
      <c r="M776" s="313"/>
      <c r="N776" s="315"/>
      <c r="O776" s="313"/>
      <c r="P776" s="313"/>
      <c r="Q776" s="313"/>
      <c r="R776" s="313"/>
      <c r="S776" s="316"/>
      <c r="T776" s="317"/>
      <c r="U776" s="318"/>
      <c r="V776" s="319"/>
      <c r="W776" s="288"/>
      <c r="X776" s="220"/>
      <c r="Y776" s="220"/>
      <c r="Z776" s="220"/>
      <c r="AA776" s="220"/>
      <c r="AB776" s="220"/>
      <c r="AC776" s="220"/>
      <c r="AD776" s="220"/>
      <c r="AE776" s="220"/>
      <c r="AF776" s="220"/>
      <c r="AG776" s="220"/>
      <c r="AH776" s="308"/>
      <c r="AI776" s="220"/>
      <c r="AJ776" s="220"/>
      <c r="AK776" s="220"/>
      <c r="AL776" s="220"/>
      <c r="AM776" s="220"/>
      <c r="AN776" s="220"/>
      <c r="AO776" s="220"/>
      <c r="AP776" s="220"/>
      <c r="AQ776" s="220"/>
      <c r="AR776" s="220"/>
      <c r="AS776" s="220"/>
      <c r="AT776" s="220"/>
      <c r="AU776" s="220"/>
      <c r="AV776" s="220"/>
      <c r="AW776" s="220"/>
      <c r="AX776" s="220"/>
      <c r="AY776" s="220"/>
      <c r="AZ776" s="220"/>
      <c r="BA776" s="220"/>
    </row>
    <row r="777">
      <c r="A777" s="240"/>
      <c r="B777" s="311"/>
      <c r="C777" s="311"/>
      <c r="D777" s="312"/>
      <c r="E777" s="311"/>
      <c r="F777" s="311"/>
      <c r="G777" s="312"/>
      <c r="H777" s="312"/>
      <c r="I777" s="313"/>
      <c r="J777" s="314"/>
      <c r="K777" s="313"/>
      <c r="L777" s="313"/>
      <c r="M777" s="313"/>
      <c r="N777" s="315"/>
      <c r="O777" s="313"/>
      <c r="P777" s="313"/>
      <c r="Q777" s="313"/>
      <c r="R777" s="313"/>
      <c r="S777" s="316"/>
      <c r="T777" s="317"/>
      <c r="U777" s="318"/>
      <c r="V777" s="319"/>
      <c r="W777" s="288"/>
      <c r="X777" s="220"/>
      <c r="Y777" s="220"/>
      <c r="Z777" s="220"/>
      <c r="AA777" s="220"/>
      <c r="AB777" s="220"/>
      <c r="AC777" s="220"/>
      <c r="AD777" s="220"/>
      <c r="AE777" s="220"/>
      <c r="AF777" s="220"/>
      <c r="AG777" s="220"/>
      <c r="AH777" s="308"/>
      <c r="AI777" s="220"/>
      <c r="AJ777" s="220"/>
      <c r="AK777" s="220"/>
      <c r="AL777" s="220"/>
      <c r="AM777" s="220"/>
      <c r="AN777" s="220"/>
      <c r="AO777" s="220"/>
      <c r="AP777" s="220"/>
      <c r="AQ777" s="220"/>
      <c r="AR777" s="220"/>
      <c r="AS777" s="220"/>
      <c r="AT777" s="220"/>
      <c r="AU777" s="220"/>
      <c r="AV777" s="220"/>
      <c r="AW777" s="220"/>
      <c r="AX777" s="220"/>
      <c r="AY777" s="220"/>
      <c r="AZ777" s="220"/>
      <c r="BA777" s="220"/>
    </row>
    <row r="778">
      <c r="A778" s="240"/>
      <c r="B778" s="311"/>
      <c r="C778" s="311"/>
      <c r="D778" s="312"/>
      <c r="E778" s="311"/>
      <c r="F778" s="311"/>
      <c r="G778" s="312"/>
      <c r="H778" s="312"/>
      <c r="I778" s="313"/>
      <c r="J778" s="314"/>
      <c r="K778" s="313"/>
      <c r="L778" s="313"/>
      <c r="M778" s="313"/>
      <c r="N778" s="315"/>
      <c r="O778" s="313"/>
      <c r="P778" s="313"/>
      <c r="Q778" s="313"/>
      <c r="R778" s="313"/>
      <c r="S778" s="316"/>
      <c r="T778" s="317"/>
      <c r="U778" s="318"/>
      <c r="V778" s="319"/>
      <c r="W778" s="288"/>
      <c r="X778" s="220"/>
      <c r="Y778" s="220"/>
      <c r="Z778" s="220"/>
      <c r="AA778" s="220"/>
      <c r="AB778" s="220"/>
      <c r="AC778" s="220"/>
      <c r="AD778" s="220"/>
      <c r="AE778" s="220"/>
      <c r="AF778" s="220"/>
      <c r="AG778" s="220"/>
      <c r="AH778" s="308"/>
      <c r="AI778" s="220"/>
      <c r="AJ778" s="220"/>
      <c r="AK778" s="220"/>
      <c r="AL778" s="220"/>
      <c r="AM778" s="220"/>
      <c r="AN778" s="220"/>
      <c r="AO778" s="220"/>
      <c r="AP778" s="220"/>
      <c r="AQ778" s="220"/>
      <c r="AR778" s="220"/>
      <c r="AS778" s="220"/>
      <c r="AT778" s="220"/>
      <c r="AU778" s="220"/>
      <c r="AV778" s="220"/>
      <c r="AW778" s="220"/>
      <c r="AX778" s="220"/>
      <c r="AY778" s="220"/>
      <c r="AZ778" s="220"/>
      <c r="BA778" s="220"/>
    </row>
    <row r="779">
      <c r="A779" s="240"/>
      <c r="B779" s="311"/>
      <c r="C779" s="311"/>
      <c r="D779" s="312"/>
      <c r="E779" s="311"/>
      <c r="F779" s="311"/>
      <c r="G779" s="312"/>
      <c r="H779" s="312"/>
      <c r="I779" s="313"/>
      <c r="J779" s="314"/>
      <c r="K779" s="313"/>
      <c r="L779" s="313"/>
      <c r="M779" s="313"/>
      <c r="N779" s="315"/>
      <c r="O779" s="313"/>
      <c r="P779" s="313"/>
      <c r="Q779" s="313"/>
      <c r="R779" s="313"/>
      <c r="S779" s="316"/>
      <c r="T779" s="317"/>
      <c r="U779" s="318"/>
      <c r="V779" s="319"/>
      <c r="W779" s="288"/>
      <c r="X779" s="220"/>
      <c r="Y779" s="220"/>
      <c r="Z779" s="220"/>
      <c r="AA779" s="220"/>
      <c r="AB779" s="220"/>
      <c r="AC779" s="220"/>
      <c r="AD779" s="220"/>
      <c r="AE779" s="220"/>
      <c r="AF779" s="220"/>
      <c r="AG779" s="220"/>
      <c r="AH779" s="308"/>
      <c r="AI779" s="220"/>
      <c r="AJ779" s="220"/>
      <c r="AK779" s="220"/>
      <c r="AL779" s="220"/>
      <c r="AM779" s="220"/>
      <c r="AN779" s="220"/>
      <c r="AO779" s="220"/>
      <c r="AP779" s="220"/>
      <c r="AQ779" s="220"/>
      <c r="AR779" s="220"/>
      <c r="AS779" s="220"/>
      <c r="AT779" s="220"/>
      <c r="AU779" s="220"/>
      <c r="AV779" s="220"/>
      <c r="AW779" s="220"/>
      <c r="AX779" s="220"/>
      <c r="AY779" s="220"/>
      <c r="AZ779" s="220"/>
      <c r="BA779" s="220"/>
    </row>
    <row r="780">
      <c r="A780" s="240"/>
      <c r="B780" s="311"/>
      <c r="C780" s="311"/>
      <c r="D780" s="312"/>
      <c r="E780" s="311"/>
      <c r="F780" s="311"/>
      <c r="G780" s="312"/>
      <c r="H780" s="312"/>
      <c r="I780" s="313"/>
      <c r="J780" s="314"/>
      <c r="K780" s="313"/>
      <c r="L780" s="313"/>
      <c r="M780" s="313"/>
      <c r="N780" s="315"/>
      <c r="O780" s="313"/>
      <c r="P780" s="313"/>
      <c r="Q780" s="313"/>
      <c r="R780" s="313"/>
      <c r="S780" s="316"/>
      <c r="T780" s="317"/>
      <c r="U780" s="318"/>
      <c r="V780" s="319"/>
      <c r="W780" s="288"/>
      <c r="X780" s="220"/>
      <c r="Y780" s="220"/>
      <c r="Z780" s="220"/>
      <c r="AA780" s="220"/>
      <c r="AB780" s="220"/>
      <c r="AC780" s="220"/>
      <c r="AD780" s="220"/>
      <c r="AE780" s="220"/>
      <c r="AF780" s="220"/>
      <c r="AG780" s="220"/>
      <c r="AH780" s="308"/>
      <c r="AI780" s="220"/>
      <c r="AJ780" s="220"/>
      <c r="AK780" s="220"/>
      <c r="AL780" s="220"/>
      <c r="AM780" s="220"/>
      <c r="AN780" s="220"/>
      <c r="AO780" s="220"/>
      <c r="AP780" s="220"/>
      <c r="AQ780" s="220"/>
      <c r="AR780" s="220"/>
      <c r="AS780" s="220"/>
      <c r="AT780" s="220"/>
      <c r="AU780" s="220"/>
      <c r="AV780" s="220"/>
      <c r="AW780" s="220"/>
      <c r="AX780" s="220"/>
      <c r="AY780" s="220"/>
      <c r="AZ780" s="220"/>
      <c r="BA780" s="220"/>
    </row>
    <row r="781">
      <c r="A781" s="240"/>
      <c r="B781" s="311"/>
      <c r="C781" s="311"/>
      <c r="D781" s="312"/>
      <c r="E781" s="311"/>
      <c r="F781" s="311"/>
      <c r="G781" s="312"/>
      <c r="H781" s="312"/>
      <c r="I781" s="313"/>
      <c r="J781" s="314"/>
      <c r="K781" s="313"/>
      <c r="L781" s="313"/>
      <c r="M781" s="313"/>
      <c r="N781" s="315"/>
      <c r="O781" s="313"/>
      <c r="P781" s="313"/>
      <c r="Q781" s="313"/>
      <c r="R781" s="313"/>
      <c r="S781" s="316"/>
      <c r="T781" s="317"/>
      <c r="U781" s="318"/>
      <c r="V781" s="319"/>
      <c r="W781" s="288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220"/>
      <c r="AH781" s="308"/>
      <c r="AI781" s="220"/>
      <c r="AJ781" s="220"/>
      <c r="AK781" s="220"/>
      <c r="AL781" s="220"/>
      <c r="AM781" s="220"/>
      <c r="AN781" s="220"/>
      <c r="AO781" s="220"/>
      <c r="AP781" s="220"/>
      <c r="AQ781" s="220"/>
      <c r="AR781" s="220"/>
      <c r="AS781" s="220"/>
      <c r="AT781" s="220"/>
      <c r="AU781" s="220"/>
      <c r="AV781" s="220"/>
      <c r="AW781" s="220"/>
      <c r="AX781" s="220"/>
      <c r="AY781" s="220"/>
      <c r="AZ781" s="220"/>
      <c r="BA781" s="220"/>
    </row>
    <row r="782">
      <c r="A782" s="240"/>
      <c r="B782" s="311"/>
      <c r="C782" s="311"/>
      <c r="D782" s="312"/>
      <c r="E782" s="311"/>
      <c r="F782" s="311"/>
      <c r="G782" s="312"/>
      <c r="H782" s="312"/>
      <c r="I782" s="313"/>
      <c r="J782" s="314"/>
      <c r="K782" s="313"/>
      <c r="L782" s="313"/>
      <c r="M782" s="313"/>
      <c r="N782" s="315"/>
      <c r="O782" s="313"/>
      <c r="P782" s="313"/>
      <c r="Q782" s="313"/>
      <c r="R782" s="313"/>
      <c r="S782" s="316"/>
      <c r="T782" s="317"/>
      <c r="U782" s="318"/>
      <c r="V782" s="319"/>
      <c r="W782" s="288"/>
      <c r="X782" s="220"/>
      <c r="Y782" s="220"/>
      <c r="Z782" s="220"/>
      <c r="AA782" s="220"/>
      <c r="AB782" s="220"/>
      <c r="AC782" s="220"/>
      <c r="AD782" s="220"/>
      <c r="AE782" s="220"/>
      <c r="AF782" s="220"/>
      <c r="AG782" s="220"/>
      <c r="AH782" s="308"/>
      <c r="AI782" s="220"/>
      <c r="AJ782" s="220"/>
      <c r="AK782" s="220"/>
      <c r="AL782" s="220"/>
      <c r="AM782" s="220"/>
      <c r="AN782" s="220"/>
      <c r="AO782" s="220"/>
      <c r="AP782" s="220"/>
      <c r="AQ782" s="220"/>
      <c r="AR782" s="220"/>
      <c r="AS782" s="220"/>
      <c r="AT782" s="220"/>
      <c r="AU782" s="220"/>
      <c r="AV782" s="220"/>
      <c r="AW782" s="220"/>
      <c r="AX782" s="220"/>
      <c r="AY782" s="220"/>
      <c r="AZ782" s="220"/>
      <c r="BA782" s="220"/>
    </row>
    <row r="783">
      <c r="A783" s="240"/>
      <c r="B783" s="311"/>
      <c r="C783" s="311"/>
      <c r="D783" s="312"/>
      <c r="E783" s="311"/>
      <c r="F783" s="311"/>
      <c r="G783" s="312"/>
      <c r="H783" s="312"/>
      <c r="I783" s="313"/>
      <c r="J783" s="314"/>
      <c r="K783" s="313"/>
      <c r="L783" s="313"/>
      <c r="M783" s="313"/>
      <c r="N783" s="315"/>
      <c r="O783" s="313"/>
      <c r="P783" s="313"/>
      <c r="Q783" s="313"/>
      <c r="R783" s="313"/>
      <c r="S783" s="316"/>
      <c r="T783" s="317"/>
      <c r="U783" s="318"/>
      <c r="V783" s="319"/>
      <c r="W783" s="288"/>
      <c r="X783" s="220"/>
      <c r="Y783" s="220"/>
      <c r="Z783" s="220"/>
      <c r="AA783" s="220"/>
      <c r="AB783" s="220"/>
      <c r="AC783" s="220"/>
      <c r="AD783" s="220"/>
      <c r="AE783" s="220"/>
      <c r="AF783" s="220"/>
      <c r="AG783" s="220"/>
      <c r="AH783" s="308"/>
      <c r="AI783" s="220"/>
      <c r="AJ783" s="220"/>
      <c r="AK783" s="220"/>
      <c r="AL783" s="220"/>
      <c r="AM783" s="220"/>
      <c r="AN783" s="220"/>
      <c r="AO783" s="220"/>
      <c r="AP783" s="220"/>
      <c r="AQ783" s="220"/>
      <c r="AR783" s="220"/>
      <c r="AS783" s="220"/>
      <c r="AT783" s="220"/>
      <c r="AU783" s="220"/>
      <c r="AV783" s="220"/>
      <c r="AW783" s="220"/>
      <c r="AX783" s="220"/>
      <c r="AY783" s="220"/>
      <c r="AZ783" s="220"/>
      <c r="BA783" s="220"/>
    </row>
    <row r="784">
      <c r="A784" s="240"/>
      <c r="B784" s="311"/>
      <c r="C784" s="311"/>
      <c r="D784" s="312"/>
      <c r="E784" s="311"/>
      <c r="F784" s="311"/>
      <c r="G784" s="312"/>
      <c r="H784" s="312"/>
      <c r="I784" s="313"/>
      <c r="J784" s="314"/>
      <c r="K784" s="313"/>
      <c r="L784" s="313"/>
      <c r="M784" s="313"/>
      <c r="N784" s="315"/>
      <c r="O784" s="313"/>
      <c r="P784" s="313"/>
      <c r="Q784" s="313"/>
      <c r="R784" s="313"/>
      <c r="S784" s="316"/>
      <c r="T784" s="317"/>
      <c r="U784" s="318"/>
      <c r="V784" s="319"/>
      <c r="W784" s="288"/>
      <c r="X784" s="220"/>
      <c r="Y784" s="220"/>
      <c r="Z784" s="220"/>
      <c r="AA784" s="220"/>
      <c r="AB784" s="220"/>
      <c r="AC784" s="220"/>
      <c r="AD784" s="220"/>
      <c r="AE784" s="220"/>
      <c r="AF784" s="220"/>
      <c r="AG784" s="220"/>
      <c r="AH784" s="308"/>
      <c r="AI784" s="220"/>
      <c r="AJ784" s="220"/>
      <c r="AK784" s="220"/>
      <c r="AL784" s="220"/>
      <c r="AM784" s="220"/>
      <c r="AN784" s="220"/>
      <c r="AO784" s="220"/>
      <c r="AP784" s="220"/>
      <c r="AQ784" s="220"/>
      <c r="AR784" s="220"/>
      <c r="AS784" s="220"/>
      <c r="AT784" s="220"/>
      <c r="AU784" s="220"/>
      <c r="AV784" s="220"/>
      <c r="AW784" s="220"/>
      <c r="AX784" s="220"/>
      <c r="AY784" s="220"/>
      <c r="AZ784" s="220"/>
      <c r="BA784" s="220"/>
    </row>
    <row r="785">
      <c r="A785" s="240"/>
      <c r="B785" s="311"/>
      <c r="C785" s="311"/>
      <c r="D785" s="312"/>
      <c r="E785" s="311"/>
      <c r="F785" s="311"/>
      <c r="G785" s="312"/>
      <c r="H785" s="312"/>
      <c r="I785" s="313"/>
      <c r="J785" s="314"/>
      <c r="K785" s="313"/>
      <c r="L785" s="313"/>
      <c r="M785" s="313"/>
      <c r="N785" s="315"/>
      <c r="O785" s="313"/>
      <c r="P785" s="313"/>
      <c r="Q785" s="313"/>
      <c r="R785" s="313"/>
      <c r="S785" s="316"/>
      <c r="T785" s="317"/>
      <c r="U785" s="318"/>
      <c r="V785" s="319"/>
      <c r="W785" s="288"/>
      <c r="X785" s="220"/>
      <c r="Y785" s="220"/>
      <c r="Z785" s="220"/>
      <c r="AA785" s="220"/>
      <c r="AB785" s="220"/>
      <c r="AC785" s="220"/>
      <c r="AD785" s="220"/>
      <c r="AE785" s="220"/>
      <c r="AF785" s="220"/>
      <c r="AG785" s="220"/>
      <c r="AH785" s="308"/>
      <c r="AI785" s="220"/>
      <c r="AJ785" s="220"/>
      <c r="AK785" s="220"/>
      <c r="AL785" s="220"/>
      <c r="AM785" s="220"/>
      <c r="AN785" s="220"/>
      <c r="AO785" s="220"/>
      <c r="AP785" s="220"/>
      <c r="AQ785" s="220"/>
      <c r="AR785" s="220"/>
      <c r="AS785" s="220"/>
      <c r="AT785" s="220"/>
      <c r="AU785" s="220"/>
      <c r="AV785" s="220"/>
      <c r="AW785" s="220"/>
      <c r="AX785" s="220"/>
      <c r="AY785" s="220"/>
      <c r="AZ785" s="220"/>
      <c r="BA785" s="220"/>
    </row>
    <row r="786">
      <c r="A786" s="240"/>
      <c r="B786" s="311"/>
      <c r="C786" s="311"/>
      <c r="D786" s="312"/>
      <c r="E786" s="311"/>
      <c r="F786" s="311"/>
      <c r="G786" s="312"/>
      <c r="H786" s="312"/>
      <c r="I786" s="313"/>
      <c r="J786" s="314"/>
      <c r="K786" s="313"/>
      <c r="L786" s="313"/>
      <c r="M786" s="313"/>
      <c r="N786" s="315"/>
      <c r="O786" s="313"/>
      <c r="P786" s="313"/>
      <c r="Q786" s="313"/>
      <c r="R786" s="313"/>
      <c r="S786" s="316"/>
      <c r="T786" s="317"/>
      <c r="U786" s="318"/>
      <c r="V786" s="319"/>
      <c r="W786" s="288"/>
      <c r="X786" s="220"/>
      <c r="Y786" s="220"/>
      <c r="Z786" s="220"/>
      <c r="AA786" s="220"/>
      <c r="AB786" s="220"/>
      <c r="AC786" s="220"/>
      <c r="AD786" s="220"/>
      <c r="AE786" s="220"/>
      <c r="AF786" s="220"/>
      <c r="AG786" s="220"/>
      <c r="AH786" s="308"/>
      <c r="AI786" s="220"/>
      <c r="AJ786" s="220"/>
      <c r="AK786" s="220"/>
      <c r="AL786" s="220"/>
      <c r="AM786" s="220"/>
      <c r="AN786" s="220"/>
      <c r="AO786" s="220"/>
      <c r="AP786" s="220"/>
      <c r="AQ786" s="220"/>
      <c r="AR786" s="220"/>
      <c r="AS786" s="220"/>
      <c r="AT786" s="220"/>
      <c r="AU786" s="220"/>
      <c r="AV786" s="220"/>
      <c r="AW786" s="220"/>
      <c r="AX786" s="220"/>
      <c r="AY786" s="220"/>
      <c r="AZ786" s="220"/>
      <c r="BA786" s="220"/>
    </row>
    <row r="787">
      <c r="A787" s="240"/>
      <c r="B787" s="311"/>
      <c r="C787" s="311"/>
      <c r="D787" s="312"/>
      <c r="E787" s="311"/>
      <c r="F787" s="311"/>
      <c r="G787" s="312"/>
      <c r="H787" s="312"/>
      <c r="I787" s="313"/>
      <c r="J787" s="314"/>
      <c r="K787" s="313"/>
      <c r="L787" s="313"/>
      <c r="M787" s="313"/>
      <c r="N787" s="315"/>
      <c r="O787" s="313"/>
      <c r="P787" s="313"/>
      <c r="Q787" s="313"/>
      <c r="R787" s="313"/>
      <c r="S787" s="316"/>
      <c r="T787" s="317"/>
      <c r="U787" s="318"/>
      <c r="V787" s="319"/>
      <c r="W787" s="288"/>
      <c r="X787" s="220"/>
      <c r="Y787" s="220"/>
      <c r="Z787" s="220"/>
      <c r="AA787" s="220"/>
      <c r="AB787" s="220"/>
      <c r="AC787" s="220"/>
      <c r="AD787" s="220"/>
      <c r="AE787" s="220"/>
      <c r="AF787" s="220"/>
      <c r="AG787" s="220"/>
      <c r="AH787" s="308"/>
      <c r="AI787" s="220"/>
      <c r="AJ787" s="220"/>
      <c r="AK787" s="220"/>
      <c r="AL787" s="220"/>
      <c r="AM787" s="220"/>
      <c r="AN787" s="220"/>
      <c r="AO787" s="220"/>
      <c r="AP787" s="220"/>
      <c r="AQ787" s="220"/>
      <c r="AR787" s="220"/>
      <c r="AS787" s="220"/>
      <c r="AT787" s="220"/>
      <c r="AU787" s="220"/>
      <c r="AV787" s="220"/>
      <c r="AW787" s="220"/>
      <c r="AX787" s="220"/>
      <c r="AY787" s="220"/>
      <c r="AZ787" s="220"/>
      <c r="BA787" s="220"/>
    </row>
    <row r="788">
      <c r="A788" s="240"/>
      <c r="B788" s="311"/>
      <c r="C788" s="311"/>
      <c r="D788" s="312"/>
      <c r="E788" s="311"/>
      <c r="F788" s="311"/>
      <c r="G788" s="312"/>
      <c r="H788" s="312"/>
      <c r="I788" s="313"/>
      <c r="J788" s="314"/>
      <c r="K788" s="313"/>
      <c r="L788" s="313"/>
      <c r="M788" s="313"/>
      <c r="N788" s="315"/>
      <c r="O788" s="313"/>
      <c r="P788" s="313"/>
      <c r="Q788" s="313"/>
      <c r="R788" s="313"/>
      <c r="S788" s="316"/>
      <c r="T788" s="317"/>
      <c r="U788" s="318"/>
      <c r="V788" s="319"/>
      <c r="W788" s="288"/>
      <c r="X788" s="220"/>
      <c r="Y788" s="220"/>
      <c r="Z788" s="220"/>
      <c r="AA788" s="220"/>
      <c r="AB788" s="220"/>
      <c r="AC788" s="220"/>
      <c r="AD788" s="220"/>
      <c r="AE788" s="220"/>
      <c r="AF788" s="220"/>
      <c r="AG788" s="220"/>
      <c r="AH788" s="308"/>
      <c r="AI788" s="220"/>
      <c r="AJ788" s="220"/>
      <c r="AK788" s="220"/>
      <c r="AL788" s="220"/>
      <c r="AM788" s="220"/>
      <c r="AN788" s="220"/>
      <c r="AO788" s="220"/>
      <c r="AP788" s="220"/>
      <c r="AQ788" s="220"/>
      <c r="AR788" s="220"/>
      <c r="AS788" s="220"/>
      <c r="AT788" s="220"/>
      <c r="AU788" s="220"/>
      <c r="AV788" s="220"/>
      <c r="AW788" s="220"/>
      <c r="AX788" s="220"/>
      <c r="AY788" s="220"/>
      <c r="AZ788" s="220"/>
      <c r="BA788" s="220"/>
    </row>
    <row r="789">
      <c r="A789" s="240"/>
      <c r="B789" s="311"/>
      <c r="C789" s="311"/>
      <c r="D789" s="312"/>
      <c r="E789" s="311"/>
      <c r="F789" s="311"/>
      <c r="G789" s="312"/>
      <c r="H789" s="312"/>
      <c r="I789" s="313"/>
      <c r="J789" s="314"/>
      <c r="K789" s="313"/>
      <c r="L789" s="313"/>
      <c r="M789" s="313"/>
      <c r="N789" s="315"/>
      <c r="O789" s="313"/>
      <c r="P789" s="313"/>
      <c r="Q789" s="313"/>
      <c r="R789" s="313"/>
      <c r="S789" s="316"/>
      <c r="T789" s="317"/>
      <c r="U789" s="318"/>
      <c r="V789" s="319"/>
      <c r="W789" s="288"/>
      <c r="X789" s="220"/>
      <c r="Y789" s="220"/>
      <c r="Z789" s="220"/>
      <c r="AA789" s="220"/>
      <c r="AB789" s="220"/>
      <c r="AC789" s="220"/>
      <c r="AD789" s="220"/>
      <c r="AE789" s="220"/>
      <c r="AF789" s="220"/>
      <c r="AG789" s="220"/>
      <c r="AH789" s="308"/>
      <c r="AI789" s="220"/>
      <c r="AJ789" s="220"/>
      <c r="AK789" s="220"/>
      <c r="AL789" s="220"/>
      <c r="AM789" s="220"/>
      <c r="AN789" s="220"/>
      <c r="AO789" s="220"/>
      <c r="AP789" s="220"/>
      <c r="AQ789" s="220"/>
      <c r="AR789" s="220"/>
      <c r="AS789" s="220"/>
      <c r="AT789" s="220"/>
      <c r="AU789" s="220"/>
      <c r="AV789" s="220"/>
      <c r="AW789" s="220"/>
      <c r="AX789" s="220"/>
      <c r="AY789" s="220"/>
      <c r="AZ789" s="220"/>
      <c r="BA789" s="220"/>
    </row>
    <row r="790">
      <c r="A790" s="240"/>
      <c r="B790" s="311"/>
      <c r="C790" s="311"/>
      <c r="D790" s="312"/>
      <c r="E790" s="311"/>
      <c r="F790" s="311"/>
      <c r="G790" s="312"/>
      <c r="H790" s="312"/>
      <c r="I790" s="313"/>
      <c r="J790" s="314"/>
      <c r="K790" s="313"/>
      <c r="L790" s="313"/>
      <c r="M790" s="313"/>
      <c r="N790" s="315"/>
      <c r="O790" s="313"/>
      <c r="P790" s="313"/>
      <c r="Q790" s="313"/>
      <c r="R790" s="313"/>
      <c r="S790" s="316"/>
      <c r="T790" s="317"/>
      <c r="U790" s="318"/>
      <c r="V790" s="319"/>
      <c r="W790" s="288"/>
      <c r="X790" s="220"/>
      <c r="Y790" s="220"/>
      <c r="Z790" s="220"/>
      <c r="AA790" s="220"/>
      <c r="AB790" s="220"/>
      <c r="AC790" s="220"/>
      <c r="AD790" s="220"/>
      <c r="AE790" s="220"/>
      <c r="AF790" s="220"/>
      <c r="AG790" s="220"/>
      <c r="AH790" s="308"/>
      <c r="AI790" s="220"/>
      <c r="AJ790" s="220"/>
      <c r="AK790" s="220"/>
      <c r="AL790" s="220"/>
      <c r="AM790" s="220"/>
      <c r="AN790" s="220"/>
      <c r="AO790" s="220"/>
      <c r="AP790" s="220"/>
      <c r="AQ790" s="220"/>
      <c r="AR790" s="220"/>
      <c r="AS790" s="220"/>
      <c r="AT790" s="220"/>
      <c r="AU790" s="220"/>
      <c r="AV790" s="220"/>
      <c r="AW790" s="220"/>
      <c r="AX790" s="220"/>
      <c r="AY790" s="220"/>
      <c r="AZ790" s="220"/>
      <c r="BA790" s="220"/>
    </row>
    <row r="791">
      <c r="A791" s="240"/>
      <c r="B791" s="311"/>
      <c r="C791" s="311"/>
      <c r="D791" s="312"/>
      <c r="E791" s="311"/>
      <c r="F791" s="311"/>
      <c r="G791" s="312"/>
      <c r="H791" s="312"/>
      <c r="I791" s="313"/>
      <c r="J791" s="314"/>
      <c r="K791" s="313"/>
      <c r="L791" s="313"/>
      <c r="M791" s="313"/>
      <c r="N791" s="315"/>
      <c r="O791" s="313"/>
      <c r="P791" s="313"/>
      <c r="Q791" s="313"/>
      <c r="R791" s="313"/>
      <c r="S791" s="316"/>
      <c r="T791" s="317"/>
      <c r="U791" s="318"/>
      <c r="V791" s="319"/>
      <c r="W791" s="288"/>
      <c r="X791" s="220"/>
      <c r="Y791" s="220"/>
      <c r="Z791" s="220"/>
      <c r="AA791" s="220"/>
      <c r="AB791" s="220"/>
      <c r="AC791" s="220"/>
      <c r="AD791" s="220"/>
      <c r="AE791" s="220"/>
      <c r="AF791" s="220"/>
      <c r="AG791" s="220"/>
      <c r="AH791" s="308"/>
      <c r="AI791" s="220"/>
      <c r="AJ791" s="220"/>
      <c r="AK791" s="220"/>
      <c r="AL791" s="220"/>
      <c r="AM791" s="220"/>
      <c r="AN791" s="220"/>
      <c r="AO791" s="220"/>
      <c r="AP791" s="220"/>
      <c r="AQ791" s="220"/>
      <c r="AR791" s="220"/>
      <c r="AS791" s="220"/>
      <c r="AT791" s="220"/>
      <c r="AU791" s="220"/>
      <c r="AV791" s="220"/>
      <c r="AW791" s="220"/>
      <c r="AX791" s="220"/>
      <c r="AY791" s="220"/>
      <c r="AZ791" s="220"/>
      <c r="BA791" s="220"/>
    </row>
    <row r="792">
      <c r="A792" s="240"/>
      <c r="B792" s="311"/>
      <c r="C792" s="311"/>
      <c r="D792" s="312"/>
      <c r="E792" s="311"/>
      <c r="F792" s="311"/>
      <c r="G792" s="312"/>
      <c r="H792" s="312"/>
      <c r="I792" s="313"/>
      <c r="J792" s="314"/>
      <c r="K792" s="313"/>
      <c r="L792" s="313"/>
      <c r="M792" s="313"/>
      <c r="N792" s="315"/>
      <c r="O792" s="313"/>
      <c r="P792" s="313"/>
      <c r="Q792" s="313"/>
      <c r="R792" s="313"/>
      <c r="S792" s="316"/>
      <c r="T792" s="317"/>
      <c r="U792" s="318"/>
      <c r="V792" s="319"/>
      <c r="W792" s="288"/>
      <c r="X792" s="220"/>
      <c r="Y792" s="220"/>
      <c r="Z792" s="220"/>
      <c r="AA792" s="220"/>
      <c r="AB792" s="220"/>
      <c r="AC792" s="220"/>
      <c r="AD792" s="220"/>
      <c r="AE792" s="220"/>
      <c r="AF792" s="220"/>
      <c r="AG792" s="220"/>
      <c r="AH792" s="308"/>
      <c r="AI792" s="220"/>
      <c r="AJ792" s="220"/>
      <c r="AK792" s="220"/>
      <c r="AL792" s="220"/>
      <c r="AM792" s="220"/>
      <c r="AN792" s="220"/>
      <c r="AO792" s="220"/>
      <c r="AP792" s="220"/>
      <c r="AQ792" s="220"/>
      <c r="AR792" s="220"/>
      <c r="AS792" s="220"/>
      <c r="AT792" s="220"/>
      <c r="AU792" s="220"/>
      <c r="AV792" s="220"/>
      <c r="AW792" s="220"/>
      <c r="AX792" s="220"/>
      <c r="AY792" s="220"/>
      <c r="AZ792" s="220"/>
      <c r="BA792" s="220"/>
    </row>
    <row r="793">
      <c r="A793" s="240"/>
      <c r="B793" s="311"/>
      <c r="C793" s="311"/>
      <c r="D793" s="312"/>
      <c r="E793" s="311"/>
      <c r="F793" s="311"/>
      <c r="G793" s="312"/>
      <c r="H793" s="312"/>
      <c r="I793" s="313"/>
      <c r="J793" s="314"/>
      <c r="K793" s="313"/>
      <c r="L793" s="313"/>
      <c r="M793" s="313"/>
      <c r="N793" s="315"/>
      <c r="O793" s="313"/>
      <c r="P793" s="313"/>
      <c r="Q793" s="313"/>
      <c r="R793" s="313"/>
      <c r="S793" s="316"/>
      <c r="T793" s="317"/>
      <c r="U793" s="318"/>
      <c r="V793" s="319"/>
      <c r="W793" s="288"/>
      <c r="X793" s="220"/>
      <c r="Y793" s="220"/>
      <c r="Z793" s="220"/>
      <c r="AA793" s="220"/>
      <c r="AB793" s="220"/>
      <c r="AC793" s="220"/>
      <c r="AD793" s="220"/>
      <c r="AE793" s="220"/>
      <c r="AF793" s="220"/>
      <c r="AG793" s="220"/>
      <c r="AH793" s="308"/>
      <c r="AI793" s="220"/>
      <c r="AJ793" s="220"/>
      <c r="AK793" s="220"/>
      <c r="AL793" s="220"/>
      <c r="AM793" s="220"/>
      <c r="AN793" s="220"/>
      <c r="AO793" s="220"/>
      <c r="AP793" s="220"/>
      <c r="AQ793" s="220"/>
      <c r="AR793" s="220"/>
      <c r="AS793" s="220"/>
      <c r="AT793" s="220"/>
      <c r="AU793" s="220"/>
      <c r="AV793" s="220"/>
      <c r="AW793" s="220"/>
      <c r="AX793" s="220"/>
      <c r="AY793" s="220"/>
      <c r="AZ793" s="220"/>
      <c r="BA793" s="220"/>
    </row>
    <row r="794">
      <c r="A794" s="240"/>
      <c r="B794" s="311"/>
      <c r="C794" s="311"/>
      <c r="D794" s="312"/>
      <c r="E794" s="311"/>
      <c r="F794" s="311"/>
      <c r="G794" s="312"/>
      <c r="H794" s="312"/>
      <c r="I794" s="313"/>
      <c r="J794" s="314"/>
      <c r="K794" s="313"/>
      <c r="L794" s="313"/>
      <c r="M794" s="313"/>
      <c r="N794" s="315"/>
      <c r="O794" s="313"/>
      <c r="P794" s="313"/>
      <c r="Q794" s="313"/>
      <c r="R794" s="313"/>
      <c r="S794" s="316"/>
      <c r="T794" s="317"/>
      <c r="U794" s="318"/>
      <c r="V794" s="319"/>
      <c r="W794" s="288"/>
      <c r="X794" s="220"/>
      <c r="Y794" s="220"/>
      <c r="Z794" s="220"/>
      <c r="AA794" s="220"/>
      <c r="AB794" s="220"/>
      <c r="AC794" s="220"/>
      <c r="AD794" s="220"/>
      <c r="AE794" s="220"/>
      <c r="AF794" s="220"/>
      <c r="AG794" s="220"/>
      <c r="AH794" s="308"/>
      <c r="AI794" s="220"/>
      <c r="AJ794" s="220"/>
      <c r="AK794" s="220"/>
      <c r="AL794" s="220"/>
      <c r="AM794" s="220"/>
      <c r="AN794" s="220"/>
      <c r="AO794" s="220"/>
      <c r="AP794" s="220"/>
      <c r="AQ794" s="220"/>
      <c r="AR794" s="220"/>
      <c r="AS794" s="220"/>
      <c r="AT794" s="220"/>
      <c r="AU794" s="220"/>
      <c r="AV794" s="220"/>
      <c r="AW794" s="220"/>
      <c r="AX794" s="220"/>
      <c r="AY794" s="220"/>
      <c r="AZ794" s="220"/>
      <c r="BA794" s="220"/>
    </row>
    <row r="795">
      <c r="A795" s="240"/>
      <c r="B795" s="311"/>
      <c r="C795" s="311"/>
      <c r="D795" s="312"/>
      <c r="E795" s="311"/>
      <c r="F795" s="311"/>
      <c r="G795" s="312"/>
      <c r="H795" s="312"/>
      <c r="I795" s="313"/>
      <c r="J795" s="314"/>
      <c r="K795" s="313"/>
      <c r="L795" s="313"/>
      <c r="M795" s="313"/>
      <c r="N795" s="315"/>
      <c r="O795" s="313"/>
      <c r="P795" s="313"/>
      <c r="Q795" s="313"/>
      <c r="R795" s="313"/>
      <c r="S795" s="316"/>
      <c r="T795" s="317"/>
      <c r="U795" s="318"/>
      <c r="V795" s="319"/>
      <c r="W795" s="288"/>
      <c r="X795" s="220"/>
      <c r="Y795" s="220"/>
      <c r="Z795" s="220"/>
      <c r="AA795" s="220"/>
      <c r="AB795" s="220"/>
      <c r="AC795" s="220"/>
      <c r="AD795" s="220"/>
      <c r="AE795" s="220"/>
      <c r="AF795" s="220"/>
      <c r="AG795" s="220"/>
      <c r="AH795" s="308"/>
      <c r="AI795" s="220"/>
      <c r="AJ795" s="220"/>
      <c r="AK795" s="220"/>
      <c r="AL795" s="220"/>
      <c r="AM795" s="220"/>
      <c r="AN795" s="220"/>
      <c r="AO795" s="220"/>
      <c r="AP795" s="220"/>
      <c r="AQ795" s="220"/>
      <c r="AR795" s="220"/>
      <c r="AS795" s="220"/>
      <c r="AT795" s="220"/>
      <c r="AU795" s="220"/>
      <c r="AV795" s="220"/>
      <c r="AW795" s="220"/>
      <c r="AX795" s="220"/>
      <c r="AY795" s="220"/>
      <c r="AZ795" s="220"/>
      <c r="BA795" s="220"/>
    </row>
    <row r="796">
      <c r="A796" s="240"/>
      <c r="B796" s="311"/>
      <c r="C796" s="311"/>
      <c r="D796" s="312"/>
      <c r="E796" s="311"/>
      <c r="F796" s="311"/>
      <c r="G796" s="312"/>
      <c r="H796" s="312"/>
      <c r="I796" s="313"/>
      <c r="J796" s="314"/>
      <c r="K796" s="313"/>
      <c r="L796" s="313"/>
      <c r="M796" s="313"/>
      <c r="N796" s="315"/>
      <c r="O796" s="313"/>
      <c r="P796" s="313"/>
      <c r="Q796" s="313"/>
      <c r="R796" s="313"/>
      <c r="S796" s="316"/>
      <c r="T796" s="317"/>
      <c r="U796" s="318"/>
      <c r="V796" s="319"/>
      <c r="W796" s="288"/>
      <c r="X796" s="220"/>
      <c r="Y796" s="220"/>
      <c r="Z796" s="220"/>
      <c r="AA796" s="220"/>
      <c r="AB796" s="220"/>
      <c r="AC796" s="220"/>
      <c r="AD796" s="220"/>
      <c r="AE796" s="220"/>
      <c r="AF796" s="220"/>
      <c r="AG796" s="220"/>
      <c r="AH796" s="308"/>
      <c r="AI796" s="220"/>
      <c r="AJ796" s="220"/>
      <c r="AK796" s="220"/>
      <c r="AL796" s="220"/>
      <c r="AM796" s="220"/>
      <c r="AN796" s="220"/>
      <c r="AO796" s="220"/>
      <c r="AP796" s="220"/>
      <c r="AQ796" s="220"/>
      <c r="AR796" s="220"/>
      <c r="AS796" s="220"/>
      <c r="AT796" s="220"/>
      <c r="AU796" s="220"/>
      <c r="AV796" s="220"/>
      <c r="AW796" s="220"/>
      <c r="AX796" s="220"/>
      <c r="AY796" s="220"/>
      <c r="AZ796" s="220"/>
      <c r="BA796" s="220"/>
    </row>
    <row r="797">
      <c r="A797" s="240"/>
      <c r="B797" s="311"/>
      <c r="C797" s="311"/>
      <c r="D797" s="312"/>
      <c r="E797" s="311"/>
      <c r="F797" s="311"/>
      <c r="G797" s="312"/>
      <c r="H797" s="312"/>
      <c r="I797" s="313"/>
      <c r="J797" s="314"/>
      <c r="K797" s="313"/>
      <c r="L797" s="313"/>
      <c r="M797" s="313"/>
      <c r="N797" s="315"/>
      <c r="O797" s="313"/>
      <c r="P797" s="313"/>
      <c r="Q797" s="313"/>
      <c r="R797" s="313"/>
      <c r="S797" s="316"/>
      <c r="T797" s="317"/>
      <c r="U797" s="318"/>
      <c r="V797" s="319"/>
      <c r="W797" s="288"/>
      <c r="X797" s="220"/>
      <c r="Y797" s="220"/>
      <c r="Z797" s="220"/>
      <c r="AA797" s="220"/>
      <c r="AB797" s="220"/>
      <c r="AC797" s="220"/>
      <c r="AD797" s="220"/>
      <c r="AE797" s="220"/>
      <c r="AF797" s="220"/>
      <c r="AG797" s="220"/>
      <c r="AH797" s="308"/>
      <c r="AI797" s="220"/>
      <c r="AJ797" s="220"/>
      <c r="AK797" s="220"/>
      <c r="AL797" s="220"/>
      <c r="AM797" s="220"/>
      <c r="AN797" s="220"/>
      <c r="AO797" s="220"/>
      <c r="AP797" s="220"/>
      <c r="AQ797" s="220"/>
      <c r="AR797" s="220"/>
      <c r="AS797" s="220"/>
      <c r="AT797" s="220"/>
      <c r="AU797" s="220"/>
      <c r="AV797" s="220"/>
      <c r="AW797" s="220"/>
      <c r="AX797" s="220"/>
      <c r="AY797" s="220"/>
      <c r="AZ797" s="220"/>
      <c r="BA797" s="220"/>
    </row>
    <row r="798">
      <c r="A798" s="240"/>
      <c r="B798" s="311"/>
      <c r="C798" s="311"/>
      <c r="D798" s="312"/>
      <c r="E798" s="311"/>
      <c r="F798" s="311"/>
      <c r="G798" s="312"/>
      <c r="H798" s="312"/>
      <c r="I798" s="313"/>
      <c r="J798" s="314"/>
      <c r="K798" s="313"/>
      <c r="L798" s="313"/>
      <c r="M798" s="313"/>
      <c r="N798" s="315"/>
      <c r="O798" s="313"/>
      <c r="P798" s="313"/>
      <c r="Q798" s="313"/>
      <c r="R798" s="313"/>
      <c r="S798" s="316"/>
      <c r="T798" s="317"/>
      <c r="U798" s="318"/>
      <c r="V798" s="319"/>
      <c r="W798" s="288"/>
      <c r="X798" s="220"/>
      <c r="Y798" s="220"/>
      <c r="Z798" s="220"/>
      <c r="AA798" s="220"/>
      <c r="AB798" s="220"/>
      <c r="AC798" s="220"/>
      <c r="AD798" s="220"/>
      <c r="AE798" s="220"/>
      <c r="AF798" s="220"/>
      <c r="AG798" s="220"/>
      <c r="AH798" s="308"/>
      <c r="AI798" s="220"/>
      <c r="AJ798" s="220"/>
      <c r="AK798" s="220"/>
      <c r="AL798" s="220"/>
      <c r="AM798" s="220"/>
      <c r="AN798" s="220"/>
      <c r="AO798" s="220"/>
      <c r="AP798" s="220"/>
      <c r="AQ798" s="220"/>
      <c r="AR798" s="220"/>
      <c r="AS798" s="220"/>
      <c r="AT798" s="220"/>
      <c r="AU798" s="220"/>
      <c r="AV798" s="220"/>
      <c r="AW798" s="220"/>
      <c r="AX798" s="220"/>
      <c r="AY798" s="220"/>
      <c r="AZ798" s="220"/>
      <c r="BA798" s="220"/>
    </row>
    <row r="799">
      <c r="A799" s="240"/>
      <c r="B799" s="311"/>
      <c r="C799" s="311"/>
      <c r="D799" s="312"/>
      <c r="E799" s="311"/>
      <c r="F799" s="311"/>
      <c r="G799" s="312"/>
      <c r="H799" s="312"/>
      <c r="I799" s="313"/>
      <c r="J799" s="314"/>
      <c r="K799" s="313"/>
      <c r="L799" s="313"/>
      <c r="M799" s="313"/>
      <c r="N799" s="315"/>
      <c r="O799" s="313"/>
      <c r="P799" s="313"/>
      <c r="Q799" s="313"/>
      <c r="R799" s="313"/>
      <c r="S799" s="316"/>
      <c r="T799" s="317"/>
      <c r="U799" s="318"/>
      <c r="V799" s="319"/>
      <c r="W799" s="288"/>
      <c r="X799" s="220"/>
      <c r="Y799" s="220"/>
      <c r="Z799" s="220"/>
      <c r="AA799" s="220"/>
      <c r="AB799" s="220"/>
      <c r="AC799" s="220"/>
      <c r="AD799" s="220"/>
      <c r="AE799" s="220"/>
      <c r="AF799" s="220"/>
      <c r="AG799" s="220"/>
      <c r="AH799" s="308"/>
      <c r="AI799" s="220"/>
      <c r="AJ799" s="220"/>
      <c r="AK799" s="220"/>
      <c r="AL799" s="220"/>
      <c r="AM799" s="220"/>
      <c r="AN799" s="220"/>
      <c r="AO799" s="220"/>
      <c r="AP799" s="220"/>
      <c r="AQ799" s="220"/>
      <c r="AR799" s="220"/>
      <c r="AS799" s="220"/>
      <c r="AT799" s="220"/>
      <c r="AU799" s="220"/>
      <c r="AV799" s="220"/>
      <c r="AW799" s="220"/>
      <c r="AX799" s="220"/>
      <c r="AY799" s="220"/>
      <c r="AZ799" s="220"/>
      <c r="BA799" s="220"/>
    </row>
    <row r="800">
      <c r="A800" s="240"/>
      <c r="B800" s="311"/>
      <c r="C800" s="311"/>
      <c r="D800" s="312"/>
      <c r="E800" s="311"/>
      <c r="F800" s="311"/>
      <c r="G800" s="312"/>
      <c r="H800" s="312"/>
      <c r="I800" s="313"/>
      <c r="J800" s="314"/>
      <c r="K800" s="313"/>
      <c r="L800" s="313"/>
      <c r="M800" s="313"/>
      <c r="N800" s="315"/>
      <c r="O800" s="313"/>
      <c r="P800" s="313"/>
      <c r="Q800" s="313"/>
      <c r="R800" s="313"/>
      <c r="S800" s="316"/>
      <c r="T800" s="317"/>
      <c r="U800" s="318"/>
      <c r="V800" s="319"/>
      <c r="W800" s="288"/>
      <c r="X800" s="220"/>
      <c r="Y800" s="220"/>
      <c r="Z800" s="220"/>
      <c r="AA800" s="220"/>
      <c r="AB800" s="220"/>
      <c r="AC800" s="220"/>
      <c r="AD800" s="220"/>
      <c r="AE800" s="220"/>
      <c r="AF800" s="220"/>
      <c r="AG800" s="220"/>
      <c r="AH800" s="308"/>
      <c r="AI800" s="220"/>
      <c r="AJ800" s="220"/>
      <c r="AK800" s="220"/>
      <c r="AL800" s="220"/>
      <c r="AM800" s="220"/>
      <c r="AN800" s="220"/>
      <c r="AO800" s="220"/>
      <c r="AP800" s="220"/>
      <c r="AQ800" s="220"/>
      <c r="AR800" s="220"/>
      <c r="AS800" s="220"/>
      <c r="AT800" s="220"/>
      <c r="AU800" s="220"/>
      <c r="AV800" s="220"/>
      <c r="AW800" s="220"/>
      <c r="AX800" s="220"/>
      <c r="AY800" s="220"/>
      <c r="AZ800" s="220"/>
      <c r="BA800" s="220"/>
    </row>
    <row r="801">
      <c r="A801" s="240"/>
      <c r="B801" s="311"/>
      <c r="C801" s="311"/>
      <c r="D801" s="312"/>
      <c r="E801" s="311"/>
      <c r="F801" s="311"/>
      <c r="G801" s="312"/>
      <c r="H801" s="312"/>
      <c r="I801" s="313"/>
      <c r="J801" s="314"/>
      <c r="K801" s="313"/>
      <c r="L801" s="313"/>
      <c r="M801" s="313"/>
      <c r="N801" s="315"/>
      <c r="O801" s="313"/>
      <c r="P801" s="313"/>
      <c r="Q801" s="313"/>
      <c r="R801" s="313"/>
      <c r="S801" s="316"/>
      <c r="T801" s="317"/>
      <c r="U801" s="318"/>
      <c r="V801" s="319"/>
      <c r="W801" s="288"/>
      <c r="X801" s="220"/>
      <c r="Y801" s="220"/>
      <c r="Z801" s="220"/>
      <c r="AA801" s="220"/>
      <c r="AB801" s="220"/>
      <c r="AC801" s="220"/>
      <c r="AD801" s="220"/>
      <c r="AE801" s="220"/>
      <c r="AF801" s="220"/>
      <c r="AG801" s="220"/>
      <c r="AH801" s="308"/>
      <c r="AI801" s="220"/>
      <c r="AJ801" s="220"/>
      <c r="AK801" s="220"/>
      <c r="AL801" s="220"/>
      <c r="AM801" s="220"/>
      <c r="AN801" s="220"/>
      <c r="AO801" s="220"/>
      <c r="AP801" s="220"/>
      <c r="AQ801" s="220"/>
      <c r="AR801" s="220"/>
      <c r="AS801" s="220"/>
      <c r="AT801" s="220"/>
      <c r="AU801" s="220"/>
      <c r="AV801" s="220"/>
      <c r="AW801" s="220"/>
      <c r="AX801" s="220"/>
      <c r="AY801" s="220"/>
      <c r="AZ801" s="220"/>
      <c r="BA801" s="220"/>
    </row>
    <row r="802">
      <c r="A802" s="240"/>
      <c r="B802" s="311"/>
      <c r="C802" s="311"/>
      <c r="D802" s="312"/>
      <c r="E802" s="311"/>
      <c r="F802" s="311"/>
      <c r="G802" s="312"/>
      <c r="H802" s="312"/>
      <c r="I802" s="313"/>
      <c r="J802" s="314"/>
      <c r="K802" s="313"/>
      <c r="L802" s="313"/>
      <c r="M802" s="313"/>
      <c r="N802" s="315"/>
      <c r="O802" s="313"/>
      <c r="P802" s="313"/>
      <c r="Q802" s="313"/>
      <c r="R802" s="313"/>
      <c r="S802" s="316"/>
      <c r="T802" s="317"/>
      <c r="U802" s="318"/>
      <c r="V802" s="319"/>
      <c r="W802" s="288"/>
      <c r="X802" s="220"/>
      <c r="Y802" s="220"/>
      <c r="Z802" s="220"/>
      <c r="AA802" s="220"/>
      <c r="AB802" s="220"/>
      <c r="AC802" s="220"/>
      <c r="AD802" s="220"/>
      <c r="AE802" s="220"/>
      <c r="AF802" s="220"/>
      <c r="AG802" s="220"/>
      <c r="AH802" s="308"/>
      <c r="AI802" s="220"/>
      <c r="AJ802" s="220"/>
      <c r="AK802" s="220"/>
      <c r="AL802" s="220"/>
      <c r="AM802" s="220"/>
      <c r="AN802" s="220"/>
      <c r="AO802" s="220"/>
      <c r="AP802" s="220"/>
      <c r="AQ802" s="220"/>
      <c r="AR802" s="220"/>
      <c r="AS802" s="220"/>
      <c r="AT802" s="220"/>
      <c r="AU802" s="220"/>
      <c r="AV802" s="220"/>
      <c r="AW802" s="220"/>
      <c r="AX802" s="220"/>
      <c r="AY802" s="220"/>
      <c r="AZ802" s="220"/>
      <c r="BA802" s="220"/>
    </row>
    <row r="803">
      <c r="A803" s="240"/>
      <c r="B803" s="311"/>
      <c r="C803" s="311"/>
      <c r="D803" s="312"/>
      <c r="E803" s="311"/>
      <c r="F803" s="311"/>
      <c r="G803" s="312"/>
      <c r="H803" s="312"/>
      <c r="I803" s="313"/>
      <c r="J803" s="314"/>
      <c r="K803" s="313"/>
      <c r="L803" s="313"/>
      <c r="M803" s="313"/>
      <c r="N803" s="315"/>
      <c r="O803" s="313"/>
      <c r="P803" s="313"/>
      <c r="Q803" s="313"/>
      <c r="R803" s="313"/>
      <c r="S803" s="316"/>
      <c r="T803" s="317"/>
      <c r="U803" s="318"/>
      <c r="V803" s="319"/>
      <c r="W803" s="288"/>
      <c r="X803" s="220"/>
      <c r="Y803" s="220"/>
      <c r="Z803" s="220"/>
      <c r="AA803" s="220"/>
      <c r="AB803" s="220"/>
      <c r="AC803" s="220"/>
      <c r="AD803" s="220"/>
      <c r="AE803" s="220"/>
      <c r="AF803" s="220"/>
      <c r="AG803" s="220"/>
      <c r="AH803" s="308"/>
      <c r="AI803" s="220"/>
      <c r="AJ803" s="220"/>
      <c r="AK803" s="220"/>
      <c r="AL803" s="220"/>
      <c r="AM803" s="220"/>
      <c r="AN803" s="220"/>
      <c r="AO803" s="220"/>
      <c r="AP803" s="220"/>
      <c r="AQ803" s="220"/>
      <c r="AR803" s="220"/>
      <c r="AS803" s="220"/>
      <c r="AT803" s="220"/>
      <c r="AU803" s="220"/>
      <c r="AV803" s="220"/>
      <c r="AW803" s="220"/>
      <c r="AX803" s="220"/>
      <c r="AY803" s="220"/>
      <c r="AZ803" s="220"/>
      <c r="BA803" s="220"/>
    </row>
    <row r="804">
      <c r="A804" s="240"/>
      <c r="B804" s="311"/>
      <c r="C804" s="311"/>
      <c r="D804" s="312"/>
      <c r="E804" s="311"/>
      <c r="F804" s="311"/>
      <c r="G804" s="312"/>
      <c r="H804" s="312"/>
      <c r="I804" s="313"/>
      <c r="J804" s="314"/>
      <c r="K804" s="313"/>
      <c r="L804" s="313"/>
      <c r="M804" s="313"/>
      <c r="N804" s="315"/>
      <c r="O804" s="313"/>
      <c r="P804" s="313"/>
      <c r="Q804" s="313"/>
      <c r="R804" s="313"/>
      <c r="S804" s="316"/>
      <c r="T804" s="317"/>
      <c r="U804" s="318"/>
      <c r="V804" s="319"/>
      <c r="W804" s="288"/>
      <c r="X804" s="220"/>
      <c r="Y804" s="220"/>
      <c r="Z804" s="220"/>
      <c r="AA804" s="220"/>
      <c r="AB804" s="220"/>
      <c r="AC804" s="220"/>
      <c r="AD804" s="220"/>
      <c r="AE804" s="220"/>
      <c r="AF804" s="220"/>
      <c r="AG804" s="220"/>
      <c r="AH804" s="308"/>
      <c r="AI804" s="220"/>
      <c r="AJ804" s="220"/>
      <c r="AK804" s="220"/>
      <c r="AL804" s="220"/>
      <c r="AM804" s="220"/>
      <c r="AN804" s="220"/>
      <c r="AO804" s="220"/>
      <c r="AP804" s="220"/>
      <c r="AQ804" s="220"/>
      <c r="AR804" s="220"/>
      <c r="AS804" s="220"/>
      <c r="AT804" s="220"/>
      <c r="AU804" s="220"/>
      <c r="AV804" s="220"/>
      <c r="AW804" s="220"/>
      <c r="AX804" s="220"/>
      <c r="AY804" s="220"/>
      <c r="AZ804" s="220"/>
      <c r="BA804" s="220"/>
    </row>
    <row r="805">
      <c r="A805" s="240"/>
      <c r="B805" s="311"/>
      <c r="C805" s="311"/>
      <c r="D805" s="312"/>
      <c r="E805" s="311"/>
      <c r="F805" s="311"/>
      <c r="G805" s="312"/>
      <c r="H805" s="312"/>
      <c r="I805" s="313"/>
      <c r="J805" s="314"/>
      <c r="K805" s="313"/>
      <c r="L805" s="313"/>
      <c r="M805" s="313"/>
      <c r="N805" s="315"/>
      <c r="O805" s="313"/>
      <c r="P805" s="313"/>
      <c r="Q805" s="313"/>
      <c r="R805" s="313"/>
      <c r="S805" s="316"/>
      <c r="T805" s="317"/>
      <c r="U805" s="318"/>
      <c r="V805" s="319"/>
      <c r="W805" s="288"/>
      <c r="X805" s="220"/>
      <c r="Y805" s="220"/>
      <c r="Z805" s="220"/>
      <c r="AA805" s="220"/>
      <c r="AB805" s="220"/>
      <c r="AC805" s="220"/>
      <c r="AD805" s="220"/>
      <c r="AE805" s="220"/>
      <c r="AF805" s="220"/>
      <c r="AG805" s="220"/>
      <c r="AH805" s="308"/>
      <c r="AI805" s="220"/>
      <c r="AJ805" s="220"/>
      <c r="AK805" s="220"/>
      <c r="AL805" s="220"/>
      <c r="AM805" s="220"/>
      <c r="AN805" s="220"/>
      <c r="AO805" s="220"/>
      <c r="AP805" s="220"/>
      <c r="AQ805" s="220"/>
      <c r="AR805" s="220"/>
      <c r="AS805" s="220"/>
      <c r="AT805" s="220"/>
      <c r="AU805" s="220"/>
      <c r="AV805" s="220"/>
      <c r="AW805" s="220"/>
      <c r="AX805" s="220"/>
      <c r="AY805" s="220"/>
      <c r="AZ805" s="220"/>
      <c r="BA805" s="220"/>
    </row>
    <row r="806">
      <c r="A806" s="240"/>
      <c r="B806" s="311"/>
      <c r="C806" s="311"/>
      <c r="D806" s="312"/>
      <c r="E806" s="311"/>
      <c r="F806" s="311"/>
      <c r="G806" s="312"/>
      <c r="H806" s="312"/>
      <c r="I806" s="313"/>
      <c r="J806" s="314"/>
      <c r="K806" s="313"/>
      <c r="L806" s="313"/>
      <c r="M806" s="313"/>
      <c r="N806" s="315"/>
      <c r="O806" s="313"/>
      <c r="P806" s="313"/>
      <c r="Q806" s="313"/>
      <c r="R806" s="313"/>
      <c r="S806" s="316"/>
      <c r="T806" s="317"/>
      <c r="U806" s="318"/>
      <c r="V806" s="319"/>
      <c r="W806" s="288"/>
      <c r="X806" s="220"/>
      <c r="Y806" s="220"/>
      <c r="Z806" s="220"/>
      <c r="AA806" s="220"/>
      <c r="AB806" s="220"/>
      <c r="AC806" s="220"/>
      <c r="AD806" s="220"/>
      <c r="AE806" s="220"/>
      <c r="AF806" s="220"/>
      <c r="AG806" s="220"/>
      <c r="AH806" s="308"/>
      <c r="AI806" s="220"/>
      <c r="AJ806" s="220"/>
      <c r="AK806" s="220"/>
      <c r="AL806" s="220"/>
      <c r="AM806" s="220"/>
      <c r="AN806" s="220"/>
      <c r="AO806" s="220"/>
      <c r="AP806" s="220"/>
      <c r="AQ806" s="220"/>
      <c r="AR806" s="220"/>
      <c r="AS806" s="220"/>
      <c r="AT806" s="220"/>
      <c r="AU806" s="220"/>
      <c r="AV806" s="220"/>
      <c r="AW806" s="220"/>
      <c r="AX806" s="220"/>
      <c r="AY806" s="220"/>
      <c r="AZ806" s="220"/>
      <c r="BA806" s="220"/>
    </row>
    <row r="807">
      <c r="A807" s="240"/>
      <c r="B807" s="311"/>
      <c r="C807" s="311"/>
      <c r="D807" s="312"/>
      <c r="E807" s="311"/>
      <c r="F807" s="311"/>
      <c r="G807" s="312"/>
      <c r="H807" s="312"/>
      <c r="I807" s="313"/>
      <c r="J807" s="314"/>
      <c r="K807" s="313"/>
      <c r="L807" s="313"/>
      <c r="M807" s="313"/>
      <c r="N807" s="315"/>
      <c r="O807" s="313"/>
      <c r="P807" s="313"/>
      <c r="Q807" s="313"/>
      <c r="R807" s="313"/>
      <c r="S807" s="316"/>
      <c r="T807" s="317"/>
      <c r="U807" s="318"/>
      <c r="V807" s="319"/>
      <c r="W807" s="288"/>
      <c r="X807" s="220"/>
      <c r="Y807" s="220"/>
      <c r="Z807" s="220"/>
      <c r="AA807" s="220"/>
      <c r="AB807" s="220"/>
      <c r="AC807" s="220"/>
      <c r="AD807" s="220"/>
      <c r="AE807" s="220"/>
      <c r="AF807" s="220"/>
      <c r="AG807" s="220"/>
      <c r="AH807" s="308"/>
      <c r="AI807" s="220"/>
      <c r="AJ807" s="220"/>
      <c r="AK807" s="220"/>
      <c r="AL807" s="220"/>
      <c r="AM807" s="220"/>
      <c r="AN807" s="220"/>
      <c r="AO807" s="220"/>
      <c r="AP807" s="220"/>
      <c r="AQ807" s="220"/>
      <c r="AR807" s="220"/>
      <c r="AS807" s="220"/>
      <c r="AT807" s="220"/>
      <c r="AU807" s="220"/>
      <c r="AV807" s="220"/>
      <c r="AW807" s="220"/>
      <c r="AX807" s="220"/>
      <c r="AY807" s="220"/>
      <c r="AZ807" s="220"/>
      <c r="BA807" s="220"/>
    </row>
    <row r="808">
      <c r="A808" s="240"/>
      <c r="B808" s="311"/>
      <c r="C808" s="311"/>
      <c r="D808" s="312"/>
      <c r="E808" s="311"/>
      <c r="F808" s="311"/>
      <c r="G808" s="312"/>
      <c r="H808" s="312"/>
      <c r="I808" s="313"/>
      <c r="J808" s="314"/>
      <c r="K808" s="313"/>
      <c r="L808" s="313"/>
      <c r="M808" s="313"/>
      <c r="N808" s="315"/>
      <c r="O808" s="313"/>
      <c r="P808" s="313"/>
      <c r="Q808" s="313"/>
      <c r="R808" s="313"/>
      <c r="S808" s="316"/>
      <c r="T808" s="317"/>
      <c r="U808" s="318"/>
      <c r="V808" s="319"/>
      <c r="W808" s="288"/>
      <c r="X808" s="220"/>
      <c r="Y808" s="220"/>
      <c r="Z808" s="220"/>
      <c r="AA808" s="220"/>
      <c r="AB808" s="220"/>
      <c r="AC808" s="220"/>
      <c r="AD808" s="220"/>
      <c r="AE808" s="220"/>
      <c r="AF808" s="220"/>
      <c r="AG808" s="220"/>
      <c r="AH808" s="308"/>
      <c r="AI808" s="220"/>
      <c r="AJ808" s="220"/>
      <c r="AK808" s="220"/>
      <c r="AL808" s="220"/>
      <c r="AM808" s="220"/>
      <c r="AN808" s="220"/>
      <c r="AO808" s="220"/>
      <c r="AP808" s="220"/>
      <c r="AQ808" s="220"/>
      <c r="AR808" s="220"/>
      <c r="AS808" s="220"/>
      <c r="AT808" s="220"/>
      <c r="AU808" s="220"/>
      <c r="AV808" s="220"/>
      <c r="AW808" s="220"/>
      <c r="AX808" s="220"/>
      <c r="AY808" s="220"/>
      <c r="AZ808" s="220"/>
      <c r="BA808" s="220"/>
    </row>
    <row r="809">
      <c r="A809" s="240"/>
      <c r="B809" s="311"/>
      <c r="C809" s="311"/>
      <c r="D809" s="312"/>
      <c r="E809" s="311"/>
      <c r="F809" s="311"/>
      <c r="G809" s="312"/>
      <c r="H809" s="312"/>
      <c r="I809" s="313"/>
      <c r="J809" s="314"/>
      <c r="K809" s="313"/>
      <c r="L809" s="313"/>
      <c r="M809" s="313"/>
      <c r="N809" s="315"/>
      <c r="O809" s="313"/>
      <c r="P809" s="313"/>
      <c r="Q809" s="313"/>
      <c r="R809" s="313"/>
      <c r="S809" s="316"/>
      <c r="T809" s="317"/>
      <c r="U809" s="318"/>
      <c r="V809" s="319"/>
      <c r="W809" s="288"/>
      <c r="X809" s="220"/>
      <c r="Y809" s="220"/>
      <c r="Z809" s="220"/>
      <c r="AA809" s="220"/>
      <c r="AB809" s="220"/>
      <c r="AC809" s="220"/>
      <c r="AD809" s="220"/>
      <c r="AE809" s="220"/>
      <c r="AF809" s="220"/>
      <c r="AG809" s="220"/>
      <c r="AH809" s="308"/>
      <c r="AI809" s="220"/>
      <c r="AJ809" s="220"/>
      <c r="AK809" s="220"/>
      <c r="AL809" s="220"/>
      <c r="AM809" s="220"/>
      <c r="AN809" s="220"/>
      <c r="AO809" s="220"/>
      <c r="AP809" s="220"/>
      <c r="AQ809" s="220"/>
      <c r="AR809" s="220"/>
      <c r="AS809" s="220"/>
      <c r="AT809" s="220"/>
      <c r="AU809" s="220"/>
      <c r="AV809" s="220"/>
      <c r="AW809" s="220"/>
      <c r="AX809" s="220"/>
      <c r="AY809" s="220"/>
      <c r="AZ809" s="220"/>
      <c r="BA809" s="220"/>
    </row>
    <row r="810">
      <c r="A810" s="240"/>
      <c r="B810" s="311"/>
      <c r="C810" s="311"/>
      <c r="D810" s="312"/>
      <c r="E810" s="311"/>
      <c r="F810" s="311"/>
      <c r="G810" s="312"/>
      <c r="H810" s="312"/>
      <c r="I810" s="313"/>
      <c r="J810" s="314"/>
      <c r="K810" s="313"/>
      <c r="L810" s="313"/>
      <c r="M810" s="313"/>
      <c r="N810" s="315"/>
      <c r="O810" s="313"/>
      <c r="P810" s="313"/>
      <c r="Q810" s="313"/>
      <c r="R810" s="313"/>
      <c r="S810" s="316"/>
      <c r="T810" s="317"/>
      <c r="U810" s="318"/>
      <c r="V810" s="319"/>
      <c r="W810" s="288"/>
      <c r="X810" s="220"/>
      <c r="Y810" s="220"/>
      <c r="Z810" s="220"/>
      <c r="AA810" s="220"/>
      <c r="AB810" s="220"/>
      <c r="AC810" s="220"/>
      <c r="AD810" s="220"/>
      <c r="AE810" s="220"/>
      <c r="AF810" s="220"/>
      <c r="AG810" s="220"/>
      <c r="AH810" s="308"/>
      <c r="AI810" s="220"/>
      <c r="AJ810" s="220"/>
      <c r="AK810" s="220"/>
      <c r="AL810" s="220"/>
      <c r="AM810" s="220"/>
      <c r="AN810" s="220"/>
      <c r="AO810" s="220"/>
      <c r="AP810" s="220"/>
      <c r="AQ810" s="220"/>
      <c r="AR810" s="220"/>
      <c r="AS810" s="220"/>
      <c r="AT810" s="220"/>
      <c r="AU810" s="220"/>
      <c r="AV810" s="220"/>
      <c r="AW810" s="220"/>
      <c r="AX810" s="220"/>
      <c r="AY810" s="220"/>
      <c r="AZ810" s="220"/>
      <c r="BA810" s="220"/>
    </row>
    <row r="811">
      <c r="A811" s="240"/>
      <c r="B811" s="311"/>
      <c r="C811" s="311"/>
      <c r="D811" s="312"/>
      <c r="E811" s="311"/>
      <c r="F811" s="311"/>
      <c r="G811" s="312"/>
      <c r="H811" s="312"/>
      <c r="I811" s="313"/>
      <c r="J811" s="314"/>
      <c r="K811" s="313"/>
      <c r="L811" s="313"/>
      <c r="M811" s="313"/>
      <c r="N811" s="315"/>
      <c r="O811" s="313"/>
      <c r="P811" s="313"/>
      <c r="Q811" s="313"/>
      <c r="R811" s="313"/>
      <c r="S811" s="316"/>
      <c r="T811" s="317"/>
      <c r="U811" s="318"/>
      <c r="V811" s="319"/>
      <c r="W811" s="288"/>
      <c r="X811" s="220"/>
      <c r="Y811" s="220"/>
      <c r="Z811" s="220"/>
      <c r="AA811" s="220"/>
      <c r="AB811" s="220"/>
      <c r="AC811" s="220"/>
      <c r="AD811" s="220"/>
      <c r="AE811" s="220"/>
      <c r="AF811" s="220"/>
      <c r="AG811" s="220"/>
      <c r="AH811" s="308"/>
      <c r="AI811" s="220"/>
      <c r="AJ811" s="220"/>
      <c r="AK811" s="220"/>
      <c r="AL811" s="220"/>
      <c r="AM811" s="220"/>
      <c r="AN811" s="220"/>
      <c r="AO811" s="220"/>
      <c r="AP811" s="220"/>
      <c r="AQ811" s="220"/>
      <c r="AR811" s="220"/>
      <c r="AS811" s="220"/>
      <c r="AT811" s="220"/>
      <c r="AU811" s="220"/>
      <c r="AV811" s="220"/>
      <c r="AW811" s="220"/>
      <c r="AX811" s="220"/>
      <c r="AY811" s="220"/>
      <c r="AZ811" s="220"/>
      <c r="BA811" s="220"/>
    </row>
    <row r="812">
      <c r="A812" s="240"/>
      <c r="B812" s="311"/>
      <c r="C812" s="311"/>
      <c r="D812" s="312"/>
      <c r="E812" s="311"/>
      <c r="F812" s="311"/>
      <c r="G812" s="312"/>
      <c r="H812" s="312"/>
      <c r="I812" s="313"/>
      <c r="J812" s="314"/>
      <c r="K812" s="313"/>
      <c r="L812" s="313"/>
      <c r="M812" s="313"/>
      <c r="N812" s="315"/>
      <c r="O812" s="313"/>
      <c r="P812" s="313"/>
      <c r="Q812" s="313"/>
      <c r="R812" s="313"/>
      <c r="S812" s="316"/>
      <c r="T812" s="317"/>
      <c r="U812" s="318"/>
      <c r="V812" s="319"/>
      <c r="W812" s="288"/>
      <c r="X812" s="220"/>
      <c r="Y812" s="220"/>
      <c r="Z812" s="220"/>
      <c r="AA812" s="220"/>
      <c r="AB812" s="220"/>
      <c r="AC812" s="220"/>
      <c r="AD812" s="220"/>
      <c r="AE812" s="220"/>
      <c r="AF812" s="220"/>
      <c r="AG812" s="220"/>
      <c r="AH812" s="308"/>
      <c r="AI812" s="220"/>
      <c r="AJ812" s="220"/>
      <c r="AK812" s="220"/>
      <c r="AL812" s="220"/>
      <c r="AM812" s="220"/>
      <c r="AN812" s="220"/>
      <c r="AO812" s="220"/>
      <c r="AP812" s="220"/>
      <c r="AQ812" s="220"/>
      <c r="AR812" s="220"/>
      <c r="AS812" s="220"/>
      <c r="AT812" s="220"/>
      <c r="AU812" s="220"/>
      <c r="AV812" s="220"/>
      <c r="AW812" s="220"/>
      <c r="AX812" s="220"/>
      <c r="AY812" s="220"/>
      <c r="AZ812" s="220"/>
      <c r="BA812" s="220"/>
    </row>
    <row r="813">
      <c r="A813" s="240"/>
      <c r="B813" s="311"/>
      <c r="C813" s="311"/>
      <c r="D813" s="312"/>
      <c r="E813" s="311"/>
      <c r="F813" s="311"/>
      <c r="G813" s="312"/>
      <c r="H813" s="312"/>
      <c r="I813" s="313"/>
      <c r="J813" s="314"/>
      <c r="K813" s="313"/>
      <c r="L813" s="313"/>
      <c r="M813" s="313"/>
      <c r="N813" s="315"/>
      <c r="O813" s="313"/>
      <c r="P813" s="313"/>
      <c r="Q813" s="313"/>
      <c r="R813" s="313"/>
      <c r="S813" s="316"/>
      <c r="T813" s="317"/>
      <c r="U813" s="318"/>
      <c r="V813" s="319"/>
      <c r="W813" s="288"/>
      <c r="X813" s="220"/>
      <c r="Y813" s="220"/>
      <c r="Z813" s="220"/>
      <c r="AA813" s="220"/>
      <c r="AB813" s="220"/>
      <c r="AC813" s="220"/>
      <c r="AD813" s="220"/>
      <c r="AE813" s="220"/>
      <c r="AF813" s="220"/>
      <c r="AG813" s="220"/>
      <c r="AH813" s="308"/>
      <c r="AI813" s="220"/>
      <c r="AJ813" s="220"/>
      <c r="AK813" s="220"/>
      <c r="AL813" s="220"/>
      <c r="AM813" s="220"/>
      <c r="AN813" s="220"/>
      <c r="AO813" s="220"/>
      <c r="AP813" s="220"/>
      <c r="AQ813" s="220"/>
      <c r="AR813" s="220"/>
      <c r="AS813" s="220"/>
      <c r="AT813" s="220"/>
      <c r="AU813" s="220"/>
      <c r="AV813" s="220"/>
      <c r="AW813" s="220"/>
      <c r="AX813" s="220"/>
      <c r="AY813" s="220"/>
      <c r="AZ813" s="220"/>
      <c r="BA813" s="220"/>
    </row>
    <row r="814">
      <c r="A814" s="240"/>
      <c r="B814" s="311"/>
      <c r="C814" s="311"/>
      <c r="D814" s="312"/>
      <c r="E814" s="311"/>
      <c r="F814" s="311"/>
      <c r="G814" s="312"/>
      <c r="H814" s="312"/>
      <c r="I814" s="313"/>
      <c r="J814" s="314"/>
      <c r="K814" s="313"/>
      <c r="L814" s="313"/>
      <c r="M814" s="313"/>
      <c r="N814" s="315"/>
      <c r="O814" s="313"/>
      <c r="P814" s="313"/>
      <c r="Q814" s="313"/>
      <c r="R814" s="313"/>
      <c r="S814" s="316"/>
      <c r="T814" s="317"/>
      <c r="U814" s="318"/>
      <c r="V814" s="319"/>
      <c r="W814" s="288"/>
      <c r="X814" s="220"/>
      <c r="Y814" s="220"/>
      <c r="Z814" s="220"/>
      <c r="AA814" s="220"/>
      <c r="AB814" s="220"/>
      <c r="AC814" s="220"/>
      <c r="AD814" s="220"/>
      <c r="AE814" s="220"/>
      <c r="AF814" s="220"/>
      <c r="AG814" s="220"/>
      <c r="AH814" s="308"/>
      <c r="AI814" s="220"/>
      <c r="AJ814" s="220"/>
      <c r="AK814" s="220"/>
      <c r="AL814" s="220"/>
      <c r="AM814" s="220"/>
      <c r="AN814" s="220"/>
      <c r="AO814" s="220"/>
      <c r="AP814" s="220"/>
      <c r="AQ814" s="220"/>
      <c r="AR814" s="220"/>
      <c r="AS814" s="220"/>
      <c r="AT814" s="220"/>
      <c r="AU814" s="220"/>
      <c r="AV814" s="220"/>
      <c r="AW814" s="220"/>
      <c r="AX814" s="220"/>
      <c r="AY814" s="220"/>
      <c r="AZ814" s="220"/>
      <c r="BA814" s="220"/>
    </row>
    <row r="815">
      <c r="A815" s="240"/>
      <c r="B815" s="311"/>
      <c r="C815" s="311"/>
      <c r="D815" s="312"/>
      <c r="E815" s="311"/>
      <c r="F815" s="311"/>
      <c r="G815" s="312"/>
      <c r="H815" s="312"/>
      <c r="I815" s="313"/>
      <c r="J815" s="314"/>
      <c r="K815" s="313"/>
      <c r="L815" s="313"/>
      <c r="M815" s="313"/>
      <c r="N815" s="315"/>
      <c r="O815" s="313"/>
      <c r="P815" s="313"/>
      <c r="Q815" s="313"/>
      <c r="R815" s="313"/>
      <c r="S815" s="316"/>
      <c r="T815" s="317"/>
      <c r="U815" s="318"/>
      <c r="V815" s="319"/>
      <c r="W815" s="288"/>
      <c r="X815" s="220"/>
      <c r="Y815" s="220"/>
      <c r="Z815" s="220"/>
      <c r="AA815" s="220"/>
      <c r="AB815" s="220"/>
      <c r="AC815" s="220"/>
      <c r="AD815" s="220"/>
      <c r="AE815" s="220"/>
      <c r="AF815" s="220"/>
      <c r="AG815" s="220"/>
      <c r="AH815" s="308"/>
      <c r="AI815" s="220"/>
      <c r="AJ815" s="220"/>
      <c r="AK815" s="220"/>
      <c r="AL815" s="220"/>
      <c r="AM815" s="220"/>
      <c r="AN815" s="220"/>
      <c r="AO815" s="220"/>
      <c r="AP815" s="220"/>
      <c r="AQ815" s="220"/>
      <c r="AR815" s="220"/>
      <c r="AS815" s="220"/>
      <c r="AT815" s="220"/>
      <c r="AU815" s="220"/>
      <c r="AV815" s="220"/>
      <c r="AW815" s="220"/>
      <c r="AX815" s="220"/>
      <c r="AY815" s="220"/>
      <c r="AZ815" s="220"/>
      <c r="BA815" s="220"/>
    </row>
    <row r="816">
      <c r="A816" s="240"/>
      <c r="B816" s="311"/>
      <c r="C816" s="311"/>
      <c r="D816" s="312"/>
      <c r="E816" s="311"/>
      <c r="F816" s="311"/>
      <c r="G816" s="312"/>
      <c r="H816" s="312"/>
      <c r="I816" s="313"/>
      <c r="J816" s="314"/>
      <c r="K816" s="313"/>
      <c r="L816" s="313"/>
      <c r="M816" s="313"/>
      <c r="N816" s="315"/>
      <c r="O816" s="313"/>
      <c r="P816" s="313"/>
      <c r="Q816" s="313"/>
      <c r="R816" s="313"/>
      <c r="S816" s="316"/>
      <c r="T816" s="317"/>
      <c r="U816" s="318"/>
      <c r="V816" s="319"/>
      <c r="W816" s="288"/>
      <c r="X816" s="220"/>
      <c r="Y816" s="220"/>
      <c r="Z816" s="220"/>
      <c r="AA816" s="220"/>
      <c r="AB816" s="220"/>
      <c r="AC816" s="220"/>
      <c r="AD816" s="220"/>
      <c r="AE816" s="220"/>
      <c r="AF816" s="220"/>
      <c r="AG816" s="220"/>
      <c r="AH816" s="308"/>
      <c r="AI816" s="220"/>
      <c r="AJ816" s="220"/>
      <c r="AK816" s="220"/>
      <c r="AL816" s="220"/>
      <c r="AM816" s="220"/>
      <c r="AN816" s="220"/>
      <c r="AO816" s="220"/>
      <c r="AP816" s="220"/>
      <c r="AQ816" s="220"/>
      <c r="AR816" s="220"/>
      <c r="AS816" s="220"/>
      <c r="AT816" s="220"/>
      <c r="AU816" s="220"/>
      <c r="AV816" s="220"/>
      <c r="AW816" s="220"/>
      <c r="AX816" s="220"/>
      <c r="AY816" s="220"/>
      <c r="AZ816" s="220"/>
      <c r="BA816" s="220"/>
    </row>
    <row r="817">
      <c r="A817" s="240"/>
      <c r="B817" s="311"/>
      <c r="C817" s="311"/>
      <c r="D817" s="312"/>
      <c r="E817" s="311"/>
      <c r="F817" s="311"/>
      <c r="G817" s="312"/>
      <c r="H817" s="312"/>
      <c r="I817" s="313"/>
      <c r="J817" s="314"/>
      <c r="K817" s="313"/>
      <c r="L817" s="313"/>
      <c r="M817" s="313"/>
      <c r="N817" s="315"/>
      <c r="O817" s="313"/>
      <c r="P817" s="313"/>
      <c r="Q817" s="313"/>
      <c r="R817" s="313"/>
      <c r="S817" s="316"/>
      <c r="T817" s="317"/>
      <c r="U817" s="318"/>
      <c r="V817" s="319"/>
      <c r="W817" s="288"/>
      <c r="X817" s="220"/>
      <c r="Y817" s="220"/>
      <c r="Z817" s="220"/>
      <c r="AA817" s="220"/>
      <c r="AB817" s="220"/>
      <c r="AC817" s="220"/>
      <c r="AD817" s="220"/>
      <c r="AE817" s="220"/>
      <c r="AF817" s="220"/>
      <c r="AG817" s="220"/>
      <c r="AH817" s="308"/>
      <c r="AI817" s="220"/>
      <c r="AJ817" s="220"/>
      <c r="AK817" s="220"/>
      <c r="AL817" s="220"/>
      <c r="AM817" s="220"/>
      <c r="AN817" s="220"/>
      <c r="AO817" s="220"/>
      <c r="AP817" s="220"/>
      <c r="AQ817" s="220"/>
      <c r="AR817" s="220"/>
      <c r="AS817" s="220"/>
      <c r="AT817" s="220"/>
      <c r="AU817" s="220"/>
      <c r="AV817" s="220"/>
      <c r="AW817" s="220"/>
      <c r="AX817" s="220"/>
      <c r="AY817" s="220"/>
      <c r="AZ817" s="220"/>
      <c r="BA817" s="220"/>
    </row>
    <row r="818">
      <c r="A818" s="240"/>
      <c r="B818" s="311"/>
      <c r="C818" s="311"/>
      <c r="D818" s="312"/>
      <c r="E818" s="311"/>
      <c r="F818" s="311"/>
      <c r="G818" s="312"/>
      <c r="H818" s="312"/>
      <c r="I818" s="313"/>
      <c r="J818" s="314"/>
      <c r="K818" s="313"/>
      <c r="L818" s="313"/>
      <c r="M818" s="313"/>
      <c r="N818" s="315"/>
      <c r="O818" s="313"/>
      <c r="P818" s="313"/>
      <c r="Q818" s="313"/>
      <c r="R818" s="313"/>
      <c r="S818" s="316"/>
      <c r="T818" s="317"/>
      <c r="U818" s="318"/>
      <c r="V818" s="319"/>
      <c r="W818" s="288"/>
      <c r="X818" s="220"/>
      <c r="Y818" s="220"/>
      <c r="Z818" s="220"/>
      <c r="AA818" s="220"/>
      <c r="AB818" s="220"/>
      <c r="AC818" s="220"/>
      <c r="AD818" s="220"/>
      <c r="AE818" s="220"/>
      <c r="AF818" s="220"/>
      <c r="AG818" s="220"/>
      <c r="AH818" s="308"/>
      <c r="AI818" s="220"/>
      <c r="AJ818" s="220"/>
      <c r="AK818" s="220"/>
      <c r="AL818" s="220"/>
      <c r="AM818" s="220"/>
      <c r="AN818" s="220"/>
      <c r="AO818" s="220"/>
      <c r="AP818" s="220"/>
      <c r="AQ818" s="220"/>
      <c r="AR818" s="220"/>
      <c r="AS818" s="220"/>
      <c r="AT818" s="220"/>
      <c r="AU818" s="220"/>
      <c r="AV818" s="220"/>
      <c r="AW818" s="220"/>
      <c r="AX818" s="220"/>
      <c r="AY818" s="220"/>
      <c r="AZ818" s="220"/>
      <c r="BA818" s="220"/>
    </row>
    <row r="819">
      <c r="A819" s="240"/>
      <c r="B819" s="311"/>
      <c r="C819" s="311"/>
      <c r="D819" s="312"/>
      <c r="E819" s="311"/>
      <c r="F819" s="311"/>
      <c r="G819" s="312"/>
      <c r="H819" s="312"/>
      <c r="I819" s="313"/>
      <c r="J819" s="314"/>
      <c r="K819" s="313"/>
      <c r="L819" s="313"/>
      <c r="M819" s="313"/>
      <c r="N819" s="315"/>
      <c r="O819" s="313"/>
      <c r="P819" s="313"/>
      <c r="Q819" s="313"/>
      <c r="R819" s="313"/>
      <c r="S819" s="316"/>
      <c r="T819" s="317"/>
      <c r="U819" s="318"/>
      <c r="V819" s="319"/>
      <c r="W819" s="288"/>
      <c r="X819" s="220"/>
      <c r="Y819" s="220"/>
      <c r="Z819" s="220"/>
      <c r="AA819" s="220"/>
      <c r="AB819" s="220"/>
      <c r="AC819" s="220"/>
      <c r="AD819" s="220"/>
      <c r="AE819" s="220"/>
      <c r="AF819" s="220"/>
      <c r="AG819" s="220"/>
      <c r="AH819" s="308"/>
      <c r="AI819" s="220"/>
      <c r="AJ819" s="220"/>
      <c r="AK819" s="220"/>
      <c r="AL819" s="220"/>
      <c r="AM819" s="220"/>
      <c r="AN819" s="220"/>
      <c r="AO819" s="220"/>
      <c r="AP819" s="220"/>
      <c r="AQ819" s="220"/>
      <c r="AR819" s="220"/>
      <c r="AS819" s="220"/>
      <c r="AT819" s="220"/>
      <c r="AU819" s="220"/>
      <c r="AV819" s="220"/>
      <c r="AW819" s="220"/>
      <c r="AX819" s="220"/>
      <c r="AY819" s="220"/>
      <c r="AZ819" s="220"/>
      <c r="BA819" s="220"/>
    </row>
    <row r="820">
      <c r="A820" s="240"/>
      <c r="B820" s="311"/>
      <c r="C820" s="311"/>
      <c r="D820" s="312"/>
      <c r="E820" s="311"/>
      <c r="F820" s="311"/>
      <c r="G820" s="312"/>
      <c r="H820" s="312"/>
      <c r="I820" s="313"/>
      <c r="J820" s="314"/>
      <c r="K820" s="313"/>
      <c r="L820" s="313"/>
      <c r="M820" s="313"/>
      <c r="N820" s="315"/>
      <c r="O820" s="313"/>
      <c r="P820" s="313"/>
      <c r="Q820" s="313"/>
      <c r="R820" s="313"/>
      <c r="S820" s="316"/>
      <c r="T820" s="317"/>
      <c r="U820" s="318"/>
      <c r="V820" s="319"/>
      <c r="W820" s="288"/>
      <c r="X820" s="220"/>
      <c r="Y820" s="220"/>
      <c r="Z820" s="220"/>
      <c r="AA820" s="220"/>
      <c r="AB820" s="220"/>
      <c r="AC820" s="220"/>
      <c r="AD820" s="220"/>
      <c r="AE820" s="220"/>
      <c r="AF820" s="220"/>
      <c r="AG820" s="220"/>
      <c r="AH820" s="308"/>
      <c r="AI820" s="220"/>
      <c r="AJ820" s="220"/>
      <c r="AK820" s="220"/>
      <c r="AL820" s="220"/>
      <c r="AM820" s="220"/>
      <c r="AN820" s="220"/>
      <c r="AO820" s="220"/>
      <c r="AP820" s="220"/>
      <c r="AQ820" s="220"/>
      <c r="AR820" s="220"/>
      <c r="AS820" s="220"/>
      <c r="AT820" s="220"/>
      <c r="AU820" s="220"/>
      <c r="AV820" s="220"/>
      <c r="AW820" s="220"/>
      <c r="AX820" s="220"/>
      <c r="AY820" s="220"/>
      <c r="AZ820" s="220"/>
      <c r="BA820" s="220"/>
    </row>
    <row r="821">
      <c r="A821" s="240"/>
      <c r="B821" s="311"/>
      <c r="C821" s="311"/>
      <c r="D821" s="312"/>
      <c r="E821" s="311"/>
      <c r="F821" s="311"/>
      <c r="G821" s="312"/>
      <c r="H821" s="312"/>
      <c r="I821" s="313"/>
      <c r="J821" s="314"/>
      <c r="K821" s="313"/>
      <c r="L821" s="313"/>
      <c r="M821" s="313"/>
      <c r="N821" s="315"/>
      <c r="O821" s="313"/>
      <c r="P821" s="313"/>
      <c r="Q821" s="313"/>
      <c r="R821" s="313"/>
      <c r="S821" s="316"/>
      <c r="T821" s="317"/>
      <c r="U821" s="318"/>
      <c r="V821" s="319"/>
      <c r="W821" s="288"/>
      <c r="X821" s="220"/>
      <c r="Y821" s="220"/>
      <c r="Z821" s="220"/>
      <c r="AA821" s="220"/>
      <c r="AB821" s="220"/>
      <c r="AC821" s="220"/>
      <c r="AD821" s="220"/>
      <c r="AE821" s="220"/>
      <c r="AF821" s="220"/>
      <c r="AG821" s="220"/>
      <c r="AH821" s="308"/>
      <c r="AI821" s="220"/>
      <c r="AJ821" s="220"/>
      <c r="AK821" s="220"/>
      <c r="AL821" s="220"/>
      <c r="AM821" s="220"/>
      <c r="AN821" s="220"/>
      <c r="AO821" s="220"/>
      <c r="AP821" s="220"/>
      <c r="AQ821" s="220"/>
      <c r="AR821" s="220"/>
      <c r="AS821" s="220"/>
      <c r="AT821" s="220"/>
      <c r="AU821" s="220"/>
      <c r="AV821" s="220"/>
      <c r="AW821" s="220"/>
      <c r="AX821" s="220"/>
      <c r="AY821" s="220"/>
      <c r="AZ821" s="220"/>
      <c r="BA821" s="220"/>
    </row>
    <row r="822">
      <c r="A822" s="240"/>
      <c r="B822" s="311"/>
      <c r="C822" s="311"/>
      <c r="D822" s="312"/>
      <c r="E822" s="311"/>
      <c r="F822" s="311"/>
      <c r="G822" s="312"/>
      <c r="H822" s="312"/>
      <c r="I822" s="313"/>
      <c r="J822" s="314"/>
      <c r="K822" s="313"/>
      <c r="L822" s="313"/>
      <c r="M822" s="313"/>
      <c r="N822" s="315"/>
      <c r="O822" s="313"/>
      <c r="P822" s="313"/>
      <c r="Q822" s="313"/>
      <c r="R822" s="313"/>
      <c r="S822" s="316"/>
      <c r="T822" s="317"/>
      <c r="U822" s="318"/>
      <c r="V822" s="319"/>
      <c r="W822" s="288"/>
      <c r="X822" s="220"/>
      <c r="Y822" s="220"/>
      <c r="Z822" s="220"/>
      <c r="AA822" s="220"/>
      <c r="AB822" s="220"/>
      <c r="AC822" s="220"/>
      <c r="AD822" s="220"/>
      <c r="AE822" s="220"/>
      <c r="AF822" s="220"/>
      <c r="AG822" s="220"/>
      <c r="AH822" s="308"/>
      <c r="AI822" s="220"/>
      <c r="AJ822" s="220"/>
      <c r="AK822" s="220"/>
      <c r="AL822" s="220"/>
      <c r="AM822" s="220"/>
      <c r="AN822" s="220"/>
      <c r="AO822" s="220"/>
      <c r="AP822" s="220"/>
      <c r="AQ822" s="220"/>
      <c r="AR822" s="220"/>
      <c r="AS822" s="220"/>
      <c r="AT822" s="220"/>
      <c r="AU822" s="220"/>
      <c r="AV822" s="220"/>
      <c r="AW822" s="220"/>
      <c r="AX822" s="220"/>
      <c r="AY822" s="220"/>
      <c r="AZ822" s="220"/>
      <c r="BA822" s="220"/>
    </row>
    <row r="823">
      <c r="A823" s="240"/>
      <c r="B823" s="311"/>
      <c r="C823" s="311"/>
      <c r="D823" s="312"/>
      <c r="E823" s="311"/>
      <c r="F823" s="311"/>
      <c r="G823" s="312"/>
      <c r="H823" s="312"/>
      <c r="I823" s="313"/>
      <c r="J823" s="314"/>
      <c r="K823" s="313"/>
      <c r="L823" s="313"/>
      <c r="M823" s="313"/>
      <c r="N823" s="315"/>
      <c r="O823" s="313"/>
      <c r="P823" s="313"/>
      <c r="Q823" s="313"/>
      <c r="R823" s="313"/>
      <c r="S823" s="316"/>
      <c r="T823" s="317"/>
      <c r="U823" s="318"/>
      <c r="V823" s="319"/>
      <c r="W823" s="288"/>
      <c r="X823" s="220"/>
      <c r="Y823" s="220"/>
      <c r="Z823" s="220"/>
      <c r="AA823" s="220"/>
      <c r="AB823" s="220"/>
      <c r="AC823" s="220"/>
      <c r="AD823" s="220"/>
      <c r="AE823" s="220"/>
      <c r="AF823" s="220"/>
      <c r="AG823" s="220"/>
      <c r="AH823" s="308"/>
      <c r="AI823" s="220"/>
      <c r="AJ823" s="220"/>
      <c r="AK823" s="220"/>
      <c r="AL823" s="220"/>
      <c r="AM823" s="220"/>
      <c r="AN823" s="220"/>
      <c r="AO823" s="220"/>
      <c r="AP823" s="220"/>
      <c r="AQ823" s="220"/>
      <c r="AR823" s="220"/>
      <c r="AS823" s="220"/>
      <c r="AT823" s="220"/>
      <c r="AU823" s="220"/>
      <c r="AV823" s="220"/>
      <c r="AW823" s="220"/>
      <c r="AX823" s="220"/>
      <c r="AY823" s="220"/>
      <c r="AZ823" s="220"/>
      <c r="BA823" s="220"/>
    </row>
    <row r="824">
      <c r="A824" s="240"/>
      <c r="B824" s="311"/>
      <c r="C824" s="311"/>
      <c r="D824" s="312"/>
      <c r="E824" s="311"/>
      <c r="F824" s="311"/>
      <c r="G824" s="312"/>
      <c r="H824" s="312"/>
      <c r="I824" s="313"/>
      <c r="J824" s="314"/>
      <c r="K824" s="313"/>
      <c r="L824" s="313"/>
      <c r="M824" s="313"/>
      <c r="N824" s="315"/>
      <c r="O824" s="313"/>
      <c r="P824" s="313"/>
      <c r="Q824" s="313"/>
      <c r="R824" s="313"/>
      <c r="S824" s="316"/>
      <c r="T824" s="317"/>
      <c r="U824" s="318"/>
      <c r="V824" s="319"/>
      <c r="W824" s="288"/>
      <c r="X824" s="220"/>
      <c r="Y824" s="220"/>
      <c r="Z824" s="220"/>
      <c r="AA824" s="220"/>
      <c r="AB824" s="220"/>
      <c r="AC824" s="220"/>
      <c r="AD824" s="220"/>
      <c r="AE824" s="220"/>
      <c r="AF824" s="220"/>
      <c r="AG824" s="220"/>
      <c r="AH824" s="308"/>
      <c r="AI824" s="220"/>
      <c r="AJ824" s="220"/>
      <c r="AK824" s="220"/>
      <c r="AL824" s="220"/>
      <c r="AM824" s="220"/>
      <c r="AN824" s="220"/>
      <c r="AO824" s="220"/>
      <c r="AP824" s="220"/>
      <c r="AQ824" s="220"/>
      <c r="AR824" s="220"/>
      <c r="AS824" s="220"/>
      <c r="AT824" s="220"/>
      <c r="AU824" s="220"/>
      <c r="AV824" s="220"/>
      <c r="AW824" s="220"/>
      <c r="AX824" s="220"/>
      <c r="AY824" s="220"/>
      <c r="AZ824" s="220"/>
      <c r="BA824" s="220"/>
    </row>
    <row r="825">
      <c r="A825" s="240"/>
      <c r="B825" s="311"/>
      <c r="C825" s="311"/>
      <c r="D825" s="312"/>
      <c r="E825" s="311"/>
      <c r="F825" s="311"/>
      <c r="G825" s="312"/>
      <c r="H825" s="312"/>
      <c r="I825" s="313"/>
      <c r="J825" s="314"/>
      <c r="K825" s="313"/>
      <c r="L825" s="313"/>
      <c r="M825" s="313"/>
      <c r="N825" s="315"/>
      <c r="O825" s="313"/>
      <c r="P825" s="313"/>
      <c r="Q825" s="313"/>
      <c r="R825" s="313"/>
      <c r="S825" s="316"/>
      <c r="T825" s="317"/>
      <c r="U825" s="318"/>
      <c r="V825" s="319"/>
      <c r="W825" s="288"/>
      <c r="X825" s="220"/>
      <c r="Y825" s="220"/>
      <c r="Z825" s="220"/>
      <c r="AA825" s="220"/>
      <c r="AB825" s="220"/>
      <c r="AC825" s="220"/>
      <c r="AD825" s="220"/>
      <c r="AE825" s="220"/>
      <c r="AF825" s="220"/>
      <c r="AG825" s="220"/>
      <c r="AH825" s="308"/>
      <c r="AI825" s="220"/>
      <c r="AJ825" s="220"/>
      <c r="AK825" s="220"/>
      <c r="AL825" s="220"/>
      <c r="AM825" s="220"/>
      <c r="AN825" s="220"/>
      <c r="AO825" s="220"/>
      <c r="AP825" s="220"/>
      <c r="AQ825" s="220"/>
      <c r="AR825" s="220"/>
      <c r="AS825" s="220"/>
      <c r="AT825" s="220"/>
      <c r="AU825" s="220"/>
      <c r="AV825" s="220"/>
      <c r="AW825" s="220"/>
      <c r="AX825" s="220"/>
      <c r="AY825" s="220"/>
      <c r="AZ825" s="220"/>
      <c r="BA825" s="220"/>
    </row>
    <row r="826">
      <c r="A826" s="240"/>
      <c r="B826" s="311"/>
      <c r="C826" s="311"/>
      <c r="D826" s="312"/>
      <c r="E826" s="311"/>
      <c r="F826" s="311"/>
      <c r="G826" s="312"/>
      <c r="H826" s="312"/>
      <c r="I826" s="313"/>
      <c r="J826" s="314"/>
      <c r="K826" s="313"/>
      <c r="L826" s="313"/>
      <c r="M826" s="313"/>
      <c r="N826" s="315"/>
      <c r="O826" s="313"/>
      <c r="P826" s="313"/>
      <c r="Q826" s="313"/>
      <c r="R826" s="313"/>
      <c r="S826" s="316"/>
      <c r="T826" s="317"/>
      <c r="U826" s="318"/>
      <c r="V826" s="319"/>
      <c r="W826" s="288"/>
      <c r="X826" s="220"/>
      <c r="Y826" s="220"/>
      <c r="Z826" s="220"/>
      <c r="AA826" s="220"/>
      <c r="AB826" s="220"/>
      <c r="AC826" s="220"/>
      <c r="AD826" s="220"/>
      <c r="AE826" s="220"/>
      <c r="AF826" s="220"/>
      <c r="AG826" s="220"/>
      <c r="AH826" s="308"/>
      <c r="AI826" s="220"/>
      <c r="AJ826" s="220"/>
      <c r="AK826" s="220"/>
      <c r="AL826" s="220"/>
      <c r="AM826" s="220"/>
      <c r="AN826" s="220"/>
      <c r="AO826" s="220"/>
      <c r="AP826" s="220"/>
      <c r="AQ826" s="220"/>
      <c r="AR826" s="220"/>
      <c r="AS826" s="220"/>
      <c r="AT826" s="220"/>
      <c r="AU826" s="220"/>
      <c r="AV826" s="220"/>
      <c r="AW826" s="220"/>
      <c r="AX826" s="220"/>
      <c r="AY826" s="220"/>
      <c r="AZ826" s="220"/>
      <c r="BA826" s="220"/>
    </row>
    <row r="827">
      <c r="A827" s="240"/>
      <c r="B827" s="311"/>
      <c r="C827" s="311"/>
      <c r="D827" s="312"/>
      <c r="E827" s="311"/>
      <c r="F827" s="311"/>
      <c r="G827" s="312"/>
      <c r="H827" s="312"/>
      <c r="I827" s="313"/>
      <c r="J827" s="314"/>
      <c r="K827" s="313"/>
      <c r="L827" s="313"/>
      <c r="M827" s="313"/>
      <c r="N827" s="315"/>
      <c r="O827" s="313"/>
      <c r="P827" s="313"/>
      <c r="Q827" s="313"/>
      <c r="R827" s="313"/>
      <c r="S827" s="316"/>
      <c r="T827" s="317"/>
      <c r="U827" s="318"/>
      <c r="V827" s="319"/>
      <c r="W827" s="288"/>
      <c r="X827" s="220"/>
      <c r="Y827" s="220"/>
      <c r="Z827" s="220"/>
      <c r="AA827" s="220"/>
      <c r="AB827" s="220"/>
      <c r="AC827" s="220"/>
      <c r="AD827" s="220"/>
      <c r="AE827" s="220"/>
      <c r="AF827" s="220"/>
      <c r="AG827" s="220"/>
      <c r="AH827" s="308"/>
      <c r="AI827" s="220"/>
      <c r="AJ827" s="220"/>
      <c r="AK827" s="220"/>
      <c r="AL827" s="220"/>
      <c r="AM827" s="220"/>
      <c r="AN827" s="220"/>
      <c r="AO827" s="220"/>
      <c r="AP827" s="220"/>
      <c r="AQ827" s="220"/>
      <c r="AR827" s="220"/>
      <c r="AS827" s="220"/>
      <c r="AT827" s="220"/>
      <c r="AU827" s="220"/>
      <c r="AV827" s="220"/>
      <c r="AW827" s="220"/>
      <c r="AX827" s="220"/>
      <c r="AY827" s="220"/>
      <c r="AZ827" s="220"/>
      <c r="BA827" s="220"/>
    </row>
    <row r="828">
      <c r="A828" s="240"/>
      <c r="B828" s="311"/>
      <c r="C828" s="311"/>
      <c r="D828" s="312"/>
      <c r="E828" s="311"/>
      <c r="F828" s="311"/>
      <c r="G828" s="312"/>
      <c r="H828" s="312"/>
      <c r="I828" s="313"/>
      <c r="J828" s="314"/>
      <c r="K828" s="313"/>
      <c r="L828" s="313"/>
      <c r="M828" s="313"/>
      <c r="N828" s="315"/>
      <c r="O828" s="313"/>
      <c r="P828" s="313"/>
      <c r="Q828" s="313"/>
      <c r="R828" s="313"/>
      <c r="S828" s="316"/>
      <c r="T828" s="317"/>
      <c r="U828" s="318"/>
      <c r="V828" s="319"/>
      <c r="W828" s="288"/>
      <c r="X828" s="220"/>
      <c r="Y828" s="220"/>
      <c r="Z828" s="220"/>
      <c r="AA828" s="220"/>
      <c r="AB828" s="220"/>
      <c r="AC828" s="220"/>
      <c r="AD828" s="220"/>
      <c r="AE828" s="220"/>
      <c r="AF828" s="220"/>
      <c r="AG828" s="220"/>
      <c r="AH828" s="308"/>
      <c r="AI828" s="220"/>
      <c r="AJ828" s="220"/>
      <c r="AK828" s="220"/>
      <c r="AL828" s="220"/>
      <c r="AM828" s="220"/>
      <c r="AN828" s="220"/>
      <c r="AO828" s="220"/>
      <c r="AP828" s="220"/>
      <c r="AQ828" s="220"/>
      <c r="AR828" s="220"/>
      <c r="AS828" s="220"/>
      <c r="AT828" s="220"/>
      <c r="AU828" s="220"/>
      <c r="AV828" s="220"/>
      <c r="AW828" s="220"/>
      <c r="AX828" s="220"/>
      <c r="AY828" s="220"/>
      <c r="AZ828" s="220"/>
      <c r="BA828" s="220"/>
    </row>
    <row r="829">
      <c r="A829" s="240"/>
      <c r="B829" s="311"/>
      <c r="C829" s="311"/>
      <c r="D829" s="312"/>
      <c r="E829" s="311"/>
      <c r="F829" s="311"/>
      <c r="G829" s="312"/>
      <c r="H829" s="312"/>
      <c r="I829" s="313"/>
      <c r="J829" s="314"/>
      <c r="K829" s="313"/>
      <c r="L829" s="313"/>
      <c r="M829" s="313"/>
      <c r="N829" s="315"/>
      <c r="O829" s="313"/>
      <c r="P829" s="313"/>
      <c r="Q829" s="313"/>
      <c r="R829" s="313"/>
      <c r="S829" s="316"/>
      <c r="T829" s="317"/>
      <c r="U829" s="318"/>
      <c r="V829" s="319"/>
      <c r="W829" s="288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220"/>
      <c r="AH829" s="308"/>
      <c r="AI829" s="220"/>
      <c r="AJ829" s="220"/>
      <c r="AK829" s="220"/>
      <c r="AL829" s="220"/>
      <c r="AM829" s="220"/>
      <c r="AN829" s="220"/>
      <c r="AO829" s="220"/>
      <c r="AP829" s="220"/>
      <c r="AQ829" s="220"/>
      <c r="AR829" s="220"/>
      <c r="AS829" s="220"/>
      <c r="AT829" s="220"/>
      <c r="AU829" s="220"/>
      <c r="AV829" s="220"/>
      <c r="AW829" s="220"/>
      <c r="AX829" s="220"/>
      <c r="AY829" s="220"/>
      <c r="AZ829" s="220"/>
      <c r="BA829" s="220"/>
    </row>
    <row r="830">
      <c r="A830" s="240"/>
      <c r="B830" s="311"/>
      <c r="C830" s="311"/>
      <c r="D830" s="312"/>
      <c r="E830" s="311"/>
      <c r="F830" s="311"/>
      <c r="G830" s="312"/>
      <c r="H830" s="312"/>
      <c r="I830" s="313"/>
      <c r="J830" s="314"/>
      <c r="K830" s="313"/>
      <c r="L830" s="313"/>
      <c r="M830" s="313"/>
      <c r="N830" s="315"/>
      <c r="O830" s="313"/>
      <c r="P830" s="313"/>
      <c r="Q830" s="313"/>
      <c r="R830" s="313"/>
      <c r="S830" s="316"/>
      <c r="T830" s="317"/>
      <c r="U830" s="318"/>
      <c r="V830" s="319"/>
      <c r="W830" s="288"/>
      <c r="X830" s="220"/>
      <c r="Y830" s="220"/>
      <c r="Z830" s="220"/>
      <c r="AA830" s="220"/>
      <c r="AB830" s="220"/>
      <c r="AC830" s="220"/>
      <c r="AD830" s="220"/>
      <c r="AE830" s="220"/>
      <c r="AF830" s="220"/>
      <c r="AG830" s="220"/>
      <c r="AH830" s="308"/>
      <c r="AI830" s="220"/>
      <c r="AJ830" s="220"/>
      <c r="AK830" s="220"/>
      <c r="AL830" s="220"/>
      <c r="AM830" s="220"/>
      <c r="AN830" s="220"/>
      <c r="AO830" s="220"/>
      <c r="AP830" s="220"/>
      <c r="AQ830" s="220"/>
      <c r="AR830" s="220"/>
      <c r="AS830" s="220"/>
      <c r="AT830" s="220"/>
      <c r="AU830" s="220"/>
      <c r="AV830" s="220"/>
      <c r="AW830" s="220"/>
      <c r="AX830" s="220"/>
      <c r="AY830" s="220"/>
      <c r="AZ830" s="220"/>
      <c r="BA830" s="220"/>
    </row>
    <row r="831">
      <c r="A831" s="240"/>
      <c r="B831" s="311"/>
      <c r="C831" s="311"/>
      <c r="D831" s="312"/>
      <c r="E831" s="311"/>
      <c r="F831" s="311"/>
      <c r="G831" s="312"/>
      <c r="H831" s="312"/>
      <c r="I831" s="313"/>
      <c r="J831" s="314"/>
      <c r="K831" s="313"/>
      <c r="L831" s="313"/>
      <c r="M831" s="313"/>
      <c r="N831" s="315"/>
      <c r="O831" s="313"/>
      <c r="P831" s="313"/>
      <c r="Q831" s="313"/>
      <c r="R831" s="313"/>
      <c r="S831" s="316"/>
      <c r="T831" s="317"/>
      <c r="U831" s="318"/>
      <c r="V831" s="319"/>
      <c r="W831" s="288"/>
      <c r="X831" s="220"/>
      <c r="Y831" s="220"/>
      <c r="Z831" s="220"/>
      <c r="AA831" s="220"/>
      <c r="AB831" s="220"/>
      <c r="AC831" s="220"/>
      <c r="AD831" s="220"/>
      <c r="AE831" s="220"/>
      <c r="AF831" s="220"/>
      <c r="AG831" s="220"/>
      <c r="AH831" s="308"/>
      <c r="AI831" s="220"/>
      <c r="AJ831" s="220"/>
      <c r="AK831" s="220"/>
      <c r="AL831" s="220"/>
      <c r="AM831" s="220"/>
      <c r="AN831" s="220"/>
      <c r="AO831" s="220"/>
      <c r="AP831" s="220"/>
      <c r="AQ831" s="220"/>
      <c r="AR831" s="220"/>
      <c r="AS831" s="220"/>
      <c r="AT831" s="220"/>
      <c r="AU831" s="220"/>
      <c r="AV831" s="220"/>
      <c r="AW831" s="220"/>
      <c r="AX831" s="220"/>
      <c r="AY831" s="220"/>
      <c r="AZ831" s="220"/>
      <c r="BA831" s="220"/>
    </row>
    <row r="832">
      <c r="A832" s="240"/>
      <c r="B832" s="311"/>
      <c r="C832" s="311"/>
      <c r="D832" s="312"/>
      <c r="E832" s="311"/>
      <c r="F832" s="311"/>
      <c r="G832" s="312"/>
      <c r="H832" s="312"/>
      <c r="I832" s="313"/>
      <c r="J832" s="314"/>
      <c r="K832" s="313"/>
      <c r="L832" s="313"/>
      <c r="M832" s="313"/>
      <c r="N832" s="315"/>
      <c r="O832" s="313"/>
      <c r="P832" s="313"/>
      <c r="Q832" s="313"/>
      <c r="R832" s="313"/>
      <c r="S832" s="316"/>
      <c r="T832" s="317"/>
      <c r="U832" s="318"/>
      <c r="V832" s="319"/>
      <c r="W832" s="288"/>
      <c r="X832" s="220"/>
      <c r="Y832" s="220"/>
      <c r="Z832" s="220"/>
      <c r="AA832" s="220"/>
      <c r="AB832" s="220"/>
      <c r="AC832" s="220"/>
      <c r="AD832" s="220"/>
      <c r="AE832" s="220"/>
      <c r="AF832" s="220"/>
      <c r="AG832" s="220"/>
      <c r="AH832" s="308"/>
      <c r="AI832" s="220"/>
      <c r="AJ832" s="220"/>
      <c r="AK832" s="220"/>
      <c r="AL832" s="220"/>
      <c r="AM832" s="220"/>
      <c r="AN832" s="220"/>
      <c r="AO832" s="220"/>
      <c r="AP832" s="220"/>
      <c r="AQ832" s="220"/>
      <c r="AR832" s="220"/>
      <c r="AS832" s="220"/>
      <c r="AT832" s="220"/>
      <c r="AU832" s="220"/>
      <c r="AV832" s="220"/>
      <c r="AW832" s="220"/>
      <c r="AX832" s="220"/>
      <c r="AY832" s="220"/>
      <c r="AZ832" s="220"/>
      <c r="BA832" s="220"/>
    </row>
    <row r="833">
      <c r="A833" s="240"/>
      <c r="B833" s="311"/>
      <c r="C833" s="311"/>
      <c r="D833" s="312"/>
      <c r="E833" s="311"/>
      <c r="F833" s="311"/>
      <c r="G833" s="312"/>
      <c r="H833" s="312"/>
      <c r="I833" s="313"/>
      <c r="J833" s="314"/>
      <c r="K833" s="313"/>
      <c r="L833" s="313"/>
      <c r="M833" s="313"/>
      <c r="N833" s="315"/>
      <c r="O833" s="313"/>
      <c r="P833" s="313"/>
      <c r="Q833" s="313"/>
      <c r="R833" s="313"/>
      <c r="S833" s="316"/>
      <c r="T833" s="317"/>
      <c r="U833" s="318"/>
      <c r="V833" s="319"/>
      <c r="W833" s="288"/>
      <c r="X833" s="220"/>
      <c r="Y833" s="220"/>
      <c r="Z833" s="220"/>
      <c r="AA833" s="220"/>
      <c r="AB833" s="220"/>
      <c r="AC833" s="220"/>
      <c r="AD833" s="220"/>
      <c r="AE833" s="220"/>
      <c r="AF833" s="220"/>
      <c r="AG833" s="220"/>
      <c r="AH833" s="308"/>
      <c r="AI833" s="220"/>
      <c r="AJ833" s="220"/>
      <c r="AK833" s="220"/>
      <c r="AL833" s="220"/>
      <c r="AM833" s="220"/>
      <c r="AN833" s="220"/>
      <c r="AO833" s="220"/>
      <c r="AP833" s="220"/>
      <c r="AQ833" s="220"/>
      <c r="AR833" s="220"/>
      <c r="AS833" s="220"/>
      <c r="AT833" s="220"/>
      <c r="AU833" s="220"/>
      <c r="AV833" s="220"/>
      <c r="AW833" s="220"/>
      <c r="AX833" s="220"/>
      <c r="AY833" s="220"/>
      <c r="AZ833" s="220"/>
      <c r="BA833" s="220"/>
    </row>
    <row r="834">
      <c r="A834" s="240"/>
      <c r="B834" s="311"/>
      <c r="C834" s="311"/>
      <c r="D834" s="312"/>
      <c r="E834" s="311"/>
      <c r="F834" s="311"/>
      <c r="G834" s="312"/>
      <c r="H834" s="312"/>
      <c r="I834" s="313"/>
      <c r="J834" s="314"/>
      <c r="K834" s="313"/>
      <c r="L834" s="313"/>
      <c r="M834" s="313"/>
      <c r="N834" s="315"/>
      <c r="O834" s="313"/>
      <c r="P834" s="313"/>
      <c r="Q834" s="313"/>
      <c r="R834" s="313"/>
      <c r="S834" s="316"/>
      <c r="T834" s="317"/>
      <c r="U834" s="318"/>
      <c r="V834" s="319"/>
      <c r="W834" s="288"/>
      <c r="X834" s="220"/>
      <c r="Y834" s="220"/>
      <c r="Z834" s="220"/>
      <c r="AA834" s="220"/>
      <c r="AB834" s="220"/>
      <c r="AC834" s="220"/>
      <c r="AD834" s="220"/>
      <c r="AE834" s="220"/>
      <c r="AF834" s="220"/>
      <c r="AG834" s="220"/>
      <c r="AH834" s="308"/>
      <c r="AI834" s="220"/>
      <c r="AJ834" s="220"/>
      <c r="AK834" s="220"/>
      <c r="AL834" s="220"/>
      <c r="AM834" s="220"/>
      <c r="AN834" s="220"/>
      <c r="AO834" s="220"/>
      <c r="AP834" s="220"/>
      <c r="AQ834" s="220"/>
      <c r="AR834" s="220"/>
      <c r="AS834" s="220"/>
      <c r="AT834" s="220"/>
      <c r="AU834" s="220"/>
      <c r="AV834" s="220"/>
      <c r="AW834" s="220"/>
      <c r="AX834" s="220"/>
      <c r="AY834" s="220"/>
      <c r="AZ834" s="220"/>
      <c r="BA834" s="220"/>
    </row>
    <row r="835">
      <c r="A835" s="240"/>
      <c r="B835" s="311"/>
      <c r="C835" s="311"/>
      <c r="D835" s="312"/>
      <c r="E835" s="311"/>
      <c r="F835" s="311"/>
      <c r="G835" s="312"/>
      <c r="H835" s="312"/>
      <c r="I835" s="313"/>
      <c r="J835" s="314"/>
      <c r="K835" s="313"/>
      <c r="L835" s="313"/>
      <c r="M835" s="313"/>
      <c r="N835" s="315"/>
      <c r="O835" s="313"/>
      <c r="P835" s="313"/>
      <c r="Q835" s="313"/>
      <c r="R835" s="313"/>
      <c r="S835" s="316"/>
      <c r="T835" s="317"/>
      <c r="U835" s="318"/>
      <c r="V835" s="319"/>
      <c r="W835" s="288"/>
      <c r="X835" s="220"/>
      <c r="Y835" s="220"/>
      <c r="Z835" s="220"/>
      <c r="AA835" s="220"/>
      <c r="AB835" s="220"/>
      <c r="AC835" s="220"/>
      <c r="AD835" s="220"/>
      <c r="AE835" s="220"/>
      <c r="AF835" s="220"/>
      <c r="AG835" s="220"/>
      <c r="AH835" s="308"/>
      <c r="AI835" s="220"/>
      <c r="AJ835" s="220"/>
      <c r="AK835" s="220"/>
      <c r="AL835" s="220"/>
      <c r="AM835" s="220"/>
      <c r="AN835" s="220"/>
      <c r="AO835" s="220"/>
      <c r="AP835" s="220"/>
      <c r="AQ835" s="220"/>
      <c r="AR835" s="220"/>
      <c r="AS835" s="220"/>
      <c r="AT835" s="220"/>
      <c r="AU835" s="220"/>
      <c r="AV835" s="220"/>
      <c r="AW835" s="220"/>
      <c r="AX835" s="220"/>
      <c r="AY835" s="220"/>
      <c r="AZ835" s="220"/>
      <c r="BA835" s="220"/>
    </row>
    <row r="836">
      <c r="A836" s="240"/>
      <c r="B836" s="311"/>
      <c r="C836" s="311"/>
      <c r="D836" s="312"/>
      <c r="E836" s="311"/>
      <c r="F836" s="311"/>
      <c r="G836" s="312"/>
      <c r="H836" s="312"/>
      <c r="I836" s="313"/>
      <c r="J836" s="314"/>
      <c r="K836" s="313"/>
      <c r="L836" s="313"/>
      <c r="M836" s="313"/>
      <c r="N836" s="315"/>
      <c r="O836" s="313"/>
      <c r="P836" s="313"/>
      <c r="Q836" s="313"/>
      <c r="R836" s="313"/>
      <c r="S836" s="316"/>
      <c r="T836" s="317"/>
      <c r="U836" s="318"/>
      <c r="V836" s="319"/>
      <c r="W836" s="288"/>
      <c r="X836" s="220"/>
      <c r="Y836" s="220"/>
      <c r="Z836" s="220"/>
      <c r="AA836" s="220"/>
      <c r="AB836" s="220"/>
      <c r="AC836" s="220"/>
      <c r="AD836" s="220"/>
      <c r="AE836" s="220"/>
      <c r="AF836" s="220"/>
      <c r="AG836" s="220"/>
      <c r="AH836" s="308"/>
      <c r="AI836" s="220"/>
      <c r="AJ836" s="220"/>
      <c r="AK836" s="220"/>
      <c r="AL836" s="220"/>
      <c r="AM836" s="220"/>
      <c r="AN836" s="220"/>
      <c r="AO836" s="220"/>
      <c r="AP836" s="220"/>
      <c r="AQ836" s="220"/>
      <c r="AR836" s="220"/>
      <c r="AS836" s="220"/>
      <c r="AT836" s="220"/>
      <c r="AU836" s="220"/>
      <c r="AV836" s="220"/>
      <c r="AW836" s="220"/>
      <c r="AX836" s="220"/>
      <c r="AY836" s="220"/>
      <c r="AZ836" s="220"/>
      <c r="BA836" s="220"/>
    </row>
    <row r="837">
      <c r="A837" s="240"/>
      <c r="B837" s="311"/>
      <c r="C837" s="311"/>
      <c r="D837" s="312"/>
      <c r="E837" s="311"/>
      <c r="F837" s="311"/>
      <c r="G837" s="312"/>
      <c r="H837" s="312"/>
      <c r="I837" s="313"/>
      <c r="J837" s="314"/>
      <c r="K837" s="313"/>
      <c r="L837" s="313"/>
      <c r="M837" s="313"/>
      <c r="N837" s="315"/>
      <c r="O837" s="313"/>
      <c r="P837" s="313"/>
      <c r="Q837" s="313"/>
      <c r="R837" s="313"/>
      <c r="S837" s="316"/>
      <c r="T837" s="317"/>
      <c r="U837" s="318"/>
      <c r="V837" s="319"/>
      <c r="W837" s="288"/>
      <c r="X837" s="220"/>
      <c r="Y837" s="220"/>
      <c r="Z837" s="220"/>
      <c r="AA837" s="220"/>
      <c r="AB837" s="220"/>
      <c r="AC837" s="220"/>
      <c r="AD837" s="220"/>
      <c r="AE837" s="220"/>
      <c r="AF837" s="220"/>
      <c r="AG837" s="220"/>
      <c r="AH837" s="308"/>
      <c r="AI837" s="220"/>
      <c r="AJ837" s="220"/>
      <c r="AK837" s="220"/>
      <c r="AL837" s="220"/>
      <c r="AM837" s="220"/>
      <c r="AN837" s="220"/>
      <c r="AO837" s="220"/>
      <c r="AP837" s="220"/>
      <c r="AQ837" s="220"/>
      <c r="AR837" s="220"/>
      <c r="AS837" s="220"/>
      <c r="AT837" s="220"/>
      <c r="AU837" s="220"/>
      <c r="AV837" s="220"/>
      <c r="AW837" s="220"/>
      <c r="AX837" s="220"/>
      <c r="AY837" s="220"/>
      <c r="AZ837" s="220"/>
      <c r="BA837" s="220"/>
    </row>
    <row r="838">
      <c r="A838" s="240"/>
      <c r="B838" s="311"/>
      <c r="C838" s="311"/>
      <c r="D838" s="312"/>
      <c r="E838" s="311"/>
      <c r="F838" s="311"/>
      <c r="G838" s="312"/>
      <c r="H838" s="312"/>
      <c r="I838" s="313"/>
      <c r="J838" s="314"/>
      <c r="K838" s="313"/>
      <c r="L838" s="313"/>
      <c r="M838" s="313"/>
      <c r="N838" s="315"/>
      <c r="O838" s="313"/>
      <c r="P838" s="313"/>
      <c r="Q838" s="313"/>
      <c r="R838" s="313"/>
      <c r="S838" s="316"/>
      <c r="T838" s="317"/>
      <c r="U838" s="318"/>
      <c r="V838" s="319"/>
      <c r="W838" s="288"/>
      <c r="X838" s="220"/>
      <c r="Y838" s="220"/>
      <c r="Z838" s="220"/>
      <c r="AA838" s="220"/>
      <c r="AB838" s="220"/>
      <c r="AC838" s="220"/>
      <c r="AD838" s="220"/>
      <c r="AE838" s="220"/>
      <c r="AF838" s="220"/>
      <c r="AG838" s="220"/>
      <c r="AH838" s="308"/>
      <c r="AI838" s="220"/>
      <c r="AJ838" s="220"/>
      <c r="AK838" s="220"/>
      <c r="AL838" s="220"/>
      <c r="AM838" s="220"/>
      <c r="AN838" s="220"/>
      <c r="AO838" s="220"/>
      <c r="AP838" s="220"/>
      <c r="AQ838" s="220"/>
      <c r="AR838" s="220"/>
      <c r="AS838" s="220"/>
      <c r="AT838" s="220"/>
      <c r="AU838" s="220"/>
      <c r="AV838" s="220"/>
      <c r="AW838" s="220"/>
      <c r="AX838" s="220"/>
      <c r="AY838" s="220"/>
      <c r="AZ838" s="220"/>
      <c r="BA838" s="220"/>
    </row>
    <row r="839">
      <c r="A839" s="240"/>
      <c r="B839" s="311"/>
      <c r="C839" s="311"/>
      <c r="D839" s="312"/>
      <c r="E839" s="311"/>
      <c r="F839" s="311"/>
      <c r="G839" s="312"/>
      <c r="H839" s="312"/>
      <c r="I839" s="313"/>
      <c r="J839" s="314"/>
      <c r="K839" s="313"/>
      <c r="L839" s="313"/>
      <c r="M839" s="313"/>
      <c r="N839" s="315"/>
      <c r="O839" s="313"/>
      <c r="P839" s="313"/>
      <c r="Q839" s="313"/>
      <c r="R839" s="313"/>
      <c r="S839" s="316"/>
      <c r="T839" s="317"/>
      <c r="U839" s="318"/>
      <c r="V839" s="319"/>
      <c r="W839" s="288"/>
      <c r="X839" s="220"/>
      <c r="Y839" s="220"/>
      <c r="Z839" s="220"/>
      <c r="AA839" s="220"/>
      <c r="AB839" s="220"/>
      <c r="AC839" s="220"/>
      <c r="AD839" s="220"/>
      <c r="AE839" s="220"/>
      <c r="AF839" s="220"/>
      <c r="AG839" s="220"/>
      <c r="AH839" s="308"/>
      <c r="AI839" s="220"/>
      <c r="AJ839" s="220"/>
      <c r="AK839" s="220"/>
      <c r="AL839" s="220"/>
      <c r="AM839" s="220"/>
      <c r="AN839" s="220"/>
      <c r="AO839" s="220"/>
      <c r="AP839" s="220"/>
      <c r="AQ839" s="220"/>
      <c r="AR839" s="220"/>
      <c r="AS839" s="220"/>
      <c r="AT839" s="220"/>
      <c r="AU839" s="220"/>
      <c r="AV839" s="220"/>
      <c r="AW839" s="220"/>
      <c r="AX839" s="220"/>
      <c r="AY839" s="220"/>
      <c r="AZ839" s="220"/>
      <c r="BA839" s="220"/>
    </row>
    <row r="840">
      <c r="A840" s="240"/>
      <c r="B840" s="311"/>
      <c r="C840" s="311"/>
      <c r="D840" s="312"/>
      <c r="E840" s="311"/>
      <c r="F840" s="311"/>
      <c r="G840" s="312"/>
      <c r="H840" s="312"/>
      <c r="I840" s="313"/>
      <c r="J840" s="314"/>
      <c r="K840" s="313"/>
      <c r="L840" s="313"/>
      <c r="M840" s="313"/>
      <c r="N840" s="315"/>
      <c r="O840" s="313"/>
      <c r="P840" s="313"/>
      <c r="Q840" s="313"/>
      <c r="R840" s="313"/>
      <c r="S840" s="316"/>
      <c r="T840" s="317"/>
      <c r="U840" s="318"/>
      <c r="V840" s="319"/>
      <c r="W840" s="288"/>
      <c r="X840" s="220"/>
      <c r="Y840" s="220"/>
      <c r="Z840" s="220"/>
      <c r="AA840" s="220"/>
      <c r="AB840" s="220"/>
      <c r="AC840" s="220"/>
      <c r="AD840" s="220"/>
      <c r="AE840" s="220"/>
      <c r="AF840" s="220"/>
      <c r="AG840" s="220"/>
      <c r="AH840" s="308"/>
      <c r="AI840" s="220"/>
      <c r="AJ840" s="220"/>
      <c r="AK840" s="220"/>
      <c r="AL840" s="220"/>
      <c r="AM840" s="220"/>
      <c r="AN840" s="220"/>
      <c r="AO840" s="220"/>
      <c r="AP840" s="220"/>
      <c r="AQ840" s="220"/>
      <c r="AR840" s="220"/>
      <c r="AS840" s="220"/>
      <c r="AT840" s="220"/>
      <c r="AU840" s="220"/>
      <c r="AV840" s="220"/>
      <c r="AW840" s="220"/>
      <c r="AX840" s="220"/>
      <c r="AY840" s="220"/>
      <c r="AZ840" s="220"/>
      <c r="BA840" s="220"/>
    </row>
    <row r="841">
      <c r="A841" s="240"/>
      <c r="B841" s="311"/>
      <c r="C841" s="311"/>
      <c r="D841" s="312"/>
      <c r="E841" s="311"/>
      <c r="F841" s="311"/>
      <c r="G841" s="312"/>
      <c r="H841" s="312"/>
      <c r="I841" s="313"/>
      <c r="J841" s="314"/>
      <c r="K841" s="313"/>
      <c r="L841" s="313"/>
      <c r="M841" s="313"/>
      <c r="N841" s="315"/>
      <c r="O841" s="313"/>
      <c r="P841" s="313"/>
      <c r="Q841" s="313"/>
      <c r="R841" s="313"/>
      <c r="S841" s="316"/>
      <c r="T841" s="317"/>
      <c r="U841" s="318"/>
      <c r="V841" s="319"/>
      <c r="W841" s="288"/>
      <c r="X841" s="220"/>
      <c r="Y841" s="220"/>
      <c r="Z841" s="220"/>
      <c r="AA841" s="220"/>
      <c r="AB841" s="220"/>
      <c r="AC841" s="220"/>
      <c r="AD841" s="220"/>
      <c r="AE841" s="220"/>
      <c r="AF841" s="220"/>
      <c r="AG841" s="220"/>
      <c r="AH841" s="308"/>
      <c r="AI841" s="220"/>
      <c r="AJ841" s="220"/>
      <c r="AK841" s="220"/>
      <c r="AL841" s="220"/>
      <c r="AM841" s="220"/>
      <c r="AN841" s="220"/>
      <c r="AO841" s="220"/>
      <c r="AP841" s="220"/>
      <c r="AQ841" s="220"/>
      <c r="AR841" s="220"/>
      <c r="AS841" s="220"/>
      <c r="AT841" s="220"/>
      <c r="AU841" s="220"/>
      <c r="AV841" s="220"/>
      <c r="AW841" s="220"/>
      <c r="AX841" s="220"/>
      <c r="AY841" s="220"/>
      <c r="AZ841" s="220"/>
      <c r="BA841" s="220"/>
    </row>
    <row r="842">
      <c r="A842" s="240"/>
      <c r="B842" s="311"/>
      <c r="C842" s="311"/>
      <c r="D842" s="312"/>
      <c r="E842" s="311"/>
      <c r="F842" s="311"/>
      <c r="G842" s="312"/>
      <c r="H842" s="312"/>
      <c r="I842" s="313"/>
      <c r="J842" s="314"/>
      <c r="K842" s="313"/>
      <c r="L842" s="313"/>
      <c r="M842" s="313"/>
      <c r="N842" s="315"/>
      <c r="O842" s="313"/>
      <c r="P842" s="313"/>
      <c r="Q842" s="313"/>
      <c r="R842" s="313"/>
      <c r="S842" s="316"/>
      <c r="T842" s="317"/>
      <c r="U842" s="318"/>
      <c r="V842" s="319"/>
      <c r="W842" s="288"/>
      <c r="X842" s="220"/>
      <c r="Y842" s="220"/>
      <c r="Z842" s="220"/>
      <c r="AA842" s="220"/>
      <c r="AB842" s="220"/>
      <c r="AC842" s="220"/>
      <c r="AD842" s="220"/>
      <c r="AE842" s="220"/>
      <c r="AF842" s="220"/>
      <c r="AG842" s="220"/>
      <c r="AH842" s="308"/>
      <c r="AI842" s="220"/>
      <c r="AJ842" s="220"/>
      <c r="AK842" s="220"/>
      <c r="AL842" s="220"/>
      <c r="AM842" s="220"/>
      <c r="AN842" s="220"/>
      <c r="AO842" s="220"/>
      <c r="AP842" s="220"/>
      <c r="AQ842" s="220"/>
      <c r="AR842" s="220"/>
      <c r="AS842" s="220"/>
      <c r="AT842" s="220"/>
      <c r="AU842" s="220"/>
      <c r="AV842" s="220"/>
      <c r="AW842" s="220"/>
      <c r="AX842" s="220"/>
      <c r="AY842" s="220"/>
      <c r="AZ842" s="220"/>
      <c r="BA842" s="220"/>
    </row>
    <row r="843">
      <c r="A843" s="240"/>
      <c r="B843" s="311"/>
      <c r="C843" s="311"/>
      <c r="D843" s="312"/>
      <c r="E843" s="311"/>
      <c r="F843" s="311"/>
      <c r="G843" s="312"/>
      <c r="H843" s="312"/>
      <c r="I843" s="313"/>
      <c r="J843" s="314"/>
      <c r="K843" s="313"/>
      <c r="L843" s="313"/>
      <c r="M843" s="313"/>
      <c r="N843" s="315"/>
      <c r="O843" s="313"/>
      <c r="P843" s="313"/>
      <c r="Q843" s="313"/>
      <c r="R843" s="313"/>
      <c r="S843" s="316"/>
      <c r="T843" s="317"/>
      <c r="U843" s="318"/>
      <c r="V843" s="319"/>
      <c r="W843" s="288"/>
      <c r="X843" s="220"/>
      <c r="Y843" s="220"/>
      <c r="Z843" s="220"/>
      <c r="AA843" s="220"/>
      <c r="AB843" s="220"/>
      <c r="AC843" s="220"/>
      <c r="AD843" s="220"/>
      <c r="AE843" s="220"/>
      <c r="AF843" s="220"/>
      <c r="AG843" s="220"/>
      <c r="AH843" s="308"/>
      <c r="AI843" s="220"/>
      <c r="AJ843" s="220"/>
      <c r="AK843" s="220"/>
      <c r="AL843" s="220"/>
      <c r="AM843" s="220"/>
      <c r="AN843" s="220"/>
      <c r="AO843" s="220"/>
      <c r="AP843" s="220"/>
      <c r="AQ843" s="220"/>
      <c r="AR843" s="220"/>
      <c r="AS843" s="220"/>
      <c r="AT843" s="220"/>
      <c r="AU843" s="220"/>
      <c r="AV843" s="220"/>
      <c r="AW843" s="220"/>
      <c r="AX843" s="220"/>
      <c r="AY843" s="220"/>
      <c r="AZ843" s="220"/>
      <c r="BA843" s="220"/>
    </row>
    <row r="844">
      <c r="A844" s="240"/>
      <c r="B844" s="311"/>
      <c r="C844" s="311"/>
      <c r="D844" s="312"/>
      <c r="E844" s="311"/>
      <c r="F844" s="311"/>
      <c r="G844" s="312"/>
      <c r="H844" s="312"/>
      <c r="I844" s="313"/>
      <c r="J844" s="314"/>
      <c r="K844" s="313"/>
      <c r="L844" s="313"/>
      <c r="M844" s="313"/>
      <c r="N844" s="315"/>
      <c r="O844" s="313"/>
      <c r="P844" s="313"/>
      <c r="Q844" s="313"/>
      <c r="R844" s="313"/>
      <c r="S844" s="316"/>
      <c r="T844" s="317"/>
      <c r="U844" s="318"/>
      <c r="V844" s="319"/>
      <c r="W844" s="288"/>
      <c r="X844" s="220"/>
      <c r="Y844" s="220"/>
      <c r="Z844" s="220"/>
      <c r="AA844" s="220"/>
      <c r="AB844" s="220"/>
      <c r="AC844" s="220"/>
      <c r="AD844" s="220"/>
      <c r="AE844" s="220"/>
      <c r="AF844" s="220"/>
      <c r="AG844" s="220"/>
      <c r="AH844" s="308"/>
      <c r="AI844" s="220"/>
      <c r="AJ844" s="220"/>
      <c r="AK844" s="220"/>
      <c r="AL844" s="220"/>
      <c r="AM844" s="220"/>
      <c r="AN844" s="220"/>
      <c r="AO844" s="220"/>
      <c r="AP844" s="220"/>
      <c r="AQ844" s="220"/>
      <c r="AR844" s="220"/>
      <c r="AS844" s="220"/>
      <c r="AT844" s="220"/>
      <c r="AU844" s="220"/>
      <c r="AV844" s="220"/>
      <c r="AW844" s="220"/>
      <c r="AX844" s="220"/>
      <c r="AY844" s="220"/>
      <c r="AZ844" s="220"/>
      <c r="BA844" s="220"/>
    </row>
    <row r="845">
      <c r="A845" s="240"/>
      <c r="B845" s="311"/>
      <c r="C845" s="311"/>
      <c r="D845" s="312"/>
      <c r="E845" s="311"/>
      <c r="F845" s="311"/>
      <c r="G845" s="312"/>
      <c r="H845" s="312"/>
      <c r="I845" s="313"/>
      <c r="J845" s="314"/>
      <c r="K845" s="313"/>
      <c r="L845" s="313"/>
      <c r="M845" s="313"/>
      <c r="N845" s="315"/>
      <c r="O845" s="313"/>
      <c r="P845" s="313"/>
      <c r="Q845" s="313"/>
      <c r="R845" s="313"/>
      <c r="S845" s="316"/>
      <c r="T845" s="317"/>
      <c r="U845" s="318"/>
      <c r="V845" s="319"/>
      <c r="W845" s="288"/>
      <c r="X845" s="220"/>
      <c r="Y845" s="220"/>
      <c r="Z845" s="220"/>
      <c r="AA845" s="220"/>
      <c r="AB845" s="220"/>
      <c r="AC845" s="220"/>
      <c r="AD845" s="220"/>
      <c r="AE845" s="220"/>
      <c r="AF845" s="220"/>
      <c r="AG845" s="220"/>
      <c r="AH845" s="308"/>
      <c r="AI845" s="220"/>
      <c r="AJ845" s="220"/>
      <c r="AK845" s="220"/>
      <c r="AL845" s="220"/>
      <c r="AM845" s="220"/>
      <c r="AN845" s="220"/>
      <c r="AO845" s="220"/>
      <c r="AP845" s="220"/>
      <c r="AQ845" s="220"/>
      <c r="AR845" s="220"/>
      <c r="AS845" s="220"/>
      <c r="AT845" s="220"/>
      <c r="AU845" s="220"/>
      <c r="AV845" s="220"/>
      <c r="AW845" s="220"/>
      <c r="AX845" s="220"/>
      <c r="AY845" s="220"/>
      <c r="AZ845" s="220"/>
      <c r="BA845" s="220"/>
    </row>
    <row r="846">
      <c r="A846" s="240"/>
      <c r="B846" s="311"/>
      <c r="C846" s="311"/>
      <c r="D846" s="312"/>
      <c r="E846" s="311"/>
      <c r="F846" s="311"/>
      <c r="G846" s="312"/>
      <c r="H846" s="312"/>
      <c r="I846" s="313"/>
      <c r="J846" s="314"/>
      <c r="K846" s="313"/>
      <c r="L846" s="313"/>
      <c r="M846" s="313"/>
      <c r="N846" s="315"/>
      <c r="O846" s="313"/>
      <c r="P846" s="313"/>
      <c r="Q846" s="313"/>
      <c r="R846" s="313"/>
      <c r="S846" s="316"/>
      <c r="T846" s="317"/>
      <c r="U846" s="318"/>
      <c r="V846" s="319"/>
      <c r="W846" s="288"/>
      <c r="X846" s="220"/>
      <c r="Y846" s="220"/>
      <c r="Z846" s="220"/>
      <c r="AA846" s="220"/>
      <c r="AB846" s="220"/>
      <c r="AC846" s="220"/>
      <c r="AD846" s="220"/>
      <c r="AE846" s="220"/>
      <c r="AF846" s="220"/>
      <c r="AG846" s="220"/>
      <c r="AH846" s="308"/>
      <c r="AI846" s="220"/>
      <c r="AJ846" s="220"/>
      <c r="AK846" s="220"/>
      <c r="AL846" s="220"/>
      <c r="AM846" s="220"/>
      <c r="AN846" s="220"/>
      <c r="AO846" s="220"/>
      <c r="AP846" s="220"/>
      <c r="AQ846" s="220"/>
      <c r="AR846" s="220"/>
      <c r="AS846" s="220"/>
      <c r="AT846" s="220"/>
      <c r="AU846" s="220"/>
      <c r="AV846" s="220"/>
      <c r="AW846" s="220"/>
      <c r="AX846" s="220"/>
      <c r="AY846" s="220"/>
      <c r="AZ846" s="220"/>
      <c r="BA846" s="220"/>
    </row>
    <row r="847">
      <c r="A847" s="240"/>
      <c r="B847" s="311"/>
      <c r="C847" s="311"/>
      <c r="D847" s="312"/>
      <c r="E847" s="311"/>
      <c r="F847" s="311"/>
      <c r="G847" s="312"/>
      <c r="H847" s="312"/>
      <c r="I847" s="313"/>
      <c r="J847" s="314"/>
      <c r="K847" s="313"/>
      <c r="L847" s="313"/>
      <c r="M847" s="313"/>
      <c r="N847" s="315"/>
      <c r="O847" s="313"/>
      <c r="P847" s="313"/>
      <c r="Q847" s="313"/>
      <c r="R847" s="313"/>
      <c r="S847" s="316"/>
      <c r="T847" s="317"/>
      <c r="U847" s="318"/>
      <c r="V847" s="319"/>
      <c r="W847" s="288"/>
      <c r="X847" s="220"/>
      <c r="Y847" s="220"/>
      <c r="Z847" s="220"/>
      <c r="AA847" s="220"/>
      <c r="AB847" s="220"/>
      <c r="AC847" s="220"/>
      <c r="AD847" s="220"/>
      <c r="AE847" s="220"/>
      <c r="AF847" s="220"/>
      <c r="AG847" s="220"/>
      <c r="AH847" s="308"/>
      <c r="AI847" s="220"/>
      <c r="AJ847" s="220"/>
      <c r="AK847" s="220"/>
      <c r="AL847" s="220"/>
      <c r="AM847" s="220"/>
      <c r="AN847" s="220"/>
      <c r="AO847" s="220"/>
      <c r="AP847" s="220"/>
      <c r="AQ847" s="220"/>
      <c r="AR847" s="220"/>
      <c r="AS847" s="220"/>
      <c r="AT847" s="220"/>
      <c r="AU847" s="220"/>
      <c r="AV847" s="220"/>
      <c r="AW847" s="220"/>
      <c r="AX847" s="220"/>
      <c r="AY847" s="220"/>
      <c r="AZ847" s="220"/>
      <c r="BA847" s="220"/>
    </row>
    <row r="848">
      <c r="A848" s="240"/>
      <c r="B848" s="311"/>
      <c r="C848" s="311"/>
      <c r="D848" s="312"/>
      <c r="E848" s="311"/>
      <c r="F848" s="311"/>
      <c r="G848" s="312"/>
      <c r="H848" s="312"/>
      <c r="I848" s="313"/>
      <c r="J848" s="314"/>
      <c r="K848" s="313"/>
      <c r="L848" s="313"/>
      <c r="M848" s="313"/>
      <c r="N848" s="315"/>
      <c r="O848" s="313"/>
      <c r="P848" s="313"/>
      <c r="Q848" s="313"/>
      <c r="R848" s="313"/>
      <c r="S848" s="316"/>
      <c r="T848" s="317"/>
      <c r="U848" s="318"/>
      <c r="V848" s="319"/>
      <c r="W848" s="288"/>
      <c r="X848" s="220"/>
      <c r="Y848" s="220"/>
      <c r="Z848" s="220"/>
      <c r="AA848" s="220"/>
      <c r="AB848" s="220"/>
      <c r="AC848" s="220"/>
      <c r="AD848" s="220"/>
      <c r="AE848" s="220"/>
      <c r="AF848" s="220"/>
      <c r="AG848" s="220"/>
      <c r="AH848" s="308"/>
      <c r="AI848" s="220"/>
      <c r="AJ848" s="220"/>
      <c r="AK848" s="220"/>
      <c r="AL848" s="220"/>
      <c r="AM848" s="220"/>
      <c r="AN848" s="220"/>
      <c r="AO848" s="220"/>
      <c r="AP848" s="220"/>
      <c r="AQ848" s="220"/>
      <c r="AR848" s="220"/>
      <c r="AS848" s="220"/>
      <c r="AT848" s="220"/>
      <c r="AU848" s="220"/>
      <c r="AV848" s="220"/>
      <c r="AW848" s="220"/>
      <c r="AX848" s="220"/>
      <c r="AY848" s="220"/>
      <c r="AZ848" s="220"/>
      <c r="BA848" s="220"/>
    </row>
    <row r="849">
      <c r="A849" s="240"/>
      <c r="B849" s="311"/>
      <c r="C849" s="311"/>
      <c r="D849" s="312"/>
      <c r="E849" s="311"/>
      <c r="F849" s="311"/>
      <c r="G849" s="312"/>
      <c r="H849" s="312"/>
      <c r="I849" s="313"/>
      <c r="J849" s="314"/>
      <c r="K849" s="313"/>
      <c r="L849" s="313"/>
      <c r="M849" s="313"/>
      <c r="N849" s="315"/>
      <c r="O849" s="313"/>
      <c r="P849" s="313"/>
      <c r="Q849" s="313"/>
      <c r="R849" s="313"/>
      <c r="S849" s="316"/>
      <c r="T849" s="317"/>
      <c r="U849" s="318"/>
      <c r="V849" s="319"/>
      <c r="W849" s="288"/>
      <c r="X849" s="220"/>
      <c r="Y849" s="220"/>
      <c r="Z849" s="220"/>
      <c r="AA849" s="220"/>
      <c r="AB849" s="220"/>
      <c r="AC849" s="220"/>
      <c r="AD849" s="220"/>
      <c r="AE849" s="220"/>
      <c r="AF849" s="220"/>
      <c r="AG849" s="220"/>
      <c r="AH849" s="308"/>
      <c r="AI849" s="220"/>
      <c r="AJ849" s="220"/>
      <c r="AK849" s="220"/>
      <c r="AL849" s="220"/>
      <c r="AM849" s="220"/>
      <c r="AN849" s="220"/>
      <c r="AO849" s="220"/>
      <c r="AP849" s="220"/>
      <c r="AQ849" s="220"/>
      <c r="AR849" s="220"/>
      <c r="AS849" s="220"/>
      <c r="AT849" s="220"/>
      <c r="AU849" s="220"/>
      <c r="AV849" s="220"/>
      <c r="AW849" s="220"/>
      <c r="AX849" s="220"/>
      <c r="AY849" s="220"/>
      <c r="AZ849" s="220"/>
      <c r="BA849" s="220"/>
    </row>
    <row r="850">
      <c r="A850" s="240"/>
      <c r="B850" s="311"/>
      <c r="C850" s="311"/>
      <c r="D850" s="312"/>
      <c r="E850" s="311"/>
      <c r="F850" s="311"/>
      <c r="G850" s="312"/>
      <c r="H850" s="312"/>
      <c r="I850" s="313"/>
      <c r="J850" s="314"/>
      <c r="K850" s="313"/>
      <c r="L850" s="313"/>
      <c r="M850" s="313"/>
      <c r="N850" s="315"/>
      <c r="O850" s="313"/>
      <c r="P850" s="313"/>
      <c r="Q850" s="313"/>
      <c r="R850" s="313"/>
      <c r="S850" s="316"/>
      <c r="T850" s="317"/>
      <c r="U850" s="318"/>
      <c r="V850" s="319"/>
      <c r="W850" s="288"/>
      <c r="X850" s="220"/>
      <c r="Y850" s="220"/>
      <c r="Z850" s="220"/>
      <c r="AA850" s="220"/>
      <c r="AB850" s="220"/>
      <c r="AC850" s="220"/>
      <c r="AD850" s="220"/>
      <c r="AE850" s="220"/>
      <c r="AF850" s="220"/>
      <c r="AG850" s="220"/>
      <c r="AH850" s="308"/>
      <c r="AI850" s="220"/>
      <c r="AJ850" s="220"/>
      <c r="AK850" s="220"/>
      <c r="AL850" s="220"/>
      <c r="AM850" s="220"/>
      <c r="AN850" s="220"/>
      <c r="AO850" s="220"/>
      <c r="AP850" s="220"/>
      <c r="AQ850" s="220"/>
      <c r="AR850" s="220"/>
      <c r="AS850" s="220"/>
      <c r="AT850" s="220"/>
      <c r="AU850" s="220"/>
      <c r="AV850" s="220"/>
      <c r="AW850" s="220"/>
      <c r="AX850" s="220"/>
      <c r="AY850" s="220"/>
      <c r="AZ850" s="220"/>
      <c r="BA850" s="220"/>
    </row>
    <row r="851">
      <c r="A851" s="240"/>
      <c r="B851" s="311"/>
      <c r="C851" s="311"/>
      <c r="D851" s="312"/>
      <c r="E851" s="311"/>
      <c r="F851" s="311"/>
      <c r="G851" s="312"/>
      <c r="H851" s="312"/>
      <c r="I851" s="313"/>
      <c r="J851" s="314"/>
      <c r="K851" s="313"/>
      <c r="L851" s="313"/>
      <c r="M851" s="313"/>
      <c r="N851" s="315"/>
      <c r="O851" s="313"/>
      <c r="P851" s="313"/>
      <c r="Q851" s="313"/>
      <c r="R851" s="313"/>
      <c r="S851" s="316"/>
      <c r="T851" s="317"/>
      <c r="U851" s="318"/>
      <c r="V851" s="319"/>
      <c r="W851" s="288"/>
      <c r="X851" s="220"/>
      <c r="Y851" s="220"/>
      <c r="Z851" s="220"/>
      <c r="AA851" s="220"/>
      <c r="AB851" s="220"/>
      <c r="AC851" s="220"/>
      <c r="AD851" s="220"/>
      <c r="AE851" s="220"/>
      <c r="AF851" s="220"/>
      <c r="AG851" s="220"/>
      <c r="AH851" s="308"/>
      <c r="AI851" s="220"/>
      <c r="AJ851" s="220"/>
      <c r="AK851" s="220"/>
      <c r="AL851" s="220"/>
      <c r="AM851" s="220"/>
      <c r="AN851" s="220"/>
      <c r="AO851" s="220"/>
      <c r="AP851" s="220"/>
      <c r="AQ851" s="220"/>
      <c r="AR851" s="220"/>
      <c r="AS851" s="220"/>
      <c r="AT851" s="220"/>
      <c r="AU851" s="220"/>
      <c r="AV851" s="220"/>
      <c r="AW851" s="220"/>
      <c r="AX851" s="220"/>
      <c r="AY851" s="220"/>
      <c r="AZ851" s="220"/>
      <c r="BA851" s="220"/>
    </row>
    <row r="852">
      <c r="A852" s="240"/>
      <c r="B852" s="311"/>
      <c r="C852" s="311"/>
      <c r="D852" s="312"/>
      <c r="E852" s="311"/>
      <c r="F852" s="311"/>
      <c r="G852" s="312"/>
      <c r="H852" s="312"/>
      <c r="I852" s="313"/>
      <c r="J852" s="314"/>
      <c r="K852" s="313"/>
      <c r="L852" s="313"/>
      <c r="M852" s="313"/>
      <c r="N852" s="315"/>
      <c r="O852" s="313"/>
      <c r="P852" s="313"/>
      <c r="Q852" s="313"/>
      <c r="R852" s="313"/>
      <c r="S852" s="316"/>
      <c r="T852" s="317"/>
      <c r="U852" s="318"/>
      <c r="V852" s="319"/>
      <c r="W852" s="288"/>
      <c r="X852" s="220"/>
      <c r="Y852" s="220"/>
      <c r="Z852" s="220"/>
      <c r="AA852" s="220"/>
      <c r="AB852" s="220"/>
      <c r="AC852" s="220"/>
      <c r="AD852" s="220"/>
      <c r="AE852" s="220"/>
      <c r="AF852" s="220"/>
      <c r="AG852" s="220"/>
      <c r="AH852" s="308"/>
      <c r="AI852" s="220"/>
      <c r="AJ852" s="220"/>
      <c r="AK852" s="220"/>
      <c r="AL852" s="220"/>
      <c r="AM852" s="220"/>
      <c r="AN852" s="220"/>
      <c r="AO852" s="220"/>
      <c r="AP852" s="220"/>
      <c r="AQ852" s="220"/>
      <c r="AR852" s="220"/>
      <c r="AS852" s="220"/>
      <c r="AT852" s="220"/>
      <c r="AU852" s="220"/>
      <c r="AV852" s="220"/>
      <c r="AW852" s="220"/>
      <c r="AX852" s="220"/>
      <c r="AY852" s="220"/>
      <c r="AZ852" s="220"/>
      <c r="BA852" s="220"/>
    </row>
    <row r="853">
      <c r="A853" s="240"/>
      <c r="B853" s="311"/>
      <c r="C853" s="311"/>
      <c r="D853" s="312"/>
      <c r="E853" s="311"/>
      <c r="F853" s="311"/>
      <c r="G853" s="312"/>
      <c r="H853" s="312"/>
      <c r="I853" s="313"/>
      <c r="J853" s="314"/>
      <c r="K853" s="313"/>
      <c r="L853" s="313"/>
      <c r="M853" s="313"/>
      <c r="N853" s="315"/>
      <c r="O853" s="313"/>
      <c r="P853" s="313"/>
      <c r="Q853" s="313"/>
      <c r="R853" s="313"/>
      <c r="S853" s="316"/>
      <c r="T853" s="317"/>
      <c r="U853" s="318"/>
      <c r="V853" s="319"/>
      <c r="W853" s="288"/>
      <c r="X853" s="220"/>
      <c r="Y853" s="220"/>
      <c r="Z853" s="220"/>
      <c r="AA853" s="220"/>
      <c r="AB853" s="220"/>
      <c r="AC853" s="220"/>
      <c r="AD853" s="220"/>
      <c r="AE853" s="220"/>
      <c r="AF853" s="220"/>
      <c r="AG853" s="220"/>
      <c r="AH853" s="308"/>
      <c r="AI853" s="220"/>
      <c r="AJ853" s="220"/>
      <c r="AK853" s="220"/>
      <c r="AL853" s="220"/>
      <c r="AM853" s="220"/>
      <c r="AN853" s="220"/>
      <c r="AO853" s="220"/>
      <c r="AP853" s="220"/>
      <c r="AQ853" s="220"/>
      <c r="AR853" s="220"/>
      <c r="AS853" s="220"/>
      <c r="AT853" s="220"/>
      <c r="AU853" s="220"/>
      <c r="AV853" s="220"/>
      <c r="AW853" s="220"/>
      <c r="AX853" s="220"/>
      <c r="AY853" s="220"/>
      <c r="AZ853" s="220"/>
      <c r="BA853" s="220"/>
    </row>
    <row r="854">
      <c r="A854" s="240"/>
      <c r="B854" s="311"/>
      <c r="C854" s="311"/>
      <c r="D854" s="312"/>
      <c r="E854" s="311"/>
      <c r="F854" s="311"/>
      <c r="G854" s="312"/>
      <c r="H854" s="312"/>
      <c r="I854" s="313"/>
      <c r="J854" s="314"/>
      <c r="K854" s="313"/>
      <c r="L854" s="313"/>
      <c r="M854" s="313"/>
      <c r="N854" s="315"/>
      <c r="O854" s="313"/>
      <c r="P854" s="313"/>
      <c r="Q854" s="313"/>
      <c r="R854" s="313"/>
      <c r="S854" s="316"/>
      <c r="T854" s="317"/>
      <c r="U854" s="318"/>
      <c r="V854" s="319"/>
      <c r="W854" s="288"/>
      <c r="X854" s="220"/>
      <c r="Y854" s="220"/>
      <c r="Z854" s="220"/>
      <c r="AA854" s="220"/>
      <c r="AB854" s="220"/>
      <c r="AC854" s="220"/>
      <c r="AD854" s="220"/>
      <c r="AE854" s="220"/>
      <c r="AF854" s="220"/>
      <c r="AG854" s="220"/>
      <c r="AH854" s="308"/>
      <c r="AI854" s="220"/>
      <c r="AJ854" s="220"/>
      <c r="AK854" s="220"/>
      <c r="AL854" s="220"/>
      <c r="AM854" s="220"/>
      <c r="AN854" s="220"/>
      <c r="AO854" s="220"/>
      <c r="AP854" s="220"/>
      <c r="AQ854" s="220"/>
      <c r="AR854" s="220"/>
      <c r="AS854" s="220"/>
      <c r="AT854" s="220"/>
      <c r="AU854" s="220"/>
      <c r="AV854" s="220"/>
      <c r="AW854" s="220"/>
      <c r="AX854" s="220"/>
      <c r="AY854" s="220"/>
      <c r="AZ854" s="220"/>
      <c r="BA854" s="220"/>
    </row>
    <row r="855">
      <c r="A855" s="240"/>
      <c r="B855" s="311"/>
      <c r="C855" s="311"/>
      <c r="D855" s="312"/>
      <c r="E855" s="311"/>
      <c r="F855" s="311"/>
      <c r="G855" s="312"/>
      <c r="H855" s="312"/>
      <c r="I855" s="313"/>
      <c r="J855" s="314"/>
      <c r="K855" s="313"/>
      <c r="L855" s="313"/>
      <c r="M855" s="313"/>
      <c r="N855" s="315"/>
      <c r="O855" s="313"/>
      <c r="P855" s="313"/>
      <c r="Q855" s="313"/>
      <c r="R855" s="313"/>
      <c r="S855" s="316"/>
      <c r="T855" s="317"/>
      <c r="U855" s="318"/>
      <c r="V855" s="319"/>
      <c r="W855" s="288"/>
      <c r="X855" s="220"/>
      <c r="Y855" s="220"/>
      <c r="Z855" s="220"/>
      <c r="AA855" s="220"/>
      <c r="AB855" s="220"/>
      <c r="AC855" s="220"/>
      <c r="AD855" s="220"/>
      <c r="AE855" s="220"/>
      <c r="AF855" s="220"/>
      <c r="AG855" s="220"/>
      <c r="AH855" s="308"/>
      <c r="AI855" s="220"/>
      <c r="AJ855" s="220"/>
      <c r="AK855" s="220"/>
      <c r="AL855" s="220"/>
      <c r="AM855" s="220"/>
      <c r="AN855" s="220"/>
      <c r="AO855" s="220"/>
      <c r="AP855" s="220"/>
      <c r="AQ855" s="220"/>
      <c r="AR855" s="220"/>
      <c r="AS855" s="220"/>
      <c r="AT855" s="220"/>
      <c r="AU855" s="220"/>
      <c r="AV855" s="220"/>
      <c r="AW855" s="220"/>
      <c r="AX855" s="220"/>
      <c r="AY855" s="220"/>
      <c r="AZ855" s="220"/>
      <c r="BA855" s="220"/>
    </row>
    <row r="856">
      <c r="A856" s="240"/>
      <c r="B856" s="311"/>
      <c r="C856" s="311"/>
      <c r="D856" s="312"/>
      <c r="E856" s="311"/>
      <c r="F856" s="311"/>
      <c r="G856" s="312"/>
      <c r="H856" s="312"/>
      <c r="I856" s="313"/>
      <c r="J856" s="314"/>
      <c r="K856" s="313"/>
      <c r="L856" s="313"/>
      <c r="M856" s="313"/>
      <c r="N856" s="315"/>
      <c r="O856" s="313"/>
      <c r="P856" s="313"/>
      <c r="Q856" s="313"/>
      <c r="R856" s="313"/>
      <c r="S856" s="316"/>
      <c r="T856" s="317"/>
      <c r="U856" s="318"/>
      <c r="V856" s="319"/>
      <c r="W856" s="288"/>
      <c r="X856" s="220"/>
      <c r="Y856" s="220"/>
      <c r="Z856" s="220"/>
      <c r="AA856" s="220"/>
      <c r="AB856" s="220"/>
      <c r="AC856" s="220"/>
      <c r="AD856" s="220"/>
      <c r="AE856" s="220"/>
      <c r="AF856" s="220"/>
      <c r="AG856" s="220"/>
      <c r="AH856" s="308"/>
      <c r="AI856" s="220"/>
      <c r="AJ856" s="220"/>
      <c r="AK856" s="220"/>
      <c r="AL856" s="220"/>
      <c r="AM856" s="220"/>
      <c r="AN856" s="220"/>
      <c r="AO856" s="220"/>
      <c r="AP856" s="220"/>
      <c r="AQ856" s="220"/>
      <c r="AR856" s="220"/>
      <c r="AS856" s="220"/>
      <c r="AT856" s="220"/>
      <c r="AU856" s="220"/>
      <c r="AV856" s="220"/>
      <c r="AW856" s="220"/>
      <c r="AX856" s="220"/>
      <c r="AY856" s="220"/>
      <c r="AZ856" s="220"/>
      <c r="BA856" s="220"/>
    </row>
    <row r="857">
      <c r="A857" s="240"/>
      <c r="B857" s="311"/>
      <c r="C857" s="311"/>
      <c r="D857" s="312"/>
      <c r="E857" s="311"/>
      <c r="F857" s="311"/>
      <c r="G857" s="312"/>
      <c r="H857" s="312"/>
      <c r="I857" s="313"/>
      <c r="J857" s="314"/>
      <c r="K857" s="313"/>
      <c r="L857" s="313"/>
      <c r="M857" s="313"/>
      <c r="N857" s="315"/>
      <c r="O857" s="313"/>
      <c r="P857" s="313"/>
      <c r="Q857" s="313"/>
      <c r="R857" s="313"/>
      <c r="S857" s="316"/>
      <c r="T857" s="317"/>
      <c r="U857" s="318"/>
      <c r="V857" s="319"/>
      <c r="W857" s="288"/>
      <c r="X857" s="220"/>
      <c r="Y857" s="220"/>
      <c r="Z857" s="220"/>
      <c r="AA857" s="220"/>
      <c r="AB857" s="220"/>
      <c r="AC857" s="220"/>
      <c r="AD857" s="220"/>
      <c r="AE857" s="220"/>
      <c r="AF857" s="220"/>
      <c r="AG857" s="220"/>
      <c r="AH857" s="308"/>
      <c r="AI857" s="220"/>
      <c r="AJ857" s="220"/>
      <c r="AK857" s="220"/>
      <c r="AL857" s="220"/>
      <c r="AM857" s="220"/>
      <c r="AN857" s="220"/>
      <c r="AO857" s="220"/>
      <c r="AP857" s="220"/>
      <c r="AQ857" s="220"/>
      <c r="AR857" s="220"/>
      <c r="AS857" s="220"/>
      <c r="AT857" s="220"/>
      <c r="AU857" s="220"/>
      <c r="AV857" s="220"/>
      <c r="AW857" s="220"/>
      <c r="AX857" s="220"/>
      <c r="AY857" s="220"/>
      <c r="AZ857" s="220"/>
      <c r="BA857" s="220"/>
    </row>
    <row r="858">
      <c r="A858" s="240"/>
      <c r="B858" s="311"/>
      <c r="C858" s="311"/>
      <c r="D858" s="312"/>
      <c r="E858" s="311"/>
      <c r="F858" s="311"/>
      <c r="G858" s="312"/>
      <c r="H858" s="312"/>
      <c r="I858" s="313"/>
      <c r="J858" s="314"/>
      <c r="K858" s="313"/>
      <c r="L858" s="313"/>
      <c r="M858" s="313"/>
      <c r="N858" s="315"/>
      <c r="O858" s="313"/>
      <c r="P858" s="313"/>
      <c r="Q858" s="313"/>
      <c r="R858" s="313"/>
      <c r="S858" s="316"/>
      <c r="T858" s="317"/>
      <c r="U858" s="318"/>
      <c r="V858" s="319"/>
      <c r="W858" s="288"/>
      <c r="X858" s="220"/>
      <c r="Y858" s="220"/>
      <c r="Z858" s="220"/>
      <c r="AA858" s="220"/>
      <c r="AB858" s="220"/>
      <c r="AC858" s="220"/>
      <c r="AD858" s="220"/>
      <c r="AE858" s="220"/>
      <c r="AF858" s="220"/>
      <c r="AG858" s="220"/>
      <c r="AH858" s="308"/>
      <c r="AI858" s="220"/>
      <c r="AJ858" s="220"/>
      <c r="AK858" s="220"/>
      <c r="AL858" s="220"/>
      <c r="AM858" s="220"/>
      <c r="AN858" s="220"/>
      <c r="AO858" s="220"/>
      <c r="AP858" s="220"/>
      <c r="AQ858" s="220"/>
      <c r="AR858" s="220"/>
      <c r="AS858" s="220"/>
      <c r="AT858" s="220"/>
      <c r="AU858" s="220"/>
      <c r="AV858" s="220"/>
      <c r="AW858" s="220"/>
      <c r="AX858" s="220"/>
      <c r="AY858" s="220"/>
      <c r="AZ858" s="220"/>
      <c r="BA858" s="220"/>
    </row>
    <row r="859">
      <c r="A859" s="240"/>
      <c r="B859" s="311"/>
      <c r="C859" s="311"/>
      <c r="D859" s="312"/>
      <c r="E859" s="311"/>
      <c r="F859" s="311"/>
      <c r="G859" s="312"/>
      <c r="H859" s="312"/>
      <c r="I859" s="313"/>
      <c r="J859" s="314"/>
      <c r="K859" s="313"/>
      <c r="L859" s="313"/>
      <c r="M859" s="313"/>
      <c r="N859" s="315"/>
      <c r="O859" s="313"/>
      <c r="P859" s="313"/>
      <c r="Q859" s="313"/>
      <c r="R859" s="313"/>
      <c r="S859" s="316"/>
      <c r="T859" s="317"/>
      <c r="U859" s="318"/>
      <c r="V859" s="319"/>
      <c r="W859" s="288"/>
      <c r="X859" s="220"/>
      <c r="Y859" s="220"/>
      <c r="Z859" s="220"/>
      <c r="AA859" s="220"/>
      <c r="AB859" s="220"/>
      <c r="AC859" s="220"/>
      <c r="AD859" s="220"/>
      <c r="AE859" s="220"/>
      <c r="AF859" s="220"/>
      <c r="AG859" s="220"/>
      <c r="AH859" s="308"/>
      <c r="AI859" s="220"/>
      <c r="AJ859" s="220"/>
      <c r="AK859" s="220"/>
      <c r="AL859" s="220"/>
      <c r="AM859" s="220"/>
      <c r="AN859" s="220"/>
      <c r="AO859" s="220"/>
      <c r="AP859" s="220"/>
      <c r="AQ859" s="220"/>
      <c r="AR859" s="220"/>
      <c r="AS859" s="220"/>
      <c r="AT859" s="220"/>
      <c r="AU859" s="220"/>
      <c r="AV859" s="220"/>
      <c r="AW859" s="220"/>
      <c r="AX859" s="220"/>
      <c r="AY859" s="220"/>
      <c r="AZ859" s="220"/>
      <c r="BA859" s="220"/>
    </row>
    <row r="860">
      <c r="A860" s="240"/>
      <c r="B860" s="311"/>
      <c r="C860" s="311"/>
      <c r="D860" s="312"/>
      <c r="E860" s="311"/>
      <c r="F860" s="311"/>
      <c r="G860" s="312"/>
      <c r="H860" s="312"/>
      <c r="I860" s="313"/>
      <c r="J860" s="314"/>
      <c r="K860" s="313"/>
      <c r="L860" s="313"/>
      <c r="M860" s="313"/>
      <c r="N860" s="315"/>
      <c r="O860" s="313"/>
      <c r="P860" s="313"/>
      <c r="Q860" s="313"/>
      <c r="R860" s="313"/>
      <c r="S860" s="316"/>
      <c r="T860" s="317"/>
      <c r="U860" s="318"/>
      <c r="V860" s="319"/>
      <c r="W860" s="288"/>
      <c r="X860" s="220"/>
      <c r="Y860" s="220"/>
      <c r="Z860" s="220"/>
      <c r="AA860" s="220"/>
      <c r="AB860" s="220"/>
      <c r="AC860" s="220"/>
      <c r="AD860" s="220"/>
      <c r="AE860" s="220"/>
      <c r="AF860" s="220"/>
      <c r="AG860" s="220"/>
      <c r="AH860" s="308"/>
      <c r="AI860" s="220"/>
      <c r="AJ860" s="220"/>
      <c r="AK860" s="220"/>
      <c r="AL860" s="220"/>
      <c r="AM860" s="220"/>
      <c r="AN860" s="220"/>
      <c r="AO860" s="220"/>
      <c r="AP860" s="220"/>
      <c r="AQ860" s="220"/>
      <c r="AR860" s="220"/>
      <c r="AS860" s="220"/>
      <c r="AT860" s="220"/>
      <c r="AU860" s="220"/>
      <c r="AV860" s="220"/>
      <c r="AW860" s="220"/>
      <c r="AX860" s="220"/>
      <c r="AY860" s="220"/>
      <c r="AZ860" s="220"/>
      <c r="BA860" s="220"/>
    </row>
    <row r="861">
      <c r="A861" s="240"/>
      <c r="B861" s="311"/>
      <c r="C861" s="311"/>
      <c r="D861" s="312"/>
      <c r="E861" s="311"/>
      <c r="F861" s="311"/>
      <c r="G861" s="312"/>
      <c r="H861" s="312"/>
      <c r="I861" s="313"/>
      <c r="J861" s="314"/>
      <c r="K861" s="313"/>
      <c r="L861" s="313"/>
      <c r="M861" s="313"/>
      <c r="N861" s="315"/>
      <c r="O861" s="313"/>
      <c r="P861" s="313"/>
      <c r="Q861" s="313"/>
      <c r="R861" s="313"/>
      <c r="S861" s="316"/>
      <c r="T861" s="317"/>
      <c r="U861" s="318"/>
      <c r="V861" s="319"/>
      <c r="W861" s="288"/>
      <c r="X861" s="220"/>
      <c r="Y861" s="220"/>
      <c r="Z861" s="220"/>
      <c r="AA861" s="220"/>
      <c r="AB861" s="220"/>
      <c r="AC861" s="220"/>
      <c r="AD861" s="220"/>
      <c r="AE861" s="220"/>
      <c r="AF861" s="220"/>
      <c r="AG861" s="220"/>
      <c r="AH861" s="308"/>
      <c r="AI861" s="220"/>
      <c r="AJ861" s="220"/>
      <c r="AK861" s="220"/>
      <c r="AL861" s="220"/>
      <c r="AM861" s="220"/>
      <c r="AN861" s="220"/>
      <c r="AO861" s="220"/>
      <c r="AP861" s="220"/>
      <c r="AQ861" s="220"/>
      <c r="AR861" s="220"/>
      <c r="AS861" s="220"/>
      <c r="AT861" s="220"/>
      <c r="AU861" s="220"/>
      <c r="AV861" s="220"/>
      <c r="AW861" s="220"/>
      <c r="AX861" s="220"/>
      <c r="AY861" s="220"/>
      <c r="AZ861" s="220"/>
      <c r="BA861" s="220"/>
    </row>
    <row r="862">
      <c r="A862" s="240"/>
      <c r="B862" s="311"/>
      <c r="C862" s="311"/>
      <c r="D862" s="312"/>
      <c r="E862" s="311"/>
      <c r="F862" s="311"/>
      <c r="G862" s="312"/>
      <c r="H862" s="312"/>
      <c r="I862" s="313"/>
      <c r="J862" s="314"/>
      <c r="K862" s="313"/>
      <c r="L862" s="313"/>
      <c r="M862" s="313"/>
      <c r="N862" s="315"/>
      <c r="O862" s="313"/>
      <c r="P862" s="313"/>
      <c r="Q862" s="313"/>
      <c r="R862" s="313"/>
      <c r="S862" s="316"/>
      <c r="T862" s="317"/>
      <c r="U862" s="318"/>
      <c r="V862" s="319"/>
      <c r="W862" s="288"/>
      <c r="X862" s="220"/>
      <c r="Y862" s="220"/>
      <c r="Z862" s="220"/>
      <c r="AA862" s="220"/>
      <c r="AB862" s="220"/>
      <c r="AC862" s="220"/>
      <c r="AD862" s="220"/>
      <c r="AE862" s="220"/>
      <c r="AF862" s="220"/>
      <c r="AG862" s="220"/>
      <c r="AH862" s="308"/>
      <c r="AI862" s="220"/>
      <c r="AJ862" s="220"/>
      <c r="AK862" s="220"/>
      <c r="AL862" s="220"/>
      <c r="AM862" s="220"/>
      <c r="AN862" s="220"/>
      <c r="AO862" s="220"/>
      <c r="AP862" s="220"/>
      <c r="AQ862" s="220"/>
      <c r="AR862" s="220"/>
      <c r="AS862" s="220"/>
      <c r="AT862" s="220"/>
      <c r="AU862" s="220"/>
      <c r="AV862" s="220"/>
      <c r="AW862" s="220"/>
      <c r="AX862" s="220"/>
      <c r="AY862" s="220"/>
      <c r="AZ862" s="220"/>
      <c r="BA862" s="220"/>
    </row>
    <row r="863">
      <c r="A863" s="240"/>
      <c r="B863" s="311"/>
      <c r="C863" s="311"/>
      <c r="D863" s="312"/>
      <c r="E863" s="311"/>
      <c r="F863" s="311"/>
      <c r="G863" s="312"/>
      <c r="H863" s="312"/>
      <c r="I863" s="313"/>
      <c r="J863" s="314"/>
      <c r="K863" s="313"/>
      <c r="L863" s="313"/>
      <c r="M863" s="313"/>
      <c r="N863" s="315"/>
      <c r="O863" s="313"/>
      <c r="P863" s="313"/>
      <c r="Q863" s="313"/>
      <c r="R863" s="313"/>
      <c r="S863" s="316"/>
      <c r="T863" s="317"/>
      <c r="U863" s="318"/>
      <c r="V863" s="319"/>
      <c r="W863" s="288"/>
      <c r="X863" s="220"/>
      <c r="Y863" s="220"/>
      <c r="Z863" s="220"/>
      <c r="AA863" s="220"/>
      <c r="AB863" s="220"/>
      <c r="AC863" s="220"/>
      <c r="AD863" s="220"/>
      <c r="AE863" s="220"/>
      <c r="AF863" s="220"/>
      <c r="AG863" s="220"/>
      <c r="AH863" s="308"/>
      <c r="AI863" s="220"/>
      <c r="AJ863" s="220"/>
      <c r="AK863" s="220"/>
      <c r="AL863" s="220"/>
      <c r="AM863" s="220"/>
      <c r="AN863" s="220"/>
      <c r="AO863" s="220"/>
      <c r="AP863" s="220"/>
      <c r="AQ863" s="220"/>
      <c r="AR863" s="220"/>
      <c r="AS863" s="220"/>
      <c r="AT863" s="220"/>
      <c r="AU863" s="220"/>
      <c r="AV863" s="220"/>
      <c r="AW863" s="220"/>
      <c r="AX863" s="220"/>
      <c r="AY863" s="220"/>
      <c r="AZ863" s="220"/>
      <c r="BA863" s="220"/>
    </row>
    <row r="864">
      <c r="A864" s="240"/>
      <c r="B864" s="311"/>
      <c r="C864" s="311"/>
      <c r="D864" s="312"/>
      <c r="E864" s="311"/>
      <c r="F864" s="311"/>
      <c r="G864" s="312"/>
      <c r="H864" s="312"/>
      <c r="I864" s="313"/>
      <c r="J864" s="314"/>
      <c r="K864" s="313"/>
      <c r="L864" s="313"/>
      <c r="M864" s="313"/>
      <c r="N864" s="315"/>
      <c r="O864" s="313"/>
      <c r="P864" s="313"/>
      <c r="Q864" s="313"/>
      <c r="R864" s="313"/>
      <c r="S864" s="316"/>
      <c r="T864" s="317"/>
      <c r="U864" s="318"/>
      <c r="V864" s="319"/>
      <c r="W864" s="288"/>
      <c r="X864" s="220"/>
      <c r="Y864" s="220"/>
      <c r="Z864" s="220"/>
      <c r="AA864" s="220"/>
      <c r="AB864" s="220"/>
      <c r="AC864" s="220"/>
      <c r="AD864" s="220"/>
      <c r="AE864" s="220"/>
      <c r="AF864" s="220"/>
      <c r="AG864" s="220"/>
      <c r="AH864" s="308"/>
      <c r="AI864" s="220"/>
      <c r="AJ864" s="220"/>
      <c r="AK864" s="220"/>
      <c r="AL864" s="220"/>
      <c r="AM864" s="220"/>
      <c r="AN864" s="220"/>
      <c r="AO864" s="220"/>
      <c r="AP864" s="220"/>
      <c r="AQ864" s="220"/>
      <c r="AR864" s="220"/>
      <c r="AS864" s="220"/>
      <c r="AT864" s="220"/>
      <c r="AU864" s="220"/>
      <c r="AV864" s="220"/>
      <c r="AW864" s="220"/>
      <c r="AX864" s="220"/>
      <c r="AY864" s="220"/>
      <c r="AZ864" s="220"/>
      <c r="BA864" s="220"/>
    </row>
    <row r="865">
      <c r="A865" s="240"/>
      <c r="B865" s="311"/>
      <c r="C865" s="311"/>
      <c r="D865" s="312"/>
      <c r="E865" s="311"/>
      <c r="F865" s="311"/>
      <c r="G865" s="312"/>
      <c r="H865" s="312"/>
      <c r="I865" s="313"/>
      <c r="J865" s="314"/>
      <c r="K865" s="313"/>
      <c r="L865" s="313"/>
      <c r="M865" s="313"/>
      <c r="N865" s="315"/>
      <c r="O865" s="313"/>
      <c r="P865" s="313"/>
      <c r="Q865" s="313"/>
      <c r="R865" s="313"/>
      <c r="S865" s="316"/>
      <c r="T865" s="317"/>
      <c r="U865" s="318"/>
      <c r="V865" s="319"/>
      <c r="W865" s="288"/>
      <c r="X865" s="220"/>
      <c r="Y865" s="220"/>
      <c r="Z865" s="220"/>
      <c r="AA865" s="220"/>
      <c r="AB865" s="220"/>
      <c r="AC865" s="220"/>
      <c r="AD865" s="220"/>
      <c r="AE865" s="220"/>
      <c r="AF865" s="220"/>
      <c r="AG865" s="220"/>
      <c r="AH865" s="308"/>
      <c r="AI865" s="220"/>
      <c r="AJ865" s="220"/>
      <c r="AK865" s="220"/>
      <c r="AL865" s="220"/>
      <c r="AM865" s="220"/>
      <c r="AN865" s="220"/>
      <c r="AO865" s="220"/>
      <c r="AP865" s="220"/>
      <c r="AQ865" s="220"/>
      <c r="AR865" s="220"/>
      <c r="AS865" s="220"/>
      <c r="AT865" s="220"/>
      <c r="AU865" s="220"/>
      <c r="AV865" s="220"/>
      <c r="AW865" s="220"/>
      <c r="AX865" s="220"/>
      <c r="AY865" s="220"/>
      <c r="AZ865" s="220"/>
      <c r="BA865" s="220"/>
    </row>
    <row r="866">
      <c r="A866" s="240"/>
      <c r="B866" s="311"/>
      <c r="C866" s="311"/>
      <c r="D866" s="312"/>
      <c r="E866" s="311"/>
      <c r="F866" s="311"/>
      <c r="G866" s="312"/>
      <c r="H866" s="312"/>
      <c r="I866" s="313"/>
      <c r="J866" s="314"/>
      <c r="K866" s="313"/>
      <c r="L866" s="313"/>
      <c r="M866" s="313"/>
      <c r="N866" s="315"/>
      <c r="O866" s="313"/>
      <c r="P866" s="313"/>
      <c r="Q866" s="313"/>
      <c r="R866" s="313"/>
      <c r="S866" s="316"/>
      <c r="T866" s="317"/>
      <c r="U866" s="318"/>
      <c r="V866" s="319"/>
      <c r="W866" s="288"/>
      <c r="X866" s="220"/>
      <c r="Y866" s="220"/>
      <c r="Z866" s="220"/>
      <c r="AA866" s="220"/>
      <c r="AB866" s="220"/>
      <c r="AC866" s="220"/>
      <c r="AD866" s="220"/>
      <c r="AE866" s="220"/>
      <c r="AF866" s="220"/>
      <c r="AG866" s="220"/>
      <c r="AH866" s="308"/>
      <c r="AI866" s="220"/>
      <c r="AJ866" s="220"/>
      <c r="AK866" s="220"/>
      <c r="AL866" s="220"/>
      <c r="AM866" s="220"/>
      <c r="AN866" s="220"/>
      <c r="AO866" s="220"/>
      <c r="AP866" s="220"/>
      <c r="AQ866" s="220"/>
      <c r="AR866" s="220"/>
      <c r="AS866" s="220"/>
      <c r="AT866" s="220"/>
      <c r="AU866" s="220"/>
      <c r="AV866" s="220"/>
      <c r="AW866" s="220"/>
      <c r="AX866" s="220"/>
      <c r="AY866" s="220"/>
      <c r="AZ866" s="220"/>
      <c r="BA866" s="220"/>
    </row>
    <row r="867">
      <c r="A867" s="240"/>
      <c r="B867" s="311"/>
      <c r="C867" s="311"/>
      <c r="D867" s="312"/>
      <c r="E867" s="311"/>
      <c r="F867" s="311"/>
      <c r="G867" s="312"/>
      <c r="H867" s="312"/>
      <c r="I867" s="313"/>
      <c r="J867" s="314"/>
      <c r="K867" s="313"/>
      <c r="L867" s="313"/>
      <c r="M867" s="313"/>
      <c r="N867" s="315"/>
      <c r="O867" s="313"/>
      <c r="P867" s="313"/>
      <c r="Q867" s="313"/>
      <c r="R867" s="313"/>
      <c r="S867" s="316"/>
      <c r="T867" s="317"/>
      <c r="U867" s="318"/>
      <c r="V867" s="319"/>
      <c r="W867" s="288"/>
      <c r="X867" s="220"/>
      <c r="Y867" s="220"/>
      <c r="Z867" s="220"/>
      <c r="AA867" s="220"/>
      <c r="AB867" s="220"/>
      <c r="AC867" s="220"/>
      <c r="AD867" s="220"/>
      <c r="AE867" s="220"/>
      <c r="AF867" s="220"/>
      <c r="AG867" s="220"/>
      <c r="AH867" s="308"/>
      <c r="AI867" s="220"/>
      <c r="AJ867" s="220"/>
      <c r="AK867" s="220"/>
      <c r="AL867" s="220"/>
      <c r="AM867" s="220"/>
      <c r="AN867" s="220"/>
      <c r="AO867" s="220"/>
      <c r="AP867" s="220"/>
      <c r="AQ867" s="220"/>
      <c r="AR867" s="220"/>
      <c r="AS867" s="220"/>
      <c r="AT867" s="220"/>
      <c r="AU867" s="220"/>
      <c r="AV867" s="220"/>
      <c r="AW867" s="220"/>
      <c r="AX867" s="220"/>
      <c r="AY867" s="220"/>
      <c r="AZ867" s="220"/>
      <c r="BA867" s="220"/>
    </row>
    <row r="868">
      <c r="A868" s="240"/>
      <c r="B868" s="311"/>
      <c r="C868" s="311"/>
      <c r="D868" s="312"/>
      <c r="E868" s="311"/>
      <c r="F868" s="311"/>
      <c r="G868" s="312"/>
      <c r="H868" s="312"/>
      <c r="I868" s="313"/>
      <c r="J868" s="314"/>
      <c r="K868" s="313"/>
      <c r="L868" s="313"/>
      <c r="M868" s="313"/>
      <c r="N868" s="315"/>
      <c r="O868" s="313"/>
      <c r="P868" s="313"/>
      <c r="Q868" s="313"/>
      <c r="R868" s="313"/>
      <c r="S868" s="316"/>
      <c r="T868" s="317"/>
      <c r="U868" s="318"/>
      <c r="V868" s="319"/>
      <c r="W868" s="288"/>
      <c r="X868" s="220"/>
      <c r="Y868" s="220"/>
      <c r="Z868" s="220"/>
      <c r="AA868" s="220"/>
      <c r="AB868" s="220"/>
      <c r="AC868" s="220"/>
      <c r="AD868" s="220"/>
      <c r="AE868" s="220"/>
      <c r="AF868" s="220"/>
      <c r="AG868" s="220"/>
      <c r="AH868" s="308"/>
      <c r="AI868" s="220"/>
      <c r="AJ868" s="220"/>
      <c r="AK868" s="220"/>
      <c r="AL868" s="220"/>
      <c r="AM868" s="220"/>
      <c r="AN868" s="220"/>
      <c r="AO868" s="220"/>
      <c r="AP868" s="220"/>
      <c r="AQ868" s="220"/>
      <c r="AR868" s="220"/>
      <c r="AS868" s="220"/>
      <c r="AT868" s="220"/>
      <c r="AU868" s="220"/>
      <c r="AV868" s="220"/>
      <c r="AW868" s="220"/>
      <c r="AX868" s="220"/>
      <c r="AY868" s="220"/>
      <c r="AZ868" s="220"/>
      <c r="BA868" s="220"/>
    </row>
    <row r="869">
      <c r="A869" s="240"/>
      <c r="B869" s="311"/>
      <c r="C869" s="311"/>
      <c r="D869" s="312"/>
      <c r="E869" s="311"/>
      <c r="F869" s="311"/>
      <c r="G869" s="312"/>
      <c r="H869" s="312"/>
      <c r="I869" s="313"/>
      <c r="J869" s="314"/>
      <c r="K869" s="313"/>
      <c r="L869" s="313"/>
      <c r="M869" s="313"/>
      <c r="N869" s="315"/>
      <c r="O869" s="313"/>
      <c r="P869" s="313"/>
      <c r="Q869" s="313"/>
      <c r="R869" s="313"/>
      <c r="S869" s="316"/>
      <c r="T869" s="317"/>
      <c r="U869" s="318"/>
      <c r="V869" s="319"/>
      <c r="W869" s="288"/>
      <c r="X869" s="220"/>
      <c r="Y869" s="220"/>
      <c r="Z869" s="220"/>
      <c r="AA869" s="220"/>
      <c r="AB869" s="220"/>
      <c r="AC869" s="220"/>
      <c r="AD869" s="220"/>
      <c r="AE869" s="220"/>
      <c r="AF869" s="220"/>
      <c r="AG869" s="220"/>
      <c r="AH869" s="308"/>
      <c r="AI869" s="220"/>
      <c r="AJ869" s="220"/>
      <c r="AK869" s="220"/>
      <c r="AL869" s="220"/>
      <c r="AM869" s="220"/>
      <c r="AN869" s="220"/>
      <c r="AO869" s="220"/>
      <c r="AP869" s="220"/>
      <c r="AQ869" s="220"/>
      <c r="AR869" s="220"/>
      <c r="AS869" s="220"/>
      <c r="AT869" s="220"/>
      <c r="AU869" s="220"/>
      <c r="AV869" s="220"/>
      <c r="AW869" s="220"/>
      <c r="AX869" s="220"/>
      <c r="AY869" s="220"/>
      <c r="AZ869" s="220"/>
      <c r="BA869" s="220"/>
    </row>
    <row r="870">
      <c r="A870" s="240"/>
      <c r="B870" s="311"/>
      <c r="C870" s="311"/>
      <c r="D870" s="312"/>
      <c r="E870" s="311"/>
      <c r="F870" s="311"/>
      <c r="G870" s="312"/>
      <c r="H870" s="312"/>
      <c r="I870" s="313"/>
      <c r="J870" s="314"/>
      <c r="K870" s="313"/>
      <c r="L870" s="313"/>
      <c r="M870" s="313"/>
      <c r="N870" s="315"/>
      <c r="O870" s="313"/>
      <c r="P870" s="313"/>
      <c r="Q870" s="313"/>
      <c r="R870" s="313"/>
      <c r="S870" s="316"/>
      <c r="T870" s="317"/>
      <c r="U870" s="318"/>
      <c r="V870" s="319"/>
      <c r="W870" s="288"/>
      <c r="X870" s="220"/>
      <c r="Y870" s="220"/>
      <c r="Z870" s="220"/>
      <c r="AA870" s="220"/>
      <c r="AB870" s="220"/>
      <c r="AC870" s="220"/>
      <c r="AD870" s="220"/>
      <c r="AE870" s="220"/>
      <c r="AF870" s="220"/>
      <c r="AG870" s="220"/>
      <c r="AH870" s="308"/>
      <c r="AI870" s="220"/>
      <c r="AJ870" s="220"/>
      <c r="AK870" s="220"/>
      <c r="AL870" s="220"/>
      <c r="AM870" s="220"/>
      <c r="AN870" s="220"/>
      <c r="AO870" s="220"/>
      <c r="AP870" s="220"/>
      <c r="AQ870" s="220"/>
      <c r="AR870" s="220"/>
      <c r="AS870" s="220"/>
      <c r="AT870" s="220"/>
      <c r="AU870" s="220"/>
      <c r="AV870" s="220"/>
      <c r="AW870" s="220"/>
      <c r="AX870" s="220"/>
      <c r="AY870" s="220"/>
      <c r="AZ870" s="220"/>
      <c r="BA870" s="220"/>
    </row>
    <row r="871">
      <c r="A871" s="240"/>
      <c r="B871" s="311"/>
      <c r="C871" s="311"/>
      <c r="D871" s="312"/>
      <c r="E871" s="311"/>
      <c r="F871" s="311"/>
      <c r="G871" s="312"/>
      <c r="H871" s="312"/>
      <c r="I871" s="313"/>
      <c r="J871" s="314"/>
      <c r="K871" s="313"/>
      <c r="L871" s="313"/>
      <c r="M871" s="313"/>
      <c r="N871" s="315"/>
      <c r="O871" s="313"/>
      <c r="P871" s="313"/>
      <c r="Q871" s="313"/>
      <c r="R871" s="313"/>
      <c r="S871" s="316"/>
      <c r="T871" s="317"/>
      <c r="U871" s="318"/>
      <c r="V871" s="319"/>
      <c r="W871" s="288"/>
      <c r="X871" s="220"/>
      <c r="Y871" s="220"/>
      <c r="Z871" s="220"/>
      <c r="AA871" s="220"/>
      <c r="AB871" s="220"/>
      <c r="AC871" s="220"/>
      <c r="AD871" s="220"/>
      <c r="AE871" s="220"/>
      <c r="AF871" s="220"/>
      <c r="AG871" s="220"/>
      <c r="AH871" s="308"/>
      <c r="AI871" s="220"/>
      <c r="AJ871" s="220"/>
      <c r="AK871" s="220"/>
      <c r="AL871" s="220"/>
      <c r="AM871" s="220"/>
      <c r="AN871" s="220"/>
      <c r="AO871" s="220"/>
      <c r="AP871" s="220"/>
      <c r="AQ871" s="220"/>
      <c r="AR871" s="220"/>
      <c r="AS871" s="220"/>
      <c r="AT871" s="220"/>
      <c r="AU871" s="220"/>
      <c r="AV871" s="220"/>
      <c r="AW871" s="220"/>
      <c r="AX871" s="220"/>
      <c r="AY871" s="220"/>
      <c r="AZ871" s="220"/>
      <c r="BA871" s="220"/>
    </row>
    <row r="872">
      <c r="A872" s="240"/>
      <c r="B872" s="311"/>
      <c r="C872" s="311"/>
      <c r="D872" s="312"/>
      <c r="E872" s="311"/>
      <c r="F872" s="311"/>
      <c r="G872" s="312"/>
      <c r="H872" s="312"/>
      <c r="I872" s="313"/>
      <c r="J872" s="314"/>
      <c r="K872" s="313"/>
      <c r="L872" s="313"/>
      <c r="M872" s="313"/>
      <c r="N872" s="315"/>
      <c r="O872" s="313"/>
      <c r="P872" s="313"/>
      <c r="Q872" s="313"/>
      <c r="R872" s="313"/>
      <c r="S872" s="316"/>
      <c r="T872" s="317"/>
      <c r="U872" s="318"/>
      <c r="V872" s="319"/>
      <c r="W872" s="288"/>
      <c r="X872" s="220"/>
      <c r="Y872" s="220"/>
      <c r="Z872" s="220"/>
      <c r="AA872" s="220"/>
      <c r="AB872" s="220"/>
      <c r="AC872" s="220"/>
      <c r="AD872" s="220"/>
      <c r="AE872" s="220"/>
      <c r="AF872" s="220"/>
      <c r="AG872" s="220"/>
      <c r="AH872" s="308"/>
      <c r="AI872" s="220"/>
      <c r="AJ872" s="220"/>
      <c r="AK872" s="220"/>
      <c r="AL872" s="220"/>
      <c r="AM872" s="220"/>
      <c r="AN872" s="220"/>
      <c r="AO872" s="220"/>
      <c r="AP872" s="220"/>
      <c r="AQ872" s="220"/>
      <c r="AR872" s="220"/>
      <c r="AS872" s="220"/>
      <c r="AT872" s="220"/>
      <c r="AU872" s="220"/>
      <c r="AV872" s="220"/>
      <c r="AW872" s="220"/>
      <c r="AX872" s="220"/>
      <c r="AY872" s="220"/>
      <c r="AZ872" s="220"/>
      <c r="BA872" s="220"/>
    </row>
    <row r="873">
      <c r="A873" s="240"/>
      <c r="B873" s="311"/>
      <c r="C873" s="311"/>
      <c r="D873" s="312"/>
      <c r="E873" s="311"/>
      <c r="F873" s="311"/>
      <c r="G873" s="312"/>
      <c r="H873" s="312"/>
      <c r="I873" s="313"/>
      <c r="J873" s="314"/>
      <c r="K873" s="313"/>
      <c r="L873" s="313"/>
      <c r="M873" s="313"/>
      <c r="N873" s="315"/>
      <c r="O873" s="313"/>
      <c r="P873" s="313"/>
      <c r="Q873" s="313"/>
      <c r="R873" s="313"/>
      <c r="S873" s="316"/>
      <c r="T873" s="317"/>
      <c r="U873" s="318"/>
      <c r="V873" s="319"/>
      <c r="W873" s="288"/>
      <c r="X873" s="220"/>
      <c r="Y873" s="220"/>
      <c r="Z873" s="220"/>
      <c r="AA873" s="220"/>
      <c r="AB873" s="220"/>
      <c r="AC873" s="220"/>
      <c r="AD873" s="220"/>
      <c r="AE873" s="220"/>
      <c r="AF873" s="220"/>
      <c r="AG873" s="220"/>
      <c r="AH873" s="308"/>
      <c r="AI873" s="220"/>
      <c r="AJ873" s="220"/>
      <c r="AK873" s="220"/>
      <c r="AL873" s="220"/>
      <c r="AM873" s="220"/>
      <c r="AN873" s="220"/>
      <c r="AO873" s="220"/>
      <c r="AP873" s="220"/>
      <c r="AQ873" s="220"/>
      <c r="AR873" s="220"/>
      <c r="AS873" s="220"/>
      <c r="AT873" s="220"/>
      <c r="AU873" s="220"/>
      <c r="AV873" s="220"/>
      <c r="AW873" s="220"/>
      <c r="AX873" s="220"/>
      <c r="AY873" s="220"/>
      <c r="AZ873" s="220"/>
      <c r="BA873" s="220"/>
    </row>
    <row r="874">
      <c r="A874" s="240"/>
      <c r="B874" s="311"/>
      <c r="C874" s="311"/>
      <c r="D874" s="312"/>
      <c r="E874" s="311"/>
      <c r="F874" s="311"/>
      <c r="G874" s="312"/>
      <c r="H874" s="312"/>
      <c r="I874" s="313"/>
      <c r="J874" s="314"/>
      <c r="K874" s="313"/>
      <c r="L874" s="313"/>
      <c r="M874" s="313"/>
      <c r="N874" s="315"/>
      <c r="O874" s="313"/>
      <c r="P874" s="313"/>
      <c r="Q874" s="313"/>
      <c r="R874" s="313"/>
      <c r="S874" s="316"/>
      <c r="T874" s="317"/>
      <c r="U874" s="318"/>
      <c r="V874" s="319"/>
      <c r="W874" s="288"/>
      <c r="X874" s="220"/>
      <c r="Y874" s="220"/>
      <c r="Z874" s="220"/>
      <c r="AA874" s="220"/>
      <c r="AB874" s="220"/>
      <c r="AC874" s="220"/>
      <c r="AD874" s="220"/>
      <c r="AE874" s="220"/>
      <c r="AF874" s="220"/>
      <c r="AG874" s="220"/>
      <c r="AH874" s="308"/>
      <c r="AI874" s="220"/>
      <c r="AJ874" s="220"/>
      <c r="AK874" s="220"/>
      <c r="AL874" s="220"/>
      <c r="AM874" s="220"/>
      <c r="AN874" s="220"/>
      <c r="AO874" s="220"/>
      <c r="AP874" s="220"/>
      <c r="AQ874" s="220"/>
      <c r="AR874" s="220"/>
      <c r="AS874" s="220"/>
      <c r="AT874" s="220"/>
      <c r="AU874" s="220"/>
      <c r="AV874" s="220"/>
      <c r="AW874" s="220"/>
      <c r="AX874" s="220"/>
      <c r="AY874" s="220"/>
      <c r="AZ874" s="220"/>
      <c r="BA874" s="220"/>
    </row>
    <row r="875">
      <c r="A875" s="240"/>
      <c r="B875" s="311"/>
      <c r="C875" s="311"/>
      <c r="D875" s="312"/>
      <c r="E875" s="311"/>
      <c r="F875" s="311"/>
      <c r="G875" s="312"/>
      <c r="H875" s="312"/>
      <c r="I875" s="313"/>
      <c r="J875" s="314"/>
      <c r="K875" s="313"/>
      <c r="L875" s="313"/>
      <c r="M875" s="313"/>
      <c r="N875" s="315"/>
      <c r="O875" s="313"/>
      <c r="P875" s="313"/>
      <c r="Q875" s="313"/>
      <c r="R875" s="313"/>
      <c r="S875" s="316"/>
      <c r="T875" s="317"/>
      <c r="U875" s="318"/>
      <c r="V875" s="319"/>
      <c r="W875" s="288"/>
      <c r="X875" s="220"/>
      <c r="Y875" s="220"/>
      <c r="Z875" s="220"/>
      <c r="AA875" s="220"/>
      <c r="AB875" s="220"/>
      <c r="AC875" s="220"/>
      <c r="AD875" s="220"/>
      <c r="AE875" s="220"/>
      <c r="AF875" s="220"/>
      <c r="AG875" s="220"/>
      <c r="AH875" s="308"/>
      <c r="AI875" s="220"/>
      <c r="AJ875" s="220"/>
      <c r="AK875" s="220"/>
      <c r="AL875" s="220"/>
      <c r="AM875" s="220"/>
      <c r="AN875" s="220"/>
      <c r="AO875" s="220"/>
      <c r="AP875" s="220"/>
      <c r="AQ875" s="220"/>
      <c r="AR875" s="220"/>
      <c r="AS875" s="220"/>
      <c r="AT875" s="220"/>
      <c r="AU875" s="220"/>
      <c r="AV875" s="220"/>
      <c r="AW875" s="220"/>
      <c r="AX875" s="220"/>
      <c r="AY875" s="220"/>
      <c r="AZ875" s="220"/>
      <c r="BA875" s="220"/>
    </row>
    <row r="876">
      <c r="A876" s="240"/>
      <c r="B876" s="311"/>
      <c r="C876" s="311"/>
      <c r="D876" s="312"/>
      <c r="E876" s="311"/>
      <c r="F876" s="311"/>
      <c r="G876" s="312"/>
      <c r="H876" s="312"/>
      <c r="I876" s="313"/>
      <c r="J876" s="314"/>
      <c r="K876" s="313"/>
      <c r="L876" s="313"/>
      <c r="M876" s="313"/>
      <c r="N876" s="315"/>
      <c r="O876" s="313"/>
      <c r="P876" s="313"/>
      <c r="Q876" s="313"/>
      <c r="R876" s="313"/>
      <c r="S876" s="316"/>
      <c r="T876" s="317"/>
      <c r="U876" s="318"/>
      <c r="V876" s="319"/>
      <c r="W876" s="288"/>
      <c r="X876" s="220"/>
      <c r="Y876" s="220"/>
      <c r="Z876" s="220"/>
      <c r="AA876" s="220"/>
      <c r="AB876" s="220"/>
      <c r="AC876" s="220"/>
      <c r="AD876" s="220"/>
      <c r="AE876" s="220"/>
      <c r="AF876" s="220"/>
      <c r="AG876" s="220"/>
      <c r="AH876" s="308"/>
      <c r="AI876" s="220"/>
      <c r="AJ876" s="220"/>
      <c r="AK876" s="220"/>
      <c r="AL876" s="220"/>
      <c r="AM876" s="220"/>
      <c r="AN876" s="220"/>
      <c r="AO876" s="220"/>
      <c r="AP876" s="220"/>
      <c r="AQ876" s="220"/>
      <c r="AR876" s="220"/>
      <c r="AS876" s="220"/>
      <c r="AT876" s="220"/>
      <c r="AU876" s="220"/>
      <c r="AV876" s="220"/>
      <c r="AW876" s="220"/>
      <c r="AX876" s="220"/>
      <c r="AY876" s="220"/>
      <c r="AZ876" s="220"/>
      <c r="BA876" s="220"/>
    </row>
    <row r="877">
      <c r="A877" s="240"/>
      <c r="B877" s="311"/>
      <c r="C877" s="311"/>
      <c r="D877" s="312"/>
      <c r="E877" s="311"/>
      <c r="F877" s="311"/>
      <c r="G877" s="312"/>
      <c r="H877" s="312"/>
      <c r="I877" s="313"/>
      <c r="J877" s="314"/>
      <c r="K877" s="313"/>
      <c r="L877" s="313"/>
      <c r="M877" s="313"/>
      <c r="N877" s="315"/>
      <c r="O877" s="313"/>
      <c r="P877" s="313"/>
      <c r="Q877" s="313"/>
      <c r="R877" s="313"/>
      <c r="S877" s="316"/>
      <c r="T877" s="317"/>
      <c r="U877" s="318"/>
      <c r="V877" s="319"/>
      <c r="W877" s="288"/>
      <c r="X877" s="220"/>
      <c r="Y877" s="220"/>
      <c r="Z877" s="220"/>
      <c r="AA877" s="220"/>
      <c r="AB877" s="220"/>
      <c r="AC877" s="220"/>
      <c r="AD877" s="220"/>
      <c r="AE877" s="220"/>
      <c r="AF877" s="220"/>
      <c r="AG877" s="220"/>
      <c r="AH877" s="308"/>
      <c r="AI877" s="220"/>
      <c r="AJ877" s="220"/>
      <c r="AK877" s="220"/>
      <c r="AL877" s="220"/>
      <c r="AM877" s="220"/>
      <c r="AN877" s="220"/>
      <c r="AO877" s="220"/>
      <c r="AP877" s="220"/>
      <c r="AQ877" s="220"/>
      <c r="AR877" s="220"/>
      <c r="AS877" s="220"/>
      <c r="AT877" s="220"/>
      <c r="AU877" s="220"/>
      <c r="AV877" s="220"/>
      <c r="AW877" s="220"/>
      <c r="AX877" s="220"/>
      <c r="AY877" s="220"/>
      <c r="AZ877" s="220"/>
      <c r="BA877" s="220"/>
    </row>
    <row r="878">
      <c r="A878" s="240"/>
      <c r="B878" s="311"/>
      <c r="C878" s="311"/>
      <c r="D878" s="312"/>
      <c r="E878" s="311"/>
      <c r="F878" s="311"/>
      <c r="G878" s="312"/>
      <c r="H878" s="312"/>
      <c r="I878" s="313"/>
      <c r="J878" s="314"/>
      <c r="K878" s="313"/>
      <c r="L878" s="313"/>
      <c r="M878" s="313"/>
      <c r="N878" s="315"/>
      <c r="O878" s="313"/>
      <c r="P878" s="313"/>
      <c r="Q878" s="313"/>
      <c r="R878" s="313"/>
      <c r="S878" s="316"/>
      <c r="T878" s="317"/>
      <c r="U878" s="318"/>
      <c r="V878" s="319"/>
      <c r="W878" s="288"/>
      <c r="X878" s="220"/>
      <c r="Y878" s="220"/>
      <c r="Z878" s="220"/>
      <c r="AA878" s="220"/>
      <c r="AB878" s="220"/>
      <c r="AC878" s="220"/>
      <c r="AD878" s="220"/>
      <c r="AE878" s="220"/>
      <c r="AF878" s="220"/>
      <c r="AG878" s="220"/>
      <c r="AH878" s="308"/>
      <c r="AI878" s="220"/>
      <c r="AJ878" s="220"/>
      <c r="AK878" s="220"/>
      <c r="AL878" s="220"/>
      <c r="AM878" s="220"/>
      <c r="AN878" s="220"/>
      <c r="AO878" s="220"/>
      <c r="AP878" s="220"/>
      <c r="AQ878" s="220"/>
      <c r="AR878" s="220"/>
      <c r="AS878" s="220"/>
      <c r="AT878" s="220"/>
      <c r="AU878" s="220"/>
      <c r="AV878" s="220"/>
      <c r="AW878" s="220"/>
      <c r="AX878" s="220"/>
      <c r="AY878" s="220"/>
      <c r="AZ878" s="220"/>
      <c r="BA878" s="220"/>
    </row>
    <row r="879">
      <c r="A879" s="240"/>
      <c r="B879" s="311"/>
      <c r="C879" s="311"/>
      <c r="D879" s="312"/>
      <c r="E879" s="311"/>
      <c r="F879" s="311"/>
      <c r="G879" s="312"/>
      <c r="H879" s="312"/>
      <c r="I879" s="313"/>
      <c r="J879" s="314"/>
      <c r="K879" s="313"/>
      <c r="L879" s="313"/>
      <c r="M879" s="313"/>
      <c r="N879" s="315"/>
      <c r="O879" s="313"/>
      <c r="P879" s="313"/>
      <c r="Q879" s="313"/>
      <c r="R879" s="313"/>
      <c r="S879" s="316"/>
      <c r="T879" s="317"/>
      <c r="U879" s="318"/>
      <c r="V879" s="319"/>
      <c r="W879" s="288"/>
      <c r="X879" s="220"/>
      <c r="Y879" s="220"/>
      <c r="Z879" s="220"/>
      <c r="AA879" s="220"/>
      <c r="AB879" s="220"/>
      <c r="AC879" s="220"/>
      <c r="AD879" s="220"/>
      <c r="AE879" s="220"/>
      <c r="AF879" s="220"/>
      <c r="AG879" s="220"/>
      <c r="AH879" s="308"/>
      <c r="AI879" s="220"/>
      <c r="AJ879" s="220"/>
      <c r="AK879" s="220"/>
      <c r="AL879" s="220"/>
      <c r="AM879" s="220"/>
      <c r="AN879" s="220"/>
      <c r="AO879" s="220"/>
      <c r="AP879" s="220"/>
      <c r="AQ879" s="220"/>
      <c r="AR879" s="220"/>
      <c r="AS879" s="220"/>
      <c r="AT879" s="220"/>
      <c r="AU879" s="220"/>
      <c r="AV879" s="220"/>
      <c r="AW879" s="220"/>
      <c r="AX879" s="220"/>
      <c r="AY879" s="220"/>
      <c r="AZ879" s="220"/>
      <c r="BA879" s="220"/>
    </row>
    <row r="880">
      <c r="A880" s="240"/>
      <c r="B880" s="311"/>
      <c r="C880" s="311"/>
      <c r="D880" s="312"/>
      <c r="E880" s="311"/>
      <c r="F880" s="311"/>
      <c r="G880" s="312"/>
      <c r="H880" s="312"/>
      <c r="I880" s="313"/>
      <c r="J880" s="314"/>
      <c r="K880" s="313"/>
      <c r="L880" s="313"/>
      <c r="M880" s="313"/>
      <c r="N880" s="315"/>
      <c r="O880" s="313"/>
      <c r="P880" s="313"/>
      <c r="Q880" s="313"/>
      <c r="R880" s="313"/>
      <c r="S880" s="316"/>
      <c r="T880" s="317"/>
      <c r="U880" s="318"/>
      <c r="V880" s="319"/>
      <c r="W880" s="288"/>
      <c r="X880" s="220"/>
      <c r="Y880" s="220"/>
      <c r="Z880" s="220"/>
      <c r="AA880" s="220"/>
      <c r="AB880" s="220"/>
      <c r="AC880" s="220"/>
      <c r="AD880" s="220"/>
      <c r="AE880" s="220"/>
      <c r="AF880" s="220"/>
      <c r="AG880" s="220"/>
      <c r="AH880" s="308"/>
      <c r="AI880" s="220"/>
      <c r="AJ880" s="220"/>
      <c r="AK880" s="220"/>
      <c r="AL880" s="220"/>
      <c r="AM880" s="220"/>
      <c r="AN880" s="220"/>
      <c r="AO880" s="220"/>
      <c r="AP880" s="220"/>
      <c r="AQ880" s="220"/>
      <c r="AR880" s="220"/>
      <c r="AS880" s="220"/>
      <c r="AT880" s="220"/>
      <c r="AU880" s="220"/>
      <c r="AV880" s="220"/>
      <c r="AW880" s="220"/>
      <c r="AX880" s="220"/>
      <c r="AY880" s="220"/>
      <c r="AZ880" s="220"/>
      <c r="BA880" s="220"/>
    </row>
    <row r="881">
      <c r="A881" s="240"/>
      <c r="B881" s="311"/>
      <c r="C881" s="311"/>
      <c r="D881" s="312"/>
      <c r="E881" s="311"/>
      <c r="F881" s="311"/>
      <c r="G881" s="312"/>
      <c r="H881" s="312"/>
      <c r="I881" s="313"/>
      <c r="J881" s="314"/>
      <c r="K881" s="313"/>
      <c r="L881" s="313"/>
      <c r="M881" s="313"/>
      <c r="N881" s="315"/>
      <c r="O881" s="313"/>
      <c r="P881" s="313"/>
      <c r="Q881" s="313"/>
      <c r="R881" s="313"/>
      <c r="S881" s="316"/>
      <c r="T881" s="317"/>
      <c r="U881" s="318"/>
      <c r="V881" s="319"/>
      <c r="W881" s="288"/>
      <c r="X881" s="220"/>
      <c r="Y881" s="220"/>
      <c r="Z881" s="220"/>
      <c r="AA881" s="220"/>
      <c r="AB881" s="220"/>
      <c r="AC881" s="220"/>
      <c r="AD881" s="220"/>
      <c r="AE881" s="220"/>
      <c r="AF881" s="220"/>
      <c r="AG881" s="220"/>
      <c r="AH881" s="308"/>
      <c r="AI881" s="220"/>
      <c r="AJ881" s="220"/>
      <c r="AK881" s="220"/>
      <c r="AL881" s="220"/>
      <c r="AM881" s="220"/>
      <c r="AN881" s="220"/>
      <c r="AO881" s="220"/>
      <c r="AP881" s="220"/>
      <c r="AQ881" s="220"/>
      <c r="AR881" s="220"/>
      <c r="AS881" s="220"/>
      <c r="AT881" s="220"/>
      <c r="AU881" s="220"/>
      <c r="AV881" s="220"/>
      <c r="AW881" s="220"/>
      <c r="AX881" s="220"/>
      <c r="AY881" s="220"/>
      <c r="AZ881" s="220"/>
      <c r="BA881" s="220"/>
    </row>
    <row r="882">
      <c r="A882" s="240"/>
      <c r="B882" s="311"/>
      <c r="C882" s="311"/>
      <c r="D882" s="312"/>
      <c r="E882" s="311"/>
      <c r="F882" s="311"/>
      <c r="G882" s="312"/>
      <c r="H882" s="312"/>
      <c r="I882" s="313"/>
      <c r="J882" s="314"/>
      <c r="K882" s="313"/>
      <c r="L882" s="313"/>
      <c r="M882" s="313"/>
      <c r="N882" s="315"/>
      <c r="O882" s="313"/>
      <c r="P882" s="313"/>
      <c r="Q882" s="313"/>
      <c r="R882" s="313"/>
      <c r="S882" s="316"/>
      <c r="T882" s="317"/>
      <c r="U882" s="318"/>
      <c r="V882" s="319"/>
      <c r="W882" s="288"/>
      <c r="X882" s="220"/>
      <c r="Y882" s="220"/>
      <c r="Z882" s="220"/>
      <c r="AA882" s="220"/>
      <c r="AB882" s="220"/>
      <c r="AC882" s="220"/>
      <c r="AD882" s="220"/>
      <c r="AE882" s="220"/>
      <c r="AF882" s="220"/>
      <c r="AG882" s="220"/>
      <c r="AH882" s="308"/>
      <c r="AI882" s="220"/>
      <c r="AJ882" s="220"/>
      <c r="AK882" s="220"/>
      <c r="AL882" s="220"/>
      <c r="AM882" s="220"/>
      <c r="AN882" s="220"/>
      <c r="AO882" s="220"/>
      <c r="AP882" s="220"/>
      <c r="AQ882" s="220"/>
      <c r="AR882" s="220"/>
      <c r="AS882" s="220"/>
      <c r="AT882" s="220"/>
      <c r="AU882" s="220"/>
      <c r="AV882" s="220"/>
      <c r="AW882" s="220"/>
      <c r="AX882" s="220"/>
      <c r="AY882" s="220"/>
      <c r="AZ882" s="220"/>
      <c r="BA882" s="220"/>
    </row>
    <row r="883">
      <c r="A883" s="240"/>
      <c r="B883" s="311"/>
      <c r="C883" s="311"/>
      <c r="D883" s="312"/>
      <c r="E883" s="311"/>
      <c r="F883" s="311"/>
      <c r="G883" s="312"/>
      <c r="H883" s="312"/>
      <c r="I883" s="313"/>
      <c r="J883" s="314"/>
      <c r="K883" s="313"/>
      <c r="L883" s="313"/>
      <c r="M883" s="313"/>
      <c r="N883" s="315"/>
      <c r="O883" s="313"/>
      <c r="P883" s="313"/>
      <c r="Q883" s="313"/>
      <c r="R883" s="313"/>
      <c r="S883" s="316"/>
      <c r="T883" s="317"/>
      <c r="U883" s="318"/>
      <c r="V883" s="319"/>
      <c r="W883" s="288"/>
      <c r="X883" s="220"/>
      <c r="Y883" s="220"/>
      <c r="Z883" s="220"/>
      <c r="AA883" s="220"/>
      <c r="AB883" s="220"/>
      <c r="AC883" s="220"/>
      <c r="AD883" s="220"/>
      <c r="AE883" s="220"/>
      <c r="AF883" s="220"/>
      <c r="AG883" s="220"/>
      <c r="AH883" s="308"/>
      <c r="AI883" s="220"/>
      <c r="AJ883" s="220"/>
      <c r="AK883" s="220"/>
      <c r="AL883" s="220"/>
      <c r="AM883" s="220"/>
      <c r="AN883" s="220"/>
      <c r="AO883" s="220"/>
      <c r="AP883" s="220"/>
      <c r="AQ883" s="220"/>
      <c r="AR883" s="220"/>
      <c r="AS883" s="220"/>
      <c r="AT883" s="220"/>
      <c r="AU883" s="220"/>
      <c r="AV883" s="220"/>
      <c r="AW883" s="220"/>
      <c r="AX883" s="220"/>
      <c r="AY883" s="220"/>
      <c r="AZ883" s="220"/>
      <c r="BA883" s="220"/>
    </row>
    <row r="884">
      <c r="A884" s="240"/>
      <c r="B884" s="311"/>
      <c r="C884" s="311"/>
      <c r="D884" s="312"/>
      <c r="E884" s="311"/>
      <c r="F884" s="311"/>
      <c r="G884" s="312"/>
      <c r="H884" s="312"/>
      <c r="I884" s="313"/>
      <c r="J884" s="314"/>
      <c r="K884" s="313"/>
      <c r="L884" s="313"/>
      <c r="M884" s="313"/>
      <c r="N884" s="315"/>
      <c r="O884" s="313"/>
      <c r="P884" s="313"/>
      <c r="Q884" s="313"/>
      <c r="R884" s="313"/>
      <c r="S884" s="316"/>
      <c r="T884" s="317"/>
      <c r="U884" s="318"/>
      <c r="V884" s="319"/>
      <c r="W884" s="288"/>
      <c r="X884" s="220"/>
      <c r="Y884" s="220"/>
      <c r="Z884" s="220"/>
      <c r="AA884" s="220"/>
      <c r="AB884" s="220"/>
      <c r="AC884" s="220"/>
      <c r="AD884" s="220"/>
      <c r="AE884" s="220"/>
      <c r="AF884" s="220"/>
      <c r="AG884" s="220"/>
      <c r="AH884" s="308"/>
      <c r="AI884" s="220"/>
      <c r="AJ884" s="220"/>
      <c r="AK884" s="220"/>
      <c r="AL884" s="220"/>
      <c r="AM884" s="220"/>
      <c r="AN884" s="220"/>
      <c r="AO884" s="220"/>
      <c r="AP884" s="220"/>
      <c r="AQ884" s="220"/>
      <c r="AR884" s="220"/>
      <c r="AS884" s="220"/>
      <c r="AT884" s="220"/>
      <c r="AU884" s="220"/>
      <c r="AV884" s="220"/>
      <c r="AW884" s="220"/>
      <c r="AX884" s="220"/>
      <c r="AY884" s="220"/>
      <c r="AZ884" s="220"/>
      <c r="BA884" s="220"/>
    </row>
    <row r="885">
      <c r="A885" s="240"/>
      <c r="B885" s="311"/>
      <c r="C885" s="311"/>
      <c r="D885" s="312"/>
      <c r="E885" s="311"/>
      <c r="F885" s="311"/>
      <c r="G885" s="312"/>
      <c r="H885" s="312"/>
      <c r="I885" s="313"/>
      <c r="J885" s="314"/>
      <c r="K885" s="313"/>
      <c r="L885" s="313"/>
      <c r="M885" s="313"/>
      <c r="N885" s="315"/>
      <c r="O885" s="313"/>
      <c r="P885" s="313"/>
      <c r="Q885" s="313"/>
      <c r="R885" s="313"/>
      <c r="S885" s="316"/>
      <c r="T885" s="317"/>
      <c r="U885" s="318"/>
      <c r="V885" s="319"/>
      <c r="W885" s="288"/>
      <c r="X885" s="220"/>
      <c r="Y885" s="220"/>
      <c r="Z885" s="220"/>
      <c r="AA885" s="220"/>
      <c r="AB885" s="220"/>
      <c r="AC885" s="220"/>
      <c r="AD885" s="220"/>
      <c r="AE885" s="220"/>
      <c r="AF885" s="220"/>
      <c r="AG885" s="220"/>
      <c r="AH885" s="308"/>
      <c r="AI885" s="220"/>
      <c r="AJ885" s="220"/>
      <c r="AK885" s="220"/>
      <c r="AL885" s="220"/>
      <c r="AM885" s="220"/>
      <c r="AN885" s="220"/>
      <c r="AO885" s="220"/>
      <c r="AP885" s="220"/>
      <c r="AQ885" s="220"/>
      <c r="AR885" s="220"/>
      <c r="AS885" s="220"/>
      <c r="AT885" s="220"/>
      <c r="AU885" s="220"/>
      <c r="AV885" s="220"/>
      <c r="AW885" s="220"/>
      <c r="AX885" s="220"/>
      <c r="AY885" s="220"/>
      <c r="AZ885" s="220"/>
      <c r="BA885" s="220"/>
    </row>
    <row r="886">
      <c r="A886" s="240"/>
      <c r="B886" s="311"/>
      <c r="C886" s="311"/>
      <c r="D886" s="312"/>
      <c r="E886" s="311"/>
      <c r="F886" s="311"/>
      <c r="G886" s="312"/>
      <c r="H886" s="312"/>
      <c r="I886" s="313"/>
      <c r="J886" s="314"/>
      <c r="K886" s="313"/>
      <c r="L886" s="313"/>
      <c r="M886" s="313"/>
      <c r="N886" s="315"/>
      <c r="O886" s="313"/>
      <c r="P886" s="313"/>
      <c r="Q886" s="313"/>
      <c r="R886" s="313"/>
      <c r="S886" s="316"/>
      <c r="T886" s="317"/>
      <c r="U886" s="318"/>
      <c r="V886" s="319"/>
      <c r="W886" s="288"/>
      <c r="X886" s="220"/>
      <c r="Y886" s="220"/>
      <c r="Z886" s="220"/>
      <c r="AA886" s="220"/>
      <c r="AB886" s="220"/>
      <c r="AC886" s="220"/>
      <c r="AD886" s="220"/>
      <c r="AE886" s="220"/>
      <c r="AF886" s="220"/>
      <c r="AG886" s="220"/>
      <c r="AH886" s="308"/>
      <c r="AI886" s="220"/>
      <c r="AJ886" s="220"/>
      <c r="AK886" s="220"/>
      <c r="AL886" s="220"/>
      <c r="AM886" s="220"/>
      <c r="AN886" s="220"/>
      <c r="AO886" s="220"/>
      <c r="AP886" s="220"/>
      <c r="AQ886" s="220"/>
      <c r="AR886" s="220"/>
      <c r="AS886" s="220"/>
      <c r="AT886" s="220"/>
      <c r="AU886" s="220"/>
      <c r="AV886" s="220"/>
      <c r="AW886" s="220"/>
      <c r="AX886" s="220"/>
      <c r="AY886" s="220"/>
      <c r="AZ886" s="220"/>
      <c r="BA886" s="220"/>
    </row>
    <row r="887">
      <c r="A887" s="240"/>
      <c r="B887" s="311"/>
      <c r="C887" s="311"/>
      <c r="D887" s="312"/>
      <c r="E887" s="311"/>
      <c r="F887" s="311"/>
      <c r="G887" s="312"/>
      <c r="H887" s="312"/>
      <c r="I887" s="313"/>
      <c r="J887" s="314"/>
      <c r="K887" s="313"/>
      <c r="L887" s="313"/>
      <c r="M887" s="313"/>
      <c r="N887" s="315"/>
      <c r="O887" s="313"/>
      <c r="P887" s="313"/>
      <c r="Q887" s="313"/>
      <c r="R887" s="313"/>
      <c r="S887" s="316"/>
      <c r="T887" s="317"/>
      <c r="U887" s="318"/>
      <c r="V887" s="319"/>
      <c r="W887" s="288"/>
      <c r="X887" s="220"/>
      <c r="Y887" s="220"/>
      <c r="Z887" s="220"/>
      <c r="AA887" s="220"/>
      <c r="AB887" s="220"/>
      <c r="AC887" s="220"/>
      <c r="AD887" s="220"/>
      <c r="AE887" s="220"/>
      <c r="AF887" s="220"/>
      <c r="AG887" s="220"/>
      <c r="AH887" s="308"/>
      <c r="AI887" s="220"/>
      <c r="AJ887" s="220"/>
      <c r="AK887" s="220"/>
      <c r="AL887" s="220"/>
      <c r="AM887" s="220"/>
      <c r="AN887" s="220"/>
      <c r="AO887" s="220"/>
      <c r="AP887" s="220"/>
      <c r="AQ887" s="220"/>
      <c r="AR887" s="220"/>
      <c r="AS887" s="220"/>
      <c r="AT887" s="220"/>
      <c r="AU887" s="220"/>
      <c r="AV887" s="220"/>
      <c r="AW887" s="220"/>
      <c r="AX887" s="220"/>
      <c r="AY887" s="220"/>
      <c r="AZ887" s="220"/>
      <c r="BA887" s="220"/>
    </row>
    <row r="888">
      <c r="A888" s="240"/>
      <c r="B888" s="311"/>
      <c r="C888" s="311"/>
      <c r="D888" s="312"/>
      <c r="E888" s="311"/>
      <c r="F888" s="311"/>
      <c r="G888" s="312"/>
      <c r="H888" s="312"/>
      <c r="I888" s="313"/>
      <c r="J888" s="314"/>
      <c r="K888" s="313"/>
      <c r="L888" s="313"/>
      <c r="M888" s="313"/>
      <c r="N888" s="315"/>
      <c r="O888" s="313"/>
      <c r="P888" s="313"/>
      <c r="Q888" s="313"/>
      <c r="R888" s="313"/>
      <c r="S888" s="316"/>
      <c r="T888" s="317"/>
      <c r="U888" s="318"/>
      <c r="V888" s="319"/>
      <c r="W888" s="288"/>
      <c r="X888" s="220"/>
      <c r="Y888" s="220"/>
      <c r="Z888" s="220"/>
      <c r="AA888" s="220"/>
      <c r="AB888" s="220"/>
      <c r="AC888" s="220"/>
      <c r="AD888" s="220"/>
      <c r="AE888" s="220"/>
      <c r="AF888" s="220"/>
      <c r="AG888" s="220"/>
      <c r="AH888" s="308"/>
      <c r="AI888" s="220"/>
      <c r="AJ888" s="220"/>
      <c r="AK888" s="220"/>
      <c r="AL888" s="220"/>
      <c r="AM888" s="220"/>
      <c r="AN888" s="220"/>
      <c r="AO888" s="220"/>
      <c r="AP888" s="220"/>
      <c r="AQ888" s="220"/>
      <c r="AR888" s="220"/>
      <c r="AS888" s="220"/>
      <c r="AT888" s="220"/>
      <c r="AU888" s="220"/>
      <c r="AV888" s="220"/>
      <c r="AW888" s="220"/>
      <c r="AX888" s="220"/>
      <c r="AY888" s="220"/>
      <c r="AZ888" s="220"/>
      <c r="BA888" s="220"/>
    </row>
    <row r="889">
      <c r="A889" s="240"/>
      <c r="B889" s="311"/>
      <c r="C889" s="311"/>
      <c r="D889" s="312"/>
      <c r="E889" s="311"/>
      <c r="F889" s="311"/>
      <c r="G889" s="312"/>
      <c r="H889" s="312"/>
      <c r="I889" s="313"/>
      <c r="J889" s="314"/>
      <c r="K889" s="313"/>
      <c r="L889" s="313"/>
      <c r="M889" s="313"/>
      <c r="N889" s="315"/>
      <c r="O889" s="313"/>
      <c r="P889" s="313"/>
      <c r="Q889" s="313"/>
      <c r="R889" s="313"/>
      <c r="S889" s="316"/>
      <c r="T889" s="317"/>
      <c r="U889" s="318"/>
      <c r="V889" s="319"/>
      <c r="W889" s="288"/>
      <c r="X889" s="220"/>
      <c r="Y889" s="220"/>
      <c r="Z889" s="220"/>
      <c r="AA889" s="220"/>
      <c r="AB889" s="220"/>
      <c r="AC889" s="220"/>
      <c r="AD889" s="220"/>
      <c r="AE889" s="220"/>
      <c r="AF889" s="220"/>
      <c r="AG889" s="220"/>
      <c r="AH889" s="308"/>
      <c r="AI889" s="220"/>
      <c r="AJ889" s="220"/>
      <c r="AK889" s="220"/>
      <c r="AL889" s="220"/>
      <c r="AM889" s="220"/>
      <c r="AN889" s="220"/>
      <c r="AO889" s="220"/>
      <c r="AP889" s="220"/>
      <c r="AQ889" s="220"/>
      <c r="AR889" s="220"/>
      <c r="AS889" s="220"/>
      <c r="AT889" s="220"/>
      <c r="AU889" s="220"/>
      <c r="AV889" s="220"/>
      <c r="AW889" s="220"/>
      <c r="AX889" s="220"/>
      <c r="AY889" s="220"/>
      <c r="AZ889" s="220"/>
      <c r="BA889" s="220"/>
    </row>
    <row r="890">
      <c r="A890" s="240"/>
      <c r="B890" s="311"/>
      <c r="C890" s="311"/>
      <c r="D890" s="312"/>
      <c r="E890" s="311"/>
      <c r="F890" s="311"/>
      <c r="G890" s="312"/>
      <c r="H890" s="312"/>
      <c r="I890" s="313"/>
      <c r="J890" s="314"/>
      <c r="K890" s="313"/>
      <c r="L890" s="313"/>
      <c r="M890" s="313"/>
      <c r="N890" s="315"/>
      <c r="O890" s="313"/>
      <c r="P890" s="313"/>
      <c r="Q890" s="313"/>
      <c r="R890" s="313"/>
      <c r="S890" s="316"/>
      <c r="T890" s="317"/>
      <c r="U890" s="318"/>
      <c r="V890" s="319"/>
      <c r="W890" s="288"/>
      <c r="X890" s="220"/>
      <c r="Y890" s="220"/>
      <c r="Z890" s="220"/>
      <c r="AA890" s="220"/>
      <c r="AB890" s="220"/>
      <c r="AC890" s="220"/>
      <c r="AD890" s="220"/>
      <c r="AE890" s="220"/>
      <c r="AF890" s="220"/>
      <c r="AG890" s="220"/>
      <c r="AH890" s="308"/>
      <c r="AI890" s="220"/>
      <c r="AJ890" s="220"/>
      <c r="AK890" s="220"/>
      <c r="AL890" s="220"/>
      <c r="AM890" s="220"/>
      <c r="AN890" s="220"/>
      <c r="AO890" s="220"/>
      <c r="AP890" s="220"/>
      <c r="AQ890" s="220"/>
      <c r="AR890" s="220"/>
      <c r="AS890" s="220"/>
      <c r="AT890" s="220"/>
      <c r="AU890" s="220"/>
      <c r="AV890" s="220"/>
      <c r="AW890" s="220"/>
      <c r="AX890" s="220"/>
      <c r="AY890" s="220"/>
      <c r="AZ890" s="220"/>
      <c r="BA890" s="220"/>
    </row>
    <row r="891">
      <c r="A891" s="240"/>
      <c r="B891" s="311"/>
      <c r="C891" s="311"/>
      <c r="D891" s="312"/>
      <c r="E891" s="311"/>
      <c r="F891" s="311"/>
      <c r="G891" s="312"/>
      <c r="H891" s="312"/>
      <c r="I891" s="313"/>
      <c r="J891" s="314"/>
      <c r="K891" s="313"/>
      <c r="L891" s="313"/>
      <c r="M891" s="313"/>
      <c r="N891" s="315"/>
      <c r="O891" s="313"/>
      <c r="P891" s="313"/>
      <c r="Q891" s="313"/>
      <c r="R891" s="313"/>
      <c r="S891" s="316"/>
      <c r="T891" s="317"/>
      <c r="U891" s="318"/>
      <c r="V891" s="319"/>
      <c r="W891" s="288"/>
      <c r="X891" s="220"/>
      <c r="Y891" s="220"/>
      <c r="Z891" s="220"/>
      <c r="AA891" s="220"/>
      <c r="AB891" s="220"/>
      <c r="AC891" s="220"/>
      <c r="AD891" s="220"/>
      <c r="AE891" s="220"/>
      <c r="AF891" s="220"/>
      <c r="AG891" s="220"/>
      <c r="AH891" s="308"/>
      <c r="AI891" s="220"/>
      <c r="AJ891" s="220"/>
      <c r="AK891" s="220"/>
      <c r="AL891" s="220"/>
      <c r="AM891" s="220"/>
      <c r="AN891" s="220"/>
      <c r="AO891" s="220"/>
      <c r="AP891" s="220"/>
      <c r="AQ891" s="220"/>
      <c r="AR891" s="220"/>
      <c r="AS891" s="220"/>
      <c r="AT891" s="220"/>
      <c r="AU891" s="220"/>
      <c r="AV891" s="220"/>
      <c r="AW891" s="220"/>
      <c r="AX891" s="220"/>
      <c r="AY891" s="220"/>
      <c r="AZ891" s="220"/>
      <c r="BA891" s="220"/>
    </row>
    <row r="892">
      <c r="A892" s="240"/>
      <c r="B892" s="311"/>
      <c r="C892" s="311"/>
      <c r="D892" s="312"/>
      <c r="E892" s="311"/>
      <c r="F892" s="311"/>
      <c r="G892" s="312"/>
      <c r="H892" s="312"/>
      <c r="I892" s="313"/>
      <c r="J892" s="314"/>
      <c r="K892" s="313"/>
      <c r="L892" s="313"/>
      <c r="M892" s="313"/>
      <c r="N892" s="315"/>
      <c r="O892" s="313"/>
      <c r="P892" s="313"/>
      <c r="Q892" s="313"/>
      <c r="R892" s="313"/>
      <c r="S892" s="316"/>
      <c r="T892" s="317"/>
      <c r="U892" s="318"/>
      <c r="V892" s="319"/>
      <c r="W892" s="288"/>
      <c r="X892" s="220"/>
      <c r="Y892" s="220"/>
      <c r="Z892" s="220"/>
      <c r="AA892" s="220"/>
      <c r="AB892" s="220"/>
      <c r="AC892" s="220"/>
      <c r="AD892" s="220"/>
      <c r="AE892" s="220"/>
      <c r="AF892" s="220"/>
      <c r="AG892" s="220"/>
      <c r="AH892" s="308"/>
      <c r="AI892" s="220"/>
      <c r="AJ892" s="220"/>
      <c r="AK892" s="220"/>
      <c r="AL892" s="220"/>
      <c r="AM892" s="220"/>
      <c r="AN892" s="220"/>
      <c r="AO892" s="220"/>
      <c r="AP892" s="220"/>
      <c r="AQ892" s="220"/>
      <c r="AR892" s="220"/>
      <c r="AS892" s="220"/>
      <c r="AT892" s="220"/>
      <c r="AU892" s="220"/>
      <c r="AV892" s="220"/>
      <c r="AW892" s="220"/>
      <c r="AX892" s="220"/>
      <c r="AY892" s="220"/>
      <c r="AZ892" s="220"/>
      <c r="BA892" s="220"/>
    </row>
    <row r="893">
      <c r="A893" s="240"/>
      <c r="B893" s="311"/>
      <c r="C893" s="311"/>
      <c r="D893" s="312"/>
      <c r="E893" s="311"/>
      <c r="F893" s="311"/>
      <c r="G893" s="312"/>
      <c r="H893" s="312"/>
      <c r="I893" s="313"/>
      <c r="J893" s="314"/>
      <c r="K893" s="313"/>
      <c r="L893" s="313"/>
      <c r="M893" s="313"/>
      <c r="N893" s="315"/>
      <c r="O893" s="313"/>
      <c r="P893" s="313"/>
      <c r="Q893" s="313"/>
      <c r="R893" s="313"/>
      <c r="S893" s="316"/>
      <c r="T893" s="317"/>
      <c r="U893" s="318"/>
      <c r="V893" s="319"/>
      <c r="W893" s="288"/>
      <c r="X893" s="220"/>
      <c r="Y893" s="220"/>
      <c r="Z893" s="220"/>
      <c r="AA893" s="220"/>
      <c r="AB893" s="220"/>
      <c r="AC893" s="220"/>
      <c r="AD893" s="220"/>
      <c r="AE893" s="220"/>
      <c r="AF893" s="220"/>
      <c r="AG893" s="220"/>
      <c r="AH893" s="308"/>
      <c r="AI893" s="220"/>
      <c r="AJ893" s="220"/>
      <c r="AK893" s="220"/>
      <c r="AL893" s="220"/>
      <c r="AM893" s="220"/>
      <c r="AN893" s="220"/>
      <c r="AO893" s="220"/>
      <c r="AP893" s="220"/>
      <c r="AQ893" s="220"/>
      <c r="AR893" s="220"/>
      <c r="AS893" s="220"/>
      <c r="AT893" s="220"/>
      <c r="AU893" s="220"/>
      <c r="AV893" s="220"/>
      <c r="AW893" s="220"/>
      <c r="AX893" s="220"/>
      <c r="AY893" s="220"/>
      <c r="AZ893" s="220"/>
      <c r="BA893" s="220"/>
    </row>
    <row r="894">
      <c r="A894" s="240"/>
      <c r="B894" s="311"/>
      <c r="C894" s="311"/>
      <c r="D894" s="312"/>
      <c r="E894" s="311"/>
      <c r="F894" s="311"/>
      <c r="G894" s="312"/>
      <c r="H894" s="312"/>
      <c r="I894" s="313"/>
      <c r="J894" s="314"/>
      <c r="K894" s="313"/>
      <c r="L894" s="313"/>
      <c r="M894" s="313"/>
      <c r="N894" s="315"/>
      <c r="O894" s="313"/>
      <c r="P894" s="313"/>
      <c r="Q894" s="313"/>
      <c r="R894" s="313"/>
      <c r="S894" s="316"/>
      <c r="T894" s="317"/>
      <c r="U894" s="318"/>
      <c r="V894" s="319"/>
      <c r="W894" s="288"/>
      <c r="X894" s="220"/>
      <c r="Y894" s="220"/>
      <c r="Z894" s="220"/>
      <c r="AA894" s="220"/>
      <c r="AB894" s="220"/>
      <c r="AC894" s="220"/>
      <c r="AD894" s="220"/>
      <c r="AE894" s="220"/>
      <c r="AF894" s="220"/>
      <c r="AG894" s="220"/>
      <c r="AH894" s="308"/>
      <c r="AI894" s="220"/>
      <c r="AJ894" s="220"/>
      <c r="AK894" s="220"/>
      <c r="AL894" s="220"/>
      <c r="AM894" s="220"/>
      <c r="AN894" s="220"/>
      <c r="AO894" s="220"/>
      <c r="AP894" s="220"/>
      <c r="AQ894" s="220"/>
      <c r="AR894" s="220"/>
      <c r="AS894" s="220"/>
      <c r="AT894" s="220"/>
      <c r="AU894" s="220"/>
      <c r="AV894" s="220"/>
      <c r="AW894" s="220"/>
      <c r="AX894" s="220"/>
      <c r="AY894" s="220"/>
      <c r="AZ894" s="220"/>
      <c r="BA894" s="220"/>
    </row>
    <row r="895">
      <c r="A895" s="240"/>
      <c r="B895" s="311"/>
      <c r="C895" s="311"/>
      <c r="D895" s="312"/>
      <c r="E895" s="311"/>
      <c r="F895" s="311"/>
      <c r="G895" s="312"/>
      <c r="H895" s="312"/>
      <c r="I895" s="313"/>
      <c r="J895" s="314"/>
      <c r="K895" s="313"/>
      <c r="L895" s="313"/>
      <c r="M895" s="313"/>
      <c r="N895" s="315"/>
      <c r="O895" s="313"/>
      <c r="P895" s="313"/>
      <c r="Q895" s="313"/>
      <c r="R895" s="313"/>
      <c r="S895" s="316"/>
      <c r="T895" s="317"/>
      <c r="U895" s="318"/>
      <c r="V895" s="319"/>
      <c r="W895" s="288"/>
      <c r="X895" s="220"/>
      <c r="Y895" s="220"/>
      <c r="Z895" s="220"/>
      <c r="AA895" s="220"/>
      <c r="AB895" s="220"/>
      <c r="AC895" s="220"/>
      <c r="AD895" s="220"/>
      <c r="AE895" s="220"/>
      <c r="AF895" s="220"/>
      <c r="AG895" s="220"/>
      <c r="AH895" s="308"/>
      <c r="AI895" s="220"/>
      <c r="AJ895" s="220"/>
      <c r="AK895" s="220"/>
      <c r="AL895" s="220"/>
      <c r="AM895" s="220"/>
      <c r="AN895" s="220"/>
      <c r="AO895" s="220"/>
      <c r="AP895" s="220"/>
      <c r="AQ895" s="220"/>
      <c r="AR895" s="220"/>
      <c r="AS895" s="220"/>
      <c r="AT895" s="220"/>
      <c r="AU895" s="220"/>
      <c r="AV895" s="220"/>
      <c r="AW895" s="220"/>
      <c r="AX895" s="220"/>
      <c r="AY895" s="220"/>
      <c r="AZ895" s="220"/>
      <c r="BA895" s="220"/>
    </row>
    <row r="896">
      <c r="A896" s="240"/>
      <c r="B896" s="311"/>
      <c r="C896" s="311"/>
      <c r="D896" s="312"/>
      <c r="E896" s="311"/>
      <c r="F896" s="311"/>
      <c r="G896" s="312"/>
      <c r="H896" s="312"/>
      <c r="I896" s="313"/>
      <c r="J896" s="314"/>
      <c r="K896" s="313"/>
      <c r="L896" s="313"/>
      <c r="M896" s="313"/>
      <c r="N896" s="315"/>
      <c r="O896" s="313"/>
      <c r="P896" s="313"/>
      <c r="Q896" s="313"/>
      <c r="R896" s="313"/>
      <c r="S896" s="316"/>
      <c r="T896" s="317"/>
      <c r="U896" s="318"/>
      <c r="V896" s="319"/>
      <c r="W896" s="288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220"/>
      <c r="AH896" s="308"/>
      <c r="AI896" s="220"/>
      <c r="AJ896" s="220"/>
      <c r="AK896" s="220"/>
      <c r="AL896" s="220"/>
      <c r="AM896" s="220"/>
      <c r="AN896" s="220"/>
      <c r="AO896" s="220"/>
      <c r="AP896" s="220"/>
      <c r="AQ896" s="220"/>
      <c r="AR896" s="220"/>
      <c r="AS896" s="220"/>
      <c r="AT896" s="220"/>
      <c r="AU896" s="220"/>
      <c r="AV896" s="220"/>
      <c r="AW896" s="220"/>
      <c r="AX896" s="220"/>
      <c r="AY896" s="220"/>
      <c r="AZ896" s="220"/>
      <c r="BA896" s="220"/>
    </row>
    <row r="897">
      <c r="A897" s="240"/>
      <c r="B897" s="311"/>
      <c r="C897" s="311"/>
      <c r="D897" s="312"/>
      <c r="E897" s="311"/>
      <c r="F897" s="311"/>
      <c r="G897" s="312"/>
      <c r="H897" s="312"/>
      <c r="I897" s="313"/>
      <c r="J897" s="314"/>
      <c r="K897" s="313"/>
      <c r="L897" s="313"/>
      <c r="M897" s="313"/>
      <c r="N897" s="315"/>
      <c r="O897" s="313"/>
      <c r="P897" s="313"/>
      <c r="Q897" s="313"/>
      <c r="R897" s="313"/>
      <c r="S897" s="316"/>
      <c r="T897" s="317"/>
      <c r="U897" s="318"/>
      <c r="V897" s="319"/>
      <c r="W897" s="288"/>
      <c r="X897" s="220"/>
      <c r="Y897" s="220"/>
      <c r="Z897" s="220"/>
      <c r="AA897" s="220"/>
      <c r="AB897" s="220"/>
      <c r="AC897" s="220"/>
      <c r="AD897" s="220"/>
      <c r="AE897" s="220"/>
      <c r="AF897" s="220"/>
      <c r="AG897" s="220"/>
      <c r="AH897" s="308"/>
      <c r="AI897" s="220"/>
      <c r="AJ897" s="220"/>
      <c r="AK897" s="220"/>
      <c r="AL897" s="220"/>
      <c r="AM897" s="220"/>
      <c r="AN897" s="220"/>
      <c r="AO897" s="220"/>
      <c r="AP897" s="220"/>
      <c r="AQ897" s="220"/>
      <c r="AR897" s="220"/>
      <c r="AS897" s="220"/>
      <c r="AT897" s="220"/>
      <c r="AU897" s="220"/>
      <c r="AV897" s="220"/>
      <c r="AW897" s="220"/>
      <c r="AX897" s="220"/>
      <c r="AY897" s="220"/>
      <c r="AZ897" s="220"/>
      <c r="BA897" s="220"/>
    </row>
    <row r="898">
      <c r="A898" s="240"/>
      <c r="B898" s="311"/>
      <c r="C898" s="311"/>
      <c r="D898" s="312"/>
      <c r="E898" s="311"/>
      <c r="F898" s="311"/>
      <c r="G898" s="312"/>
      <c r="H898" s="312"/>
      <c r="I898" s="313"/>
      <c r="J898" s="314"/>
      <c r="K898" s="313"/>
      <c r="L898" s="313"/>
      <c r="M898" s="313"/>
      <c r="N898" s="315"/>
      <c r="O898" s="313"/>
      <c r="P898" s="313"/>
      <c r="Q898" s="313"/>
      <c r="R898" s="313"/>
      <c r="S898" s="316"/>
      <c r="T898" s="317"/>
      <c r="U898" s="318"/>
      <c r="V898" s="319"/>
      <c r="W898" s="288"/>
      <c r="X898" s="220"/>
      <c r="Y898" s="220"/>
      <c r="Z898" s="220"/>
      <c r="AA898" s="220"/>
      <c r="AB898" s="220"/>
      <c r="AC898" s="220"/>
      <c r="AD898" s="220"/>
      <c r="AE898" s="220"/>
      <c r="AF898" s="220"/>
      <c r="AG898" s="220"/>
      <c r="AH898" s="308"/>
      <c r="AI898" s="220"/>
      <c r="AJ898" s="220"/>
      <c r="AK898" s="220"/>
      <c r="AL898" s="220"/>
      <c r="AM898" s="220"/>
      <c r="AN898" s="220"/>
      <c r="AO898" s="220"/>
      <c r="AP898" s="220"/>
      <c r="AQ898" s="220"/>
      <c r="AR898" s="220"/>
      <c r="AS898" s="220"/>
      <c r="AT898" s="220"/>
      <c r="AU898" s="220"/>
      <c r="AV898" s="220"/>
      <c r="AW898" s="220"/>
      <c r="AX898" s="220"/>
      <c r="AY898" s="220"/>
      <c r="AZ898" s="220"/>
      <c r="BA898" s="220"/>
    </row>
    <row r="899">
      <c r="A899" s="240"/>
      <c r="B899" s="311"/>
      <c r="C899" s="311"/>
      <c r="D899" s="312"/>
      <c r="E899" s="311"/>
      <c r="F899" s="311"/>
      <c r="G899" s="312"/>
      <c r="H899" s="312"/>
      <c r="I899" s="313"/>
      <c r="J899" s="314"/>
      <c r="K899" s="313"/>
      <c r="L899" s="313"/>
      <c r="M899" s="313"/>
      <c r="N899" s="315"/>
      <c r="O899" s="313"/>
      <c r="P899" s="313"/>
      <c r="Q899" s="313"/>
      <c r="R899" s="313"/>
      <c r="S899" s="316"/>
      <c r="T899" s="317"/>
      <c r="U899" s="318"/>
      <c r="V899" s="319"/>
      <c r="W899" s="288"/>
      <c r="X899" s="220"/>
      <c r="Y899" s="220"/>
      <c r="Z899" s="220"/>
      <c r="AA899" s="220"/>
      <c r="AB899" s="220"/>
      <c r="AC899" s="220"/>
      <c r="AD899" s="220"/>
      <c r="AE899" s="220"/>
      <c r="AF899" s="220"/>
      <c r="AG899" s="220"/>
      <c r="AH899" s="308"/>
      <c r="AI899" s="220"/>
      <c r="AJ899" s="220"/>
      <c r="AK899" s="220"/>
      <c r="AL899" s="220"/>
      <c r="AM899" s="220"/>
      <c r="AN899" s="220"/>
      <c r="AO899" s="220"/>
      <c r="AP899" s="220"/>
      <c r="AQ899" s="220"/>
      <c r="AR899" s="220"/>
      <c r="AS899" s="220"/>
      <c r="AT899" s="220"/>
      <c r="AU899" s="220"/>
      <c r="AV899" s="220"/>
      <c r="AW899" s="220"/>
      <c r="AX899" s="220"/>
      <c r="AY899" s="220"/>
      <c r="AZ899" s="220"/>
      <c r="BA899" s="220"/>
    </row>
    <row r="900">
      <c r="A900" s="240"/>
      <c r="B900" s="311"/>
      <c r="C900" s="311"/>
      <c r="D900" s="312"/>
      <c r="E900" s="311"/>
      <c r="F900" s="311"/>
      <c r="G900" s="312"/>
      <c r="H900" s="312"/>
      <c r="I900" s="313"/>
      <c r="J900" s="314"/>
      <c r="K900" s="313"/>
      <c r="L900" s="313"/>
      <c r="M900" s="313"/>
      <c r="N900" s="315"/>
      <c r="O900" s="313"/>
      <c r="P900" s="313"/>
      <c r="Q900" s="313"/>
      <c r="R900" s="313"/>
      <c r="S900" s="316"/>
      <c r="T900" s="317"/>
      <c r="U900" s="318"/>
      <c r="V900" s="319"/>
      <c r="W900" s="288"/>
      <c r="X900" s="220"/>
      <c r="Y900" s="220"/>
      <c r="Z900" s="220"/>
      <c r="AA900" s="220"/>
      <c r="AB900" s="220"/>
      <c r="AC900" s="220"/>
      <c r="AD900" s="220"/>
      <c r="AE900" s="220"/>
      <c r="AF900" s="220"/>
      <c r="AG900" s="220"/>
      <c r="AH900" s="308"/>
      <c r="AI900" s="220"/>
      <c r="AJ900" s="220"/>
      <c r="AK900" s="220"/>
      <c r="AL900" s="220"/>
      <c r="AM900" s="220"/>
      <c r="AN900" s="220"/>
      <c r="AO900" s="220"/>
      <c r="AP900" s="220"/>
      <c r="AQ900" s="220"/>
      <c r="AR900" s="220"/>
      <c r="AS900" s="220"/>
      <c r="AT900" s="220"/>
      <c r="AU900" s="220"/>
      <c r="AV900" s="220"/>
      <c r="AW900" s="220"/>
      <c r="AX900" s="220"/>
      <c r="AY900" s="220"/>
      <c r="AZ900" s="220"/>
      <c r="BA900" s="220"/>
    </row>
    <row r="901">
      <c r="A901" s="240"/>
      <c r="B901" s="311"/>
      <c r="C901" s="311"/>
      <c r="D901" s="312"/>
      <c r="E901" s="311"/>
      <c r="F901" s="311"/>
      <c r="G901" s="312"/>
      <c r="H901" s="312"/>
      <c r="I901" s="313"/>
      <c r="J901" s="314"/>
      <c r="K901" s="313"/>
      <c r="L901" s="313"/>
      <c r="M901" s="313"/>
      <c r="N901" s="315"/>
      <c r="O901" s="313"/>
      <c r="P901" s="313"/>
      <c r="Q901" s="313"/>
      <c r="R901" s="313"/>
      <c r="S901" s="316"/>
      <c r="T901" s="317"/>
      <c r="U901" s="318"/>
      <c r="V901" s="319"/>
      <c r="W901" s="288"/>
      <c r="X901" s="220"/>
      <c r="Y901" s="220"/>
      <c r="Z901" s="220"/>
      <c r="AA901" s="220"/>
      <c r="AB901" s="220"/>
      <c r="AC901" s="220"/>
      <c r="AD901" s="220"/>
      <c r="AE901" s="220"/>
      <c r="AF901" s="220"/>
      <c r="AG901" s="220"/>
      <c r="AH901" s="308"/>
      <c r="AI901" s="220"/>
      <c r="AJ901" s="220"/>
      <c r="AK901" s="220"/>
      <c r="AL901" s="220"/>
      <c r="AM901" s="220"/>
      <c r="AN901" s="220"/>
      <c r="AO901" s="220"/>
      <c r="AP901" s="220"/>
      <c r="AQ901" s="220"/>
      <c r="AR901" s="220"/>
      <c r="AS901" s="220"/>
      <c r="AT901" s="220"/>
      <c r="AU901" s="220"/>
      <c r="AV901" s="220"/>
      <c r="AW901" s="220"/>
      <c r="AX901" s="220"/>
      <c r="AY901" s="220"/>
      <c r="AZ901" s="220"/>
      <c r="BA901" s="220"/>
    </row>
    <row r="902">
      <c r="A902" s="240"/>
      <c r="B902" s="311"/>
      <c r="C902" s="311"/>
      <c r="D902" s="312"/>
      <c r="E902" s="311"/>
      <c r="F902" s="311"/>
      <c r="G902" s="312"/>
      <c r="H902" s="312"/>
      <c r="I902" s="313"/>
      <c r="J902" s="314"/>
      <c r="K902" s="313"/>
      <c r="L902" s="313"/>
      <c r="M902" s="313"/>
      <c r="N902" s="315"/>
      <c r="O902" s="313"/>
      <c r="P902" s="313"/>
      <c r="Q902" s="313"/>
      <c r="R902" s="313"/>
      <c r="S902" s="316"/>
      <c r="T902" s="317"/>
      <c r="U902" s="318"/>
      <c r="V902" s="319"/>
      <c r="W902" s="288"/>
      <c r="X902" s="220"/>
      <c r="Y902" s="220"/>
      <c r="Z902" s="220"/>
      <c r="AA902" s="220"/>
      <c r="AB902" s="220"/>
      <c r="AC902" s="220"/>
      <c r="AD902" s="220"/>
      <c r="AE902" s="220"/>
      <c r="AF902" s="220"/>
      <c r="AG902" s="220"/>
      <c r="AH902" s="308"/>
      <c r="AI902" s="220"/>
      <c r="AJ902" s="220"/>
      <c r="AK902" s="220"/>
      <c r="AL902" s="220"/>
      <c r="AM902" s="220"/>
      <c r="AN902" s="220"/>
      <c r="AO902" s="220"/>
      <c r="AP902" s="220"/>
      <c r="AQ902" s="220"/>
      <c r="AR902" s="220"/>
      <c r="AS902" s="220"/>
      <c r="AT902" s="220"/>
      <c r="AU902" s="220"/>
      <c r="AV902" s="220"/>
      <c r="AW902" s="220"/>
      <c r="AX902" s="220"/>
      <c r="AY902" s="220"/>
      <c r="AZ902" s="220"/>
      <c r="BA902" s="220"/>
    </row>
    <row r="903">
      <c r="A903" s="240"/>
      <c r="B903" s="311"/>
      <c r="C903" s="311"/>
      <c r="D903" s="312"/>
      <c r="E903" s="311"/>
      <c r="F903" s="311"/>
      <c r="G903" s="312"/>
      <c r="H903" s="312"/>
      <c r="I903" s="313"/>
      <c r="J903" s="314"/>
      <c r="K903" s="313"/>
      <c r="L903" s="313"/>
      <c r="M903" s="313"/>
      <c r="N903" s="315"/>
      <c r="O903" s="313"/>
      <c r="P903" s="313"/>
      <c r="Q903" s="313"/>
      <c r="R903" s="313"/>
      <c r="S903" s="316"/>
      <c r="T903" s="317"/>
      <c r="U903" s="318"/>
      <c r="V903" s="319"/>
      <c r="W903" s="288"/>
      <c r="X903" s="220"/>
      <c r="Y903" s="220"/>
      <c r="Z903" s="220"/>
      <c r="AA903" s="220"/>
      <c r="AB903" s="220"/>
      <c r="AC903" s="220"/>
      <c r="AD903" s="220"/>
      <c r="AE903" s="220"/>
      <c r="AF903" s="220"/>
      <c r="AG903" s="220"/>
      <c r="AH903" s="308"/>
      <c r="AI903" s="220"/>
      <c r="AJ903" s="220"/>
      <c r="AK903" s="220"/>
      <c r="AL903" s="220"/>
      <c r="AM903" s="220"/>
      <c r="AN903" s="220"/>
      <c r="AO903" s="220"/>
      <c r="AP903" s="220"/>
      <c r="AQ903" s="220"/>
      <c r="AR903" s="220"/>
      <c r="AS903" s="220"/>
      <c r="AT903" s="220"/>
      <c r="AU903" s="220"/>
      <c r="AV903" s="220"/>
      <c r="AW903" s="220"/>
      <c r="AX903" s="220"/>
      <c r="AY903" s="220"/>
      <c r="AZ903" s="220"/>
      <c r="BA903" s="220"/>
    </row>
    <row r="904">
      <c r="A904" s="240"/>
      <c r="B904" s="311"/>
      <c r="C904" s="311"/>
      <c r="D904" s="312"/>
      <c r="E904" s="311"/>
      <c r="F904" s="311"/>
      <c r="G904" s="312"/>
      <c r="H904" s="312"/>
      <c r="I904" s="313"/>
      <c r="J904" s="314"/>
      <c r="K904" s="313"/>
      <c r="L904" s="313"/>
      <c r="M904" s="313"/>
      <c r="N904" s="315"/>
      <c r="O904" s="313"/>
      <c r="P904" s="313"/>
      <c r="Q904" s="313"/>
      <c r="R904" s="313"/>
      <c r="S904" s="316"/>
      <c r="T904" s="317"/>
      <c r="U904" s="318"/>
      <c r="V904" s="319"/>
      <c r="W904" s="288"/>
      <c r="X904" s="220"/>
      <c r="Y904" s="220"/>
      <c r="Z904" s="220"/>
      <c r="AA904" s="220"/>
      <c r="AB904" s="220"/>
      <c r="AC904" s="220"/>
      <c r="AD904" s="220"/>
      <c r="AE904" s="220"/>
      <c r="AF904" s="220"/>
      <c r="AG904" s="220"/>
      <c r="AH904" s="308"/>
      <c r="AI904" s="220"/>
      <c r="AJ904" s="220"/>
      <c r="AK904" s="220"/>
      <c r="AL904" s="220"/>
      <c r="AM904" s="220"/>
      <c r="AN904" s="220"/>
      <c r="AO904" s="220"/>
      <c r="AP904" s="220"/>
      <c r="AQ904" s="220"/>
      <c r="AR904" s="220"/>
      <c r="AS904" s="220"/>
      <c r="AT904" s="220"/>
      <c r="AU904" s="220"/>
      <c r="AV904" s="220"/>
      <c r="AW904" s="220"/>
      <c r="AX904" s="220"/>
      <c r="AY904" s="220"/>
      <c r="AZ904" s="220"/>
      <c r="BA904" s="220"/>
    </row>
    <row r="905">
      <c r="A905" s="240"/>
      <c r="B905" s="311"/>
      <c r="C905" s="311"/>
      <c r="D905" s="312"/>
      <c r="E905" s="311"/>
      <c r="F905" s="311"/>
      <c r="G905" s="312"/>
      <c r="H905" s="312"/>
      <c r="I905" s="313"/>
      <c r="J905" s="314"/>
      <c r="K905" s="313"/>
      <c r="L905" s="313"/>
      <c r="M905" s="313"/>
      <c r="N905" s="315"/>
      <c r="O905" s="313"/>
      <c r="P905" s="313"/>
      <c r="Q905" s="313"/>
      <c r="R905" s="313"/>
      <c r="S905" s="316"/>
      <c r="T905" s="317"/>
      <c r="U905" s="318"/>
      <c r="V905" s="319"/>
      <c r="W905" s="288"/>
      <c r="X905" s="220"/>
      <c r="Y905" s="220"/>
      <c r="Z905" s="220"/>
      <c r="AA905" s="220"/>
      <c r="AB905" s="220"/>
      <c r="AC905" s="220"/>
      <c r="AD905" s="220"/>
      <c r="AE905" s="220"/>
      <c r="AF905" s="220"/>
      <c r="AG905" s="220"/>
      <c r="AH905" s="308"/>
      <c r="AI905" s="220"/>
      <c r="AJ905" s="220"/>
      <c r="AK905" s="220"/>
      <c r="AL905" s="220"/>
      <c r="AM905" s="220"/>
      <c r="AN905" s="220"/>
      <c r="AO905" s="220"/>
      <c r="AP905" s="220"/>
      <c r="AQ905" s="220"/>
      <c r="AR905" s="220"/>
      <c r="AS905" s="220"/>
      <c r="AT905" s="220"/>
      <c r="AU905" s="220"/>
      <c r="AV905" s="220"/>
      <c r="AW905" s="220"/>
      <c r="AX905" s="220"/>
      <c r="AY905" s="220"/>
      <c r="AZ905" s="220"/>
      <c r="BA905" s="220"/>
    </row>
    <row r="906">
      <c r="A906" s="240"/>
      <c r="B906" s="311"/>
      <c r="C906" s="311"/>
      <c r="D906" s="312"/>
      <c r="E906" s="311"/>
      <c r="F906" s="311"/>
      <c r="G906" s="312"/>
      <c r="H906" s="312"/>
      <c r="I906" s="313"/>
      <c r="J906" s="314"/>
      <c r="K906" s="313"/>
      <c r="L906" s="313"/>
      <c r="M906" s="313"/>
      <c r="N906" s="315"/>
      <c r="O906" s="313"/>
      <c r="P906" s="313"/>
      <c r="Q906" s="313"/>
      <c r="R906" s="313"/>
      <c r="S906" s="316"/>
      <c r="T906" s="317"/>
      <c r="U906" s="318"/>
      <c r="V906" s="319"/>
      <c r="W906" s="288"/>
      <c r="X906" s="220"/>
      <c r="Y906" s="220"/>
      <c r="Z906" s="220"/>
      <c r="AA906" s="220"/>
      <c r="AB906" s="220"/>
      <c r="AC906" s="220"/>
      <c r="AD906" s="220"/>
      <c r="AE906" s="220"/>
      <c r="AF906" s="220"/>
      <c r="AG906" s="220"/>
      <c r="AH906" s="308"/>
      <c r="AI906" s="220"/>
      <c r="AJ906" s="220"/>
      <c r="AK906" s="220"/>
      <c r="AL906" s="220"/>
      <c r="AM906" s="220"/>
      <c r="AN906" s="220"/>
      <c r="AO906" s="220"/>
      <c r="AP906" s="220"/>
      <c r="AQ906" s="220"/>
      <c r="AR906" s="220"/>
      <c r="AS906" s="220"/>
      <c r="AT906" s="220"/>
      <c r="AU906" s="220"/>
      <c r="AV906" s="220"/>
      <c r="AW906" s="220"/>
      <c r="AX906" s="220"/>
      <c r="AY906" s="220"/>
      <c r="AZ906" s="220"/>
      <c r="BA906" s="220"/>
    </row>
    <row r="907">
      <c r="A907" s="240"/>
      <c r="B907" s="311"/>
      <c r="C907" s="311"/>
      <c r="D907" s="312"/>
      <c r="E907" s="311"/>
      <c r="F907" s="311"/>
      <c r="G907" s="312"/>
      <c r="H907" s="312"/>
      <c r="I907" s="313"/>
      <c r="J907" s="314"/>
      <c r="K907" s="313"/>
      <c r="L907" s="313"/>
      <c r="M907" s="313"/>
      <c r="N907" s="315"/>
      <c r="O907" s="313"/>
      <c r="P907" s="313"/>
      <c r="Q907" s="313"/>
      <c r="R907" s="313"/>
      <c r="S907" s="316"/>
      <c r="T907" s="317"/>
      <c r="U907" s="318"/>
      <c r="V907" s="319"/>
      <c r="W907" s="288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220"/>
      <c r="AH907" s="308"/>
      <c r="AI907" s="220"/>
      <c r="AJ907" s="220"/>
      <c r="AK907" s="220"/>
      <c r="AL907" s="220"/>
      <c r="AM907" s="220"/>
      <c r="AN907" s="220"/>
      <c r="AO907" s="220"/>
      <c r="AP907" s="220"/>
      <c r="AQ907" s="220"/>
      <c r="AR907" s="220"/>
      <c r="AS907" s="220"/>
      <c r="AT907" s="220"/>
      <c r="AU907" s="220"/>
      <c r="AV907" s="220"/>
      <c r="AW907" s="220"/>
      <c r="AX907" s="220"/>
      <c r="AY907" s="220"/>
      <c r="AZ907" s="220"/>
      <c r="BA907" s="220"/>
    </row>
    <row r="908">
      <c r="A908" s="240"/>
      <c r="B908" s="311"/>
      <c r="C908" s="311"/>
      <c r="D908" s="312"/>
      <c r="E908" s="311"/>
      <c r="F908" s="311"/>
      <c r="G908" s="312"/>
      <c r="H908" s="312"/>
      <c r="I908" s="313"/>
      <c r="J908" s="314"/>
      <c r="K908" s="313"/>
      <c r="L908" s="313"/>
      <c r="M908" s="313"/>
      <c r="N908" s="315"/>
      <c r="O908" s="313"/>
      <c r="P908" s="313"/>
      <c r="Q908" s="313"/>
      <c r="R908" s="313"/>
      <c r="S908" s="316"/>
      <c r="T908" s="317"/>
      <c r="U908" s="318"/>
      <c r="V908" s="319"/>
      <c r="W908" s="288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220"/>
      <c r="AH908" s="308"/>
      <c r="AI908" s="220"/>
      <c r="AJ908" s="220"/>
      <c r="AK908" s="220"/>
      <c r="AL908" s="220"/>
      <c r="AM908" s="220"/>
      <c r="AN908" s="220"/>
      <c r="AO908" s="220"/>
      <c r="AP908" s="220"/>
      <c r="AQ908" s="220"/>
      <c r="AR908" s="220"/>
      <c r="AS908" s="220"/>
      <c r="AT908" s="220"/>
      <c r="AU908" s="220"/>
      <c r="AV908" s="220"/>
      <c r="AW908" s="220"/>
      <c r="AX908" s="220"/>
      <c r="AY908" s="220"/>
      <c r="AZ908" s="220"/>
      <c r="BA908" s="220"/>
    </row>
    <row r="909">
      <c r="A909" s="240"/>
      <c r="B909" s="311"/>
      <c r="C909" s="311"/>
      <c r="D909" s="312"/>
      <c r="E909" s="311"/>
      <c r="F909" s="311"/>
      <c r="G909" s="312"/>
      <c r="H909" s="312"/>
      <c r="I909" s="313"/>
      <c r="J909" s="314"/>
      <c r="K909" s="313"/>
      <c r="L909" s="313"/>
      <c r="M909" s="313"/>
      <c r="N909" s="315"/>
      <c r="O909" s="313"/>
      <c r="P909" s="313"/>
      <c r="Q909" s="313"/>
      <c r="R909" s="313"/>
      <c r="S909" s="316"/>
      <c r="T909" s="317"/>
      <c r="U909" s="318"/>
      <c r="V909" s="319"/>
      <c r="W909" s="288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220"/>
      <c r="AH909" s="308"/>
      <c r="AI909" s="220"/>
      <c r="AJ909" s="220"/>
      <c r="AK909" s="220"/>
      <c r="AL909" s="220"/>
      <c r="AM909" s="220"/>
      <c r="AN909" s="220"/>
      <c r="AO909" s="220"/>
      <c r="AP909" s="220"/>
      <c r="AQ909" s="220"/>
      <c r="AR909" s="220"/>
      <c r="AS909" s="220"/>
      <c r="AT909" s="220"/>
      <c r="AU909" s="220"/>
      <c r="AV909" s="220"/>
      <c r="AW909" s="220"/>
      <c r="AX909" s="220"/>
      <c r="AY909" s="220"/>
      <c r="AZ909" s="220"/>
      <c r="BA909" s="220"/>
    </row>
    <row r="910">
      <c r="A910" s="240"/>
      <c r="B910" s="311"/>
      <c r="C910" s="311"/>
      <c r="D910" s="312"/>
      <c r="E910" s="311"/>
      <c r="F910" s="311"/>
      <c r="G910" s="312"/>
      <c r="H910" s="312"/>
      <c r="I910" s="313"/>
      <c r="J910" s="314"/>
      <c r="K910" s="313"/>
      <c r="L910" s="313"/>
      <c r="M910" s="313"/>
      <c r="N910" s="315"/>
      <c r="O910" s="313"/>
      <c r="P910" s="313"/>
      <c r="Q910" s="313"/>
      <c r="R910" s="313"/>
      <c r="S910" s="316"/>
      <c r="T910" s="317"/>
      <c r="U910" s="318"/>
      <c r="V910" s="319"/>
      <c r="W910" s="288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220"/>
      <c r="AH910" s="308"/>
      <c r="AI910" s="220"/>
      <c r="AJ910" s="220"/>
      <c r="AK910" s="220"/>
      <c r="AL910" s="220"/>
      <c r="AM910" s="220"/>
      <c r="AN910" s="220"/>
      <c r="AO910" s="220"/>
      <c r="AP910" s="220"/>
      <c r="AQ910" s="220"/>
      <c r="AR910" s="220"/>
      <c r="AS910" s="220"/>
      <c r="AT910" s="220"/>
      <c r="AU910" s="220"/>
      <c r="AV910" s="220"/>
      <c r="AW910" s="220"/>
      <c r="AX910" s="220"/>
      <c r="AY910" s="220"/>
      <c r="AZ910" s="220"/>
      <c r="BA910" s="220"/>
    </row>
    <row r="911">
      <c r="A911" s="240"/>
      <c r="B911" s="311"/>
      <c r="C911" s="311"/>
      <c r="D911" s="312"/>
      <c r="E911" s="311"/>
      <c r="F911" s="311"/>
      <c r="G911" s="312"/>
      <c r="H911" s="312"/>
      <c r="I911" s="313"/>
      <c r="J911" s="314"/>
      <c r="K911" s="313"/>
      <c r="L911" s="313"/>
      <c r="M911" s="313"/>
      <c r="N911" s="315"/>
      <c r="O911" s="313"/>
      <c r="P911" s="313"/>
      <c r="Q911" s="313"/>
      <c r="R911" s="313"/>
      <c r="S911" s="316"/>
      <c r="T911" s="317"/>
      <c r="U911" s="318"/>
      <c r="V911" s="319"/>
      <c r="W911" s="288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220"/>
      <c r="AH911" s="308"/>
      <c r="AI911" s="220"/>
      <c r="AJ911" s="220"/>
      <c r="AK911" s="220"/>
      <c r="AL911" s="220"/>
      <c r="AM911" s="220"/>
      <c r="AN911" s="220"/>
      <c r="AO911" s="220"/>
      <c r="AP911" s="220"/>
      <c r="AQ911" s="220"/>
      <c r="AR911" s="220"/>
      <c r="AS911" s="220"/>
      <c r="AT911" s="220"/>
      <c r="AU911" s="220"/>
      <c r="AV911" s="220"/>
      <c r="AW911" s="220"/>
      <c r="AX911" s="220"/>
      <c r="AY911" s="220"/>
      <c r="AZ911" s="220"/>
      <c r="BA911" s="220"/>
    </row>
    <row r="912">
      <c r="A912" s="240"/>
      <c r="B912" s="311"/>
      <c r="C912" s="311"/>
      <c r="D912" s="312"/>
      <c r="E912" s="311"/>
      <c r="F912" s="311"/>
      <c r="G912" s="312"/>
      <c r="H912" s="312"/>
      <c r="I912" s="313"/>
      <c r="J912" s="314"/>
      <c r="K912" s="313"/>
      <c r="L912" s="313"/>
      <c r="M912" s="313"/>
      <c r="N912" s="315"/>
      <c r="O912" s="313"/>
      <c r="P912" s="313"/>
      <c r="Q912" s="313"/>
      <c r="R912" s="313"/>
      <c r="S912" s="316"/>
      <c r="T912" s="317"/>
      <c r="U912" s="318"/>
      <c r="V912" s="319"/>
      <c r="W912" s="288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220"/>
      <c r="AH912" s="308"/>
      <c r="AI912" s="220"/>
      <c r="AJ912" s="220"/>
      <c r="AK912" s="220"/>
      <c r="AL912" s="220"/>
      <c r="AM912" s="220"/>
      <c r="AN912" s="220"/>
      <c r="AO912" s="220"/>
      <c r="AP912" s="220"/>
      <c r="AQ912" s="220"/>
      <c r="AR912" s="220"/>
      <c r="AS912" s="220"/>
      <c r="AT912" s="220"/>
      <c r="AU912" s="220"/>
      <c r="AV912" s="220"/>
      <c r="AW912" s="220"/>
      <c r="AX912" s="220"/>
      <c r="AY912" s="220"/>
      <c r="AZ912" s="220"/>
      <c r="BA912" s="220"/>
    </row>
    <row r="913">
      <c r="A913" s="240"/>
      <c r="B913" s="311"/>
      <c r="C913" s="311"/>
      <c r="D913" s="312"/>
      <c r="E913" s="311"/>
      <c r="F913" s="311"/>
      <c r="G913" s="312"/>
      <c r="H913" s="312"/>
      <c r="I913" s="313"/>
      <c r="J913" s="314"/>
      <c r="K913" s="313"/>
      <c r="L913" s="313"/>
      <c r="M913" s="313"/>
      <c r="N913" s="315"/>
      <c r="O913" s="313"/>
      <c r="P913" s="313"/>
      <c r="Q913" s="313"/>
      <c r="R913" s="313"/>
      <c r="S913" s="316"/>
      <c r="T913" s="317"/>
      <c r="U913" s="318"/>
      <c r="V913" s="319"/>
      <c r="W913" s="288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220"/>
      <c r="AH913" s="308"/>
      <c r="AI913" s="220"/>
      <c r="AJ913" s="220"/>
      <c r="AK913" s="220"/>
      <c r="AL913" s="220"/>
      <c r="AM913" s="220"/>
      <c r="AN913" s="220"/>
      <c r="AO913" s="220"/>
      <c r="AP913" s="220"/>
      <c r="AQ913" s="220"/>
      <c r="AR913" s="220"/>
      <c r="AS913" s="220"/>
      <c r="AT913" s="220"/>
      <c r="AU913" s="220"/>
      <c r="AV913" s="220"/>
      <c r="AW913" s="220"/>
      <c r="AX913" s="220"/>
      <c r="AY913" s="220"/>
      <c r="AZ913" s="220"/>
      <c r="BA913" s="220"/>
    </row>
    <row r="914">
      <c r="A914" s="240"/>
      <c r="B914" s="311"/>
      <c r="C914" s="311"/>
      <c r="D914" s="312"/>
      <c r="E914" s="311"/>
      <c r="F914" s="311"/>
      <c r="G914" s="312"/>
      <c r="H914" s="312"/>
      <c r="I914" s="313"/>
      <c r="J914" s="314"/>
      <c r="K914" s="313"/>
      <c r="L914" s="313"/>
      <c r="M914" s="313"/>
      <c r="N914" s="315"/>
      <c r="O914" s="313"/>
      <c r="P914" s="313"/>
      <c r="Q914" s="313"/>
      <c r="R914" s="313"/>
      <c r="S914" s="316"/>
      <c r="T914" s="317"/>
      <c r="U914" s="318"/>
      <c r="V914" s="319"/>
      <c r="W914" s="288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220"/>
      <c r="AH914" s="308"/>
      <c r="AI914" s="220"/>
      <c r="AJ914" s="220"/>
      <c r="AK914" s="220"/>
      <c r="AL914" s="220"/>
      <c r="AM914" s="220"/>
      <c r="AN914" s="220"/>
      <c r="AO914" s="220"/>
      <c r="AP914" s="220"/>
      <c r="AQ914" s="220"/>
      <c r="AR914" s="220"/>
      <c r="AS914" s="220"/>
      <c r="AT914" s="220"/>
      <c r="AU914" s="220"/>
      <c r="AV914" s="220"/>
      <c r="AW914" s="220"/>
      <c r="AX914" s="220"/>
      <c r="AY914" s="220"/>
      <c r="AZ914" s="220"/>
      <c r="BA914" s="220"/>
    </row>
    <row r="915">
      <c r="A915" s="240"/>
      <c r="B915" s="311"/>
      <c r="C915" s="311"/>
      <c r="D915" s="312"/>
      <c r="E915" s="311"/>
      <c r="F915" s="311"/>
      <c r="G915" s="312"/>
      <c r="H915" s="312"/>
      <c r="I915" s="313"/>
      <c r="J915" s="314"/>
      <c r="K915" s="313"/>
      <c r="L915" s="313"/>
      <c r="M915" s="313"/>
      <c r="N915" s="315"/>
      <c r="O915" s="313"/>
      <c r="P915" s="313"/>
      <c r="Q915" s="313"/>
      <c r="R915" s="313"/>
      <c r="S915" s="316"/>
      <c r="T915" s="317"/>
      <c r="U915" s="318"/>
      <c r="V915" s="319"/>
      <c r="W915" s="288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220"/>
      <c r="AH915" s="308"/>
      <c r="AI915" s="220"/>
      <c r="AJ915" s="220"/>
      <c r="AK915" s="220"/>
      <c r="AL915" s="220"/>
      <c r="AM915" s="220"/>
      <c r="AN915" s="220"/>
      <c r="AO915" s="220"/>
      <c r="AP915" s="220"/>
      <c r="AQ915" s="220"/>
      <c r="AR915" s="220"/>
      <c r="AS915" s="220"/>
      <c r="AT915" s="220"/>
      <c r="AU915" s="220"/>
      <c r="AV915" s="220"/>
      <c r="AW915" s="220"/>
      <c r="AX915" s="220"/>
      <c r="AY915" s="220"/>
      <c r="AZ915" s="220"/>
      <c r="BA915" s="220"/>
    </row>
    <row r="916">
      <c r="A916" s="240"/>
      <c r="B916" s="311"/>
      <c r="C916" s="311"/>
      <c r="D916" s="312"/>
      <c r="E916" s="311"/>
      <c r="F916" s="311"/>
      <c r="G916" s="312"/>
      <c r="H916" s="312"/>
      <c r="I916" s="313"/>
      <c r="J916" s="314"/>
      <c r="K916" s="313"/>
      <c r="L916" s="313"/>
      <c r="M916" s="313"/>
      <c r="N916" s="315"/>
      <c r="O916" s="313"/>
      <c r="P916" s="313"/>
      <c r="Q916" s="313"/>
      <c r="R916" s="313"/>
      <c r="S916" s="316"/>
      <c r="T916" s="317"/>
      <c r="U916" s="318"/>
      <c r="V916" s="319"/>
      <c r="W916" s="288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220"/>
      <c r="AH916" s="308"/>
      <c r="AI916" s="220"/>
      <c r="AJ916" s="220"/>
      <c r="AK916" s="220"/>
      <c r="AL916" s="220"/>
      <c r="AM916" s="220"/>
      <c r="AN916" s="220"/>
      <c r="AO916" s="220"/>
      <c r="AP916" s="220"/>
      <c r="AQ916" s="220"/>
      <c r="AR916" s="220"/>
      <c r="AS916" s="220"/>
      <c r="AT916" s="220"/>
      <c r="AU916" s="220"/>
      <c r="AV916" s="220"/>
      <c r="AW916" s="220"/>
      <c r="AX916" s="220"/>
      <c r="AY916" s="220"/>
      <c r="AZ916" s="220"/>
      <c r="BA916" s="220"/>
    </row>
    <row r="917">
      <c r="A917" s="240"/>
      <c r="B917" s="311"/>
      <c r="C917" s="311"/>
      <c r="D917" s="312"/>
      <c r="E917" s="311"/>
      <c r="F917" s="311"/>
      <c r="G917" s="312"/>
      <c r="H917" s="312"/>
      <c r="I917" s="313"/>
      <c r="J917" s="314"/>
      <c r="K917" s="313"/>
      <c r="L917" s="313"/>
      <c r="M917" s="313"/>
      <c r="N917" s="315"/>
      <c r="O917" s="313"/>
      <c r="P917" s="313"/>
      <c r="Q917" s="313"/>
      <c r="R917" s="313"/>
      <c r="S917" s="316"/>
      <c r="T917" s="317"/>
      <c r="U917" s="318"/>
      <c r="V917" s="319"/>
      <c r="W917" s="288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220"/>
      <c r="AH917" s="308"/>
      <c r="AI917" s="220"/>
      <c r="AJ917" s="220"/>
      <c r="AK917" s="220"/>
      <c r="AL917" s="220"/>
      <c r="AM917" s="220"/>
      <c r="AN917" s="220"/>
      <c r="AO917" s="220"/>
      <c r="AP917" s="220"/>
      <c r="AQ917" s="220"/>
      <c r="AR917" s="220"/>
      <c r="AS917" s="220"/>
      <c r="AT917" s="220"/>
      <c r="AU917" s="220"/>
      <c r="AV917" s="220"/>
      <c r="AW917" s="220"/>
      <c r="AX917" s="220"/>
      <c r="AY917" s="220"/>
      <c r="AZ917" s="220"/>
      <c r="BA917" s="220"/>
    </row>
    <row r="918">
      <c r="A918" s="240"/>
      <c r="B918" s="311"/>
      <c r="C918" s="311"/>
      <c r="D918" s="312"/>
      <c r="E918" s="311"/>
      <c r="F918" s="311"/>
      <c r="G918" s="312"/>
      <c r="H918" s="312"/>
      <c r="I918" s="313"/>
      <c r="J918" s="314"/>
      <c r="K918" s="313"/>
      <c r="L918" s="313"/>
      <c r="M918" s="313"/>
      <c r="N918" s="315"/>
      <c r="O918" s="313"/>
      <c r="P918" s="313"/>
      <c r="Q918" s="313"/>
      <c r="R918" s="313"/>
      <c r="S918" s="316"/>
      <c r="T918" s="317"/>
      <c r="U918" s="318"/>
      <c r="V918" s="319"/>
      <c r="W918" s="288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220"/>
      <c r="AH918" s="308"/>
      <c r="AI918" s="220"/>
      <c r="AJ918" s="220"/>
      <c r="AK918" s="220"/>
      <c r="AL918" s="220"/>
      <c r="AM918" s="220"/>
      <c r="AN918" s="220"/>
      <c r="AO918" s="220"/>
      <c r="AP918" s="220"/>
      <c r="AQ918" s="220"/>
      <c r="AR918" s="220"/>
      <c r="AS918" s="220"/>
      <c r="AT918" s="220"/>
      <c r="AU918" s="220"/>
      <c r="AV918" s="220"/>
      <c r="AW918" s="220"/>
      <c r="AX918" s="220"/>
      <c r="AY918" s="220"/>
      <c r="AZ918" s="220"/>
      <c r="BA918" s="220"/>
    </row>
    <row r="919">
      <c r="A919" s="240"/>
      <c r="B919" s="311"/>
      <c r="C919" s="311"/>
      <c r="D919" s="312"/>
      <c r="E919" s="311"/>
      <c r="F919" s="311"/>
      <c r="G919" s="312"/>
      <c r="H919" s="312"/>
      <c r="I919" s="313"/>
      <c r="J919" s="314"/>
      <c r="K919" s="313"/>
      <c r="L919" s="313"/>
      <c r="M919" s="313"/>
      <c r="N919" s="315"/>
      <c r="O919" s="313"/>
      <c r="P919" s="313"/>
      <c r="Q919" s="313"/>
      <c r="R919" s="313"/>
      <c r="S919" s="316"/>
      <c r="T919" s="317"/>
      <c r="U919" s="318"/>
      <c r="V919" s="319"/>
      <c r="W919" s="288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220"/>
      <c r="AH919" s="308"/>
      <c r="AI919" s="220"/>
      <c r="AJ919" s="220"/>
      <c r="AK919" s="220"/>
      <c r="AL919" s="220"/>
      <c r="AM919" s="220"/>
      <c r="AN919" s="220"/>
      <c r="AO919" s="220"/>
      <c r="AP919" s="220"/>
      <c r="AQ919" s="220"/>
      <c r="AR919" s="220"/>
      <c r="AS919" s="220"/>
      <c r="AT919" s="220"/>
      <c r="AU919" s="220"/>
      <c r="AV919" s="220"/>
      <c r="AW919" s="220"/>
      <c r="AX919" s="220"/>
      <c r="AY919" s="220"/>
      <c r="AZ919" s="220"/>
      <c r="BA919" s="220"/>
    </row>
    <row r="920">
      <c r="A920" s="240"/>
      <c r="B920" s="311"/>
      <c r="C920" s="311"/>
      <c r="D920" s="312"/>
      <c r="E920" s="311"/>
      <c r="F920" s="311"/>
      <c r="G920" s="312"/>
      <c r="H920" s="312"/>
      <c r="I920" s="313"/>
      <c r="J920" s="314"/>
      <c r="K920" s="313"/>
      <c r="L920" s="313"/>
      <c r="M920" s="313"/>
      <c r="N920" s="315"/>
      <c r="O920" s="313"/>
      <c r="P920" s="313"/>
      <c r="Q920" s="313"/>
      <c r="R920" s="313"/>
      <c r="S920" s="316"/>
      <c r="T920" s="317"/>
      <c r="U920" s="318"/>
      <c r="V920" s="319"/>
      <c r="W920" s="288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220"/>
      <c r="AH920" s="308"/>
      <c r="AI920" s="220"/>
      <c r="AJ920" s="220"/>
      <c r="AK920" s="220"/>
      <c r="AL920" s="220"/>
      <c r="AM920" s="220"/>
      <c r="AN920" s="220"/>
      <c r="AO920" s="220"/>
      <c r="AP920" s="220"/>
      <c r="AQ920" s="220"/>
      <c r="AR920" s="220"/>
      <c r="AS920" s="220"/>
      <c r="AT920" s="220"/>
      <c r="AU920" s="220"/>
      <c r="AV920" s="220"/>
      <c r="AW920" s="220"/>
      <c r="AX920" s="220"/>
      <c r="AY920" s="220"/>
      <c r="AZ920" s="220"/>
      <c r="BA920" s="220"/>
    </row>
    <row r="921">
      <c r="A921" s="240"/>
      <c r="B921" s="311"/>
      <c r="C921" s="311"/>
      <c r="D921" s="312"/>
      <c r="E921" s="311"/>
      <c r="F921" s="311"/>
      <c r="G921" s="312"/>
      <c r="H921" s="312"/>
      <c r="I921" s="313"/>
      <c r="J921" s="314"/>
      <c r="K921" s="313"/>
      <c r="L921" s="313"/>
      <c r="M921" s="313"/>
      <c r="N921" s="315"/>
      <c r="O921" s="313"/>
      <c r="P921" s="313"/>
      <c r="Q921" s="313"/>
      <c r="R921" s="313"/>
      <c r="S921" s="316"/>
      <c r="T921" s="317"/>
      <c r="U921" s="318"/>
      <c r="V921" s="319"/>
      <c r="W921" s="288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308"/>
      <c r="AI921" s="220"/>
      <c r="AJ921" s="220"/>
      <c r="AK921" s="220"/>
      <c r="AL921" s="220"/>
      <c r="AM921" s="220"/>
      <c r="AN921" s="220"/>
      <c r="AO921" s="220"/>
      <c r="AP921" s="220"/>
      <c r="AQ921" s="220"/>
      <c r="AR921" s="220"/>
      <c r="AS921" s="220"/>
      <c r="AT921" s="220"/>
      <c r="AU921" s="220"/>
      <c r="AV921" s="220"/>
      <c r="AW921" s="220"/>
      <c r="AX921" s="220"/>
      <c r="AY921" s="220"/>
      <c r="AZ921" s="220"/>
      <c r="BA921" s="220"/>
    </row>
    <row r="922">
      <c r="A922" s="240"/>
      <c r="B922" s="311"/>
      <c r="C922" s="311"/>
      <c r="D922" s="312"/>
      <c r="E922" s="311"/>
      <c r="F922" s="311"/>
      <c r="G922" s="312"/>
      <c r="H922" s="312"/>
      <c r="I922" s="313"/>
      <c r="J922" s="314"/>
      <c r="K922" s="313"/>
      <c r="L922" s="313"/>
      <c r="M922" s="313"/>
      <c r="N922" s="315"/>
      <c r="O922" s="313"/>
      <c r="P922" s="313"/>
      <c r="Q922" s="313"/>
      <c r="R922" s="313"/>
      <c r="S922" s="316"/>
      <c r="T922" s="317"/>
      <c r="U922" s="318"/>
      <c r="V922" s="319"/>
      <c r="W922" s="288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220"/>
      <c r="AH922" s="308"/>
      <c r="AI922" s="220"/>
      <c r="AJ922" s="220"/>
      <c r="AK922" s="220"/>
      <c r="AL922" s="220"/>
      <c r="AM922" s="220"/>
      <c r="AN922" s="220"/>
      <c r="AO922" s="220"/>
      <c r="AP922" s="220"/>
      <c r="AQ922" s="220"/>
      <c r="AR922" s="220"/>
      <c r="AS922" s="220"/>
      <c r="AT922" s="220"/>
      <c r="AU922" s="220"/>
      <c r="AV922" s="220"/>
      <c r="AW922" s="220"/>
      <c r="AX922" s="220"/>
      <c r="AY922" s="220"/>
      <c r="AZ922" s="220"/>
      <c r="BA922" s="220"/>
    </row>
    <row r="923">
      <c r="A923" s="240"/>
      <c r="B923" s="311"/>
      <c r="C923" s="311"/>
      <c r="D923" s="312"/>
      <c r="E923" s="311"/>
      <c r="F923" s="311"/>
      <c r="G923" s="312"/>
      <c r="H923" s="312"/>
      <c r="I923" s="313"/>
      <c r="J923" s="314"/>
      <c r="K923" s="313"/>
      <c r="L923" s="313"/>
      <c r="M923" s="313"/>
      <c r="N923" s="315"/>
      <c r="O923" s="313"/>
      <c r="P923" s="313"/>
      <c r="Q923" s="313"/>
      <c r="R923" s="313"/>
      <c r="S923" s="316"/>
      <c r="T923" s="317"/>
      <c r="U923" s="318"/>
      <c r="V923" s="319"/>
      <c r="W923" s="288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220"/>
      <c r="AH923" s="308"/>
      <c r="AI923" s="220"/>
      <c r="AJ923" s="220"/>
      <c r="AK923" s="220"/>
      <c r="AL923" s="220"/>
      <c r="AM923" s="220"/>
      <c r="AN923" s="220"/>
      <c r="AO923" s="220"/>
      <c r="AP923" s="220"/>
      <c r="AQ923" s="220"/>
      <c r="AR923" s="220"/>
      <c r="AS923" s="220"/>
      <c r="AT923" s="220"/>
      <c r="AU923" s="220"/>
      <c r="AV923" s="220"/>
      <c r="AW923" s="220"/>
      <c r="AX923" s="220"/>
      <c r="AY923" s="220"/>
      <c r="AZ923" s="220"/>
      <c r="BA923" s="220"/>
    </row>
    <row r="924">
      <c r="A924" s="240"/>
      <c r="B924" s="311"/>
      <c r="C924" s="311"/>
      <c r="D924" s="312"/>
      <c r="E924" s="311"/>
      <c r="F924" s="311"/>
      <c r="G924" s="312"/>
      <c r="H924" s="312"/>
      <c r="I924" s="313"/>
      <c r="J924" s="314"/>
      <c r="K924" s="313"/>
      <c r="L924" s="313"/>
      <c r="M924" s="313"/>
      <c r="N924" s="315"/>
      <c r="O924" s="313"/>
      <c r="P924" s="313"/>
      <c r="Q924" s="313"/>
      <c r="R924" s="313"/>
      <c r="S924" s="316"/>
      <c r="T924" s="317"/>
      <c r="U924" s="318"/>
      <c r="V924" s="319"/>
      <c r="W924" s="288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220"/>
      <c r="AH924" s="308"/>
      <c r="AI924" s="220"/>
      <c r="AJ924" s="220"/>
      <c r="AK924" s="220"/>
      <c r="AL924" s="220"/>
      <c r="AM924" s="220"/>
      <c r="AN924" s="220"/>
      <c r="AO924" s="220"/>
      <c r="AP924" s="220"/>
      <c r="AQ924" s="220"/>
      <c r="AR924" s="220"/>
      <c r="AS924" s="220"/>
      <c r="AT924" s="220"/>
      <c r="AU924" s="220"/>
      <c r="AV924" s="220"/>
      <c r="AW924" s="220"/>
      <c r="AX924" s="220"/>
      <c r="AY924" s="220"/>
      <c r="AZ924" s="220"/>
      <c r="BA924" s="220"/>
    </row>
    <row r="925">
      <c r="A925" s="240"/>
      <c r="B925" s="311"/>
      <c r="C925" s="311"/>
      <c r="D925" s="312"/>
      <c r="E925" s="311"/>
      <c r="F925" s="311"/>
      <c r="G925" s="312"/>
      <c r="H925" s="312"/>
      <c r="I925" s="313"/>
      <c r="J925" s="314"/>
      <c r="K925" s="313"/>
      <c r="L925" s="313"/>
      <c r="M925" s="313"/>
      <c r="N925" s="315"/>
      <c r="O925" s="313"/>
      <c r="P925" s="313"/>
      <c r="Q925" s="313"/>
      <c r="R925" s="313"/>
      <c r="S925" s="316"/>
      <c r="T925" s="317"/>
      <c r="U925" s="318"/>
      <c r="V925" s="319"/>
      <c r="W925" s="288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220"/>
      <c r="AH925" s="308"/>
      <c r="AI925" s="220"/>
      <c r="AJ925" s="220"/>
      <c r="AK925" s="220"/>
      <c r="AL925" s="220"/>
      <c r="AM925" s="220"/>
      <c r="AN925" s="220"/>
      <c r="AO925" s="220"/>
      <c r="AP925" s="220"/>
      <c r="AQ925" s="220"/>
      <c r="AR925" s="220"/>
      <c r="AS925" s="220"/>
      <c r="AT925" s="220"/>
      <c r="AU925" s="220"/>
      <c r="AV925" s="220"/>
      <c r="AW925" s="220"/>
      <c r="AX925" s="220"/>
      <c r="AY925" s="220"/>
      <c r="AZ925" s="220"/>
      <c r="BA925" s="220"/>
    </row>
    <row r="926">
      <c r="A926" s="240"/>
      <c r="B926" s="311"/>
      <c r="C926" s="311"/>
      <c r="D926" s="312"/>
      <c r="E926" s="311"/>
      <c r="F926" s="311"/>
      <c r="G926" s="312"/>
      <c r="H926" s="312"/>
      <c r="I926" s="313"/>
      <c r="J926" s="314"/>
      <c r="K926" s="313"/>
      <c r="L926" s="313"/>
      <c r="M926" s="313"/>
      <c r="N926" s="315"/>
      <c r="O926" s="313"/>
      <c r="P926" s="313"/>
      <c r="Q926" s="313"/>
      <c r="R926" s="313"/>
      <c r="S926" s="316"/>
      <c r="T926" s="317"/>
      <c r="U926" s="318"/>
      <c r="V926" s="319"/>
      <c r="W926" s="288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220"/>
      <c r="AH926" s="308"/>
      <c r="AI926" s="220"/>
      <c r="AJ926" s="220"/>
      <c r="AK926" s="220"/>
      <c r="AL926" s="220"/>
      <c r="AM926" s="220"/>
      <c r="AN926" s="220"/>
      <c r="AO926" s="220"/>
      <c r="AP926" s="220"/>
      <c r="AQ926" s="220"/>
      <c r="AR926" s="220"/>
      <c r="AS926" s="220"/>
      <c r="AT926" s="220"/>
      <c r="AU926" s="220"/>
      <c r="AV926" s="220"/>
      <c r="AW926" s="220"/>
      <c r="AX926" s="220"/>
      <c r="AY926" s="220"/>
      <c r="AZ926" s="220"/>
      <c r="BA926" s="220"/>
    </row>
    <row r="927">
      <c r="A927" s="240"/>
      <c r="B927" s="311"/>
      <c r="C927" s="311"/>
      <c r="D927" s="312"/>
      <c r="E927" s="311"/>
      <c r="F927" s="311"/>
      <c r="G927" s="312"/>
      <c r="H927" s="312"/>
      <c r="I927" s="313"/>
      <c r="J927" s="314"/>
      <c r="K927" s="313"/>
      <c r="L927" s="313"/>
      <c r="M927" s="313"/>
      <c r="N927" s="315"/>
      <c r="O927" s="313"/>
      <c r="P927" s="313"/>
      <c r="Q927" s="313"/>
      <c r="R927" s="313"/>
      <c r="S927" s="316"/>
      <c r="T927" s="317"/>
      <c r="U927" s="318"/>
      <c r="V927" s="319"/>
      <c r="W927" s="288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220"/>
      <c r="AH927" s="308"/>
      <c r="AI927" s="220"/>
      <c r="AJ927" s="220"/>
      <c r="AK927" s="220"/>
      <c r="AL927" s="220"/>
      <c r="AM927" s="220"/>
      <c r="AN927" s="220"/>
      <c r="AO927" s="220"/>
      <c r="AP927" s="220"/>
      <c r="AQ927" s="220"/>
      <c r="AR927" s="220"/>
      <c r="AS927" s="220"/>
      <c r="AT927" s="220"/>
      <c r="AU927" s="220"/>
      <c r="AV927" s="220"/>
      <c r="AW927" s="220"/>
      <c r="AX927" s="220"/>
      <c r="AY927" s="220"/>
      <c r="AZ927" s="220"/>
      <c r="BA927" s="220"/>
    </row>
    <row r="928">
      <c r="A928" s="240"/>
      <c r="B928" s="311"/>
      <c r="C928" s="311"/>
      <c r="D928" s="312"/>
      <c r="E928" s="311"/>
      <c r="F928" s="311"/>
      <c r="G928" s="312"/>
      <c r="H928" s="312"/>
      <c r="I928" s="313"/>
      <c r="J928" s="314"/>
      <c r="K928" s="313"/>
      <c r="L928" s="313"/>
      <c r="M928" s="313"/>
      <c r="N928" s="315"/>
      <c r="O928" s="313"/>
      <c r="P928" s="313"/>
      <c r="Q928" s="313"/>
      <c r="R928" s="313"/>
      <c r="S928" s="316"/>
      <c r="T928" s="317"/>
      <c r="U928" s="318"/>
      <c r="V928" s="319"/>
      <c r="W928" s="288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220"/>
      <c r="AH928" s="308"/>
      <c r="AI928" s="220"/>
      <c r="AJ928" s="220"/>
      <c r="AK928" s="220"/>
      <c r="AL928" s="220"/>
      <c r="AM928" s="220"/>
      <c r="AN928" s="220"/>
      <c r="AO928" s="220"/>
      <c r="AP928" s="220"/>
      <c r="AQ928" s="220"/>
      <c r="AR928" s="220"/>
      <c r="AS928" s="220"/>
      <c r="AT928" s="220"/>
      <c r="AU928" s="220"/>
      <c r="AV928" s="220"/>
      <c r="AW928" s="220"/>
      <c r="AX928" s="220"/>
      <c r="AY928" s="220"/>
      <c r="AZ928" s="220"/>
      <c r="BA928" s="220"/>
    </row>
    <row r="929">
      <c r="A929" s="240"/>
      <c r="B929" s="311"/>
      <c r="C929" s="311"/>
      <c r="D929" s="312"/>
      <c r="E929" s="311"/>
      <c r="F929" s="311"/>
      <c r="G929" s="312"/>
      <c r="H929" s="312"/>
      <c r="I929" s="313"/>
      <c r="J929" s="314"/>
      <c r="K929" s="313"/>
      <c r="L929" s="313"/>
      <c r="M929" s="313"/>
      <c r="N929" s="315"/>
      <c r="O929" s="313"/>
      <c r="P929" s="313"/>
      <c r="Q929" s="313"/>
      <c r="R929" s="313"/>
      <c r="S929" s="316"/>
      <c r="T929" s="317"/>
      <c r="U929" s="318"/>
      <c r="V929" s="319"/>
      <c r="W929" s="288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220"/>
      <c r="AH929" s="308"/>
      <c r="AI929" s="220"/>
      <c r="AJ929" s="220"/>
      <c r="AK929" s="220"/>
      <c r="AL929" s="220"/>
      <c r="AM929" s="220"/>
      <c r="AN929" s="220"/>
      <c r="AO929" s="220"/>
      <c r="AP929" s="220"/>
      <c r="AQ929" s="220"/>
      <c r="AR929" s="220"/>
      <c r="AS929" s="220"/>
      <c r="AT929" s="220"/>
      <c r="AU929" s="220"/>
      <c r="AV929" s="220"/>
      <c r="AW929" s="220"/>
      <c r="AX929" s="220"/>
      <c r="AY929" s="220"/>
      <c r="AZ929" s="220"/>
      <c r="BA929" s="220"/>
    </row>
    <row r="930">
      <c r="A930" s="240"/>
      <c r="B930" s="311"/>
      <c r="C930" s="311"/>
      <c r="D930" s="312"/>
      <c r="E930" s="311"/>
      <c r="F930" s="311"/>
      <c r="G930" s="312"/>
      <c r="H930" s="312"/>
      <c r="I930" s="313"/>
      <c r="J930" s="314"/>
      <c r="K930" s="313"/>
      <c r="L930" s="313"/>
      <c r="M930" s="313"/>
      <c r="N930" s="315"/>
      <c r="O930" s="313"/>
      <c r="P930" s="313"/>
      <c r="Q930" s="313"/>
      <c r="R930" s="313"/>
      <c r="S930" s="316"/>
      <c r="T930" s="317"/>
      <c r="U930" s="318"/>
      <c r="V930" s="319"/>
      <c r="W930" s="288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220"/>
      <c r="AH930" s="308"/>
      <c r="AI930" s="220"/>
      <c r="AJ930" s="220"/>
      <c r="AK930" s="220"/>
      <c r="AL930" s="220"/>
      <c r="AM930" s="220"/>
      <c r="AN930" s="220"/>
      <c r="AO930" s="220"/>
      <c r="AP930" s="220"/>
      <c r="AQ930" s="220"/>
      <c r="AR930" s="220"/>
      <c r="AS930" s="220"/>
      <c r="AT930" s="220"/>
      <c r="AU930" s="220"/>
      <c r="AV930" s="220"/>
      <c r="AW930" s="220"/>
      <c r="AX930" s="220"/>
      <c r="AY930" s="220"/>
      <c r="AZ930" s="220"/>
      <c r="BA930" s="220"/>
    </row>
    <row r="931">
      <c r="A931" s="240"/>
      <c r="B931" s="311"/>
      <c r="C931" s="311"/>
      <c r="D931" s="312"/>
      <c r="E931" s="311"/>
      <c r="F931" s="311"/>
      <c r="G931" s="312"/>
      <c r="H931" s="312"/>
      <c r="I931" s="313"/>
      <c r="J931" s="314"/>
      <c r="K931" s="313"/>
      <c r="L931" s="313"/>
      <c r="M931" s="313"/>
      <c r="N931" s="315"/>
      <c r="O931" s="313"/>
      <c r="P931" s="313"/>
      <c r="Q931" s="313"/>
      <c r="R931" s="313"/>
      <c r="S931" s="316"/>
      <c r="T931" s="317"/>
      <c r="U931" s="318"/>
      <c r="V931" s="319"/>
      <c r="W931" s="288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220"/>
      <c r="AH931" s="308"/>
      <c r="AI931" s="220"/>
      <c r="AJ931" s="220"/>
      <c r="AK931" s="220"/>
      <c r="AL931" s="220"/>
      <c r="AM931" s="220"/>
      <c r="AN931" s="220"/>
      <c r="AO931" s="220"/>
      <c r="AP931" s="220"/>
      <c r="AQ931" s="220"/>
      <c r="AR931" s="220"/>
      <c r="AS931" s="220"/>
      <c r="AT931" s="220"/>
      <c r="AU931" s="220"/>
      <c r="AV931" s="220"/>
      <c r="AW931" s="220"/>
      <c r="AX931" s="220"/>
      <c r="AY931" s="220"/>
      <c r="AZ931" s="220"/>
      <c r="BA931" s="220"/>
    </row>
    <row r="932">
      <c r="A932" s="240"/>
      <c r="B932" s="311"/>
      <c r="C932" s="311"/>
      <c r="D932" s="312"/>
      <c r="E932" s="311"/>
      <c r="F932" s="311"/>
      <c r="G932" s="312"/>
      <c r="H932" s="312"/>
      <c r="I932" s="313"/>
      <c r="J932" s="314"/>
      <c r="K932" s="313"/>
      <c r="L932" s="313"/>
      <c r="M932" s="313"/>
      <c r="N932" s="315"/>
      <c r="O932" s="313"/>
      <c r="P932" s="313"/>
      <c r="Q932" s="313"/>
      <c r="R932" s="313"/>
      <c r="S932" s="316"/>
      <c r="T932" s="317"/>
      <c r="U932" s="318"/>
      <c r="V932" s="319"/>
      <c r="W932" s="288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220"/>
      <c r="AH932" s="308"/>
      <c r="AI932" s="220"/>
      <c r="AJ932" s="220"/>
      <c r="AK932" s="220"/>
      <c r="AL932" s="220"/>
      <c r="AM932" s="220"/>
      <c r="AN932" s="220"/>
      <c r="AO932" s="220"/>
      <c r="AP932" s="220"/>
      <c r="AQ932" s="220"/>
      <c r="AR932" s="220"/>
      <c r="AS932" s="220"/>
      <c r="AT932" s="220"/>
      <c r="AU932" s="220"/>
      <c r="AV932" s="220"/>
      <c r="AW932" s="220"/>
      <c r="AX932" s="220"/>
      <c r="AY932" s="220"/>
      <c r="AZ932" s="220"/>
      <c r="BA932" s="220"/>
    </row>
    <row r="933">
      <c r="A933" s="240"/>
      <c r="B933" s="311"/>
      <c r="C933" s="311"/>
      <c r="D933" s="312"/>
      <c r="E933" s="311"/>
      <c r="F933" s="311"/>
      <c r="G933" s="312"/>
      <c r="H933" s="312"/>
      <c r="I933" s="313"/>
      <c r="J933" s="314"/>
      <c r="K933" s="313"/>
      <c r="L933" s="313"/>
      <c r="M933" s="313"/>
      <c r="N933" s="315"/>
      <c r="O933" s="313"/>
      <c r="P933" s="313"/>
      <c r="Q933" s="313"/>
      <c r="R933" s="313"/>
      <c r="S933" s="316"/>
      <c r="T933" s="317"/>
      <c r="U933" s="318"/>
      <c r="V933" s="319"/>
      <c r="W933" s="288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220"/>
      <c r="AH933" s="308"/>
      <c r="AI933" s="220"/>
      <c r="AJ933" s="220"/>
      <c r="AK933" s="220"/>
      <c r="AL933" s="220"/>
      <c r="AM933" s="220"/>
      <c r="AN933" s="220"/>
      <c r="AO933" s="220"/>
      <c r="AP933" s="220"/>
      <c r="AQ933" s="220"/>
      <c r="AR933" s="220"/>
      <c r="AS933" s="220"/>
      <c r="AT933" s="220"/>
      <c r="AU933" s="220"/>
      <c r="AV933" s="220"/>
      <c r="AW933" s="220"/>
      <c r="AX933" s="220"/>
      <c r="AY933" s="220"/>
      <c r="AZ933" s="220"/>
      <c r="BA933" s="220"/>
    </row>
    <row r="934">
      <c r="A934" s="240"/>
      <c r="B934" s="311"/>
      <c r="C934" s="311"/>
      <c r="D934" s="312"/>
      <c r="E934" s="311"/>
      <c r="F934" s="311"/>
      <c r="G934" s="312"/>
      <c r="H934" s="312"/>
      <c r="I934" s="313"/>
      <c r="J934" s="314"/>
      <c r="K934" s="313"/>
      <c r="L934" s="313"/>
      <c r="M934" s="313"/>
      <c r="N934" s="315"/>
      <c r="O934" s="313"/>
      <c r="P934" s="313"/>
      <c r="Q934" s="313"/>
      <c r="R934" s="313"/>
      <c r="S934" s="316"/>
      <c r="T934" s="317"/>
      <c r="U934" s="318"/>
      <c r="V934" s="319"/>
      <c r="W934" s="288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220"/>
      <c r="AH934" s="308"/>
      <c r="AI934" s="220"/>
      <c r="AJ934" s="220"/>
      <c r="AK934" s="220"/>
      <c r="AL934" s="220"/>
      <c r="AM934" s="220"/>
      <c r="AN934" s="220"/>
      <c r="AO934" s="220"/>
      <c r="AP934" s="220"/>
      <c r="AQ934" s="220"/>
      <c r="AR934" s="220"/>
      <c r="AS934" s="220"/>
      <c r="AT934" s="220"/>
      <c r="AU934" s="220"/>
      <c r="AV934" s="220"/>
      <c r="AW934" s="220"/>
      <c r="AX934" s="220"/>
      <c r="AY934" s="220"/>
      <c r="AZ934" s="220"/>
      <c r="BA934" s="220"/>
    </row>
    <row r="935">
      <c r="A935" s="240"/>
      <c r="B935" s="311"/>
      <c r="C935" s="311"/>
      <c r="D935" s="312"/>
      <c r="E935" s="311"/>
      <c r="F935" s="311"/>
      <c r="G935" s="312"/>
      <c r="H935" s="312"/>
      <c r="I935" s="313"/>
      <c r="J935" s="314"/>
      <c r="K935" s="313"/>
      <c r="L935" s="313"/>
      <c r="M935" s="313"/>
      <c r="N935" s="315"/>
      <c r="O935" s="313"/>
      <c r="P935" s="313"/>
      <c r="Q935" s="313"/>
      <c r="R935" s="313"/>
      <c r="S935" s="316"/>
      <c r="T935" s="317"/>
      <c r="U935" s="318"/>
      <c r="V935" s="319"/>
      <c r="W935" s="288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220"/>
      <c r="AH935" s="308"/>
      <c r="AI935" s="220"/>
      <c r="AJ935" s="220"/>
      <c r="AK935" s="220"/>
      <c r="AL935" s="220"/>
      <c r="AM935" s="220"/>
      <c r="AN935" s="220"/>
      <c r="AO935" s="220"/>
      <c r="AP935" s="220"/>
      <c r="AQ935" s="220"/>
      <c r="AR935" s="220"/>
      <c r="AS935" s="220"/>
      <c r="AT935" s="220"/>
      <c r="AU935" s="220"/>
      <c r="AV935" s="220"/>
      <c r="AW935" s="220"/>
      <c r="AX935" s="220"/>
      <c r="AY935" s="220"/>
      <c r="AZ935" s="220"/>
      <c r="BA935" s="220"/>
    </row>
    <row r="936">
      <c r="A936" s="240"/>
      <c r="B936" s="311"/>
      <c r="C936" s="311"/>
      <c r="D936" s="312"/>
      <c r="E936" s="311"/>
      <c r="F936" s="311"/>
      <c r="G936" s="312"/>
      <c r="H936" s="312"/>
      <c r="I936" s="313"/>
      <c r="J936" s="314"/>
      <c r="K936" s="313"/>
      <c r="L936" s="313"/>
      <c r="M936" s="313"/>
      <c r="N936" s="315"/>
      <c r="O936" s="313"/>
      <c r="P936" s="313"/>
      <c r="Q936" s="313"/>
      <c r="R936" s="313"/>
      <c r="S936" s="316"/>
      <c r="T936" s="317"/>
      <c r="U936" s="318"/>
      <c r="V936" s="319"/>
      <c r="W936" s="288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220"/>
      <c r="AH936" s="308"/>
      <c r="AI936" s="220"/>
      <c r="AJ936" s="220"/>
      <c r="AK936" s="220"/>
      <c r="AL936" s="220"/>
      <c r="AM936" s="220"/>
      <c r="AN936" s="220"/>
      <c r="AO936" s="220"/>
      <c r="AP936" s="220"/>
      <c r="AQ936" s="220"/>
      <c r="AR936" s="220"/>
      <c r="AS936" s="220"/>
      <c r="AT936" s="220"/>
      <c r="AU936" s="220"/>
      <c r="AV936" s="220"/>
      <c r="AW936" s="220"/>
      <c r="AX936" s="220"/>
      <c r="AY936" s="220"/>
      <c r="AZ936" s="220"/>
      <c r="BA936" s="220"/>
    </row>
    <row r="937">
      <c r="A937" s="240"/>
      <c r="B937" s="311"/>
      <c r="C937" s="311"/>
      <c r="D937" s="312"/>
      <c r="E937" s="311"/>
      <c r="F937" s="311"/>
      <c r="G937" s="312"/>
      <c r="H937" s="312"/>
      <c r="I937" s="313"/>
      <c r="J937" s="314"/>
      <c r="K937" s="313"/>
      <c r="L937" s="313"/>
      <c r="M937" s="313"/>
      <c r="N937" s="315"/>
      <c r="O937" s="313"/>
      <c r="P937" s="313"/>
      <c r="Q937" s="313"/>
      <c r="R937" s="313"/>
      <c r="S937" s="316"/>
      <c r="T937" s="317"/>
      <c r="U937" s="318"/>
      <c r="V937" s="319"/>
      <c r="W937" s="288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220"/>
      <c r="AH937" s="308"/>
      <c r="AI937" s="220"/>
      <c r="AJ937" s="220"/>
      <c r="AK937" s="220"/>
      <c r="AL937" s="220"/>
      <c r="AM937" s="220"/>
      <c r="AN937" s="220"/>
      <c r="AO937" s="220"/>
      <c r="AP937" s="220"/>
      <c r="AQ937" s="220"/>
      <c r="AR937" s="220"/>
      <c r="AS937" s="220"/>
      <c r="AT937" s="220"/>
      <c r="AU937" s="220"/>
      <c r="AV937" s="220"/>
      <c r="AW937" s="220"/>
      <c r="AX937" s="220"/>
      <c r="AY937" s="220"/>
      <c r="AZ937" s="220"/>
      <c r="BA937" s="220"/>
    </row>
    <row r="938">
      <c r="A938" s="240"/>
      <c r="B938" s="311"/>
      <c r="C938" s="311"/>
      <c r="D938" s="312"/>
      <c r="E938" s="311"/>
      <c r="F938" s="311"/>
      <c r="G938" s="312"/>
      <c r="H938" s="312"/>
      <c r="I938" s="313"/>
      <c r="J938" s="314"/>
      <c r="K938" s="313"/>
      <c r="L938" s="313"/>
      <c r="M938" s="313"/>
      <c r="N938" s="315"/>
      <c r="O938" s="313"/>
      <c r="P938" s="313"/>
      <c r="Q938" s="313"/>
      <c r="R938" s="313"/>
      <c r="S938" s="316"/>
      <c r="T938" s="317"/>
      <c r="U938" s="318"/>
      <c r="V938" s="319"/>
      <c r="W938" s="288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220"/>
      <c r="AH938" s="308"/>
      <c r="AI938" s="220"/>
      <c r="AJ938" s="220"/>
      <c r="AK938" s="220"/>
      <c r="AL938" s="220"/>
      <c r="AM938" s="220"/>
      <c r="AN938" s="220"/>
      <c r="AO938" s="220"/>
      <c r="AP938" s="220"/>
      <c r="AQ938" s="220"/>
      <c r="AR938" s="220"/>
      <c r="AS938" s="220"/>
      <c r="AT938" s="220"/>
      <c r="AU938" s="220"/>
      <c r="AV938" s="220"/>
      <c r="AW938" s="220"/>
      <c r="AX938" s="220"/>
      <c r="AY938" s="220"/>
      <c r="AZ938" s="220"/>
      <c r="BA938" s="220"/>
    </row>
    <row r="939">
      <c r="A939" s="240"/>
      <c r="B939" s="311"/>
      <c r="C939" s="311"/>
      <c r="D939" s="312"/>
      <c r="E939" s="311"/>
      <c r="F939" s="311"/>
      <c r="G939" s="312"/>
      <c r="H939" s="312"/>
      <c r="I939" s="313"/>
      <c r="J939" s="314"/>
      <c r="K939" s="313"/>
      <c r="L939" s="313"/>
      <c r="M939" s="313"/>
      <c r="N939" s="315"/>
      <c r="O939" s="313"/>
      <c r="P939" s="313"/>
      <c r="Q939" s="313"/>
      <c r="R939" s="313"/>
      <c r="S939" s="316"/>
      <c r="T939" s="317"/>
      <c r="U939" s="318"/>
      <c r="V939" s="319"/>
      <c r="W939" s="288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220"/>
      <c r="AH939" s="308"/>
      <c r="AI939" s="220"/>
      <c r="AJ939" s="220"/>
      <c r="AK939" s="220"/>
      <c r="AL939" s="220"/>
      <c r="AM939" s="220"/>
      <c r="AN939" s="220"/>
      <c r="AO939" s="220"/>
      <c r="AP939" s="220"/>
      <c r="AQ939" s="220"/>
      <c r="AR939" s="220"/>
      <c r="AS939" s="220"/>
      <c r="AT939" s="220"/>
      <c r="AU939" s="220"/>
      <c r="AV939" s="220"/>
      <c r="AW939" s="220"/>
      <c r="AX939" s="220"/>
      <c r="AY939" s="220"/>
      <c r="AZ939" s="220"/>
      <c r="BA939" s="220"/>
    </row>
    <row r="940">
      <c r="A940" s="240"/>
      <c r="B940" s="311"/>
      <c r="C940" s="311"/>
      <c r="D940" s="312"/>
      <c r="E940" s="311"/>
      <c r="F940" s="311"/>
      <c r="G940" s="312"/>
      <c r="H940" s="312"/>
      <c r="I940" s="313"/>
      <c r="J940" s="314"/>
      <c r="K940" s="313"/>
      <c r="L940" s="313"/>
      <c r="M940" s="313"/>
      <c r="N940" s="315"/>
      <c r="O940" s="313"/>
      <c r="P940" s="313"/>
      <c r="Q940" s="313"/>
      <c r="R940" s="313"/>
      <c r="S940" s="316"/>
      <c r="T940" s="317"/>
      <c r="U940" s="318"/>
      <c r="V940" s="319"/>
      <c r="W940" s="288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220"/>
      <c r="AH940" s="308"/>
      <c r="AI940" s="220"/>
      <c r="AJ940" s="220"/>
      <c r="AK940" s="220"/>
      <c r="AL940" s="220"/>
      <c r="AM940" s="220"/>
      <c r="AN940" s="220"/>
      <c r="AO940" s="220"/>
      <c r="AP940" s="220"/>
      <c r="AQ940" s="220"/>
      <c r="AR940" s="220"/>
      <c r="AS940" s="220"/>
      <c r="AT940" s="220"/>
      <c r="AU940" s="220"/>
      <c r="AV940" s="220"/>
      <c r="AW940" s="220"/>
      <c r="AX940" s="220"/>
      <c r="AY940" s="220"/>
      <c r="AZ940" s="220"/>
      <c r="BA940" s="220"/>
    </row>
    <row r="941">
      <c r="A941" s="240"/>
      <c r="B941" s="311"/>
      <c r="C941" s="311"/>
      <c r="D941" s="312"/>
      <c r="E941" s="311"/>
      <c r="F941" s="311"/>
      <c r="G941" s="312"/>
      <c r="H941" s="312"/>
      <c r="I941" s="313"/>
      <c r="J941" s="314"/>
      <c r="K941" s="313"/>
      <c r="L941" s="313"/>
      <c r="M941" s="313"/>
      <c r="N941" s="315"/>
      <c r="O941" s="313"/>
      <c r="P941" s="313"/>
      <c r="Q941" s="313"/>
      <c r="R941" s="313"/>
      <c r="S941" s="316"/>
      <c r="T941" s="317"/>
      <c r="U941" s="318"/>
      <c r="V941" s="319"/>
      <c r="W941" s="288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220"/>
      <c r="AH941" s="308"/>
      <c r="AI941" s="220"/>
      <c r="AJ941" s="220"/>
      <c r="AK941" s="220"/>
      <c r="AL941" s="220"/>
      <c r="AM941" s="220"/>
      <c r="AN941" s="220"/>
      <c r="AO941" s="220"/>
      <c r="AP941" s="220"/>
      <c r="AQ941" s="220"/>
      <c r="AR941" s="220"/>
      <c r="AS941" s="220"/>
      <c r="AT941" s="220"/>
      <c r="AU941" s="220"/>
      <c r="AV941" s="220"/>
      <c r="AW941" s="220"/>
      <c r="AX941" s="220"/>
      <c r="AY941" s="220"/>
      <c r="AZ941" s="220"/>
      <c r="BA941" s="220"/>
    </row>
    <row r="942">
      <c r="A942" s="240"/>
      <c r="B942" s="311"/>
      <c r="C942" s="311"/>
      <c r="D942" s="312"/>
      <c r="E942" s="311"/>
      <c r="F942" s="311"/>
      <c r="G942" s="312"/>
      <c r="H942" s="312"/>
      <c r="I942" s="313"/>
      <c r="J942" s="314"/>
      <c r="K942" s="313"/>
      <c r="L942" s="313"/>
      <c r="M942" s="313"/>
      <c r="N942" s="315"/>
      <c r="O942" s="313"/>
      <c r="P942" s="313"/>
      <c r="Q942" s="313"/>
      <c r="R942" s="313"/>
      <c r="S942" s="316"/>
      <c r="T942" s="317"/>
      <c r="U942" s="318"/>
      <c r="V942" s="319"/>
      <c r="W942" s="288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220"/>
      <c r="AH942" s="308"/>
      <c r="AI942" s="220"/>
      <c r="AJ942" s="220"/>
      <c r="AK942" s="220"/>
      <c r="AL942" s="220"/>
      <c r="AM942" s="220"/>
      <c r="AN942" s="220"/>
      <c r="AO942" s="220"/>
      <c r="AP942" s="220"/>
      <c r="AQ942" s="220"/>
      <c r="AR942" s="220"/>
      <c r="AS942" s="220"/>
      <c r="AT942" s="220"/>
      <c r="AU942" s="220"/>
      <c r="AV942" s="220"/>
      <c r="AW942" s="220"/>
      <c r="AX942" s="220"/>
      <c r="AY942" s="220"/>
      <c r="AZ942" s="220"/>
      <c r="BA942" s="220"/>
    </row>
    <row r="943">
      <c r="A943" s="240"/>
      <c r="B943" s="311"/>
      <c r="C943" s="311"/>
      <c r="D943" s="312"/>
      <c r="E943" s="311"/>
      <c r="F943" s="311"/>
      <c r="G943" s="312"/>
      <c r="H943" s="312"/>
      <c r="I943" s="313"/>
      <c r="J943" s="314"/>
      <c r="K943" s="313"/>
      <c r="L943" s="313"/>
      <c r="M943" s="313"/>
      <c r="N943" s="315"/>
      <c r="O943" s="313"/>
      <c r="P943" s="313"/>
      <c r="Q943" s="313"/>
      <c r="R943" s="313"/>
      <c r="S943" s="316"/>
      <c r="T943" s="317"/>
      <c r="U943" s="318"/>
      <c r="V943" s="319"/>
      <c r="W943" s="288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220"/>
      <c r="AH943" s="308"/>
      <c r="AI943" s="220"/>
      <c r="AJ943" s="220"/>
      <c r="AK943" s="220"/>
      <c r="AL943" s="220"/>
      <c r="AM943" s="220"/>
      <c r="AN943" s="220"/>
      <c r="AO943" s="220"/>
      <c r="AP943" s="220"/>
      <c r="AQ943" s="220"/>
      <c r="AR943" s="220"/>
      <c r="AS943" s="220"/>
      <c r="AT943" s="220"/>
      <c r="AU943" s="220"/>
      <c r="AV943" s="220"/>
      <c r="AW943" s="220"/>
      <c r="AX943" s="220"/>
      <c r="AY943" s="220"/>
      <c r="AZ943" s="220"/>
      <c r="BA943" s="220"/>
    </row>
    <row r="944">
      <c r="A944" s="240"/>
      <c r="B944" s="311"/>
      <c r="C944" s="311"/>
      <c r="D944" s="312"/>
      <c r="E944" s="311"/>
      <c r="F944" s="311"/>
      <c r="G944" s="312"/>
      <c r="H944" s="312"/>
      <c r="I944" s="313"/>
      <c r="J944" s="314"/>
      <c r="K944" s="313"/>
      <c r="L944" s="313"/>
      <c r="M944" s="313"/>
      <c r="N944" s="315"/>
      <c r="O944" s="313"/>
      <c r="P944" s="313"/>
      <c r="Q944" s="313"/>
      <c r="R944" s="313"/>
      <c r="S944" s="316"/>
      <c r="T944" s="317"/>
      <c r="U944" s="318"/>
      <c r="V944" s="319"/>
      <c r="W944" s="288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220"/>
      <c r="AH944" s="308"/>
      <c r="AI944" s="220"/>
      <c r="AJ944" s="220"/>
      <c r="AK944" s="220"/>
      <c r="AL944" s="220"/>
      <c r="AM944" s="220"/>
      <c r="AN944" s="220"/>
      <c r="AO944" s="220"/>
      <c r="AP944" s="220"/>
      <c r="AQ944" s="220"/>
      <c r="AR944" s="220"/>
      <c r="AS944" s="220"/>
      <c r="AT944" s="220"/>
      <c r="AU944" s="220"/>
      <c r="AV944" s="220"/>
      <c r="AW944" s="220"/>
      <c r="AX944" s="220"/>
      <c r="AY944" s="220"/>
      <c r="AZ944" s="220"/>
      <c r="BA944" s="220"/>
    </row>
    <row r="945">
      <c r="A945" s="240"/>
      <c r="B945" s="311"/>
      <c r="C945" s="311"/>
      <c r="D945" s="312"/>
      <c r="E945" s="311"/>
      <c r="F945" s="311"/>
      <c r="G945" s="312"/>
      <c r="H945" s="312"/>
      <c r="I945" s="313"/>
      <c r="J945" s="314"/>
      <c r="K945" s="313"/>
      <c r="L945" s="313"/>
      <c r="M945" s="313"/>
      <c r="N945" s="315"/>
      <c r="O945" s="313"/>
      <c r="P945" s="313"/>
      <c r="Q945" s="313"/>
      <c r="R945" s="313"/>
      <c r="S945" s="316"/>
      <c r="T945" s="317"/>
      <c r="U945" s="318"/>
      <c r="V945" s="319"/>
      <c r="W945" s="288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220"/>
      <c r="AH945" s="308"/>
      <c r="AI945" s="220"/>
      <c r="AJ945" s="220"/>
      <c r="AK945" s="220"/>
      <c r="AL945" s="220"/>
      <c r="AM945" s="220"/>
      <c r="AN945" s="220"/>
      <c r="AO945" s="220"/>
      <c r="AP945" s="220"/>
      <c r="AQ945" s="220"/>
      <c r="AR945" s="220"/>
      <c r="AS945" s="220"/>
      <c r="AT945" s="220"/>
      <c r="AU945" s="220"/>
      <c r="AV945" s="220"/>
      <c r="AW945" s="220"/>
      <c r="AX945" s="220"/>
      <c r="AY945" s="220"/>
      <c r="AZ945" s="220"/>
      <c r="BA945" s="220"/>
    </row>
    <row r="946">
      <c r="A946" s="240"/>
      <c r="B946" s="311"/>
      <c r="C946" s="311"/>
      <c r="D946" s="312"/>
      <c r="E946" s="311"/>
      <c r="F946" s="311"/>
      <c r="G946" s="312"/>
      <c r="H946" s="312"/>
      <c r="I946" s="313"/>
      <c r="J946" s="314"/>
      <c r="K946" s="313"/>
      <c r="L946" s="313"/>
      <c r="M946" s="313"/>
      <c r="N946" s="315"/>
      <c r="O946" s="313"/>
      <c r="P946" s="313"/>
      <c r="Q946" s="313"/>
      <c r="R946" s="313"/>
      <c r="S946" s="316"/>
      <c r="T946" s="317"/>
      <c r="U946" s="318"/>
      <c r="V946" s="319"/>
      <c r="W946" s="288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220"/>
      <c r="AH946" s="308"/>
      <c r="AI946" s="220"/>
      <c r="AJ946" s="220"/>
      <c r="AK946" s="220"/>
      <c r="AL946" s="220"/>
      <c r="AM946" s="220"/>
      <c r="AN946" s="220"/>
      <c r="AO946" s="220"/>
      <c r="AP946" s="220"/>
      <c r="AQ946" s="220"/>
      <c r="AR946" s="220"/>
      <c r="AS946" s="220"/>
      <c r="AT946" s="220"/>
      <c r="AU946" s="220"/>
      <c r="AV946" s="220"/>
      <c r="AW946" s="220"/>
      <c r="AX946" s="220"/>
      <c r="AY946" s="220"/>
      <c r="AZ946" s="220"/>
      <c r="BA946" s="220"/>
    </row>
    <row r="947">
      <c r="A947" s="240"/>
      <c r="B947" s="311"/>
      <c r="C947" s="311"/>
      <c r="D947" s="312"/>
      <c r="E947" s="311"/>
      <c r="F947" s="311"/>
      <c r="G947" s="312"/>
      <c r="H947" s="312"/>
      <c r="I947" s="313"/>
      <c r="J947" s="314"/>
      <c r="K947" s="313"/>
      <c r="L947" s="313"/>
      <c r="M947" s="313"/>
      <c r="N947" s="315"/>
      <c r="O947" s="313"/>
      <c r="P947" s="313"/>
      <c r="Q947" s="313"/>
      <c r="R947" s="313"/>
      <c r="S947" s="316"/>
      <c r="T947" s="317"/>
      <c r="U947" s="318"/>
      <c r="V947" s="319"/>
      <c r="W947" s="288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220"/>
      <c r="AH947" s="308"/>
      <c r="AI947" s="220"/>
      <c r="AJ947" s="220"/>
      <c r="AK947" s="220"/>
      <c r="AL947" s="220"/>
      <c r="AM947" s="220"/>
      <c r="AN947" s="220"/>
      <c r="AO947" s="220"/>
      <c r="AP947" s="220"/>
      <c r="AQ947" s="220"/>
      <c r="AR947" s="220"/>
      <c r="AS947" s="220"/>
      <c r="AT947" s="220"/>
      <c r="AU947" s="220"/>
      <c r="AV947" s="220"/>
      <c r="AW947" s="220"/>
      <c r="AX947" s="220"/>
      <c r="AY947" s="220"/>
      <c r="AZ947" s="220"/>
      <c r="BA947" s="220"/>
    </row>
    <row r="948">
      <c r="A948" s="240"/>
      <c r="B948" s="311"/>
      <c r="C948" s="311"/>
      <c r="D948" s="312"/>
      <c r="E948" s="311"/>
      <c r="F948" s="311"/>
      <c r="G948" s="312"/>
      <c r="H948" s="312"/>
      <c r="I948" s="313"/>
      <c r="J948" s="314"/>
      <c r="K948" s="313"/>
      <c r="L948" s="313"/>
      <c r="M948" s="313"/>
      <c r="N948" s="315"/>
      <c r="O948" s="313"/>
      <c r="P948" s="313"/>
      <c r="Q948" s="313"/>
      <c r="R948" s="313"/>
      <c r="S948" s="316"/>
      <c r="T948" s="317"/>
      <c r="U948" s="318"/>
      <c r="V948" s="319"/>
      <c r="W948" s="288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220"/>
      <c r="AH948" s="308"/>
      <c r="AI948" s="220"/>
      <c r="AJ948" s="220"/>
      <c r="AK948" s="220"/>
      <c r="AL948" s="220"/>
      <c r="AM948" s="220"/>
      <c r="AN948" s="220"/>
      <c r="AO948" s="220"/>
      <c r="AP948" s="220"/>
      <c r="AQ948" s="220"/>
      <c r="AR948" s="220"/>
      <c r="AS948" s="220"/>
      <c r="AT948" s="220"/>
      <c r="AU948" s="220"/>
      <c r="AV948" s="220"/>
      <c r="AW948" s="220"/>
      <c r="AX948" s="220"/>
      <c r="AY948" s="220"/>
      <c r="AZ948" s="220"/>
      <c r="BA948" s="220"/>
    </row>
    <row r="949">
      <c r="A949" s="240"/>
      <c r="B949" s="311"/>
      <c r="C949" s="311"/>
      <c r="D949" s="312"/>
      <c r="E949" s="311"/>
      <c r="F949" s="311"/>
      <c r="G949" s="312"/>
      <c r="H949" s="312"/>
      <c r="I949" s="313"/>
      <c r="J949" s="314"/>
      <c r="K949" s="313"/>
      <c r="L949" s="313"/>
      <c r="M949" s="313"/>
      <c r="N949" s="315"/>
      <c r="O949" s="313"/>
      <c r="P949" s="313"/>
      <c r="Q949" s="313"/>
      <c r="R949" s="313"/>
      <c r="S949" s="316"/>
      <c r="T949" s="317"/>
      <c r="U949" s="318"/>
      <c r="V949" s="319"/>
      <c r="W949" s="288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220"/>
      <c r="AH949" s="308"/>
      <c r="AI949" s="220"/>
      <c r="AJ949" s="220"/>
      <c r="AK949" s="220"/>
      <c r="AL949" s="220"/>
      <c r="AM949" s="220"/>
      <c r="AN949" s="220"/>
      <c r="AO949" s="220"/>
      <c r="AP949" s="220"/>
      <c r="AQ949" s="220"/>
      <c r="AR949" s="220"/>
      <c r="AS949" s="220"/>
      <c r="AT949" s="220"/>
      <c r="AU949" s="220"/>
      <c r="AV949" s="220"/>
      <c r="AW949" s="220"/>
      <c r="AX949" s="220"/>
      <c r="AY949" s="220"/>
      <c r="AZ949" s="220"/>
      <c r="BA949" s="220"/>
    </row>
    <row r="950">
      <c r="A950" s="240"/>
      <c r="B950" s="311"/>
      <c r="C950" s="311"/>
      <c r="D950" s="312"/>
      <c r="E950" s="311"/>
      <c r="F950" s="311"/>
      <c r="G950" s="312"/>
      <c r="H950" s="312"/>
      <c r="I950" s="313"/>
      <c r="J950" s="314"/>
      <c r="K950" s="313"/>
      <c r="L950" s="313"/>
      <c r="M950" s="313"/>
      <c r="N950" s="315"/>
      <c r="O950" s="313"/>
      <c r="P950" s="313"/>
      <c r="Q950" s="313"/>
      <c r="R950" s="313"/>
      <c r="S950" s="316"/>
      <c r="T950" s="317"/>
      <c r="U950" s="318"/>
      <c r="V950" s="319"/>
      <c r="W950" s="288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220"/>
      <c r="AH950" s="308"/>
      <c r="AI950" s="220"/>
      <c r="AJ950" s="220"/>
      <c r="AK950" s="220"/>
      <c r="AL950" s="220"/>
      <c r="AM950" s="220"/>
      <c r="AN950" s="220"/>
      <c r="AO950" s="220"/>
      <c r="AP950" s="220"/>
      <c r="AQ950" s="220"/>
      <c r="AR950" s="220"/>
      <c r="AS950" s="220"/>
      <c r="AT950" s="220"/>
      <c r="AU950" s="220"/>
      <c r="AV950" s="220"/>
      <c r="AW950" s="220"/>
      <c r="AX950" s="220"/>
      <c r="AY950" s="220"/>
      <c r="AZ950" s="220"/>
      <c r="BA950" s="220"/>
    </row>
    <row r="951">
      <c r="A951" s="240"/>
      <c r="B951" s="311"/>
      <c r="C951" s="311"/>
      <c r="D951" s="312"/>
      <c r="E951" s="311"/>
      <c r="F951" s="311"/>
      <c r="G951" s="312"/>
      <c r="H951" s="312"/>
      <c r="I951" s="313"/>
      <c r="J951" s="314"/>
      <c r="K951" s="313"/>
      <c r="L951" s="313"/>
      <c r="M951" s="313"/>
      <c r="N951" s="315"/>
      <c r="O951" s="313"/>
      <c r="P951" s="313"/>
      <c r="Q951" s="313"/>
      <c r="R951" s="313"/>
      <c r="S951" s="316"/>
      <c r="T951" s="317"/>
      <c r="U951" s="318"/>
      <c r="V951" s="319"/>
      <c r="W951" s="288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220"/>
      <c r="AH951" s="308"/>
      <c r="AI951" s="220"/>
      <c r="AJ951" s="220"/>
      <c r="AK951" s="220"/>
      <c r="AL951" s="220"/>
      <c r="AM951" s="220"/>
      <c r="AN951" s="220"/>
      <c r="AO951" s="220"/>
      <c r="AP951" s="220"/>
      <c r="AQ951" s="220"/>
      <c r="AR951" s="220"/>
      <c r="AS951" s="220"/>
      <c r="AT951" s="220"/>
      <c r="AU951" s="220"/>
      <c r="AV951" s="220"/>
      <c r="AW951" s="220"/>
      <c r="AX951" s="220"/>
      <c r="AY951" s="220"/>
      <c r="AZ951" s="220"/>
      <c r="BA951" s="220"/>
    </row>
    <row r="952">
      <c r="A952" s="240"/>
      <c r="B952" s="311"/>
      <c r="C952" s="311"/>
      <c r="D952" s="312"/>
      <c r="E952" s="311"/>
      <c r="F952" s="311"/>
      <c r="G952" s="312"/>
      <c r="H952" s="312"/>
      <c r="I952" s="313"/>
      <c r="J952" s="314"/>
      <c r="K952" s="313"/>
      <c r="L952" s="313"/>
      <c r="M952" s="313"/>
      <c r="N952" s="315"/>
      <c r="O952" s="313"/>
      <c r="P952" s="313"/>
      <c r="Q952" s="313"/>
      <c r="R952" s="313"/>
      <c r="S952" s="316"/>
      <c r="T952" s="317"/>
      <c r="U952" s="318"/>
      <c r="V952" s="319"/>
      <c r="W952" s="288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220"/>
      <c r="AH952" s="308"/>
      <c r="AI952" s="220"/>
      <c r="AJ952" s="220"/>
      <c r="AK952" s="220"/>
      <c r="AL952" s="220"/>
      <c r="AM952" s="220"/>
      <c r="AN952" s="220"/>
      <c r="AO952" s="220"/>
      <c r="AP952" s="220"/>
      <c r="AQ952" s="220"/>
      <c r="AR952" s="220"/>
      <c r="AS952" s="220"/>
      <c r="AT952" s="220"/>
      <c r="AU952" s="220"/>
      <c r="AV952" s="220"/>
      <c r="AW952" s="220"/>
      <c r="AX952" s="220"/>
      <c r="AY952" s="220"/>
      <c r="AZ952" s="220"/>
      <c r="BA952" s="220"/>
    </row>
    <row r="953">
      <c r="A953" s="240"/>
      <c r="B953" s="311"/>
      <c r="C953" s="311"/>
      <c r="D953" s="312"/>
      <c r="E953" s="311"/>
      <c r="F953" s="311"/>
      <c r="G953" s="312"/>
      <c r="H953" s="312"/>
      <c r="I953" s="313"/>
      <c r="J953" s="314"/>
      <c r="K953" s="313"/>
      <c r="L953" s="313"/>
      <c r="M953" s="313"/>
      <c r="N953" s="315"/>
      <c r="O953" s="313"/>
      <c r="P953" s="313"/>
      <c r="Q953" s="313"/>
      <c r="R953" s="313"/>
      <c r="S953" s="316"/>
      <c r="T953" s="317"/>
      <c r="U953" s="318"/>
      <c r="V953" s="319"/>
      <c r="W953" s="288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220"/>
      <c r="AH953" s="308"/>
      <c r="AI953" s="220"/>
      <c r="AJ953" s="220"/>
      <c r="AK953" s="220"/>
      <c r="AL953" s="220"/>
      <c r="AM953" s="220"/>
      <c r="AN953" s="220"/>
      <c r="AO953" s="220"/>
      <c r="AP953" s="220"/>
      <c r="AQ953" s="220"/>
      <c r="AR953" s="220"/>
      <c r="AS953" s="220"/>
      <c r="AT953" s="220"/>
      <c r="AU953" s="220"/>
      <c r="AV953" s="220"/>
      <c r="AW953" s="220"/>
      <c r="AX953" s="220"/>
      <c r="AY953" s="220"/>
      <c r="AZ953" s="220"/>
      <c r="BA953" s="220"/>
    </row>
    <row r="954">
      <c r="A954" s="240"/>
      <c r="B954" s="311"/>
      <c r="C954" s="311"/>
      <c r="D954" s="312"/>
      <c r="E954" s="311"/>
      <c r="F954" s="311"/>
      <c r="G954" s="312"/>
      <c r="H954" s="312"/>
      <c r="I954" s="313"/>
      <c r="J954" s="314"/>
      <c r="K954" s="313"/>
      <c r="L954" s="313"/>
      <c r="M954" s="313"/>
      <c r="N954" s="315"/>
      <c r="O954" s="313"/>
      <c r="P954" s="313"/>
      <c r="Q954" s="313"/>
      <c r="R954" s="313"/>
      <c r="S954" s="316"/>
      <c r="T954" s="317"/>
      <c r="U954" s="318"/>
      <c r="V954" s="319"/>
      <c r="W954" s="288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220"/>
      <c r="AH954" s="308"/>
      <c r="AI954" s="220"/>
      <c r="AJ954" s="220"/>
      <c r="AK954" s="220"/>
      <c r="AL954" s="220"/>
      <c r="AM954" s="220"/>
      <c r="AN954" s="220"/>
      <c r="AO954" s="220"/>
      <c r="AP954" s="220"/>
      <c r="AQ954" s="220"/>
      <c r="AR954" s="220"/>
      <c r="AS954" s="220"/>
      <c r="AT954" s="220"/>
      <c r="AU954" s="220"/>
      <c r="AV954" s="220"/>
      <c r="AW954" s="220"/>
      <c r="AX954" s="220"/>
      <c r="AY954" s="220"/>
      <c r="AZ954" s="220"/>
      <c r="BA954" s="220"/>
    </row>
    <row r="955">
      <c r="A955" s="240"/>
      <c r="B955" s="311"/>
      <c r="C955" s="311"/>
      <c r="D955" s="312"/>
      <c r="E955" s="311"/>
      <c r="F955" s="311"/>
      <c r="G955" s="312"/>
      <c r="H955" s="312"/>
      <c r="I955" s="313"/>
      <c r="J955" s="314"/>
      <c r="K955" s="313"/>
      <c r="L955" s="313"/>
      <c r="M955" s="313"/>
      <c r="N955" s="315"/>
      <c r="O955" s="313"/>
      <c r="P955" s="313"/>
      <c r="Q955" s="313"/>
      <c r="R955" s="313"/>
      <c r="S955" s="316"/>
      <c r="T955" s="317"/>
      <c r="U955" s="318"/>
      <c r="V955" s="319"/>
      <c r="W955" s="288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220"/>
      <c r="AH955" s="308"/>
      <c r="AI955" s="220"/>
      <c r="AJ955" s="220"/>
      <c r="AK955" s="220"/>
      <c r="AL955" s="220"/>
      <c r="AM955" s="220"/>
      <c r="AN955" s="220"/>
      <c r="AO955" s="220"/>
      <c r="AP955" s="220"/>
      <c r="AQ955" s="220"/>
      <c r="AR955" s="220"/>
      <c r="AS955" s="220"/>
      <c r="AT955" s="220"/>
      <c r="AU955" s="220"/>
      <c r="AV955" s="220"/>
      <c r="AW955" s="220"/>
      <c r="AX955" s="220"/>
      <c r="AY955" s="220"/>
      <c r="AZ955" s="220"/>
      <c r="BA955" s="220"/>
    </row>
    <row r="956">
      <c r="A956" s="240"/>
      <c r="B956" s="311"/>
      <c r="C956" s="311"/>
      <c r="D956" s="312"/>
      <c r="E956" s="311"/>
      <c r="F956" s="311"/>
      <c r="G956" s="312"/>
      <c r="H956" s="312"/>
      <c r="I956" s="313"/>
      <c r="J956" s="314"/>
      <c r="K956" s="313"/>
      <c r="L956" s="313"/>
      <c r="M956" s="313"/>
      <c r="N956" s="315"/>
      <c r="O956" s="313"/>
      <c r="P956" s="313"/>
      <c r="Q956" s="313"/>
      <c r="R956" s="313"/>
      <c r="S956" s="316"/>
      <c r="T956" s="317"/>
      <c r="U956" s="318"/>
      <c r="V956" s="319"/>
      <c r="W956" s="288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220"/>
      <c r="AH956" s="308"/>
      <c r="AI956" s="220"/>
      <c r="AJ956" s="220"/>
      <c r="AK956" s="220"/>
      <c r="AL956" s="220"/>
      <c r="AM956" s="220"/>
      <c r="AN956" s="220"/>
      <c r="AO956" s="220"/>
      <c r="AP956" s="220"/>
      <c r="AQ956" s="220"/>
      <c r="AR956" s="220"/>
      <c r="AS956" s="220"/>
      <c r="AT956" s="220"/>
      <c r="AU956" s="220"/>
      <c r="AV956" s="220"/>
      <c r="AW956" s="220"/>
      <c r="AX956" s="220"/>
      <c r="AY956" s="220"/>
      <c r="AZ956" s="220"/>
      <c r="BA956" s="220"/>
    </row>
    <row r="957">
      <c r="A957" s="240"/>
      <c r="B957" s="311"/>
      <c r="C957" s="311"/>
      <c r="D957" s="312"/>
      <c r="E957" s="311"/>
      <c r="F957" s="311"/>
      <c r="G957" s="312"/>
      <c r="H957" s="312"/>
      <c r="I957" s="313"/>
      <c r="J957" s="314"/>
      <c r="K957" s="313"/>
      <c r="L957" s="313"/>
      <c r="M957" s="313"/>
      <c r="N957" s="315"/>
      <c r="O957" s="313"/>
      <c r="P957" s="313"/>
      <c r="Q957" s="313"/>
      <c r="R957" s="313"/>
      <c r="S957" s="316"/>
      <c r="T957" s="317"/>
      <c r="U957" s="318"/>
      <c r="V957" s="319"/>
      <c r="W957" s="288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220"/>
      <c r="AH957" s="308"/>
      <c r="AI957" s="220"/>
      <c r="AJ957" s="220"/>
      <c r="AK957" s="220"/>
      <c r="AL957" s="220"/>
      <c r="AM957" s="220"/>
      <c r="AN957" s="220"/>
      <c r="AO957" s="220"/>
      <c r="AP957" s="220"/>
      <c r="AQ957" s="220"/>
      <c r="AR957" s="220"/>
      <c r="AS957" s="220"/>
      <c r="AT957" s="220"/>
      <c r="AU957" s="220"/>
      <c r="AV957" s="220"/>
      <c r="AW957" s="220"/>
      <c r="AX957" s="220"/>
      <c r="AY957" s="220"/>
      <c r="AZ957" s="220"/>
      <c r="BA957" s="220"/>
    </row>
    <row r="958">
      <c r="A958" s="240"/>
      <c r="B958" s="311"/>
      <c r="C958" s="311"/>
      <c r="D958" s="312"/>
      <c r="E958" s="311"/>
      <c r="F958" s="311"/>
      <c r="G958" s="312"/>
      <c r="H958" s="312"/>
      <c r="I958" s="313"/>
      <c r="J958" s="314"/>
      <c r="K958" s="313"/>
      <c r="L958" s="313"/>
      <c r="M958" s="313"/>
      <c r="N958" s="315"/>
      <c r="O958" s="313"/>
      <c r="P958" s="313"/>
      <c r="Q958" s="313"/>
      <c r="R958" s="313"/>
      <c r="S958" s="316"/>
      <c r="T958" s="317"/>
      <c r="U958" s="318"/>
      <c r="V958" s="319"/>
      <c r="W958" s="288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220"/>
      <c r="AH958" s="308"/>
      <c r="AI958" s="220"/>
      <c r="AJ958" s="220"/>
      <c r="AK958" s="220"/>
      <c r="AL958" s="220"/>
      <c r="AM958" s="220"/>
      <c r="AN958" s="220"/>
      <c r="AO958" s="220"/>
      <c r="AP958" s="220"/>
      <c r="AQ958" s="220"/>
      <c r="AR958" s="220"/>
      <c r="AS958" s="220"/>
      <c r="AT958" s="220"/>
      <c r="AU958" s="220"/>
      <c r="AV958" s="220"/>
      <c r="AW958" s="220"/>
      <c r="AX958" s="220"/>
      <c r="AY958" s="220"/>
      <c r="AZ958" s="220"/>
      <c r="BA958" s="220"/>
    </row>
    <row r="959">
      <c r="A959" s="240"/>
      <c r="B959" s="311"/>
      <c r="C959" s="311"/>
      <c r="D959" s="312"/>
      <c r="E959" s="311"/>
      <c r="F959" s="311"/>
      <c r="G959" s="312"/>
      <c r="H959" s="312"/>
      <c r="I959" s="313"/>
      <c r="J959" s="314"/>
      <c r="K959" s="313"/>
      <c r="L959" s="313"/>
      <c r="M959" s="313"/>
      <c r="N959" s="315"/>
      <c r="O959" s="313"/>
      <c r="P959" s="313"/>
      <c r="Q959" s="313"/>
      <c r="R959" s="313"/>
      <c r="S959" s="316"/>
      <c r="T959" s="317"/>
      <c r="U959" s="318"/>
      <c r="V959" s="319"/>
      <c r="W959" s="288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220"/>
      <c r="AH959" s="308"/>
      <c r="AI959" s="220"/>
      <c r="AJ959" s="220"/>
      <c r="AK959" s="220"/>
      <c r="AL959" s="220"/>
      <c r="AM959" s="220"/>
      <c r="AN959" s="220"/>
      <c r="AO959" s="220"/>
      <c r="AP959" s="220"/>
      <c r="AQ959" s="220"/>
      <c r="AR959" s="220"/>
      <c r="AS959" s="220"/>
      <c r="AT959" s="220"/>
      <c r="AU959" s="220"/>
      <c r="AV959" s="220"/>
      <c r="AW959" s="220"/>
      <c r="AX959" s="220"/>
      <c r="AY959" s="220"/>
      <c r="AZ959" s="220"/>
      <c r="BA959" s="220"/>
    </row>
    <row r="960">
      <c r="A960" s="240"/>
      <c r="B960" s="311"/>
      <c r="C960" s="311"/>
      <c r="D960" s="312"/>
      <c r="E960" s="311"/>
      <c r="F960" s="311"/>
      <c r="G960" s="312"/>
      <c r="H960" s="312"/>
      <c r="I960" s="313"/>
      <c r="J960" s="314"/>
      <c r="K960" s="313"/>
      <c r="L960" s="313"/>
      <c r="M960" s="313"/>
      <c r="N960" s="315"/>
      <c r="O960" s="313"/>
      <c r="P960" s="313"/>
      <c r="Q960" s="313"/>
      <c r="R960" s="313"/>
      <c r="S960" s="316"/>
      <c r="T960" s="317"/>
      <c r="U960" s="318"/>
      <c r="V960" s="319"/>
      <c r="W960" s="288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220"/>
      <c r="AH960" s="308"/>
      <c r="AI960" s="220"/>
      <c r="AJ960" s="220"/>
      <c r="AK960" s="220"/>
      <c r="AL960" s="220"/>
      <c r="AM960" s="220"/>
      <c r="AN960" s="220"/>
      <c r="AO960" s="220"/>
      <c r="AP960" s="220"/>
      <c r="AQ960" s="220"/>
      <c r="AR960" s="220"/>
      <c r="AS960" s="220"/>
      <c r="AT960" s="220"/>
      <c r="AU960" s="220"/>
      <c r="AV960" s="220"/>
      <c r="AW960" s="220"/>
      <c r="AX960" s="220"/>
      <c r="AY960" s="220"/>
      <c r="AZ960" s="220"/>
      <c r="BA960" s="220"/>
    </row>
    <row r="961">
      <c r="A961" s="240"/>
      <c r="B961" s="311"/>
      <c r="C961" s="311"/>
      <c r="D961" s="312"/>
      <c r="E961" s="311"/>
      <c r="F961" s="311"/>
      <c r="G961" s="312"/>
      <c r="H961" s="312"/>
      <c r="I961" s="313"/>
      <c r="J961" s="314"/>
      <c r="K961" s="313"/>
      <c r="L961" s="313"/>
      <c r="M961" s="313"/>
      <c r="N961" s="315"/>
      <c r="O961" s="313"/>
      <c r="P961" s="313"/>
      <c r="Q961" s="313"/>
      <c r="R961" s="313"/>
      <c r="S961" s="316"/>
      <c r="T961" s="317"/>
      <c r="U961" s="318"/>
      <c r="V961" s="319"/>
      <c r="W961" s="288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220"/>
      <c r="AH961" s="308"/>
      <c r="AI961" s="220"/>
      <c r="AJ961" s="220"/>
      <c r="AK961" s="220"/>
      <c r="AL961" s="220"/>
      <c r="AM961" s="220"/>
      <c r="AN961" s="220"/>
      <c r="AO961" s="220"/>
      <c r="AP961" s="220"/>
      <c r="AQ961" s="220"/>
      <c r="AR961" s="220"/>
      <c r="AS961" s="220"/>
      <c r="AT961" s="220"/>
      <c r="AU961" s="220"/>
      <c r="AV961" s="220"/>
      <c r="AW961" s="220"/>
      <c r="AX961" s="220"/>
      <c r="AY961" s="220"/>
      <c r="AZ961" s="220"/>
      <c r="BA961" s="220"/>
    </row>
    <row r="962">
      <c r="A962" s="240"/>
      <c r="B962" s="311"/>
      <c r="C962" s="311"/>
      <c r="D962" s="312"/>
      <c r="E962" s="311"/>
      <c r="F962" s="311"/>
      <c r="G962" s="312"/>
      <c r="H962" s="312"/>
      <c r="I962" s="313"/>
      <c r="J962" s="314"/>
      <c r="K962" s="313"/>
      <c r="L962" s="313"/>
      <c r="M962" s="313"/>
      <c r="N962" s="315"/>
      <c r="O962" s="313"/>
      <c r="P962" s="313"/>
      <c r="Q962" s="313"/>
      <c r="R962" s="313"/>
      <c r="S962" s="316"/>
      <c r="T962" s="317"/>
      <c r="U962" s="318"/>
      <c r="V962" s="319"/>
      <c r="W962" s="288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220"/>
      <c r="AH962" s="308"/>
      <c r="AI962" s="220"/>
      <c r="AJ962" s="220"/>
      <c r="AK962" s="220"/>
      <c r="AL962" s="220"/>
      <c r="AM962" s="220"/>
      <c r="AN962" s="220"/>
      <c r="AO962" s="220"/>
      <c r="AP962" s="220"/>
      <c r="AQ962" s="220"/>
      <c r="AR962" s="220"/>
      <c r="AS962" s="220"/>
      <c r="AT962" s="220"/>
      <c r="AU962" s="220"/>
      <c r="AV962" s="220"/>
      <c r="AW962" s="220"/>
      <c r="AX962" s="220"/>
      <c r="AY962" s="220"/>
      <c r="AZ962" s="220"/>
      <c r="BA962" s="220"/>
    </row>
    <row r="963">
      <c r="A963" s="240"/>
      <c r="B963" s="311"/>
      <c r="C963" s="311"/>
      <c r="D963" s="312"/>
      <c r="E963" s="311"/>
      <c r="F963" s="311"/>
      <c r="G963" s="312"/>
      <c r="H963" s="312"/>
      <c r="I963" s="313"/>
      <c r="J963" s="314"/>
      <c r="K963" s="313"/>
      <c r="L963" s="313"/>
      <c r="M963" s="313"/>
      <c r="N963" s="315"/>
      <c r="O963" s="313"/>
      <c r="P963" s="313"/>
      <c r="Q963" s="313"/>
      <c r="R963" s="313"/>
      <c r="S963" s="316"/>
      <c r="T963" s="317"/>
      <c r="U963" s="318"/>
      <c r="V963" s="319"/>
      <c r="W963" s="288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220"/>
      <c r="AH963" s="308"/>
      <c r="AI963" s="220"/>
      <c r="AJ963" s="220"/>
      <c r="AK963" s="220"/>
      <c r="AL963" s="220"/>
      <c r="AM963" s="220"/>
      <c r="AN963" s="220"/>
      <c r="AO963" s="220"/>
      <c r="AP963" s="220"/>
      <c r="AQ963" s="220"/>
      <c r="AR963" s="220"/>
      <c r="AS963" s="220"/>
      <c r="AT963" s="220"/>
      <c r="AU963" s="220"/>
      <c r="AV963" s="220"/>
      <c r="AW963" s="220"/>
      <c r="AX963" s="220"/>
      <c r="AY963" s="220"/>
      <c r="AZ963" s="220"/>
      <c r="BA963" s="220"/>
    </row>
    <row r="964">
      <c r="A964" s="240"/>
      <c r="B964" s="311"/>
      <c r="C964" s="311"/>
      <c r="D964" s="312"/>
      <c r="E964" s="311"/>
      <c r="F964" s="311"/>
      <c r="G964" s="312"/>
      <c r="H964" s="312"/>
      <c r="I964" s="313"/>
      <c r="J964" s="314"/>
      <c r="K964" s="313"/>
      <c r="L964" s="313"/>
      <c r="M964" s="313"/>
      <c r="N964" s="315"/>
      <c r="O964" s="313"/>
      <c r="P964" s="313"/>
      <c r="Q964" s="313"/>
      <c r="R964" s="313"/>
      <c r="S964" s="316"/>
      <c r="T964" s="317"/>
      <c r="U964" s="318"/>
      <c r="V964" s="319"/>
      <c r="W964" s="288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220"/>
      <c r="AH964" s="308"/>
      <c r="AI964" s="220"/>
      <c r="AJ964" s="220"/>
      <c r="AK964" s="220"/>
      <c r="AL964" s="220"/>
      <c r="AM964" s="220"/>
      <c r="AN964" s="220"/>
      <c r="AO964" s="220"/>
      <c r="AP964" s="220"/>
      <c r="AQ964" s="220"/>
      <c r="AR964" s="220"/>
      <c r="AS964" s="220"/>
      <c r="AT964" s="220"/>
      <c r="AU964" s="220"/>
      <c r="AV964" s="220"/>
      <c r="AW964" s="220"/>
      <c r="AX964" s="220"/>
      <c r="AY964" s="220"/>
      <c r="AZ964" s="220"/>
      <c r="BA964" s="220"/>
    </row>
    <row r="965">
      <c r="A965" s="240"/>
      <c r="B965" s="311"/>
      <c r="C965" s="311"/>
      <c r="D965" s="312"/>
      <c r="E965" s="311"/>
      <c r="F965" s="311"/>
      <c r="G965" s="312"/>
      <c r="H965" s="312"/>
      <c r="I965" s="313"/>
      <c r="J965" s="314"/>
      <c r="K965" s="313"/>
      <c r="L965" s="313"/>
      <c r="M965" s="313"/>
      <c r="N965" s="315"/>
      <c r="O965" s="313"/>
      <c r="P965" s="313"/>
      <c r="Q965" s="313"/>
      <c r="R965" s="313"/>
      <c r="S965" s="316"/>
      <c r="T965" s="317"/>
      <c r="U965" s="318"/>
      <c r="V965" s="319"/>
      <c r="W965" s="288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220"/>
      <c r="AH965" s="308"/>
      <c r="AI965" s="220"/>
      <c r="AJ965" s="220"/>
      <c r="AK965" s="220"/>
      <c r="AL965" s="220"/>
      <c r="AM965" s="220"/>
      <c r="AN965" s="220"/>
      <c r="AO965" s="220"/>
      <c r="AP965" s="220"/>
      <c r="AQ965" s="220"/>
      <c r="AR965" s="220"/>
      <c r="AS965" s="220"/>
      <c r="AT965" s="220"/>
      <c r="AU965" s="220"/>
      <c r="AV965" s="220"/>
      <c r="AW965" s="220"/>
      <c r="AX965" s="220"/>
      <c r="AY965" s="220"/>
      <c r="AZ965" s="220"/>
      <c r="BA965" s="220"/>
    </row>
    <row r="966">
      <c r="A966" s="240"/>
      <c r="B966" s="311"/>
      <c r="C966" s="311"/>
      <c r="D966" s="312"/>
      <c r="E966" s="311"/>
      <c r="F966" s="311"/>
      <c r="G966" s="312"/>
      <c r="H966" s="312"/>
      <c r="I966" s="313"/>
      <c r="J966" s="314"/>
      <c r="K966" s="313"/>
      <c r="L966" s="313"/>
      <c r="M966" s="313"/>
      <c r="N966" s="315"/>
      <c r="O966" s="313"/>
      <c r="P966" s="313"/>
      <c r="Q966" s="313"/>
      <c r="R966" s="313"/>
      <c r="S966" s="316"/>
      <c r="T966" s="317"/>
      <c r="U966" s="318"/>
      <c r="V966" s="319"/>
      <c r="W966" s="288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220"/>
      <c r="AH966" s="308"/>
      <c r="AI966" s="220"/>
      <c r="AJ966" s="220"/>
      <c r="AK966" s="220"/>
      <c r="AL966" s="220"/>
      <c r="AM966" s="220"/>
      <c r="AN966" s="220"/>
      <c r="AO966" s="220"/>
      <c r="AP966" s="220"/>
      <c r="AQ966" s="220"/>
      <c r="AR966" s="220"/>
      <c r="AS966" s="220"/>
      <c r="AT966" s="220"/>
      <c r="AU966" s="220"/>
      <c r="AV966" s="220"/>
      <c r="AW966" s="220"/>
      <c r="AX966" s="220"/>
      <c r="AY966" s="220"/>
      <c r="AZ966" s="220"/>
      <c r="BA966" s="220"/>
    </row>
    <row r="967">
      <c r="A967" s="240"/>
      <c r="B967" s="311"/>
      <c r="C967" s="311"/>
      <c r="D967" s="312"/>
      <c r="E967" s="311"/>
      <c r="F967" s="311"/>
      <c r="G967" s="312"/>
      <c r="H967" s="312"/>
      <c r="I967" s="313"/>
      <c r="J967" s="314"/>
      <c r="K967" s="313"/>
      <c r="L967" s="313"/>
      <c r="M967" s="313"/>
      <c r="N967" s="315"/>
      <c r="O967" s="313"/>
      <c r="P967" s="313"/>
      <c r="Q967" s="313"/>
      <c r="R967" s="313"/>
      <c r="S967" s="316"/>
      <c r="T967" s="317"/>
      <c r="U967" s="318"/>
      <c r="V967" s="319"/>
      <c r="W967" s="288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220"/>
      <c r="AH967" s="308"/>
      <c r="AI967" s="220"/>
      <c r="AJ967" s="220"/>
      <c r="AK967" s="220"/>
      <c r="AL967" s="220"/>
      <c r="AM967" s="220"/>
      <c r="AN967" s="220"/>
      <c r="AO967" s="220"/>
      <c r="AP967" s="220"/>
      <c r="AQ967" s="220"/>
      <c r="AR967" s="220"/>
      <c r="AS967" s="220"/>
      <c r="AT967" s="220"/>
      <c r="AU967" s="220"/>
      <c r="AV967" s="220"/>
      <c r="AW967" s="220"/>
      <c r="AX967" s="220"/>
      <c r="AY967" s="220"/>
      <c r="AZ967" s="220"/>
      <c r="BA967" s="220"/>
    </row>
    <row r="968">
      <c r="A968" s="240"/>
      <c r="B968" s="311"/>
      <c r="C968" s="311"/>
      <c r="D968" s="312"/>
      <c r="E968" s="311"/>
      <c r="F968" s="311"/>
      <c r="G968" s="312"/>
      <c r="H968" s="312"/>
      <c r="I968" s="313"/>
      <c r="J968" s="314"/>
      <c r="K968" s="313"/>
      <c r="L968" s="313"/>
      <c r="M968" s="313"/>
      <c r="N968" s="315"/>
      <c r="O968" s="313"/>
      <c r="P968" s="313"/>
      <c r="Q968" s="313"/>
      <c r="R968" s="313"/>
      <c r="S968" s="316"/>
      <c r="T968" s="317"/>
      <c r="U968" s="318"/>
      <c r="V968" s="319"/>
      <c r="W968" s="288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220"/>
      <c r="AH968" s="308"/>
      <c r="AI968" s="220"/>
      <c r="AJ968" s="220"/>
      <c r="AK968" s="220"/>
      <c r="AL968" s="220"/>
      <c r="AM968" s="220"/>
      <c r="AN968" s="220"/>
      <c r="AO968" s="220"/>
      <c r="AP968" s="220"/>
      <c r="AQ968" s="220"/>
      <c r="AR968" s="220"/>
      <c r="AS968" s="220"/>
      <c r="AT968" s="220"/>
      <c r="AU968" s="220"/>
      <c r="AV968" s="220"/>
      <c r="AW968" s="220"/>
      <c r="AX968" s="220"/>
      <c r="AY968" s="220"/>
      <c r="AZ968" s="220"/>
      <c r="BA968" s="220"/>
    </row>
    <row r="969">
      <c r="A969" s="240"/>
      <c r="B969" s="311"/>
      <c r="C969" s="311"/>
      <c r="D969" s="312"/>
      <c r="E969" s="311"/>
      <c r="F969" s="311"/>
      <c r="G969" s="312"/>
      <c r="H969" s="312"/>
      <c r="I969" s="313"/>
      <c r="J969" s="314"/>
      <c r="K969" s="313"/>
      <c r="L969" s="313"/>
      <c r="M969" s="313"/>
      <c r="N969" s="315"/>
      <c r="O969" s="313"/>
      <c r="P969" s="313"/>
      <c r="Q969" s="313"/>
      <c r="R969" s="313"/>
      <c r="S969" s="316"/>
      <c r="T969" s="317"/>
      <c r="U969" s="318"/>
      <c r="V969" s="319"/>
      <c r="W969" s="288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220"/>
      <c r="AH969" s="308"/>
      <c r="AI969" s="220"/>
      <c r="AJ969" s="220"/>
      <c r="AK969" s="220"/>
      <c r="AL969" s="220"/>
      <c r="AM969" s="220"/>
      <c r="AN969" s="220"/>
      <c r="AO969" s="220"/>
      <c r="AP969" s="220"/>
      <c r="AQ969" s="220"/>
      <c r="AR969" s="220"/>
      <c r="AS969" s="220"/>
      <c r="AT969" s="220"/>
      <c r="AU969" s="220"/>
      <c r="AV969" s="220"/>
      <c r="AW969" s="220"/>
      <c r="AX969" s="220"/>
      <c r="AY969" s="220"/>
      <c r="AZ969" s="220"/>
      <c r="BA969" s="220"/>
    </row>
    <row r="970">
      <c r="A970" s="240"/>
      <c r="B970" s="311"/>
      <c r="C970" s="311"/>
      <c r="D970" s="312"/>
      <c r="E970" s="311"/>
      <c r="F970" s="311"/>
      <c r="G970" s="312"/>
      <c r="H970" s="312"/>
      <c r="I970" s="313"/>
      <c r="J970" s="314"/>
      <c r="K970" s="313"/>
      <c r="L970" s="313"/>
      <c r="M970" s="313"/>
      <c r="N970" s="315"/>
      <c r="O970" s="313"/>
      <c r="P970" s="313"/>
      <c r="Q970" s="313"/>
      <c r="R970" s="313"/>
      <c r="S970" s="316"/>
      <c r="T970" s="317"/>
      <c r="U970" s="318"/>
      <c r="V970" s="319"/>
      <c r="W970" s="288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220"/>
      <c r="AH970" s="308"/>
      <c r="AI970" s="220"/>
      <c r="AJ970" s="220"/>
      <c r="AK970" s="220"/>
      <c r="AL970" s="220"/>
      <c r="AM970" s="220"/>
      <c r="AN970" s="220"/>
      <c r="AO970" s="220"/>
      <c r="AP970" s="220"/>
      <c r="AQ970" s="220"/>
      <c r="AR970" s="220"/>
      <c r="AS970" s="220"/>
      <c r="AT970" s="220"/>
      <c r="AU970" s="220"/>
      <c r="AV970" s="220"/>
      <c r="AW970" s="220"/>
      <c r="AX970" s="220"/>
      <c r="AY970" s="220"/>
      <c r="AZ970" s="220"/>
      <c r="BA970" s="220"/>
    </row>
    <row r="971">
      <c r="A971" s="240"/>
      <c r="B971" s="311"/>
      <c r="C971" s="311"/>
      <c r="D971" s="312"/>
      <c r="E971" s="311"/>
      <c r="F971" s="311"/>
      <c r="G971" s="312"/>
      <c r="H971" s="312"/>
      <c r="I971" s="313"/>
      <c r="J971" s="314"/>
      <c r="K971" s="313"/>
      <c r="L971" s="313"/>
      <c r="M971" s="313"/>
      <c r="N971" s="315"/>
      <c r="O971" s="313"/>
      <c r="P971" s="313"/>
      <c r="Q971" s="313"/>
      <c r="R971" s="313"/>
      <c r="S971" s="316"/>
      <c r="T971" s="317"/>
      <c r="U971" s="318"/>
      <c r="V971" s="319"/>
      <c r="W971" s="288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220"/>
      <c r="AH971" s="308"/>
      <c r="AI971" s="220"/>
      <c r="AJ971" s="220"/>
      <c r="AK971" s="220"/>
      <c r="AL971" s="220"/>
      <c r="AM971" s="220"/>
      <c r="AN971" s="220"/>
      <c r="AO971" s="220"/>
      <c r="AP971" s="220"/>
      <c r="AQ971" s="220"/>
      <c r="AR971" s="220"/>
      <c r="AS971" s="220"/>
      <c r="AT971" s="220"/>
      <c r="AU971" s="220"/>
      <c r="AV971" s="220"/>
      <c r="AW971" s="220"/>
      <c r="AX971" s="220"/>
      <c r="AY971" s="220"/>
      <c r="AZ971" s="220"/>
      <c r="BA971" s="220"/>
    </row>
    <row r="972">
      <c r="A972" s="240"/>
      <c r="B972" s="311"/>
      <c r="C972" s="311"/>
      <c r="D972" s="312"/>
      <c r="E972" s="311"/>
      <c r="F972" s="311"/>
      <c r="G972" s="312"/>
      <c r="H972" s="312"/>
      <c r="I972" s="313"/>
      <c r="J972" s="314"/>
      <c r="K972" s="313"/>
      <c r="L972" s="313"/>
      <c r="M972" s="313"/>
      <c r="N972" s="315"/>
      <c r="O972" s="313"/>
      <c r="P972" s="313"/>
      <c r="Q972" s="313"/>
      <c r="R972" s="313"/>
      <c r="S972" s="316"/>
      <c r="T972" s="317"/>
      <c r="U972" s="318"/>
      <c r="V972" s="319"/>
      <c r="W972" s="288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220"/>
      <c r="AH972" s="308"/>
      <c r="AI972" s="220"/>
      <c r="AJ972" s="220"/>
      <c r="AK972" s="220"/>
      <c r="AL972" s="220"/>
      <c r="AM972" s="220"/>
      <c r="AN972" s="220"/>
      <c r="AO972" s="220"/>
      <c r="AP972" s="220"/>
      <c r="AQ972" s="220"/>
      <c r="AR972" s="220"/>
      <c r="AS972" s="220"/>
      <c r="AT972" s="220"/>
      <c r="AU972" s="220"/>
      <c r="AV972" s="220"/>
      <c r="AW972" s="220"/>
      <c r="AX972" s="220"/>
      <c r="AY972" s="220"/>
      <c r="AZ972" s="220"/>
      <c r="BA972" s="220"/>
    </row>
    <row r="973">
      <c r="A973" s="240"/>
      <c r="B973" s="311"/>
      <c r="C973" s="311"/>
      <c r="D973" s="312"/>
      <c r="E973" s="311"/>
      <c r="F973" s="311"/>
      <c r="G973" s="312"/>
      <c r="H973" s="312"/>
      <c r="I973" s="313"/>
      <c r="J973" s="314"/>
      <c r="K973" s="313"/>
      <c r="L973" s="313"/>
      <c r="M973" s="313"/>
      <c r="N973" s="315"/>
      <c r="O973" s="313"/>
      <c r="P973" s="313"/>
      <c r="Q973" s="313"/>
      <c r="R973" s="313"/>
      <c r="S973" s="316"/>
      <c r="T973" s="317"/>
      <c r="U973" s="318"/>
      <c r="V973" s="319"/>
      <c r="W973" s="288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220"/>
      <c r="AH973" s="308"/>
      <c r="AI973" s="220"/>
      <c r="AJ973" s="220"/>
      <c r="AK973" s="220"/>
      <c r="AL973" s="220"/>
      <c r="AM973" s="220"/>
      <c r="AN973" s="220"/>
      <c r="AO973" s="220"/>
      <c r="AP973" s="220"/>
      <c r="AQ973" s="220"/>
      <c r="AR973" s="220"/>
      <c r="AS973" s="220"/>
      <c r="AT973" s="220"/>
      <c r="AU973" s="220"/>
      <c r="AV973" s="220"/>
      <c r="AW973" s="220"/>
      <c r="AX973" s="220"/>
      <c r="AY973" s="220"/>
      <c r="AZ973" s="220"/>
      <c r="BA973" s="220"/>
    </row>
    <row r="974">
      <c r="A974" s="240"/>
      <c r="B974" s="311"/>
      <c r="C974" s="311"/>
      <c r="D974" s="312"/>
      <c r="E974" s="311"/>
      <c r="F974" s="311"/>
      <c r="G974" s="312"/>
      <c r="H974" s="312"/>
      <c r="I974" s="313"/>
      <c r="J974" s="314"/>
      <c r="K974" s="313"/>
      <c r="L974" s="313"/>
      <c r="M974" s="313"/>
      <c r="N974" s="315"/>
      <c r="O974" s="313"/>
      <c r="P974" s="313"/>
      <c r="Q974" s="313"/>
      <c r="R974" s="313"/>
      <c r="S974" s="316"/>
      <c r="T974" s="317"/>
      <c r="U974" s="318"/>
      <c r="V974" s="319"/>
      <c r="W974" s="288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220"/>
      <c r="AH974" s="308"/>
      <c r="AI974" s="220"/>
      <c r="AJ974" s="220"/>
      <c r="AK974" s="220"/>
      <c r="AL974" s="220"/>
      <c r="AM974" s="220"/>
      <c r="AN974" s="220"/>
      <c r="AO974" s="220"/>
      <c r="AP974" s="220"/>
      <c r="AQ974" s="220"/>
      <c r="AR974" s="220"/>
      <c r="AS974" s="220"/>
      <c r="AT974" s="220"/>
      <c r="AU974" s="220"/>
      <c r="AV974" s="220"/>
      <c r="AW974" s="220"/>
      <c r="AX974" s="220"/>
      <c r="AY974" s="220"/>
      <c r="AZ974" s="220"/>
      <c r="BA974" s="220"/>
    </row>
    <row r="975">
      <c r="A975" s="240"/>
      <c r="B975" s="311"/>
      <c r="C975" s="311"/>
      <c r="D975" s="312"/>
      <c r="E975" s="311"/>
      <c r="F975" s="311"/>
      <c r="G975" s="312"/>
      <c r="H975" s="312"/>
      <c r="I975" s="313"/>
      <c r="J975" s="314"/>
      <c r="K975" s="313"/>
      <c r="L975" s="313"/>
      <c r="M975" s="313"/>
      <c r="N975" s="315"/>
      <c r="O975" s="313"/>
      <c r="P975" s="313"/>
      <c r="Q975" s="313"/>
      <c r="R975" s="313"/>
      <c r="S975" s="316"/>
      <c r="T975" s="317"/>
      <c r="U975" s="318"/>
      <c r="V975" s="319"/>
      <c r="W975" s="288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220"/>
      <c r="AH975" s="308"/>
      <c r="AI975" s="220"/>
      <c r="AJ975" s="220"/>
      <c r="AK975" s="220"/>
      <c r="AL975" s="220"/>
      <c r="AM975" s="220"/>
      <c r="AN975" s="220"/>
      <c r="AO975" s="220"/>
      <c r="AP975" s="220"/>
      <c r="AQ975" s="220"/>
      <c r="AR975" s="220"/>
      <c r="AS975" s="220"/>
      <c r="AT975" s="220"/>
      <c r="AU975" s="220"/>
      <c r="AV975" s="220"/>
      <c r="AW975" s="220"/>
      <c r="AX975" s="220"/>
      <c r="AY975" s="220"/>
      <c r="AZ975" s="220"/>
      <c r="BA975" s="220"/>
    </row>
    <row r="976">
      <c r="A976" s="240"/>
      <c r="B976" s="311"/>
      <c r="C976" s="311"/>
      <c r="D976" s="312"/>
      <c r="E976" s="311"/>
      <c r="F976" s="311"/>
      <c r="G976" s="312"/>
      <c r="H976" s="312"/>
      <c r="I976" s="313"/>
      <c r="J976" s="314"/>
      <c r="K976" s="313"/>
      <c r="L976" s="313"/>
      <c r="M976" s="313"/>
      <c r="N976" s="315"/>
      <c r="O976" s="313"/>
      <c r="P976" s="313"/>
      <c r="Q976" s="313"/>
      <c r="R976" s="313"/>
      <c r="S976" s="316"/>
      <c r="T976" s="317"/>
      <c r="U976" s="318"/>
      <c r="V976" s="319"/>
      <c r="W976" s="288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220"/>
      <c r="AH976" s="308"/>
      <c r="AI976" s="220"/>
      <c r="AJ976" s="220"/>
      <c r="AK976" s="220"/>
      <c r="AL976" s="220"/>
      <c r="AM976" s="220"/>
      <c r="AN976" s="220"/>
      <c r="AO976" s="220"/>
      <c r="AP976" s="220"/>
      <c r="AQ976" s="220"/>
      <c r="AR976" s="220"/>
      <c r="AS976" s="220"/>
      <c r="AT976" s="220"/>
      <c r="AU976" s="220"/>
      <c r="AV976" s="220"/>
      <c r="AW976" s="220"/>
      <c r="AX976" s="220"/>
      <c r="AY976" s="220"/>
      <c r="AZ976" s="220"/>
      <c r="BA976" s="220"/>
    </row>
    <row r="977">
      <c r="A977" s="240"/>
      <c r="B977" s="311"/>
      <c r="C977" s="311"/>
      <c r="D977" s="312"/>
      <c r="E977" s="311"/>
      <c r="F977" s="311"/>
      <c r="G977" s="312"/>
      <c r="H977" s="312"/>
      <c r="I977" s="313"/>
      <c r="J977" s="314"/>
      <c r="K977" s="313"/>
      <c r="L977" s="313"/>
      <c r="M977" s="313"/>
      <c r="N977" s="315"/>
      <c r="O977" s="313"/>
      <c r="P977" s="313"/>
      <c r="Q977" s="313"/>
      <c r="R977" s="313"/>
      <c r="S977" s="316"/>
      <c r="T977" s="317"/>
      <c r="U977" s="318"/>
      <c r="V977" s="319"/>
      <c r="W977" s="288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220"/>
      <c r="AH977" s="308"/>
      <c r="AI977" s="220"/>
      <c r="AJ977" s="220"/>
      <c r="AK977" s="220"/>
      <c r="AL977" s="220"/>
      <c r="AM977" s="220"/>
      <c r="AN977" s="220"/>
      <c r="AO977" s="220"/>
      <c r="AP977" s="220"/>
      <c r="AQ977" s="220"/>
      <c r="AR977" s="220"/>
      <c r="AS977" s="220"/>
      <c r="AT977" s="220"/>
      <c r="AU977" s="220"/>
      <c r="AV977" s="220"/>
      <c r="AW977" s="220"/>
      <c r="AX977" s="220"/>
      <c r="AY977" s="220"/>
      <c r="AZ977" s="220"/>
      <c r="BA977" s="220"/>
    </row>
    <row r="978">
      <c r="A978" s="240"/>
      <c r="B978" s="311"/>
      <c r="C978" s="311"/>
      <c r="D978" s="312"/>
      <c r="E978" s="311"/>
      <c r="F978" s="311"/>
      <c r="G978" s="312"/>
      <c r="H978" s="312"/>
      <c r="I978" s="313"/>
      <c r="J978" s="314"/>
      <c r="K978" s="313"/>
      <c r="L978" s="313"/>
      <c r="M978" s="313"/>
      <c r="N978" s="315"/>
      <c r="O978" s="313"/>
      <c r="P978" s="313"/>
      <c r="Q978" s="313"/>
      <c r="R978" s="313"/>
      <c r="S978" s="316"/>
      <c r="T978" s="317"/>
      <c r="U978" s="318"/>
      <c r="V978" s="319"/>
      <c r="W978" s="288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220"/>
      <c r="AH978" s="308"/>
      <c r="AI978" s="220"/>
      <c r="AJ978" s="220"/>
      <c r="AK978" s="220"/>
      <c r="AL978" s="220"/>
      <c r="AM978" s="220"/>
      <c r="AN978" s="220"/>
      <c r="AO978" s="220"/>
      <c r="AP978" s="220"/>
      <c r="AQ978" s="220"/>
      <c r="AR978" s="220"/>
      <c r="AS978" s="220"/>
      <c r="AT978" s="220"/>
      <c r="AU978" s="220"/>
      <c r="AV978" s="220"/>
      <c r="AW978" s="220"/>
      <c r="AX978" s="220"/>
      <c r="AY978" s="220"/>
      <c r="AZ978" s="220"/>
      <c r="BA978" s="220"/>
    </row>
    <row r="979">
      <c r="A979" s="240"/>
      <c r="B979" s="311"/>
      <c r="C979" s="311"/>
      <c r="D979" s="312"/>
      <c r="E979" s="311"/>
      <c r="F979" s="311"/>
      <c r="G979" s="312"/>
      <c r="H979" s="312"/>
      <c r="I979" s="313"/>
      <c r="J979" s="314"/>
      <c r="K979" s="313"/>
      <c r="L979" s="313"/>
      <c r="M979" s="313"/>
      <c r="N979" s="315"/>
      <c r="O979" s="313"/>
      <c r="P979" s="313"/>
      <c r="Q979" s="313"/>
      <c r="R979" s="313"/>
      <c r="S979" s="316"/>
      <c r="T979" s="317"/>
      <c r="U979" s="318"/>
      <c r="V979" s="319"/>
      <c r="W979" s="288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220"/>
      <c r="AH979" s="308"/>
      <c r="AI979" s="220"/>
      <c r="AJ979" s="220"/>
      <c r="AK979" s="220"/>
      <c r="AL979" s="220"/>
      <c r="AM979" s="220"/>
      <c r="AN979" s="220"/>
      <c r="AO979" s="220"/>
      <c r="AP979" s="220"/>
      <c r="AQ979" s="220"/>
      <c r="AR979" s="220"/>
      <c r="AS979" s="220"/>
      <c r="AT979" s="220"/>
      <c r="AU979" s="220"/>
      <c r="AV979" s="220"/>
      <c r="AW979" s="220"/>
      <c r="AX979" s="220"/>
      <c r="AY979" s="220"/>
      <c r="AZ979" s="220"/>
      <c r="BA979" s="220"/>
    </row>
    <row r="980">
      <c r="A980" s="240"/>
      <c r="B980" s="311"/>
      <c r="C980" s="311"/>
      <c r="D980" s="312"/>
      <c r="E980" s="311"/>
      <c r="F980" s="311"/>
      <c r="G980" s="312"/>
      <c r="H980" s="312"/>
      <c r="I980" s="313"/>
      <c r="J980" s="314"/>
      <c r="K980" s="313"/>
      <c r="L980" s="313"/>
      <c r="M980" s="313"/>
      <c r="N980" s="315"/>
      <c r="O980" s="313"/>
      <c r="P980" s="313"/>
      <c r="Q980" s="313"/>
      <c r="R980" s="313"/>
      <c r="S980" s="316"/>
      <c r="T980" s="317"/>
      <c r="U980" s="318"/>
      <c r="V980" s="319"/>
      <c r="W980" s="288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220"/>
      <c r="AH980" s="308"/>
      <c r="AI980" s="220"/>
      <c r="AJ980" s="220"/>
      <c r="AK980" s="220"/>
      <c r="AL980" s="220"/>
      <c r="AM980" s="220"/>
      <c r="AN980" s="220"/>
      <c r="AO980" s="220"/>
      <c r="AP980" s="220"/>
      <c r="AQ980" s="220"/>
      <c r="AR980" s="220"/>
      <c r="AS980" s="220"/>
      <c r="AT980" s="220"/>
      <c r="AU980" s="220"/>
      <c r="AV980" s="220"/>
      <c r="AW980" s="220"/>
      <c r="AX980" s="220"/>
      <c r="AY980" s="220"/>
      <c r="AZ980" s="220"/>
      <c r="BA980" s="220"/>
    </row>
    <row r="981">
      <c r="A981" s="240"/>
      <c r="B981" s="311"/>
      <c r="C981" s="311"/>
      <c r="D981" s="312"/>
      <c r="E981" s="311"/>
      <c r="F981" s="311"/>
      <c r="G981" s="312"/>
      <c r="H981" s="312"/>
      <c r="I981" s="313"/>
      <c r="J981" s="314"/>
      <c r="K981" s="313"/>
      <c r="L981" s="313"/>
      <c r="M981" s="313"/>
      <c r="N981" s="315"/>
      <c r="O981" s="313"/>
      <c r="P981" s="313"/>
      <c r="Q981" s="313"/>
      <c r="R981" s="313"/>
      <c r="S981" s="316"/>
      <c r="T981" s="317"/>
      <c r="U981" s="318"/>
      <c r="V981" s="319"/>
      <c r="W981" s="288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220"/>
      <c r="AH981" s="308"/>
      <c r="AI981" s="220"/>
      <c r="AJ981" s="220"/>
      <c r="AK981" s="220"/>
      <c r="AL981" s="220"/>
      <c r="AM981" s="220"/>
      <c r="AN981" s="220"/>
      <c r="AO981" s="220"/>
      <c r="AP981" s="220"/>
      <c r="AQ981" s="220"/>
      <c r="AR981" s="220"/>
      <c r="AS981" s="220"/>
      <c r="AT981" s="220"/>
      <c r="AU981" s="220"/>
      <c r="AV981" s="220"/>
      <c r="AW981" s="220"/>
      <c r="AX981" s="220"/>
      <c r="AY981" s="220"/>
      <c r="AZ981" s="220"/>
      <c r="BA981" s="220"/>
    </row>
    <row r="982">
      <c r="A982" s="240"/>
      <c r="B982" s="311"/>
      <c r="C982" s="311"/>
      <c r="D982" s="312"/>
      <c r="E982" s="311"/>
      <c r="F982" s="311"/>
      <c r="G982" s="312"/>
      <c r="H982" s="312"/>
      <c r="I982" s="313"/>
      <c r="J982" s="314"/>
      <c r="K982" s="313"/>
      <c r="L982" s="313"/>
      <c r="M982" s="313"/>
      <c r="N982" s="315"/>
      <c r="O982" s="313"/>
      <c r="P982" s="313"/>
      <c r="Q982" s="313"/>
      <c r="R982" s="313"/>
      <c r="S982" s="316"/>
      <c r="T982" s="317"/>
      <c r="U982" s="318"/>
      <c r="V982" s="319"/>
      <c r="W982" s="288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308"/>
      <c r="AI982" s="220"/>
      <c r="AJ982" s="220"/>
      <c r="AK982" s="220"/>
      <c r="AL982" s="220"/>
      <c r="AM982" s="220"/>
      <c r="AN982" s="220"/>
      <c r="AO982" s="220"/>
      <c r="AP982" s="220"/>
      <c r="AQ982" s="220"/>
      <c r="AR982" s="220"/>
      <c r="AS982" s="220"/>
      <c r="AT982" s="220"/>
      <c r="AU982" s="220"/>
      <c r="AV982" s="220"/>
      <c r="AW982" s="220"/>
      <c r="AX982" s="220"/>
      <c r="AY982" s="220"/>
      <c r="AZ982" s="220"/>
      <c r="BA982" s="220"/>
    </row>
    <row r="983">
      <c r="A983" s="240"/>
      <c r="B983" s="311"/>
      <c r="C983" s="311"/>
      <c r="D983" s="312"/>
      <c r="E983" s="311"/>
      <c r="F983" s="311"/>
      <c r="G983" s="312"/>
      <c r="H983" s="312"/>
      <c r="I983" s="313"/>
      <c r="J983" s="314"/>
      <c r="K983" s="313"/>
      <c r="L983" s="313"/>
      <c r="M983" s="313"/>
      <c r="N983" s="315"/>
      <c r="O983" s="313"/>
      <c r="P983" s="313"/>
      <c r="Q983" s="313"/>
      <c r="R983" s="313"/>
      <c r="S983" s="316"/>
      <c r="T983" s="317"/>
      <c r="U983" s="318"/>
      <c r="V983" s="319"/>
      <c r="W983" s="288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220"/>
      <c r="AH983" s="308"/>
      <c r="AI983" s="220"/>
      <c r="AJ983" s="220"/>
      <c r="AK983" s="220"/>
      <c r="AL983" s="220"/>
      <c r="AM983" s="220"/>
      <c r="AN983" s="220"/>
      <c r="AO983" s="220"/>
      <c r="AP983" s="220"/>
      <c r="AQ983" s="220"/>
      <c r="AR983" s="220"/>
      <c r="AS983" s="220"/>
      <c r="AT983" s="220"/>
      <c r="AU983" s="220"/>
      <c r="AV983" s="220"/>
      <c r="AW983" s="220"/>
      <c r="AX983" s="220"/>
      <c r="AY983" s="220"/>
      <c r="AZ983" s="220"/>
      <c r="BA983" s="220"/>
    </row>
    <row r="984">
      <c r="A984" s="240"/>
      <c r="B984" s="311"/>
      <c r="C984" s="311"/>
      <c r="D984" s="312"/>
      <c r="E984" s="311"/>
      <c r="F984" s="311"/>
      <c r="G984" s="312"/>
      <c r="H984" s="312"/>
      <c r="I984" s="313"/>
      <c r="J984" s="314"/>
      <c r="K984" s="313"/>
      <c r="L984" s="313"/>
      <c r="M984" s="313"/>
      <c r="N984" s="315"/>
      <c r="O984" s="313"/>
      <c r="P984" s="313"/>
      <c r="Q984" s="313"/>
      <c r="R984" s="313"/>
      <c r="S984" s="316"/>
      <c r="T984" s="317"/>
      <c r="U984" s="318"/>
      <c r="V984" s="319"/>
      <c r="W984" s="288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220"/>
      <c r="AH984" s="308"/>
      <c r="AI984" s="220"/>
      <c r="AJ984" s="220"/>
      <c r="AK984" s="220"/>
      <c r="AL984" s="220"/>
      <c r="AM984" s="220"/>
      <c r="AN984" s="220"/>
      <c r="AO984" s="220"/>
      <c r="AP984" s="220"/>
      <c r="AQ984" s="220"/>
      <c r="AR984" s="220"/>
      <c r="AS984" s="220"/>
      <c r="AT984" s="220"/>
      <c r="AU984" s="220"/>
      <c r="AV984" s="220"/>
      <c r="AW984" s="220"/>
      <c r="AX984" s="220"/>
      <c r="AY984" s="220"/>
      <c r="AZ984" s="220"/>
      <c r="BA984" s="220"/>
    </row>
    <row r="985">
      <c r="A985" s="240"/>
      <c r="B985" s="311"/>
      <c r="C985" s="311"/>
      <c r="D985" s="312"/>
      <c r="E985" s="311"/>
      <c r="F985" s="311"/>
      <c r="G985" s="312"/>
      <c r="H985" s="312"/>
      <c r="I985" s="313"/>
      <c r="J985" s="314"/>
      <c r="K985" s="313"/>
      <c r="L985" s="313"/>
      <c r="M985" s="313"/>
      <c r="N985" s="315"/>
      <c r="O985" s="313"/>
      <c r="P985" s="313"/>
      <c r="Q985" s="313"/>
      <c r="R985" s="313"/>
      <c r="S985" s="316"/>
      <c r="T985" s="317"/>
      <c r="U985" s="318"/>
      <c r="V985" s="319"/>
      <c r="W985" s="288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220"/>
      <c r="AH985" s="308"/>
      <c r="AI985" s="220"/>
      <c r="AJ985" s="220"/>
      <c r="AK985" s="220"/>
      <c r="AL985" s="220"/>
      <c r="AM985" s="220"/>
      <c r="AN985" s="220"/>
      <c r="AO985" s="220"/>
      <c r="AP985" s="220"/>
      <c r="AQ985" s="220"/>
      <c r="AR985" s="220"/>
      <c r="AS985" s="220"/>
      <c r="AT985" s="220"/>
      <c r="AU985" s="220"/>
      <c r="AV985" s="220"/>
      <c r="AW985" s="220"/>
      <c r="AX985" s="220"/>
      <c r="AY985" s="220"/>
      <c r="AZ985" s="220"/>
      <c r="BA985" s="220"/>
    </row>
    <row r="986">
      <c r="A986" s="240"/>
      <c r="B986" s="311"/>
      <c r="C986" s="311"/>
      <c r="D986" s="312"/>
      <c r="E986" s="311"/>
      <c r="F986" s="311"/>
      <c r="G986" s="312"/>
      <c r="H986" s="312"/>
      <c r="I986" s="313"/>
      <c r="J986" s="314"/>
      <c r="K986" s="313"/>
      <c r="L986" s="313"/>
      <c r="M986" s="313"/>
      <c r="N986" s="315"/>
      <c r="O986" s="313"/>
      <c r="P986" s="313"/>
      <c r="Q986" s="313"/>
      <c r="R986" s="313"/>
      <c r="S986" s="316"/>
      <c r="T986" s="317"/>
      <c r="U986" s="318"/>
      <c r="V986" s="319"/>
      <c r="W986" s="288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220"/>
      <c r="AH986" s="308"/>
      <c r="AI986" s="220"/>
      <c r="AJ986" s="220"/>
      <c r="AK986" s="220"/>
      <c r="AL986" s="220"/>
      <c r="AM986" s="220"/>
      <c r="AN986" s="220"/>
      <c r="AO986" s="220"/>
      <c r="AP986" s="220"/>
      <c r="AQ986" s="220"/>
      <c r="AR986" s="220"/>
      <c r="AS986" s="220"/>
      <c r="AT986" s="220"/>
      <c r="AU986" s="220"/>
      <c r="AV986" s="220"/>
      <c r="AW986" s="220"/>
      <c r="AX986" s="220"/>
      <c r="AY986" s="220"/>
      <c r="AZ986" s="220"/>
      <c r="BA986" s="220"/>
    </row>
    <row r="987">
      <c r="A987" s="240"/>
      <c r="B987" s="311"/>
      <c r="C987" s="311"/>
      <c r="D987" s="312"/>
      <c r="E987" s="311"/>
      <c r="F987" s="311"/>
      <c r="G987" s="312"/>
      <c r="H987" s="312"/>
      <c r="I987" s="313"/>
      <c r="J987" s="314"/>
      <c r="K987" s="313"/>
      <c r="L987" s="313"/>
      <c r="M987" s="313"/>
      <c r="N987" s="315"/>
      <c r="O987" s="313"/>
      <c r="P987" s="313"/>
      <c r="Q987" s="313"/>
      <c r="R987" s="313"/>
      <c r="S987" s="316"/>
      <c r="T987" s="317"/>
      <c r="U987" s="318"/>
      <c r="V987" s="319"/>
      <c r="W987" s="288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220"/>
      <c r="AH987" s="308"/>
      <c r="AI987" s="220"/>
      <c r="AJ987" s="220"/>
      <c r="AK987" s="220"/>
      <c r="AL987" s="220"/>
      <c r="AM987" s="220"/>
      <c r="AN987" s="220"/>
      <c r="AO987" s="220"/>
      <c r="AP987" s="220"/>
      <c r="AQ987" s="220"/>
      <c r="AR987" s="220"/>
      <c r="AS987" s="220"/>
      <c r="AT987" s="220"/>
      <c r="AU987" s="220"/>
      <c r="AV987" s="220"/>
      <c r="AW987" s="220"/>
      <c r="AX987" s="220"/>
      <c r="AY987" s="220"/>
      <c r="AZ987" s="220"/>
      <c r="BA987" s="220"/>
    </row>
    <row r="988">
      <c r="A988" s="240"/>
      <c r="B988" s="311"/>
      <c r="C988" s="311"/>
      <c r="D988" s="312"/>
      <c r="E988" s="311"/>
      <c r="F988" s="311"/>
      <c r="G988" s="312"/>
      <c r="H988" s="312"/>
      <c r="I988" s="313"/>
      <c r="J988" s="314"/>
      <c r="K988" s="313"/>
      <c r="L988" s="313"/>
      <c r="M988" s="313"/>
      <c r="N988" s="315"/>
      <c r="O988" s="313"/>
      <c r="P988" s="313"/>
      <c r="Q988" s="313"/>
      <c r="R988" s="313"/>
      <c r="S988" s="316"/>
      <c r="T988" s="317"/>
      <c r="U988" s="318"/>
      <c r="V988" s="319"/>
      <c r="W988" s="288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220"/>
      <c r="AH988" s="308"/>
      <c r="AI988" s="220"/>
      <c r="AJ988" s="220"/>
      <c r="AK988" s="220"/>
      <c r="AL988" s="220"/>
      <c r="AM988" s="220"/>
      <c r="AN988" s="220"/>
      <c r="AO988" s="220"/>
      <c r="AP988" s="220"/>
      <c r="AQ988" s="220"/>
      <c r="AR988" s="220"/>
      <c r="AS988" s="220"/>
      <c r="AT988" s="220"/>
      <c r="AU988" s="220"/>
      <c r="AV988" s="220"/>
      <c r="AW988" s="220"/>
      <c r="AX988" s="220"/>
      <c r="AY988" s="220"/>
      <c r="AZ988" s="220"/>
      <c r="BA988" s="220"/>
    </row>
    <row r="989">
      <c r="A989" s="240"/>
      <c r="B989" s="311"/>
      <c r="C989" s="311"/>
      <c r="D989" s="312"/>
      <c r="E989" s="311"/>
      <c r="F989" s="311"/>
      <c r="G989" s="312"/>
      <c r="H989" s="312"/>
      <c r="I989" s="313"/>
      <c r="J989" s="314"/>
      <c r="K989" s="313"/>
      <c r="L989" s="313"/>
      <c r="M989" s="313"/>
      <c r="N989" s="315"/>
      <c r="O989" s="313"/>
      <c r="P989" s="313"/>
      <c r="Q989" s="313"/>
      <c r="R989" s="313"/>
      <c r="S989" s="316"/>
      <c r="T989" s="317"/>
      <c r="U989" s="318"/>
      <c r="V989" s="319"/>
      <c r="W989" s="288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220"/>
      <c r="AH989" s="308"/>
      <c r="AI989" s="220"/>
      <c r="AJ989" s="220"/>
      <c r="AK989" s="220"/>
      <c r="AL989" s="220"/>
      <c r="AM989" s="220"/>
      <c r="AN989" s="220"/>
      <c r="AO989" s="220"/>
      <c r="AP989" s="220"/>
      <c r="AQ989" s="220"/>
      <c r="AR989" s="220"/>
      <c r="AS989" s="220"/>
      <c r="AT989" s="220"/>
      <c r="AU989" s="220"/>
      <c r="AV989" s="220"/>
      <c r="AW989" s="220"/>
      <c r="AX989" s="220"/>
      <c r="AY989" s="220"/>
      <c r="AZ989" s="220"/>
      <c r="BA989" s="220"/>
    </row>
    <row r="990">
      <c r="A990" s="240"/>
      <c r="B990" s="311"/>
      <c r="C990" s="311"/>
      <c r="D990" s="312"/>
      <c r="E990" s="311"/>
      <c r="F990" s="311"/>
      <c r="G990" s="312"/>
      <c r="H990" s="312"/>
      <c r="I990" s="313"/>
      <c r="J990" s="314"/>
      <c r="K990" s="313"/>
      <c r="L990" s="313"/>
      <c r="M990" s="313"/>
      <c r="N990" s="315"/>
      <c r="O990" s="313"/>
      <c r="P990" s="313"/>
      <c r="Q990" s="313"/>
      <c r="R990" s="313"/>
      <c r="S990" s="316"/>
      <c r="T990" s="317"/>
      <c r="U990" s="318"/>
      <c r="V990" s="319"/>
      <c r="W990" s="288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220"/>
      <c r="AH990" s="308"/>
      <c r="AI990" s="220"/>
      <c r="AJ990" s="220"/>
      <c r="AK990" s="220"/>
      <c r="AL990" s="220"/>
      <c r="AM990" s="220"/>
      <c r="AN990" s="220"/>
      <c r="AO990" s="220"/>
      <c r="AP990" s="220"/>
      <c r="AQ990" s="220"/>
      <c r="AR990" s="220"/>
      <c r="AS990" s="220"/>
      <c r="AT990" s="220"/>
      <c r="AU990" s="220"/>
      <c r="AV990" s="220"/>
      <c r="AW990" s="220"/>
      <c r="AX990" s="220"/>
      <c r="AY990" s="220"/>
      <c r="AZ990" s="220"/>
      <c r="BA990" s="220"/>
    </row>
    <row r="991">
      <c r="A991" s="240"/>
      <c r="B991" s="311"/>
      <c r="C991" s="311"/>
      <c r="D991" s="312"/>
      <c r="E991" s="311"/>
      <c r="F991" s="311"/>
      <c r="G991" s="312"/>
      <c r="H991" s="312"/>
      <c r="I991" s="313"/>
      <c r="J991" s="314"/>
      <c r="K991" s="313"/>
      <c r="L991" s="313"/>
      <c r="M991" s="313"/>
      <c r="N991" s="315"/>
      <c r="O991" s="313"/>
      <c r="P991" s="313"/>
      <c r="Q991" s="313"/>
      <c r="R991" s="313"/>
      <c r="S991" s="316"/>
      <c r="T991" s="317"/>
      <c r="U991" s="318"/>
      <c r="V991" s="319"/>
      <c r="W991" s="288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220"/>
      <c r="AH991" s="308"/>
      <c r="AI991" s="220"/>
      <c r="AJ991" s="220"/>
      <c r="AK991" s="220"/>
      <c r="AL991" s="220"/>
      <c r="AM991" s="220"/>
      <c r="AN991" s="220"/>
      <c r="AO991" s="220"/>
      <c r="AP991" s="220"/>
      <c r="AQ991" s="220"/>
      <c r="AR991" s="220"/>
      <c r="AS991" s="220"/>
      <c r="AT991" s="220"/>
      <c r="AU991" s="220"/>
      <c r="AV991" s="220"/>
      <c r="AW991" s="220"/>
      <c r="AX991" s="220"/>
      <c r="AY991" s="220"/>
      <c r="AZ991" s="220"/>
      <c r="BA991" s="220"/>
    </row>
    <row r="992">
      <c r="A992" s="240"/>
      <c r="B992" s="311"/>
      <c r="C992" s="311"/>
      <c r="D992" s="312"/>
      <c r="E992" s="311"/>
      <c r="F992" s="311"/>
      <c r="G992" s="312"/>
      <c r="H992" s="312"/>
      <c r="I992" s="313"/>
      <c r="J992" s="314"/>
      <c r="K992" s="313"/>
      <c r="L992" s="313"/>
      <c r="M992" s="313"/>
      <c r="N992" s="315"/>
      <c r="O992" s="313"/>
      <c r="P992" s="313"/>
      <c r="Q992" s="313"/>
      <c r="R992" s="313"/>
      <c r="S992" s="316"/>
      <c r="T992" s="317"/>
      <c r="U992" s="318"/>
      <c r="V992" s="319"/>
      <c r="W992" s="288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220"/>
      <c r="AH992" s="308"/>
      <c r="AI992" s="220"/>
      <c r="AJ992" s="220"/>
      <c r="AK992" s="220"/>
      <c r="AL992" s="220"/>
      <c r="AM992" s="220"/>
      <c r="AN992" s="220"/>
      <c r="AO992" s="220"/>
      <c r="AP992" s="220"/>
      <c r="AQ992" s="220"/>
      <c r="AR992" s="220"/>
      <c r="AS992" s="220"/>
      <c r="AT992" s="220"/>
      <c r="AU992" s="220"/>
      <c r="AV992" s="220"/>
      <c r="AW992" s="220"/>
      <c r="AX992" s="220"/>
      <c r="AY992" s="220"/>
      <c r="AZ992" s="220"/>
      <c r="BA992" s="220"/>
    </row>
    <row r="993">
      <c r="A993" s="240"/>
      <c r="B993" s="311"/>
      <c r="C993" s="311"/>
      <c r="D993" s="312"/>
      <c r="E993" s="311"/>
      <c r="F993" s="311"/>
      <c r="G993" s="312"/>
      <c r="H993" s="312"/>
      <c r="I993" s="313"/>
      <c r="J993" s="314"/>
      <c r="K993" s="313"/>
      <c r="L993" s="313"/>
      <c r="M993" s="313"/>
      <c r="N993" s="315"/>
      <c r="O993" s="313"/>
      <c r="P993" s="313"/>
      <c r="Q993" s="313"/>
      <c r="R993" s="313"/>
      <c r="S993" s="316"/>
      <c r="T993" s="317"/>
      <c r="U993" s="318"/>
      <c r="V993" s="319"/>
      <c r="W993" s="288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220"/>
      <c r="AH993" s="308"/>
      <c r="AI993" s="220"/>
      <c r="AJ993" s="220"/>
      <c r="AK993" s="220"/>
      <c r="AL993" s="220"/>
      <c r="AM993" s="220"/>
      <c r="AN993" s="220"/>
      <c r="AO993" s="220"/>
      <c r="AP993" s="220"/>
      <c r="AQ993" s="220"/>
      <c r="AR993" s="220"/>
      <c r="AS993" s="220"/>
      <c r="AT993" s="220"/>
      <c r="AU993" s="220"/>
      <c r="AV993" s="220"/>
      <c r="AW993" s="220"/>
      <c r="AX993" s="220"/>
      <c r="AY993" s="220"/>
      <c r="AZ993" s="220"/>
      <c r="BA993" s="220"/>
    </row>
    <row r="994">
      <c r="A994" s="240"/>
      <c r="B994" s="311"/>
      <c r="C994" s="311"/>
      <c r="D994" s="312"/>
      <c r="E994" s="311"/>
      <c r="F994" s="311"/>
      <c r="G994" s="312"/>
      <c r="H994" s="312"/>
      <c r="I994" s="313"/>
      <c r="J994" s="314"/>
      <c r="K994" s="313"/>
      <c r="L994" s="313"/>
      <c r="M994" s="313"/>
      <c r="N994" s="315"/>
      <c r="O994" s="313"/>
      <c r="P994" s="313"/>
      <c r="Q994" s="313"/>
      <c r="R994" s="313"/>
      <c r="S994" s="316"/>
      <c r="T994" s="317"/>
      <c r="U994" s="318"/>
      <c r="V994" s="319"/>
      <c r="W994" s="288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220"/>
      <c r="AH994" s="308"/>
      <c r="AI994" s="220"/>
      <c r="AJ994" s="220"/>
      <c r="AK994" s="220"/>
      <c r="AL994" s="220"/>
      <c r="AM994" s="220"/>
      <c r="AN994" s="220"/>
      <c r="AO994" s="220"/>
      <c r="AP994" s="220"/>
      <c r="AQ994" s="220"/>
      <c r="AR994" s="220"/>
      <c r="AS994" s="220"/>
      <c r="AT994" s="220"/>
      <c r="AU994" s="220"/>
      <c r="AV994" s="220"/>
      <c r="AW994" s="220"/>
      <c r="AX994" s="220"/>
      <c r="AY994" s="220"/>
      <c r="AZ994" s="220"/>
      <c r="BA994" s="220"/>
    </row>
    <row r="995">
      <c r="A995" s="240"/>
      <c r="B995" s="311"/>
      <c r="C995" s="311"/>
      <c r="D995" s="312"/>
      <c r="E995" s="311"/>
      <c r="F995" s="311"/>
      <c r="G995" s="312"/>
      <c r="H995" s="312"/>
      <c r="I995" s="313"/>
      <c r="J995" s="314"/>
      <c r="K995" s="313"/>
      <c r="L995" s="313"/>
      <c r="M995" s="313"/>
      <c r="N995" s="315"/>
      <c r="O995" s="313"/>
      <c r="P995" s="313"/>
      <c r="Q995" s="313"/>
      <c r="R995" s="313"/>
      <c r="S995" s="316"/>
      <c r="T995" s="317"/>
      <c r="U995" s="318"/>
      <c r="V995" s="319"/>
      <c r="W995" s="288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220"/>
      <c r="AH995" s="308"/>
      <c r="AI995" s="220"/>
      <c r="AJ995" s="220"/>
      <c r="AK995" s="220"/>
      <c r="AL995" s="220"/>
      <c r="AM995" s="220"/>
      <c r="AN995" s="220"/>
      <c r="AO995" s="220"/>
      <c r="AP995" s="220"/>
      <c r="AQ995" s="220"/>
      <c r="AR995" s="220"/>
      <c r="AS995" s="220"/>
      <c r="AT995" s="220"/>
      <c r="AU995" s="220"/>
      <c r="AV995" s="220"/>
      <c r="AW995" s="220"/>
      <c r="AX995" s="220"/>
      <c r="AY995" s="220"/>
      <c r="AZ995" s="220"/>
      <c r="BA995" s="220"/>
    </row>
    <row r="996">
      <c r="A996" s="240"/>
      <c r="B996" s="311"/>
      <c r="C996" s="311"/>
      <c r="D996" s="312"/>
      <c r="E996" s="311"/>
      <c r="F996" s="311"/>
      <c r="G996" s="312"/>
      <c r="H996" s="312"/>
      <c r="I996" s="313"/>
      <c r="J996" s="314"/>
      <c r="K996" s="313"/>
      <c r="L996" s="313"/>
      <c r="M996" s="313"/>
      <c r="N996" s="315"/>
      <c r="O996" s="313"/>
      <c r="P996" s="313"/>
      <c r="Q996" s="313"/>
      <c r="R996" s="313"/>
      <c r="S996" s="316"/>
      <c r="T996" s="317"/>
      <c r="U996" s="318"/>
      <c r="V996" s="319"/>
      <c r="W996" s="288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220"/>
      <c r="AH996" s="308"/>
      <c r="AI996" s="220"/>
      <c r="AJ996" s="220"/>
      <c r="AK996" s="220"/>
      <c r="AL996" s="220"/>
      <c r="AM996" s="220"/>
      <c r="AN996" s="220"/>
      <c r="AO996" s="220"/>
      <c r="AP996" s="220"/>
      <c r="AQ996" s="220"/>
      <c r="AR996" s="220"/>
      <c r="AS996" s="220"/>
      <c r="AT996" s="220"/>
      <c r="AU996" s="220"/>
      <c r="AV996" s="220"/>
      <c r="AW996" s="220"/>
      <c r="AX996" s="220"/>
      <c r="AY996" s="220"/>
      <c r="AZ996" s="220"/>
      <c r="BA996" s="220"/>
    </row>
    <row r="997">
      <c r="A997" s="240"/>
      <c r="B997" s="311"/>
      <c r="C997" s="311"/>
      <c r="D997" s="312"/>
      <c r="E997" s="311"/>
      <c r="F997" s="311"/>
      <c r="G997" s="312"/>
      <c r="H997" s="312"/>
      <c r="I997" s="313"/>
      <c r="J997" s="314"/>
      <c r="K997" s="313"/>
      <c r="L997" s="313"/>
      <c r="M997" s="313"/>
      <c r="N997" s="315"/>
      <c r="O997" s="313"/>
      <c r="P997" s="313"/>
      <c r="Q997" s="313"/>
      <c r="R997" s="313"/>
      <c r="S997" s="316"/>
      <c r="T997" s="317"/>
      <c r="U997" s="318"/>
      <c r="V997" s="319"/>
      <c r="W997" s="288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220"/>
      <c r="AH997" s="308"/>
      <c r="AI997" s="220"/>
      <c r="AJ997" s="220"/>
      <c r="AK997" s="220"/>
      <c r="AL997" s="220"/>
      <c r="AM997" s="220"/>
      <c r="AN997" s="220"/>
      <c r="AO997" s="220"/>
      <c r="AP997" s="220"/>
      <c r="AQ997" s="220"/>
      <c r="AR997" s="220"/>
      <c r="AS997" s="220"/>
      <c r="AT997" s="220"/>
      <c r="AU997" s="220"/>
      <c r="AV997" s="220"/>
      <c r="AW997" s="220"/>
      <c r="AX997" s="220"/>
      <c r="AY997" s="220"/>
      <c r="AZ997" s="220"/>
      <c r="BA997" s="220"/>
    </row>
  </sheetData>
  <mergeCells count="1">
    <mergeCell ref="B1:R1"/>
  </mergeCells>
  <conditionalFormatting sqref="P2:S2">
    <cfRule type="containsBlanks" dxfId="0" priority="1">
      <formula>LEN(TRIM(P2))=0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20" width="11.5"/>
    <col customWidth="1" min="21" max="22" width="10.25"/>
    <col customWidth="1" min="23" max="23" width="12.5"/>
    <col customWidth="1" min="24" max="24" width="1.75"/>
    <col customWidth="1" min="25" max="25" width="14.38"/>
    <col customWidth="1" min="26" max="26" width="14.88"/>
    <col customWidth="1" min="27" max="27" width="15.25"/>
    <col customWidth="1" min="29" max="29" width="13.38"/>
    <col customWidth="1" min="41" max="54" width="10.75"/>
  </cols>
  <sheetData>
    <row r="1" ht="27.0" customHeight="1">
      <c r="A1" s="221" t="s">
        <v>103</v>
      </c>
      <c r="B1" s="320" t="s">
        <v>128</v>
      </c>
      <c r="V1" s="285" t="s">
        <v>61</v>
      </c>
      <c r="W1" s="286"/>
      <c r="X1" s="288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89"/>
      <c r="AZ1" s="289"/>
      <c r="BA1" s="289"/>
      <c r="BB1" s="289"/>
    </row>
    <row r="2">
      <c r="A2" s="290" t="s">
        <v>66</v>
      </c>
      <c r="B2" s="321" t="s">
        <v>127</v>
      </c>
      <c r="C2" s="322" t="s">
        <v>25</v>
      </c>
      <c r="D2" s="323" t="s">
        <v>6</v>
      </c>
      <c r="E2" s="324" t="s">
        <v>7</v>
      </c>
      <c r="F2" s="325" t="s">
        <v>33</v>
      </c>
      <c r="G2" s="326" t="s">
        <v>36</v>
      </c>
      <c r="H2" s="327" t="s">
        <v>12</v>
      </c>
      <c r="I2" s="328" t="s">
        <v>13</v>
      </c>
      <c r="J2" s="329" t="s">
        <v>14</v>
      </c>
      <c r="K2" s="330" t="s">
        <v>15</v>
      </c>
      <c r="L2" s="331" t="s">
        <v>16</v>
      </c>
      <c r="M2" s="332" t="s">
        <v>17</v>
      </c>
      <c r="N2" s="333" t="s">
        <v>18</v>
      </c>
      <c r="O2" s="334" t="s">
        <v>19</v>
      </c>
      <c r="P2" s="335" t="s">
        <v>20</v>
      </c>
      <c r="Q2" s="336" t="s">
        <v>21</v>
      </c>
      <c r="R2" s="337" t="s">
        <v>22</v>
      </c>
      <c r="S2" s="338" t="s">
        <v>23</v>
      </c>
      <c r="T2" s="339" t="s">
        <v>24</v>
      </c>
      <c r="U2" s="340" t="s">
        <v>11</v>
      </c>
      <c r="V2" s="14" t="s">
        <v>11</v>
      </c>
      <c r="W2" s="286" t="s">
        <v>127</v>
      </c>
      <c r="X2" s="288"/>
      <c r="Y2" s="289"/>
      <c r="Z2" s="298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89"/>
      <c r="AZ2" s="289"/>
      <c r="BA2" s="289"/>
      <c r="BB2" s="289"/>
    </row>
    <row r="3">
      <c r="A3" s="290">
        <f>ARBITRAGES!E3</f>
        <v>45515</v>
      </c>
      <c r="B3" s="302">
        <f t="shared" ref="B3:B478" si="1">IF(W3="","",1-V3/W3)</f>
        <v>0.4408611299</v>
      </c>
      <c r="C3" s="341">
        <f>IF(A3="","",'Historique détail'!B3/$W3)</f>
        <v>0.1612944048</v>
      </c>
      <c r="D3" s="341">
        <f>IF(B3="","",'Historique détail'!C3/$W3)</f>
        <v>0.1312717637</v>
      </c>
      <c r="E3" s="341">
        <f>IF(C3="","",'Historique détail'!D3/$W3)</f>
        <v>0</v>
      </c>
      <c r="F3" s="341">
        <f>IF(D3="","",'Historique détail'!E3/$W3)</f>
        <v>0.1260642498</v>
      </c>
      <c r="G3" s="341">
        <f>IF(E3="","",'Historique détail'!F3/$W3)</f>
        <v>0</v>
      </c>
      <c r="H3" s="341">
        <f>IF(F3="","",'Historique détail'!G3/$W3)</f>
        <v>0</v>
      </c>
      <c r="I3" s="341">
        <f>IF(G3="","",'Historique détail'!H3/$W3)</f>
        <v>0</v>
      </c>
      <c r="J3" s="341">
        <f>IF(H3="","",'Historique détail'!I3/$W3)</f>
        <v>0</v>
      </c>
      <c r="K3" s="341">
        <f>IF(I3="","",'Historique détail'!J3/$W3)</f>
        <v>0.01609729552</v>
      </c>
      <c r="L3" s="341">
        <f>IF(J3="","",'Historique détail'!K3/$W3)</f>
        <v>0.006133416106</v>
      </c>
      <c r="M3" s="341">
        <f>IF(K3="","",'Historique détail'!L3/$W3)</f>
        <v>0</v>
      </c>
      <c r="N3" s="341">
        <f>IF(L3="","",'Historique détail'!M3/$W3)</f>
        <v>0</v>
      </c>
      <c r="O3" s="341">
        <f>IF(M3="","",'Historique détail'!N3/$W3)</f>
        <v>0</v>
      </c>
      <c r="P3" s="341">
        <f>IF(N3="","",'Historique détail'!O3/$W3)</f>
        <v>0</v>
      </c>
      <c r="Q3" s="341">
        <f>IF(O3="","",'Historique détail'!P3/$W3)</f>
        <v>0</v>
      </c>
      <c r="R3" s="341">
        <f>IF(P3="","",'Historique détail'!Q3/$W3)</f>
        <v>0</v>
      </c>
      <c r="S3" s="341">
        <f>IF(Q3="","",'Historique détail'!R3/$W3)</f>
        <v>0</v>
      </c>
      <c r="T3" s="341">
        <f>IF(R3="","",'Historique détail'!S3/$W3)</f>
        <v>0</v>
      </c>
      <c r="U3" s="340">
        <f t="shared" ref="U3:U478" si="2">IF(T3="","",V3/W3)</f>
        <v>0.5591388701</v>
      </c>
      <c r="V3" s="14">
        <f>ARBITRAGES!M3</f>
        <v>21550</v>
      </c>
      <c r="W3" s="342">
        <f>IF(V3="","",'Historique détail'!U3)</f>
        <v>38541.40921</v>
      </c>
      <c r="X3" s="288"/>
      <c r="Y3" s="289"/>
      <c r="Z3" s="298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89"/>
      <c r="AL3" s="289"/>
      <c r="AM3" s="289"/>
      <c r="AN3" s="289"/>
      <c r="AO3" s="289"/>
      <c r="AP3" s="289"/>
      <c r="AQ3" s="289"/>
      <c r="AR3" s="289"/>
      <c r="AS3" s="289"/>
      <c r="AT3" s="289"/>
      <c r="AU3" s="289"/>
      <c r="AV3" s="289"/>
      <c r="AW3" s="289"/>
      <c r="AX3" s="289"/>
      <c r="AY3" s="289"/>
      <c r="AZ3" s="289"/>
      <c r="BA3" s="289"/>
      <c r="BB3" s="289"/>
    </row>
    <row r="4">
      <c r="A4" s="290">
        <f>IF(ARBITRAGES!E4="","",ARBITRAGES!E4)</f>
        <v>45515</v>
      </c>
      <c r="B4" s="302">
        <f t="shared" si="1"/>
        <v>0.641471323</v>
      </c>
      <c r="C4" s="341">
        <f>IF(A4="","",'Historique détail'!B4/$W4)</f>
        <v>0.3665169424</v>
      </c>
      <c r="D4" s="341">
        <f>IF(B4="","",'Historique détail'!C4/$W4)</f>
        <v>0.1291060174</v>
      </c>
      <c r="E4" s="341">
        <f>IF(C4="","",'Historique détail'!D4/$W4)</f>
        <v>0</v>
      </c>
      <c r="F4" s="341">
        <f>IF(D4="","",'Historique détail'!E4/$W4)</f>
        <v>0.123984418</v>
      </c>
      <c r="G4" s="341">
        <f>IF(E4="","",'Historique détail'!F4/$W4)</f>
        <v>0</v>
      </c>
      <c r="H4" s="341">
        <f>IF(F4="","",'Historique détail'!G4/$W4)</f>
        <v>0</v>
      </c>
      <c r="I4" s="341">
        <f>IF(G4="","",'Historique détail'!H4/$W4)</f>
        <v>0</v>
      </c>
      <c r="J4" s="341">
        <f>IF(H4="","",'Historique détail'!I4/$W4)</f>
        <v>0</v>
      </c>
      <c r="K4" s="341">
        <f>IF(I4="","",'Historique détail'!J4/$W4)</f>
        <v>0.01583171931</v>
      </c>
      <c r="L4" s="341">
        <f>IF(J4="","",'Historique détail'!K4/$W4)</f>
        <v>0.006032225852</v>
      </c>
      <c r="M4" s="341">
        <f>IF(K4="","",'Historique détail'!L4/$W4)</f>
        <v>0</v>
      </c>
      <c r="N4" s="341">
        <f>IF(L4="","",'Historique détail'!M4/$W4)</f>
        <v>0</v>
      </c>
      <c r="O4" s="341">
        <f>IF(M4="","",'Historique détail'!N4/$W4)</f>
        <v>0</v>
      </c>
      <c r="P4" s="341">
        <f>IF(N4="","",'Historique détail'!O4/$W4)</f>
        <v>0</v>
      </c>
      <c r="Q4" s="341">
        <f>IF(O4="","",'Historique détail'!P4/$W4)</f>
        <v>0</v>
      </c>
      <c r="R4" s="341">
        <f>IF(P4="","",'Historique détail'!Q4/$W4)</f>
        <v>0</v>
      </c>
      <c r="S4" s="341">
        <f>IF(Q4="","",'Historique détail'!R4/$W4)</f>
        <v>0</v>
      </c>
      <c r="T4" s="341">
        <f>IF(R4="","",'Historique détail'!S4/$W4)</f>
        <v>0</v>
      </c>
      <c r="U4" s="340">
        <f t="shared" si="2"/>
        <v>0.358528677</v>
      </c>
      <c r="V4" s="14">
        <f>IF(A4="","",ARBITRAGES!M4)</f>
        <v>14050</v>
      </c>
      <c r="W4" s="342">
        <f>IF(V4="","",'Historique détail'!U4)</f>
        <v>39187.93921</v>
      </c>
      <c r="X4" s="288"/>
      <c r="Y4" s="289"/>
      <c r="Z4" s="303"/>
      <c r="AA4" s="289"/>
      <c r="AB4" s="289"/>
      <c r="AC4" s="289"/>
      <c r="AD4" s="289"/>
      <c r="AE4" s="289"/>
      <c r="AF4" s="289"/>
      <c r="AG4" s="289"/>
      <c r="AH4" s="289"/>
      <c r="AI4" s="289"/>
      <c r="AJ4" s="289"/>
      <c r="AK4" s="289"/>
      <c r="AL4" s="289"/>
      <c r="AM4" s="289"/>
      <c r="AN4" s="289"/>
      <c r="AO4" s="289"/>
      <c r="AP4" s="289"/>
      <c r="AQ4" s="289"/>
      <c r="AR4" s="289"/>
      <c r="AS4" s="289"/>
      <c r="AT4" s="289"/>
      <c r="AU4" s="289"/>
      <c r="AV4" s="289"/>
      <c r="AW4" s="289"/>
      <c r="AX4" s="289"/>
      <c r="AY4" s="289"/>
      <c r="AZ4" s="289"/>
      <c r="BA4" s="289"/>
      <c r="BB4" s="289"/>
    </row>
    <row r="5">
      <c r="A5" s="290">
        <f>IF(ARBITRAGES!E5="","",ARBITRAGES!E5)</f>
        <v>45516</v>
      </c>
      <c r="B5" s="302">
        <f t="shared" si="1"/>
        <v>0.7124272388</v>
      </c>
      <c r="C5" s="341">
        <f>IF(A5="","",'Historique détail'!B5/$W5)</f>
        <v>0.3548073309</v>
      </c>
      <c r="D5" s="341">
        <f>IF(B5="","",'Historique détail'!C5/$W5)</f>
        <v>0.214031532</v>
      </c>
      <c r="E5" s="341">
        <f>IF(C5="","",'Historique détail'!D5/$W5)</f>
        <v>0</v>
      </c>
      <c r="F5" s="341">
        <f>IF(D5="","",'Historique détail'!E5/$W5)</f>
        <v>0.1208914988</v>
      </c>
      <c r="G5" s="341">
        <f>IF(E5="","",'Historique détail'!F5/$W5)</f>
        <v>0</v>
      </c>
      <c r="H5" s="341">
        <f>IF(F5="","",'Historique détail'!G5/$W5)</f>
        <v>0</v>
      </c>
      <c r="I5" s="341">
        <f>IF(G5="","",'Historique détail'!H5/$W5)</f>
        <v>0</v>
      </c>
      <c r="J5" s="341">
        <f>IF(H5="","",'Historique détail'!I5/$W5)</f>
        <v>0</v>
      </c>
      <c r="K5" s="341">
        <f>IF(I5="","",'Historique détail'!J5/$W5)</f>
        <v>0.01638612802</v>
      </c>
      <c r="L5" s="341">
        <f>IF(J5="","",'Historique détail'!K5/$W5)</f>
        <v>0.006310749111</v>
      </c>
      <c r="M5" s="341">
        <f>IF(K5="","",'Historique détail'!L5/$W5)</f>
        <v>0</v>
      </c>
      <c r="N5" s="341">
        <f>IF(L5="","",'Historique détail'!M5/$W5)</f>
        <v>0</v>
      </c>
      <c r="O5" s="341">
        <f>IF(M5="","",'Historique détail'!N5/$W5)</f>
        <v>0</v>
      </c>
      <c r="P5" s="341">
        <f>IF(N5="","",'Historique détail'!O5/$W5)</f>
        <v>0</v>
      </c>
      <c r="Q5" s="341">
        <f>IF(O5="","",'Historique détail'!P5/$W5)</f>
        <v>0</v>
      </c>
      <c r="R5" s="341">
        <f>IF(P5="","",'Historique détail'!Q5/$W5)</f>
        <v>0</v>
      </c>
      <c r="S5" s="341">
        <f>IF(Q5="","",'Historique détail'!R5/$W5)</f>
        <v>0</v>
      </c>
      <c r="T5" s="341">
        <f>IF(R5="","",'Historique détail'!S5/$W5)</f>
        <v>0</v>
      </c>
      <c r="U5" s="340">
        <f t="shared" si="2"/>
        <v>0.2875727612</v>
      </c>
      <c r="V5" s="14">
        <f>IF(A5="","",ARBITRAGES!M5)</f>
        <v>11050</v>
      </c>
      <c r="W5" s="342">
        <f>IF(V5="","",'Historique détail'!U5)</f>
        <v>38425.05791</v>
      </c>
      <c r="X5" s="288"/>
      <c r="Y5" s="289"/>
      <c r="Z5" s="298"/>
      <c r="AA5" s="289"/>
      <c r="AB5" s="289"/>
      <c r="AC5" s="289"/>
      <c r="AD5" s="289"/>
      <c r="AE5" s="289"/>
      <c r="AF5" s="289"/>
      <c r="AG5" s="289"/>
      <c r="AH5" s="289"/>
      <c r="AI5" s="289"/>
      <c r="AJ5" s="289"/>
      <c r="AK5" s="289"/>
      <c r="AL5" s="289"/>
      <c r="AM5" s="289"/>
      <c r="AN5" s="289"/>
      <c r="AO5" s="289"/>
      <c r="AP5" s="289"/>
      <c r="AQ5" s="289"/>
      <c r="AR5" s="289"/>
      <c r="AS5" s="289"/>
      <c r="AT5" s="289"/>
      <c r="AU5" s="289"/>
      <c r="AV5" s="289"/>
      <c r="AW5" s="289"/>
      <c r="AX5" s="289"/>
      <c r="AY5" s="289"/>
      <c r="AZ5" s="289"/>
      <c r="BA5" s="289"/>
      <c r="BB5" s="289"/>
    </row>
    <row r="6">
      <c r="A6" s="290">
        <f>IF(ARBITRAGES!E6="","",ARBITRAGES!E6)</f>
        <v>45517</v>
      </c>
      <c r="B6" s="302">
        <f t="shared" si="1"/>
        <v>0.744828607</v>
      </c>
      <c r="C6" s="341">
        <f>IF(A6="","",'Historique détail'!B6/$W6)</f>
        <v>0.3584532778</v>
      </c>
      <c r="D6" s="341">
        <f>IF(B6="","",'Historique détail'!C6/$W6)</f>
        <v>0.2145035228</v>
      </c>
      <c r="E6" s="341">
        <f>IF(C6="","",'Historique détail'!D6/$W6)</f>
        <v>0</v>
      </c>
      <c r="F6" s="341">
        <f>IF(D6="","",'Historique détail'!E6/$W6)</f>
        <v>0.149174653</v>
      </c>
      <c r="G6" s="341">
        <f>IF(E6="","",'Historique détail'!F6/$W6)</f>
        <v>0</v>
      </c>
      <c r="H6" s="341">
        <f>IF(F6="","",'Historique détail'!G6/$W6)</f>
        <v>0</v>
      </c>
      <c r="I6" s="341">
        <f>IF(G6="","",'Historique détail'!H6/$W6)</f>
        <v>0</v>
      </c>
      <c r="J6" s="341">
        <f>IF(H6="","",'Historique détail'!I6/$W6)</f>
        <v>0</v>
      </c>
      <c r="K6" s="341">
        <f>IF(I6="","",'Historique détail'!J6/$W6)</f>
        <v>0.01646663224</v>
      </c>
      <c r="L6" s="341">
        <f>IF(J6="","",'Historique détail'!K6/$W6)</f>
        <v>0.006230521192</v>
      </c>
      <c r="M6" s="341">
        <f>IF(K6="","",'Historique détail'!L6/$W6)</f>
        <v>0</v>
      </c>
      <c r="N6" s="341">
        <f>IF(L6="","",'Historique détail'!M6/$W6)</f>
        <v>0</v>
      </c>
      <c r="O6" s="341">
        <f>IF(M6="","",'Historique détail'!N6/$W6)</f>
        <v>0</v>
      </c>
      <c r="P6" s="341">
        <f>IF(N6="","",'Historique détail'!O6/$W6)</f>
        <v>0</v>
      </c>
      <c r="Q6" s="341">
        <f>IF(O6="","",'Historique détail'!P6/$W6)</f>
        <v>0</v>
      </c>
      <c r="R6" s="341">
        <f>IF(P6="","",'Historique détail'!Q6/$W6)</f>
        <v>0</v>
      </c>
      <c r="S6" s="341">
        <f>IF(Q6="","",'Historique détail'!R6/$W6)</f>
        <v>0</v>
      </c>
      <c r="T6" s="341">
        <f>IF(R6="","",'Historique détail'!S6/$W6)</f>
        <v>0</v>
      </c>
      <c r="U6" s="340">
        <f t="shared" si="2"/>
        <v>0.255171393</v>
      </c>
      <c r="V6" s="14">
        <f>IF(A6="","",ARBITRAGES!M6)</f>
        <v>9900</v>
      </c>
      <c r="W6" s="342">
        <f>IF(V6="","",'Historique détail'!U6)</f>
        <v>38797.4525</v>
      </c>
      <c r="X6" s="288"/>
      <c r="Y6" s="289"/>
      <c r="Z6" s="298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  <c r="AL6" s="289"/>
      <c r="AM6" s="289"/>
      <c r="AN6" s="289"/>
      <c r="AO6" s="289"/>
      <c r="AP6" s="289"/>
      <c r="AQ6" s="289"/>
      <c r="AR6" s="289"/>
      <c r="AS6" s="289"/>
      <c r="AT6" s="289"/>
      <c r="AU6" s="289"/>
      <c r="AV6" s="289"/>
      <c r="AW6" s="289"/>
      <c r="AX6" s="289"/>
      <c r="AY6" s="289"/>
      <c r="AZ6" s="289"/>
      <c r="BA6" s="289"/>
      <c r="BB6" s="289"/>
    </row>
    <row r="7">
      <c r="A7" s="290">
        <f>IF(ARBITRAGES!E7="","",ARBITRAGES!E7)</f>
        <v>45518</v>
      </c>
      <c r="B7" s="302">
        <f t="shared" si="1"/>
        <v>0.7665926892</v>
      </c>
      <c r="C7" s="341">
        <f>IF(A7="","",'Historique détail'!B7/$W7)</f>
        <v>0.3582795528</v>
      </c>
      <c r="D7" s="341">
        <f>IF(B7="","",'Historique détail'!C7/$W7)</f>
        <v>0.2143995633</v>
      </c>
      <c r="E7" s="341">
        <f>IF(C7="","",'Historique détail'!D7/$W7)</f>
        <v>0</v>
      </c>
      <c r="F7" s="341">
        <f>IF(D7="","",'Historique détail'!E7/$W7)</f>
        <v>0.1491023552</v>
      </c>
      <c r="G7" s="341">
        <f>IF(E7="","",'Historique détail'!F7/$W7)</f>
        <v>0.02220460941</v>
      </c>
      <c r="H7" s="341">
        <f>IF(F7="","",'Historique détail'!G7/$W7)</f>
        <v>0</v>
      </c>
      <c r="I7" s="341">
        <f>IF(G7="","",'Historique détail'!H7/$W7)</f>
        <v>0</v>
      </c>
      <c r="J7" s="341">
        <f>IF(H7="","",'Historique détail'!I7/$W7)</f>
        <v>0</v>
      </c>
      <c r="K7" s="341">
        <f>IF(I7="","",'Historique détail'!J7/$W7)</f>
        <v>0.01633981662</v>
      </c>
      <c r="L7" s="341">
        <f>IF(J7="","",'Historique détail'!K7/$W7)</f>
        <v>0.00626679179</v>
      </c>
      <c r="M7" s="341">
        <f>IF(K7="","",'Historique détail'!L7/$W7)</f>
        <v>0</v>
      </c>
      <c r="N7" s="341">
        <f>IF(L7="","",'Historique détail'!M7/$W7)</f>
        <v>0</v>
      </c>
      <c r="O7" s="341">
        <f>IF(M7="","",'Historique détail'!N7/$W7)</f>
        <v>0</v>
      </c>
      <c r="P7" s="341">
        <f>IF(N7="","",'Historique détail'!O7/$W7)</f>
        <v>0</v>
      </c>
      <c r="Q7" s="341">
        <f>IF(O7="","",'Historique détail'!P7/$W7)</f>
        <v>0</v>
      </c>
      <c r="R7" s="341">
        <f>IF(P7="","",'Historique détail'!Q7/$W7)</f>
        <v>0</v>
      </c>
      <c r="S7" s="341">
        <f>IF(Q7="","",'Historique détail'!R7/$W7)</f>
        <v>0</v>
      </c>
      <c r="T7" s="341">
        <f>IF(R7="","",'Historique détail'!S7/$W7)</f>
        <v>0</v>
      </c>
      <c r="U7" s="340">
        <f t="shared" si="2"/>
        <v>0.2334073108</v>
      </c>
      <c r="V7" s="14">
        <f>IF(A7="","",ARBITRAGES!M7)</f>
        <v>9060</v>
      </c>
      <c r="W7" s="342">
        <f>IF(V7="","",'Historique détail'!U7)</f>
        <v>38816.26487</v>
      </c>
      <c r="X7" s="288"/>
      <c r="Y7" s="289"/>
      <c r="Z7" s="303"/>
      <c r="AA7" s="289"/>
      <c r="AB7" s="289"/>
      <c r="AC7" s="289"/>
      <c r="AD7" s="289"/>
      <c r="AE7" s="289"/>
      <c r="AF7" s="289"/>
      <c r="AG7" s="289"/>
      <c r="AH7" s="289"/>
      <c r="AI7" s="289"/>
      <c r="AJ7" s="289"/>
      <c r="AK7" s="289"/>
      <c r="AL7" s="289"/>
      <c r="AM7" s="289"/>
      <c r="AN7" s="289"/>
      <c r="AO7" s="289"/>
      <c r="AP7" s="289"/>
      <c r="AQ7" s="289"/>
      <c r="AR7" s="289"/>
      <c r="AS7" s="289"/>
      <c r="AT7" s="289"/>
      <c r="AU7" s="289"/>
      <c r="AV7" s="289"/>
      <c r="AW7" s="289"/>
      <c r="AX7" s="289"/>
      <c r="AY7" s="289"/>
      <c r="AZ7" s="289"/>
      <c r="BA7" s="289"/>
      <c r="BB7" s="289"/>
    </row>
    <row r="8">
      <c r="A8" s="290">
        <f>IF(ARBITRAGES!E8="","",ARBITRAGES!E8)</f>
        <v>45518</v>
      </c>
      <c r="B8" s="302">
        <f t="shared" si="1"/>
        <v>0.7746951199</v>
      </c>
      <c r="C8" s="341">
        <f>IF(A8="","",'Historique détail'!B8/$W8)</f>
        <v>0.3580950451</v>
      </c>
      <c r="D8" s="341">
        <f>IF(B8="","",'Historique détail'!C8/$W8)</f>
        <v>0.2142891512</v>
      </c>
      <c r="E8" s="341">
        <f>IF(C8="","",'Historique détail'!D8/$W8)</f>
        <v>0</v>
      </c>
      <c r="F8" s="341">
        <f>IF(D8="","",'Historique détail'!E8/$W8)</f>
        <v>0.1490255701</v>
      </c>
      <c r="G8" s="341">
        <f>IF(E8="","",'Historique détail'!F8/$W8)</f>
        <v>0.02219317442</v>
      </c>
      <c r="H8" s="341">
        <f>IF(F8="","",'Historique détail'!G8/$W8)</f>
        <v>0.008497212621</v>
      </c>
      <c r="I8" s="341">
        <f>IF(G8="","",'Historique détail'!H8/$W8)</f>
        <v>0</v>
      </c>
      <c r="J8" s="341">
        <f>IF(H8="","",'Historique détail'!I8/$W8)</f>
        <v>0</v>
      </c>
      <c r="K8" s="341">
        <f>IF(I8="","",'Historique détail'!J8/$W8)</f>
        <v>0.0163314019</v>
      </c>
      <c r="L8" s="341">
        <f>IF(J8="","",'Historique détail'!K8/$W8)</f>
        <v>0.006263564501</v>
      </c>
      <c r="M8" s="341">
        <f>IF(K8="","",'Historique détail'!L8/$W8)</f>
        <v>0</v>
      </c>
      <c r="N8" s="341">
        <f>IF(L8="","",'Historique détail'!M8/$W8)</f>
        <v>0</v>
      </c>
      <c r="O8" s="341">
        <f>IF(M8="","",'Historique détail'!N8/$W8)</f>
        <v>0</v>
      </c>
      <c r="P8" s="341">
        <f>IF(N8="","",'Historique détail'!O8/$W8)</f>
        <v>0</v>
      </c>
      <c r="Q8" s="341">
        <f>IF(O8="","",'Historique détail'!P8/$W8)</f>
        <v>0</v>
      </c>
      <c r="R8" s="341">
        <f>IF(P8="","",'Historique détail'!Q8/$W8)</f>
        <v>0</v>
      </c>
      <c r="S8" s="341">
        <f>IF(Q8="","",'Historique détail'!R8/$W8)</f>
        <v>0</v>
      </c>
      <c r="T8" s="341">
        <f>IF(R8="","",'Historique détail'!S8/$W8)</f>
        <v>0</v>
      </c>
      <c r="U8" s="340">
        <f t="shared" si="2"/>
        <v>0.2253048801</v>
      </c>
      <c r="V8" s="14">
        <f>IF(A8="","",ARBITRAGES!M8)</f>
        <v>8750</v>
      </c>
      <c r="W8" s="342">
        <f>IF(V8="","",'Historique détail'!U8)</f>
        <v>38836.26487</v>
      </c>
      <c r="X8" s="288"/>
      <c r="Y8" s="289"/>
      <c r="Z8" s="303"/>
      <c r="AA8" s="289"/>
      <c r="AB8" s="289"/>
      <c r="AC8" s="289"/>
      <c r="AD8" s="289"/>
      <c r="AE8" s="289"/>
      <c r="AF8" s="289"/>
      <c r="AG8" s="289"/>
      <c r="AH8" s="289"/>
      <c r="AI8" s="289"/>
      <c r="AJ8" s="289"/>
      <c r="AK8" s="289"/>
      <c r="AL8" s="289"/>
      <c r="AM8" s="289"/>
      <c r="AN8" s="289"/>
      <c r="AO8" s="289"/>
      <c r="AP8" s="289"/>
      <c r="AQ8" s="289"/>
      <c r="AR8" s="289"/>
      <c r="AS8" s="289"/>
      <c r="AT8" s="289"/>
      <c r="AU8" s="289"/>
      <c r="AV8" s="289"/>
      <c r="AW8" s="289"/>
      <c r="AX8" s="289"/>
      <c r="AY8" s="289"/>
      <c r="AZ8" s="289"/>
      <c r="BA8" s="289"/>
      <c r="BB8" s="289"/>
    </row>
    <row r="9">
      <c r="A9" s="290">
        <f>IF(ARBITRAGES!E9="","",ARBITRAGES!E9)</f>
        <v>45519</v>
      </c>
      <c r="B9" s="302">
        <f t="shared" si="1"/>
        <v>0.8421034847</v>
      </c>
      <c r="C9" s="341">
        <f>IF(A9="","",'Historique détail'!B9/$W9)</f>
        <v>0.3479807501</v>
      </c>
      <c r="D9" s="341">
        <f>IF(B9="","",'Historique détail'!C9/$W9)</f>
        <v>0.2136068471</v>
      </c>
      <c r="E9" s="341">
        <f>IF(C9="","",'Historique détail'!D9/$W9)</f>
        <v>0.07259259804</v>
      </c>
      <c r="F9" s="341">
        <f>IF(D9="","",'Historique détail'!E9/$W9)</f>
        <v>0.1552040288</v>
      </c>
      <c r="G9" s="341">
        <f>IF(E9="","",'Historique détail'!F9/$W9)</f>
        <v>0.02155287434</v>
      </c>
      <c r="H9" s="341">
        <f>IF(F9="","",'Historique détail'!G9/$W9)</f>
        <v>0.008579044</v>
      </c>
      <c r="I9" s="341">
        <f>IF(G9="","",'Historique détail'!H9/$W9)</f>
        <v>0</v>
      </c>
      <c r="J9" s="341">
        <f>IF(H9="","",'Historique détail'!I9/$W9)</f>
        <v>0</v>
      </c>
      <c r="K9" s="341">
        <f>IF(I9="","",'Historique détail'!J9/$W9)</f>
        <v>0.0162661329</v>
      </c>
      <c r="L9" s="341">
        <f>IF(J9="","",'Historique détail'!K9/$W9)</f>
        <v>0.006321209358</v>
      </c>
      <c r="M9" s="341">
        <f>IF(K9="","",'Historique détail'!L9/$W9)</f>
        <v>0</v>
      </c>
      <c r="N9" s="341">
        <f>IF(L9="","",'Historique détail'!M9/$W9)</f>
        <v>0</v>
      </c>
      <c r="O9" s="341">
        <f>IF(M9="","",'Historique détail'!N9/$W9)</f>
        <v>0</v>
      </c>
      <c r="P9" s="341">
        <f>IF(N9="","",'Historique détail'!O9/$W9)</f>
        <v>0</v>
      </c>
      <c r="Q9" s="341">
        <f>IF(O9="","",'Historique détail'!P9/$W9)</f>
        <v>0</v>
      </c>
      <c r="R9" s="341">
        <f>IF(P9="","",'Historique détail'!Q9/$W9)</f>
        <v>0</v>
      </c>
      <c r="S9" s="341">
        <f>IF(Q9="","",'Historique détail'!R9/$W9)</f>
        <v>0</v>
      </c>
      <c r="T9" s="341">
        <f>IF(R9="","",'Historique détail'!S9/$W9)</f>
        <v>0</v>
      </c>
      <c r="U9" s="340">
        <f t="shared" si="2"/>
        <v>0.1578965153</v>
      </c>
      <c r="V9" s="14">
        <f>IF(A9="","",ARBITRAGES!M9)</f>
        <v>6000</v>
      </c>
      <c r="W9" s="342">
        <f>IF(V9="","",'Historique détail'!U9)</f>
        <v>37999.57198</v>
      </c>
      <c r="X9" s="288"/>
      <c r="Y9" s="289"/>
      <c r="Z9" s="304"/>
      <c r="AA9" s="289"/>
      <c r="AB9" s="289"/>
      <c r="AC9" s="289"/>
      <c r="AD9" s="289"/>
      <c r="AE9" s="289"/>
      <c r="AF9" s="289"/>
      <c r="AG9" s="289"/>
      <c r="AH9" s="289"/>
      <c r="AI9" s="289"/>
      <c r="AJ9" s="289"/>
      <c r="AK9" s="289"/>
      <c r="AL9" s="289"/>
      <c r="AM9" s="289"/>
      <c r="AN9" s="289"/>
      <c r="AO9" s="289"/>
      <c r="AP9" s="289"/>
      <c r="AQ9" s="289"/>
      <c r="AR9" s="289"/>
      <c r="AS9" s="289"/>
      <c r="AT9" s="289"/>
      <c r="AU9" s="289"/>
      <c r="AV9" s="289"/>
      <c r="AW9" s="289"/>
      <c r="AX9" s="289"/>
      <c r="AY9" s="289"/>
      <c r="AZ9" s="289"/>
      <c r="BA9" s="289"/>
      <c r="BB9" s="289"/>
    </row>
    <row r="10">
      <c r="A10" s="290">
        <f>IF(ARBITRAGES!E10="","",ARBITRAGES!E10)</f>
        <v>45522</v>
      </c>
      <c r="B10" s="302">
        <f t="shared" si="1"/>
        <v>0.8834849798</v>
      </c>
      <c r="C10" s="341">
        <f>IF(A10="","",'Historique détail'!B10/$W10)</f>
        <v>0.3953668907</v>
      </c>
      <c r="D10" s="341">
        <f>IF(B10="","",'Historique détail'!C10/$W10)</f>
        <v>0.2121490972</v>
      </c>
      <c r="E10" s="341">
        <f>IF(C10="","",'Historique détail'!D10/$W10)</f>
        <v>0.07318150189</v>
      </c>
      <c r="F10" s="341">
        <f>IF(D10="","",'Historique détail'!E10/$W10)</f>
        <v>0.1490393384</v>
      </c>
      <c r="G10" s="341">
        <f>IF(E10="","",'Historique détail'!F10/$W10)</f>
        <v>0.02275926728</v>
      </c>
      <c r="H10" s="341">
        <f>IF(F10="","",'Historique détail'!G10/$W10)</f>
        <v>0.008528899479</v>
      </c>
      <c r="I10" s="341">
        <f>IF(G10="","",'Historique détail'!H10/$W10)</f>
        <v>0</v>
      </c>
      <c r="J10" s="341">
        <f>IF(H10="","",'Historique détail'!I10/$W10)</f>
        <v>0</v>
      </c>
      <c r="K10" s="341">
        <f>IF(I10="","",'Historique détail'!J10/$W10)</f>
        <v>0.01594442601</v>
      </c>
      <c r="L10" s="341">
        <f>IF(J10="","",'Historique détail'!K10/$W10)</f>
        <v>0.006515558768</v>
      </c>
      <c r="M10" s="341">
        <f>IF(K10="","",'Historique détail'!L10/$W10)</f>
        <v>0</v>
      </c>
      <c r="N10" s="341">
        <f>IF(L10="","",'Historique détail'!M10/$W10)</f>
        <v>0</v>
      </c>
      <c r="O10" s="341">
        <f>IF(M10="","",'Historique détail'!N10/$W10)</f>
        <v>0</v>
      </c>
      <c r="P10" s="341">
        <f>IF(N10="","",'Historique détail'!O10/$W10)</f>
        <v>0</v>
      </c>
      <c r="Q10" s="341">
        <f>IF(O10="","",'Historique détail'!P10/$W10)</f>
        <v>0</v>
      </c>
      <c r="R10" s="341">
        <f>IF(P10="","",'Historique détail'!Q10/$W10)</f>
        <v>0</v>
      </c>
      <c r="S10" s="341">
        <f>IF(Q10="","",'Historique détail'!R10/$W10)</f>
        <v>0</v>
      </c>
      <c r="T10" s="341">
        <f>IF(R10="","",'Historique détail'!S10/$W10)</f>
        <v>0</v>
      </c>
      <c r="U10" s="340">
        <f t="shared" si="2"/>
        <v>0.1165150202</v>
      </c>
      <c r="V10" s="14">
        <f>IF(A10="","",ARBITRAGES!M10)</f>
        <v>4500</v>
      </c>
      <c r="W10" s="342">
        <f>IF(V10="","",'Historique détail'!U10)</f>
        <v>38621.63</v>
      </c>
      <c r="X10" s="288"/>
      <c r="Y10" s="289"/>
      <c r="Z10" s="305"/>
      <c r="AA10" s="289"/>
      <c r="AB10" s="289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289"/>
      <c r="AN10" s="289"/>
      <c r="AO10" s="289"/>
      <c r="AP10" s="289"/>
      <c r="AQ10" s="289"/>
      <c r="AR10" s="289"/>
      <c r="AS10" s="289"/>
      <c r="AT10" s="289"/>
      <c r="AU10" s="289"/>
      <c r="AV10" s="289"/>
      <c r="AW10" s="289"/>
      <c r="AX10" s="289"/>
      <c r="AY10" s="289"/>
      <c r="AZ10" s="289"/>
      <c r="BA10" s="289"/>
      <c r="BB10" s="289"/>
    </row>
    <row r="11">
      <c r="A11" s="290">
        <f>IF(ARBITRAGES!E11="","",ARBITRAGES!E11)</f>
        <v>45527</v>
      </c>
      <c r="B11" s="302">
        <f t="shared" si="1"/>
        <v>0.8790898776</v>
      </c>
      <c r="C11" s="341">
        <f>IF(A11="","",'Historique détail'!B11/$W11)</f>
        <v>0.4019893632</v>
      </c>
      <c r="D11" s="341">
        <f>IF(B11="","",'Historique détail'!C11/$W11)</f>
        <v>0.2094437683</v>
      </c>
      <c r="E11" s="341">
        <f>IF(C11="","",'Historique détail'!D11/$W11)</f>
        <v>0.0708520932</v>
      </c>
      <c r="F11" s="341">
        <f>IF(D11="","",'Historique détail'!E11/$W11)</f>
        <v>0.1460325933</v>
      </c>
      <c r="G11" s="341">
        <f>IF(E11="","",'Historique détail'!F11/$W11)</f>
        <v>0.01736913214</v>
      </c>
      <c r="H11" s="341">
        <f>IF(F11="","",'Historique détail'!G11/$W11)</f>
        <v>0.008869237876</v>
      </c>
      <c r="I11" s="341">
        <f>IF(G11="","",'Historique détail'!H11/$W11)</f>
        <v>0</v>
      </c>
      <c r="J11" s="341">
        <f>IF(H11="","",'Historique détail'!I11/$W11)</f>
        <v>0</v>
      </c>
      <c r="K11" s="341">
        <f>IF(I11="","",'Historique détail'!J11/$W11)</f>
        <v>0.01692171737</v>
      </c>
      <c r="L11" s="341">
        <f>IF(J11="","",'Historique détail'!K11/$W11)</f>
        <v>0.007611972248</v>
      </c>
      <c r="M11" s="341">
        <f>IF(K11="","",'Historique détail'!L11/$W11)</f>
        <v>0</v>
      </c>
      <c r="N11" s="341">
        <f>IF(L11="","",'Historique détail'!M11/$W11)</f>
        <v>0</v>
      </c>
      <c r="O11" s="341">
        <f>IF(M11="","",'Historique détail'!N11/$W11)</f>
        <v>0</v>
      </c>
      <c r="P11" s="341">
        <f>IF(N11="","",'Historique détail'!O11/$W11)</f>
        <v>0</v>
      </c>
      <c r="Q11" s="341">
        <f>IF(O11="","",'Historique détail'!P11/$W11)</f>
        <v>0</v>
      </c>
      <c r="R11" s="341">
        <f>IF(P11="","",'Historique détail'!Q11/$W11)</f>
        <v>0</v>
      </c>
      <c r="S11" s="341">
        <f>IF(Q11="","",'Historique détail'!R11/$W11)</f>
        <v>0</v>
      </c>
      <c r="T11" s="341">
        <f>IF(R11="","",'Historique détail'!S11/$W11)</f>
        <v>0</v>
      </c>
      <c r="U11" s="340">
        <f t="shared" si="2"/>
        <v>0.1209101224</v>
      </c>
      <c r="V11" s="14">
        <f>IF(A11="","",ARBITRAGES!M11)</f>
        <v>4845</v>
      </c>
      <c r="W11" s="342">
        <f>IF(V11="","",'Historique détail'!U11)</f>
        <v>40071.08671</v>
      </c>
      <c r="X11" s="288"/>
      <c r="Y11" s="289"/>
      <c r="Z11" s="304"/>
      <c r="AA11" s="289"/>
      <c r="AB11" s="289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</row>
    <row r="12">
      <c r="A12" s="290">
        <f>IF(ARBITRAGES!E12="","",ARBITRAGES!E12)</f>
        <v>45527</v>
      </c>
      <c r="B12" s="302">
        <f t="shared" si="1"/>
        <v>0.8418919989</v>
      </c>
      <c r="C12" s="341">
        <f>IF(A12="","",'Historique détail'!B12/$W12)</f>
        <v>0.4013912526</v>
      </c>
      <c r="D12" s="341">
        <f>IF(B12="","",'Historique détail'!C12/$W12)</f>
        <v>0.2091321417</v>
      </c>
      <c r="E12" s="341">
        <f>IF(C12="","",'Historique détail'!D12/$W12)</f>
        <v>0.07074667402</v>
      </c>
      <c r="F12" s="341">
        <f>IF(D12="","",'Historique détail'!E12/$W12)</f>
        <v>0.1099254134</v>
      </c>
      <c r="G12" s="341">
        <f>IF(E12="","",'Historique détail'!F12/$W12)</f>
        <v>0.01734328901</v>
      </c>
      <c r="H12" s="341">
        <f>IF(F12="","",'Historique détail'!G12/$W12)</f>
        <v>0.008856041543</v>
      </c>
      <c r="I12" s="341">
        <f>IF(G12="","",'Historique détail'!H12/$W12)</f>
        <v>0</v>
      </c>
      <c r="J12" s="341">
        <f>IF(H12="","",'Historique détail'!I12/$W12)</f>
        <v>0</v>
      </c>
      <c r="K12" s="341">
        <f>IF(I12="","",'Historique détail'!J12/$W12)</f>
        <v>0.01689653994</v>
      </c>
      <c r="L12" s="341">
        <f>IF(J12="","",'Historique détail'!K12/$W12)</f>
        <v>0.007600646572</v>
      </c>
      <c r="M12" s="341">
        <f>IF(K12="","",'Historique détail'!L12/$W12)</f>
        <v>0</v>
      </c>
      <c r="N12" s="341">
        <f>IF(L12="","",'Historique détail'!M12/$W12)</f>
        <v>0</v>
      </c>
      <c r="O12" s="341">
        <f>IF(M12="","",'Historique détail'!N12/$W12)</f>
        <v>0</v>
      </c>
      <c r="P12" s="341">
        <f>IF(N12="","",'Historique détail'!O12/$W12)</f>
        <v>0</v>
      </c>
      <c r="Q12" s="341">
        <f>IF(O12="","",'Historique détail'!P12/$W12)</f>
        <v>0</v>
      </c>
      <c r="R12" s="341">
        <f>IF(P12="","",'Historique détail'!Q12/$W12)</f>
        <v>0</v>
      </c>
      <c r="S12" s="341">
        <f>IF(Q12="","",'Historique détail'!R12/$W12)</f>
        <v>0</v>
      </c>
      <c r="T12" s="341">
        <f>IF(R12="","",'Historique détail'!S12/$W12)</f>
        <v>0</v>
      </c>
      <c r="U12" s="340">
        <f t="shared" si="2"/>
        <v>0.1581080011</v>
      </c>
      <c r="V12" s="14">
        <f>IF(A12="","",ARBITRAGES!M12)</f>
        <v>6345</v>
      </c>
      <c r="W12" s="342">
        <f>IF(V12="","",'Historique détail'!U12)</f>
        <v>40130.79639</v>
      </c>
      <c r="X12" s="288"/>
      <c r="Y12" s="289"/>
      <c r="Z12" s="304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  <c r="AN12" s="289"/>
      <c r="AO12" s="289"/>
      <c r="AP12" s="289"/>
      <c r="AQ12" s="289"/>
      <c r="AR12" s="289"/>
      <c r="AS12" s="289"/>
      <c r="AT12" s="289"/>
      <c r="AU12" s="289"/>
      <c r="AV12" s="289"/>
      <c r="AW12" s="289"/>
      <c r="AX12" s="289"/>
      <c r="AY12" s="289"/>
      <c r="AZ12" s="289"/>
      <c r="BA12" s="289"/>
      <c r="BB12" s="289"/>
    </row>
    <row r="13">
      <c r="A13" s="290">
        <f>IF(ARBITRAGES!E13="","",ARBITRAGES!E13)</f>
        <v>45528</v>
      </c>
      <c r="B13" s="302">
        <f t="shared" si="1"/>
        <v>0.8000184628</v>
      </c>
      <c r="C13" s="341">
        <f>IF(A13="","",'Historique détail'!B13/$W13)</f>
        <v>0.4001152347</v>
      </c>
      <c r="D13" s="341">
        <f>IF(B13="","",'Historique détail'!C13/$W13)</f>
        <v>0.2097243361</v>
      </c>
      <c r="E13" s="341">
        <f>IF(C13="","",'Historique détail'!D13/$W13)</f>
        <v>0.07021541671</v>
      </c>
      <c r="F13" s="341">
        <f>IF(D13="","",'Historique détail'!E13/$W13)</f>
        <v>0.06955529643</v>
      </c>
      <c r="G13" s="341">
        <f>IF(E13="","",'Historique détail'!F13/$W13)</f>
        <v>0.0167751693</v>
      </c>
      <c r="H13" s="341">
        <f>IF(F13="","",'Historique détail'!G13/$W13)</f>
        <v>0.008803295842</v>
      </c>
      <c r="I13" s="341">
        <f>IF(G13="","",'Historique détail'!H13/$W13)</f>
        <v>0</v>
      </c>
      <c r="J13" s="341">
        <f>IF(H13="","",'Historique détail'!I13/$W13)</f>
        <v>0</v>
      </c>
      <c r="K13" s="341">
        <f>IF(I13="","",'Historique détail'!J13/$W13)</f>
        <v>0.01737087679</v>
      </c>
      <c r="L13" s="341">
        <f>IF(J13="","",'Historique détail'!K13/$W13)</f>
        <v>0.007458836939</v>
      </c>
      <c r="M13" s="341">
        <f>IF(K13="","",'Historique détail'!L13/$W13)</f>
        <v>0</v>
      </c>
      <c r="N13" s="341">
        <f>IF(L13="","",'Historique détail'!M13/$W13)</f>
        <v>0</v>
      </c>
      <c r="O13" s="341">
        <f>IF(M13="","",'Historique détail'!N13/$W13)</f>
        <v>0</v>
      </c>
      <c r="P13" s="341">
        <f>IF(N13="","",'Historique détail'!O13/$W13)</f>
        <v>0</v>
      </c>
      <c r="Q13" s="341">
        <f>IF(O13="","",'Historique détail'!P13/$W13)</f>
        <v>0</v>
      </c>
      <c r="R13" s="341">
        <f>IF(P13="","",'Historique détail'!Q13/$W13)</f>
        <v>0</v>
      </c>
      <c r="S13" s="341">
        <f>IF(Q13="","",'Historique détail'!R13/$W13)</f>
        <v>0</v>
      </c>
      <c r="T13" s="341">
        <f>IF(R13="","",'Historique détail'!S13/$W13)</f>
        <v>0</v>
      </c>
      <c r="U13" s="340">
        <f t="shared" si="2"/>
        <v>0.1999815372</v>
      </c>
      <c r="V13" s="14">
        <f>IF(A13="","",ARBITRAGES!M13)</f>
        <v>8178</v>
      </c>
      <c r="W13" s="342">
        <f>IF(V13="","",'Historique détail'!U13)</f>
        <v>40893.77506</v>
      </c>
      <c r="X13" s="288"/>
      <c r="Y13" s="289"/>
      <c r="Z13" s="304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  <c r="AN13" s="289"/>
      <c r="AO13" s="289"/>
      <c r="AP13" s="289"/>
      <c r="AQ13" s="289"/>
      <c r="AR13" s="289"/>
      <c r="AS13" s="289"/>
      <c r="AT13" s="289"/>
      <c r="AU13" s="289"/>
      <c r="AV13" s="289"/>
      <c r="AW13" s="289"/>
      <c r="AX13" s="289"/>
      <c r="AY13" s="289"/>
      <c r="AZ13" s="289"/>
      <c r="BA13" s="289"/>
      <c r="BB13" s="289"/>
    </row>
    <row r="14">
      <c r="A14" s="290">
        <f>IF(ARBITRAGES!E14="","",ARBITRAGES!E14)</f>
        <v>45529</v>
      </c>
      <c r="B14" s="302">
        <f t="shared" si="1"/>
        <v>0.8086120086</v>
      </c>
      <c r="C14" s="341">
        <f>IF(A14="","",'Historique détail'!B14/$W14)</f>
        <v>0.4053246114</v>
      </c>
      <c r="D14" s="341">
        <f>IF(B14="","",'Historique détail'!C14/$W14)</f>
        <v>0.211110441</v>
      </c>
      <c r="E14" s="341">
        <f>IF(C14="","",'Historique détail'!D14/$W14)</f>
        <v>0.07119419205</v>
      </c>
      <c r="F14" s="341">
        <f>IF(D14="","",'Historique détail'!E14/$W14)</f>
        <v>0.07090126543</v>
      </c>
      <c r="G14" s="341">
        <f>IF(E14="","",'Historique détail'!F14/$W14)</f>
        <v>0.01630212899</v>
      </c>
      <c r="H14" s="341">
        <f>IF(F14="","",'Historique détail'!G14/$W14)</f>
        <v>0.008774234562</v>
      </c>
      <c r="I14" s="341">
        <f>IF(G14="","",'Historique détail'!H14/$W14)</f>
        <v>0</v>
      </c>
      <c r="J14" s="341">
        <f>IF(H14="","",'Historique détail'!I14/$W14)</f>
        <v>0</v>
      </c>
      <c r="K14" s="341">
        <f>IF(I14="","",'Historique détail'!J14/$W14)</f>
        <v>0.01759204108</v>
      </c>
      <c r="L14" s="341">
        <f>IF(J14="","",'Historique détail'!K14/$W14)</f>
        <v>0.007413094036</v>
      </c>
      <c r="M14" s="341">
        <f>IF(K14="","",'Historique détail'!L14/$W14)</f>
        <v>0</v>
      </c>
      <c r="N14" s="341">
        <f>IF(L14="","",'Historique détail'!M14/$W14)</f>
        <v>0</v>
      </c>
      <c r="O14" s="341">
        <f>IF(M14="","",'Historique détail'!N14/$W14)</f>
        <v>0</v>
      </c>
      <c r="P14" s="341">
        <f>IF(N14="","",'Historique détail'!O14/$W14)</f>
        <v>0</v>
      </c>
      <c r="Q14" s="341">
        <f>IF(O14="","",'Historique détail'!P14/$W14)</f>
        <v>0</v>
      </c>
      <c r="R14" s="341">
        <f>IF(P14="","",'Historique détail'!Q14/$W14)</f>
        <v>0</v>
      </c>
      <c r="S14" s="341">
        <f>IF(Q14="","",'Historique détail'!R14/$W14)</f>
        <v>0</v>
      </c>
      <c r="T14" s="341">
        <f>IF(R14="","",'Historique détail'!S14/$W14)</f>
        <v>0</v>
      </c>
      <c r="U14" s="340">
        <f t="shared" si="2"/>
        <v>0.1913879914</v>
      </c>
      <c r="V14" s="14">
        <f>IF(A14="","",ARBITRAGES!M14)</f>
        <v>7678</v>
      </c>
      <c r="W14" s="342">
        <f>IF(V14="","",'Historique détail'!U14)</f>
        <v>40117.45953</v>
      </c>
      <c r="X14" s="288"/>
      <c r="Y14" s="289"/>
      <c r="Z14" s="306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289"/>
      <c r="AR14" s="289"/>
      <c r="AS14" s="289"/>
      <c r="AT14" s="289"/>
      <c r="AU14" s="289"/>
      <c r="AV14" s="289"/>
      <c r="AW14" s="289"/>
      <c r="AX14" s="289"/>
      <c r="AY14" s="289"/>
      <c r="AZ14" s="289"/>
      <c r="BA14" s="289"/>
      <c r="BB14" s="289"/>
    </row>
    <row r="15">
      <c r="A15" s="290">
        <f>IF(ARBITRAGES!E15="","",ARBITRAGES!E15)</f>
        <v>45530</v>
      </c>
      <c r="B15" s="302">
        <f t="shared" si="1"/>
        <v>0.8591796361</v>
      </c>
      <c r="C15" s="341">
        <f>IF(A15="","",'Historique détail'!B15/$W15)</f>
        <v>0.4614041039</v>
      </c>
      <c r="D15" s="341">
        <f>IF(B15="","",'Historique détail'!C15/$W15)</f>
        <v>0.204722126</v>
      </c>
      <c r="E15" s="341">
        <f>IF(C15="","",'Historique détail'!D15/$W15)</f>
        <v>0.07094778177</v>
      </c>
      <c r="F15" s="341">
        <f>IF(D15="","",'Historique détail'!E15/$W15)</f>
        <v>0.07126798465</v>
      </c>
      <c r="G15" s="341">
        <f>IF(E15="","",'Historique détail'!F15/$W15)</f>
        <v>0.0173262003</v>
      </c>
      <c r="H15" s="341">
        <f>IF(F15="","",'Historique détail'!G15/$W15)</f>
        <v>0.008514002284</v>
      </c>
      <c r="I15" s="341">
        <f>IF(G15="","",'Historique détail'!H15/$W15)</f>
        <v>0</v>
      </c>
      <c r="J15" s="341">
        <f>IF(H15="","",'Historique détail'!I15/$W15)</f>
        <v>0</v>
      </c>
      <c r="K15" s="341">
        <f>IF(I15="","",'Historique détail'!J15/$W15)</f>
        <v>0.01743086711</v>
      </c>
      <c r="L15" s="341">
        <f>IF(J15="","",'Historique détail'!K15/$W15)</f>
        <v>0.007566570177</v>
      </c>
      <c r="M15" s="341">
        <f>IF(K15="","",'Historique détail'!L15/$W15)</f>
        <v>0</v>
      </c>
      <c r="N15" s="341">
        <f>IF(L15="","",'Historique détail'!M15/$W15)</f>
        <v>0</v>
      </c>
      <c r="O15" s="341">
        <f>IF(M15="","",'Historique détail'!N15/$W15)</f>
        <v>0</v>
      </c>
      <c r="P15" s="341">
        <f>IF(N15="","",'Historique détail'!O15/$W15)</f>
        <v>0</v>
      </c>
      <c r="Q15" s="341">
        <f>IF(O15="","",'Historique détail'!P15/$W15)</f>
        <v>0</v>
      </c>
      <c r="R15" s="341">
        <f>IF(P15="","",'Historique détail'!Q15/$W15)</f>
        <v>0</v>
      </c>
      <c r="S15" s="341">
        <f>IF(Q15="","",'Historique détail'!R15/$W15)</f>
        <v>0</v>
      </c>
      <c r="T15" s="341">
        <f>IF(R15="","",'Historique détail'!S15/$W15)</f>
        <v>0</v>
      </c>
      <c r="U15" s="340">
        <f t="shared" si="2"/>
        <v>0.1408203639</v>
      </c>
      <c r="V15" s="14">
        <f>IF(A15="","",ARBITRAGES!M15)</f>
        <v>5478</v>
      </c>
      <c r="W15" s="342">
        <f>IF(V15="","",'Historique détail'!U15)</f>
        <v>38900.62381</v>
      </c>
      <c r="X15" s="288"/>
      <c r="Y15" s="289"/>
      <c r="Z15" s="304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289"/>
      <c r="AQ15" s="289"/>
      <c r="AR15" s="289"/>
      <c r="AS15" s="289"/>
      <c r="AT15" s="289"/>
      <c r="AU15" s="289"/>
      <c r="AV15" s="289"/>
      <c r="AW15" s="289"/>
      <c r="AX15" s="289"/>
      <c r="AY15" s="289"/>
      <c r="AZ15" s="289"/>
      <c r="BA15" s="289"/>
      <c r="BB15" s="289"/>
    </row>
    <row r="16">
      <c r="A16" s="290">
        <f>IF(ARBITRAGES!E16="","",ARBITRAGES!E16)</f>
        <v>45531</v>
      </c>
      <c r="B16" s="302">
        <f t="shared" si="1"/>
        <v>0.8802363102</v>
      </c>
      <c r="C16" s="341">
        <f>IF(A16="","",'Historique détail'!B16/$W16)</f>
        <v>0.4619874032</v>
      </c>
      <c r="D16" s="341">
        <f>IF(B16="","",'Historique détail'!C16/$W16)</f>
        <v>0.2049809322</v>
      </c>
      <c r="E16" s="341">
        <f>IF(C16="","",'Historique détail'!D16/$W16)</f>
        <v>0.07103747277</v>
      </c>
      <c r="F16" s="341">
        <f>IF(D16="","",'Historique détail'!E16/$W16)</f>
        <v>0.07135808044</v>
      </c>
      <c r="G16" s="341">
        <f>IF(E16="","",'Historique détail'!F16/$W16)</f>
        <v>0.01734810379</v>
      </c>
      <c r="H16" s="341">
        <f>IF(F16="","",'Historique détail'!G16/$W16)</f>
        <v>0.0298366794</v>
      </c>
      <c r="I16" s="341">
        <f>IF(G16="","",'Historique détail'!H16/$W16)</f>
        <v>0</v>
      </c>
      <c r="J16" s="341">
        <f>IF(H16="","",'Historique détail'!I16/$W16)</f>
        <v>0</v>
      </c>
      <c r="K16" s="341">
        <f>IF(I16="","",'Historique détail'!J16/$W16)</f>
        <v>0.0166218123</v>
      </c>
      <c r="L16" s="341">
        <f>IF(J16="","",'Historique détail'!K16/$W16)</f>
        <v>0.007065826048</v>
      </c>
      <c r="M16" s="341">
        <f>IF(K16="","",'Historique détail'!L16/$W16)</f>
        <v>0</v>
      </c>
      <c r="N16" s="341">
        <f>IF(L16="","",'Historique détail'!M16/$W16)</f>
        <v>0</v>
      </c>
      <c r="O16" s="341">
        <f>IF(M16="","",'Historique détail'!N16/$W16)</f>
        <v>0</v>
      </c>
      <c r="P16" s="341">
        <f>IF(N16="","",'Historique détail'!O16/$W16)</f>
        <v>0</v>
      </c>
      <c r="Q16" s="341">
        <f>IF(O16="","",'Historique détail'!P16/$W16)</f>
        <v>0</v>
      </c>
      <c r="R16" s="341">
        <f>IF(P16="","",'Historique détail'!Q16/$W16)</f>
        <v>0</v>
      </c>
      <c r="S16" s="341">
        <f>IF(Q16="","",'Historique détail'!R16/$W16)</f>
        <v>0</v>
      </c>
      <c r="T16" s="341">
        <f>IF(R16="","",'Historique détail'!S16/$W16)</f>
        <v>0</v>
      </c>
      <c r="U16" s="340">
        <f t="shared" si="2"/>
        <v>0.1197636898</v>
      </c>
      <c r="V16" s="14">
        <f>IF(A16="","",ARBITRAGES!M16)</f>
        <v>4653</v>
      </c>
      <c r="W16" s="342">
        <f>IF(V16="","",'Historique détail'!U16)</f>
        <v>38851.50839</v>
      </c>
      <c r="X16" s="288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9"/>
      <c r="AO16" s="289"/>
      <c r="AP16" s="289"/>
      <c r="AQ16" s="289"/>
      <c r="AR16" s="289"/>
      <c r="AS16" s="289"/>
      <c r="AT16" s="289"/>
      <c r="AU16" s="289"/>
      <c r="AV16" s="289"/>
      <c r="AW16" s="289"/>
      <c r="AX16" s="289"/>
      <c r="AY16" s="289"/>
      <c r="AZ16" s="289"/>
      <c r="BA16" s="289"/>
      <c r="BB16" s="289"/>
    </row>
    <row r="17">
      <c r="A17" s="290">
        <f>IF(ARBITRAGES!E17="","",ARBITRAGES!E17)</f>
        <v>45531</v>
      </c>
      <c r="B17" s="302">
        <f t="shared" si="1"/>
        <v>0.9100216266</v>
      </c>
      <c r="C17" s="341">
        <f>IF(A17="","",'Historique détail'!B17/$W17)</f>
        <v>0.4616962547</v>
      </c>
      <c r="D17" s="341">
        <f>IF(B17="","",'Historique détail'!C17/$W17)</f>
        <v>0.2048517515</v>
      </c>
      <c r="E17" s="341">
        <f>IF(C17="","",'Historique détail'!D17/$W17)</f>
        <v>0.07099270433</v>
      </c>
      <c r="F17" s="341">
        <f>IF(D17="","",'Historique détail'!E17/$W17)</f>
        <v>0.07131310995</v>
      </c>
      <c r="G17" s="341">
        <f>IF(E17="","",'Historique détail'!F17/$W17)</f>
        <v>0.04767721988</v>
      </c>
      <c r="H17" s="341">
        <f>IF(F17="","",'Historique détail'!G17/$W17)</f>
        <v>0.02981787606</v>
      </c>
      <c r="I17" s="341">
        <f>IF(G17="","",'Historique détail'!H17/$W17)</f>
        <v>0</v>
      </c>
      <c r="J17" s="341">
        <f>IF(H17="","",'Historique détail'!I17/$W17)</f>
        <v>0</v>
      </c>
      <c r="K17" s="341">
        <f>IF(I17="","",'Historique détail'!J17/$W17)</f>
        <v>0.01661133709</v>
      </c>
      <c r="L17" s="341">
        <f>IF(J17="","",'Historique détail'!K17/$W17)</f>
        <v>0.007061373103</v>
      </c>
      <c r="M17" s="341">
        <f>IF(K17="","",'Historique détail'!L17/$W17)</f>
        <v>0</v>
      </c>
      <c r="N17" s="341">
        <f>IF(L17="","",'Historique détail'!M17/$W17)</f>
        <v>0</v>
      </c>
      <c r="O17" s="341">
        <f>IF(M17="","",'Historique détail'!N17/$W17)</f>
        <v>0</v>
      </c>
      <c r="P17" s="341">
        <f>IF(N17="","",'Historique détail'!O17/$W17)</f>
        <v>0</v>
      </c>
      <c r="Q17" s="341">
        <f>IF(O17="","",'Historique détail'!P17/$W17)</f>
        <v>0</v>
      </c>
      <c r="R17" s="341">
        <f>IF(P17="","",'Historique détail'!Q17/$W17)</f>
        <v>0</v>
      </c>
      <c r="S17" s="341">
        <f>IF(Q17="","",'Historique détail'!R17/$W17)</f>
        <v>0</v>
      </c>
      <c r="T17" s="341">
        <f>IF(R17="","",'Historique détail'!S17/$W17)</f>
        <v>0</v>
      </c>
      <c r="U17" s="340">
        <f t="shared" si="2"/>
        <v>0.08997837342</v>
      </c>
      <c r="V17" s="14">
        <f>IF(A17="","",ARBITRAGES!M17)</f>
        <v>3498</v>
      </c>
      <c r="W17" s="342">
        <f>IF(V17="","",'Historique détail'!U17)</f>
        <v>38876.00839</v>
      </c>
      <c r="X17" s="288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  <c r="AN17" s="289"/>
      <c r="AO17" s="289"/>
      <c r="AP17" s="289"/>
      <c r="AQ17" s="289"/>
      <c r="AR17" s="289"/>
      <c r="AS17" s="289"/>
      <c r="AT17" s="289"/>
      <c r="AU17" s="289"/>
      <c r="AV17" s="289"/>
      <c r="AW17" s="289"/>
      <c r="AX17" s="289"/>
      <c r="AY17" s="289"/>
      <c r="AZ17" s="289"/>
      <c r="BA17" s="289"/>
      <c r="BB17" s="289"/>
    </row>
    <row r="18">
      <c r="A18" s="290">
        <f>IF(ARBITRAGES!E18="","",ARBITRAGES!E18)</f>
        <v>45531</v>
      </c>
      <c r="B18" s="302">
        <f t="shared" si="1"/>
        <v>0.9172485808</v>
      </c>
      <c r="C18" s="341">
        <f>IF(A18="","",'Historique détail'!B18/$W18)</f>
        <v>0.4616309453</v>
      </c>
      <c r="D18" s="341">
        <f>IF(B18="","",'Historique détail'!C18/$W18)</f>
        <v>0.2048227741</v>
      </c>
      <c r="E18" s="341">
        <f>IF(C18="","",'Historique détail'!D18/$W18)</f>
        <v>0.07098266203</v>
      </c>
      <c r="F18" s="341">
        <f>IF(D18="","",'Historique détail'!E18/$W18)</f>
        <v>0.07130302233</v>
      </c>
      <c r="G18" s="341">
        <f>IF(E18="","",'Historique détail'!F18/$W18)</f>
        <v>0.04767047568</v>
      </c>
      <c r="H18" s="341">
        <f>IF(F18="","",'Historique détail'!G18/$W18)</f>
        <v>0.02981365816</v>
      </c>
      <c r="I18" s="341">
        <f>IF(G18="","",'Historique détail'!H18/$W18)</f>
        <v>0</v>
      </c>
      <c r="J18" s="341">
        <f>IF(H18="","",'Historique détail'!I18/$W18)</f>
        <v>0.007355681707</v>
      </c>
      <c r="K18" s="341">
        <f>IF(I18="","",'Historique détail'!J18/$W18)</f>
        <v>0.01660898732</v>
      </c>
      <c r="L18" s="341">
        <f>IF(J18="","",'Historique détail'!K18/$W18)</f>
        <v>0.007060374234</v>
      </c>
      <c r="M18" s="341">
        <f>IF(K18="","",'Historique détail'!L18/$W18)</f>
        <v>0</v>
      </c>
      <c r="N18" s="341">
        <f>IF(L18="","",'Historique détail'!M18/$W18)</f>
        <v>0</v>
      </c>
      <c r="O18" s="341">
        <f>IF(M18="","",'Historique détail'!N18/$W18)</f>
        <v>0</v>
      </c>
      <c r="P18" s="341">
        <f>IF(N18="","",'Historique détail'!O18/$W18)</f>
        <v>0</v>
      </c>
      <c r="Q18" s="341">
        <f>IF(O18="","",'Historique détail'!P18/$W18)</f>
        <v>0</v>
      </c>
      <c r="R18" s="341">
        <f>IF(P18="","",'Historique détail'!Q18/$W18)</f>
        <v>0</v>
      </c>
      <c r="S18" s="341">
        <f>IF(Q18="","",'Historique détail'!R18/$W18)</f>
        <v>0</v>
      </c>
      <c r="T18" s="341">
        <f>IF(R18="","",'Historique détail'!S18/$W18)</f>
        <v>0</v>
      </c>
      <c r="U18" s="340">
        <f t="shared" si="2"/>
        <v>0.0827514192</v>
      </c>
      <c r="V18" s="14">
        <f>IF(A18="","",ARBITRAGES!M18)</f>
        <v>3217.5</v>
      </c>
      <c r="W18" s="342">
        <f>IF(V18="","",'Historique détail'!U18)</f>
        <v>38881.50839</v>
      </c>
      <c r="X18" s="288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  <c r="AK18" s="289"/>
      <c r="AL18" s="289"/>
      <c r="AM18" s="289"/>
      <c r="AN18" s="289"/>
      <c r="AO18" s="289"/>
      <c r="AP18" s="289"/>
      <c r="AQ18" s="289"/>
      <c r="AR18" s="289"/>
      <c r="AS18" s="289"/>
      <c r="AT18" s="289"/>
      <c r="AU18" s="289"/>
      <c r="AV18" s="289"/>
      <c r="AW18" s="289"/>
      <c r="AX18" s="289"/>
      <c r="AY18" s="289"/>
      <c r="AZ18" s="289"/>
      <c r="BA18" s="289"/>
      <c r="BB18" s="289"/>
    </row>
    <row r="19">
      <c r="A19" s="290">
        <f>IF(ARBITRAGES!E19="","",ARBITRAGES!E19)</f>
        <v>45531</v>
      </c>
      <c r="B19" s="302">
        <f t="shared" si="1"/>
        <v>0.9456179892</v>
      </c>
      <c r="C19" s="341">
        <f>IF(A19="","",'Historique détail'!B19/$W19)</f>
        <v>0.4609670268</v>
      </c>
      <c r="D19" s="341">
        <f>IF(B19="","",'Historique détail'!C19/$W19)</f>
        <v>0.2045281976</v>
      </c>
      <c r="E19" s="341">
        <f>IF(C19="","",'Historique détail'!D19/$W19)</f>
        <v>0.07088057463</v>
      </c>
      <c r="F19" s="341">
        <f>IF(D19="","",'Historique détail'!E19/$W19)</f>
        <v>0.07120047418</v>
      </c>
      <c r="G19" s="341">
        <f>IF(E19="","",'Historique détail'!F19/$W19)</f>
        <v>0.04760191591</v>
      </c>
      <c r="H19" s="341">
        <f>IF(F19="","",'Historique détail'!G19/$W19)</f>
        <v>0.0297707801</v>
      </c>
      <c r="I19" s="341">
        <f>IF(G19="","",'Historique détail'!H19/$W19)</f>
        <v>0.02968859713</v>
      </c>
      <c r="J19" s="341">
        <f>IF(H19="","",'Historique détail'!I19/$W19)</f>
        <v>0.007345102751</v>
      </c>
      <c r="K19" s="341">
        <f>IF(I19="","",'Historique détail'!J19/$W19)</f>
        <v>0.01658510025</v>
      </c>
      <c r="L19" s="341">
        <f>IF(J19="","",'Historique détail'!K19/$W19)</f>
        <v>0.00705021999</v>
      </c>
      <c r="M19" s="341">
        <f>IF(K19="","",'Historique détail'!L19/$W19)</f>
        <v>0</v>
      </c>
      <c r="N19" s="341">
        <f>IF(L19="","",'Historique détail'!M19/$W19)</f>
        <v>0</v>
      </c>
      <c r="O19" s="341">
        <f>IF(M19="","",'Historique détail'!N19/$W19)</f>
        <v>0</v>
      </c>
      <c r="P19" s="341">
        <f>IF(N19="","",'Historique détail'!O19/$W19)</f>
        <v>0</v>
      </c>
      <c r="Q19" s="341">
        <f>IF(O19="","",'Historique détail'!P19/$W19)</f>
        <v>0</v>
      </c>
      <c r="R19" s="341">
        <f>IF(P19="","",'Historique détail'!Q19/$W19)</f>
        <v>0</v>
      </c>
      <c r="S19" s="341">
        <f>IF(Q19="","",'Historique détail'!R19/$W19)</f>
        <v>0</v>
      </c>
      <c r="T19" s="341">
        <f>IF(R19="","",'Historique détail'!S19/$W19)</f>
        <v>0</v>
      </c>
      <c r="U19" s="340">
        <f t="shared" si="2"/>
        <v>0.05438201076</v>
      </c>
      <c r="V19" s="14">
        <f>IF(A19="","",ARBITRAGES!M19)</f>
        <v>2117.5</v>
      </c>
      <c r="W19" s="342">
        <f>IF(V19="","",'Historique détail'!U19)</f>
        <v>38937.50839</v>
      </c>
      <c r="X19" s="288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  <c r="AI19" s="289"/>
      <c r="AJ19" s="289"/>
      <c r="AK19" s="289"/>
      <c r="AL19" s="289"/>
      <c r="AM19" s="289"/>
      <c r="AN19" s="289"/>
      <c r="AO19" s="289"/>
      <c r="AP19" s="289"/>
      <c r="AQ19" s="289"/>
      <c r="AR19" s="289"/>
      <c r="AS19" s="289"/>
      <c r="AT19" s="289"/>
      <c r="AU19" s="289"/>
      <c r="AV19" s="289"/>
      <c r="AW19" s="289"/>
      <c r="AX19" s="289"/>
      <c r="AY19" s="289"/>
      <c r="AZ19" s="289"/>
      <c r="BA19" s="289"/>
      <c r="BB19" s="289"/>
    </row>
    <row r="20">
      <c r="A20" s="290">
        <f>IF(ARBITRAGES!E20="","",ARBITRAGES!E20)</f>
        <v>45532</v>
      </c>
      <c r="B20" s="302">
        <f t="shared" si="1"/>
        <v>0.9782416737</v>
      </c>
      <c r="C20" s="341">
        <f>IF(A20="","",'Historique détail'!B20/$W20)</f>
        <v>0.4934718502</v>
      </c>
      <c r="D20" s="341">
        <f>IF(B20="","",'Historique détail'!C20/$W20)</f>
        <v>0.2029948739</v>
      </c>
      <c r="E20" s="341">
        <f>IF(C20="","",'Historique détail'!D20/$W20)</f>
        <v>0.07440047121</v>
      </c>
      <c r="F20" s="341">
        <f>IF(D20="","",'Historique détail'!E20/$W20)</f>
        <v>0.06995534486</v>
      </c>
      <c r="G20" s="341">
        <f>IF(E20="","",'Historique détail'!F20/$W20)</f>
        <v>0.04611168227</v>
      </c>
      <c r="H20" s="341">
        <f>IF(F20="","",'Historique détail'!G20/$W20)</f>
        <v>0.02980957238</v>
      </c>
      <c r="I20" s="341">
        <f>IF(G20="","",'Historique détail'!H20/$W20)</f>
        <v>0.02994265083</v>
      </c>
      <c r="J20" s="341">
        <f>IF(H20="","",'Historique détail'!I20/$W20)</f>
        <v>0.007326633961</v>
      </c>
      <c r="K20" s="341">
        <f>IF(I20="","",'Historique détail'!J20/$W20)</f>
        <v>0.01694240396</v>
      </c>
      <c r="L20" s="341">
        <f>IF(J20="","",'Historique détail'!K20/$W20)</f>
        <v>0.00728619009</v>
      </c>
      <c r="M20" s="341">
        <f>IF(K20="","",'Historique détail'!L20/$W20)</f>
        <v>0</v>
      </c>
      <c r="N20" s="341">
        <f>IF(L20="","",'Historique détail'!M20/$W20)</f>
        <v>0</v>
      </c>
      <c r="O20" s="341">
        <f>IF(M20="","",'Historique détail'!N20/$W20)</f>
        <v>0</v>
      </c>
      <c r="P20" s="341">
        <f>IF(N20="","",'Historique détail'!O20/$W20)</f>
        <v>0</v>
      </c>
      <c r="Q20" s="341">
        <f>IF(O20="","",'Historique détail'!P20/$W20)</f>
        <v>0</v>
      </c>
      <c r="R20" s="341">
        <f>IF(P20="","",'Historique détail'!Q20/$W20)</f>
        <v>0</v>
      </c>
      <c r="S20" s="341">
        <f>IF(Q20="","",'Historique détail'!R20/$W20)</f>
        <v>0</v>
      </c>
      <c r="T20" s="341">
        <f>IF(R20="","",'Historique détail'!S20/$W20)</f>
        <v>0</v>
      </c>
      <c r="U20" s="340">
        <f t="shared" si="2"/>
        <v>0.02175832627</v>
      </c>
      <c r="V20" s="14">
        <f>IF(A20="","",ARBITRAGES!M20)</f>
        <v>817.5</v>
      </c>
      <c r="W20" s="342">
        <f>IF(V20="","",'Historique détail'!U20)</f>
        <v>37571.82377</v>
      </c>
      <c r="X20" s="288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  <c r="AI20" s="289"/>
      <c r="AJ20" s="289"/>
      <c r="AK20" s="289"/>
      <c r="AL20" s="289"/>
      <c r="AM20" s="289"/>
      <c r="AN20" s="289"/>
      <c r="AO20" s="289"/>
      <c r="AP20" s="289"/>
      <c r="AQ20" s="289"/>
      <c r="AR20" s="289"/>
      <c r="AS20" s="289"/>
      <c r="AT20" s="289"/>
      <c r="AU20" s="289"/>
      <c r="AV20" s="289"/>
      <c r="AW20" s="289"/>
      <c r="AX20" s="289"/>
      <c r="AY20" s="289"/>
      <c r="AZ20" s="289"/>
      <c r="BA20" s="289"/>
      <c r="BB20" s="289"/>
    </row>
    <row r="21">
      <c r="A21" s="290">
        <f>IF(ARBITRAGES!E21="","",ARBITRAGES!E21)</f>
        <v>45545</v>
      </c>
      <c r="B21" s="302">
        <f t="shared" si="1"/>
        <v>0.9493111857</v>
      </c>
      <c r="C21" s="341">
        <f>IF(A21="","",'Historique détail'!B21/$W21)</f>
        <v>0.4699548672</v>
      </c>
      <c r="D21" s="341">
        <f>IF(B21="","",'Historique détail'!C21/$W21)</f>
        <v>0.2024575885</v>
      </c>
      <c r="E21" s="341">
        <f>IF(C21="","",'Historique détail'!D21/$W21)</f>
        <v>0.07414739561</v>
      </c>
      <c r="F21" s="341">
        <f>IF(D21="","",'Historique détail'!E21/$W21)</f>
        <v>0.06778003739</v>
      </c>
      <c r="G21" s="341">
        <f>IF(E21="","",'Historique détail'!F21/$W21)</f>
        <v>0.04294953178</v>
      </c>
      <c r="H21" s="341">
        <f>IF(F21="","",'Historique détail'!G21/$W21)</f>
        <v>0.0298694471</v>
      </c>
      <c r="I21" s="341">
        <f>IF(G21="","",'Historique détail'!H21/$W21)</f>
        <v>0.02956266473</v>
      </c>
      <c r="J21" s="341">
        <f>IF(H21="","",'Historique détail'!I21/$W21)</f>
        <v>0.007991680735</v>
      </c>
      <c r="K21" s="341">
        <f>IF(I21="","",'Historique détail'!J21/$W21)</f>
        <v>0.01736719594</v>
      </c>
      <c r="L21" s="341">
        <f>IF(J21="","",'Historique détail'!K21/$W21)</f>
        <v>0.00723077679</v>
      </c>
      <c r="M21" s="341">
        <f>IF(K21="","",'Historique détail'!L21/$W21)</f>
        <v>0</v>
      </c>
      <c r="N21" s="341">
        <f>IF(L21="","",'Historique détail'!M21/$W21)</f>
        <v>0</v>
      </c>
      <c r="O21" s="341">
        <f>IF(M21="","",'Historique détail'!N21/$W21)</f>
        <v>0</v>
      </c>
      <c r="P21" s="341">
        <f>IF(N21="","",'Historique détail'!O21/$W21)</f>
        <v>0</v>
      </c>
      <c r="Q21" s="341">
        <f>IF(O21="","",'Historique détail'!P21/$W21)</f>
        <v>0</v>
      </c>
      <c r="R21" s="341">
        <f>IF(P21="","",'Historique détail'!Q21/$W21)</f>
        <v>0</v>
      </c>
      <c r="S21" s="341">
        <f>IF(Q21="","",'Historique détail'!R21/$W21)</f>
        <v>0</v>
      </c>
      <c r="T21" s="341">
        <f>IF(R21="","",'Historique détail'!S21/$W21)</f>
        <v>0</v>
      </c>
      <c r="U21" s="340">
        <f t="shared" si="2"/>
        <v>0.05068881429</v>
      </c>
      <c r="V21" s="14">
        <f>IF(A21="","",ARBITRAGES!M21)</f>
        <v>1817.5</v>
      </c>
      <c r="W21" s="342">
        <f>IF(V21="","",'Historique détail'!U21)</f>
        <v>35856.03699</v>
      </c>
      <c r="X21" s="288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  <c r="AI21" s="289"/>
      <c r="AJ21" s="289"/>
      <c r="AK21" s="289"/>
      <c r="AL21" s="289"/>
      <c r="AM21" s="289"/>
      <c r="AN21" s="289"/>
      <c r="AO21" s="289"/>
      <c r="AP21" s="289"/>
      <c r="AQ21" s="289"/>
      <c r="AR21" s="289"/>
      <c r="AS21" s="289"/>
      <c r="AT21" s="289"/>
      <c r="AU21" s="289"/>
      <c r="AV21" s="289"/>
      <c r="AW21" s="289"/>
      <c r="AX21" s="289"/>
      <c r="AY21" s="289"/>
      <c r="AZ21" s="289"/>
      <c r="BA21" s="289"/>
      <c r="BB21" s="289"/>
    </row>
    <row r="22">
      <c r="A22" s="290">
        <f>IF(ARBITRAGES!E22="","",ARBITRAGES!E22)</f>
        <v>45551</v>
      </c>
      <c r="B22" s="302">
        <f t="shared" si="1"/>
        <v>0.9594651378</v>
      </c>
      <c r="C22" s="341">
        <f>IF(A22="","",'Historique détail'!B22/$W22)</f>
        <v>0.4728109818</v>
      </c>
      <c r="D22" s="341">
        <f>IF(B22="","",'Historique détail'!C22/$W22)</f>
        <v>0.2003230707</v>
      </c>
      <c r="E22" s="341">
        <f>IF(C22="","",'Historique détail'!D22/$W22)</f>
        <v>0.07589851889</v>
      </c>
      <c r="F22" s="341">
        <f>IF(D22="","",'Historique détail'!E22/$W22)</f>
        <v>0.06622711211</v>
      </c>
      <c r="G22" s="341">
        <f>IF(E22="","",'Historique détail'!F22/$W22)</f>
        <v>0.05521461363</v>
      </c>
      <c r="H22" s="341">
        <f>IF(F22="","",'Historique détail'!G22/$W22)</f>
        <v>0.02823133932</v>
      </c>
      <c r="I22" s="341">
        <f>IF(G22="","",'Historique détail'!H22/$W22)</f>
        <v>0.02915785045</v>
      </c>
      <c r="J22" s="341">
        <f>IF(H22="","",'Historique détail'!I22/$W22)</f>
        <v>0.00756877847</v>
      </c>
      <c r="K22" s="341">
        <f>IF(I22="","",'Historique détail'!J22/$W22)</f>
        <v>0.01678074411</v>
      </c>
      <c r="L22" s="341">
        <f>IF(J22="","",'Historique détail'!K22/$W22)</f>
        <v>0.007252128302</v>
      </c>
      <c r="M22" s="341">
        <f>IF(K22="","",'Historique détail'!L22/$W22)</f>
        <v>0</v>
      </c>
      <c r="N22" s="341">
        <f>IF(L22="","",'Historique détail'!M22/$W22)</f>
        <v>0</v>
      </c>
      <c r="O22" s="341">
        <f>IF(M22="","",'Historique détail'!N22/$W22)</f>
        <v>0</v>
      </c>
      <c r="P22" s="341">
        <f>IF(N22="","",'Historique détail'!O22/$W22)</f>
        <v>0</v>
      </c>
      <c r="Q22" s="341">
        <f>IF(O22="","",'Historique détail'!P22/$W22)</f>
        <v>0</v>
      </c>
      <c r="R22" s="341">
        <f>IF(P22="","",'Historique détail'!Q22/$W22)</f>
        <v>0</v>
      </c>
      <c r="S22" s="341">
        <f>IF(Q22="","",'Historique détail'!R22/$W22)</f>
        <v>0</v>
      </c>
      <c r="T22" s="341">
        <f>IF(R22="","",'Historique détail'!S22/$W22)</f>
        <v>0</v>
      </c>
      <c r="U22" s="340">
        <f t="shared" si="2"/>
        <v>0.04053486219</v>
      </c>
      <c r="V22" s="14">
        <f>IF(A22="","",ARBITRAGES!M22)</f>
        <v>1487.5</v>
      </c>
      <c r="W22" s="342">
        <f>IF(V22="","",'Historique détail'!U22)</f>
        <v>36696.80664</v>
      </c>
      <c r="X22" s="288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89"/>
      <c r="AK22" s="289"/>
      <c r="AL22" s="289"/>
      <c r="AM22" s="289"/>
      <c r="AN22" s="289"/>
      <c r="AO22" s="289"/>
      <c r="AP22" s="289"/>
      <c r="AQ22" s="289"/>
      <c r="AR22" s="289"/>
      <c r="AS22" s="289"/>
      <c r="AT22" s="289"/>
      <c r="AU22" s="289"/>
      <c r="AV22" s="289"/>
      <c r="AW22" s="289"/>
      <c r="AX22" s="289"/>
      <c r="AY22" s="289"/>
      <c r="AZ22" s="289"/>
      <c r="BA22" s="289"/>
      <c r="BB22" s="289"/>
    </row>
    <row r="23">
      <c r="A23" s="290">
        <f>IF(ARBITRAGES!E23="","",ARBITRAGES!E23)</f>
        <v>45552</v>
      </c>
      <c r="B23" s="302">
        <f t="shared" si="1"/>
        <v>0.9548786994</v>
      </c>
      <c r="C23" s="341">
        <f>IF(A23="","",'Historique détail'!B23/$W23)</f>
        <v>0.4744267824</v>
      </c>
      <c r="D23" s="341">
        <f>IF(B23="","",'Historique détail'!C23/$W23)</f>
        <v>0.2018561418</v>
      </c>
      <c r="E23" s="341">
        <f>IF(C23="","",'Historique détail'!D23/$W23)</f>
        <v>0.07475510756</v>
      </c>
      <c r="F23" s="341">
        <f>IF(D23="","",'Historique détail'!E23/$W23)</f>
        <v>0.06406458983</v>
      </c>
      <c r="G23" s="341">
        <f>IF(E23="","",'Historique détail'!F23/$W23)</f>
        <v>0.05298461981</v>
      </c>
      <c r="H23" s="341">
        <f>IF(F23="","",'Historique détail'!G23/$W23)</f>
        <v>0.02767854508</v>
      </c>
      <c r="I23" s="341">
        <f>IF(G23="","",'Historique détail'!H23/$W23)</f>
        <v>0.02873296585</v>
      </c>
      <c r="J23" s="341">
        <f>IF(H23="","",'Historique détail'!I23/$W23)</f>
        <v>0.007394125615</v>
      </c>
      <c r="K23" s="341">
        <f>IF(I23="","",'Historique détail'!J23/$W23)</f>
        <v>0.01611120634</v>
      </c>
      <c r="L23" s="341">
        <f>IF(J23="","",'Historique détail'!K23/$W23)</f>
        <v>0.00687461514</v>
      </c>
      <c r="M23" s="341">
        <f>IF(K23="","",'Historique détail'!L23/$W23)</f>
        <v>0</v>
      </c>
      <c r="N23" s="341">
        <f>IF(L23="","",'Historique détail'!M23/$W23)</f>
        <v>0</v>
      </c>
      <c r="O23" s="341">
        <f>IF(M23="","",'Historique détail'!N23/$W23)</f>
        <v>0</v>
      </c>
      <c r="P23" s="341">
        <f>IF(N23="","",'Historique détail'!O23/$W23)</f>
        <v>0</v>
      </c>
      <c r="Q23" s="341">
        <f>IF(O23="","",'Historique détail'!P23/$W23)</f>
        <v>0</v>
      </c>
      <c r="R23" s="341">
        <f>IF(P23="","",'Historique détail'!Q23/$W23)</f>
        <v>0</v>
      </c>
      <c r="S23" s="341">
        <f>IF(Q23="","",'Historique détail'!R23/$W23)</f>
        <v>0</v>
      </c>
      <c r="T23" s="341">
        <f>IF(R23="","",'Historique détail'!S23/$W23)</f>
        <v>0</v>
      </c>
      <c r="U23" s="340">
        <f t="shared" si="2"/>
        <v>0.04512130059</v>
      </c>
      <c r="V23" s="14">
        <f>IF(A23="","",ARBITRAGES!M23)</f>
        <v>1711.7</v>
      </c>
      <c r="W23" s="342">
        <f>IF(V23="","",'Historique détail'!U23)</f>
        <v>37935.51998</v>
      </c>
      <c r="X23" s="288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  <c r="AI23" s="289"/>
      <c r="AJ23" s="289"/>
      <c r="AK23" s="289"/>
      <c r="AL23" s="289"/>
      <c r="AM23" s="289"/>
      <c r="AN23" s="289"/>
      <c r="AO23" s="289"/>
      <c r="AP23" s="289"/>
      <c r="AQ23" s="289"/>
      <c r="AR23" s="289"/>
      <c r="AS23" s="289"/>
      <c r="AT23" s="289"/>
      <c r="AU23" s="289"/>
      <c r="AV23" s="289"/>
      <c r="AW23" s="289"/>
      <c r="AX23" s="289"/>
      <c r="AY23" s="289"/>
      <c r="AZ23" s="289"/>
      <c r="BA23" s="289"/>
      <c r="BB23" s="289"/>
    </row>
    <row r="24">
      <c r="A24" s="290">
        <f>IF(ARBITRAGES!E24="","",ARBITRAGES!E24)</f>
        <v>45555</v>
      </c>
      <c r="B24" s="302">
        <f t="shared" si="1"/>
        <v>0.9497250841</v>
      </c>
      <c r="C24" s="341">
        <f>IF(A24="","",'Historique détail'!B24/$W24)</f>
        <v>0.4679378467</v>
      </c>
      <c r="D24" s="341">
        <f>IF(B24="","",'Historique détail'!C24/$W24)</f>
        <v>0.1963237893</v>
      </c>
      <c r="E24" s="341">
        <f>IF(C24="","",'Historique détail'!D24/$W24)</f>
        <v>0.07233890839</v>
      </c>
      <c r="F24" s="341">
        <f>IF(D24="","",'Historique détail'!E24/$W24)</f>
        <v>0.0679796825</v>
      </c>
      <c r="G24" s="341">
        <f>IF(E24="","",'Historique détail'!F24/$W24)</f>
        <v>0.05619499</v>
      </c>
      <c r="H24" s="341">
        <f>IF(F24="","",'Historique détail'!G24/$W24)</f>
        <v>0.0292154475</v>
      </c>
      <c r="I24" s="341">
        <f>IF(G24="","",'Historique détail'!H24/$W24)</f>
        <v>0.0290663891</v>
      </c>
      <c r="J24" s="341">
        <f>IF(H24="","",'Historique détail'!I24/$W24)</f>
        <v>0.007310072642</v>
      </c>
      <c r="K24" s="341">
        <f>IF(I24="","",'Historique détail'!J24/$W24)</f>
        <v>0.01632970384</v>
      </c>
      <c r="L24" s="341">
        <f>IF(J24="","",'Historique détail'!K24/$W24)</f>
        <v>0.007028254126</v>
      </c>
      <c r="M24" s="341">
        <f>IF(K24="","",'Historique détail'!L24/$W24)</f>
        <v>0</v>
      </c>
      <c r="N24" s="341">
        <f>IF(L24="","",'Historique détail'!M24/$W24)</f>
        <v>0</v>
      </c>
      <c r="O24" s="341">
        <f>IF(M24="","",'Historique détail'!N24/$W24)</f>
        <v>0</v>
      </c>
      <c r="P24" s="341">
        <f>IF(N24="","",'Historique détail'!O24/$W24)</f>
        <v>0</v>
      </c>
      <c r="Q24" s="341">
        <f>IF(O24="","",'Historique détail'!P24/$W24)</f>
        <v>0</v>
      </c>
      <c r="R24" s="341">
        <f>IF(P24="","",'Historique détail'!Q24/$W24)</f>
        <v>0</v>
      </c>
      <c r="S24" s="341">
        <f>IF(Q24="","",'Historique détail'!R24/$W24)</f>
        <v>0</v>
      </c>
      <c r="T24" s="341">
        <f>IF(R24="","",'Historique détail'!S24/$W24)</f>
        <v>0</v>
      </c>
      <c r="U24" s="340">
        <f t="shared" si="2"/>
        <v>0.05027491591</v>
      </c>
      <c r="V24" s="14">
        <f>IF(A24="","",ARBITRAGES!M24)</f>
        <v>2023.7</v>
      </c>
      <c r="W24" s="342">
        <f>IF(V24="","",'Historique détail'!U24)</f>
        <v>40252.67797</v>
      </c>
      <c r="X24" s="288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  <c r="AK24" s="289"/>
      <c r="AL24" s="289"/>
      <c r="AM24" s="289"/>
      <c r="AN24" s="289"/>
      <c r="AO24" s="289"/>
      <c r="AP24" s="289"/>
      <c r="AQ24" s="289"/>
      <c r="AR24" s="289"/>
      <c r="AS24" s="289"/>
      <c r="AT24" s="289"/>
      <c r="AU24" s="289"/>
      <c r="AV24" s="289"/>
      <c r="AW24" s="289"/>
      <c r="AX24" s="289"/>
      <c r="AY24" s="289"/>
      <c r="AZ24" s="289"/>
      <c r="BA24" s="289"/>
      <c r="BB24" s="289"/>
    </row>
    <row r="25">
      <c r="A25" s="290">
        <f>IF(ARBITRAGES!E25="","",ARBITRAGES!E25)</f>
        <v>45557</v>
      </c>
      <c r="B25" s="302">
        <f t="shared" si="1"/>
        <v>0.9365837553</v>
      </c>
      <c r="C25" s="341">
        <f>IF(A25="","",'Historique détail'!B25/$W25)</f>
        <v>0.4549148735</v>
      </c>
      <c r="D25" s="341">
        <f>IF(B25="","",'Historique détail'!C25/$W25)</f>
        <v>0.1998932413</v>
      </c>
      <c r="E25" s="341">
        <f>IF(C25="","",'Historique détail'!D25/$W25)</f>
        <v>0.06976861248</v>
      </c>
      <c r="F25" s="341">
        <f>IF(D25="","",'Historique détail'!E25/$W25)</f>
        <v>0.06526914553</v>
      </c>
      <c r="G25" s="341">
        <f>IF(E25="","",'Historique détail'!F25/$W25)</f>
        <v>0.05837181585</v>
      </c>
      <c r="H25" s="341">
        <f>IF(F25="","",'Historique détail'!G25/$W25)</f>
        <v>0.02960891097</v>
      </c>
      <c r="I25" s="341">
        <f>IF(G25="","",'Historique détail'!H25/$W25)</f>
        <v>0.0280378259</v>
      </c>
      <c r="J25" s="341">
        <f>IF(H25="","",'Historique détail'!I25/$W25)</f>
        <v>0.007178650251</v>
      </c>
      <c r="K25" s="341">
        <f>IF(I25="","",'Historique détail'!J25/$W25)</f>
        <v>0.01638935653</v>
      </c>
      <c r="L25" s="341">
        <f>IF(J25="","",'Historique détail'!K25/$W25)</f>
        <v>0.007151323039</v>
      </c>
      <c r="M25" s="341">
        <f>IF(K25="","",'Historique détail'!L25/$W25)</f>
        <v>0</v>
      </c>
      <c r="N25" s="341">
        <f>IF(L25="","",'Historique détail'!M25/$W25)</f>
        <v>0</v>
      </c>
      <c r="O25" s="341">
        <f>IF(M25="","",'Historique détail'!N25/$W25)</f>
        <v>0</v>
      </c>
      <c r="P25" s="341">
        <f>IF(N25="","",'Historique détail'!O25/$W25)</f>
        <v>0</v>
      </c>
      <c r="Q25" s="341">
        <f>IF(O25="","",'Historique détail'!P25/$W25)</f>
        <v>0</v>
      </c>
      <c r="R25" s="341">
        <f>IF(P25="","",'Historique détail'!Q25/$W25)</f>
        <v>0</v>
      </c>
      <c r="S25" s="341">
        <f>IF(Q25="","",'Historique détail'!R25/$W25)</f>
        <v>0</v>
      </c>
      <c r="T25" s="341">
        <f>IF(R25="","",'Historique détail'!S25/$W25)</f>
        <v>0</v>
      </c>
      <c r="U25" s="340">
        <f t="shared" si="2"/>
        <v>0.06341624466</v>
      </c>
      <c r="V25" s="14">
        <f>IF(A25="","",ARBITRAGES!M25)</f>
        <v>2623.7</v>
      </c>
      <c r="W25" s="342">
        <f>IF(V25="","",'Historique détail'!U25)</f>
        <v>41372.68005</v>
      </c>
      <c r="X25" s="288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  <c r="AK25" s="289"/>
      <c r="AL25" s="289"/>
      <c r="AM25" s="289"/>
      <c r="AN25" s="289"/>
      <c r="AO25" s="289"/>
      <c r="AP25" s="289"/>
      <c r="AQ25" s="289"/>
      <c r="AR25" s="289"/>
      <c r="AS25" s="289"/>
      <c r="AT25" s="289"/>
      <c r="AU25" s="289"/>
      <c r="AV25" s="289"/>
      <c r="AW25" s="289"/>
      <c r="AX25" s="289"/>
      <c r="AY25" s="289"/>
      <c r="AZ25" s="289"/>
      <c r="BA25" s="289"/>
      <c r="BB25" s="289"/>
    </row>
    <row r="26">
      <c r="A26" s="290">
        <f>IF(ARBITRAGES!E26="","",ARBITRAGES!E26)</f>
        <v>45558</v>
      </c>
      <c r="B26" s="302">
        <f t="shared" si="1"/>
        <v>0.9440205503</v>
      </c>
      <c r="C26" s="341">
        <f>IF(A26="","",'Historique détail'!B26/$W26)</f>
        <v>0.4579802344</v>
      </c>
      <c r="D26" s="341">
        <f>IF(B26="","",'Historique détail'!C26/$W26)</f>
        <v>0.1987557387</v>
      </c>
      <c r="E26" s="341">
        <f>IF(C26="","",'Historique détail'!D26/$W26)</f>
        <v>0.06956448088</v>
      </c>
      <c r="F26" s="341">
        <f>IF(D26="","",'Historique détail'!E26/$W26)</f>
        <v>0.06435895456</v>
      </c>
      <c r="G26" s="341">
        <f>IF(E26="","",'Historique détail'!F26/$W26)</f>
        <v>0.0652318628</v>
      </c>
      <c r="H26" s="341">
        <f>IF(F26="","",'Historique détail'!G26/$W26)</f>
        <v>0.0287960636</v>
      </c>
      <c r="I26" s="341">
        <f>IF(G26="","",'Historique détail'!H26/$W26)</f>
        <v>0.02803698369</v>
      </c>
      <c r="J26" s="341">
        <f>IF(H26="","",'Historique détail'!I26/$W26)</f>
        <v>0.007205137512</v>
      </c>
      <c r="K26" s="341">
        <f>IF(I26="","",'Historique détail'!J26/$W26)</f>
        <v>0.0166035655</v>
      </c>
      <c r="L26" s="341">
        <f>IF(J26="","",'Historique détail'!K26/$W26)</f>
        <v>0.007487528705</v>
      </c>
      <c r="M26" s="341">
        <f>IF(K26="","",'Historique détail'!L26/$W26)</f>
        <v>0</v>
      </c>
      <c r="N26" s="341">
        <f>IF(L26="","",'Historique détail'!M26/$W26)</f>
        <v>0</v>
      </c>
      <c r="O26" s="341">
        <f>IF(M26="","",'Historique détail'!N26/$W26)</f>
        <v>0</v>
      </c>
      <c r="P26" s="341">
        <f>IF(N26="","",'Historique détail'!O26/$W26)</f>
        <v>0</v>
      </c>
      <c r="Q26" s="341">
        <f>IF(O26="","",'Historique détail'!P26/$W26)</f>
        <v>0</v>
      </c>
      <c r="R26" s="341">
        <f>IF(P26="","",'Historique détail'!Q26/$W26)</f>
        <v>0</v>
      </c>
      <c r="S26" s="341">
        <f>IF(Q26="","",'Historique détail'!R26/$W26)</f>
        <v>0</v>
      </c>
      <c r="T26" s="341">
        <f>IF(R26="","",'Historique détail'!S26/$W26)</f>
        <v>0</v>
      </c>
      <c r="U26" s="340">
        <f t="shared" si="2"/>
        <v>0.05597944969</v>
      </c>
      <c r="V26" s="14">
        <f>IF(A26="","",ARBITRAGES!M26)</f>
        <v>2286.14</v>
      </c>
      <c r="W26" s="342">
        <f>IF(V26="","",'Historique détail'!U26)</f>
        <v>40838.91522</v>
      </c>
      <c r="X26" s="288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  <c r="AK26" s="289"/>
      <c r="AL26" s="289"/>
      <c r="AM26" s="289"/>
      <c r="AN26" s="289"/>
      <c r="AO26" s="289"/>
      <c r="AP26" s="289"/>
      <c r="AQ26" s="289"/>
      <c r="AR26" s="289"/>
      <c r="AS26" s="289"/>
      <c r="AT26" s="289"/>
      <c r="AU26" s="289"/>
      <c r="AV26" s="289"/>
      <c r="AW26" s="289"/>
      <c r="AX26" s="289"/>
      <c r="AY26" s="289"/>
      <c r="AZ26" s="289"/>
      <c r="BA26" s="289"/>
      <c r="BB26" s="289"/>
    </row>
    <row r="27">
      <c r="A27" s="290">
        <f>IF(ARBITRAGES!E27="","",ARBITRAGES!E27)</f>
        <v>45568</v>
      </c>
      <c r="B27" s="302">
        <f t="shared" si="1"/>
        <v>0.9462987175</v>
      </c>
      <c r="C27" s="341">
        <f>IF(A27="","",'Historique détail'!B27/$W27)</f>
        <v>0.4607697644</v>
      </c>
      <c r="D27" s="341">
        <f>IF(B27="","",'Historique détail'!C27/$W27)</f>
        <v>0.1963662991</v>
      </c>
      <c r="E27" s="341">
        <f>IF(C27="","",'Historique détail'!D27/$W27)</f>
        <v>0.06882618545</v>
      </c>
      <c r="F27" s="341">
        <f>IF(D27="","",'Historique détail'!E27/$W27)</f>
        <v>0.0637071761</v>
      </c>
      <c r="G27" s="341">
        <f>IF(E27="","",'Historique détail'!F27/$W27)</f>
        <v>0.06667331829</v>
      </c>
      <c r="H27" s="341">
        <f>IF(F27="","",'Historique détail'!G27/$W27)</f>
        <v>0.02872082881</v>
      </c>
      <c r="I27" s="341">
        <f>IF(G27="","",'Historique détail'!H27/$W27)</f>
        <v>0.02718221298</v>
      </c>
      <c r="J27" s="341">
        <f>IF(H27="","",'Historique détail'!I27/$W27)</f>
        <v>0.007616148355</v>
      </c>
      <c r="K27" s="341">
        <f>IF(I27="","",'Historique détail'!J27/$W27)</f>
        <v>0.01916250067</v>
      </c>
      <c r="L27" s="341">
        <f>IF(J27="","",'Historique détail'!K27/$W27)</f>
        <v>0.007274283304</v>
      </c>
      <c r="M27" s="341">
        <f>IF(K27="","",'Historique détail'!L27/$W27)</f>
        <v>0</v>
      </c>
      <c r="N27" s="341">
        <f>IF(L27="","",'Historique détail'!M27/$W27)</f>
        <v>0</v>
      </c>
      <c r="O27" s="341">
        <f>IF(M27="","",'Historique détail'!N27/$W27)</f>
        <v>0</v>
      </c>
      <c r="P27" s="341">
        <f>IF(N27="","",'Historique détail'!O27/$W27)</f>
        <v>0</v>
      </c>
      <c r="Q27" s="341">
        <f>IF(O27="","",'Historique détail'!P27/$W27)</f>
        <v>0</v>
      </c>
      <c r="R27" s="341">
        <f>IF(P27="","",'Historique détail'!Q27/$W27)</f>
        <v>0</v>
      </c>
      <c r="S27" s="341">
        <f>IF(Q27="","",'Historique détail'!R27/$W27)</f>
        <v>0</v>
      </c>
      <c r="T27" s="341">
        <f>IF(R27="","",'Historique détail'!S27/$W27)</f>
        <v>0</v>
      </c>
      <c r="U27" s="340">
        <f t="shared" si="2"/>
        <v>0.05370128255</v>
      </c>
      <c r="V27" s="14">
        <f>IF(A27="","",ARBITRAGES!M27)</f>
        <v>2094.14</v>
      </c>
      <c r="W27" s="342">
        <f>IF(V27="","",'Historique détail'!U27)</f>
        <v>38996.08912</v>
      </c>
      <c r="X27" s="307">
        <v>1.0</v>
      </c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  <c r="AK27" s="289"/>
      <c r="AL27" s="289"/>
      <c r="AM27" s="289"/>
      <c r="AN27" s="289"/>
      <c r="AO27" s="289"/>
      <c r="AP27" s="289"/>
      <c r="AQ27" s="289"/>
      <c r="AR27" s="289"/>
      <c r="AS27" s="289"/>
      <c r="AT27" s="289"/>
      <c r="AU27" s="289"/>
      <c r="AV27" s="289"/>
      <c r="AW27" s="289"/>
      <c r="AX27" s="289"/>
      <c r="AY27" s="289"/>
      <c r="AZ27" s="289"/>
      <c r="BA27" s="289"/>
      <c r="BB27" s="289"/>
    </row>
    <row r="28">
      <c r="A28" s="290">
        <f>IF(ARBITRAGES!E28="","",ARBITRAGES!E28)</f>
        <v>45586</v>
      </c>
      <c r="B28" s="302">
        <f t="shared" si="1"/>
        <v>0.9357277192</v>
      </c>
      <c r="C28" s="341">
        <f>IF(A28="","",'Historique détail'!B28/$W28)</f>
        <v>0.4655348572</v>
      </c>
      <c r="D28" s="341">
        <f>IF(B28="","",'Historique détail'!C28/$W28)</f>
        <v>0.176371588</v>
      </c>
      <c r="E28" s="341">
        <f>IF(C28="","",'Historique détail'!D28/$W28)</f>
        <v>0.06229934935</v>
      </c>
      <c r="F28" s="341">
        <f>IF(D28="","",'Historique détail'!E28/$W28)</f>
        <v>0.07052397346</v>
      </c>
      <c r="G28" s="341">
        <f>IF(E28="","",'Historique détail'!F28/$W28)</f>
        <v>0.07040458473</v>
      </c>
      <c r="H28" s="341">
        <f>IF(F28="","",'Historique détail'!G28/$W28)</f>
        <v>0.0274223387</v>
      </c>
      <c r="I28" s="341">
        <f>IF(G28="","",'Historique détail'!H28/$W28)</f>
        <v>0.02749106637</v>
      </c>
      <c r="J28" s="341">
        <f>IF(H28="","",'Historique détail'!I28/$W28)</f>
        <v>0.009387053703</v>
      </c>
      <c r="K28" s="341">
        <f>IF(I28="","",'Historique détail'!J28/$W28)</f>
        <v>0.01954970874</v>
      </c>
      <c r="L28" s="341">
        <f>IF(J28="","",'Historique détail'!K28/$W28)</f>
        <v>0.006743198905</v>
      </c>
      <c r="M28" s="341">
        <f>IF(K28="","",'Historique détail'!L28/$W28)</f>
        <v>0</v>
      </c>
      <c r="N28" s="341">
        <f>IF(L28="","",'Historique détail'!M28/$W28)</f>
        <v>0</v>
      </c>
      <c r="O28" s="341">
        <f>IF(M28="","",'Historique détail'!N28/$W28)</f>
        <v>0</v>
      </c>
      <c r="P28" s="341">
        <f>IF(N28="","",'Historique détail'!O28/$W28)</f>
        <v>0</v>
      </c>
      <c r="Q28" s="341">
        <f>IF(O28="","",'Historique détail'!P28/$W28)</f>
        <v>0</v>
      </c>
      <c r="R28" s="341">
        <f>IF(P28="","",'Historique détail'!Q28/$W28)</f>
        <v>0</v>
      </c>
      <c r="S28" s="341">
        <f>IF(Q28="","",'Historique détail'!R28/$W28)</f>
        <v>0</v>
      </c>
      <c r="T28" s="341">
        <f>IF(R28="","",'Historique détail'!S28/$W28)</f>
        <v>0</v>
      </c>
      <c r="U28" s="340">
        <f t="shared" si="2"/>
        <v>0.0642722808</v>
      </c>
      <c r="V28" s="14">
        <f>IF(A28="","",ARBITRAGES!M28)</f>
        <v>2805.520016</v>
      </c>
      <c r="W28" s="342">
        <f>IF(V28="","",'Historique détail'!U28)</f>
        <v>43650.54392</v>
      </c>
      <c r="X28" s="288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  <c r="AK28" s="289"/>
      <c r="AL28" s="289"/>
      <c r="AM28" s="289"/>
      <c r="AN28" s="289"/>
      <c r="AO28" s="289"/>
      <c r="AP28" s="289"/>
      <c r="AQ28" s="289"/>
      <c r="AR28" s="289"/>
      <c r="AS28" s="289"/>
      <c r="AT28" s="289"/>
      <c r="AU28" s="289"/>
      <c r="AV28" s="289"/>
      <c r="AW28" s="289"/>
      <c r="AX28" s="289"/>
      <c r="AY28" s="289"/>
      <c r="AZ28" s="289"/>
      <c r="BA28" s="289"/>
      <c r="BB28" s="289"/>
    </row>
    <row r="29">
      <c r="A29" s="290">
        <f>IF(ARBITRAGES!E29="","",ARBITRAGES!E29)</f>
        <v>45591</v>
      </c>
      <c r="B29" s="302">
        <f t="shared" si="1"/>
        <v>0.9415436575</v>
      </c>
      <c r="C29" s="341">
        <f>IF(A29="","",'Historique détail'!B29/$W29)</f>
        <v>0.4447464577</v>
      </c>
      <c r="D29" s="341">
        <f>IF(B29="","",'Historique détail'!C29/$W29)</f>
        <v>0.2274898215</v>
      </c>
      <c r="E29" s="341">
        <f>IF(C29="","",'Historique détail'!D29/$W29)</f>
        <v>0.06083164042</v>
      </c>
      <c r="F29" s="341">
        <f>IF(D29="","",'Historique détail'!E29/$W29)</f>
        <v>0.0682674188</v>
      </c>
      <c r="G29" s="341">
        <f>IF(E29="","",'Historique détail'!F29/$W29)</f>
        <v>0.05986144199</v>
      </c>
      <c r="H29" s="341">
        <f>IF(F29="","",'Historique détail'!G29/$W29)</f>
        <v>0.02370080936</v>
      </c>
      <c r="I29" s="341">
        <f>IF(G29="","",'Historique détail'!H29/$W29)</f>
        <v>0.02482941933</v>
      </c>
      <c r="J29" s="341">
        <f>IF(H29="","",'Historique détail'!I29/$W29)</f>
        <v>0.008317855477</v>
      </c>
      <c r="K29" s="341">
        <f>IF(I29="","",'Historique détail'!J29/$W29)</f>
        <v>0.01744001733</v>
      </c>
      <c r="L29" s="341">
        <f>IF(J29="","",'Historique détail'!K29/$W29)</f>
        <v>0.006058775588</v>
      </c>
      <c r="M29" s="341">
        <f>IF(K29="","",'Historique détail'!L29/$W29)</f>
        <v>0</v>
      </c>
      <c r="N29" s="341">
        <f>IF(L29="","",'Historique détail'!M29/$W29)</f>
        <v>0</v>
      </c>
      <c r="O29" s="341">
        <f>IF(M29="","",'Historique détail'!N29/$W29)</f>
        <v>0</v>
      </c>
      <c r="P29" s="341">
        <f>IF(N29="","",'Historique détail'!O29/$W29)</f>
        <v>0</v>
      </c>
      <c r="Q29" s="341">
        <f>IF(O29="","",'Historique détail'!P29/$W29)</f>
        <v>0</v>
      </c>
      <c r="R29" s="341">
        <f>IF(P29="","",'Historique détail'!Q29/$W29)</f>
        <v>0</v>
      </c>
      <c r="S29" s="341">
        <f>IF(Q29="","",'Historique détail'!R29/$W29)</f>
        <v>0</v>
      </c>
      <c r="T29" s="341">
        <f>IF(R29="","",'Historique détail'!S29/$W29)</f>
        <v>0</v>
      </c>
      <c r="U29" s="340">
        <f t="shared" si="2"/>
        <v>0.05845634246</v>
      </c>
      <c r="V29" s="14">
        <f>IF(A29="","",ARBITRAGES!M29)</f>
        <v>2589.749516</v>
      </c>
      <c r="W29" s="342">
        <f>IF(V29="","",'Historique détail'!U29)</f>
        <v>44302.28453</v>
      </c>
      <c r="X29" s="288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289"/>
      <c r="AY29" s="289"/>
      <c r="AZ29" s="289"/>
      <c r="BA29" s="289"/>
      <c r="BB29" s="289"/>
    </row>
    <row r="30">
      <c r="A30" s="290">
        <f>IF(ARBITRAGES!E30="","",ARBITRAGES!E30)</f>
        <v>45594</v>
      </c>
      <c r="B30" s="302">
        <f t="shared" si="1"/>
        <v>0.9373681585</v>
      </c>
      <c r="C30" s="341">
        <f>IF(A30="","",'Historique détail'!B30/$W30)</f>
        <v>0.4827396434</v>
      </c>
      <c r="D30" s="341">
        <f>IF(B30="","",'Historique détail'!C30/$W30)</f>
        <v>0.1695588722</v>
      </c>
      <c r="E30" s="341">
        <f>IF(C30="","",'Historique détail'!D30/$W30)</f>
        <v>0.06288717556</v>
      </c>
      <c r="F30" s="341">
        <f>IF(D30="","",'Historique détail'!E30/$W30)</f>
        <v>0.06966390606</v>
      </c>
      <c r="G30" s="341">
        <f>IF(E30="","",'Historique détail'!F30/$W30)</f>
        <v>0.06534423003</v>
      </c>
      <c r="H30" s="341">
        <f>IF(F30="","",'Historique détail'!G30/$W30)</f>
        <v>0.02456636385</v>
      </c>
      <c r="I30" s="341">
        <f>IF(G30="","",'Historique détail'!H30/$W30)</f>
        <v>0.0262644996</v>
      </c>
      <c r="J30" s="341">
        <f>IF(H30="","",'Historique détail'!I30/$W30)</f>
        <v>0.01077184111</v>
      </c>
      <c r="K30" s="341">
        <f>IF(I30="","",'Historique détail'!J30/$W30)</f>
        <v>0.01932151128</v>
      </c>
      <c r="L30" s="341">
        <f>IF(J30="","",'Historique détail'!K30/$W30)</f>
        <v>0.006250115422</v>
      </c>
      <c r="M30" s="341">
        <f>IF(K30="","",'Historique détail'!L30/$W30)</f>
        <v>0</v>
      </c>
      <c r="N30" s="341">
        <f>IF(L30="","",'Historique détail'!M30/$W30)</f>
        <v>0</v>
      </c>
      <c r="O30" s="341">
        <f>IF(M30="","",'Historique détail'!N30/$W30)</f>
        <v>0</v>
      </c>
      <c r="P30" s="341">
        <f>IF(N30="","",'Historique détail'!O30/$W30)</f>
        <v>0</v>
      </c>
      <c r="Q30" s="341">
        <f>IF(O30="","",'Historique détail'!P30/$W30)</f>
        <v>0</v>
      </c>
      <c r="R30" s="341">
        <f>IF(P30="","",'Historique détail'!Q30/$W30)</f>
        <v>0</v>
      </c>
      <c r="S30" s="341">
        <f>IF(Q30="","",'Historique détail'!R30/$W30)</f>
        <v>0</v>
      </c>
      <c r="T30" s="341">
        <f>IF(R30="","",'Historique détail'!S30/$W30)</f>
        <v>0</v>
      </c>
      <c r="U30" s="340">
        <f t="shared" si="2"/>
        <v>0.06263184154</v>
      </c>
      <c r="V30" s="14">
        <f>IF(A30="","",ARBITRAGES!M30)</f>
        <v>2766.202947</v>
      </c>
      <c r="W30" s="342">
        <f>IF(V30="","",'Historique détail'!U30)</f>
        <v>44166.08036</v>
      </c>
      <c r="X30" s="307">
        <v>1.0</v>
      </c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  <c r="AK30" s="289"/>
      <c r="AL30" s="289"/>
      <c r="AM30" s="289"/>
      <c r="AN30" s="289"/>
      <c r="AO30" s="289"/>
      <c r="AP30" s="289"/>
      <c r="AQ30" s="289"/>
      <c r="AR30" s="289"/>
      <c r="AS30" s="289"/>
      <c r="AT30" s="289"/>
      <c r="AU30" s="289"/>
      <c r="AV30" s="289"/>
      <c r="AW30" s="289"/>
      <c r="AX30" s="289"/>
      <c r="AY30" s="289"/>
      <c r="AZ30" s="289"/>
      <c r="BA30" s="289"/>
      <c r="BB30" s="289"/>
    </row>
    <row r="31">
      <c r="A31" s="290">
        <f>IF(ARBITRAGES!E31="","",ARBITRAGES!E31)</f>
        <v>45595</v>
      </c>
      <c r="B31" s="302">
        <f t="shared" si="1"/>
        <v>0.9426598617</v>
      </c>
      <c r="C31" s="341">
        <f>IF(A31="","",'Historique détail'!B31/$W31)</f>
        <v>0.4905557141</v>
      </c>
      <c r="D31" s="341">
        <f>IF(B31="","",'Historique détail'!C31/$W31)</f>
        <v>0.1667831153</v>
      </c>
      <c r="E31" s="341">
        <f>IF(C31="","",'Historique détail'!D31/$W31)</f>
        <v>0.06553239738</v>
      </c>
      <c r="F31" s="341">
        <f>IF(D31="","",'Historique détail'!E31/$W31)</f>
        <v>0.06764894968</v>
      </c>
      <c r="G31" s="341">
        <f>IF(E31="","",'Historique détail'!F31/$W31)</f>
        <v>0.06522304702</v>
      </c>
      <c r="H31" s="341">
        <f>IF(F31="","",'Historique détail'!G31/$W31)</f>
        <v>0.0230199093</v>
      </c>
      <c r="I31" s="341">
        <f>IF(G31="","",'Historique détail'!H31/$W31)</f>
        <v>0.02680890058</v>
      </c>
      <c r="J31" s="341">
        <f>IF(H31="","",'Historique détail'!I31/$W31)</f>
        <v>0.0104852589</v>
      </c>
      <c r="K31" s="341">
        <f>IF(I31="","",'Historique détail'!J31/$W31)</f>
        <v>0.02006076883</v>
      </c>
      <c r="L31" s="341">
        <f>IF(J31="","",'Historique détail'!K31/$W31)</f>
        <v>0.006541800685</v>
      </c>
      <c r="M31" s="341">
        <f>IF(K31="","",'Historique détail'!L31/$W31)</f>
        <v>0</v>
      </c>
      <c r="N31" s="341">
        <f>IF(L31="","",'Historique détail'!M31/$W31)</f>
        <v>0</v>
      </c>
      <c r="O31" s="341">
        <f>IF(M31="","",'Historique détail'!N31/$W31)</f>
        <v>0</v>
      </c>
      <c r="P31" s="341">
        <f>IF(N31="","",'Historique détail'!O31/$W31)</f>
        <v>0</v>
      </c>
      <c r="Q31" s="341">
        <f>IF(O31="","",'Historique détail'!P31/$W31)</f>
        <v>0</v>
      </c>
      <c r="R31" s="341">
        <f>IF(P31="","",'Historique détail'!Q31/$W31)</f>
        <v>0</v>
      </c>
      <c r="S31" s="341">
        <f>IF(Q31="","",'Historique détail'!R31/$W31)</f>
        <v>0</v>
      </c>
      <c r="T31" s="341">
        <f>IF(R31="","",'Historique détail'!S31/$W31)</f>
        <v>0</v>
      </c>
      <c r="U31" s="340">
        <f t="shared" si="2"/>
        <v>0.0573401383</v>
      </c>
      <c r="V31" s="14">
        <f>IF(A31="","",ARBITRAGES!M31)</f>
        <v>2406.202947</v>
      </c>
      <c r="W31" s="342">
        <f>IF(V31="","",'Historique détail'!U31)</f>
        <v>41963.67533</v>
      </c>
      <c r="X31" s="288"/>
      <c r="Y31" s="289"/>
      <c r="Z31" s="289"/>
      <c r="AA31" s="289"/>
      <c r="AB31" s="289"/>
      <c r="AC31" s="289"/>
      <c r="AD31" s="289"/>
      <c r="AE31" s="289"/>
      <c r="AF31" s="289"/>
      <c r="AG31" s="289"/>
      <c r="AH31" s="289"/>
      <c r="AI31" s="289"/>
      <c r="AJ31" s="289"/>
      <c r="AK31" s="289"/>
      <c r="AL31" s="289"/>
      <c r="AM31" s="289"/>
      <c r="AN31" s="289"/>
      <c r="AO31" s="289"/>
      <c r="AP31" s="289"/>
      <c r="AQ31" s="289"/>
      <c r="AR31" s="289"/>
      <c r="AS31" s="289"/>
      <c r="AT31" s="289"/>
      <c r="AU31" s="289"/>
      <c r="AV31" s="289"/>
      <c r="AW31" s="289"/>
      <c r="AX31" s="289"/>
      <c r="AY31" s="289"/>
      <c r="AZ31" s="289"/>
      <c r="BA31" s="289"/>
      <c r="BB31" s="289"/>
    </row>
    <row r="32">
      <c r="A32" s="290">
        <f>IF(ARBITRAGES!E32="","",ARBITRAGES!E32)</f>
        <v>45598</v>
      </c>
      <c r="B32" s="302">
        <f t="shared" si="1"/>
        <v>0.9580624391</v>
      </c>
      <c r="C32" s="341">
        <f>IF(A32="","",'Historique détail'!B32/$W32)</f>
        <v>0.4955017115</v>
      </c>
      <c r="D32" s="341">
        <f>IF(B32="","",'Historique détail'!C32/$W32)</f>
        <v>0.1687106295</v>
      </c>
      <c r="E32" s="341">
        <f>IF(C32="","",'Historique détail'!D32/$W32)</f>
        <v>0.0622311995</v>
      </c>
      <c r="F32" s="341">
        <f>IF(D32="","",'Historique détail'!E32/$W32)</f>
        <v>0.06690042215</v>
      </c>
      <c r="G32" s="341">
        <f>IF(E32="","",'Historique détail'!F32/$W32)</f>
        <v>0.06146909671</v>
      </c>
      <c r="H32" s="341">
        <f>IF(F32="","",'Historique détail'!G32/$W32)</f>
        <v>0.02186716749</v>
      </c>
      <c r="I32" s="341">
        <f>IF(G32="","",'Historique détail'!H32/$W32)</f>
        <v>0.02607333806</v>
      </c>
      <c r="J32" s="341">
        <f>IF(H32="","",'Historique détail'!I32/$W32)</f>
        <v>0.01163461217</v>
      </c>
      <c r="K32" s="341">
        <f>IF(I32="","",'Historique détail'!J32/$W32)</f>
        <v>0.02042309222</v>
      </c>
      <c r="L32" s="341">
        <f>IF(J32="","",'Historique détail'!K32/$W32)</f>
        <v>0.006002180812</v>
      </c>
      <c r="M32" s="341">
        <f>IF(K32="","",'Historique détail'!L32/$W32)</f>
        <v>0.01724898898</v>
      </c>
      <c r="N32" s="341">
        <f>IF(L32="","",'Historique détail'!M32/$W32)</f>
        <v>0</v>
      </c>
      <c r="O32" s="341">
        <f>IF(M32="","",'Historique détail'!N32/$W32)</f>
        <v>0</v>
      </c>
      <c r="P32" s="341">
        <f>IF(N32="","",'Historique détail'!O32/$W32)</f>
        <v>0</v>
      </c>
      <c r="Q32" s="341">
        <f>IF(O32="","",'Historique détail'!P32/$W32)</f>
        <v>0</v>
      </c>
      <c r="R32" s="341">
        <f>IF(P32="","",'Historique détail'!Q32/$W32)</f>
        <v>0</v>
      </c>
      <c r="S32" s="341">
        <f>IF(Q32="","",'Historique détail'!R32/$W32)</f>
        <v>0</v>
      </c>
      <c r="T32" s="341">
        <f>IF(R32="","",'Historique détail'!S32/$W32)</f>
        <v>0</v>
      </c>
      <c r="U32" s="340">
        <f t="shared" si="2"/>
        <v>0.04193756091</v>
      </c>
      <c r="V32" s="14">
        <f>IF(A32="","",ARBITRAGES!M32)</f>
        <v>1704.952947</v>
      </c>
      <c r="W32" s="342">
        <f>IF(V32="","",'Historique détail'!U32)</f>
        <v>40654.55668</v>
      </c>
      <c r="X32" s="288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/>
      <c r="AO32" s="289"/>
      <c r="AP32" s="289"/>
      <c r="AQ32" s="289"/>
      <c r="AR32" s="289"/>
      <c r="AS32" s="289"/>
      <c r="AT32" s="289"/>
      <c r="AU32" s="289"/>
      <c r="AV32" s="289"/>
      <c r="AW32" s="289"/>
      <c r="AX32" s="289"/>
      <c r="AY32" s="289"/>
      <c r="AZ32" s="289"/>
      <c r="BA32" s="289"/>
      <c r="BB32" s="289"/>
    </row>
    <row r="33">
      <c r="A33" s="290">
        <f>IF(ARBITRAGES!E33="","",ARBITRAGES!E33)</f>
        <v>45599</v>
      </c>
      <c r="B33" s="302">
        <f t="shared" si="1"/>
        <v>0.9484658806</v>
      </c>
      <c r="C33" s="341">
        <f>IF(A33="","",'Historique détail'!B33/$W33)</f>
        <v>0.4957305065</v>
      </c>
      <c r="D33" s="341">
        <f>IF(B33="","",'Historique détail'!C33/$W33)</f>
        <v>0.1675654254</v>
      </c>
      <c r="E33" s="341">
        <f>IF(C33="","",'Historique détail'!D33/$W33)</f>
        <v>0.06180877545</v>
      </c>
      <c r="F33" s="341">
        <f>IF(D33="","",'Historique détail'!E33/$W33)</f>
        <v>0.06769217171</v>
      </c>
      <c r="G33" s="341">
        <f>IF(E33="","",'Historique détail'!F33/$W33)</f>
        <v>0.06250546117</v>
      </c>
      <c r="H33" s="341">
        <f>IF(F33="","",'Historique détail'!G33/$W33)</f>
        <v>0.02171873362</v>
      </c>
      <c r="I33" s="341">
        <f>IF(G33="","",'Historique détail'!H33/$W33)</f>
        <v>0.0258963528</v>
      </c>
      <c r="J33" s="341">
        <f>IF(H33="","",'Historique détail'!I33/$W33)</f>
        <v>0.01155563667</v>
      </c>
      <c r="K33" s="341">
        <f>IF(I33="","",'Historique détail'!J33/$W33)</f>
        <v>0.0202844607</v>
      </c>
      <c r="L33" s="341">
        <f>IF(J33="","",'Historique détail'!K33/$W33)</f>
        <v>0.005961438137</v>
      </c>
      <c r="M33" s="341">
        <f>IF(K33="","",'Historique détail'!L33/$W33)</f>
        <v>0.007746918371</v>
      </c>
      <c r="N33" s="341">
        <f>IF(L33="","",'Historique détail'!M33/$W33)</f>
        <v>0</v>
      </c>
      <c r="O33" s="341">
        <f>IF(M33="","",'Historique détail'!N33/$W33)</f>
        <v>0</v>
      </c>
      <c r="P33" s="341">
        <f>IF(N33="","",'Historique détail'!O33/$W33)</f>
        <v>0</v>
      </c>
      <c r="Q33" s="341">
        <f>IF(O33="","",'Historique détail'!P33/$W33)</f>
        <v>0</v>
      </c>
      <c r="R33" s="341">
        <f>IF(P33="","",'Historique détail'!Q33/$W33)</f>
        <v>0</v>
      </c>
      <c r="S33" s="341">
        <f>IF(Q33="","",'Historique détail'!R33/$W33)</f>
        <v>0</v>
      </c>
      <c r="T33" s="341">
        <f>IF(R33="","",'Historique détail'!S33/$W33)</f>
        <v>0</v>
      </c>
      <c r="U33" s="340">
        <f t="shared" si="2"/>
        <v>0.05153411945</v>
      </c>
      <c r="V33" s="14">
        <f>IF(A33="","",ARBITRAGES!M33)</f>
        <v>2109.415447</v>
      </c>
      <c r="W33" s="342">
        <f>IF(V33="","",'Historique détail'!U33)</f>
        <v>40932.40497</v>
      </c>
      <c r="X33" s="288"/>
      <c r="Y33" s="289"/>
      <c r="Z33" s="289"/>
      <c r="AA33" s="289"/>
      <c r="AB33" s="289"/>
      <c r="AC33" s="289"/>
      <c r="AD33" s="289"/>
      <c r="AE33" s="289"/>
      <c r="AF33" s="289"/>
      <c r="AG33" s="289"/>
      <c r="AH33" s="289"/>
      <c r="AI33" s="289"/>
      <c r="AJ33" s="289"/>
      <c r="AK33" s="289"/>
      <c r="AL33" s="289"/>
      <c r="AM33" s="289"/>
      <c r="AN33" s="289"/>
      <c r="AO33" s="289"/>
      <c r="AP33" s="289"/>
      <c r="AQ33" s="289"/>
      <c r="AR33" s="289"/>
      <c r="AS33" s="289"/>
      <c r="AT33" s="289"/>
      <c r="AU33" s="289"/>
      <c r="AV33" s="289"/>
      <c r="AW33" s="289"/>
      <c r="AX33" s="289"/>
      <c r="AY33" s="289"/>
      <c r="AZ33" s="289"/>
      <c r="BA33" s="289"/>
      <c r="BB33" s="289"/>
    </row>
    <row r="34">
      <c r="A34" s="290">
        <f>IF(ARBITRAGES!E34="","",ARBITRAGES!E34)</f>
        <v>45602</v>
      </c>
      <c r="B34" s="302">
        <f t="shared" si="1"/>
        <v>0.9373510038</v>
      </c>
      <c r="C34" s="341">
        <f>IF(A34="","",'Historique détail'!B34/$W34)</f>
        <v>0.4948910199</v>
      </c>
      <c r="D34" s="341">
        <f>IF(B34="","",'Historique détail'!C34/$W34)</f>
        <v>0.1674919562</v>
      </c>
      <c r="E34" s="341">
        <f>IF(C34="","",'Historique détail'!D34/$W34)</f>
        <v>0.05792078905</v>
      </c>
      <c r="F34" s="341">
        <f>IF(D34="","",'Historique détail'!E34/$W34)</f>
        <v>0.05439791503</v>
      </c>
      <c r="G34" s="341">
        <f>IF(E34="","",'Historique détail'!F34/$W34)</f>
        <v>0.0691794391</v>
      </c>
      <c r="H34" s="341">
        <f>IF(F34="","",'Historique détail'!G34/$W34)</f>
        <v>0.02147509886</v>
      </c>
      <c r="I34" s="341">
        <f>IF(G34="","",'Historique détail'!H34/$W34)</f>
        <v>0.02672542784</v>
      </c>
      <c r="J34" s="341">
        <f>IF(H34="","",'Historique détail'!I34/$W34)</f>
        <v>0.01186148442</v>
      </c>
      <c r="K34" s="341">
        <f>IF(I34="","",'Historique détail'!J34/$W34)</f>
        <v>0.01940569596</v>
      </c>
      <c r="L34" s="341">
        <f>IF(J34="","",'Historique détail'!K34/$W34)</f>
        <v>0.005977208163</v>
      </c>
      <c r="M34" s="341">
        <f>IF(K34="","",'Historique détail'!L34/$W34)</f>
        <v>0.008024969298</v>
      </c>
      <c r="N34" s="341">
        <f>IF(L34="","",'Historique détail'!M34/$W34)</f>
        <v>0</v>
      </c>
      <c r="O34" s="341">
        <f>IF(M34="","",'Historique détail'!N34/$W34)</f>
        <v>0</v>
      </c>
      <c r="P34" s="341">
        <f>IF(N34="","",'Historique détail'!O34/$W34)</f>
        <v>0</v>
      </c>
      <c r="Q34" s="341">
        <f>IF(O34="","",'Historique détail'!P34/$W34)</f>
        <v>0</v>
      </c>
      <c r="R34" s="341">
        <f>IF(P34="","",'Historique détail'!Q34/$W34)</f>
        <v>0</v>
      </c>
      <c r="S34" s="341">
        <f>IF(Q34="","",'Historique détail'!R34/$W34)</f>
        <v>0</v>
      </c>
      <c r="T34" s="341">
        <f>IF(R34="","",'Historique détail'!S34/$W34)</f>
        <v>0</v>
      </c>
      <c r="U34" s="340">
        <f t="shared" si="2"/>
        <v>0.06264899615</v>
      </c>
      <c r="V34" s="14">
        <f>IF(A34="","",ARBITRAGES!M34)</f>
        <v>2829.415447</v>
      </c>
      <c r="W34" s="342">
        <f>IF(V34="","",'Historique détail'!U34)</f>
        <v>45162.98138</v>
      </c>
      <c r="X34" s="288"/>
      <c r="Y34" s="289"/>
      <c r="Z34" s="289"/>
      <c r="AA34" s="289"/>
      <c r="AB34" s="289"/>
      <c r="AC34" s="289"/>
      <c r="AD34" s="289"/>
      <c r="AE34" s="289"/>
      <c r="AF34" s="289"/>
      <c r="AG34" s="289"/>
      <c r="AH34" s="289"/>
      <c r="AI34" s="289"/>
      <c r="AJ34" s="289"/>
      <c r="AK34" s="289"/>
      <c r="AL34" s="289"/>
      <c r="AM34" s="289"/>
      <c r="AN34" s="289"/>
      <c r="AO34" s="289"/>
      <c r="AP34" s="289"/>
      <c r="AQ34" s="289"/>
      <c r="AR34" s="289"/>
      <c r="AS34" s="289"/>
      <c r="AT34" s="289"/>
      <c r="AU34" s="289"/>
      <c r="AV34" s="289"/>
      <c r="AW34" s="289"/>
      <c r="AX34" s="289"/>
      <c r="AY34" s="289"/>
      <c r="AZ34" s="289"/>
      <c r="BA34" s="289"/>
      <c r="BB34" s="289"/>
    </row>
    <row r="35">
      <c r="A35" s="290">
        <f>PRIX!A35</f>
        <v>45606</v>
      </c>
      <c r="B35" s="302">
        <f t="shared" si="1"/>
        <v>0.9383845589</v>
      </c>
      <c r="C35" s="341">
        <f>IF(A35="","",'Historique détail'!B35/$W35)</f>
        <v>0.4728189905</v>
      </c>
      <c r="D35" s="341">
        <f>IF(B35="","",'Historique détail'!C35/$W35)</f>
        <v>0.1796166634</v>
      </c>
      <c r="E35" s="341">
        <f>IF(C35="","",'Historique détail'!D35/$W35)</f>
        <v>0.06005657338</v>
      </c>
      <c r="F35" s="341">
        <f>IF(D35="","",'Historique détail'!E35/$W35)</f>
        <v>0.05547187191</v>
      </c>
      <c r="G35" s="341">
        <f>IF(E35="","",'Historique détail'!F35/$W35)</f>
        <v>0.06792028338</v>
      </c>
      <c r="H35" s="341">
        <f>IF(F35="","",'Historique détail'!G35/$W35)</f>
        <v>0.02307317701</v>
      </c>
      <c r="I35" s="341">
        <f>IF(G35="","",'Historique détail'!H35/$W35)</f>
        <v>0.02917753795</v>
      </c>
      <c r="J35" s="341">
        <f>IF(H35="","",'Historique détail'!I35/$W35)</f>
        <v>0.01555639141</v>
      </c>
      <c r="K35" s="341">
        <f>IF(I35="","",'Historique détail'!J35/$W35)</f>
        <v>0.01945167124</v>
      </c>
      <c r="L35" s="341">
        <f>IF(J35="","",'Historique détail'!K35/$W35)</f>
        <v>0.006205730154</v>
      </c>
      <c r="M35" s="341">
        <f>IF(K35="","",'Historique détail'!L35/$W35)</f>
        <v>0.009035668591</v>
      </c>
      <c r="N35" s="341">
        <f>IF(L35="","",'Historique détail'!M35/$W35)</f>
        <v>0</v>
      </c>
      <c r="O35" s="341">
        <f>IF(M35="","",'Historique détail'!N35/$W35)</f>
        <v>0</v>
      </c>
      <c r="P35" s="341">
        <f>IF(N35="","",'Historique détail'!O35/$W35)</f>
        <v>0</v>
      </c>
      <c r="Q35" s="341">
        <f>IF(O35="","",'Historique détail'!P35/$W35)</f>
        <v>0</v>
      </c>
      <c r="R35" s="341">
        <f>IF(P35="","",'Historique détail'!Q35/$W35)</f>
        <v>0</v>
      </c>
      <c r="S35" s="341">
        <f>IF(Q35="","",'Historique détail'!R35/$W35)</f>
        <v>0</v>
      </c>
      <c r="T35" s="341">
        <f>IF(R35="","",'Historique détail'!S35/$W35)</f>
        <v>0</v>
      </c>
      <c r="U35" s="340">
        <f t="shared" si="2"/>
        <v>0.06161544106</v>
      </c>
      <c r="V35" s="14">
        <f>IF(A35="","",ARBITRAGES!M35)</f>
        <v>3104.261179</v>
      </c>
      <c r="W35" s="342">
        <f>IF(V35="","",'Historique détail'!U35)</f>
        <v>50381.22143</v>
      </c>
      <c r="X35" s="288"/>
      <c r="Y35" s="289"/>
      <c r="Z35" s="289"/>
      <c r="AA35" s="289"/>
      <c r="AB35" s="289"/>
      <c r="AC35" s="289"/>
      <c r="AD35" s="289"/>
      <c r="AE35" s="289"/>
      <c r="AF35" s="289"/>
      <c r="AG35" s="289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</row>
    <row r="36">
      <c r="A36" s="290">
        <f>PRIX!A36</f>
        <v>45576</v>
      </c>
      <c r="B36" s="302">
        <f t="shared" si="1"/>
        <v>0.9346643385</v>
      </c>
      <c r="C36" s="341">
        <f>IF(A36="","",'Historique détail'!B36/$W36)</f>
        <v>0.4839416026</v>
      </c>
      <c r="D36" s="341">
        <f>IF(B36="","",'Historique détail'!C36/$W36)</f>
        <v>0.1775222209</v>
      </c>
      <c r="E36" s="341">
        <f>IF(C36="","",'Historique détail'!D36/$W36)</f>
        <v>0.05723008125</v>
      </c>
      <c r="F36" s="341">
        <f>IF(D36="","",'Historique détail'!E36/$W36)</f>
        <v>0.05409048252</v>
      </c>
      <c r="G36" s="341">
        <f>IF(E36="","",'Historique détail'!F36/$W36)</f>
        <v>0.06866339814</v>
      </c>
      <c r="H36" s="341">
        <f>IF(F36="","",'Historique détail'!G36/$W36)</f>
        <v>0.0211925446</v>
      </c>
      <c r="I36" s="341">
        <f>IF(G36="","",'Historique détail'!H36/$W36)</f>
        <v>0.02770975882</v>
      </c>
      <c r="J36" s="341">
        <f>IF(H36="","",'Historique détail'!I36/$W36)</f>
        <v>0.01158513807</v>
      </c>
      <c r="K36" s="341">
        <f>IF(I36="","",'Historique détail'!J36/$W36)</f>
        <v>0.01853620117</v>
      </c>
      <c r="L36" s="341">
        <f>IF(J36="","",'Historique détail'!K36/$W36)</f>
        <v>0.005913664748</v>
      </c>
      <c r="M36" s="341">
        <f>IF(K36="","",'Historique détail'!L36/$W36)</f>
        <v>0.008279245629</v>
      </c>
      <c r="N36" s="341">
        <f>IF(L36="","",'Historique détail'!M36/$W36)</f>
        <v>0</v>
      </c>
      <c r="O36" s="341">
        <f>IF(M36="","",'Historique détail'!N36/$W36)</f>
        <v>0</v>
      </c>
      <c r="P36" s="341">
        <f>IF(N36="","",'Historique détail'!O36/$W36)</f>
        <v>0</v>
      </c>
      <c r="Q36" s="341">
        <f>IF(O36="","",'Historique détail'!P36/$W36)</f>
        <v>0</v>
      </c>
      <c r="R36" s="341">
        <f>IF(P36="","",'Historique détail'!Q36/$W36)</f>
        <v>0</v>
      </c>
      <c r="S36" s="341">
        <f>IF(Q36="","",'Historique détail'!R36/$W36)</f>
        <v>0</v>
      </c>
      <c r="T36" s="341">
        <f>IF(R36="","",'Historique détail'!S36/$W36)</f>
        <v>0</v>
      </c>
      <c r="U36" s="340">
        <f t="shared" si="2"/>
        <v>0.06533566154</v>
      </c>
      <c r="V36" s="14">
        <f>IF(A36="","",ARBITRAGES!M36)</f>
        <v>3454.261179</v>
      </c>
      <c r="W36" s="342">
        <f>IF(V36="","",'Historique détail'!U36)</f>
        <v>52869.46053</v>
      </c>
      <c r="X36" s="288"/>
      <c r="Y36" s="289"/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89"/>
      <c r="AL36" s="289"/>
      <c r="AM36" s="289"/>
      <c r="AN36" s="289"/>
      <c r="AO36" s="289"/>
      <c r="AP36" s="289"/>
      <c r="AQ36" s="289"/>
      <c r="AR36" s="289"/>
      <c r="AS36" s="289"/>
      <c r="AT36" s="289"/>
      <c r="AU36" s="289"/>
      <c r="AV36" s="289"/>
      <c r="AW36" s="289"/>
      <c r="AX36" s="289"/>
      <c r="AY36" s="289"/>
      <c r="AZ36" s="289"/>
      <c r="BA36" s="289"/>
      <c r="BB36" s="289"/>
    </row>
    <row r="37">
      <c r="A37" s="290">
        <f>PRIX!A37</f>
        <v>45608</v>
      </c>
      <c r="B37" s="302">
        <f t="shared" si="1"/>
        <v>0.9130126812</v>
      </c>
      <c r="C37" s="341">
        <f>IF(A37="","",'Historique détail'!B37/$W37)</f>
        <v>0.4658987899</v>
      </c>
      <c r="D37" s="341">
        <f>IF(B37="","",'Historique détail'!C37/$W37)</f>
        <v>0.1757207596</v>
      </c>
      <c r="E37" s="341">
        <f>IF(C37="","",'Historique détail'!D37/$W37)</f>
        <v>0.05632366355</v>
      </c>
      <c r="F37" s="341">
        <f>IF(D37="","",'Historique détail'!E37/$W37)</f>
        <v>0.05395316576</v>
      </c>
      <c r="G37" s="341">
        <f>IF(E37="","",'Historique détail'!F37/$W37)</f>
        <v>0.06641819546</v>
      </c>
      <c r="H37" s="341">
        <f>IF(F37="","",'Historique détail'!G37/$W37)</f>
        <v>0.0207981755</v>
      </c>
      <c r="I37" s="341">
        <f>IF(G37="","",'Historique détail'!H37/$W37)</f>
        <v>0.02767085761</v>
      </c>
      <c r="J37" s="341">
        <f>IF(H37="","",'Historique détail'!I37/$W37)</f>
        <v>0.01342958956</v>
      </c>
      <c r="K37" s="341">
        <f>IF(I37="","",'Historique détail'!J37/$W37)</f>
        <v>0.0189821881</v>
      </c>
      <c r="L37" s="341">
        <f>IF(J37="","",'Historique détail'!K37/$W37)</f>
        <v>0.005936377824</v>
      </c>
      <c r="M37" s="341">
        <f>IF(K37="","",'Historique détail'!L37/$W37)</f>
        <v>0.007880918288</v>
      </c>
      <c r="N37" s="341">
        <f>IF(L37="","",'Historique détail'!M37/$W37)</f>
        <v>0</v>
      </c>
      <c r="O37" s="341">
        <f>IF(M37="","",'Historique détail'!N37/$W37)</f>
        <v>0</v>
      </c>
      <c r="P37" s="341">
        <f>IF(N37="","",'Historique détail'!O37/$W37)</f>
        <v>0</v>
      </c>
      <c r="Q37" s="341">
        <f>IF(O37="","",'Historique détail'!P37/$W37)</f>
        <v>0</v>
      </c>
      <c r="R37" s="341">
        <f>IF(P37="","",'Historique détail'!Q37/$W37)</f>
        <v>0</v>
      </c>
      <c r="S37" s="341">
        <f>IF(Q37="","",'Historique détail'!R37/$W37)</f>
        <v>0</v>
      </c>
      <c r="T37" s="341">
        <f>IF(R37="","",'Historique détail'!S37/$W37)</f>
        <v>0</v>
      </c>
      <c r="U37" s="340">
        <f t="shared" si="2"/>
        <v>0.08698731885</v>
      </c>
      <c r="V37" s="14">
        <f>IF(A37="","",ARBITRAGES!M37)</f>
        <v>4715.465639</v>
      </c>
      <c r="W37" s="342">
        <f>IF(V37="","",'Historique détail'!U37)</f>
        <v>54208.65594</v>
      </c>
      <c r="X37" s="288"/>
      <c r="Y37" s="289"/>
      <c r="Z37" s="289"/>
      <c r="AA37" s="289"/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289"/>
      <c r="AY37" s="289"/>
      <c r="AZ37" s="289"/>
      <c r="BA37" s="289"/>
      <c r="BB37" s="289"/>
    </row>
    <row r="38">
      <c r="A38" s="290">
        <f>PRIX!A38</f>
        <v>45609</v>
      </c>
      <c r="B38" s="302">
        <f t="shared" si="1"/>
        <v>0.9228736595</v>
      </c>
      <c r="C38" s="341">
        <f>IF(A38="","",'Historique détail'!B38/$W38)</f>
        <v>0.4765080827</v>
      </c>
      <c r="D38" s="341">
        <f>IF(B38="","",'Historique détail'!C38/$W38)</f>
        <v>0.1727350981</v>
      </c>
      <c r="E38" s="341">
        <f>IF(C38="","",'Historique détail'!D38/$W38)</f>
        <v>0.05585288222</v>
      </c>
      <c r="F38" s="341">
        <f>IF(D38="","",'Historique détail'!E38/$W38)</f>
        <v>0.05258657951</v>
      </c>
      <c r="G38" s="341">
        <f>IF(E38="","",'Historique détail'!F38/$W38)</f>
        <v>0.06250325443</v>
      </c>
      <c r="H38" s="341">
        <f>IF(F38="","",'Historique détail'!G38/$W38)</f>
        <v>0.0196127742</v>
      </c>
      <c r="I38" s="341">
        <f>IF(G38="","",'Historique détail'!H38/$W38)</f>
        <v>0.02596508807</v>
      </c>
      <c r="J38" s="341">
        <f>IF(H38="","",'Historique détail'!I38/$W38)</f>
        <v>0.01293392028</v>
      </c>
      <c r="K38" s="341">
        <f>IF(I38="","",'Historique détail'!J38/$W38)</f>
        <v>0.01640563929</v>
      </c>
      <c r="L38" s="341">
        <f>IF(J38="","",'Historique détail'!K38/$W38)</f>
        <v>0.005458006839</v>
      </c>
      <c r="M38" s="341">
        <f>IF(K38="","",'Historique détail'!L38/$W38)</f>
        <v>0.007491811694</v>
      </c>
      <c r="N38" s="341">
        <f>IF(L38="","",'Historique détail'!M38/$W38)</f>
        <v>0</v>
      </c>
      <c r="O38" s="341">
        <f>IF(M38="","",'Historique détail'!N38/$W38)</f>
        <v>0.01482052218</v>
      </c>
      <c r="P38" s="341">
        <f>IF(N38="","",'Historique détail'!O38/$W38)</f>
        <v>0</v>
      </c>
      <c r="Q38" s="341">
        <f>IF(O38="","",'Historique détail'!P38/$W38)</f>
        <v>0</v>
      </c>
      <c r="R38" s="341">
        <f>IF(P38="","",'Historique détail'!Q38/$W38)</f>
        <v>0</v>
      </c>
      <c r="S38" s="341">
        <f>IF(Q38="","",'Historique détail'!R38/$W38)</f>
        <v>0</v>
      </c>
      <c r="T38" s="341">
        <f>IF(R38="","",'Historique détail'!S38/$W38)</f>
        <v>0</v>
      </c>
      <c r="U38" s="340">
        <f t="shared" si="2"/>
        <v>0.0771263405</v>
      </c>
      <c r="V38" s="14">
        <f>IF(A38="","",ARBITRAGES!M38)</f>
        <v>3965.465639</v>
      </c>
      <c r="W38" s="342">
        <f>IF(V38="","",'Historique détail'!U38)</f>
        <v>51415.19244</v>
      </c>
      <c r="X38" s="288"/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9"/>
      <c r="AY38" s="289"/>
      <c r="AZ38" s="289"/>
      <c r="BA38" s="289"/>
      <c r="BB38" s="289"/>
    </row>
    <row r="39">
      <c r="A39" s="290">
        <f>PRIX!A39</f>
        <v>45609</v>
      </c>
      <c r="B39" s="302">
        <f t="shared" si="1"/>
        <v>0.9339501521</v>
      </c>
      <c r="C39" s="341">
        <f>IF(A39="","",'Historique détail'!B39/$W39)</f>
        <v>0.4765080827</v>
      </c>
      <c r="D39" s="341">
        <f>IF(B39="","",'Historique détail'!C39/$W39)</f>
        <v>0.1727350981</v>
      </c>
      <c r="E39" s="341">
        <f>IF(C39="","",'Historique détail'!D39/$W39)</f>
        <v>0.05585288222</v>
      </c>
      <c r="F39" s="341">
        <f>IF(D39="","",'Historique détail'!E39/$W39)</f>
        <v>0.05258657951</v>
      </c>
      <c r="G39" s="341">
        <f>IF(E39="","",'Historique détail'!F39/$W39)</f>
        <v>0.06250325443</v>
      </c>
      <c r="H39" s="341">
        <f>IF(F39="","",'Historique détail'!G39/$W39)</f>
        <v>0.0196127742</v>
      </c>
      <c r="I39" s="341">
        <f>IF(G39="","",'Historique détail'!H39/$W39)</f>
        <v>0.02596508807</v>
      </c>
      <c r="J39" s="341">
        <f>IF(H39="","",'Historique détail'!I39/$W39)</f>
        <v>0.01293392028</v>
      </c>
      <c r="K39" s="341">
        <f>IF(I39="","",'Historique détail'!J39/$W39)</f>
        <v>0.01640563929</v>
      </c>
      <c r="L39" s="341">
        <f>IF(J39="","",'Historique détail'!K39/$W39)</f>
        <v>0.005458006839</v>
      </c>
      <c r="M39" s="341">
        <f>IF(K39="","",'Historique détail'!L39/$W39)</f>
        <v>0.007491811694</v>
      </c>
      <c r="N39" s="341">
        <f>IF(L39="","",'Historique détail'!M39/$W39)</f>
        <v>0.01107649263</v>
      </c>
      <c r="O39" s="341">
        <f>IF(M39="","",'Historique détail'!N39/$W39)</f>
        <v>0.01482052218</v>
      </c>
      <c r="P39" s="341">
        <f>IF(N39="","",'Historique détail'!O39/$W39)</f>
        <v>0</v>
      </c>
      <c r="Q39" s="341">
        <f>IF(O39="","",'Historique détail'!P39/$W39)</f>
        <v>0</v>
      </c>
      <c r="R39" s="341">
        <f>IF(P39="","",'Historique détail'!Q39/$W39)</f>
        <v>0</v>
      </c>
      <c r="S39" s="341">
        <f>IF(Q39="","",'Historique détail'!R39/$W39)</f>
        <v>0</v>
      </c>
      <c r="T39" s="341">
        <f>IF(R39="","",'Historique détail'!S39/$W39)</f>
        <v>0</v>
      </c>
      <c r="U39" s="340">
        <f t="shared" si="2"/>
        <v>0.06604984787</v>
      </c>
      <c r="V39" s="14">
        <f>IF(A39="","",ARBITRAGES!M39)</f>
        <v>3395.965639</v>
      </c>
      <c r="W39" s="342">
        <f>IF(V39="","",'Historique détail'!U39)</f>
        <v>51415.19244</v>
      </c>
      <c r="X39" s="288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</row>
    <row r="40">
      <c r="A40" s="290">
        <f>PRIX!A40</f>
        <v>45609</v>
      </c>
      <c r="B40" s="302">
        <f t="shared" si="1"/>
        <v>0.943684629</v>
      </c>
      <c r="C40" s="341">
        <f>IF(A40="","",'Historique détail'!B40/$W40)</f>
        <v>0.4765080827</v>
      </c>
      <c r="D40" s="341">
        <f>IF(B40="","",'Historique détail'!C40/$W40)</f>
        <v>0.1727350981</v>
      </c>
      <c r="E40" s="341">
        <f>IF(C40="","",'Historique détail'!D40/$W40)</f>
        <v>0.05585288222</v>
      </c>
      <c r="F40" s="341">
        <f>IF(D40="","",'Historique détail'!E40/$W40)</f>
        <v>0.05258657951</v>
      </c>
      <c r="G40" s="341">
        <f>IF(E40="","",'Historique détail'!F40/$W40)</f>
        <v>0.06250325443</v>
      </c>
      <c r="H40" s="341">
        <f>IF(F40="","",'Historique détail'!G40/$W40)</f>
        <v>0.0196127742</v>
      </c>
      <c r="I40" s="341">
        <f>IF(G40="","",'Historique détail'!H40/$W40)</f>
        <v>0.02596508807</v>
      </c>
      <c r="J40" s="341">
        <f>IF(H40="","",'Historique détail'!I40/$W40)</f>
        <v>0.01293392028</v>
      </c>
      <c r="K40" s="341">
        <f>IF(I40="","",'Historique détail'!J40/$W40)</f>
        <v>0.01640563929</v>
      </c>
      <c r="L40" s="341">
        <f>IF(J40="","",'Historique détail'!K40/$W40)</f>
        <v>0.005458006839</v>
      </c>
      <c r="M40" s="341">
        <f>IF(K40="","",'Historique détail'!L40/$W40)</f>
        <v>0.01722628853</v>
      </c>
      <c r="N40" s="341">
        <f>IF(L40="","",'Historique détail'!M40/$W40)</f>
        <v>0.01107649263</v>
      </c>
      <c r="O40" s="341">
        <f>IF(M40="","",'Historique détail'!N40/$W40)</f>
        <v>0.01482052218</v>
      </c>
      <c r="P40" s="341">
        <f>IF(N40="","",'Historique détail'!O40/$W40)</f>
        <v>0</v>
      </c>
      <c r="Q40" s="341">
        <f>IF(O40="","",'Historique détail'!P40/$W40)</f>
        <v>0</v>
      </c>
      <c r="R40" s="341">
        <f>IF(P40="","",'Historique détail'!Q40/$W40)</f>
        <v>0</v>
      </c>
      <c r="S40" s="341">
        <f>IF(Q40="","",'Historique détail'!R40/$W40)</f>
        <v>0</v>
      </c>
      <c r="T40" s="341">
        <f>IF(R40="","",'Historique détail'!S40/$W40)</f>
        <v>0</v>
      </c>
      <c r="U40" s="340">
        <f t="shared" si="2"/>
        <v>0.05631537103</v>
      </c>
      <c r="V40" s="14">
        <f>IF(A40="","",ARBITRAGES!M40)</f>
        <v>2895.465639</v>
      </c>
      <c r="W40" s="342">
        <f>IF(V40="","",'Historique détail'!U40)</f>
        <v>51415.19244</v>
      </c>
      <c r="X40" s="288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9"/>
      <c r="AY40" s="289"/>
      <c r="AZ40" s="289"/>
      <c r="BA40" s="289"/>
      <c r="BB40" s="289"/>
    </row>
    <row r="41">
      <c r="A41" s="290">
        <f>PRIX!A41</f>
        <v>45610</v>
      </c>
      <c r="B41" s="302">
        <f t="shared" si="1"/>
        <v>0.970567419</v>
      </c>
      <c r="C41" s="341">
        <f>IF(A41="","",'Historique détail'!B41/$W41)</f>
        <v>0.5120383462</v>
      </c>
      <c r="D41" s="341">
        <f>IF(B41="","",'Historique détail'!C41/$W41)</f>
        <v>0.1638890161</v>
      </c>
      <c r="E41" s="341">
        <f>IF(C41="","",'Historique détail'!D41/$W41)</f>
        <v>0.05668427868</v>
      </c>
      <c r="F41" s="341">
        <f>IF(D41="","",'Historique détail'!E41/$W41)</f>
        <v>0.05913949506</v>
      </c>
      <c r="G41" s="341">
        <f>IF(E41="","",'Historique détail'!F41/$W41)</f>
        <v>0.05525242012</v>
      </c>
      <c r="H41" s="341">
        <f>IF(F41="","",'Historique détail'!G41/$W41)</f>
        <v>0.01893058684</v>
      </c>
      <c r="I41" s="341">
        <f>IF(G41="","",'Historique détail'!H41/$W41)</f>
        <v>0.02673616695</v>
      </c>
      <c r="J41" s="341">
        <f>IF(H41="","",'Historique détail'!I41/$W41)</f>
        <v>0.01331982079</v>
      </c>
      <c r="K41" s="341">
        <f>IF(I41="","",'Historique détail'!J41/$W41)</f>
        <v>0.01656842158</v>
      </c>
      <c r="L41" s="341">
        <f>IF(J41="","",'Historique détail'!K41/$W41)</f>
        <v>0.00543654731</v>
      </c>
      <c r="M41" s="341">
        <f>IF(K41="","",'Historique détail'!L41/$W41)</f>
        <v>0.01749699914</v>
      </c>
      <c r="N41" s="341">
        <f>IF(L41="","",'Historique détail'!M41/$W41)</f>
        <v>0.0102612499</v>
      </c>
      <c r="O41" s="341">
        <f>IF(M41="","",'Historique détail'!N41/$W41)</f>
        <v>0.01481407041</v>
      </c>
      <c r="P41" s="341">
        <f>IF(N41="","",'Historique détail'!O41/$W41)</f>
        <v>0</v>
      </c>
      <c r="Q41" s="341">
        <f>IF(O41="","",'Historique détail'!P41/$W41)</f>
        <v>0</v>
      </c>
      <c r="R41" s="341">
        <f>IF(P41="","",'Historique détail'!Q41/$W41)</f>
        <v>0</v>
      </c>
      <c r="S41" s="341">
        <f>IF(Q41="","",'Historique détail'!R41/$W41)</f>
        <v>0</v>
      </c>
      <c r="T41" s="341">
        <f>IF(R41="","",'Historique détail'!S41/$W41)</f>
        <v>0</v>
      </c>
      <c r="U41" s="340">
        <f t="shared" si="2"/>
        <v>0.02943258096</v>
      </c>
      <c r="V41" s="14">
        <f>IF(A41="","",ARBITRAGES!M41)</f>
        <v>1585.465639</v>
      </c>
      <c r="W41" s="342">
        <f>IF(V41="","",'Historique détail'!U41)</f>
        <v>53867.70671</v>
      </c>
      <c r="X41" s="288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</row>
    <row r="42">
      <c r="A42" s="290">
        <f>PRIX!A42</f>
        <v>45615</v>
      </c>
      <c r="B42" s="302">
        <f t="shared" si="1"/>
        <v>0.9635736944</v>
      </c>
      <c r="C42" s="341">
        <f>IF(A42="","",'Historique détail'!B42/$W42)</f>
        <v>0.5119694407</v>
      </c>
      <c r="D42" s="341">
        <f>IF(B42="","",'Historique détail'!C42/$W42)</f>
        <v>0.1638669614</v>
      </c>
      <c r="E42" s="341">
        <f>IF(C42="","",'Historique détail'!D42/$W42)</f>
        <v>0.05667665063</v>
      </c>
      <c r="F42" s="341">
        <f>IF(D42="","",'Historique détail'!E42/$W42)</f>
        <v>0.05913153661</v>
      </c>
      <c r="G42" s="341">
        <f>IF(E42="","",'Historique détail'!F42/$W42)</f>
        <v>0.05524498475</v>
      </c>
      <c r="H42" s="341">
        <f>IF(F42="","",'Historique détail'!G42/$W42)</f>
        <v>0.01892803934</v>
      </c>
      <c r="I42" s="341">
        <f>IF(G42="","",'Historique détail'!H42/$W42)</f>
        <v>0.02673256904</v>
      </c>
      <c r="J42" s="341">
        <f>IF(H42="","",'Historique détail'!I42/$W42)</f>
        <v>0.01331802833</v>
      </c>
      <c r="K42" s="341">
        <f>IF(I42="","",'Historique détail'!J42/$W42)</f>
        <v>0.009703077386</v>
      </c>
      <c r="L42" s="341">
        <f>IF(J42="","",'Historique détail'!K42/$W42)</f>
        <v>0.005435815709</v>
      </c>
      <c r="M42" s="341">
        <f>IF(K42="","",'Historique détail'!L42/$W42)</f>
        <v>0.01749464455</v>
      </c>
      <c r="N42" s="341">
        <f>IF(L42="","",'Historique détail'!M42/$W42)</f>
        <v>0.01025986903</v>
      </c>
      <c r="O42" s="341">
        <f>IF(M42="","",'Historique détail'!N42/$W42)</f>
        <v>0.01481207687</v>
      </c>
      <c r="P42" s="341">
        <f>IF(N42="","",'Historique détail'!O42/$W42)</f>
        <v>0</v>
      </c>
      <c r="Q42" s="341">
        <f>IF(O42="","",'Historique détail'!P42/$W42)</f>
        <v>0</v>
      </c>
      <c r="R42" s="341">
        <f>IF(P42="","",'Historique détail'!Q42/$W42)</f>
        <v>0</v>
      </c>
      <c r="S42" s="341">
        <f>IF(Q42="","",'Historique détail'!R42/$W42)</f>
        <v>0</v>
      </c>
      <c r="T42" s="341">
        <f>IF(R42="","",'Historique détail'!S42/$W42)</f>
        <v>0</v>
      </c>
      <c r="U42" s="340">
        <f t="shared" si="2"/>
        <v>0.03642630563</v>
      </c>
      <c r="V42" s="14">
        <f>IF(A42="","",ARBITRAGES!M42)</f>
        <v>1962.465639</v>
      </c>
      <c r="W42" s="342">
        <f>IF(V42="","",'Historique détail'!U42)</f>
        <v>53874.95671</v>
      </c>
      <c r="X42" s="288"/>
      <c r="Y42" s="289"/>
      <c r="Z42" s="289"/>
      <c r="AA42" s="289"/>
      <c r="AB42" s="289"/>
      <c r="AC42" s="289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289"/>
      <c r="AY42" s="289"/>
      <c r="AZ42" s="289"/>
      <c r="BA42" s="289"/>
      <c r="BB42" s="289"/>
    </row>
    <row r="43">
      <c r="A43" s="290">
        <f>PRIX!A43</f>
        <v>45618</v>
      </c>
      <c r="B43" s="302">
        <f t="shared" si="1"/>
        <v>0.9739004419</v>
      </c>
      <c r="C43" s="341">
        <f>IF(A43="","",'Historique détail'!B43/$W43)</f>
        <v>0.500656907</v>
      </c>
      <c r="D43" s="341">
        <f>IF(B43="","",'Historique détail'!C43/$W43)</f>
        <v>0.1681595283</v>
      </c>
      <c r="E43" s="341">
        <f>IF(C43="","",'Historique détail'!D43/$W43)</f>
        <v>0.06130517551</v>
      </c>
      <c r="F43" s="341">
        <f>IF(D43="","",'Historique détail'!E43/$W43)</f>
        <v>0.05862480597</v>
      </c>
      <c r="G43" s="341">
        <f>IF(E43="","",'Historique détail'!F43/$W43)</f>
        <v>0.05459454176</v>
      </c>
      <c r="H43" s="341">
        <f>IF(F43="","",'Historique détail'!G43/$W43)</f>
        <v>0.01965159574</v>
      </c>
      <c r="I43" s="341">
        <f>IF(G43="","",'Historique détail'!H43/$W43)</f>
        <v>0.03086194547</v>
      </c>
      <c r="J43" s="341">
        <f>IF(H43="","",'Historique détail'!I43/$W43)</f>
        <v>0.01440024578</v>
      </c>
      <c r="K43" s="341">
        <f>IF(I43="","",'Historique détail'!J43/$W43)</f>
        <v>0.00966439335</v>
      </c>
      <c r="L43" s="341">
        <f>IF(J43="","",'Historique détail'!K43/$W43)</f>
        <v>0.005935563319</v>
      </c>
      <c r="M43" s="341">
        <f>IF(K43="","",'Historique détail'!L43/$W43)</f>
        <v>0.01629573142</v>
      </c>
      <c r="N43" s="341">
        <f>IF(L43="","",'Historique détail'!M43/$W43)</f>
        <v>0.01045205894</v>
      </c>
      <c r="O43" s="341">
        <f>IF(M43="","",'Historique détail'!N43/$W43)</f>
        <v>0.0148115121</v>
      </c>
      <c r="P43" s="341">
        <f>IF(N43="","",'Historique détail'!O43/$W43)</f>
        <v>0.008486437198</v>
      </c>
      <c r="Q43" s="341">
        <f>IF(O43="","",'Historique détail'!P43/$W43)</f>
        <v>0</v>
      </c>
      <c r="R43" s="341">
        <f>IF(P43="","",'Historique détail'!Q43/$W43)</f>
        <v>0</v>
      </c>
      <c r="S43" s="341">
        <f>IF(Q43="","",'Historique détail'!R43/$W43)</f>
        <v>0</v>
      </c>
      <c r="T43" s="341">
        <f>IF(R43="","",'Historique détail'!S43/$W43)</f>
        <v>0</v>
      </c>
      <c r="U43" s="340">
        <f t="shared" si="2"/>
        <v>0.02609955814</v>
      </c>
      <c r="V43" s="14">
        <f>IF(A43="","",ARBITRAGES!M43)</f>
        <v>1522.465639</v>
      </c>
      <c r="W43" s="342">
        <f>IF(V43="","",'Historique détail'!U43)</f>
        <v>58333.00437</v>
      </c>
      <c r="X43" s="288"/>
      <c r="Y43" s="289"/>
      <c r="Z43" s="289"/>
      <c r="AA43" s="289"/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289"/>
      <c r="AY43" s="289"/>
      <c r="AZ43" s="289"/>
      <c r="BA43" s="289"/>
      <c r="BB43" s="289"/>
    </row>
    <row r="44">
      <c r="A44" s="290">
        <f>PRIX!A44</f>
        <v>45619</v>
      </c>
      <c r="B44" s="302">
        <f t="shared" si="1"/>
        <v>0.976916436</v>
      </c>
      <c r="C44" s="341">
        <f>IF(A44="","",'Historique détail'!B44/$W44)</f>
        <v>0.500656907</v>
      </c>
      <c r="D44" s="341">
        <f>IF(B44="","",'Historique détail'!C44/$W44)</f>
        <v>0.1681595283</v>
      </c>
      <c r="E44" s="341">
        <f>IF(C44="","",'Historique détail'!D44/$W44)</f>
        <v>0.06130517551</v>
      </c>
      <c r="F44" s="341">
        <f>IF(D44="","",'Historique détail'!E44/$W44)</f>
        <v>0.05862480597</v>
      </c>
      <c r="G44" s="341">
        <f>IF(E44="","",'Historique détail'!F44/$W44)</f>
        <v>0.05459454176</v>
      </c>
      <c r="H44" s="341">
        <f>IF(F44="","",'Historique détail'!G44/$W44)</f>
        <v>0.01965159574</v>
      </c>
      <c r="I44" s="341">
        <f>IF(G44="","",'Historique détail'!H44/$W44)</f>
        <v>0.03086194547</v>
      </c>
      <c r="J44" s="341">
        <f>IF(H44="","",'Historique détail'!I44/$W44)</f>
        <v>0.01440024578</v>
      </c>
      <c r="K44" s="341">
        <f>IF(I44="","",'Historique détail'!J44/$W44)</f>
        <v>0.00966439335</v>
      </c>
      <c r="L44" s="341">
        <f>IF(J44="","",'Historique détail'!K44/$W44)</f>
        <v>0.005935563319</v>
      </c>
      <c r="M44" s="341">
        <f>IF(K44="","",'Historique détail'!L44/$W44)</f>
        <v>0.01629573142</v>
      </c>
      <c r="N44" s="341">
        <f>IF(L44="","",'Historique détail'!M44/$W44)</f>
        <v>0.01045205894</v>
      </c>
      <c r="O44" s="341">
        <f>IF(M44="","",'Historique détail'!N44/$W44)</f>
        <v>0.0148115121</v>
      </c>
      <c r="P44" s="341">
        <f>IF(N44="","",'Historique détail'!O44/$W44)</f>
        <v>0.008486437198</v>
      </c>
      <c r="Q44" s="341">
        <f>IF(O44="","",'Historique détail'!P44/$W44)</f>
        <v>0.003015994151</v>
      </c>
      <c r="R44" s="341">
        <f>IF(P44="","",'Historique détail'!Q44/$W44)</f>
        <v>0</v>
      </c>
      <c r="S44" s="341">
        <f>IF(Q44="","",'Historique détail'!R44/$W44)</f>
        <v>0</v>
      </c>
      <c r="T44" s="341">
        <f>IF(R44="","",'Historique détail'!S44/$W44)</f>
        <v>0</v>
      </c>
      <c r="U44" s="340">
        <f t="shared" si="2"/>
        <v>0.02308356399</v>
      </c>
      <c r="V44" s="14">
        <f>IF(A44="","",ARBITRAGES!M44)</f>
        <v>1346.533639</v>
      </c>
      <c r="W44" s="342">
        <f>IF(V44="","",'Historique détail'!U44)</f>
        <v>58333.00437</v>
      </c>
      <c r="X44" s="288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  <c r="AK44" s="289"/>
      <c r="AL44" s="289"/>
      <c r="AM44" s="289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289"/>
      <c r="AY44" s="289"/>
      <c r="AZ44" s="289"/>
      <c r="BA44" s="289"/>
      <c r="BB44" s="289"/>
    </row>
    <row r="45">
      <c r="A45" s="290">
        <f>PRIX!A45</f>
        <v>45622</v>
      </c>
      <c r="B45" s="302">
        <f t="shared" si="1"/>
        <v>0.9791634065</v>
      </c>
      <c r="C45" s="341">
        <f>IF(A45="","",'Historique détail'!B45/$W45)</f>
        <v>0.5029188221</v>
      </c>
      <c r="D45" s="341">
        <f>IF(B45="","",'Historique détail'!C45/$W45)</f>
        <v>0.169263255</v>
      </c>
      <c r="E45" s="341">
        <f>IF(C45="","",'Historique détail'!D45/$W45)</f>
        <v>0.05986873097</v>
      </c>
      <c r="F45" s="341">
        <f>IF(D45="","",'Historique détail'!E45/$W45)</f>
        <v>0.05423985559</v>
      </c>
      <c r="G45" s="341">
        <f>IF(E45="","",'Historique détail'!F45/$W45)</f>
        <v>0.05667868494</v>
      </c>
      <c r="H45" s="341">
        <f>IF(F45="","",'Historique détail'!G45/$W45)</f>
        <v>0.0206628513</v>
      </c>
      <c r="I45" s="341">
        <f>IF(G45="","",'Historique détail'!H45/$W45)</f>
        <v>0.03119925761</v>
      </c>
      <c r="J45" s="341">
        <f>IF(H45="","",'Historique détail'!I45/$W45)</f>
        <v>0.0121560495</v>
      </c>
      <c r="K45" s="341">
        <f>IF(I45="","",'Historique détail'!J45/$W45)</f>
        <v>0.008997508978</v>
      </c>
      <c r="L45" s="341">
        <f>IF(J45="","",'Historique détail'!K45/$W45)</f>
        <v>0.007289231164</v>
      </c>
      <c r="M45" s="341">
        <f>IF(K45="","",'Historique détail'!L45/$W45)</f>
        <v>0.01477093629</v>
      </c>
      <c r="N45" s="341">
        <f>IF(L45="","",'Historique détail'!M45/$W45)</f>
        <v>0.01051094065</v>
      </c>
      <c r="O45" s="341">
        <f>IF(M45="","",'Historique détail'!N45/$W45)</f>
        <v>0.01566983474</v>
      </c>
      <c r="P45" s="341">
        <f>IF(N45="","",'Historique détail'!O45/$W45)</f>
        <v>0.008162021514</v>
      </c>
      <c r="Q45" s="341">
        <f>IF(O45="","",'Historique détail'!P45/$W45)</f>
        <v>0.0031907701</v>
      </c>
      <c r="R45" s="341">
        <f>IF(P45="","",'Historique détail'!Q45/$W45)</f>
        <v>0</v>
      </c>
      <c r="S45" s="341">
        <f>IF(Q45="","",'Historique détail'!R45/$W45)</f>
        <v>0.003584656061</v>
      </c>
      <c r="T45" s="341">
        <f>IF(R45="","",'Historique détail'!S45/$W45)</f>
        <v>0</v>
      </c>
      <c r="U45" s="340">
        <f t="shared" si="2"/>
        <v>0.02083659348</v>
      </c>
      <c r="V45" s="14">
        <f>IF(A45="","",ARBITRAGES!M45)</f>
        <v>1148.883639</v>
      </c>
      <c r="W45" s="342">
        <f>IF(V45="","",'Historique détail'!U45)</f>
        <v>55137.78634</v>
      </c>
      <c r="X45" s="288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  <c r="AK45" s="289"/>
      <c r="AL45" s="289"/>
      <c r="AM45" s="289"/>
      <c r="AN45" s="289"/>
      <c r="AO45" s="289"/>
      <c r="AP45" s="289"/>
      <c r="AQ45" s="289"/>
      <c r="AR45" s="289"/>
      <c r="AS45" s="289"/>
      <c r="AT45" s="289"/>
      <c r="AU45" s="289"/>
      <c r="AV45" s="289"/>
      <c r="AW45" s="289"/>
      <c r="AX45" s="289"/>
      <c r="AY45" s="289"/>
      <c r="AZ45" s="289"/>
      <c r="BA45" s="289"/>
      <c r="BB45" s="289"/>
    </row>
    <row r="46">
      <c r="A46" s="290">
        <f>PRIX!A46</f>
        <v>45630</v>
      </c>
      <c r="B46" s="302">
        <f t="shared" si="1"/>
        <v>0.9795491021</v>
      </c>
      <c r="C46" s="341">
        <f>IF(A46="","",'Historique détail'!B46/$W46)</f>
        <v>0.4630978704</v>
      </c>
      <c r="D46" s="341">
        <f>IF(B46="","",'Historique détail'!C46/$W46)</f>
        <v>0.170592454</v>
      </c>
      <c r="E46" s="341">
        <f>IF(C46="","",'Historique détail'!D46/$W46)</f>
        <v>0.06356363824</v>
      </c>
      <c r="F46" s="341">
        <f>IF(D46="","",'Historique détail'!E46/$W46)</f>
        <v>0.05079862334</v>
      </c>
      <c r="G46" s="341">
        <f>IF(E46="","",'Historique détail'!F46/$W46)</f>
        <v>0.0678144538</v>
      </c>
      <c r="H46" s="341">
        <f>IF(F46="","",'Historique détail'!G46/$W46)</f>
        <v>0.02689983227</v>
      </c>
      <c r="I46" s="341">
        <f>IF(G46="","",'Historique détail'!H46/$W46)</f>
        <v>0.04083847105</v>
      </c>
      <c r="J46" s="341">
        <f>IF(H46="","",'Historique détail'!I46/$W46)</f>
        <v>0.01195731106</v>
      </c>
      <c r="K46" s="341">
        <f>IF(I46="","",'Historique détail'!J46/$W46)</f>
        <v>0.01033792659</v>
      </c>
      <c r="L46" s="341">
        <f>IF(J46="","",'Historique détail'!K46/$W46)</f>
        <v>0.008512566738</v>
      </c>
      <c r="M46" s="341">
        <f>IF(K46="","",'Historique détail'!L46/$W46)</f>
        <v>0.01721787851</v>
      </c>
      <c r="N46" s="341">
        <f>IF(L46="","",'Historique détail'!M46/$W46)</f>
        <v>0.01373268799</v>
      </c>
      <c r="O46" s="341">
        <f>IF(M46="","",'Historique détail'!N46/$W46)</f>
        <v>0.01815423775</v>
      </c>
      <c r="P46" s="341">
        <f>IF(N46="","",'Historique détail'!O46/$W46)</f>
        <v>0.009809843179</v>
      </c>
      <c r="Q46" s="341">
        <f>IF(O46="","",'Historique détail'!P46/$W46)</f>
        <v>0.002957462755</v>
      </c>
      <c r="R46" s="341">
        <f>IF(P46="","",'Historique détail'!Q46/$W46)</f>
        <v>0</v>
      </c>
      <c r="S46" s="341">
        <f>IF(Q46="","",'Historique détail'!R46/$W46)</f>
        <v>0.003263844474</v>
      </c>
      <c r="T46" s="341">
        <f>IF(R46="","",'Historique détail'!S46/$W46)</f>
        <v>0</v>
      </c>
      <c r="U46" s="340">
        <f t="shared" si="2"/>
        <v>0.02045089788</v>
      </c>
      <c r="V46" s="14">
        <f>IF(A46="","",ARBITRAGES!M46)</f>
        <v>1257.193639</v>
      </c>
      <c r="W46" s="342">
        <f>IF(V46="","",'Historique détail'!U46)</f>
        <v>61473.7625</v>
      </c>
      <c r="X46" s="288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  <c r="AK46" s="289"/>
      <c r="AL46" s="289"/>
      <c r="AM46" s="289"/>
      <c r="AN46" s="289"/>
      <c r="AO46" s="289"/>
      <c r="AP46" s="289"/>
      <c r="AQ46" s="289"/>
      <c r="AR46" s="289"/>
      <c r="AS46" s="289"/>
      <c r="AT46" s="289"/>
      <c r="AU46" s="289"/>
      <c r="AV46" s="289"/>
      <c r="AW46" s="289"/>
      <c r="AX46" s="289"/>
      <c r="AY46" s="289"/>
      <c r="AZ46" s="289"/>
      <c r="BA46" s="289"/>
      <c r="BB46" s="289"/>
    </row>
    <row r="47">
      <c r="A47" s="290">
        <f>PRIX!A47</f>
        <v>45636</v>
      </c>
      <c r="B47" s="302">
        <f t="shared" si="1"/>
        <v>0.9860644388</v>
      </c>
      <c r="C47" s="341">
        <f>IF(A47="","",'Historique détail'!B47/$W47)</f>
        <v>0.4861485581</v>
      </c>
      <c r="D47" s="341">
        <f>IF(B47="","",'Historique détail'!C47/$W47)</f>
        <v>0.1750281164</v>
      </c>
      <c r="E47" s="341">
        <f>IF(C47="","",'Historique détail'!D47/$W47)</f>
        <v>0.05679765755</v>
      </c>
      <c r="F47" s="341">
        <f>IF(D47="","",'Historique détail'!E47/$W47)</f>
        <v>0.05672195653</v>
      </c>
      <c r="G47" s="341">
        <f>IF(E47="","",'Historique détail'!F47/$W47)</f>
        <v>0.05947902151</v>
      </c>
      <c r="H47" s="341">
        <f>IF(F47="","",'Historique détail'!G47/$W47)</f>
        <v>0.0245974078</v>
      </c>
      <c r="I47" s="341">
        <f>IF(G47="","",'Historique détail'!H47/$W47)</f>
        <v>0.0391247839</v>
      </c>
      <c r="J47" s="341">
        <f>IF(H47="","",'Historique détail'!I47/$W47)</f>
        <v>0.01176938958</v>
      </c>
      <c r="K47" s="341">
        <f>IF(I47="","",'Historique détail'!J47/$W47)</f>
        <v>0.009588847393</v>
      </c>
      <c r="L47" s="341">
        <f>IF(J47="","",'Historique détail'!K47/$W47)</f>
        <v>0.007230656937</v>
      </c>
      <c r="M47" s="341">
        <f>IF(K47="","",'Historique détail'!L47/$W47)</f>
        <v>0.01513035795</v>
      </c>
      <c r="N47" s="341">
        <f>IF(L47="","",'Historique détail'!M47/$W47)</f>
        <v>0.01589235322</v>
      </c>
      <c r="O47" s="341">
        <f>IF(M47="","",'Historique détail'!N47/$W47)</f>
        <v>0.01398239115</v>
      </c>
      <c r="P47" s="341">
        <f>IF(N47="","",'Historique détail'!O47/$W47)</f>
        <v>0.009139142182</v>
      </c>
      <c r="Q47" s="341">
        <f>IF(O47="","",'Historique détail'!P47/$W47)</f>
        <v>0.002486934456</v>
      </c>
      <c r="R47" s="341">
        <f>IF(P47="","",'Historique détail'!Q47/$W47)</f>
        <v>0</v>
      </c>
      <c r="S47" s="341">
        <f>IF(Q47="","",'Historique détail'!R47/$W47)</f>
        <v>0.002946864252</v>
      </c>
      <c r="T47" s="341">
        <f>IF(R47="","",'Historique détail'!S47/$W47)</f>
        <v>0</v>
      </c>
      <c r="U47" s="340">
        <f t="shared" si="2"/>
        <v>0.01393556117</v>
      </c>
      <c r="V47" s="14">
        <f>IF(A47="","",ARBITRAGES!M47)</f>
        <v>837.193639</v>
      </c>
      <c r="W47" s="342">
        <f>IF(V47="","",'Historique détail'!U47)</f>
        <v>60076.06217</v>
      </c>
      <c r="X47" s="288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  <c r="AO47" s="289"/>
      <c r="AP47" s="289"/>
      <c r="AQ47" s="289"/>
      <c r="AR47" s="289"/>
      <c r="AS47" s="289"/>
      <c r="AT47" s="289"/>
      <c r="AU47" s="289"/>
      <c r="AV47" s="289"/>
      <c r="AW47" s="289"/>
      <c r="AX47" s="289"/>
      <c r="AY47" s="289"/>
      <c r="AZ47" s="289"/>
      <c r="BA47" s="289"/>
      <c r="BB47" s="289"/>
    </row>
    <row r="48">
      <c r="A48" s="290">
        <f>PRIX!A48</f>
        <v>45644</v>
      </c>
      <c r="B48" s="302">
        <f t="shared" si="1"/>
        <v>0.9901727296</v>
      </c>
      <c r="C48" s="341">
        <f>IF(A48="","",'Historique détail'!B48/$W48)</f>
        <v>0.4986025786</v>
      </c>
      <c r="D48" s="341">
        <f>IF(B48="","",'Historique détail'!C48/$W48)</f>
        <v>0.172780241</v>
      </c>
      <c r="E48" s="341">
        <f>IF(C48="","",'Historique détail'!D48/$W48)</f>
        <v>0.05668185846</v>
      </c>
      <c r="F48" s="341">
        <f>IF(D48="","",'Historique détail'!E48/$W48)</f>
        <v>0.05682157732</v>
      </c>
      <c r="G48" s="341">
        <f>IF(E48="","",'Historique détail'!F48/$W48)</f>
        <v>0.05242422864</v>
      </c>
      <c r="H48" s="341">
        <f>IF(F48="","",'Historique détail'!G48/$W48)</f>
        <v>0.02477704571</v>
      </c>
      <c r="I48" s="341">
        <f>IF(G48="","",'Historique détail'!H48/$W48)</f>
        <v>0.03697880428</v>
      </c>
      <c r="J48" s="341">
        <f>IF(H48="","",'Historique détail'!I48/$W48)</f>
        <v>0.01078425374</v>
      </c>
      <c r="K48" s="341">
        <f>IF(I48="","",'Historique détail'!J48/$W48)</f>
        <v>0.008842511863</v>
      </c>
      <c r="L48" s="341">
        <f>IF(J48="","",'Historique détail'!K48/$W48)</f>
        <v>0.006261222853</v>
      </c>
      <c r="M48" s="341">
        <f>IF(K48="","",'Historique détail'!L48/$W48)</f>
        <v>0.01351355972</v>
      </c>
      <c r="N48" s="341">
        <f>IF(L48="","",'Historique détail'!M48/$W48)</f>
        <v>0.01946286493</v>
      </c>
      <c r="O48" s="341">
        <f>IF(M48="","",'Historique détail'!N48/$W48)</f>
        <v>0.01267605565</v>
      </c>
      <c r="P48" s="341">
        <f>IF(N48="","",'Historique détail'!O48/$W48)</f>
        <v>0.009190794851</v>
      </c>
      <c r="Q48" s="341">
        <f>IF(O48="","",'Historique détail'!P48/$W48)</f>
        <v>0.002535278736</v>
      </c>
      <c r="R48" s="341">
        <f>IF(P48="","",'Historique détail'!Q48/$W48)</f>
        <v>0.005034728899</v>
      </c>
      <c r="S48" s="341">
        <f>IF(Q48="","",'Historique détail'!R48/$W48)</f>
        <v>0.00280512436</v>
      </c>
      <c r="T48" s="341">
        <f>IF(R48="","",'Historique détail'!S48/$W48)</f>
        <v>0</v>
      </c>
      <c r="U48" s="340">
        <f t="shared" si="2"/>
        <v>0.009827270375</v>
      </c>
      <c r="V48" s="14">
        <f>IF(A48="","",ARBITRAGES!M48)</f>
        <v>558.193639</v>
      </c>
      <c r="W48" s="342">
        <f>IF(V48="","",'Historique détail'!U48)</f>
        <v>56800.4764</v>
      </c>
      <c r="X48" s="288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89"/>
      <c r="AQ48" s="289"/>
      <c r="AR48" s="289"/>
      <c r="AS48" s="289"/>
      <c r="AT48" s="289"/>
      <c r="AU48" s="289"/>
      <c r="AV48" s="289"/>
      <c r="AW48" s="289"/>
      <c r="AX48" s="289"/>
      <c r="AY48" s="289"/>
      <c r="AZ48" s="289"/>
      <c r="BA48" s="289"/>
      <c r="BB48" s="289"/>
    </row>
    <row r="49">
      <c r="A49" s="290">
        <f>PRIX!A49</f>
        <v>45646</v>
      </c>
      <c r="B49" s="302">
        <f t="shared" si="1"/>
        <v>0.9924529351</v>
      </c>
      <c r="C49" s="341">
        <f>IF(A49="","",'Historique détail'!B49/$W49)</f>
        <v>0.5072593543</v>
      </c>
      <c r="D49" s="341">
        <f>IF(B49="","",'Historique détail'!C49/$W49)</f>
        <v>0.173673944</v>
      </c>
      <c r="E49" s="341">
        <f>IF(C49="","",'Historique détail'!D49/$W49)</f>
        <v>0.05504898415</v>
      </c>
      <c r="F49" s="341">
        <f>IF(D49="","",'Historique détail'!E49/$W49)</f>
        <v>0.05079134855</v>
      </c>
      <c r="G49" s="341">
        <f>IF(E49="","",'Historique détail'!F49/$W49)</f>
        <v>0.05065049631</v>
      </c>
      <c r="H49" s="341">
        <f>IF(F49="","",'Historique détail'!G49/$W49)</f>
        <v>0.02445914121</v>
      </c>
      <c r="I49" s="341">
        <f>IF(G49="","",'Historique détail'!H49/$W49)</f>
        <v>0.04142336889</v>
      </c>
      <c r="J49" s="341">
        <f>IF(H49="","",'Historique détail'!I49/$W49)</f>
        <v>0.01035466041</v>
      </c>
      <c r="K49" s="341">
        <f>IF(I49="","",'Historique détail'!J49/$W49)</f>
        <v>0.008528171271</v>
      </c>
      <c r="L49" s="341">
        <f>IF(J49="","",'Historique détail'!K49/$W49)</f>
        <v>0.005636067697</v>
      </c>
      <c r="M49" s="341">
        <f>IF(K49="","",'Historique détail'!L49/$W49)</f>
        <v>0.01239904057</v>
      </c>
      <c r="N49" s="341">
        <f>IF(L49="","",'Historique détail'!M49/$W49)</f>
        <v>0.019200757</v>
      </c>
      <c r="O49" s="341">
        <f>IF(M49="","",'Historique détail'!N49/$W49)</f>
        <v>0.01220279752</v>
      </c>
      <c r="P49" s="341">
        <f>IF(N49="","",'Historique détail'!O49/$W49)</f>
        <v>0.008320681758</v>
      </c>
      <c r="Q49" s="341">
        <f>IF(O49="","",'Historique détail'!P49/$W49)</f>
        <v>0.002129999638</v>
      </c>
      <c r="R49" s="341">
        <f>IF(P49="","",'Historique détail'!Q49/$W49)</f>
        <v>0.008191984024</v>
      </c>
      <c r="S49" s="341">
        <f>IF(Q49="","",'Historique détail'!R49/$W49)</f>
        <v>0.002182137838</v>
      </c>
      <c r="T49" s="341">
        <f>IF(R49="","",'Historique détail'!S49/$W49)</f>
        <v>0</v>
      </c>
      <c r="U49" s="340">
        <f t="shared" si="2"/>
        <v>0.007547064875</v>
      </c>
      <c r="V49" s="14">
        <f>IF(A49="","",ARBITRAGES!M49)</f>
        <v>408.193639</v>
      </c>
      <c r="W49" s="342">
        <f>IF(V49="","",'Historique détail'!U49)</f>
        <v>54086.40919</v>
      </c>
      <c r="X49" s="288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  <c r="AL49" s="289"/>
      <c r="AM49" s="289"/>
      <c r="AN49" s="289"/>
      <c r="AO49" s="289"/>
      <c r="AP49" s="289"/>
      <c r="AQ49" s="289"/>
      <c r="AR49" s="289"/>
      <c r="AS49" s="289"/>
      <c r="AT49" s="289"/>
      <c r="AU49" s="289"/>
      <c r="AV49" s="289"/>
      <c r="AW49" s="289"/>
      <c r="AX49" s="289"/>
      <c r="AY49" s="289"/>
      <c r="AZ49" s="289"/>
      <c r="BA49" s="289"/>
      <c r="BB49" s="289"/>
    </row>
    <row r="50">
      <c r="A50" s="290">
        <f>PRIX!A50</f>
        <v>45658</v>
      </c>
      <c r="B50" s="302">
        <f t="shared" si="1"/>
        <v>0.996089942</v>
      </c>
      <c r="C50" s="341">
        <f>IF(A50="","",'Historique détail'!B50/$W50)</f>
        <v>0.4961452754</v>
      </c>
      <c r="D50" s="341">
        <f>IF(B50="","",'Historique détail'!C50/$W50)</f>
        <v>0.1695553804</v>
      </c>
      <c r="E50" s="341">
        <f>IF(C50="","",'Historique détail'!D50/$W50)</f>
        <v>0.05823871829</v>
      </c>
      <c r="F50" s="341">
        <f>IF(D50="","",'Historique détail'!E50/$W50)</f>
        <v>0.05673360587</v>
      </c>
      <c r="G50" s="341">
        <f>IF(E50="","",'Historique détail'!F50/$W50)</f>
        <v>0.05626879508</v>
      </c>
      <c r="H50" s="341">
        <f>IF(F50="","",'Historique détail'!G50/$W50)</f>
        <v>0.02659408719</v>
      </c>
      <c r="I50" s="341">
        <f>IF(G50="","",'Historique détail'!H50/$W50)</f>
        <v>0.03969067002</v>
      </c>
      <c r="J50" s="341">
        <f>IF(H50="","",'Historique détail'!I50/$W50)</f>
        <v>0.01157512432</v>
      </c>
      <c r="K50" s="341">
        <f>IF(I50="","",'Historique détail'!J50/$W50)</f>
        <v>0.007747741616</v>
      </c>
      <c r="L50" s="341">
        <f>IF(J50="","",'Historique détail'!K50/$W50)</f>
        <v>0.005640330583</v>
      </c>
      <c r="M50" s="341">
        <f>IF(K50="","",'Historique détail'!L50/$W50)</f>
        <v>0.01319153909</v>
      </c>
      <c r="N50" s="341">
        <f>IF(L50="","",'Historique détail'!M50/$W50)</f>
        <v>0.02025715137</v>
      </c>
      <c r="O50" s="341">
        <f>IF(M50="","",'Historique détail'!N50/$W50)</f>
        <v>0.01133805234</v>
      </c>
      <c r="P50" s="341">
        <f>IF(N50="","",'Historique détail'!O50/$W50)</f>
        <v>0.01192818107</v>
      </c>
      <c r="Q50" s="341">
        <f>IF(O50="","",'Historique détail'!P50/$W50)</f>
        <v>0.0002381054484</v>
      </c>
      <c r="R50" s="341">
        <f>IF(P50="","",'Historique détail'!Q50/$W50)</f>
        <v>0.00905146969</v>
      </c>
      <c r="S50" s="341">
        <f>IF(Q50="","",'Historique détail'!R50/$W50)</f>
        <v>0.001895714112</v>
      </c>
      <c r="T50" s="341">
        <f>IF(R50="","",'Historique détail'!S50/$W50)</f>
        <v>0</v>
      </c>
      <c r="U50" s="340">
        <f t="shared" si="2"/>
        <v>0.003910058015</v>
      </c>
      <c r="V50" s="14">
        <f>IF(A50="","",ARBITRAGES!M50)</f>
        <v>206.918639</v>
      </c>
      <c r="W50" s="342">
        <f>IF(V50="","",'Historique détail'!U50)</f>
        <v>52919.58283</v>
      </c>
      <c r="X50" s="288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  <c r="AL50" s="289"/>
      <c r="AM50" s="289"/>
      <c r="AN50" s="289"/>
      <c r="AO50" s="289"/>
      <c r="AP50" s="289"/>
      <c r="AQ50" s="289"/>
      <c r="AR50" s="289"/>
      <c r="AS50" s="289"/>
      <c r="AT50" s="289"/>
      <c r="AU50" s="289"/>
      <c r="AV50" s="289"/>
      <c r="AW50" s="289"/>
      <c r="AX50" s="289"/>
      <c r="AY50" s="289"/>
      <c r="AZ50" s="289"/>
      <c r="BA50" s="289"/>
      <c r="BB50" s="289"/>
    </row>
    <row r="51">
      <c r="A51" s="290">
        <f>PRIX!A51</f>
        <v>45666</v>
      </c>
      <c r="B51" s="302">
        <f t="shared" si="1"/>
        <v>0.9997573626</v>
      </c>
      <c r="C51" s="341">
        <f>IF(A51="","",'Historique détail'!B51/$W51)</f>
        <v>0.490780207</v>
      </c>
      <c r="D51" s="341">
        <f>IF(B51="","",'Historique détail'!C51/$W51)</f>
        <v>0.1726335678</v>
      </c>
      <c r="E51" s="341">
        <f>IF(C51="","",'Historique détail'!D51/$W51)</f>
        <v>0.05376750088</v>
      </c>
      <c r="F51" s="341">
        <f>IF(D51="","",'Historique détail'!E51/$W51)</f>
        <v>0.06527611861</v>
      </c>
      <c r="G51" s="341">
        <f>IF(E51="","",'Historique détail'!F51/$W51)</f>
        <v>0.0532790144</v>
      </c>
      <c r="H51" s="341">
        <f>IF(F51="","",'Historique détail'!G51/$W51)</f>
        <v>0.02292355059</v>
      </c>
      <c r="I51" s="341">
        <f>IF(G51="","",'Historique détail'!H51/$W51)</f>
        <v>0.04431433905</v>
      </c>
      <c r="J51" s="341">
        <f>IF(H51="","",'Historique détail'!I51/$W51)</f>
        <v>0.01266069907</v>
      </c>
      <c r="K51" s="341">
        <f>IF(I51="","",'Historique détail'!J51/$W51)</f>
        <v>0.01075040082</v>
      </c>
      <c r="L51" s="341">
        <f>IF(J51="","",'Historique détail'!K51/$W51)</f>
        <v>0.005627332926</v>
      </c>
      <c r="M51" s="341">
        <f>IF(K51="","",'Historique détail'!L51/$W51)</f>
        <v>0.01468223251</v>
      </c>
      <c r="N51" s="341">
        <f>IF(L51="","",'Historique détail'!M51/$W51)</f>
        <v>0.01938749898</v>
      </c>
      <c r="O51" s="341">
        <f>IF(M51="","",'Historique détail'!N51/$W51)</f>
        <v>0.01193469312</v>
      </c>
      <c r="P51" s="341">
        <f>IF(N51="","",'Historique détail'!O51/$W51)</f>
        <v>0.009680373062</v>
      </c>
      <c r="Q51" s="341">
        <f>IF(O51="","",'Historique détail'!P51/$W51)</f>
        <v>0.001855496062</v>
      </c>
      <c r="R51" s="341">
        <f>IF(P51="","",'Historique détail'!Q51/$W51)</f>
        <v>0.008228266403</v>
      </c>
      <c r="S51" s="341">
        <f>IF(Q51="","",'Historique détail'!R51/$W51)</f>
        <v>0.001976071383</v>
      </c>
      <c r="T51" s="341">
        <f>IF(R51="","",'Historique détail'!S51/$W51)</f>
        <v>0</v>
      </c>
      <c r="U51" s="340">
        <f t="shared" si="2"/>
        <v>0.0002426373731</v>
      </c>
      <c r="V51" s="14">
        <f>IF(A51="","",ARBITRAGES!M51)</f>
        <v>13.41863902</v>
      </c>
      <c r="W51" s="342">
        <f>IF(V51="","",'Historique détail'!U51)</f>
        <v>55303.26532</v>
      </c>
      <c r="X51" s="288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  <c r="AL51" s="289"/>
      <c r="AM51" s="289"/>
      <c r="AN51" s="289"/>
      <c r="AO51" s="289"/>
      <c r="AP51" s="289"/>
      <c r="AQ51" s="289"/>
      <c r="AR51" s="289"/>
      <c r="AS51" s="289"/>
      <c r="AT51" s="289"/>
      <c r="AU51" s="289"/>
      <c r="AV51" s="289"/>
      <c r="AW51" s="289"/>
      <c r="AX51" s="289"/>
      <c r="AY51" s="289"/>
      <c r="AZ51" s="289"/>
      <c r="BA51" s="289"/>
      <c r="BB51" s="289"/>
    </row>
    <row r="52">
      <c r="A52" s="290">
        <f>PRIX!A52</f>
        <v>45676</v>
      </c>
      <c r="B52" s="302">
        <f t="shared" si="1"/>
        <v>0.9945873978</v>
      </c>
      <c r="C52" s="341">
        <f>IF(A52="","",'Historique détail'!B52/$W52)</f>
        <v>0.4897911187</v>
      </c>
      <c r="D52" s="341">
        <f>IF(B52="","",'Historique détail'!C52/$W52)</f>
        <v>0.1657545626</v>
      </c>
      <c r="E52" s="341">
        <f>IF(C52="","",'Historique détail'!D52/$W52)</f>
        <v>0.05586733627</v>
      </c>
      <c r="F52" s="341">
        <f>IF(D52="","",'Historique détail'!E52/$W52)</f>
        <v>0.07123074857</v>
      </c>
      <c r="G52" s="341">
        <f>IF(E52="","",'Historique détail'!F52/$W52)</f>
        <v>0.05080845518</v>
      </c>
      <c r="H52" s="341">
        <f>IF(F52="","",'Historique détail'!G52/$W52)</f>
        <v>0.02208652983</v>
      </c>
      <c r="I52" s="341">
        <f>IF(G52="","",'Historique détail'!H52/$W52)</f>
        <v>0.04243998407</v>
      </c>
      <c r="J52" s="341">
        <f>IF(H52="","",'Historique détail'!I52/$W52)</f>
        <v>0.0121087175</v>
      </c>
      <c r="K52" s="341">
        <f>IF(I52="","",'Historique détail'!J52/$W52)</f>
        <v>0.01096715145</v>
      </c>
      <c r="L52" s="341">
        <f>IF(J52="","",'Historique détail'!K52/$W52)</f>
        <v>0.005389314719</v>
      </c>
      <c r="M52" s="341">
        <f>IF(K52="","",'Historique détail'!L52/$W52)</f>
        <v>0.0172249957</v>
      </c>
      <c r="N52" s="341">
        <f>IF(L52="","",'Historique détail'!M52/$W52)</f>
        <v>0.01854224216</v>
      </c>
      <c r="O52" s="341">
        <f>IF(M52="","",'Historique détail'!N52/$W52)</f>
        <v>0.01217532157</v>
      </c>
      <c r="P52" s="341">
        <f>IF(N52="","",'Historique détail'!O52/$W52)</f>
        <v>0.0090990937</v>
      </c>
      <c r="Q52" s="341">
        <f>IF(O52="","",'Historique détail'!P52/$W52)</f>
        <v>0.001793280085</v>
      </c>
      <c r="R52" s="341">
        <f>IF(P52="","",'Historique détail'!Q52/$W52)</f>
        <v>0.007510569149</v>
      </c>
      <c r="S52" s="341">
        <f>IF(Q52="","",'Historique détail'!R52/$W52)</f>
        <v>0.001797976574</v>
      </c>
      <c r="T52" s="341">
        <f>IF(R52="","",'Historique détail'!S52/$W52)</f>
        <v>0</v>
      </c>
      <c r="U52" s="340">
        <f t="shared" si="2"/>
        <v>0.005412602181</v>
      </c>
      <c r="V52" s="14">
        <f>IF(A52="","",ARBITRAGES!M52)</f>
        <v>293.418639</v>
      </c>
      <c r="W52" s="342">
        <f>IF(V52="","",'Historique détail'!U52)</f>
        <v>54210.27247</v>
      </c>
      <c r="X52" s="288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  <c r="AL52" s="289"/>
      <c r="AM52" s="289"/>
      <c r="AN52" s="289"/>
      <c r="AO52" s="289"/>
      <c r="AP52" s="289"/>
      <c r="AQ52" s="289"/>
      <c r="AR52" s="289"/>
      <c r="AS52" s="289"/>
      <c r="AT52" s="289"/>
      <c r="AU52" s="289"/>
      <c r="AV52" s="289"/>
      <c r="AW52" s="289"/>
      <c r="AX52" s="289"/>
      <c r="AY52" s="289"/>
      <c r="AZ52" s="289"/>
      <c r="BA52" s="289"/>
      <c r="BB52" s="289"/>
    </row>
    <row r="53">
      <c r="A53" s="290">
        <f>PRIX!A53</f>
        <v>45677</v>
      </c>
      <c r="B53" s="302">
        <f t="shared" si="1"/>
        <v>0.9997401789</v>
      </c>
      <c r="C53" s="341">
        <f>IF(A53="","",'Historique détail'!B53/$W53)</f>
        <v>0.5030444632</v>
      </c>
      <c r="D53" s="341">
        <f>IF(B53="","",'Historique détail'!C53/$W53)</f>
        <v>0.1717432206</v>
      </c>
      <c r="E53" s="341">
        <f>IF(C53="","",'Historique détail'!D53/$W53)</f>
        <v>0.05306996101</v>
      </c>
      <c r="F53" s="341">
        <f>IF(D53="","",'Historique détail'!E53/$W53)</f>
        <v>0.06506163498</v>
      </c>
      <c r="G53" s="341">
        <f>IF(E53="","",'Historique détail'!F53/$W53)</f>
        <v>0.04451936407</v>
      </c>
      <c r="H53" s="341">
        <f>IF(F53="","",'Historique détail'!G53/$W53)</f>
        <v>0.02219103895</v>
      </c>
      <c r="I53" s="341">
        <f>IF(G53="","",'Historique détail'!H53/$W53)</f>
        <v>0.04736836888</v>
      </c>
      <c r="J53" s="341">
        <f>IF(H53="","",'Historique détail'!I53/$W53)</f>
        <v>0.01151715952</v>
      </c>
      <c r="K53" s="341">
        <f>IF(I53="","",'Historique détail'!J53/$W53)</f>
        <v>0.007979309071</v>
      </c>
      <c r="L53" s="341">
        <f>IF(J53="","",'Historique détail'!K53/$W53)</f>
        <v>0.005108761085</v>
      </c>
      <c r="M53" s="341">
        <f>IF(K53="","",'Historique détail'!L53/$W53)</f>
        <v>0.01185871546</v>
      </c>
      <c r="N53" s="341">
        <f>IF(L53="","",'Historique détail'!M53/$W53)</f>
        <v>0.02049297845</v>
      </c>
      <c r="O53" s="341">
        <f>IF(M53="","",'Historique détail'!N53/$W53)</f>
        <v>0.011120848</v>
      </c>
      <c r="P53" s="341">
        <f>IF(N53="","",'Historique détail'!O53/$W53)</f>
        <v>0.008410776917</v>
      </c>
      <c r="Q53" s="341">
        <f>IF(O53="","",'Historique détail'!P53/$W53)</f>
        <v>0.001334641136</v>
      </c>
      <c r="R53" s="341">
        <f>IF(P53="","",'Historique détail'!Q53/$W53)</f>
        <v>0.006658330312</v>
      </c>
      <c r="S53" s="341">
        <f>IF(Q53="","",'Historique détail'!R53/$W53)</f>
        <v>0.001532774512</v>
      </c>
      <c r="T53" s="341">
        <f>IF(R53="","",'Historique détail'!S53/$W53)</f>
        <v>0.006727832716</v>
      </c>
      <c r="U53" s="340">
        <f t="shared" si="2"/>
        <v>0.000259821097</v>
      </c>
      <c r="V53" s="14">
        <f>IF(A53="","",ARBITRAGES!M53)</f>
        <v>14.01863902</v>
      </c>
      <c r="W53" s="342">
        <f>IF(V53="","",'Historique détail'!U53)</f>
        <v>53954.96817</v>
      </c>
      <c r="X53" s="288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289"/>
      <c r="AV53" s="289"/>
      <c r="AW53" s="289"/>
      <c r="AX53" s="289"/>
      <c r="AY53" s="289"/>
      <c r="AZ53" s="289"/>
      <c r="BA53" s="289"/>
      <c r="BB53" s="289"/>
    </row>
    <row r="54">
      <c r="A54" s="290">
        <f>PRIX!A54</f>
        <v>45718</v>
      </c>
      <c r="B54" s="302">
        <f t="shared" si="1"/>
        <v>0.9529519786</v>
      </c>
      <c r="C54" s="341">
        <f>IF(A54="","",'Historique détail'!B54/$W54)</f>
        <v>0.5026369076</v>
      </c>
      <c r="D54" s="341">
        <f>IF(B54="","",'Historique détail'!C54/$W54)</f>
        <v>0.1669954044</v>
      </c>
      <c r="E54" s="341">
        <f>IF(C54="","",'Historique détail'!D54/$W54)</f>
        <v>0.04579495924</v>
      </c>
      <c r="F54" s="341">
        <f>IF(D54="","",'Historique détail'!E54/$W54)</f>
        <v>0.06003412437</v>
      </c>
      <c r="G54" s="341">
        <f>IF(E54="","",'Historique détail'!F54/$W54)</f>
        <v>0.04188836969</v>
      </c>
      <c r="H54" s="341">
        <f>IF(F54="","",'Historique détail'!G54/$W54)</f>
        <v>0.01680656197</v>
      </c>
      <c r="I54" s="341">
        <f>IF(G54="","",'Historique détail'!H54/$W54)</f>
        <v>0.03565987502</v>
      </c>
      <c r="J54" s="341">
        <f>IF(H54="","",'Historique détail'!I54/$W54)</f>
        <v>0.01040183793</v>
      </c>
      <c r="K54" s="341">
        <f>IF(I54="","",'Historique détail'!J54/$W54)</f>
        <v>0.006495431423</v>
      </c>
      <c r="L54" s="341">
        <f>IF(J54="","",'Historique détail'!K54/$W54)</f>
        <v>0.005282828228</v>
      </c>
      <c r="M54" s="341">
        <f>IF(K54="","",'Historique détail'!L54/$W54)</f>
        <v>0.01378141755</v>
      </c>
      <c r="N54" s="341">
        <f>IF(L54="","",'Historique détail'!M54/$W54)</f>
        <v>0.0199037707</v>
      </c>
      <c r="O54" s="341">
        <f>IF(M54="","",'Historique détail'!N54/$W54)</f>
        <v>0.009504972254</v>
      </c>
      <c r="P54" s="341">
        <f>IF(N54="","",'Historique détail'!O54/$W54)</f>
        <v>0.007813781007</v>
      </c>
      <c r="Q54" s="341">
        <f>IF(O54="","",'Historique détail'!P54/$W54)</f>
        <v>0.001425894743</v>
      </c>
      <c r="R54" s="341">
        <f>IF(P54="","",'Historique détail'!Q54/$W54)</f>
        <v>0.004742387515</v>
      </c>
      <c r="S54" s="341">
        <f>IF(Q54="","",'Historique détail'!R54/$W54)</f>
        <v>0.001169696515</v>
      </c>
      <c r="T54" s="341">
        <f>IF(R54="","",'Historique détail'!S54/$W54)</f>
        <v>0.002613758463</v>
      </c>
      <c r="U54" s="340">
        <f t="shared" si="2"/>
        <v>0.04704802142</v>
      </c>
      <c r="V54" s="14">
        <f>IF(A54="","",ARBITRAGES!M54)</f>
        <v>2376.018639</v>
      </c>
      <c r="W54" s="342">
        <f>IF(V54="","",'Historique détail'!U54)</f>
        <v>50501.98855</v>
      </c>
      <c r="X54" s="288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  <c r="AK54" s="289"/>
      <c r="AL54" s="289"/>
      <c r="AM54" s="289"/>
      <c r="AN54" s="289"/>
      <c r="AO54" s="289"/>
      <c r="AP54" s="289"/>
      <c r="AQ54" s="289"/>
      <c r="AR54" s="289"/>
      <c r="AS54" s="289"/>
      <c r="AT54" s="289"/>
      <c r="AU54" s="289"/>
      <c r="AV54" s="289"/>
      <c r="AW54" s="289"/>
      <c r="AX54" s="289"/>
      <c r="AY54" s="289"/>
      <c r="AZ54" s="289"/>
      <c r="BA54" s="289"/>
      <c r="BB54" s="289"/>
    </row>
    <row r="55">
      <c r="A55" s="290">
        <f>PRIX!A55</f>
        <v>45719</v>
      </c>
      <c r="B55" s="302">
        <f t="shared" si="1"/>
        <v>0.9565029109</v>
      </c>
      <c r="C55" s="341">
        <f>IF(A55="","",'Historique détail'!B55/$W55)</f>
        <v>0.516567088</v>
      </c>
      <c r="D55" s="341">
        <f>IF(B55="","",'Historique détail'!C55/$W55)</f>
        <v>0.1674369742</v>
      </c>
      <c r="E55" s="341">
        <f>IF(C55="","",'Historique détail'!D55/$W55)</f>
        <v>0.04069722926</v>
      </c>
      <c r="F55" s="341">
        <f>IF(D55="","",'Historique détail'!E55/$W55)</f>
        <v>0.05916087231</v>
      </c>
      <c r="G55" s="341">
        <f>IF(E55="","",'Historique détail'!F55/$W55)</f>
        <v>0.05134906615</v>
      </c>
      <c r="H55" s="341">
        <f>IF(F55="","",'Historique détail'!G55/$W55)</f>
        <v>0.01537500176</v>
      </c>
      <c r="I55" s="341">
        <f>IF(G55="","",'Historique détail'!H55/$W55)</f>
        <v>0.03370982896</v>
      </c>
      <c r="J55" s="341">
        <f>IF(H55="","",'Historique détail'!I55/$W55)</f>
        <v>0.008373924637</v>
      </c>
      <c r="K55" s="341">
        <f>IF(I55="","",'Historique détail'!J55/$W55)</f>
        <v>0.006462098309</v>
      </c>
      <c r="L55" s="341">
        <f>IF(J55="","",'Historique détail'!K55/$W55)</f>
        <v>0.005523250364</v>
      </c>
      <c r="M55" s="341">
        <f>IF(K55="","",'Historique détail'!L55/$W55)</f>
        <v>0.01328662945</v>
      </c>
      <c r="N55" s="341">
        <f>IF(L55="","",'Historique détail'!M55/$W55)</f>
        <v>0.01456671556</v>
      </c>
      <c r="O55" s="341">
        <f>IF(M55="","",'Historique détail'!N55/$W55)</f>
        <v>0.007825816423</v>
      </c>
      <c r="P55" s="341">
        <f>IF(N55="","",'Historique détail'!O55/$W55)</f>
        <v>0.007148213715</v>
      </c>
      <c r="Q55" s="341">
        <f>IF(O55="","",'Historique détail'!P55/$W55)</f>
        <v>0.00156532675</v>
      </c>
      <c r="R55" s="341">
        <f>IF(P55="","",'Historique détail'!Q55/$W55)</f>
        <v>0.00416489987</v>
      </c>
      <c r="S55" s="341">
        <f>IF(Q55="","",'Historique détail'!R55/$W55)</f>
        <v>0.0008988532128</v>
      </c>
      <c r="T55" s="341">
        <f>IF(R55="","",'Historique détail'!S55/$W55)</f>
        <v>0.002391122055</v>
      </c>
      <c r="U55" s="340">
        <f t="shared" si="2"/>
        <v>0.04349708909</v>
      </c>
      <c r="V55" s="14">
        <f>IF(A55="","",ARBITRAGES!M55)</f>
        <v>2001.018639</v>
      </c>
      <c r="W55" s="342">
        <f>IF(V55="","",'Historique détail'!U55)</f>
        <v>46003.50692</v>
      </c>
      <c r="X55" s="288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89"/>
      <c r="AZ55" s="289"/>
      <c r="BA55" s="289"/>
      <c r="BB55" s="289"/>
    </row>
    <row r="56">
      <c r="A56" s="290">
        <f>PRIX!A56</f>
        <v>45719</v>
      </c>
      <c r="B56" s="302">
        <f t="shared" si="1"/>
        <v>0.9592643049</v>
      </c>
      <c r="C56" s="341">
        <f>IF(A56="","",'Historique détail'!B56/$W56)</f>
        <v>0.5164888677</v>
      </c>
      <c r="D56" s="341">
        <f>IF(B56="","",'Historique détail'!C56/$W56)</f>
        <v>0.1674116203</v>
      </c>
      <c r="E56" s="341">
        <f>IF(C56="","",'Historique détail'!D56/$W56)</f>
        <v>0.04069106675</v>
      </c>
      <c r="F56" s="341">
        <f>IF(D56="","",'Historique détail'!E56/$W56)</f>
        <v>0.05915191398</v>
      </c>
      <c r="G56" s="341">
        <f>IF(E56="","",'Historique détail'!F56/$W56)</f>
        <v>0.05134129071</v>
      </c>
      <c r="H56" s="341">
        <f>IF(F56="","",'Historique détail'!G56/$W56)</f>
        <v>0.01537267363</v>
      </c>
      <c r="I56" s="341">
        <f>IF(G56="","",'Historique détail'!H56/$W56)</f>
        <v>0.03370472451</v>
      </c>
      <c r="J56" s="341">
        <f>IF(H56="","",'Historique détail'!I56/$W56)</f>
        <v>0.00837265663</v>
      </c>
      <c r="K56" s="341">
        <f>IF(I56="","",'Historique détail'!J56/$W56)</f>
        <v>0.006461119797</v>
      </c>
      <c r="L56" s="341">
        <f>IF(J56="","",'Historique détail'!K56/$W56)</f>
        <v>0.005522414016</v>
      </c>
      <c r="M56" s="341">
        <f>IF(K56="","",'Historique détail'!L56/$W56)</f>
        <v>0.01328461755</v>
      </c>
      <c r="N56" s="341">
        <f>IF(L56="","",'Historique détail'!M56/$W56)</f>
        <v>0.01746430721</v>
      </c>
      <c r="O56" s="341">
        <f>IF(M56="","",'Historique détail'!N56/$W56)</f>
        <v>0.00782736992</v>
      </c>
      <c r="P56" s="341">
        <f>IF(N56="","",'Historique détail'!O56/$W56)</f>
        <v>0.007150391437</v>
      </c>
      <c r="Q56" s="341">
        <f>IF(O56="","",'Historique détail'!P56/$W56)</f>
        <v>0.001565524407</v>
      </c>
      <c r="R56" s="341">
        <f>IF(P56="","",'Historique détail'!Q56/$W56)</f>
        <v>0.004164269207</v>
      </c>
      <c r="S56" s="341">
        <f>IF(Q56="","",'Historique détail'!R56/$W56)</f>
        <v>0.0008987171056</v>
      </c>
      <c r="T56" s="341">
        <f>IF(R56="","",'Historique détail'!S56/$W56)</f>
        <v>0.002390759983</v>
      </c>
      <c r="U56" s="340">
        <f t="shared" si="2"/>
        <v>0.04073569509</v>
      </c>
      <c r="V56" s="14">
        <f>IF(A56="","",ARBITRAGES!M56)</f>
        <v>1874.268639</v>
      </c>
      <c r="W56" s="342">
        <f>IF(V56="","",'Historique détail'!U56)</f>
        <v>46010.47398</v>
      </c>
      <c r="X56" s="288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  <c r="AK56" s="289"/>
      <c r="AL56" s="289"/>
      <c r="AM56" s="289"/>
      <c r="AN56" s="289"/>
      <c r="AO56" s="289"/>
      <c r="AP56" s="289"/>
      <c r="AQ56" s="289"/>
      <c r="AR56" s="289"/>
      <c r="AS56" s="289"/>
      <c r="AT56" s="289"/>
      <c r="AU56" s="289"/>
      <c r="AV56" s="289"/>
      <c r="AW56" s="289"/>
      <c r="AX56" s="289"/>
      <c r="AY56" s="289"/>
      <c r="AZ56" s="289"/>
      <c r="BA56" s="289"/>
      <c r="BB56" s="289"/>
    </row>
    <row r="57">
      <c r="A57" s="290">
        <f>PRIX!A57</f>
        <v>45719</v>
      </c>
      <c r="B57" s="302">
        <f t="shared" si="1"/>
        <v>0.9657884276</v>
      </c>
      <c r="C57" s="341">
        <f>IF(A57="","",'Historique détail'!B57/$W57)</f>
        <v>0.5230630485</v>
      </c>
      <c r="D57" s="341">
        <f>IF(B57="","",'Historique détail'!C57/$W57)</f>
        <v>0.1673926936</v>
      </c>
      <c r="E57" s="341">
        <f>IF(C57="","",'Historique détail'!D57/$W57)</f>
        <v>0.04068646642</v>
      </c>
      <c r="F57" s="341">
        <f>IF(D57="","",'Historique détail'!E57/$W57)</f>
        <v>0.05914522654</v>
      </c>
      <c r="G57" s="341">
        <f>IF(E57="","",'Historique détail'!F57/$W57)</f>
        <v>0.05133548631</v>
      </c>
      <c r="H57" s="341">
        <f>IF(F57="","",'Historique détail'!G57/$W57)</f>
        <v>0.01537093567</v>
      </c>
      <c r="I57" s="341">
        <f>IF(G57="","",'Historique détail'!H57/$W57)</f>
        <v>0.03370091402</v>
      </c>
      <c r="J57" s="341">
        <f>IF(H57="","",'Historique détail'!I57/$W57)</f>
        <v>0.008371710058</v>
      </c>
      <c r="K57" s="341">
        <f>IF(I57="","",'Historique détail'!J57/$W57)</f>
        <v>0.006460389334</v>
      </c>
      <c r="L57" s="341">
        <f>IF(J57="","",'Historique détail'!K57/$W57)</f>
        <v>0.005521789678</v>
      </c>
      <c r="M57" s="341">
        <f>IF(K57="","",'Historique détail'!L57/$W57)</f>
        <v>0.01328311565</v>
      </c>
      <c r="N57" s="341">
        <f>IF(L57="","",'Historique détail'!M57/$W57)</f>
        <v>0.01746233278</v>
      </c>
      <c r="O57" s="341">
        <f>IF(M57="","",'Historique détail'!N57/$W57)</f>
        <v>0.007826484995</v>
      </c>
      <c r="P57" s="341">
        <f>IF(N57="","",'Historique détail'!O57/$W57)</f>
        <v>0.007149583048</v>
      </c>
      <c r="Q57" s="341">
        <f>IF(O57="","",'Historique détail'!P57/$W57)</f>
        <v>0.001565347417</v>
      </c>
      <c r="R57" s="341">
        <f>IF(P57="","",'Historique détail'!Q57/$W57)</f>
        <v>0.004163798415</v>
      </c>
      <c r="S57" s="341">
        <f>IF(Q57="","",'Historique détail'!R57/$W57)</f>
        <v>0.0008986155009</v>
      </c>
      <c r="T57" s="341">
        <f>IF(R57="","",'Historique détail'!S57/$W57)</f>
        <v>0.002390489695</v>
      </c>
      <c r="U57" s="340">
        <f t="shared" si="2"/>
        <v>0.03421157236</v>
      </c>
      <c r="V57" s="14">
        <f>IF(A57="","",ARBITRAGES!M57)</f>
        <v>1574.268639</v>
      </c>
      <c r="W57" s="342">
        <f>IF(V57="","",'Historique détail'!U57)</f>
        <v>46015.67629</v>
      </c>
      <c r="X57" s="288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  <c r="AR57" s="289"/>
      <c r="AS57" s="289"/>
      <c r="AT57" s="289"/>
      <c r="AU57" s="289"/>
      <c r="AV57" s="289"/>
      <c r="AW57" s="289"/>
      <c r="AX57" s="289"/>
      <c r="AY57" s="289"/>
      <c r="AZ57" s="289"/>
      <c r="BA57" s="289"/>
      <c r="BB57" s="289"/>
    </row>
    <row r="58">
      <c r="A58" s="290">
        <f>PRIX!A58</f>
        <v>45719</v>
      </c>
      <c r="B58" s="302">
        <f t="shared" si="1"/>
        <v>0.9779426931</v>
      </c>
      <c r="C58" s="341">
        <f>IF(A58="","",'Historique détail'!B58/$W58)</f>
        <v>0.5353423541</v>
      </c>
      <c r="D58" s="341">
        <f>IF(B58="","",'Historique détail'!C58/$W58)</f>
        <v>0.1673454164</v>
      </c>
      <c r="E58" s="341">
        <f>IF(C58="","",'Historique détail'!D58/$W58)</f>
        <v>0.04067497523</v>
      </c>
      <c r="F58" s="341">
        <f>IF(D58="","",'Historique détail'!E58/$W58)</f>
        <v>0.059128522</v>
      </c>
      <c r="G58" s="341">
        <f>IF(E58="","",'Historique détail'!F58/$W58)</f>
        <v>0.0513209875</v>
      </c>
      <c r="H58" s="341">
        <f>IF(F58="","",'Historique détail'!G58/$W58)</f>
        <v>0.01536659442</v>
      </c>
      <c r="I58" s="341">
        <f>IF(G58="","",'Historique détail'!H58/$W58)</f>
        <v>0.03369139578</v>
      </c>
      <c r="J58" s="341">
        <f>IF(H58="","",'Historique détail'!I58/$W58)</f>
        <v>0.008369345614</v>
      </c>
      <c r="K58" s="341">
        <f>IF(I58="","",'Historique détail'!J58/$W58)</f>
        <v>0.006458564709</v>
      </c>
      <c r="L58" s="341">
        <f>IF(J58="","",'Historique détail'!K58/$W58)</f>
        <v>0.005520230145</v>
      </c>
      <c r="M58" s="341">
        <f>IF(K58="","",'Historique détail'!L58/$W58)</f>
        <v>0.01327936407</v>
      </c>
      <c r="N58" s="341">
        <f>IF(L58="","",'Historique détail'!M58/$W58)</f>
        <v>0.01745740085</v>
      </c>
      <c r="O58" s="341">
        <f>IF(M58="","",'Historique détail'!N58/$W58)</f>
        <v>0.00782427454</v>
      </c>
      <c r="P58" s="341">
        <f>IF(N58="","",'Historique détail'!O58/$W58)</f>
        <v>0.007147563773</v>
      </c>
      <c r="Q58" s="341">
        <f>IF(O58="","",'Historique détail'!P58/$W58)</f>
        <v>0.001564905311</v>
      </c>
      <c r="R58" s="341">
        <f>IF(P58="","",'Historique détail'!Q58/$W58)</f>
        <v>0.004162622423</v>
      </c>
      <c r="S58" s="341">
        <f>IF(Q58="","",'Historique détail'!R58/$W58)</f>
        <v>0.0008983617026</v>
      </c>
      <c r="T58" s="341">
        <f>IF(R58="","",'Historique détail'!S58/$W58)</f>
        <v>0.002389814543</v>
      </c>
      <c r="U58" s="340">
        <f t="shared" si="2"/>
        <v>0.0220573069</v>
      </c>
      <c r="V58" s="14">
        <f>IF(A58="","",ARBITRAGES!M58)</f>
        <v>1015.268639</v>
      </c>
      <c r="W58" s="342">
        <f>IF(V58="","",'Historique détail'!U58)</f>
        <v>46028.67629</v>
      </c>
      <c r="X58" s="288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  <c r="AK58" s="289"/>
      <c r="AL58" s="289"/>
      <c r="AM58" s="289"/>
      <c r="AN58" s="289"/>
      <c r="AO58" s="289"/>
      <c r="AP58" s="289"/>
      <c r="AQ58" s="289"/>
      <c r="AR58" s="289"/>
      <c r="AS58" s="289"/>
      <c r="AT58" s="289"/>
      <c r="AU58" s="289"/>
      <c r="AV58" s="289"/>
      <c r="AW58" s="289"/>
      <c r="AX58" s="289"/>
      <c r="AY58" s="289"/>
      <c r="AZ58" s="289"/>
      <c r="BA58" s="289"/>
      <c r="BB58" s="289"/>
    </row>
    <row r="59">
      <c r="A59" s="290">
        <f>PRIX!A59</f>
        <v>45720</v>
      </c>
      <c r="B59" s="302">
        <f t="shared" si="1"/>
        <v>0.9786326777</v>
      </c>
      <c r="C59" s="341">
        <f>IF(A59="","",'Historique détail'!B59/$W59)</f>
        <v>0.5472351908</v>
      </c>
      <c r="D59" s="341">
        <f>IF(B59="","",'Historique détail'!C59/$W59)</f>
        <v>0.159709188</v>
      </c>
      <c r="E59" s="341">
        <f>IF(C59="","",'Historique détail'!D59/$W59)</f>
        <v>0.03879151204</v>
      </c>
      <c r="F59" s="341">
        <f>IF(D59="","",'Historique détail'!E59/$W59)</f>
        <v>0.04967044452</v>
      </c>
      <c r="G59" s="341">
        <f>IF(E59="","",'Historique détail'!F59/$W59)</f>
        <v>0.05368112867</v>
      </c>
      <c r="H59" s="341">
        <f>IF(F59="","",'Historique détail'!G59/$W59)</f>
        <v>0.0152696073</v>
      </c>
      <c r="I59" s="341">
        <f>IF(G59="","",'Historique détail'!H59/$W59)</f>
        <v>0.03660494979</v>
      </c>
      <c r="J59" s="341">
        <f>IF(H59="","",'Historique détail'!I59/$W59)</f>
        <v>0.008356313995</v>
      </c>
      <c r="K59" s="341">
        <f>IF(I59="","",'Historique détail'!J59/$W59)</f>
        <v>0.006289678048</v>
      </c>
      <c r="L59" s="341">
        <f>IF(J59="","",'Historique détail'!K59/$W59)</f>
        <v>0.005196684226</v>
      </c>
      <c r="M59" s="341">
        <f>IF(K59="","",'Historique détail'!L59/$W59)</f>
        <v>0.01185284547</v>
      </c>
      <c r="N59" s="341">
        <f>IF(L59="","",'Historique détail'!M59/$W59)</f>
        <v>0.02008625184</v>
      </c>
      <c r="O59" s="341">
        <f>IF(M59="","",'Historique détail'!N59/$W59)</f>
        <v>0.01037816924</v>
      </c>
      <c r="P59" s="341">
        <f>IF(N59="","",'Historique détail'!O59/$W59)</f>
        <v>0.007476264765</v>
      </c>
      <c r="Q59" s="341">
        <f>IF(O59="","",'Historique détail'!P59/$W59)</f>
        <v>0.0006752096672</v>
      </c>
      <c r="R59" s="341">
        <f>IF(P59="","",'Historique détail'!Q59/$W59)</f>
        <v>0.004354052421</v>
      </c>
      <c r="S59" s="341">
        <f>IF(Q59="","",'Historique détail'!R59/$W59)</f>
        <v>0.0008054360687</v>
      </c>
      <c r="T59" s="341">
        <f>IF(R59="","",'Historique détail'!S59/$W59)</f>
        <v>0.00219975091</v>
      </c>
      <c r="U59" s="340">
        <f t="shared" si="2"/>
        <v>0.02136732225</v>
      </c>
      <c r="V59" s="14">
        <f>IF(A59="","",ARBITRAGES!M59)</f>
        <v>940.268639</v>
      </c>
      <c r="W59" s="342">
        <f>IF(V59="","",'Historique détail'!U59)</f>
        <v>44004.98237</v>
      </c>
      <c r="X59" s="288"/>
      <c r="Y59" s="289"/>
      <c r="Z59" s="289"/>
      <c r="AA59" s="289"/>
      <c r="AB59" s="289"/>
      <c r="AC59" s="289"/>
      <c r="AD59" s="289"/>
      <c r="AE59" s="289"/>
      <c r="AF59" s="289"/>
      <c r="AG59" s="289"/>
      <c r="AH59" s="289"/>
      <c r="AI59" s="289"/>
      <c r="AJ59" s="289"/>
      <c r="AK59" s="289"/>
      <c r="AL59" s="289"/>
      <c r="AM59" s="289"/>
      <c r="AN59" s="289"/>
      <c r="AO59" s="289"/>
      <c r="AP59" s="289"/>
      <c r="AQ59" s="289"/>
      <c r="AR59" s="289"/>
      <c r="AS59" s="289"/>
      <c r="AT59" s="289"/>
      <c r="AU59" s="289"/>
      <c r="AV59" s="289"/>
      <c r="AW59" s="289"/>
      <c r="AX59" s="289"/>
      <c r="AY59" s="289"/>
      <c r="AZ59" s="289"/>
      <c r="BA59" s="289"/>
      <c r="BB59" s="289"/>
    </row>
    <row r="60">
      <c r="A60" s="290">
        <f>PRIX!A60</f>
        <v>45725</v>
      </c>
      <c r="B60" s="302">
        <f t="shared" si="1"/>
        <v>0.9796957678</v>
      </c>
      <c r="C60" s="341">
        <f>IF(A60="","",'Historique détail'!B60/$W60)</f>
        <v>0.5666315727</v>
      </c>
      <c r="D60" s="341">
        <f>IF(B60="","",'Historique détail'!C60/$W60)</f>
        <v>0.1472376412</v>
      </c>
      <c r="E60" s="341">
        <f>IF(C60="","",'Historique détail'!D60/$W60)</f>
        <v>0.03801712666</v>
      </c>
      <c r="F60" s="341">
        <f>IF(D60="","",'Historique détail'!E60/$W60)</f>
        <v>0.04700030344</v>
      </c>
      <c r="G60" s="341">
        <f>IF(E60="","",'Historique détail'!F60/$W60)</f>
        <v>0.05442362644</v>
      </c>
      <c r="H60" s="341">
        <f>IF(F60="","",'Historique détail'!G60/$W60)</f>
        <v>0.01448134805</v>
      </c>
      <c r="I60" s="341">
        <f>IF(G60="","",'Historique détail'!H60/$W60)</f>
        <v>0.03572822791</v>
      </c>
      <c r="J60" s="341">
        <f>IF(H60="","",'Historique détail'!I60/$W60)</f>
        <v>0.008337420948</v>
      </c>
      <c r="K60" s="341">
        <f>IF(I60="","",'Historique détail'!J60/$W60)</f>
        <v>0.006345184827</v>
      </c>
      <c r="L60" s="341">
        <f>IF(J60="","",'Historique détail'!K60/$W60)</f>
        <v>0.004990499825</v>
      </c>
      <c r="M60" s="341">
        <f>IF(K60="","",'Historique détail'!L60/$W60)</f>
        <v>0.01125322286</v>
      </c>
      <c r="N60" s="341">
        <f>IF(L60="","",'Historique détail'!M60/$W60)</f>
        <v>0.01912989102</v>
      </c>
      <c r="O60" s="341">
        <f>IF(M60="","",'Historique détail'!N60/$W60)</f>
        <v>0.0096449066</v>
      </c>
      <c r="P60" s="341">
        <f>IF(N60="","",'Historique détail'!O60/$W60)</f>
        <v>0.009294687193</v>
      </c>
      <c r="Q60" s="341">
        <f>IF(O60="","",'Historique détail'!P60/$W60)</f>
        <v>0.0006001903669</v>
      </c>
      <c r="R60" s="341">
        <f>IF(P60="","",'Historique détail'!Q60/$W60)</f>
        <v>0.003991241293</v>
      </c>
      <c r="S60" s="341">
        <f>IF(Q60="","",'Historique détail'!R60/$W60)</f>
        <v>0.0007031631543</v>
      </c>
      <c r="T60" s="341">
        <f>IF(R60="","",'Historique détail'!S60/$W60)</f>
        <v>0.001885513334</v>
      </c>
      <c r="U60" s="340">
        <f t="shared" si="2"/>
        <v>0.02030423221</v>
      </c>
      <c r="V60" s="14">
        <f>IF(A60="","",ARBITRAGES!M60)</f>
        <v>852.868639</v>
      </c>
      <c r="W60" s="342">
        <f>IF(V60="","",'Historique détail'!U60)</f>
        <v>42004.47623</v>
      </c>
      <c r="X60" s="288"/>
      <c r="Y60" s="289"/>
      <c r="Z60" s="289"/>
      <c r="AA60" s="289"/>
      <c r="AB60" s="289"/>
      <c r="AC60" s="289"/>
      <c r="AD60" s="289"/>
      <c r="AE60" s="289"/>
      <c r="AF60" s="289"/>
      <c r="AG60" s="289"/>
      <c r="AH60" s="289"/>
      <c r="AI60" s="289"/>
      <c r="AJ60" s="289"/>
      <c r="AK60" s="289"/>
      <c r="AL60" s="289"/>
      <c r="AM60" s="289"/>
      <c r="AN60" s="289"/>
      <c r="AO60" s="289"/>
      <c r="AP60" s="289"/>
      <c r="AQ60" s="289"/>
      <c r="AR60" s="289"/>
      <c r="AS60" s="289"/>
      <c r="AT60" s="289"/>
      <c r="AU60" s="289"/>
      <c r="AV60" s="289"/>
      <c r="AW60" s="289"/>
      <c r="AX60" s="289"/>
      <c r="AY60" s="289"/>
      <c r="AZ60" s="289"/>
      <c r="BA60" s="289"/>
      <c r="BB60" s="289"/>
    </row>
    <row r="61">
      <c r="A61" s="290">
        <f>PRIX!A61</f>
        <v>45734</v>
      </c>
      <c r="B61" s="302">
        <f t="shared" si="1"/>
        <v>0.9723213402</v>
      </c>
      <c r="C61" s="341">
        <f>IF(A61="","",'Historique détail'!B61/$W61)</f>
        <v>0.5979784541</v>
      </c>
      <c r="D61" s="341">
        <f>IF(B61="","",'Historique détail'!C61/$W61)</f>
        <v>0.1291061438</v>
      </c>
      <c r="E61" s="341">
        <f>IF(C61="","",'Historique détail'!D61/$W61)</f>
        <v>0.03725362505</v>
      </c>
      <c r="F61" s="341">
        <f>IF(D61="","",'Historique détail'!E61/$W61)</f>
        <v>0.04241941406</v>
      </c>
      <c r="G61" s="341">
        <f>IF(E61="","",'Historique détail'!F61/$W61)</f>
        <v>0.0446197514</v>
      </c>
      <c r="H61" s="341">
        <f>IF(F61="","",'Historique détail'!G61/$W61)</f>
        <v>0.01299335401</v>
      </c>
      <c r="I61" s="341">
        <f>IF(G61="","",'Historique détail'!H61/$W61)</f>
        <v>0.0333126332</v>
      </c>
      <c r="J61" s="341">
        <f>IF(H61="","",'Historique détail'!I61/$W61)</f>
        <v>0.006835517482</v>
      </c>
      <c r="K61" s="341">
        <f>IF(I61="","",'Historique détail'!J61/$W61)</f>
        <v>0.00612019163</v>
      </c>
      <c r="L61" s="341">
        <f>IF(J61="","",'Historique détail'!K61/$W61)</f>
        <v>0.007876705502</v>
      </c>
      <c r="M61" s="341">
        <f>IF(K61="","",'Historique détail'!L61/$W61)</f>
        <v>0.009918489531</v>
      </c>
      <c r="N61" s="341">
        <f>IF(L61="","",'Historique détail'!M61/$W61)</f>
        <v>0.01679092539</v>
      </c>
      <c r="O61" s="341">
        <f>IF(M61="","",'Historique détail'!N61/$W61)</f>
        <v>0.009302908938</v>
      </c>
      <c r="P61" s="341">
        <f>IF(N61="","",'Historique détail'!O61/$W61)</f>
        <v>0.01052425713</v>
      </c>
      <c r="Q61" s="341">
        <f>IF(O61="","",'Historique détail'!P61/$W61)</f>
        <v>0.0006202588757</v>
      </c>
      <c r="R61" s="341">
        <f>IF(P61="","",'Historique détail'!Q61/$W61)</f>
        <v>0.004124696052</v>
      </c>
      <c r="S61" s="341">
        <f>IF(Q61="","",'Historique détail'!R61/$W61)</f>
        <v>0.0007053589617</v>
      </c>
      <c r="T61" s="341">
        <f>IF(R61="","",'Historique détail'!S61/$W61)</f>
        <v>0.001818655128</v>
      </c>
      <c r="U61" s="340">
        <f t="shared" si="2"/>
        <v>0.0276786598</v>
      </c>
      <c r="V61" s="14">
        <f>IF(A61="","",ARBITRAGES!M61)</f>
        <v>1205.368639</v>
      </c>
      <c r="W61" s="342">
        <f>IF(V61="","",'Historique détail'!U61)</f>
        <v>43548.6634</v>
      </c>
      <c r="X61" s="288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89"/>
      <c r="AJ61" s="289"/>
      <c r="AK61" s="289"/>
      <c r="AL61" s="289"/>
      <c r="AM61" s="289"/>
      <c r="AN61" s="289"/>
      <c r="AO61" s="289"/>
      <c r="AP61" s="289"/>
      <c r="AQ61" s="289"/>
      <c r="AR61" s="289"/>
      <c r="AS61" s="289"/>
      <c r="AT61" s="289"/>
      <c r="AU61" s="289"/>
      <c r="AV61" s="289"/>
      <c r="AW61" s="289"/>
      <c r="AX61" s="289"/>
      <c r="AY61" s="289"/>
      <c r="AZ61" s="289"/>
      <c r="BA61" s="289"/>
      <c r="BB61" s="289"/>
    </row>
    <row r="62">
      <c r="A62" s="290">
        <f>PRIX!A62</f>
        <v>45749</v>
      </c>
      <c r="B62" s="302">
        <f t="shared" si="1"/>
        <v>0.9261516208</v>
      </c>
      <c r="C62" s="341">
        <f>IF(A62="","",'Historique détail'!B62/$W62)</f>
        <v>0.5633467012</v>
      </c>
      <c r="D62" s="341">
        <f>IF(B62="","",'Historique détail'!C62/$W62)</f>
        <v>0.1260162427</v>
      </c>
      <c r="E62" s="341">
        <f>IF(C62="","",'Historique détail'!D62/$W62)</f>
        <v>0.03647426146</v>
      </c>
      <c r="F62" s="341">
        <f>IF(D62="","",'Historique détail'!E62/$W62)</f>
        <v>0.04214166819</v>
      </c>
      <c r="G62" s="341">
        <f>IF(E62="","",'Historique détail'!F62/$W62)</f>
        <v>0.04174906506</v>
      </c>
      <c r="H62" s="341">
        <f>IF(F62="","",'Historique détail'!G62/$W62)</f>
        <v>0.01146698858</v>
      </c>
      <c r="I62" s="341">
        <f>IF(G62="","",'Historique détail'!H62/$W62)</f>
        <v>0.03239078106</v>
      </c>
      <c r="J62" s="341">
        <f>IF(H62="","",'Historique détail'!I62/$W62)</f>
        <v>0.007413247605</v>
      </c>
      <c r="K62" s="341">
        <f>IF(I62="","",'Historique détail'!J62/$W62)</f>
        <v>0.006382176182</v>
      </c>
      <c r="L62" s="341">
        <f>IF(J62="","",'Historique détail'!K62/$W62)</f>
        <v>0.005694957097</v>
      </c>
      <c r="M62" s="341">
        <f>IF(K62="","",'Historique détail'!L62/$W62)</f>
        <v>0.008118331265</v>
      </c>
      <c r="N62" s="341">
        <f>IF(L62="","",'Historique détail'!M62/$W62)</f>
        <v>0.01550858053</v>
      </c>
      <c r="O62" s="341">
        <f>IF(M62="","",'Historique détail'!N62/$W62)</f>
        <v>0.00917198197</v>
      </c>
      <c r="P62" s="341">
        <f>IF(N62="","",'Historique détail'!O62/$W62)</f>
        <v>0.01268195034</v>
      </c>
      <c r="Q62" s="341">
        <f>IF(O62="","",'Historique détail'!P62/$W62)</f>
        <v>0.0005605687057</v>
      </c>
      <c r="R62" s="341">
        <f>IF(P62="","",'Historique détail'!Q62/$W62)</f>
        <v>0.004473310647</v>
      </c>
      <c r="S62" s="341">
        <f>IF(Q62="","",'Historique détail'!R62/$W62)</f>
        <v>0.0005884423806</v>
      </c>
      <c r="T62" s="341">
        <f>IF(R62="","",'Historique détail'!S62/$W62)</f>
        <v>0.00197236578</v>
      </c>
      <c r="U62" s="340">
        <f t="shared" si="2"/>
        <v>0.07384837915</v>
      </c>
      <c r="V62" s="14">
        <f>IF(A62="","",ARBITRAGES!M62)</f>
        <v>2965.368639</v>
      </c>
      <c r="W62" s="342">
        <f>IF(V62="","",'Historique détail'!U62)</f>
        <v>40154.82361</v>
      </c>
      <c r="X62" s="288"/>
      <c r="Y62" s="289"/>
      <c r="Z62" s="289"/>
      <c r="AA62" s="289"/>
      <c r="AB62" s="289"/>
      <c r="AC62" s="289"/>
      <c r="AD62" s="289"/>
      <c r="AE62" s="289"/>
      <c r="AF62" s="289"/>
      <c r="AG62" s="289"/>
      <c r="AH62" s="289"/>
      <c r="AI62" s="289"/>
      <c r="AJ62" s="289"/>
      <c r="AK62" s="289"/>
      <c r="AL62" s="289"/>
      <c r="AM62" s="289"/>
      <c r="AN62" s="289"/>
      <c r="AO62" s="289"/>
      <c r="AP62" s="289"/>
      <c r="AQ62" s="289"/>
      <c r="AR62" s="289"/>
      <c r="AS62" s="289"/>
      <c r="AT62" s="289"/>
      <c r="AU62" s="289"/>
      <c r="AV62" s="289"/>
      <c r="AW62" s="289"/>
      <c r="AX62" s="289"/>
      <c r="AY62" s="289"/>
      <c r="AZ62" s="289"/>
      <c r="BA62" s="289"/>
      <c r="BB62" s="289"/>
    </row>
    <row r="63">
      <c r="A63" s="290">
        <f>PRIX!A63</f>
        <v>45751</v>
      </c>
      <c r="B63" s="302">
        <f t="shared" si="1"/>
        <v>0.9365374714</v>
      </c>
      <c r="C63" s="341">
        <f>IF(A63="","",'Historique détail'!B63/$W63)</f>
        <v>0.5510599846</v>
      </c>
      <c r="D63" s="341">
        <f>IF(B63="","",'Historique détail'!C63/$W63)</f>
        <v>0.1292084174</v>
      </c>
      <c r="E63" s="341">
        <f>IF(C63="","",'Historique détail'!D63/$W63)</f>
        <v>0.03739820754</v>
      </c>
      <c r="F63" s="341">
        <f>IF(D63="","",'Historique détail'!E63/$W63)</f>
        <v>0.04320917792</v>
      </c>
      <c r="G63" s="341">
        <f>IF(E63="","",'Historique détail'!F63/$W63)</f>
        <v>0.05628882073</v>
      </c>
      <c r="H63" s="341">
        <f>IF(F63="","",'Historique détail'!G63/$W63)</f>
        <v>0.01175746408</v>
      </c>
      <c r="I63" s="341">
        <f>IF(G63="","",'Historique détail'!H63/$W63)</f>
        <v>0.03321128663</v>
      </c>
      <c r="J63" s="341">
        <f>IF(H63="","",'Historique détail'!I63/$W63)</f>
        <v>0.007601035946</v>
      </c>
      <c r="K63" s="341">
        <f>IF(I63="","",'Historique détail'!J63/$W63)</f>
        <v>0.006543845985</v>
      </c>
      <c r="L63" s="341">
        <f>IF(J63="","",'Historique détail'!K63/$W63)</f>
        <v>0.005839218641</v>
      </c>
      <c r="M63" s="341">
        <f>IF(K63="","",'Historique détail'!L63/$W63)</f>
        <v>0.0083239804</v>
      </c>
      <c r="N63" s="341">
        <f>IF(L63="","",'Historique détail'!M63/$W63)</f>
        <v>0.01590143543</v>
      </c>
      <c r="O63" s="341">
        <f>IF(M63="","",'Historique détail'!N63/$W63)</f>
        <v>0.009404321609</v>
      </c>
      <c r="P63" s="341">
        <f>IF(N63="","",'Historique détail'!O63/$W63)</f>
        <v>0.01300320258</v>
      </c>
      <c r="Q63" s="341">
        <f>IF(O63="","",'Historique détail'!P63/$W63)</f>
        <v>0.000574768726</v>
      </c>
      <c r="R63" s="341">
        <f>IF(P63="","",'Historique détail'!Q63/$W63)</f>
        <v>0.00458662611</v>
      </c>
      <c r="S63" s="341">
        <f>IF(Q63="","",'Historique détail'!R63/$W63)</f>
        <v>0.0006033484817</v>
      </c>
      <c r="T63" s="341">
        <f>IF(R63="","",'Historique détail'!S63/$W63)</f>
        <v>0.002022328673</v>
      </c>
      <c r="U63" s="340">
        <f t="shared" si="2"/>
        <v>0.06346252856</v>
      </c>
      <c r="V63" s="14">
        <f>IF(A63="","",ARBITRAGES!M63)</f>
        <v>2485.368639</v>
      </c>
      <c r="W63" s="342">
        <f>IF(V63="","",'Historique détail'!U63)</f>
        <v>39162.77362</v>
      </c>
      <c r="X63" s="288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  <c r="AL63" s="289"/>
      <c r="AM63" s="289"/>
      <c r="AN63" s="289"/>
      <c r="AO63" s="289"/>
      <c r="AP63" s="289"/>
      <c r="AQ63" s="289"/>
      <c r="AR63" s="289"/>
      <c r="AS63" s="289"/>
      <c r="AT63" s="289"/>
      <c r="AU63" s="289"/>
      <c r="AV63" s="289"/>
      <c r="AW63" s="289"/>
      <c r="AX63" s="289"/>
      <c r="AY63" s="289"/>
      <c r="AZ63" s="289"/>
      <c r="BA63" s="289"/>
      <c r="BB63" s="289"/>
    </row>
    <row r="64">
      <c r="A64" s="290">
        <f>PRIX!A64</f>
        <v>45753</v>
      </c>
      <c r="B64" s="302">
        <f t="shared" si="1"/>
        <v>0.9434330074</v>
      </c>
      <c r="C64" s="341">
        <f>IF(A64="","",'Historique détail'!B64/$W64)</f>
        <v>0.5642137154</v>
      </c>
      <c r="D64" s="341">
        <f>IF(B64="","",'Historique détail'!C64/$W64)</f>
        <v>0.1248751075</v>
      </c>
      <c r="E64" s="341">
        <f>IF(C64="","",'Historique détail'!D64/$W64)</f>
        <v>0.03972680661</v>
      </c>
      <c r="F64" s="341">
        <f>IF(D64="","",'Historique détail'!E64/$W64)</f>
        <v>0.0439871138</v>
      </c>
      <c r="G64" s="341">
        <f>IF(E64="","",'Historique détail'!F64/$W64)</f>
        <v>0.05571680433</v>
      </c>
      <c r="H64" s="341">
        <f>IF(F64="","",'Historique détail'!G64/$W64)</f>
        <v>0.009592582548</v>
      </c>
      <c r="I64" s="341">
        <f>IF(G64="","",'Historique détail'!H64/$W64)</f>
        <v>0.03446505202</v>
      </c>
      <c r="J64" s="341">
        <f>IF(H64="","",'Historique détail'!I64/$W64)</f>
        <v>0.007124395044</v>
      </c>
      <c r="K64" s="341">
        <f>IF(I64="","",'Historique détail'!J64/$W64)</f>
        <v>0.006395194619</v>
      </c>
      <c r="L64" s="341">
        <f>IF(J64="","",'Historique détail'!K64/$W64)</f>
        <v>0.006133877567</v>
      </c>
      <c r="M64" s="341">
        <f>IF(K64="","",'Historique détail'!L64/$W64)</f>
        <v>0.007736988847</v>
      </c>
      <c r="N64" s="341">
        <f>IF(L64="","",'Historique détail'!M64/$W64)</f>
        <v>0.01416709653</v>
      </c>
      <c r="O64" s="341">
        <f>IF(M64="","",'Historique détail'!N64/$W64)</f>
        <v>0.007392512393</v>
      </c>
      <c r="P64" s="341">
        <f>IF(N64="","",'Historique détail'!O64/$W64)</f>
        <v>0.01381284688</v>
      </c>
      <c r="Q64" s="341">
        <f>IF(O64="","",'Historique détail'!P64/$W64)</f>
        <v>0.0006105566958</v>
      </c>
      <c r="R64" s="341">
        <f>IF(P64="","",'Historique détail'!Q64/$W64)</f>
        <v>0.004872212345</v>
      </c>
      <c r="S64" s="341">
        <f>IF(Q64="","",'Historique détail'!R64/$W64)</f>
        <v>0.0006409159697</v>
      </c>
      <c r="T64" s="341">
        <f>IF(R64="","",'Historique détail'!S64/$W64)</f>
        <v>0.001969228205</v>
      </c>
      <c r="U64" s="340">
        <f t="shared" si="2"/>
        <v>0.05656699261</v>
      </c>
      <c r="V64" s="14">
        <f>IF(A64="","",ARBITRAGES!M64)</f>
        <v>2085.468639</v>
      </c>
      <c r="W64" s="342">
        <f>IF(V64="","",'Historique détail'!U64)</f>
        <v>36867.23552</v>
      </c>
      <c r="X64" s="288"/>
      <c r="Y64" s="289"/>
      <c r="Z64" s="289"/>
      <c r="AA64" s="289"/>
      <c r="AB64" s="289"/>
      <c r="AC64" s="289"/>
      <c r="AD64" s="289"/>
      <c r="AE64" s="289"/>
      <c r="AF64" s="289"/>
      <c r="AG64" s="289"/>
      <c r="AH64" s="289"/>
      <c r="AI64" s="289"/>
      <c r="AJ64" s="289"/>
      <c r="AK64" s="289"/>
      <c r="AL64" s="289"/>
      <c r="AM64" s="289"/>
      <c r="AN64" s="289"/>
      <c r="AO64" s="289"/>
      <c r="AP64" s="289"/>
      <c r="AQ64" s="289"/>
      <c r="AR64" s="289"/>
      <c r="AS64" s="289"/>
      <c r="AT64" s="289"/>
      <c r="AU64" s="289"/>
      <c r="AV64" s="289"/>
      <c r="AW64" s="289"/>
      <c r="AX64" s="289"/>
      <c r="AY64" s="289"/>
      <c r="AZ64" s="289"/>
      <c r="BA64" s="289"/>
      <c r="BB64" s="289"/>
    </row>
    <row r="65">
      <c r="A65" s="290">
        <f>PRIX!A65</f>
        <v>45753</v>
      </c>
      <c r="B65" s="302">
        <f t="shared" si="1"/>
        <v>0.9646092037</v>
      </c>
      <c r="C65" s="341">
        <f>IF(A65="","",'Historique détail'!B65/$W65)</f>
        <v>0.5855955218</v>
      </c>
      <c r="D65" s="341">
        <f>IF(B65="","",'Historique détail'!C65/$W65)</f>
        <v>0.1248074011</v>
      </c>
      <c r="E65" s="341">
        <f>IF(C65="","",'Historique détail'!D65/$W65)</f>
        <v>0.03970526701</v>
      </c>
      <c r="F65" s="341">
        <f>IF(D65="","",'Historique détail'!E65/$W65)</f>
        <v>0.0439632643</v>
      </c>
      <c r="G65" s="341">
        <f>IF(E65="","",'Historique détail'!F65/$W65)</f>
        <v>0.05568659507</v>
      </c>
      <c r="H65" s="341">
        <f>IF(F65="","",'Historique détail'!G65/$W65)</f>
        <v>0.009587381517</v>
      </c>
      <c r="I65" s="341">
        <f>IF(G65="","",'Historique détail'!H65/$W65)</f>
        <v>0.03444636531</v>
      </c>
      <c r="J65" s="341">
        <f>IF(H65="","",'Historique détail'!I65/$W65)</f>
        <v>0.007120532247</v>
      </c>
      <c r="K65" s="341">
        <f>IF(I65="","",'Historique détail'!J65/$W65)</f>
        <v>0.006391727189</v>
      </c>
      <c r="L65" s="341">
        <f>IF(J65="","",'Historique détail'!K65/$W65)</f>
        <v>0.006130551821</v>
      </c>
      <c r="M65" s="341">
        <f>IF(K65="","",'Historique détail'!L65/$W65)</f>
        <v>0.007732793906</v>
      </c>
      <c r="N65" s="341">
        <f>IF(L65="","",'Historique détail'!M65/$W65)</f>
        <v>0.01415941523</v>
      </c>
      <c r="O65" s="341">
        <f>IF(M65="","",'Historique détail'!N65/$W65)</f>
        <v>0.007388504225</v>
      </c>
      <c r="P65" s="341">
        <f>IF(N65="","",'Historique détail'!O65/$W65)</f>
        <v>0.01380535765</v>
      </c>
      <c r="Q65" s="341">
        <f>IF(O65="","",'Historique détail'!P65/$W65)</f>
        <v>0.0006102256563</v>
      </c>
      <c r="R65" s="341">
        <f>IF(P65="","",'Historique détail'!Q65/$W65)</f>
        <v>0.004869570666</v>
      </c>
      <c r="S65" s="341">
        <f>IF(Q65="","",'Historique détail'!R65/$W65)</f>
        <v>0.0006405684696</v>
      </c>
      <c r="T65" s="341">
        <f>IF(R65="","",'Historique détail'!S65/$W65)</f>
        <v>0.001968160503</v>
      </c>
      <c r="U65" s="340">
        <f t="shared" si="2"/>
        <v>0.03539079632</v>
      </c>
      <c r="V65" s="14">
        <f>IF(A65="","",ARBITRAGES!M65)</f>
        <v>1305.468639</v>
      </c>
      <c r="W65" s="342">
        <f>IF(V65="","",'Historique détail'!U65)</f>
        <v>36887.23552</v>
      </c>
      <c r="X65" s="288"/>
      <c r="Y65" s="289"/>
      <c r="Z65" s="289"/>
      <c r="AA65" s="289"/>
      <c r="AB65" s="289"/>
      <c r="AC65" s="289"/>
      <c r="AD65" s="289"/>
      <c r="AE65" s="289"/>
      <c r="AF65" s="289"/>
      <c r="AG65" s="289"/>
      <c r="AH65" s="289"/>
      <c r="AI65" s="289"/>
      <c r="AJ65" s="289"/>
      <c r="AK65" s="289"/>
      <c r="AL65" s="289"/>
      <c r="AM65" s="289"/>
      <c r="AN65" s="289"/>
      <c r="AO65" s="289"/>
      <c r="AP65" s="289"/>
      <c r="AQ65" s="289"/>
      <c r="AR65" s="289"/>
      <c r="AS65" s="289"/>
      <c r="AT65" s="289"/>
      <c r="AU65" s="289"/>
      <c r="AV65" s="289"/>
      <c r="AW65" s="289"/>
      <c r="AX65" s="289"/>
      <c r="AY65" s="289"/>
      <c r="AZ65" s="289"/>
      <c r="BA65" s="289"/>
      <c r="BB65" s="289"/>
    </row>
    <row r="66">
      <c r="A66" s="290">
        <f>PRIX!A66</f>
        <v>45754</v>
      </c>
      <c r="B66" s="302">
        <f t="shared" si="1"/>
        <v>0.9697124871</v>
      </c>
      <c r="C66" s="341">
        <f>IF(A66="","",'Historique détail'!B66/$W66)</f>
        <v>0.5823170965</v>
      </c>
      <c r="D66" s="341">
        <f>IF(B66="","",'Historique détail'!C66/$W66)</f>
        <v>0.1256796694</v>
      </c>
      <c r="E66" s="341">
        <f>IF(C66="","",'Historique détail'!D66/$W66)</f>
        <v>0.03998276374</v>
      </c>
      <c r="F66" s="341">
        <f>IF(D66="","",'Historique détail'!E66/$W66)</f>
        <v>0.04427051981</v>
      </c>
      <c r="G66" s="341">
        <f>IF(E66="","",'Historique détail'!F66/$W66)</f>
        <v>0.05607578394</v>
      </c>
      <c r="H66" s="341">
        <f>IF(F66="","",'Historique détail'!G66/$W66)</f>
        <v>0.00965438691</v>
      </c>
      <c r="I66" s="341">
        <f>IF(G66="","",'Historique détail'!H66/$W66)</f>
        <v>0.03468710803</v>
      </c>
      <c r="J66" s="341">
        <f>IF(H66="","",'Historique détail'!I66/$W66)</f>
        <v>0.01290311136</v>
      </c>
      <c r="K66" s="341">
        <f>IF(I66="","",'Historique détail'!J66/$W66)</f>
        <v>0.006436398426</v>
      </c>
      <c r="L66" s="341">
        <f>IF(J66="","",'Historique détail'!K66/$W66)</f>
        <v>0.006173397726</v>
      </c>
      <c r="M66" s="341">
        <f>IF(K66="","",'Historique détail'!L66/$W66)</f>
        <v>0.007786837744</v>
      </c>
      <c r="N66" s="341">
        <f>IF(L66="","",'Historique détail'!M66/$W66)</f>
        <v>0.01425837417</v>
      </c>
      <c r="O66" s="341">
        <f>IF(M66="","",'Historique détail'!N66/$W66)</f>
        <v>0.007440141852</v>
      </c>
      <c r="P66" s="341">
        <f>IF(N66="","",'Historique détail'!O66/$W66)</f>
        <v>0.01390184212</v>
      </c>
      <c r="Q66" s="341">
        <f>IF(O66="","",'Historique détail'!P66/$W66)</f>
        <v>0.0006144904714</v>
      </c>
      <c r="R66" s="341">
        <f>IF(P66="","",'Historique détail'!Q66/$W66)</f>
        <v>0.00490360368</v>
      </c>
      <c r="S66" s="341">
        <f>IF(Q66="","",'Historique détail'!R66/$W66)</f>
        <v>0.0006450453481</v>
      </c>
      <c r="T66" s="341">
        <f>IF(R66="","",'Historique détail'!S66/$W66)</f>
        <v>0.001981915809</v>
      </c>
      <c r="U66" s="340">
        <f t="shared" si="2"/>
        <v>0.03028751288</v>
      </c>
      <c r="V66" s="14">
        <f>IF(A66="","",ARBITRAGES!M66)</f>
        <v>1109.468639</v>
      </c>
      <c r="W66" s="342">
        <f>IF(V66="","",'Historique détail'!U66)</f>
        <v>36631.22302</v>
      </c>
      <c r="X66" s="288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  <c r="AL66" s="289"/>
      <c r="AM66" s="289"/>
      <c r="AN66" s="289"/>
      <c r="AO66" s="289"/>
      <c r="AP66" s="289"/>
      <c r="AQ66" s="289"/>
      <c r="AR66" s="289"/>
      <c r="AS66" s="289"/>
      <c r="AT66" s="289"/>
      <c r="AU66" s="289"/>
      <c r="AV66" s="289"/>
      <c r="AW66" s="289"/>
      <c r="AX66" s="289"/>
      <c r="AY66" s="289"/>
      <c r="AZ66" s="289"/>
      <c r="BA66" s="289"/>
      <c r="BB66" s="289"/>
    </row>
    <row r="67">
      <c r="A67" s="290">
        <f>PRIX!A67</f>
        <v>45756</v>
      </c>
      <c r="B67" s="302">
        <f t="shared" si="1"/>
        <v>0.9846484172</v>
      </c>
      <c r="C67" s="341">
        <f>IF(A67="","",'Historique détail'!B67/$W67)</f>
        <v>0.5779042428</v>
      </c>
      <c r="D67" s="341">
        <f>IF(B67="","",'Historique détail'!C67/$W67)</f>
        <v>0.1263263245</v>
      </c>
      <c r="E67" s="341">
        <f>IF(C67="","",'Historique détail'!D67/$W67)</f>
        <v>0.0401884856</v>
      </c>
      <c r="F67" s="341">
        <f>IF(D67="","",'Historique détail'!E67/$W67)</f>
        <v>0.06185383574</v>
      </c>
      <c r="G67" s="341">
        <f>IF(E67="","",'Historique détail'!F67/$W67)</f>
        <v>0.05636430863</v>
      </c>
      <c r="H67" s="341">
        <f>IF(F67="","",'Historique détail'!G67/$W67)</f>
        <v>0.009704061277</v>
      </c>
      <c r="I67" s="341">
        <f>IF(G67="","",'Historique détail'!H67/$W67)</f>
        <v>0.03486558235</v>
      </c>
      <c r="J67" s="341">
        <f>IF(H67="","",'Historique détail'!I67/$W67)</f>
        <v>0.01296950127</v>
      </c>
      <c r="K67" s="341">
        <f>IF(I67="","",'Historique détail'!J67/$W67)</f>
        <v>0.006469515393</v>
      </c>
      <c r="L67" s="341">
        <f>IF(J67="","",'Historique détail'!K67/$W67)</f>
        <v>0.006205161485</v>
      </c>
      <c r="M67" s="341">
        <f>IF(K67="","",'Historique détail'!L67/$W67)</f>
        <v>0.007826903077</v>
      </c>
      <c r="N67" s="341">
        <f>IF(L67="","",'Historique détail'!M67/$W67)</f>
        <v>0.01433173727</v>
      </c>
      <c r="O67" s="341">
        <f>IF(M67="","",'Historique détail'!N67/$W67)</f>
        <v>0.007478423344</v>
      </c>
      <c r="P67" s="341">
        <f>IF(N67="","",'Historique détail'!O67/$W67)</f>
        <v>0.01397337076</v>
      </c>
      <c r="Q67" s="341">
        <f>IF(O67="","",'Historique détail'!P67/$W67)</f>
        <v>0.0006176521869</v>
      </c>
      <c r="R67" s="341">
        <f>IF(P67="","",'Historique détail'!Q67/$W67)</f>
        <v>0.004928834014</v>
      </c>
      <c r="S67" s="341">
        <f>IF(Q67="","",'Historique détail'!R67/$W67)</f>
        <v>0.0006483642764</v>
      </c>
      <c r="T67" s="341">
        <f>IF(R67="","",'Historique détail'!S67/$W67)</f>
        <v>0.001992113288</v>
      </c>
      <c r="U67" s="340">
        <f t="shared" si="2"/>
        <v>0.01535158279</v>
      </c>
      <c r="V67" s="14">
        <f>IF(A67="","",ARBITRAGES!M67)</f>
        <v>559.468639</v>
      </c>
      <c r="W67" s="342">
        <f>IF(V67="","",'Historique détail'!U67)</f>
        <v>36443.71052</v>
      </c>
      <c r="X67" s="288"/>
      <c r="Y67" s="289"/>
      <c r="Z67" s="289"/>
      <c r="AA67" s="289"/>
      <c r="AB67" s="289"/>
      <c r="AC67" s="289"/>
      <c r="AD67" s="289"/>
      <c r="AE67" s="289"/>
      <c r="AF67" s="289"/>
      <c r="AG67" s="289"/>
      <c r="AH67" s="289"/>
      <c r="AI67" s="289"/>
      <c r="AJ67" s="289"/>
      <c r="AK67" s="289"/>
      <c r="AL67" s="289"/>
      <c r="AM67" s="289"/>
      <c r="AN67" s="289"/>
      <c r="AO67" s="289"/>
      <c r="AP67" s="289"/>
      <c r="AQ67" s="289"/>
      <c r="AR67" s="289"/>
      <c r="AS67" s="289"/>
      <c r="AT67" s="289"/>
      <c r="AU67" s="289"/>
      <c r="AV67" s="289"/>
      <c r="AW67" s="289"/>
      <c r="AX67" s="289"/>
      <c r="AY67" s="289"/>
      <c r="AZ67" s="289"/>
      <c r="BA67" s="289"/>
      <c r="BB67" s="289"/>
    </row>
    <row r="68">
      <c r="A68" s="290">
        <f>PRIX!A68</f>
        <v>45757</v>
      </c>
      <c r="B68" s="302">
        <f t="shared" si="1"/>
        <v>0.9795863668</v>
      </c>
      <c r="C68" s="341">
        <f>IF(A68="","",'Historique détail'!B68/$W68)</f>
        <v>0.5610336958</v>
      </c>
      <c r="D68" s="341">
        <f>IF(B68="","",'Historique détail'!C68/$W68)</f>
        <v>0.1315298195</v>
      </c>
      <c r="E68" s="341">
        <f>IF(C68="","",'Historique détail'!D68/$W68)</f>
        <v>0.03511375007</v>
      </c>
      <c r="F68" s="341">
        <f>IF(D68="","",'Historique détail'!E68/$W68)</f>
        <v>0.06872903458</v>
      </c>
      <c r="G68" s="341">
        <f>IF(E68="","",'Historique détail'!F68/$W68)</f>
        <v>0.06636333188</v>
      </c>
      <c r="H68" s="341">
        <f>IF(F68="","",'Historique détail'!G68/$W68)</f>
        <v>0.005442835348</v>
      </c>
      <c r="I68" s="341">
        <f>IF(G68="","",'Historique détail'!H68/$W68)</f>
        <v>0.03378113471</v>
      </c>
      <c r="J68" s="341">
        <f>IF(H68="","",'Historique détail'!I68/$W68)</f>
        <v>0.01350372671</v>
      </c>
      <c r="K68" s="341">
        <f>IF(I68="","",'Historique détail'!J68/$W68)</f>
        <v>0.0006656127032</v>
      </c>
      <c r="L68" s="341">
        <f>IF(J68="","",'Historique détail'!K68/$W68)</f>
        <v>0.006599343894</v>
      </c>
      <c r="M68" s="341">
        <f>IF(K68="","",'Historique détail'!L68/$W68)</f>
        <v>0.008466805466</v>
      </c>
      <c r="N68" s="341">
        <f>IF(L68="","",'Historique détail'!M68/$W68)</f>
        <v>0.01565252562</v>
      </c>
      <c r="O68" s="341">
        <f>IF(M68="","",'Historique détail'!N68/$W68)</f>
        <v>0.009565683456</v>
      </c>
      <c r="P68" s="341">
        <f>IF(N68="","",'Historique détail'!O68/$W68)</f>
        <v>0.01498982365</v>
      </c>
      <c r="Q68" s="341">
        <f>IF(O68="","",'Historique détail'!P68/$W68)</f>
        <v>0.0005846307605</v>
      </c>
      <c r="R68" s="341">
        <f>IF(P68="","",'Historique détail'!Q68/$W68)</f>
        <v>0.004665324658</v>
      </c>
      <c r="S68" s="341">
        <f>IF(Q68="","",'Historique détail'!R68/$W68)</f>
        <v>0.0006137008951</v>
      </c>
      <c r="T68" s="341">
        <f>IF(R68="","",'Historique détail'!S68/$W68)</f>
        <v>0.002285587028</v>
      </c>
      <c r="U68" s="340">
        <f t="shared" si="2"/>
        <v>0.02041363325</v>
      </c>
      <c r="V68" s="14">
        <f>IF(A68="","",ARBITRAGES!M68)</f>
        <v>785.968639</v>
      </c>
      <c r="W68" s="342">
        <f>IF(V68="","",'Historique détail'!U68)</f>
        <v>38502.14361</v>
      </c>
      <c r="X68" s="288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  <c r="AQ68" s="289"/>
      <c r="AR68" s="289"/>
      <c r="AS68" s="289"/>
      <c r="AT68" s="289"/>
      <c r="AU68" s="289"/>
      <c r="AV68" s="289"/>
      <c r="AW68" s="289"/>
      <c r="AX68" s="289"/>
      <c r="AY68" s="289"/>
      <c r="AZ68" s="289"/>
      <c r="BA68" s="289"/>
      <c r="BB68" s="289"/>
    </row>
    <row r="69">
      <c r="A69" s="290">
        <f>PRIX!A69</f>
        <v>45757</v>
      </c>
      <c r="B69" s="302">
        <f t="shared" si="1"/>
        <v>0.985479048</v>
      </c>
      <c r="C69" s="341">
        <f>IF(A69="","",'Historique détail'!B69/$W69)</f>
        <v>0.5668371643</v>
      </c>
      <c r="D69" s="341">
        <f>IF(B69="","",'Historique détail'!C69/$W69)</f>
        <v>0.1315578545</v>
      </c>
      <c r="E69" s="341">
        <f>IF(C69="","",'Historique détail'!D69/$W69)</f>
        <v>0.03512123442</v>
      </c>
      <c r="F69" s="341">
        <f>IF(D69="","",'Historique détail'!E69/$W69)</f>
        <v>0.06874368388</v>
      </c>
      <c r="G69" s="341">
        <f>IF(E69="","",'Historique détail'!F69/$W69)</f>
        <v>0.06637747694</v>
      </c>
      <c r="H69" s="341">
        <f>IF(F69="","",'Historique détail'!G69/$W69)</f>
        <v>0.005443995465</v>
      </c>
      <c r="I69" s="341">
        <f>IF(G69="","",'Historique détail'!H69/$W69)</f>
        <v>0.03378833501</v>
      </c>
      <c r="J69" s="341">
        <f>IF(H69="","",'Historique détail'!I69/$W69)</f>
        <v>0.01350660497</v>
      </c>
      <c r="K69" s="341">
        <f>IF(I69="","",'Historique détail'!J69/$W69)</f>
        <v>0.0006657545757</v>
      </c>
      <c r="L69" s="341">
        <f>IF(J69="","",'Historique détail'!K69/$W69)</f>
        <v>0.006600750517</v>
      </c>
      <c r="M69" s="341">
        <f>IF(K69="","",'Historique détail'!L69/$W69)</f>
        <v>0.00846861013</v>
      </c>
      <c r="N69" s="341">
        <f>IF(L69="","",'Historique détail'!M69/$W69)</f>
        <v>0.01565586189</v>
      </c>
      <c r="O69" s="341">
        <f>IF(M69="","",'Historique détail'!N69/$W69)</f>
        <v>0.009567722341</v>
      </c>
      <c r="P69" s="341">
        <f>IF(N69="","",'Historique détail'!O69/$W69)</f>
        <v>0.01499301867</v>
      </c>
      <c r="Q69" s="341">
        <f>IF(O69="","",'Historique détail'!P69/$W69)</f>
        <v>0.000584755372</v>
      </c>
      <c r="R69" s="341">
        <f>IF(P69="","",'Historique détail'!Q69/$W69)</f>
        <v>0.004666319053</v>
      </c>
      <c r="S69" s="341">
        <f>IF(Q69="","",'Historique détail'!R69/$W69)</f>
        <v>0.0006138317029</v>
      </c>
      <c r="T69" s="341">
        <f>IF(R69="","",'Historique détail'!S69/$W69)</f>
        <v>0.002286074191</v>
      </c>
      <c r="U69" s="340">
        <f t="shared" si="2"/>
        <v>0.01452095204</v>
      </c>
      <c r="V69" s="14">
        <f>IF(A69="","",ARBITRAGES!M69)</f>
        <v>558.968639</v>
      </c>
      <c r="W69" s="342">
        <f>IF(V69="","",'Historique détail'!U69)</f>
        <v>38493.93879</v>
      </c>
      <c r="X69" s="288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  <c r="AQ69" s="289"/>
      <c r="AR69" s="289"/>
      <c r="AS69" s="289"/>
      <c r="AT69" s="289"/>
      <c r="AU69" s="289"/>
      <c r="AV69" s="289"/>
      <c r="AW69" s="289"/>
      <c r="AX69" s="289"/>
      <c r="AY69" s="289"/>
      <c r="AZ69" s="289"/>
      <c r="BA69" s="289"/>
      <c r="BB69" s="289"/>
    </row>
    <row r="70">
      <c r="A70" s="290">
        <f>PRIX!A70</f>
        <v>45758</v>
      </c>
      <c r="B70" s="302">
        <f t="shared" si="1"/>
        <v>0.9855179548</v>
      </c>
      <c r="C70" s="341">
        <f>IF(A70="","",'Historique détail'!B70/$W70)</f>
        <v>0.5845222654</v>
      </c>
      <c r="D70" s="341">
        <f>IF(B70="","",'Historique détail'!C70/$W70)</f>
        <v>0.1261975897</v>
      </c>
      <c r="E70" s="341">
        <f>IF(C70="","",'Historique détail'!D70/$W70)</f>
        <v>0.03369023572</v>
      </c>
      <c r="F70" s="341">
        <f>IF(D70="","",'Historique détail'!E70/$W70)</f>
        <v>0.06594275379</v>
      </c>
      <c r="G70" s="341">
        <f>IF(E70="","",'Historique détail'!F70/$W70)</f>
        <v>0.06367295687</v>
      </c>
      <c r="H70" s="341">
        <f>IF(F70="","",'Historique détail'!G70/$W70)</f>
        <v>0.00522218235</v>
      </c>
      <c r="I70" s="341">
        <f>IF(G70="","",'Historique détail'!H70/$W70)</f>
        <v>0.0324116447</v>
      </c>
      <c r="J70" s="341">
        <f>IF(H70="","",'Historique détail'!I70/$W70)</f>
        <v>0.0129562845</v>
      </c>
      <c r="K70" s="341">
        <f>IF(I70="","",'Historique détail'!J70/$W70)</f>
        <v>0.0006386287087</v>
      </c>
      <c r="L70" s="341">
        <f>IF(J70="","",'Historique détail'!K70/$W70)</f>
        <v>0.006331805943</v>
      </c>
      <c r="M70" s="341">
        <f>IF(K70="","",'Historique détail'!L70/$W70)</f>
        <v>0.008123560467</v>
      </c>
      <c r="N70" s="341">
        <f>IF(L70="","",'Historique détail'!M70/$W70)</f>
        <v>0.01501797093</v>
      </c>
      <c r="O70" s="341">
        <f>IF(M70="","",'Historique détail'!N70/$W70)</f>
        <v>0.009177889852</v>
      </c>
      <c r="P70" s="341">
        <f>IF(N70="","",'Historique détail'!O70/$W70)</f>
        <v>0.01438213495</v>
      </c>
      <c r="Q70" s="341">
        <f>IF(O70="","",'Historique détail'!P70/$W70)</f>
        <v>0.0005609297808</v>
      </c>
      <c r="R70" s="341">
        <f>IF(P70="","",'Historique détail'!Q70/$W70)</f>
        <v>0.004476192008</v>
      </c>
      <c r="S70" s="341">
        <f>IF(Q70="","",'Historique détail'!R70/$W70)</f>
        <v>0</v>
      </c>
      <c r="T70" s="341">
        <f>IF(R70="","",'Historique détail'!S70/$W70)</f>
        <v>0.00219292914</v>
      </c>
      <c r="U70" s="340">
        <f t="shared" si="2"/>
        <v>0.0144820452</v>
      </c>
      <c r="V70" s="14">
        <f>IF(A70="","",ARBITRAGES!M70)</f>
        <v>581.149639</v>
      </c>
      <c r="W70" s="342">
        <f>IF(V70="","",'Historique détail'!U70)</f>
        <v>40128.97563</v>
      </c>
      <c r="X70" s="288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  <c r="AQ70" s="289"/>
      <c r="AR70" s="289"/>
      <c r="AS70" s="289"/>
      <c r="AT70" s="289"/>
      <c r="AU70" s="289"/>
      <c r="AV70" s="289"/>
      <c r="AW70" s="289"/>
      <c r="AX70" s="289"/>
      <c r="AY70" s="289"/>
      <c r="AZ70" s="289"/>
      <c r="BA70" s="289"/>
      <c r="BB70" s="289"/>
    </row>
    <row r="71">
      <c r="A71" s="290">
        <f>PRIX!A71</f>
        <v>45760</v>
      </c>
      <c r="B71" s="302">
        <f t="shared" si="1"/>
        <v>0.9850183795</v>
      </c>
      <c r="C71" s="341">
        <f>IF(A71="","",'Historique détail'!B71/$W71)</f>
        <v>0.5845586756</v>
      </c>
      <c r="D71" s="341">
        <f>IF(B71="","",'Historique détail'!C71/$W71)</f>
        <v>0.1262054506</v>
      </c>
      <c r="E71" s="341">
        <f>IF(C71="","",'Historique détail'!D71/$W71)</f>
        <v>0.03369233431</v>
      </c>
      <c r="F71" s="341">
        <f>IF(D71="","",'Historique détail'!E71/$W71)</f>
        <v>0.06594686141</v>
      </c>
      <c r="G71" s="341">
        <f>IF(E71="","",'Historique détail'!F71/$W71)</f>
        <v>0.0636769231</v>
      </c>
      <c r="H71" s="341">
        <f>IF(F71="","",'Historique détail'!G71/$W71)</f>
        <v>0.005222507643</v>
      </c>
      <c r="I71" s="341">
        <f>IF(G71="","",'Historique détail'!H71/$W71)</f>
        <v>0.03241366364</v>
      </c>
      <c r="J71" s="341">
        <f>IF(H71="","",'Historique détail'!I71/$W71)</f>
        <v>0.01295709156</v>
      </c>
      <c r="K71" s="341">
        <f>IF(I71="","",'Historique détail'!J71/$W71)</f>
        <v>0.0006386684893</v>
      </c>
      <c r="L71" s="341">
        <f>IF(J71="","",'Historique détail'!K71/$W71)</f>
        <v>0.006332200355</v>
      </c>
      <c r="M71" s="341">
        <f>IF(K71="","",'Historique détail'!L71/$W71)</f>
        <v>0.008124066489</v>
      </c>
      <c r="N71" s="341">
        <f>IF(L71="","",'Historique détail'!M71/$W71)</f>
        <v>0.01501890641</v>
      </c>
      <c r="O71" s="341">
        <f>IF(M71="","",'Historique détail'!N71/$W71)</f>
        <v>0.009178461548</v>
      </c>
      <c r="P71" s="341">
        <f>IF(N71="","",'Historique détail'!O71/$W71)</f>
        <v>0.01438303082</v>
      </c>
      <c r="Q71" s="341">
        <f>IF(O71="","",'Historique détail'!P71/$W71)</f>
        <v>0.0000000009008980722</v>
      </c>
      <c r="R71" s="341">
        <f>IF(P71="","",'Historique détail'!Q71/$W71)</f>
        <v>0.004476470833</v>
      </c>
      <c r="S71" s="341">
        <f>IF(Q71="","",'Historique détail'!R71/$W71)</f>
        <v>0</v>
      </c>
      <c r="T71" s="341">
        <f>IF(R71="","",'Historique détail'!S71/$W71)</f>
        <v>0.002193065739</v>
      </c>
      <c r="U71" s="340">
        <f t="shared" si="2"/>
        <v>0.01498162054</v>
      </c>
      <c r="V71" s="14">
        <f>IF(A71="","",ARBITRAGES!M71)</f>
        <v>601.159639</v>
      </c>
      <c r="W71" s="342">
        <f>IF(V71="","",'Historique détail'!U71)</f>
        <v>40126.47613</v>
      </c>
      <c r="X71" s="288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Q71" s="289"/>
      <c r="AR71" s="289"/>
      <c r="AS71" s="289"/>
      <c r="AT71" s="289"/>
      <c r="AU71" s="289"/>
      <c r="AV71" s="289"/>
      <c r="AW71" s="289"/>
      <c r="AX71" s="289"/>
      <c r="AY71" s="289"/>
      <c r="AZ71" s="289"/>
      <c r="BA71" s="289"/>
      <c r="BB71" s="289"/>
    </row>
    <row r="72">
      <c r="A72" s="290">
        <f>PRIX!A72</f>
        <v>45779</v>
      </c>
      <c r="B72" s="302">
        <f t="shared" si="1"/>
        <v>0.9643791131</v>
      </c>
      <c r="C72" s="341">
        <f>IF(A72="","",'Historique détail'!B72/$W72)</f>
        <v>0.5539950124</v>
      </c>
      <c r="D72" s="341">
        <f>IF(B72="","",'Historique détail'!C72/$W72)</f>
        <v>0.1252512617</v>
      </c>
      <c r="E72" s="341">
        <f>IF(C72="","",'Historique détail'!D72/$W72)</f>
        <v>0.03269454228</v>
      </c>
      <c r="F72" s="341">
        <f>IF(D72="","",'Historique détail'!E72/$W72)</f>
        <v>0.06666026849</v>
      </c>
      <c r="G72" s="341">
        <f>IF(E72="","",'Historique détail'!F72/$W72)</f>
        <v>0.06815199621</v>
      </c>
      <c r="H72" s="341">
        <f>IF(F72="","",'Historique détail'!G72/$W72)</f>
        <v>0.004751103825</v>
      </c>
      <c r="I72" s="341">
        <f>IF(G72="","",'Historique détail'!H72/$W72)</f>
        <v>0.0340244775</v>
      </c>
      <c r="J72" s="341">
        <f>IF(H72="","",'Historique détail'!I72/$W72)</f>
        <v>0.01143033616</v>
      </c>
      <c r="K72" s="341">
        <f>IF(I72="","",'Historique détail'!J72/$W72)</f>
        <v>0.00557779</v>
      </c>
      <c r="L72" s="341">
        <f>IF(J72="","",'Historique détail'!K72/$W72)</f>
        <v>0.006048662933</v>
      </c>
      <c r="M72" s="341">
        <f>IF(K72="","",'Historique détail'!L72/$W72)</f>
        <v>0.009238445879</v>
      </c>
      <c r="N72" s="341">
        <f>IF(L72="","",'Historique détail'!M72/$W72)</f>
        <v>0.01548500715</v>
      </c>
      <c r="O72" s="341">
        <f>IF(M72="","",'Historique détail'!N72/$W72)</f>
        <v>0.008349977971</v>
      </c>
      <c r="P72" s="341">
        <f>IF(N72="","",'Historique détail'!O72/$W72)</f>
        <v>0.01385445453</v>
      </c>
      <c r="Q72" s="341">
        <f>IF(O72="","",'Historique détail'!P72/$W72)</f>
        <v>0.000000000983495417</v>
      </c>
      <c r="R72" s="341">
        <f>IF(P72="","",'Historique détail'!Q72/$W72)</f>
        <v>0.005972863885</v>
      </c>
      <c r="S72" s="341">
        <f>IF(Q72="","",'Historique détail'!R72/$W72)</f>
        <v>0</v>
      </c>
      <c r="T72" s="341">
        <f>IF(R72="","",'Historique détail'!S72/$W72)</f>
        <v>0.002892911109</v>
      </c>
      <c r="U72" s="340">
        <f t="shared" si="2"/>
        <v>0.03562088694</v>
      </c>
      <c r="V72" s="14">
        <f>IF(A72="","",ARBITRAGES!M72)</f>
        <v>1571.159639</v>
      </c>
      <c r="W72" s="342">
        <f>IF(V72="","",'Historique détail'!U72)</f>
        <v>44107.81914</v>
      </c>
      <c r="X72" s="288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  <c r="AK72" s="289"/>
      <c r="AL72" s="289"/>
      <c r="AM72" s="289"/>
      <c r="AN72" s="289"/>
      <c r="AO72" s="289"/>
      <c r="AP72" s="289"/>
      <c r="AQ72" s="289"/>
      <c r="AR72" s="289"/>
      <c r="AS72" s="289"/>
      <c r="AT72" s="289"/>
      <c r="AU72" s="289"/>
      <c r="AV72" s="289"/>
      <c r="AW72" s="289"/>
      <c r="AX72" s="289"/>
      <c r="AY72" s="289"/>
      <c r="AZ72" s="289"/>
      <c r="BA72" s="289"/>
      <c r="BB72" s="289"/>
    </row>
    <row r="73">
      <c r="A73" s="290">
        <f>PRIX!A73</f>
        <v>45779</v>
      </c>
      <c r="B73" s="302">
        <f t="shared" si="1"/>
        <v>0.9422263217</v>
      </c>
      <c r="C73" s="341">
        <f>IF(A73="","",'Historique détail'!B73/$W73)</f>
        <v>0.5323068999</v>
      </c>
      <c r="D73" s="341">
        <f>IF(B73="","",'Historique détail'!C73/$W73)</f>
        <v>0.1251094394</v>
      </c>
      <c r="E73" s="341">
        <f>IF(C73="","",'Historique détail'!D73/$W73)</f>
        <v>0.03265752218</v>
      </c>
      <c r="F73" s="341">
        <f>IF(D73="","",'Historique détail'!E73/$W73)</f>
        <v>0.06658478891</v>
      </c>
      <c r="G73" s="341">
        <f>IF(E73="","",'Historique détail'!F73/$W73)</f>
        <v>0.06807482755</v>
      </c>
      <c r="H73" s="341">
        <f>IF(F73="","",'Historique détail'!G73/$W73)</f>
        <v>0.004745724139</v>
      </c>
      <c r="I73" s="341">
        <f>IF(G73="","",'Historique détail'!H73/$W73)</f>
        <v>0.03398595151</v>
      </c>
      <c r="J73" s="341">
        <f>IF(H73="","",'Historique détail'!I73/$W73)</f>
        <v>0.01141739356</v>
      </c>
      <c r="K73" s="341">
        <f>IF(I73="","",'Historique détail'!J73/$W73)</f>
        <v>0.005571474255</v>
      </c>
      <c r="L73" s="341">
        <f>IF(J73="","",'Historique détail'!K73/$W73)</f>
        <v>0.006041814018</v>
      </c>
      <c r="M73" s="341">
        <f>IF(K73="","",'Historique détail'!L73/$W73)</f>
        <v>0.009227985166</v>
      </c>
      <c r="N73" s="341">
        <f>IF(L73="","",'Historique détail'!M73/$W73)</f>
        <v>0.01546747344</v>
      </c>
      <c r="O73" s="341">
        <f>IF(M73="","",'Historique détail'!N73/$W73)</f>
        <v>0.008340523272</v>
      </c>
      <c r="P73" s="341">
        <f>IF(N73="","",'Historique détail'!O73/$W73)</f>
        <v>0.0138387671</v>
      </c>
      <c r="Q73" s="341">
        <f>IF(O73="","",'Historique détail'!P73/$W73)</f>
        <v>0.0000000009823818029</v>
      </c>
      <c r="R73" s="341">
        <f>IF(P73="","",'Historique détail'!Q73/$W73)</f>
        <v>0.005966100797</v>
      </c>
      <c r="S73" s="341">
        <f>IF(Q73="","",'Historique détail'!R73/$W73)</f>
        <v>0</v>
      </c>
      <c r="T73" s="341">
        <f>IF(R73="","",'Historique détail'!S73/$W73)</f>
        <v>0.002889635459</v>
      </c>
      <c r="U73" s="340">
        <f t="shared" si="2"/>
        <v>0.05777367833</v>
      </c>
      <c r="V73" s="14">
        <f>IF(A73="","",ARBITRAGES!M73)</f>
        <v>2551.159639</v>
      </c>
      <c r="W73" s="342">
        <f>IF(V73="","",'Historique détail'!U73)</f>
        <v>44157.81914</v>
      </c>
      <c r="X73" s="288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  <c r="AK73" s="289"/>
      <c r="AL73" s="289"/>
      <c r="AM73" s="289"/>
      <c r="AN73" s="289"/>
      <c r="AO73" s="289"/>
      <c r="AP73" s="289"/>
      <c r="AQ73" s="289"/>
      <c r="AR73" s="289"/>
      <c r="AS73" s="289"/>
      <c r="AT73" s="289"/>
      <c r="AU73" s="289"/>
      <c r="AV73" s="289"/>
      <c r="AW73" s="289"/>
      <c r="AX73" s="289"/>
      <c r="AY73" s="289"/>
      <c r="AZ73" s="289"/>
      <c r="BA73" s="289"/>
      <c r="BB73" s="289"/>
    </row>
    <row r="74">
      <c r="A74" s="290">
        <f>PRIX!A75</f>
        <v>45785</v>
      </c>
      <c r="B74" s="302">
        <f t="shared" si="1"/>
        <v>0.9053734881</v>
      </c>
      <c r="C74" s="341">
        <f>IF(A74="","",'Historique détail'!B74/$W74)</f>
        <v>0.4687216534</v>
      </c>
      <c r="D74" s="341">
        <f>IF(B74="","",'Historique détail'!C74/$W74)</f>
        <v>0.1500977775</v>
      </c>
      <c r="E74" s="341">
        <f>IF(C74="","",'Historique détail'!D74/$W74)</f>
        <v>0.02909134976</v>
      </c>
      <c r="F74" s="341">
        <f>IF(D74="","",'Historique détail'!E74/$W74)</f>
        <v>0.06518525509</v>
      </c>
      <c r="G74" s="341">
        <f>IF(E74="","",'Historique détail'!F74/$W74)</f>
        <v>0.08820526086</v>
      </c>
      <c r="H74" s="341">
        <f>IF(F74="","",'Historique détail'!G74/$W74)</f>
        <v>0.004663055398</v>
      </c>
      <c r="I74" s="341">
        <f>IF(G74="","",'Historique détail'!H74/$W74)</f>
        <v>0.03170588417</v>
      </c>
      <c r="J74" s="341">
        <f>IF(H74="","",'Historique détail'!I74/$W74)</f>
        <v>0.001275951052</v>
      </c>
      <c r="K74" s="341">
        <f>IF(I74="","",'Historique détail'!J74/$W74)</f>
        <v>0.006015847533</v>
      </c>
      <c r="L74" s="341">
        <f>IF(J74="","",'Historique détail'!K74/$W74)</f>
        <v>0.005790561234</v>
      </c>
      <c r="M74" s="341">
        <f>IF(K74="","",'Historique détail'!L74/$W74)</f>
        <v>0.008290045359</v>
      </c>
      <c r="N74" s="341">
        <f>IF(L74="","",'Historique détail'!M74/$W74)</f>
        <v>0.01729059021</v>
      </c>
      <c r="O74" s="341">
        <f>IF(M74="","",'Historique détail'!N74/$W74)</f>
        <v>0.007925061907</v>
      </c>
      <c r="P74" s="341">
        <f>IF(N74="","",'Historique détail'!O74/$W74)</f>
        <v>0.01295019138</v>
      </c>
      <c r="Q74" s="341">
        <f>IF(O74="","",'Historique détail'!P74/$W74)</f>
        <v>0.000000001046592115</v>
      </c>
      <c r="R74" s="341">
        <f>IF(P74="","",'Historique détail'!Q74/$W74)</f>
        <v>0.005668915082</v>
      </c>
      <c r="S74" s="341">
        <f>IF(Q74="","",'Historique détail'!R74/$W74)</f>
        <v>0</v>
      </c>
      <c r="T74" s="341">
        <f>IF(R74="","",'Historique détail'!S74/$W74)</f>
        <v>0.002496087111</v>
      </c>
      <c r="U74" s="340">
        <f t="shared" si="2"/>
        <v>0.09462651194</v>
      </c>
      <c r="V74" s="14">
        <f>IF(A74="","",ARBITRAGES!M75)</f>
        <v>4837.308309</v>
      </c>
      <c r="W74" s="342">
        <f>IF(V74="","",'Historique détail'!U74)</f>
        <v>51120.01076</v>
      </c>
      <c r="X74" s="288"/>
      <c r="Y74" s="289"/>
      <c r="Z74" s="289"/>
      <c r="AA74" s="289"/>
      <c r="AB74" s="289"/>
      <c r="AC74" s="289"/>
      <c r="AD74" s="289"/>
      <c r="AE74" s="289"/>
      <c r="AF74" s="289"/>
      <c r="AG74" s="289"/>
      <c r="AH74" s="289"/>
      <c r="AI74" s="289"/>
      <c r="AJ74" s="289"/>
      <c r="AK74" s="289"/>
      <c r="AL74" s="289"/>
      <c r="AM74" s="289"/>
      <c r="AN74" s="289"/>
      <c r="AO74" s="289"/>
      <c r="AP74" s="289"/>
      <c r="AQ74" s="289"/>
      <c r="AR74" s="289"/>
      <c r="AS74" s="289"/>
      <c r="AT74" s="289"/>
      <c r="AU74" s="289"/>
      <c r="AV74" s="289"/>
      <c r="AW74" s="289"/>
      <c r="AX74" s="289"/>
      <c r="AY74" s="289"/>
      <c r="AZ74" s="289"/>
      <c r="BA74" s="289"/>
      <c r="BB74" s="289"/>
    </row>
    <row r="75">
      <c r="A75" s="290">
        <f>PRIX!A76</f>
        <v>45054</v>
      </c>
      <c r="B75" s="302">
        <f t="shared" si="1"/>
        <v>0.9009893252</v>
      </c>
      <c r="C75" s="341">
        <f>IF(A75="","",'Historique détail'!B75/$W75)</f>
        <v>0.4688667866</v>
      </c>
      <c r="D75" s="341">
        <f>IF(B75="","",'Historique détail'!C75/$W75)</f>
        <v>0.1501442532</v>
      </c>
      <c r="E75" s="341">
        <f>IF(C75="","",'Historique détail'!D75/$W75)</f>
        <v>0.0291003575</v>
      </c>
      <c r="F75" s="341">
        <f>IF(D75="","",'Historique détail'!E75/$W75)</f>
        <v>0.06520543881</v>
      </c>
      <c r="G75" s="341">
        <f>IF(E75="","",'Historique détail'!F75/$W75)</f>
        <v>0.0882325724</v>
      </c>
      <c r="H75" s="341">
        <f>IF(F75="","",'Historique détail'!G75/$W75)</f>
        <v>0</v>
      </c>
      <c r="I75" s="341">
        <f>IF(G75="","",'Historique détail'!H75/$W75)</f>
        <v>0.03171570146</v>
      </c>
      <c r="J75" s="341">
        <f>IF(H75="","",'Historique détail'!I75/$W75)</f>
        <v>0.001276346132</v>
      </c>
      <c r="K75" s="341">
        <f>IF(I75="","",'Historique détail'!J75/$W75)</f>
        <v>0.006017710258</v>
      </c>
      <c r="L75" s="341">
        <f>IF(J75="","",'Historique détail'!K75/$W75)</f>
        <v>0.005792354202</v>
      </c>
      <c r="M75" s="341">
        <f>IF(K75="","",'Historique détail'!L75/$W75)</f>
        <v>0.008292612258</v>
      </c>
      <c r="N75" s="341">
        <f>IF(L75="","",'Historique détail'!M75/$W75)</f>
        <v>0.01729594401</v>
      </c>
      <c r="O75" s="341">
        <f>IF(M75="","",'Historique détail'!N75/$W75)</f>
        <v>0.007927515793</v>
      </c>
      <c r="P75" s="341">
        <f>IF(N75="","",'Historique détail'!O75/$W75)</f>
        <v>0.01295420123</v>
      </c>
      <c r="Q75" s="341">
        <f>IF(O75="","",'Historique détail'!P75/$W75)</f>
        <v>0.000000001046916178</v>
      </c>
      <c r="R75" s="341">
        <f>IF(P75="","",'Historique détail'!Q75/$W75)</f>
        <v>0.005670670383</v>
      </c>
      <c r="S75" s="341">
        <f>IF(Q75="","",'Historique détail'!R75/$W75)</f>
        <v>0</v>
      </c>
      <c r="T75" s="341">
        <f>IF(R75="","",'Historique détail'!S75/$W75)</f>
        <v>0.00249685999</v>
      </c>
      <c r="U75" s="340">
        <f t="shared" si="2"/>
        <v>0.09901067477</v>
      </c>
      <c r="V75" s="14">
        <f>IF(A75="","",ARBITRAGES!M76)</f>
        <v>5059.860044</v>
      </c>
      <c r="W75" s="342">
        <f>IF(V75="","",'Historique détail'!U75)</f>
        <v>51104.18706</v>
      </c>
      <c r="X75" s="288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  <c r="AI75" s="289"/>
      <c r="AJ75" s="289"/>
      <c r="AK75" s="289"/>
      <c r="AL75" s="289"/>
      <c r="AM75" s="289"/>
      <c r="AN75" s="289"/>
      <c r="AO75" s="289"/>
      <c r="AP75" s="289"/>
      <c r="AQ75" s="289"/>
      <c r="AR75" s="289"/>
      <c r="AS75" s="289"/>
      <c r="AT75" s="289"/>
      <c r="AU75" s="289"/>
      <c r="AV75" s="289"/>
      <c r="AW75" s="289"/>
      <c r="AX75" s="289"/>
      <c r="AY75" s="289"/>
      <c r="AZ75" s="289"/>
      <c r="BA75" s="289"/>
      <c r="BB75" s="289"/>
    </row>
    <row r="76">
      <c r="A76" s="290">
        <f>PRIX!A77</f>
        <v>45786</v>
      </c>
      <c r="B76" s="302">
        <f t="shared" si="1"/>
        <v>0.8925846598</v>
      </c>
      <c r="C76" s="341">
        <f>IF(A76="","",'Historique détail'!B76/$W76)</f>
        <v>0.4684786672</v>
      </c>
      <c r="D76" s="341">
        <f>IF(B76="","",'Historique détail'!C76/$W76)</f>
        <v>0.150708449</v>
      </c>
      <c r="E76" s="341">
        <f>IF(C76="","",'Historique détail'!D76/$W76)</f>
        <v>0.02912430472</v>
      </c>
      <c r="F76" s="341">
        <f>IF(D76="","",'Historique détail'!E76/$W76)</f>
        <v>0.06525909757</v>
      </c>
      <c r="G76" s="341">
        <f>IF(E76="","",'Historique détail'!F76/$W76)</f>
        <v>0.07949239365</v>
      </c>
      <c r="H76" s="341">
        <f>IF(F76="","",'Historique détail'!G76/$W76)</f>
        <v>0</v>
      </c>
      <c r="I76" s="341">
        <f>IF(G76="","",'Historique détail'!H76/$W76)</f>
        <v>0.0317418009</v>
      </c>
      <c r="J76" s="341">
        <f>IF(H76="","",'Historique détail'!I76/$W76)</f>
        <v>0.001277396461</v>
      </c>
      <c r="K76" s="341">
        <f>IF(I76="","",'Historique détail'!J76/$W76)</f>
        <v>0.006022662342</v>
      </c>
      <c r="L76" s="341">
        <f>IF(J76="","",'Historique détail'!K76/$W76)</f>
        <v>0.005797120837</v>
      </c>
      <c r="M76" s="341">
        <f>IF(K76="","",'Historique détail'!L76/$W76)</f>
        <v>0.008299436401</v>
      </c>
      <c r="N76" s="341">
        <f>IF(L76="","",'Historique détail'!M76/$W76)</f>
        <v>0.01731017716</v>
      </c>
      <c r="O76" s="341">
        <f>IF(M76="","",'Historique détail'!N76/$W76)</f>
        <v>0.007934039493</v>
      </c>
      <c r="P76" s="341">
        <f>IF(N76="","",'Historique détail'!O76/$W76)</f>
        <v>0.01296486148</v>
      </c>
      <c r="Q76" s="341">
        <f>IF(O76="","",'Historique détail'!P76/$W76)</f>
        <v>0.000000001047777704</v>
      </c>
      <c r="R76" s="341">
        <f>IF(P76="","",'Historique détail'!Q76/$W76)</f>
        <v>0.005675336883</v>
      </c>
      <c r="S76" s="341">
        <f>IF(Q76="","",'Historique détail'!R76/$W76)</f>
        <v>0</v>
      </c>
      <c r="T76" s="341">
        <f>IF(R76="","",'Historique détail'!S76/$W76)</f>
        <v>0.002498914703</v>
      </c>
      <c r="U76" s="340">
        <f t="shared" si="2"/>
        <v>0.1074153402</v>
      </c>
      <c r="V76" s="14">
        <f>IF(A76="","",ARBITRAGES!M77)</f>
        <v>5484.860044</v>
      </c>
      <c r="W76" s="342">
        <f>IF(V76="","",'Historique détail'!U76)</f>
        <v>51062.16706</v>
      </c>
      <c r="X76" s="288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  <c r="AI76" s="289"/>
      <c r="AJ76" s="289"/>
      <c r="AK76" s="289"/>
      <c r="AL76" s="289"/>
      <c r="AM76" s="289"/>
      <c r="AN76" s="289"/>
      <c r="AO76" s="289"/>
      <c r="AP76" s="289"/>
      <c r="AQ76" s="289"/>
      <c r="AR76" s="289"/>
      <c r="AS76" s="289"/>
      <c r="AT76" s="289"/>
      <c r="AU76" s="289"/>
      <c r="AV76" s="289"/>
      <c r="AW76" s="289"/>
      <c r="AX76" s="289"/>
      <c r="AY76" s="289"/>
      <c r="AZ76" s="289"/>
      <c r="BA76" s="289"/>
      <c r="BB76" s="289"/>
    </row>
    <row r="77">
      <c r="A77" s="290">
        <f>PRIX!A78</f>
        <v>45789</v>
      </c>
      <c r="B77" s="302">
        <f t="shared" si="1"/>
        <v>0.8914654784</v>
      </c>
      <c r="C77" s="341">
        <f>IF(A77="","",'Historique détail'!B77/$W77)</f>
        <v>0.4551591463</v>
      </c>
      <c r="D77" s="341">
        <f>IF(B77="","",'Historique détail'!C77/$W77)</f>
        <v>0.1486374601</v>
      </c>
      <c r="E77" s="341">
        <f>IF(C77="","",'Historique détail'!D77/$W77)</f>
        <v>0.02493509143</v>
      </c>
      <c r="F77" s="341">
        <f>IF(D77="","",'Historique détail'!E77/$W77)</f>
        <v>0.06518818023</v>
      </c>
      <c r="G77" s="341">
        <f>IF(E77="","",'Historique détail'!F77/$W77)</f>
        <v>0.08045690133</v>
      </c>
      <c r="H77" s="341">
        <f>IF(F77="","",'Historique détail'!G77/$W77)</f>
        <v>0</v>
      </c>
      <c r="I77" s="341">
        <f>IF(G77="","",'Historique détail'!H77/$W77)</f>
        <v>0.03316464134</v>
      </c>
      <c r="J77" s="341">
        <f>IF(H77="","",'Historique détail'!I77/$W77)</f>
        <v>0.01450543728</v>
      </c>
      <c r="K77" s="341">
        <f>IF(I77="","",'Historique détail'!J77/$W77)</f>
        <v>0.006447112951</v>
      </c>
      <c r="L77" s="341">
        <f>IF(J77="","",'Historique détail'!K77/$W77)</f>
        <v>0.006016029966</v>
      </c>
      <c r="M77" s="341">
        <f>IF(K77="","",'Historique détail'!L77/$W77)</f>
        <v>0.009033211363</v>
      </c>
      <c r="N77" s="341">
        <f>IF(L77="","",'Historique détail'!M77/$W77)</f>
        <v>0.01711795394</v>
      </c>
      <c r="O77" s="341">
        <f>IF(M77="","",'Historique détail'!N77/$W77)</f>
        <v>0.008380358874</v>
      </c>
      <c r="P77" s="341">
        <f>IF(N77="","",'Historique détail'!O77/$W77)</f>
        <v>0.01285741816</v>
      </c>
      <c r="Q77" s="341">
        <f>IF(O77="","",'Historique détail'!P77/$W77)</f>
        <v>0.000000001423840284</v>
      </c>
      <c r="R77" s="341">
        <f>IF(P77="","",'Historique détail'!Q77/$W77)</f>
        <v>0.006817007349</v>
      </c>
      <c r="S77" s="341">
        <f>IF(Q77="","",'Historique détail'!R77/$W77)</f>
        <v>0</v>
      </c>
      <c r="T77" s="341">
        <f>IF(R77="","",'Historique détail'!S77/$W77)</f>
        <v>0.002749526297</v>
      </c>
      <c r="U77" s="340">
        <f t="shared" si="2"/>
        <v>0.1085345216</v>
      </c>
      <c r="V77" s="14">
        <f>IF(A77="","",ARBITRAGES!M78)</f>
        <v>5731.610044</v>
      </c>
      <c r="W77" s="342">
        <f>IF(V77="","",'Historique détail'!U77)</f>
        <v>52809.09666</v>
      </c>
      <c r="X77" s="288"/>
      <c r="Y77" s="289"/>
      <c r="Z77" s="289"/>
      <c r="AA77" s="289"/>
      <c r="AB77" s="289"/>
      <c r="AC77" s="289"/>
      <c r="AD77" s="289"/>
      <c r="AE77" s="289"/>
      <c r="AF77" s="289"/>
      <c r="AG77" s="289"/>
      <c r="AH77" s="289"/>
      <c r="AI77" s="289"/>
      <c r="AJ77" s="289"/>
      <c r="AK77" s="289"/>
      <c r="AL77" s="289"/>
      <c r="AM77" s="289"/>
      <c r="AN77" s="289"/>
      <c r="AO77" s="289"/>
      <c r="AP77" s="289"/>
      <c r="AQ77" s="289"/>
      <c r="AR77" s="289"/>
      <c r="AS77" s="289"/>
      <c r="AT77" s="289"/>
      <c r="AU77" s="289"/>
      <c r="AV77" s="289"/>
      <c r="AW77" s="289"/>
      <c r="AX77" s="289"/>
      <c r="AY77" s="289"/>
      <c r="AZ77" s="289"/>
      <c r="BA77" s="289"/>
      <c r="BB77" s="289"/>
    </row>
    <row r="78">
      <c r="A78" s="290">
        <f>PRIX!A79</f>
        <v>45790</v>
      </c>
      <c r="B78" s="302">
        <f t="shared" si="1"/>
        <v>0.9184521652</v>
      </c>
      <c r="C78" s="341">
        <f>IF(A78="","",'Historique détail'!B78/$W78)</f>
        <v>0.4860410577</v>
      </c>
      <c r="D78" s="341">
        <f>IF(B78="","",'Historique détail'!C78/$W78)</f>
        <v>0.1483008491</v>
      </c>
      <c r="E78" s="341">
        <f>IF(C78="","",'Historique détail'!D78/$W78)</f>
        <v>0.02392612648</v>
      </c>
      <c r="F78" s="341">
        <f>IF(D78="","",'Historique détail'!E78/$W78)</f>
        <v>0.06634136321</v>
      </c>
      <c r="G78" s="341">
        <f>IF(E78="","",'Historique détail'!F78/$W78)</f>
        <v>0.08013805726</v>
      </c>
      <c r="H78" s="341">
        <f>IF(F78="","",'Historique détail'!G78/$W78)</f>
        <v>0</v>
      </c>
      <c r="I78" s="341">
        <f>IF(G78="","",'Historique détail'!H78/$W78)</f>
        <v>0.03182267872</v>
      </c>
      <c r="J78" s="341">
        <f>IF(H78="","",'Historique détail'!I78/$W78)</f>
        <v>0.0136325703</v>
      </c>
      <c r="K78" s="341">
        <f>IF(I78="","",'Historique détail'!J78/$W78)</f>
        <v>0.006086861858</v>
      </c>
      <c r="L78" s="341">
        <f>IF(J78="","",'Historique détail'!K78/$W78)</f>
        <v>0.005877555755</v>
      </c>
      <c r="M78" s="341">
        <f>IF(K78="","",'Historique détail'!L78/$W78)</f>
        <v>0.008717508948</v>
      </c>
      <c r="N78" s="341">
        <f>IF(L78="","",'Historique détail'!M78/$W78)</f>
        <v>0.01703364336</v>
      </c>
      <c r="O78" s="341">
        <f>IF(M78="","",'Historique détail'!N78/$W78)</f>
        <v>0.008528607946</v>
      </c>
      <c r="P78" s="341">
        <f>IF(N78="","",'Historique détail'!O78/$W78)</f>
        <v>0.01243062336</v>
      </c>
      <c r="Q78" s="341">
        <f>IF(O78="","",'Historique détail'!P78/$W78)</f>
        <v>0.000000001449028107</v>
      </c>
      <c r="R78" s="341">
        <f>IF(P78="","",'Historique détail'!Q78/$W78)</f>
        <v>0.006937600634</v>
      </c>
      <c r="S78" s="341">
        <f>IF(Q78="","",'Historique détail'!R78/$W78)</f>
        <v>0</v>
      </c>
      <c r="T78" s="341">
        <f>IF(R78="","",'Historique détail'!S78/$W78)</f>
        <v>0.002637059086</v>
      </c>
      <c r="U78" s="340">
        <f t="shared" si="2"/>
        <v>0.08154783479</v>
      </c>
      <c r="V78" s="14">
        <f>IF(A78="","",ARBITRAGES!M79)</f>
        <v>4231.610044</v>
      </c>
      <c r="W78" s="342">
        <f>IF(V78="","",'Historique détail'!U78)</f>
        <v>51891.13917</v>
      </c>
      <c r="X78" s="288"/>
      <c r="Y78" s="289"/>
      <c r="Z78" s="289"/>
      <c r="AA78" s="289"/>
      <c r="AB78" s="289"/>
      <c r="AC78" s="289"/>
      <c r="AD78" s="289"/>
      <c r="AE78" s="289"/>
      <c r="AF78" s="289"/>
      <c r="AG78" s="289"/>
      <c r="AH78" s="289"/>
      <c r="AI78" s="289"/>
      <c r="AJ78" s="289"/>
      <c r="AK78" s="289"/>
      <c r="AL78" s="289"/>
      <c r="AM78" s="289"/>
      <c r="AN78" s="289"/>
      <c r="AO78" s="289"/>
      <c r="AP78" s="289"/>
      <c r="AQ78" s="289"/>
      <c r="AR78" s="289"/>
      <c r="AS78" s="289"/>
      <c r="AT78" s="289"/>
      <c r="AU78" s="289"/>
      <c r="AV78" s="289"/>
      <c r="AW78" s="289"/>
      <c r="AX78" s="289"/>
      <c r="AY78" s="289"/>
      <c r="AZ78" s="289"/>
      <c r="BA78" s="289"/>
      <c r="BB78" s="289"/>
    </row>
    <row r="79">
      <c r="A79" s="290">
        <f>PRIX!A80</f>
        <v>45808</v>
      </c>
      <c r="B79" s="302">
        <f t="shared" si="1"/>
        <v>0.9256389349</v>
      </c>
      <c r="C79" s="341">
        <f>IF(A79="","",'Historique détail'!B79/$W79)</f>
        <v>0.4967348512</v>
      </c>
      <c r="D79" s="341">
        <f>IF(B79="","",'Historique détail'!C79/$W79)</f>
        <v>0.1545950142</v>
      </c>
      <c r="E79" s="341">
        <f>IF(C79="","",'Historique détail'!D79/$W79)</f>
        <v>0.02408205198</v>
      </c>
      <c r="F79" s="341">
        <f>IF(D79="","",'Historique détail'!E79/$W79)</f>
        <v>0.0600523096</v>
      </c>
      <c r="G79" s="341">
        <f>IF(E79="","",'Historique détail'!F79/$W79)</f>
        <v>0.08067212477</v>
      </c>
      <c r="H79" s="341">
        <f>IF(F79="","",'Historique détail'!G79/$W79)</f>
        <v>0</v>
      </c>
      <c r="I79" s="341">
        <f>IF(G79="","",'Historique détail'!H79/$W79)</f>
        <v>0.028580674</v>
      </c>
      <c r="J79" s="341">
        <f>IF(H79="","",'Historique détail'!I79/$W79)</f>
        <v>0.01117083352</v>
      </c>
      <c r="K79" s="341">
        <f>IF(I79="","",'Historique détail'!J79/$W79)</f>
        <v>0.006220783967</v>
      </c>
      <c r="L79" s="341">
        <f>IF(J79="","",'Historique détail'!K79/$W79)</f>
        <v>0.006006872747</v>
      </c>
      <c r="M79" s="341">
        <f>IF(K79="","",'Historique détail'!L79/$W79)</f>
        <v>0.008909310111</v>
      </c>
      <c r="N79" s="341">
        <f>IF(L79="","",'Historique détail'!M79/$W79)</f>
        <v>0.01740841471</v>
      </c>
      <c r="O79" s="341">
        <f>IF(M79="","",'Historique détail'!N79/$W79)</f>
        <v>0.008716252941</v>
      </c>
      <c r="P79" s="341">
        <f>IF(N79="","",'Historique détail'!O79/$W79)</f>
        <v>0.01270411984</v>
      </c>
      <c r="Q79" s="341">
        <f>IF(O79="","",'Historique détail'!P79/$W79)</f>
        <v>0.00000000148090938</v>
      </c>
      <c r="R79" s="341">
        <f>IF(P79="","",'Historique détail'!Q79/$W79)</f>
        <v>0.007090240555</v>
      </c>
      <c r="S79" s="341">
        <f>IF(Q79="","",'Historique détail'!R79/$W79)</f>
        <v>0</v>
      </c>
      <c r="T79" s="341">
        <f>IF(R79="","",'Historique détail'!S79/$W79)</f>
        <v>0.002695079215</v>
      </c>
      <c r="U79" s="340">
        <f t="shared" si="2"/>
        <v>0.07436106515</v>
      </c>
      <c r="V79" s="14">
        <f>IF(A79="","",ARBITRAGES!M80)</f>
        <v>3775.610044</v>
      </c>
      <c r="W79" s="342">
        <f>IF(V79="","",'Historique détail'!U79)</f>
        <v>50774.01778</v>
      </c>
      <c r="X79" s="288"/>
      <c r="Y79" s="289"/>
      <c r="Z79" s="289"/>
      <c r="AA79" s="289"/>
      <c r="AB79" s="289"/>
      <c r="AC79" s="289"/>
      <c r="AD79" s="289"/>
      <c r="AE79" s="289"/>
      <c r="AF79" s="289"/>
      <c r="AG79" s="289"/>
      <c r="AH79" s="289"/>
      <c r="AI79" s="289"/>
      <c r="AJ79" s="289"/>
      <c r="AK79" s="289"/>
      <c r="AL79" s="289"/>
      <c r="AM79" s="289"/>
      <c r="AN79" s="289"/>
      <c r="AO79" s="289"/>
      <c r="AP79" s="289"/>
      <c r="AQ79" s="289"/>
      <c r="AR79" s="289"/>
      <c r="AS79" s="289"/>
      <c r="AT79" s="289"/>
      <c r="AU79" s="289"/>
      <c r="AV79" s="289"/>
      <c r="AW79" s="289"/>
      <c r="AX79" s="289"/>
      <c r="AY79" s="289"/>
      <c r="AZ79" s="289"/>
      <c r="BA79" s="289"/>
      <c r="BB79" s="289"/>
    </row>
    <row r="80">
      <c r="A80" s="290">
        <f>PRIX!A81</f>
        <v>45817</v>
      </c>
      <c r="B80" s="302">
        <f t="shared" si="1"/>
        <v>0.8895595063</v>
      </c>
      <c r="C80" s="341">
        <f>IF(A80="","",'Historique détail'!B80/$W80)</f>
        <v>0.4609419733</v>
      </c>
      <c r="D80" s="341">
        <f>IF(B80="","",'Historique détail'!C80/$W80)</f>
        <v>0.1547805673</v>
      </c>
      <c r="E80" s="341">
        <f>IF(C80="","",'Historique détail'!D80/$W80)</f>
        <v>0.02333198716</v>
      </c>
      <c r="F80" s="341">
        <f>IF(D80="","",'Historique détail'!E80/$W80)</f>
        <v>0.05861589035</v>
      </c>
      <c r="G80" s="341">
        <f>IF(E80="","",'Historique détail'!F80/$W80)</f>
        <v>0.08390996647</v>
      </c>
      <c r="H80" s="341">
        <f>IF(F80="","",'Historique détail'!G80/$W80)</f>
        <v>0</v>
      </c>
      <c r="I80" s="341">
        <f>IF(G80="","",'Historique détail'!H80/$W80)</f>
        <v>0.02795716244</v>
      </c>
      <c r="J80" s="341">
        <f>IF(H80="","",'Historique détail'!I80/$W80)</f>
        <v>0.01173654956</v>
      </c>
      <c r="K80" s="341">
        <f>IF(I80="","",'Historique détail'!J80/$W80)</f>
        <v>0.004965524371</v>
      </c>
      <c r="L80" s="341">
        <f>IF(J80="","",'Historique détail'!K80/$W80)</f>
        <v>0.0059166321</v>
      </c>
      <c r="M80" s="341">
        <f>IF(K80="","",'Historique détail'!L80/$W80)</f>
        <v>0.007658588892</v>
      </c>
      <c r="N80" s="341">
        <f>IF(L80="","",'Historique détail'!M80/$W80)</f>
        <v>0.02244683761</v>
      </c>
      <c r="O80" s="341">
        <f>IF(M80="","",'Historique détail'!N80/$W80)</f>
        <v>0.005769328016</v>
      </c>
      <c r="P80" s="341">
        <f>IF(N80="","",'Historique détail'!O80/$W80)</f>
        <v>0.01375142197</v>
      </c>
      <c r="Q80" s="341">
        <f>IF(O80="","",'Historique détail'!P80/$W80)</f>
        <v>0.000000001077165656</v>
      </c>
      <c r="R80" s="341">
        <f>IF(P80="","",'Historique détail'!Q80/$W80)</f>
        <v>0.005810458852</v>
      </c>
      <c r="S80" s="341">
        <f>IF(Q80="","",'Historique détail'!R80/$W80)</f>
        <v>0</v>
      </c>
      <c r="T80" s="341">
        <f>IF(R80="","",'Historique détail'!S80/$W80)</f>
        <v>0.001966616842</v>
      </c>
      <c r="U80" s="340">
        <f t="shared" si="2"/>
        <v>0.1104404937</v>
      </c>
      <c r="V80" s="14">
        <f>IF(A80="","",ARBITRAGES!M81)</f>
        <v>5930.243189</v>
      </c>
      <c r="W80" s="342">
        <f>IF(V80="","",'Historique détail'!U80)</f>
        <v>53696.27562</v>
      </c>
      <c r="X80" s="288"/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  <c r="AK80" s="289"/>
      <c r="AL80" s="289"/>
      <c r="AM80" s="289"/>
      <c r="AN80" s="289"/>
      <c r="AO80" s="289"/>
      <c r="AP80" s="289"/>
      <c r="AQ80" s="289"/>
      <c r="AR80" s="289"/>
      <c r="AS80" s="289"/>
      <c r="AT80" s="289"/>
      <c r="AU80" s="289"/>
      <c r="AV80" s="289"/>
      <c r="AW80" s="289"/>
      <c r="AX80" s="289"/>
      <c r="AY80" s="289"/>
      <c r="AZ80" s="289"/>
      <c r="BA80" s="289"/>
      <c r="BB80" s="289"/>
    </row>
    <row r="81">
      <c r="A81" s="290">
        <f>PRIX!A82</f>
        <v>45817</v>
      </c>
      <c r="B81" s="302">
        <f t="shared" si="1"/>
        <v>0.8382362732</v>
      </c>
      <c r="C81" s="341">
        <f>IF(A81="","",'Historique détail'!B81/$W81)</f>
        <v>0.4095331052</v>
      </c>
      <c r="D81" s="341">
        <f>IF(B81="","",'Historique détail'!C81/$W81)</f>
        <v>0.154822541</v>
      </c>
      <c r="E81" s="341">
        <f>IF(C81="","",'Historique détail'!D81/$W81)</f>
        <v>0.02332088925</v>
      </c>
      <c r="F81" s="341">
        <f>IF(D81="","",'Historique détail'!E81/$W81)</f>
        <v>0.05871430827</v>
      </c>
      <c r="G81" s="341">
        <f>IF(E81="","",'Historique détail'!F81/$W81)</f>
        <v>0.08387005453</v>
      </c>
      <c r="H81" s="341">
        <f>IF(F81="","",'Historique détail'!G81/$W81)</f>
        <v>0</v>
      </c>
      <c r="I81" s="341">
        <f>IF(G81="","",'Historique détail'!H81/$W81)</f>
        <v>0.02794386456</v>
      </c>
      <c r="J81" s="341">
        <f>IF(H81="","",'Historique détail'!I81/$W81)</f>
        <v>0.01173295879</v>
      </c>
      <c r="K81" s="341">
        <f>IF(I81="","",'Historique détail'!J81/$W81)</f>
        <v>0.004961483914</v>
      </c>
      <c r="L81" s="341">
        <f>IF(J81="","",'Historique détail'!K81/$W81)</f>
        <v>0.005913817842</v>
      </c>
      <c r="M81" s="341">
        <f>IF(K81="","",'Historique détail'!L81/$W81)</f>
        <v>0.007669135832</v>
      </c>
      <c r="N81" s="341">
        <f>IF(L81="","",'Historique détail'!M81/$W81)</f>
        <v>0.02243616072</v>
      </c>
      <c r="O81" s="341">
        <f>IF(M81="","",'Historique détail'!N81/$W81)</f>
        <v>0.005768236275</v>
      </c>
      <c r="P81" s="341">
        <f>IF(N81="","",'Historique détail'!O81/$W81)</f>
        <v>0.01374488108</v>
      </c>
      <c r="Q81" s="341">
        <f>IF(O81="","",'Historique détail'!P81/$W81)</f>
        <v>0.0000000010766533</v>
      </c>
      <c r="R81" s="341">
        <f>IF(P81="","",'Historique détail'!Q81/$W81)</f>
        <v>0.005839153444</v>
      </c>
      <c r="S81" s="341">
        <f>IF(Q81="","",'Historique détail'!R81/$W81)</f>
        <v>0</v>
      </c>
      <c r="T81" s="341">
        <f>IF(R81="","",'Historique détail'!S81/$W81)</f>
        <v>0.001965681417</v>
      </c>
      <c r="U81" s="340">
        <f t="shared" si="2"/>
        <v>0.1617637268</v>
      </c>
      <c r="V81" s="14">
        <f>IF(A81="","",ARBITRAGES!M82)</f>
        <v>8690.243189</v>
      </c>
      <c r="W81" s="342">
        <f>IF(V81="","",'Historique détail'!U81)</f>
        <v>53721.82851</v>
      </c>
      <c r="X81" s="288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  <c r="AK81" s="289"/>
      <c r="AL81" s="289"/>
      <c r="AM81" s="289"/>
      <c r="AN81" s="289"/>
      <c r="AO81" s="289"/>
      <c r="AP81" s="289"/>
      <c r="AQ81" s="289"/>
      <c r="AR81" s="289"/>
      <c r="AS81" s="289"/>
      <c r="AT81" s="289"/>
      <c r="AU81" s="289"/>
      <c r="AV81" s="289"/>
      <c r="AW81" s="289"/>
      <c r="AX81" s="289"/>
      <c r="AY81" s="289"/>
      <c r="AZ81" s="289"/>
      <c r="BA81" s="289"/>
      <c r="BB81" s="289"/>
    </row>
    <row r="82">
      <c r="A82" s="290">
        <f>PRIX!A83</f>
        <v>45818</v>
      </c>
      <c r="B82" s="302">
        <f t="shared" si="1"/>
        <v>0.8630628371</v>
      </c>
      <c r="C82" s="341">
        <f>IF(A82="","",'Historique détail'!B82/$W82)</f>
        <v>0.4319733151</v>
      </c>
      <c r="D82" s="341">
        <f>IF(B82="","",'Historique détail'!C82/$W82)</f>
        <v>0.1569699439</v>
      </c>
      <c r="E82" s="341">
        <f>IF(C82="","",'Historique détail'!D82/$W82)</f>
        <v>0.02321445481</v>
      </c>
      <c r="F82" s="341">
        <f>IF(D82="","",'Historique détail'!E82/$W82)</f>
        <v>0.05844634145</v>
      </c>
      <c r="G82" s="341">
        <f>IF(E82="","",'Historique détail'!F82/$W82)</f>
        <v>0.08348727915</v>
      </c>
      <c r="H82" s="341">
        <f>IF(F82="","",'Historique détail'!G82/$W82)</f>
        <v>0</v>
      </c>
      <c r="I82" s="341">
        <f>IF(G82="","",'Historique détail'!H82/$W82)</f>
        <v>0.02781633128</v>
      </c>
      <c r="J82" s="341">
        <f>IF(H82="","",'Historique détail'!I82/$W82)</f>
        <v>0.01167941062</v>
      </c>
      <c r="K82" s="341">
        <f>IF(I82="","",'Historique détail'!J82/$W82)</f>
        <v>0.004938840148</v>
      </c>
      <c r="L82" s="341">
        <f>IF(J82="","",'Historique détail'!K82/$W82)</f>
        <v>0.005886827709</v>
      </c>
      <c r="M82" s="341">
        <f>IF(K82="","",'Historique détail'!L82/$W82)</f>
        <v>0.007634134586</v>
      </c>
      <c r="N82" s="341">
        <f>IF(L82="","",'Historique détail'!M82/$W82)</f>
        <v>0.02382268171</v>
      </c>
      <c r="O82" s="341">
        <f>IF(M82="","",'Historique détail'!N82/$W82)</f>
        <v>0.005741910564</v>
      </c>
      <c r="P82" s="341">
        <f>IF(N82="","",'Historique détail'!O82/$W82)</f>
        <v>0.01368215068</v>
      </c>
      <c r="Q82" s="341">
        <f>IF(O82="","",'Historique détail'!P82/$W82)</f>
        <v>0.000000001071739552</v>
      </c>
      <c r="R82" s="341">
        <f>IF(P82="","",'Historique détail'!Q82/$W82)</f>
        <v>0.005812504073</v>
      </c>
      <c r="S82" s="341">
        <f>IF(Q82="","",'Historique détail'!R82/$W82)</f>
        <v>0</v>
      </c>
      <c r="T82" s="341">
        <f>IF(R82="","",'Historique détail'!S82/$W82)</f>
        <v>0.001956710224</v>
      </c>
      <c r="U82" s="340">
        <f t="shared" si="2"/>
        <v>0.1369371629</v>
      </c>
      <c r="V82" s="14">
        <f>IF(A82="","",ARBITRAGES!M83)</f>
        <v>7390.243189</v>
      </c>
      <c r="W82" s="342">
        <f>IF(V82="","",'Historique détail'!U82)</f>
        <v>53968.13422</v>
      </c>
      <c r="X82" s="288"/>
      <c r="Y82" s="289"/>
      <c r="Z82" s="289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  <c r="AK82" s="289"/>
      <c r="AL82" s="289"/>
      <c r="AM82" s="289"/>
      <c r="AN82" s="289"/>
      <c r="AO82" s="289"/>
      <c r="AP82" s="289"/>
      <c r="AQ82" s="289"/>
      <c r="AR82" s="289"/>
      <c r="AS82" s="289"/>
      <c r="AT82" s="289"/>
      <c r="AU82" s="289"/>
      <c r="AV82" s="289"/>
      <c r="AW82" s="289"/>
      <c r="AX82" s="289"/>
      <c r="AY82" s="289"/>
      <c r="AZ82" s="289"/>
      <c r="BA82" s="289"/>
      <c r="BB82" s="289"/>
    </row>
    <row r="83">
      <c r="A83" s="290">
        <f>PRIX!A84</f>
        <v>45831</v>
      </c>
      <c r="B83" s="302">
        <f t="shared" si="1"/>
        <v>0.8608554771</v>
      </c>
      <c r="C83" s="341">
        <f>IF(A83="","",'Historique détail'!B83/$W83)</f>
        <v>0.4471149694</v>
      </c>
      <c r="D83" s="341">
        <f>IF(B83="","",'Historique détail'!C83/$W83)</f>
        <v>0.1594065887</v>
      </c>
      <c r="E83" s="341">
        <f>IF(C83="","",'Historique détail'!D83/$W83)</f>
        <v>0.02246387226</v>
      </c>
      <c r="F83" s="341">
        <f>IF(D83="","",'Historique détail'!E83/$W83)</f>
        <v>0.05689242705</v>
      </c>
      <c r="G83" s="341">
        <f>IF(E83="","",'Historique détail'!F83/$W83)</f>
        <v>0.07540818121</v>
      </c>
      <c r="H83" s="341">
        <f>IF(F83="","",'Historique détail'!G83/$W83)</f>
        <v>0</v>
      </c>
      <c r="I83" s="341">
        <f>IF(G83="","",'Historique détail'!H83/$W83)</f>
        <v>0.02788596882</v>
      </c>
      <c r="J83" s="341">
        <f>IF(H83="","",'Historique détail'!I83/$W83)</f>
        <v>0.009659636046</v>
      </c>
      <c r="K83" s="341">
        <f>IF(I83="","",'Historique détail'!J83/$W83)</f>
        <v>0.004488729281</v>
      </c>
      <c r="L83" s="341">
        <f>IF(J83="","",'Historique détail'!K83/$W83)</f>
        <v>0.005058484496</v>
      </c>
      <c r="M83" s="341">
        <f>IF(K83="","",'Historique détail'!L83/$W83)</f>
        <v>0.005739934848</v>
      </c>
      <c r="N83" s="341">
        <f>IF(L83="","",'Historique détail'!M83/$W83)</f>
        <v>0.02502751052</v>
      </c>
      <c r="O83" s="341">
        <f>IF(M83="","",'Historique détail'!N83/$W83)</f>
        <v>0.004405320385</v>
      </c>
      <c r="P83" s="341">
        <f>IF(N83="","",'Historique détail'!O83/$W83)</f>
        <v>0.01131772221</v>
      </c>
      <c r="Q83" s="341">
        <f>IF(O83="","",'Historique détail'!P83/$W83)</f>
        <v>0.000000000748258615</v>
      </c>
      <c r="R83" s="341">
        <f>IF(P83="","",'Historique détail'!Q83/$W83)</f>
        <v>0.004322266473</v>
      </c>
      <c r="S83" s="341">
        <f>IF(Q83="","",'Historique détail'!R83/$W83)</f>
        <v>0</v>
      </c>
      <c r="T83" s="341">
        <f>IF(R83="","",'Historique détail'!S83/$W83)</f>
        <v>0.001663864609</v>
      </c>
      <c r="U83" s="340">
        <f t="shared" si="2"/>
        <v>0.1391445229</v>
      </c>
      <c r="V83" s="14">
        <f>IF(A83="","",ARBITRAGES!M84)</f>
        <v>6991.243189</v>
      </c>
      <c r="W83" s="342">
        <f>IF(V83="","",'Historique détail'!U83)</f>
        <v>50244.47274</v>
      </c>
      <c r="X83" s="288"/>
      <c r="Y83" s="289"/>
      <c r="Z83" s="289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  <c r="AK83" s="289"/>
      <c r="AL83" s="289"/>
      <c r="AM83" s="289"/>
      <c r="AN83" s="289"/>
      <c r="AO83" s="289"/>
      <c r="AP83" s="289"/>
      <c r="AQ83" s="289"/>
      <c r="AR83" s="289"/>
      <c r="AS83" s="289"/>
      <c r="AT83" s="289"/>
      <c r="AU83" s="289"/>
      <c r="AV83" s="289"/>
      <c r="AW83" s="289"/>
      <c r="AX83" s="289"/>
      <c r="AY83" s="289"/>
      <c r="AZ83" s="289"/>
      <c r="BA83" s="289"/>
      <c r="BB83" s="289"/>
    </row>
    <row r="84">
      <c r="A84" s="290">
        <f>PRIX!A85</f>
        <v>45831</v>
      </c>
      <c r="B84" s="302">
        <f t="shared" si="1"/>
        <v>0.8580691009</v>
      </c>
      <c r="C84" s="341">
        <f>IF(A84="","",'Historique détail'!B84/$W84)</f>
        <v>0.4471149694</v>
      </c>
      <c r="D84" s="341">
        <f>IF(B84="","",'Historique détail'!C84/$W84)</f>
        <v>0.1594065887</v>
      </c>
      <c r="E84" s="341">
        <f>IF(C84="","",'Historique détail'!D84/$W84)</f>
        <v>0.02246387226</v>
      </c>
      <c r="F84" s="341">
        <f>IF(D84="","",'Historique détail'!E84/$W84)</f>
        <v>0.05689242705</v>
      </c>
      <c r="G84" s="341">
        <f>IF(E84="","",'Historique détail'!F84/$W84)</f>
        <v>0.07540818121</v>
      </c>
      <c r="H84" s="341">
        <f>IF(F84="","",'Historique détail'!G84/$W84)</f>
        <v>0</v>
      </c>
      <c r="I84" s="341">
        <f>IF(G84="","",'Historique détail'!H84/$W84)</f>
        <v>0.02788596882</v>
      </c>
      <c r="J84" s="341">
        <f>IF(H84="","",'Historique détail'!I84/$W84)</f>
        <v>0.009659636046</v>
      </c>
      <c r="K84" s="341">
        <f>IF(I84="","",'Historique détail'!J84/$W84)</f>
        <v>0.004488729281</v>
      </c>
      <c r="L84" s="341">
        <f>IF(J84="","",'Historique détail'!K84/$W84)</f>
        <v>0.005058484496</v>
      </c>
      <c r="M84" s="341">
        <f>IF(K84="","",'Historique détail'!L84/$W84)</f>
        <v>0.002953558708</v>
      </c>
      <c r="N84" s="341">
        <f>IF(L84="","",'Historique détail'!M84/$W84)</f>
        <v>0.02502751052</v>
      </c>
      <c r="O84" s="341">
        <f>IF(M84="","",'Historique détail'!N84/$W84)</f>
        <v>0.004405320385</v>
      </c>
      <c r="P84" s="341">
        <f>IF(N84="","",'Historique détail'!O84/$W84)</f>
        <v>0.01131772221</v>
      </c>
      <c r="Q84" s="341">
        <f>IF(O84="","",'Historique détail'!P84/$W84)</f>
        <v>0.000000000748258615</v>
      </c>
      <c r="R84" s="341">
        <f>IF(P84="","",'Historique détail'!Q84/$W84)</f>
        <v>0.004322266473</v>
      </c>
      <c r="S84" s="341">
        <f>IF(Q84="","",'Historique détail'!R84/$W84)</f>
        <v>0</v>
      </c>
      <c r="T84" s="341">
        <f>IF(R84="","",'Historique détail'!S84/$W84)</f>
        <v>0.001663864609</v>
      </c>
      <c r="U84" s="340">
        <f t="shared" si="2"/>
        <v>0.1419308991</v>
      </c>
      <c r="V84" s="14">
        <f>IF(A84="","",ARBITRAGES!M85)</f>
        <v>7131.243189</v>
      </c>
      <c r="W84" s="342">
        <f>IF(V84="","",'Historique détail'!U84)</f>
        <v>50244.47274</v>
      </c>
      <c r="X84" s="288"/>
      <c r="Y84" s="289"/>
      <c r="Z84" s="289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  <c r="AK84" s="289"/>
      <c r="AL84" s="289"/>
      <c r="AM84" s="289"/>
      <c r="AN84" s="289"/>
      <c r="AO84" s="289"/>
      <c r="AP84" s="289"/>
      <c r="AQ84" s="289"/>
      <c r="AR84" s="289"/>
      <c r="AS84" s="289"/>
      <c r="AT84" s="289"/>
      <c r="AU84" s="289"/>
      <c r="AV84" s="289"/>
      <c r="AW84" s="289"/>
      <c r="AX84" s="289"/>
      <c r="AY84" s="289"/>
      <c r="AZ84" s="289"/>
      <c r="BA84" s="289"/>
      <c r="BB84" s="289"/>
    </row>
    <row r="85">
      <c r="A85" s="290">
        <f>PRIX!A86</f>
        <v>45831</v>
      </c>
      <c r="B85" s="302">
        <f t="shared" si="1"/>
        <v>0.8555445574</v>
      </c>
      <c r="C85" s="341">
        <f>IF(A85="","",'Historique détail'!B85/$W85)</f>
        <v>0.4470437905</v>
      </c>
      <c r="D85" s="341">
        <f>IF(B85="","",'Historique détail'!C85/$W85)</f>
        <v>0.1593812118</v>
      </c>
      <c r="E85" s="341">
        <f>IF(C85="","",'Historique détail'!D85/$W85)</f>
        <v>0.0224602961</v>
      </c>
      <c r="F85" s="341">
        <f>IF(D85="","",'Historique détail'!E85/$W85)</f>
        <v>0.05688336999</v>
      </c>
      <c r="G85" s="341">
        <f>IF(E85="","",'Historique détail'!F85/$W85)</f>
        <v>0.07539617651</v>
      </c>
      <c r="H85" s="341">
        <f>IF(F85="","",'Historique détail'!G85/$W85)</f>
        <v>0</v>
      </c>
      <c r="I85" s="341">
        <f>IF(G85="","",'Historique détail'!H85/$W85)</f>
        <v>0.02788152948</v>
      </c>
      <c r="J85" s="341">
        <f>IF(H85="","",'Historique détail'!I85/$W85)</f>
        <v>0.009658098269</v>
      </c>
      <c r="K85" s="341">
        <f>IF(I85="","",'Historique détail'!J85/$W85)</f>
        <v>0.004488014693</v>
      </c>
      <c r="L85" s="341">
        <f>IF(J85="","",'Historique détail'!K85/$W85)</f>
        <v>0.005057679205</v>
      </c>
      <c r="M85" s="341">
        <f>IF(K85="","",'Historique détail'!L85/$W85)</f>
        <v>0.002953088513</v>
      </c>
      <c r="N85" s="341">
        <f>IF(L85="","",'Historique détail'!M85/$W85)</f>
        <v>0.02502352624</v>
      </c>
      <c r="O85" s="341">
        <f>IF(M85="","",'Historique détail'!N85/$W85)</f>
        <v>0.002016676881</v>
      </c>
      <c r="P85" s="341">
        <f>IF(N85="","",'Historique détail'!O85/$W85)</f>
        <v>0.01131592047</v>
      </c>
      <c r="Q85" s="341">
        <f>IF(O85="","",'Historique détail'!P85/$W85)</f>
        <v>0.0000000007481394951</v>
      </c>
      <c r="R85" s="341">
        <f>IF(P85="","",'Historique détail'!Q85/$W85)</f>
        <v>0.004321578385</v>
      </c>
      <c r="S85" s="341">
        <f>IF(Q85="","",'Historique détail'!R85/$W85)</f>
        <v>0</v>
      </c>
      <c r="T85" s="341">
        <f>IF(R85="","",'Historique détail'!S85/$W85)</f>
        <v>0.001663599728</v>
      </c>
      <c r="U85" s="340">
        <f t="shared" si="2"/>
        <v>0.1444554426</v>
      </c>
      <c r="V85" s="14">
        <f>IF(A85="","",ARBITRAGES!M86)</f>
        <v>7259.243189</v>
      </c>
      <c r="W85" s="342">
        <f>IF(V85="","",'Historique détail'!U85)</f>
        <v>50252.47274</v>
      </c>
      <c r="X85" s="288"/>
      <c r="Y85" s="289"/>
      <c r="Z85" s="289"/>
      <c r="AA85" s="289"/>
      <c r="AB85" s="289"/>
      <c r="AC85" s="289"/>
      <c r="AD85" s="289"/>
      <c r="AE85" s="289"/>
      <c r="AF85" s="289"/>
      <c r="AG85" s="289"/>
      <c r="AH85" s="289"/>
      <c r="AI85" s="289"/>
      <c r="AJ85" s="289"/>
      <c r="AK85" s="289"/>
      <c r="AL85" s="289"/>
      <c r="AM85" s="289"/>
      <c r="AN85" s="289"/>
      <c r="AO85" s="289"/>
      <c r="AP85" s="289"/>
      <c r="AQ85" s="289"/>
      <c r="AR85" s="289"/>
      <c r="AS85" s="289"/>
      <c r="AT85" s="289"/>
      <c r="AU85" s="289"/>
      <c r="AV85" s="289"/>
      <c r="AW85" s="289"/>
      <c r="AX85" s="289"/>
      <c r="AY85" s="289"/>
      <c r="AZ85" s="289"/>
      <c r="BA85" s="289"/>
      <c r="BB85" s="289"/>
    </row>
    <row r="86">
      <c r="A86" s="290">
        <f>PRIX!A87</f>
        <v>45831</v>
      </c>
      <c r="B86" s="302">
        <f t="shared" si="1"/>
        <v>0.8538818073</v>
      </c>
      <c r="C86" s="341">
        <f>IF(A86="","",'Historique détail'!B86/$W86)</f>
        <v>0.4470442353</v>
      </c>
      <c r="D86" s="341">
        <f>IF(B86="","",'Historique détail'!C86/$W86)</f>
        <v>0.1593813704</v>
      </c>
      <c r="E86" s="341">
        <f>IF(C86="","",'Historique détail'!D86/$W86)</f>
        <v>0.02246031845</v>
      </c>
      <c r="F86" s="341">
        <f>IF(D86="","",'Historique détail'!E86/$W86)</f>
        <v>0.05688342659</v>
      </c>
      <c r="G86" s="341">
        <f>IF(E86="","",'Historique détail'!F86/$W86)</f>
        <v>0.07539625153</v>
      </c>
      <c r="H86" s="341">
        <f>IF(F86="","",'Historique détail'!G86/$W86)</f>
        <v>0</v>
      </c>
      <c r="I86" s="341">
        <f>IF(G86="","",'Historique détail'!H86/$W86)</f>
        <v>0.02788155722</v>
      </c>
      <c r="J86" s="341">
        <f>IF(H86="","",'Historique détail'!I86/$W86)</f>
        <v>0.009658107879</v>
      </c>
      <c r="K86" s="341">
        <f>IF(I86="","",'Historique détail'!J86/$W86)</f>
        <v>0.004488019158</v>
      </c>
      <c r="L86" s="341">
        <f>IF(J86="","",'Historique détail'!K86/$W86)</f>
        <v>0.005057684237</v>
      </c>
      <c r="M86" s="341">
        <f>IF(K86="","",'Historique détail'!L86/$W86)</f>
        <v>0.002953091451</v>
      </c>
      <c r="N86" s="341">
        <f>IF(L86="","",'Historique détail'!M86/$W86)</f>
        <v>0.02502355114</v>
      </c>
      <c r="O86" s="341">
        <f>IF(M86="","",'Historique détail'!N86/$W86)</f>
        <v>0.002016678888</v>
      </c>
      <c r="P86" s="341">
        <f>IF(N86="","",'Historique détail'!O86/$W86)</f>
        <v>0.01131593173</v>
      </c>
      <c r="Q86" s="341">
        <f>IF(O86="","",'Historique détail'!P86/$W86)</f>
        <v>0.0000000007481402395</v>
      </c>
      <c r="R86" s="341">
        <f>IF(P86="","",'Historique détail'!Q86/$W86)</f>
        <v>0.004321582685</v>
      </c>
      <c r="S86" s="341">
        <f>IF(Q86="","",'Historique détail'!R86/$W86)</f>
        <v>0</v>
      </c>
      <c r="T86" s="341">
        <f>IF(R86="","",'Historique détail'!S86/$W86)</f>
        <v>0</v>
      </c>
      <c r="U86" s="340">
        <f t="shared" si="2"/>
        <v>0.1461181927</v>
      </c>
      <c r="V86" s="14">
        <f>IF(A86="","",ARBITRAGES!M87)</f>
        <v>7342.793189</v>
      </c>
      <c r="W86" s="342">
        <f>IF(V86="","",'Historique détail'!U86)</f>
        <v>50252.42274</v>
      </c>
      <c r="X86" s="288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89"/>
      <c r="AP86" s="289"/>
      <c r="AQ86" s="289"/>
      <c r="AR86" s="289"/>
      <c r="AS86" s="289"/>
      <c r="AT86" s="289"/>
      <c r="AU86" s="289"/>
      <c r="AV86" s="289"/>
      <c r="AW86" s="289"/>
      <c r="AX86" s="289"/>
      <c r="AY86" s="289"/>
      <c r="AZ86" s="289"/>
      <c r="BA86" s="289"/>
      <c r="BB86" s="289"/>
    </row>
    <row r="87">
      <c r="A87" s="290">
        <f>PRIX!A88</f>
        <v>45831</v>
      </c>
      <c r="B87" s="302">
        <f t="shared" si="1"/>
        <v>0.8516931025</v>
      </c>
      <c r="C87" s="341">
        <f>IF(A87="","",'Historique détail'!B87/$W87)</f>
        <v>0.446953959</v>
      </c>
      <c r="D87" s="341">
        <f>IF(B87="","",'Historique détail'!C87/$W87)</f>
        <v>0.1593491848</v>
      </c>
      <c r="E87" s="341">
        <f>IF(C87="","",'Historique détail'!D87/$W87)</f>
        <v>0.0224557828</v>
      </c>
      <c r="F87" s="341">
        <f>IF(D87="","",'Historique détail'!E87/$W87)</f>
        <v>0.05687193954</v>
      </c>
      <c r="G87" s="341">
        <f>IF(E87="","",'Historique détail'!F87/$W87)</f>
        <v>0.07538102599</v>
      </c>
      <c r="H87" s="341">
        <f>IF(F87="","",'Historique détail'!G87/$W87)</f>
        <v>0</v>
      </c>
      <c r="I87" s="341">
        <f>IF(G87="","",'Historique détail'!H87/$W87)</f>
        <v>0.02787592681</v>
      </c>
      <c r="J87" s="341">
        <f>IF(H87="","",'Historique détail'!I87/$W87)</f>
        <v>0.009656157518</v>
      </c>
      <c r="K87" s="341">
        <f>IF(I87="","",'Historique détail'!J87/$W87)</f>
        <v>0.004487112846</v>
      </c>
      <c r="L87" s="341">
        <f>IF(J87="","",'Historique détail'!K87/$W87)</f>
        <v>0.005056662887</v>
      </c>
      <c r="M87" s="341">
        <f>IF(K87="","",'Historique détail'!L87/$W87)</f>
        <v>0.002952495103</v>
      </c>
      <c r="N87" s="341">
        <f>IF(L87="","",'Historique détail'!M87/$W87)</f>
        <v>0.02501849787</v>
      </c>
      <c r="O87" s="341">
        <f>IF(M87="","",'Historique détail'!N87/$W87)</f>
        <v>0</v>
      </c>
      <c r="P87" s="341">
        <f>IF(N87="","",'Historique détail'!O87/$W87)</f>
        <v>0.01131364658</v>
      </c>
      <c r="Q87" s="341">
        <f>IF(O87="","",'Historique détail'!P87/$W87)</f>
        <v>0.0000000007479891598</v>
      </c>
      <c r="R87" s="341">
        <f>IF(P87="","",'Historique détail'!Q87/$W87)</f>
        <v>0.004320709983</v>
      </c>
      <c r="S87" s="341">
        <f>IF(Q87="","",'Historique détail'!R87/$W87)</f>
        <v>0</v>
      </c>
      <c r="T87" s="341">
        <f>IF(R87="","",'Historique détail'!S87/$W87)</f>
        <v>0</v>
      </c>
      <c r="U87" s="340">
        <f t="shared" si="2"/>
        <v>0.1483068975</v>
      </c>
      <c r="V87" s="14">
        <f>IF(A87="","",ARBITRAGES!M88)</f>
        <v>7454.286229</v>
      </c>
      <c r="W87" s="342">
        <f>IF(V87="","",'Historique détail'!U87)</f>
        <v>50262.57278</v>
      </c>
      <c r="X87" s="288"/>
      <c r="Y87" s="289"/>
      <c r="Z87" s="289"/>
      <c r="AA87" s="289"/>
      <c r="AB87" s="289"/>
      <c r="AC87" s="289"/>
      <c r="AD87" s="289"/>
      <c r="AE87" s="289"/>
      <c r="AF87" s="289"/>
      <c r="AG87" s="289"/>
      <c r="AH87" s="289"/>
      <c r="AI87" s="289"/>
      <c r="AJ87" s="289"/>
      <c r="AK87" s="289"/>
      <c r="AL87" s="289"/>
      <c r="AM87" s="289"/>
      <c r="AN87" s="289"/>
      <c r="AO87" s="289"/>
      <c r="AP87" s="289"/>
      <c r="AQ87" s="289"/>
      <c r="AR87" s="289"/>
      <c r="AS87" s="289"/>
      <c r="AT87" s="289"/>
      <c r="AU87" s="289"/>
      <c r="AV87" s="289"/>
      <c r="AW87" s="289"/>
      <c r="AX87" s="289"/>
      <c r="AY87" s="289"/>
      <c r="AZ87" s="289"/>
      <c r="BA87" s="289"/>
      <c r="BB87" s="289"/>
    </row>
    <row r="88">
      <c r="A88" s="290">
        <f>PRIX!A89</f>
        <v>45832</v>
      </c>
      <c r="B88" s="302">
        <f t="shared" si="1"/>
        <v>0.8470638996</v>
      </c>
      <c r="C88" s="341">
        <f>IF(A88="","",'Historique détail'!B88/$W88)</f>
        <v>0.4491284306</v>
      </c>
      <c r="D88" s="341">
        <f>IF(B88="","",'Historique détail'!C88/$W88)</f>
        <v>0.1516015868</v>
      </c>
      <c r="E88" s="341">
        <f>IF(C88="","",'Historique détail'!D88/$W88)</f>
        <v>0.02199181624</v>
      </c>
      <c r="F88" s="341">
        <f>IF(D88="","",'Historique détail'!E88/$W88)</f>
        <v>0.05741947325</v>
      </c>
      <c r="G88" s="341">
        <f>IF(E88="","",'Historique détail'!F88/$W88)</f>
        <v>0.07404981631</v>
      </c>
      <c r="H88" s="341">
        <f>IF(F88="","",'Historique détail'!G88/$W88)</f>
        <v>0</v>
      </c>
      <c r="I88" s="341">
        <f>IF(G88="","",'Historique détail'!H88/$W88)</f>
        <v>0.02653605604</v>
      </c>
      <c r="J88" s="341">
        <f>IF(H88="","",'Historique détail'!I88/$W88)</f>
        <v>0.01044548788</v>
      </c>
      <c r="K88" s="341">
        <f>IF(I88="","",'Historique détail'!J88/$W88)</f>
        <v>0.004942159042</v>
      </c>
      <c r="L88" s="341">
        <f>IF(J88="","",'Historique détail'!K88/$W88)</f>
        <v>0.005615880414</v>
      </c>
      <c r="M88" s="341">
        <f>IF(K88="","",'Historique détail'!L88/$W88)</f>
        <v>0</v>
      </c>
      <c r="N88" s="341">
        <f>IF(L88="","",'Historique détail'!M88/$W88)</f>
        <v>0.02848396262</v>
      </c>
      <c r="O88" s="341">
        <f>IF(M88="","",'Historique détail'!N88/$W88)</f>
        <v>0</v>
      </c>
      <c r="P88" s="341">
        <f>IF(N88="","",'Historique détail'!O88/$W88)</f>
        <v>0.01200222127</v>
      </c>
      <c r="Q88" s="341">
        <f>IF(O88="","",'Historique détail'!P88/$W88)</f>
        <v>0.0000000007551904139</v>
      </c>
      <c r="R88" s="341">
        <f>IF(P88="","",'Historique détail'!Q88/$W88)</f>
        <v>0.004847008391</v>
      </c>
      <c r="S88" s="341">
        <f>IF(Q88="","",'Historique détail'!R88/$W88)</f>
        <v>0</v>
      </c>
      <c r="T88" s="341">
        <f>IF(R88="","",'Historique détail'!S88/$W88)</f>
        <v>0</v>
      </c>
      <c r="U88" s="340">
        <f t="shared" si="2"/>
        <v>0.1529361004</v>
      </c>
      <c r="V88" s="14">
        <f>IF(A88="","",ARBITRAGES!M89)</f>
        <v>7613.661469</v>
      </c>
      <c r="W88" s="342">
        <f>IF(V88="","",'Historique détail'!U88)</f>
        <v>49783.28497</v>
      </c>
      <c r="X88" s="288"/>
      <c r="Y88" s="289"/>
      <c r="Z88" s="289"/>
      <c r="AA88" s="289"/>
      <c r="AB88" s="289"/>
      <c r="AC88" s="289"/>
      <c r="AD88" s="289"/>
      <c r="AE88" s="289"/>
      <c r="AF88" s="289"/>
      <c r="AG88" s="289"/>
      <c r="AH88" s="289"/>
      <c r="AI88" s="289"/>
      <c r="AJ88" s="289"/>
      <c r="AK88" s="289"/>
      <c r="AL88" s="289"/>
      <c r="AM88" s="289"/>
      <c r="AN88" s="289"/>
      <c r="AO88" s="289"/>
      <c r="AP88" s="289"/>
      <c r="AQ88" s="289"/>
      <c r="AR88" s="289"/>
      <c r="AS88" s="289"/>
      <c r="AT88" s="289"/>
      <c r="AU88" s="289"/>
      <c r="AV88" s="289"/>
      <c r="AW88" s="289"/>
      <c r="AX88" s="289"/>
      <c r="AY88" s="289"/>
      <c r="AZ88" s="289"/>
      <c r="BA88" s="289"/>
      <c r="BB88" s="289"/>
    </row>
    <row r="89">
      <c r="A89" s="290">
        <f>PRIX!A90</f>
        <v>45847</v>
      </c>
      <c r="B89" s="302">
        <f t="shared" si="1"/>
        <v>0.8607472003</v>
      </c>
      <c r="C89" s="341">
        <f>IF(A89="","",'Historique détail'!B89/$W89)</f>
        <v>0.4518247283</v>
      </c>
      <c r="D89" s="341">
        <f>IF(B89="","",'Historique détail'!C89/$W89)</f>
        <v>0.1612516778</v>
      </c>
      <c r="E89" s="341">
        <f>IF(C89="","",'Historique détail'!D89/$W89)</f>
        <v>0.02033856626</v>
      </c>
      <c r="F89" s="341">
        <f>IF(D89="","",'Historique détail'!E89/$W89)</f>
        <v>0.06489180003</v>
      </c>
      <c r="G89" s="341">
        <f>IF(E89="","",'Historique détail'!F89/$W89)</f>
        <v>0.06724724015</v>
      </c>
      <c r="H89" s="341">
        <f>IF(F89="","",'Historique détail'!G89/$W89)</f>
        <v>0</v>
      </c>
      <c r="I89" s="341">
        <f>IF(G89="","",'Historique détail'!H89/$W89)</f>
        <v>0.02667008291</v>
      </c>
      <c r="J89" s="341">
        <f>IF(H89="","",'Historique détail'!I89/$W89)</f>
        <v>0.01049824539</v>
      </c>
      <c r="K89" s="341">
        <f>IF(I89="","",'Historique détail'!J89/$W89)</f>
        <v>0.00507355893</v>
      </c>
      <c r="L89" s="341">
        <f>IF(J89="","",'Historique détail'!K89/$W89)</f>
        <v>0.005684560831</v>
      </c>
      <c r="M89" s="341">
        <f>IF(K89="","",'Historique détail'!L89/$W89)</f>
        <v>0</v>
      </c>
      <c r="N89" s="341">
        <f>IF(L89="","",'Historique détail'!M89/$W89)</f>
        <v>0.03055692678</v>
      </c>
      <c r="O89" s="341">
        <f>IF(M89="","",'Historique détail'!N89/$W89)</f>
        <v>0</v>
      </c>
      <c r="P89" s="341">
        <f>IF(N89="","",'Historique détail'!O89/$W89)</f>
        <v>0.01211669341</v>
      </c>
      <c r="Q89" s="341">
        <f>IF(O89="","",'Historique détail'!P89/$W89)</f>
        <v>0.0000000008257303755</v>
      </c>
      <c r="R89" s="341">
        <f>IF(P89="","",'Historique détail'!Q89/$W89)</f>
        <v>0.004593118575</v>
      </c>
      <c r="S89" s="341">
        <f>IF(Q89="","",'Historique détail'!R89/$W89)</f>
        <v>0</v>
      </c>
      <c r="T89" s="341">
        <f>IF(R89="","",'Historique détail'!S89/$W89)</f>
        <v>0</v>
      </c>
      <c r="U89" s="340">
        <f t="shared" si="2"/>
        <v>0.1392527997</v>
      </c>
      <c r="V89" s="14">
        <f>IF(A89="","",ARBITRAGES!M90)</f>
        <v>7315.661469</v>
      </c>
      <c r="W89" s="342">
        <f>IF(V89="","",'Historique détail'!U89)</f>
        <v>52535.11227</v>
      </c>
      <c r="X89" s="288"/>
      <c r="Y89" s="289"/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289"/>
      <c r="AL89" s="289"/>
      <c r="AM89" s="289"/>
      <c r="AN89" s="289"/>
      <c r="AO89" s="289"/>
      <c r="AP89" s="289"/>
      <c r="AQ89" s="289"/>
      <c r="AR89" s="289"/>
      <c r="AS89" s="289"/>
      <c r="AT89" s="289"/>
      <c r="AU89" s="289"/>
      <c r="AV89" s="289"/>
      <c r="AW89" s="289"/>
      <c r="AX89" s="289"/>
      <c r="AY89" s="289"/>
      <c r="AZ89" s="289"/>
      <c r="BA89" s="289"/>
      <c r="BB89" s="289"/>
    </row>
    <row r="90">
      <c r="A90" s="290">
        <f>PRIX!A91</f>
        <v>45848</v>
      </c>
      <c r="B90" s="302">
        <f t="shared" si="1"/>
        <v>0.8617927962</v>
      </c>
      <c r="C90" s="341">
        <f>IF(A90="","",'Historique détail'!B90/$W90)</f>
        <v>0.4497105488</v>
      </c>
      <c r="D90" s="341">
        <f>IF(B90="","",'Historique détail'!C90/$W90)</f>
        <v>0.166185029</v>
      </c>
      <c r="E90" s="341">
        <f>IF(C90="","",'Historique détail'!D90/$W90)</f>
        <v>0.01320423638</v>
      </c>
      <c r="F90" s="341">
        <f>IF(D90="","",'Historique détail'!E90/$W90)</f>
        <v>0.06286590022</v>
      </c>
      <c r="G90" s="341">
        <f>IF(E90="","",'Historique détail'!F90/$W90)</f>
        <v>0.07365707283</v>
      </c>
      <c r="H90" s="341">
        <f>IF(F90="","",'Historique détail'!G90/$W90)</f>
        <v>0</v>
      </c>
      <c r="I90" s="341">
        <f>IF(G90="","",'Historique détail'!H90/$W90)</f>
        <v>0.02726516041</v>
      </c>
      <c r="J90" s="341">
        <f>IF(H90="","",'Historique détail'!I90/$W90)</f>
        <v>0.01133464078</v>
      </c>
      <c r="K90" s="341">
        <f>IF(I90="","",'Historique détail'!J90/$W90)</f>
        <v>0.004977396286</v>
      </c>
      <c r="L90" s="341">
        <f>IF(J90="","",'Historique détail'!K90/$W90)</f>
        <v>0.005827312795</v>
      </c>
      <c r="M90" s="341">
        <f>IF(K90="","",'Historique détail'!L90/$W90)</f>
        <v>0</v>
      </c>
      <c r="N90" s="341">
        <f>IF(L90="","",'Historique détail'!M90/$W90)</f>
        <v>0.0293485975</v>
      </c>
      <c r="O90" s="341">
        <f>IF(M90="","",'Historique détail'!N90/$W90)</f>
        <v>0</v>
      </c>
      <c r="P90" s="341">
        <f>IF(N90="","",'Historique détail'!O90/$W90)</f>
        <v>0.01220989521</v>
      </c>
      <c r="Q90" s="341">
        <f>IF(O90="","",'Historique détail'!P90/$W90)</f>
        <v>0.0000000009360921452</v>
      </c>
      <c r="R90" s="341">
        <f>IF(P90="","",'Historique détail'!Q90/$W90)</f>
        <v>0.005207005031</v>
      </c>
      <c r="S90" s="341">
        <f>IF(Q90="","",'Historique détail'!R90/$W90)</f>
        <v>0</v>
      </c>
      <c r="T90" s="341">
        <f>IF(R90="","",'Historique détail'!S90/$W90)</f>
        <v>0</v>
      </c>
      <c r="U90" s="340">
        <f t="shared" si="2"/>
        <v>0.1382072038</v>
      </c>
      <c r="V90" s="14">
        <f>IF(A90="","",ARBITRAGES!M91)</f>
        <v>7685.661469</v>
      </c>
      <c r="W90" s="342">
        <f>IF(V90="","",'Historique détail'!U90)</f>
        <v>55609.70236</v>
      </c>
      <c r="X90" s="288"/>
      <c r="Y90" s="289"/>
      <c r="Z90" s="289"/>
      <c r="AA90" s="289"/>
      <c r="AB90" s="289"/>
      <c r="AC90" s="289"/>
      <c r="AD90" s="289"/>
      <c r="AE90" s="289"/>
      <c r="AF90" s="289"/>
      <c r="AG90" s="289"/>
      <c r="AH90" s="289"/>
      <c r="AI90" s="289"/>
      <c r="AJ90" s="289"/>
      <c r="AK90" s="289"/>
      <c r="AL90" s="289"/>
      <c r="AM90" s="289"/>
      <c r="AN90" s="289"/>
      <c r="AO90" s="289"/>
      <c r="AP90" s="289"/>
      <c r="AQ90" s="289"/>
      <c r="AR90" s="289"/>
      <c r="AS90" s="289"/>
      <c r="AT90" s="289"/>
      <c r="AU90" s="289"/>
      <c r="AV90" s="289"/>
      <c r="AW90" s="289"/>
      <c r="AX90" s="289"/>
      <c r="AY90" s="289"/>
      <c r="AZ90" s="289"/>
      <c r="BA90" s="289"/>
      <c r="BB90" s="289"/>
    </row>
    <row r="91">
      <c r="A91" s="290">
        <f>PRIX!A92</f>
        <v>45849</v>
      </c>
      <c r="B91" s="302">
        <f t="shared" si="1"/>
        <v>0.8532709048</v>
      </c>
      <c r="C91" s="341">
        <f>IF(A91="","",'Historique détail'!B91/$W91)</f>
        <v>0.4411937104</v>
      </c>
      <c r="D91" s="341">
        <f>IF(B91="","",'Historique détail'!C91/$W91)</f>
        <v>0.1661829912</v>
      </c>
      <c r="E91" s="341">
        <f>IF(C91="","",'Historique détail'!D91/$W91)</f>
        <v>0.01320407447</v>
      </c>
      <c r="F91" s="341">
        <f>IF(D91="","",'Historique détail'!E91/$W91)</f>
        <v>0.06286512935</v>
      </c>
      <c r="G91" s="341">
        <f>IF(E91="","",'Historique détail'!F91/$W91)</f>
        <v>0.07365616965</v>
      </c>
      <c r="H91" s="341">
        <f>IF(F91="","",'Historique détail'!G91/$W91)</f>
        <v>0</v>
      </c>
      <c r="I91" s="341">
        <f>IF(G91="","",'Historique détail'!H91/$W91)</f>
        <v>0.02726482608</v>
      </c>
      <c r="J91" s="341">
        <f>IF(H91="","",'Historique détail'!I91/$W91)</f>
        <v>0.01133450179</v>
      </c>
      <c r="K91" s="341">
        <f>IF(I91="","",'Historique détail'!J91/$W91)</f>
        <v>0.004977335253</v>
      </c>
      <c r="L91" s="341">
        <f>IF(J91="","",'Historique détail'!K91/$W91)</f>
        <v>0.00582724134</v>
      </c>
      <c r="M91" s="341">
        <f>IF(K91="","",'Historique détail'!L91/$W91)</f>
        <v>0</v>
      </c>
      <c r="N91" s="341">
        <f>IF(L91="","",'Historique détail'!M91/$W91)</f>
        <v>0.02934823763</v>
      </c>
      <c r="O91" s="341">
        <f>IF(M91="","",'Historique détail'!N91/$W91)</f>
        <v>0</v>
      </c>
      <c r="P91" s="341">
        <f>IF(N91="","",'Historique détail'!O91/$W91)</f>
        <v>0.01220974549</v>
      </c>
      <c r="Q91" s="341">
        <f>IF(O91="","",'Historique détail'!P91/$W91)</f>
        <v>0.0000000009360806668</v>
      </c>
      <c r="R91" s="341">
        <f>IF(P91="","",'Historique détail'!Q91/$W91)</f>
        <v>0.005206941183</v>
      </c>
      <c r="S91" s="341">
        <f>IF(Q91="","",'Historique détail'!R91/$W91)</f>
        <v>0</v>
      </c>
      <c r="T91" s="341">
        <f>IF(R91="","",'Historique détail'!S91/$W91)</f>
        <v>0</v>
      </c>
      <c r="U91" s="340">
        <f t="shared" si="2"/>
        <v>0.1467290952</v>
      </c>
      <c r="V91" s="14">
        <f>IF(A91="","",ARBITRAGES!M92)</f>
        <v>8159.661369</v>
      </c>
      <c r="W91" s="342">
        <f>IF(V91="","",'Historique détail'!U91)</f>
        <v>55610.38426</v>
      </c>
      <c r="X91" s="288"/>
      <c r="Y91" s="289"/>
      <c r="Z91" s="289"/>
      <c r="AA91" s="289"/>
      <c r="AB91" s="289"/>
      <c r="AC91" s="289"/>
      <c r="AD91" s="289"/>
      <c r="AE91" s="289"/>
      <c r="AF91" s="289"/>
      <c r="AG91" s="289"/>
      <c r="AH91" s="289"/>
      <c r="AI91" s="289"/>
      <c r="AJ91" s="289"/>
      <c r="AK91" s="289"/>
      <c r="AL91" s="289"/>
      <c r="AM91" s="289"/>
      <c r="AN91" s="289"/>
      <c r="AO91" s="289"/>
      <c r="AP91" s="289"/>
      <c r="AQ91" s="289"/>
      <c r="AR91" s="289"/>
      <c r="AS91" s="289"/>
      <c r="AT91" s="289"/>
      <c r="AU91" s="289"/>
      <c r="AV91" s="289"/>
      <c r="AW91" s="289"/>
      <c r="AX91" s="289"/>
      <c r="AY91" s="289"/>
      <c r="AZ91" s="289"/>
      <c r="BA91" s="289"/>
      <c r="BB91" s="289"/>
    </row>
    <row r="92">
      <c r="A92" s="290">
        <f>PRIX!A93</f>
        <v>45849</v>
      </c>
      <c r="B92" s="302">
        <f t="shared" si="1"/>
        <v>0.8442856841</v>
      </c>
      <c r="C92" s="341">
        <f>IF(A92="","",'Historique détail'!B92/$W92)</f>
        <v>0.4322241222</v>
      </c>
      <c r="D92" s="341">
        <f>IF(B92="","",'Historique détail'!C92/$W92)</f>
        <v>0.1661766869</v>
      </c>
      <c r="E92" s="341">
        <f>IF(C92="","",'Historique détail'!D92/$W92)</f>
        <v>0.01320357356</v>
      </c>
      <c r="F92" s="341">
        <f>IF(D92="","",'Historique détail'!E92/$W92)</f>
        <v>0.06286274451</v>
      </c>
      <c r="G92" s="341">
        <f>IF(E92="","",'Historique détail'!F92/$W92)</f>
        <v>0.07365337544</v>
      </c>
      <c r="H92" s="341">
        <f>IF(F92="","",'Historique détail'!G92/$W92)</f>
        <v>0</v>
      </c>
      <c r="I92" s="341">
        <f>IF(G92="","",'Historique détail'!H92/$W92)</f>
        <v>0.02726379176</v>
      </c>
      <c r="J92" s="341">
        <f>IF(H92="","",'Historique détail'!I92/$W92)</f>
        <v>0.01133407181</v>
      </c>
      <c r="K92" s="341">
        <f>IF(I92="","",'Historique détail'!J92/$W92)</f>
        <v>0.004977146433</v>
      </c>
      <c r="L92" s="341">
        <f>IF(J92="","",'Historique détail'!K92/$W92)</f>
        <v>0.005827020279</v>
      </c>
      <c r="M92" s="341">
        <f>IF(K92="","",'Historique détail'!L92/$W92)</f>
        <v>0</v>
      </c>
      <c r="N92" s="341">
        <f>IF(L92="","",'Historique détail'!M92/$W92)</f>
        <v>0.02934712428</v>
      </c>
      <c r="O92" s="341">
        <f>IF(M92="","",'Historique détail'!N92/$W92)</f>
        <v>0</v>
      </c>
      <c r="P92" s="341">
        <f>IF(N92="","",'Historique détail'!O92/$W92)</f>
        <v>0.01220928231</v>
      </c>
      <c r="Q92" s="341">
        <f>IF(O92="","",'Historique détail'!P92/$W92)</f>
        <v>0.0000000009360451558</v>
      </c>
      <c r="R92" s="341">
        <f>IF(P92="","",'Historique détail'!Q92/$W92)</f>
        <v>0.005206743653</v>
      </c>
      <c r="S92" s="341">
        <f>IF(Q92="","",'Historique détail'!R92/$W92)</f>
        <v>0</v>
      </c>
      <c r="T92" s="341">
        <f>IF(R92="","",'Historique détail'!S92/$W92)</f>
        <v>0</v>
      </c>
      <c r="U92" s="340">
        <f t="shared" si="2"/>
        <v>0.1557143159</v>
      </c>
      <c r="V92" s="14">
        <f>IF(A92="","",ARBITRAGES!M93)</f>
        <v>8659.661454</v>
      </c>
      <c r="W92" s="342">
        <f>IF(V92="","",'Historique détail'!U92)</f>
        <v>55612.49397</v>
      </c>
      <c r="X92" s="288"/>
      <c r="Y92" s="289"/>
      <c r="Z92" s="289"/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289"/>
      <c r="AL92" s="289"/>
      <c r="AM92" s="289"/>
      <c r="AN92" s="289"/>
      <c r="AO92" s="289"/>
      <c r="AP92" s="289"/>
      <c r="AQ92" s="289"/>
      <c r="AR92" s="289"/>
      <c r="AS92" s="289"/>
      <c r="AT92" s="289"/>
      <c r="AU92" s="289"/>
      <c r="AV92" s="289"/>
      <c r="AW92" s="289"/>
      <c r="AX92" s="289"/>
      <c r="AY92" s="289"/>
      <c r="AZ92" s="289"/>
      <c r="BA92" s="289"/>
      <c r="BB92" s="289"/>
    </row>
    <row r="93">
      <c r="A93" s="290">
        <f>PRIX!A94</f>
        <v>45850</v>
      </c>
      <c r="B93" s="302">
        <f t="shared" si="1"/>
        <v>0.8383739712</v>
      </c>
      <c r="C93" s="341">
        <f>IF(A93="","",'Historique détail'!B93/$W93)</f>
        <v>0.4263298506</v>
      </c>
      <c r="D93" s="341">
        <f>IF(B93="","",'Historique détail'!C93/$W93)</f>
        <v>0.1661696532</v>
      </c>
      <c r="E93" s="341">
        <f>IF(C93="","",'Historique détail'!D93/$W93)</f>
        <v>0.01320301469</v>
      </c>
      <c r="F93" s="341">
        <f>IF(D93="","",'Historique détail'!E93/$W93)</f>
        <v>0.06286008373</v>
      </c>
      <c r="G93" s="341">
        <f>IF(E93="","",'Historique détail'!F93/$W93)</f>
        <v>0.07365025792</v>
      </c>
      <c r="H93" s="341">
        <f>IF(F93="","",'Historique détail'!G93/$W93)</f>
        <v>0</v>
      </c>
      <c r="I93" s="341">
        <f>IF(G93="","",'Historique détail'!H93/$W93)</f>
        <v>0.02726263777</v>
      </c>
      <c r="J93" s="341">
        <f>IF(H93="","",'Historique détail'!I93/$W93)</f>
        <v>0.01133359207</v>
      </c>
      <c r="K93" s="341">
        <f>IF(I93="","",'Historique détail'!J93/$W93)</f>
        <v>0.004976935766</v>
      </c>
      <c r="L93" s="341">
        <f>IF(J93="","",'Historique détail'!K93/$W93)</f>
        <v>0.005826773639</v>
      </c>
      <c r="M93" s="341">
        <f>IF(K93="","",'Historique détail'!L93/$W93)</f>
        <v>0</v>
      </c>
      <c r="N93" s="341">
        <f>IF(L93="","",'Historique détail'!M93/$W93)</f>
        <v>0.02934588211</v>
      </c>
      <c r="O93" s="341">
        <f>IF(M93="","",'Historique détail'!N93/$W93)</f>
        <v>0</v>
      </c>
      <c r="P93" s="341">
        <f>IF(N93="","",'Historique détail'!O93/$W93)</f>
        <v>0.01220876553</v>
      </c>
      <c r="Q93" s="341">
        <f>IF(O93="","",'Historique détail'!P93/$W93)</f>
        <v>0.0000000009360055359</v>
      </c>
      <c r="R93" s="341">
        <f>IF(P93="","",'Historique détail'!Q93/$W93)</f>
        <v>0.005206523268</v>
      </c>
      <c r="S93" s="341">
        <f>IF(Q93="","",'Historique détail'!R93/$W93)</f>
        <v>0</v>
      </c>
      <c r="T93" s="341">
        <f>IF(R93="","",'Historique détail'!S93/$W93)</f>
        <v>0</v>
      </c>
      <c r="U93" s="340">
        <f t="shared" si="2"/>
        <v>0.1616260288</v>
      </c>
      <c r="V93" s="14">
        <f>IF(A93="","",ARBITRAGES!M94)</f>
        <v>8988.807021</v>
      </c>
      <c r="W93" s="342">
        <f>IF(V93="","",'Historique détail'!U93)</f>
        <v>55614.84797</v>
      </c>
      <c r="X93" s="288"/>
      <c r="Y93" s="289"/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289"/>
      <c r="AL93" s="289"/>
      <c r="AM93" s="289"/>
      <c r="AN93" s="289"/>
      <c r="AO93" s="289"/>
      <c r="AP93" s="289"/>
      <c r="AQ93" s="289"/>
      <c r="AR93" s="289"/>
      <c r="AS93" s="289"/>
      <c r="AT93" s="289"/>
      <c r="AU93" s="289"/>
      <c r="AV93" s="289"/>
      <c r="AW93" s="289"/>
      <c r="AX93" s="289"/>
      <c r="AY93" s="289"/>
      <c r="AZ93" s="289"/>
      <c r="BA93" s="289"/>
      <c r="BB93" s="289"/>
    </row>
    <row r="94">
      <c r="A94" s="290">
        <f>PRIX!A95</f>
        <v>45852</v>
      </c>
      <c r="B94" s="302">
        <f t="shared" si="1"/>
        <v>0.8629770338</v>
      </c>
      <c r="C94" s="341">
        <f>IF(A94="","",'Historique détail'!B94/$W94)</f>
        <v>0.428784271</v>
      </c>
      <c r="D94" s="341">
        <f>IF(B94="","",'Historique détail'!C94/$W94)</f>
        <v>0.1770017069</v>
      </c>
      <c r="E94" s="341">
        <f>IF(C94="","",'Historique détail'!D94/$W94)</f>
        <v>0.01339733118</v>
      </c>
      <c r="F94" s="341">
        <f>IF(D94="","",'Historique détail'!E94/$W94)</f>
        <v>0.06517624208</v>
      </c>
      <c r="G94" s="341">
        <f>IF(E94="","",'Historique détail'!F94/$W94)</f>
        <v>0.0790367335</v>
      </c>
      <c r="H94" s="341">
        <f>IF(F94="","",'Historique détail'!G94/$W94)</f>
        <v>0</v>
      </c>
      <c r="I94" s="341">
        <f>IF(G94="","",'Historique détail'!H94/$W94)</f>
        <v>0.02909558754</v>
      </c>
      <c r="J94" s="341">
        <f>IF(H94="","",'Historique détail'!I94/$W94)</f>
        <v>0.01118948544</v>
      </c>
      <c r="K94" s="341">
        <f>IF(I94="","",'Historique détail'!J94/$W94)</f>
        <v>0.005028824658</v>
      </c>
      <c r="L94" s="341">
        <f>IF(J94="","",'Historique détail'!K94/$W94)</f>
        <v>0.005514557585</v>
      </c>
      <c r="M94" s="341">
        <f>IF(K94="","",'Historique détail'!L94/$W94)</f>
        <v>0</v>
      </c>
      <c r="N94" s="341">
        <f>IF(L94="","",'Historique détail'!M94/$W94)</f>
        <v>0.03056284305</v>
      </c>
      <c r="O94" s="341">
        <f>IF(M94="","",'Historique détail'!N94/$W94)</f>
        <v>0</v>
      </c>
      <c r="P94" s="341">
        <f>IF(N94="","",'Historique détail'!O94/$W94)</f>
        <v>0.01251936801</v>
      </c>
      <c r="Q94" s="341">
        <f>IF(O94="","",'Historique détail'!P94/$W94)</f>
        <v>0.000000001140869413</v>
      </c>
      <c r="R94" s="341">
        <f>IF(P94="","",'Historique détail'!Q94/$W94)</f>
        <v>0.005670081786</v>
      </c>
      <c r="S94" s="341">
        <f>IF(Q94="","",'Historique détail'!R94/$W94)</f>
        <v>0</v>
      </c>
      <c r="T94" s="341">
        <f>IF(R94="","",'Historique détail'!S94/$W94)</f>
        <v>0</v>
      </c>
      <c r="U94" s="340">
        <f t="shared" si="2"/>
        <v>0.1370229662</v>
      </c>
      <c r="V94" s="14">
        <f>IF(A94="","",ARBITRAGES!M95)</f>
        <v>7988.807021</v>
      </c>
      <c r="W94" s="342">
        <f>IF(V94="","",'Historique détail'!U94)</f>
        <v>58302.68636</v>
      </c>
      <c r="X94" s="288"/>
      <c r="Y94" s="289"/>
      <c r="Z94" s="289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  <c r="AN94" s="289"/>
      <c r="AO94" s="289"/>
      <c r="AP94" s="289"/>
      <c r="AQ94" s="289"/>
      <c r="AR94" s="289"/>
      <c r="AS94" s="289"/>
      <c r="AT94" s="289"/>
      <c r="AU94" s="289"/>
      <c r="AV94" s="289"/>
      <c r="AW94" s="289"/>
      <c r="AX94" s="289"/>
      <c r="AY94" s="289"/>
      <c r="AZ94" s="289"/>
      <c r="BA94" s="289"/>
      <c r="BB94" s="289"/>
    </row>
    <row r="95">
      <c r="A95" s="290">
        <f>PRIX!A96</f>
        <v>45852</v>
      </c>
      <c r="B95" s="302">
        <f t="shared" si="1"/>
        <v>0.8664339159</v>
      </c>
      <c r="C95" s="341">
        <f>IF(A95="","",'Historique détail'!B95/$W95)</f>
        <v>0.4286923086</v>
      </c>
      <c r="D95" s="341">
        <f>IF(B95="","",'Historique détail'!C95/$W95)</f>
        <v>0.1769637449</v>
      </c>
      <c r="E95" s="341">
        <f>IF(C95="","",'Historique détail'!D95/$W95)</f>
        <v>0.01339445783</v>
      </c>
      <c r="F95" s="341">
        <f>IF(D95="","",'Historique détail'!E95/$W95)</f>
        <v>0.06516226357</v>
      </c>
      <c r="G95" s="341">
        <f>IF(E95="","",'Historique détail'!F95/$W95)</f>
        <v>0.07901978231</v>
      </c>
      <c r="H95" s="341">
        <f>IF(F95="","",'Historique détail'!G95/$W95)</f>
        <v>0</v>
      </c>
      <c r="I95" s="341">
        <f>IF(G95="","",'Historique détail'!H95/$W95)</f>
        <v>0.02908934734</v>
      </c>
      <c r="J95" s="341">
        <f>IF(H95="","",'Historique détail'!I95/$W95)</f>
        <v>0.01482905243</v>
      </c>
      <c r="K95" s="341">
        <f>IF(I95="","",'Historique détail'!J95/$W95)</f>
        <v>0.005027746114</v>
      </c>
      <c r="L95" s="341">
        <f>IF(J95="","",'Historique détail'!K95/$W95)</f>
        <v>0.005513374864</v>
      </c>
      <c r="M95" s="341">
        <f>IF(K95="","",'Historique détail'!L95/$W95)</f>
        <v>0</v>
      </c>
      <c r="N95" s="341">
        <f>IF(L95="","",'Historique détail'!M95/$W95)</f>
        <v>0.03055628816</v>
      </c>
      <c r="O95" s="341">
        <f>IF(M95="","",'Historique détail'!N95/$W95)</f>
        <v>0</v>
      </c>
      <c r="P95" s="341">
        <f>IF(N95="","",'Historique détail'!O95/$W95)</f>
        <v>0.01251668295</v>
      </c>
      <c r="Q95" s="341">
        <f>IF(O95="","",'Historique détail'!P95/$W95)</f>
        <v>0.000000001140624728</v>
      </c>
      <c r="R95" s="341">
        <f>IF(P95="","",'Historique détail'!Q95/$W95)</f>
        <v>0.00566886571</v>
      </c>
      <c r="S95" s="341">
        <f>IF(Q95="","",'Historique détail'!R95/$W95)</f>
        <v>0</v>
      </c>
      <c r="T95" s="341">
        <f>IF(R95="","",'Historique détail'!S95/$W95)</f>
        <v>0</v>
      </c>
      <c r="U95" s="340">
        <f t="shared" si="2"/>
        <v>0.1335660841</v>
      </c>
      <c r="V95" s="14">
        <f>IF(A95="","",ARBITRAGES!M96)</f>
        <v>7788.932021</v>
      </c>
      <c r="W95" s="342">
        <f>IF(V95="","",'Historique détail'!U95)</f>
        <v>58315.19336</v>
      </c>
      <c r="X95" s="288"/>
      <c r="Y95" s="289"/>
      <c r="Z95" s="289"/>
      <c r="AA95" s="289"/>
      <c r="AB95" s="289"/>
      <c r="AC95" s="289"/>
      <c r="AD95" s="289"/>
      <c r="AE95" s="289"/>
      <c r="AF95" s="289"/>
      <c r="AG95" s="289"/>
      <c r="AH95" s="289"/>
      <c r="AI95" s="289"/>
      <c r="AJ95" s="289"/>
      <c r="AK95" s="289"/>
      <c r="AL95" s="289"/>
      <c r="AM95" s="289"/>
      <c r="AN95" s="289"/>
      <c r="AO95" s="289"/>
      <c r="AP95" s="289"/>
      <c r="AQ95" s="289"/>
      <c r="AR95" s="289"/>
      <c r="AS95" s="289"/>
      <c r="AT95" s="289"/>
      <c r="AU95" s="289"/>
      <c r="AV95" s="289"/>
      <c r="AW95" s="289"/>
      <c r="AX95" s="289"/>
      <c r="AY95" s="289"/>
      <c r="AZ95" s="289"/>
      <c r="BA95" s="289"/>
      <c r="BB95" s="289"/>
    </row>
    <row r="96">
      <c r="A96" s="290">
        <f>PRIX!A97</f>
        <v>45852</v>
      </c>
      <c r="B96" s="302">
        <f t="shared" si="1"/>
        <v>0.8713931449</v>
      </c>
      <c r="C96" s="341">
        <f>IF(A96="","",'Historique détail'!B96/$W96)</f>
        <v>0.428509563</v>
      </c>
      <c r="D96" s="341">
        <f>IF(B96="","",'Historique détail'!C96/$W96)</f>
        <v>0.1768883077</v>
      </c>
      <c r="E96" s="341">
        <f>IF(C96="","",'Historique détail'!D96/$W96)</f>
        <v>0.01338874795</v>
      </c>
      <c r="F96" s="341">
        <f>IF(D96="","",'Historique détail'!E96/$W96)</f>
        <v>0.07046306362</v>
      </c>
      <c r="G96" s="341">
        <f>IF(E96="","",'Historique détail'!F96/$W96)</f>
        <v>0.07898609726</v>
      </c>
      <c r="H96" s="341">
        <f>IF(F96="","",'Historique détail'!G96/$W96)</f>
        <v>0</v>
      </c>
      <c r="I96" s="341">
        <f>IF(G96="","",'Historique détail'!H96/$W96)</f>
        <v>0.02907694695</v>
      </c>
      <c r="J96" s="341">
        <f>IF(H96="","",'Historique détail'!I96/$W96)</f>
        <v>0.01482273101</v>
      </c>
      <c r="K96" s="341">
        <f>IF(I96="","",'Historique détail'!J96/$W96)</f>
        <v>0.005025602855</v>
      </c>
      <c r="L96" s="341">
        <f>IF(J96="","",'Historique détail'!K96/$W96)</f>
        <v>0.005511024588</v>
      </c>
      <c r="M96" s="341">
        <f>IF(K96="","",'Historique détail'!L96/$W96)</f>
        <v>0</v>
      </c>
      <c r="N96" s="341">
        <f>IF(L96="","",'Historique détail'!M96/$W96)</f>
        <v>0.03054326244</v>
      </c>
      <c r="O96" s="341">
        <f>IF(M96="","",'Historique détail'!N96/$W96)</f>
        <v>0</v>
      </c>
      <c r="P96" s="341">
        <f>IF(N96="","",'Historique détail'!O96/$W96)</f>
        <v>0.01251134726</v>
      </c>
      <c r="Q96" s="341">
        <f>IF(O96="","",'Historique détail'!P96/$W96)</f>
        <v>0.000000001140138496</v>
      </c>
      <c r="R96" s="341">
        <f>IF(P96="","",'Historique détail'!Q96/$W96)</f>
        <v>0.00566644915</v>
      </c>
      <c r="S96" s="341">
        <f>IF(Q96="","",'Historique détail'!R96/$W96)</f>
        <v>0</v>
      </c>
      <c r="T96" s="341">
        <f>IF(R96="","",'Historique détail'!S96/$W96)</f>
        <v>0</v>
      </c>
      <c r="U96" s="340">
        <f t="shared" si="2"/>
        <v>0.1286068551</v>
      </c>
      <c r="V96" s="14">
        <f>IF(A96="","",ARBITRAGES!M97)</f>
        <v>7502.932021</v>
      </c>
      <c r="W96" s="342">
        <f>IF(V96="","",'Historique détail'!U96)</f>
        <v>58340.06293</v>
      </c>
      <c r="X96" s="288"/>
      <c r="Y96" s="289"/>
      <c r="Z96" s="289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289"/>
      <c r="AL96" s="289"/>
      <c r="AM96" s="289"/>
      <c r="AN96" s="289"/>
      <c r="AO96" s="289"/>
      <c r="AP96" s="289"/>
      <c r="AQ96" s="289"/>
      <c r="AR96" s="289"/>
      <c r="AS96" s="289"/>
      <c r="AT96" s="289"/>
      <c r="AU96" s="289"/>
      <c r="AV96" s="289"/>
      <c r="AW96" s="289"/>
      <c r="AX96" s="289"/>
      <c r="AY96" s="289"/>
      <c r="AZ96" s="289"/>
      <c r="BA96" s="289"/>
      <c r="BB96" s="289"/>
    </row>
    <row r="97">
      <c r="A97" s="290">
        <f>PRIX!A98</f>
        <v>45852</v>
      </c>
      <c r="B97" s="302">
        <f t="shared" si="1"/>
        <v>0.8748316162</v>
      </c>
      <c r="C97" s="341">
        <f>IF(A97="","",'Historique détail'!B97/$W97)</f>
        <v>0.4319844597</v>
      </c>
      <c r="D97" s="341">
        <f>IF(B97="","",'Historique détail'!C97/$W97)</f>
        <v>0.1768737593</v>
      </c>
      <c r="E97" s="341">
        <f>IF(C97="","",'Historique détail'!D97/$W97)</f>
        <v>0.01338764678</v>
      </c>
      <c r="F97" s="341">
        <f>IF(D97="","",'Historique détail'!E97/$W97)</f>
        <v>0.07045726831</v>
      </c>
      <c r="G97" s="341">
        <f>IF(E97="","",'Historique détail'!F97/$W97)</f>
        <v>0.07897960097</v>
      </c>
      <c r="H97" s="341">
        <f>IF(F97="","",'Historique détail'!G97/$W97)</f>
        <v>0</v>
      </c>
      <c r="I97" s="341">
        <f>IF(G97="","",'Historique détail'!H97/$W97)</f>
        <v>0.02907455549</v>
      </c>
      <c r="J97" s="341">
        <f>IF(H97="","",'Historique détail'!I97/$W97)</f>
        <v>0.0148215119</v>
      </c>
      <c r="K97" s="341">
        <f>IF(I97="","",'Historique détail'!J97/$W97)</f>
        <v>0.00502518952</v>
      </c>
      <c r="L97" s="341">
        <f>IF(J97="","",'Historique détail'!K97/$W97)</f>
        <v>0.005510571329</v>
      </c>
      <c r="M97" s="341">
        <f>IF(K97="","",'Historique détail'!L97/$W97)</f>
        <v>0</v>
      </c>
      <c r="N97" s="341">
        <f>IF(L97="","",'Historique détail'!M97/$W97)</f>
        <v>0.03054075038</v>
      </c>
      <c r="O97" s="341">
        <f>IF(M97="","",'Historique détail'!N97/$W97)</f>
        <v>0</v>
      </c>
      <c r="P97" s="341">
        <f>IF(N97="","",'Historique détail'!O97/$W97)</f>
        <v>0.01251031825</v>
      </c>
      <c r="Q97" s="341">
        <f>IF(O97="","",'Historique détail'!P97/$W97)</f>
        <v>0.000000001140044724</v>
      </c>
      <c r="R97" s="341">
        <f>IF(P97="","",'Historique détail'!Q97/$W97)</f>
        <v>0.005665983108</v>
      </c>
      <c r="S97" s="341">
        <f>IF(Q97="","",'Historique détail'!R97/$W97)</f>
        <v>0</v>
      </c>
      <c r="T97" s="341">
        <f>IF(R97="","",'Historique détail'!S97/$W97)</f>
        <v>0</v>
      </c>
      <c r="U97" s="340">
        <f t="shared" si="2"/>
        <v>0.1251683838</v>
      </c>
      <c r="V97" s="14">
        <f>IF(A97="","",ARBITRAGES!M98)</f>
        <v>7302.932021</v>
      </c>
      <c r="W97" s="342">
        <f>IF(V97="","",'Historique détail'!U97)</f>
        <v>58344.86155</v>
      </c>
      <c r="X97" s="288"/>
      <c r="Y97" s="289"/>
      <c r="Z97" s="289"/>
      <c r="AA97" s="289"/>
      <c r="AB97" s="289"/>
      <c r="AC97" s="289"/>
      <c r="AD97" s="289"/>
      <c r="AE97" s="289"/>
      <c r="AF97" s="289"/>
      <c r="AG97" s="289"/>
      <c r="AH97" s="289"/>
      <c r="AI97" s="289"/>
      <c r="AJ97" s="289"/>
      <c r="AK97" s="289"/>
      <c r="AL97" s="289"/>
      <c r="AM97" s="289"/>
      <c r="AN97" s="289"/>
      <c r="AO97" s="289"/>
      <c r="AP97" s="289"/>
      <c r="AQ97" s="289"/>
      <c r="AR97" s="289"/>
      <c r="AS97" s="289"/>
      <c r="AT97" s="289"/>
      <c r="AU97" s="289"/>
      <c r="AV97" s="289"/>
      <c r="AW97" s="289"/>
      <c r="AX97" s="289"/>
      <c r="AY97" s="289"/>
      <c r="AZ97" s="289"/>
      <c r="BA97" s="289"/>
      <c r="BB97" s="289"/>
    </row>
    <row r="98">
      <c r="A98" s="290">
        <f>PRIX!A99</f>
        <v>45853</v>
      </c>
      <c r="B98" s="302">
        <f t="shared" si="1"/>
        <v>0.8778044805</v>
      </c>
      <c r="C98" s="341">
        <f>IF(A98="","",'Historique détail'!B98/$W98)</f>
        <v>0.4395725409</v>
      </c>
      <c r="D98" s="341">
        <f>IF(B98="","",'Historique détail'!C98/$W98)</f>
        <v>0.172007175</v>
      </c>
      <c r="E98" s="341">
        <f>IF(C98="","",'Historique détail'!D98/$W98)</f>
        <v>0.01332860392</v>
      </c>
      <c r="F98" s="341">
        <f>IF(D98="","",'Historique détail'!E98/$W98)</f>
        <v>0.06968104566</v>
      </c>
      <c r="G98" s="341">
        <f>IF(E98="","",'Historique détail'!F98/$W98)</f>
        <v>0.07933473527</v>
      </c>
      <c r="H98" s="341">
        <f>IF(F98="","",'Historique détail'!G98/$W98)</f>
        <v>0</v>
      </c>
      <c r="I98" s="341">
        <f>IF(G98="","",'Historique détail'!H98/$W98)</f>
        <v>0.02946025143</v>
      </c>
      <c r="J98" s="341">
        <f>IF(H98="","",'Historique détail'!I98/$W98)</f>
        <v>0.01450618539</v>
      </c>
      <c r="K98" s="341">
        <f>IF(I98="","",'Historique détail'!J98/$W98)</f>
        <v>0.005008670116</v>
      </c>
      <c r="L98" s="341">
        <f>IF(J98="","",'Historique détail'!K98/$W98)</f>
        <v>0.0055879773</v>
      </c>
      <c r="M98" s="341">
        <f>IF(K98="","",'Historique détail'!L98/$W98)</f>
        <v>0</v>
      </c>
      <c r="N98" s="341">
        <f>IF(L98="","",'Historique détail'!M98/$W98)</f>
        <v>0.03081253253</v>
      </c>
      <c r="O98" s="341">
        <f>IF(M98="","",'Historique détail'!N98/$W98)</f>
        <v>0</v>
      </c>
      <c r="P98" s="341">
        <f>IF(N98="","",'Historique détail'!O98/$W98)</f>
        <v>0.01273638983</v>
      </c>
      <c r="Q98" s="341">
        <f>IF(O98="","",'Historique détail'!P98/$W98)</f>
        <v>0.000000001160646255</v>
      </c>
      <c r="R98" s="341">
        <f>IF(P98="","",'Historique détail'!Q98/$W98)</f>
        <v>0.005768372009</v>
      </c>
      <c r="S98" s="341">
        <f>IF(Q98="","",'Historique détail'!R98/$W98)</f>
        <v>0</v>
      </c>
      <c r="T98" s="341">
        <f>IF(R98="","",'Historique détail'!S98/$W98)</f>
        <v>0</v>
      </c>
      <c r="U98" s="340">
        <f t="shared" si="2"/>
        <v>0.1221955195</v>
      </c>
      <c r="V98" s="14">
        <f>IF(A98="","",ARBITRAGES!M99)</f>
        <v>7002.932021</v>
      </c>
      <c r="W98" s="342">
        <f>IF(V98="","",'Historique détail'!U98)</f>
        <v>57309.23725</v>
      </c>
      <c r="X98" s="288"/>
      <c r="Y98" s="289"/>
      <c r="Z98" s="289"/>
      <c r="AA98" s="289"/>
      <c r="AB98" s="289"/>
      <c r="AC98" s="289"/>
      <c r="AD98" s="289"/>
      <c r="AE98" s="289"/>
      <c r="AF98" s="289"/>
      <c r="AG98" s="289"/>
      <c r="AH98" s="289"/>
      <c r="AI98" s="289"/>
      <c r="AJ98" s="289"/>
      <c r="AK98" s="289"/>
      <c r="AL98" s="289"/>
      <c r="AM98" s="289"/>
      <c r="AN98" s="289"/>
      <c r="AO98" s="289"/>
      <c r="AP98" s="289"/>
      <c r="AQ98" s="289"/>
      <c r="AR98" s="289"/>
      <c r="AS98" s="289"/>
      <c r="AT98" s="289"/>
      <c r="AU98" s="289"/>
      <c r="AV98" s="289"/>
      <c r="AW98" s="289"/>
      <c r="AX98" s="289"/>
      <c r="AY98" s="289"/>
      <c r="AZ98" s="289"/>
      <c r="BA98" s="289"/>
      <c r="BB98" s="289"/>
    </row>
    <row r="99">
      <c r="A99" s="290">
        <f>PRIX!A100</f>
        <v>45854</v>
      </c>
      <c r="B99" s="302">
        <f t="shared" si="1"/>
        <v>0.8885867523</v>
      </c>
      <c r="C99" s="341">
        <f>IF(A99="","",'Historique détail'!B99/$W99)</f>
        <v>0.4459126714</v>
      </c>
      <c r="D99" s="341">
        <f>IF(B99="","",'Historique détail'!C99/$W99)</f>
        <v>0.1768046327</v>
      </c>
      <c r="E99" s="341">
        <f>IF(C99="","",'Historique détail'!D99/$W99)</f>
        <v>0.01338241456</v>
      </c>
      <c r="F99" s="341">
        <f>IF(D99="","",'Historique détail'!E99/$W99)</f>
        <v>0.07042973187</v>
      </c>
      <c r="G99" s="341">
        <f>IF(E99="","",'Historique détail'!F99/$W99)</f>
        <v>0.07894873379</v>
      </c>
      <c r="H99" s="341">
        <f>IF(F99="","",'Historique détail'!G99/$W99)</f>
        <v>0</v>
      </c>
      <c r="I99" s="341">
        <f>IF(G99="","",'Historique détail'!H99/$W99)</f>
        <v>0.02906319244</v>
      </c>
      <c r="J99" s="341">
        <f>IF(H99="","",'Historique détail'!I99/$W99)</f>
        <v>0.01481571929</v>
      </c>
      <c r="K99" s="341">
        <f>IF(I99="","",'Historique détail'!J99/$W99)</f>
        <v>0.005023225551</v>
      </c>
      <c r="L99" s="341">
        <f>IF(J99="","",'Historique détail'!K99/$W99)</f>
        <v>0.005508417661</v>
      </c>
      <c r="M99" s="341">
        <f>IF(K99="","",'Historique détail'!L99/$W99)</f>
        <v>0</v>
      </c>
      <c r="N99" s="341">
        <f>IF(L99="","",'Historique détail'!M99/$W99)</f>
        <v>0.0305288143</v>
      </c>
      <c r="O99" s="341">
        <f>IF(M99="","",'Historique détail'!N99/$W99)</f>
        <v>0</v>
      </c>
      <c r="P99" s="341">
        <f>IF(N99="","",'Historique détail'!O99/$W99)</f>
        <v>0.01250542891</v>
      </c>
      <c r="Q99" s="341">
        <f>IF(O99="","",'Historique détail'!P99/$W99)</f>
        <v>0.000000001139599166</v>
      </c>
      <c r="R99" s="341">
        <f>IF(P99="","",'Historique détail'!Q99/$W99)</f>
        <v>0.005663768702</v>
      </c>
      <c r="S99" s="341">
        <f>IF(Q99="","",'Historique détail'!R99/$W99)</f>
        <v>0</v>
      </c>
      <c r="T99" s="341">
        <f>IF(R99="","",'Historique détail'!S99/$W99)</f>
        <v>0</v>
      </c>
      <c r="U99" s="340">
        <f t="shared" si="2"/>
        <v>0.1114132477</v>
      </c>
      <c r="V99" s="14">
        <f>IF(A99="","",ARBITRAGES!M100)</f>
        <v>6502.932021</v>
      </c>
      <c r="W99" s="342">
        <f>IF(V99="","",'Historique détail'!U99)</f>
        <v>58367.67308</v>
      </c>
      <c r="X99" s="288"/>
      <c r="Y99" s="289"/>
      <c r="Z99" s="289"/>
      <c r="AA99" s="289"/>
      <c r="AB99" s="289"/>
      <c r="AC99" s="289"/>
      <c r="AD99" s="289"/>
      <c r="AE99" s="289"/>
      <c r="AF99" s="289"/>
      <c r="AG99" s="289"/>
      <c r="AH99" s="289"/>
      <c r="AI99" s="289"/>
      <c r="AJ99" s="289"/>
      <c r="AK99" s="289"/>
      <c r="AL99" s="289"/>
      <c r="AM99" s="289"/>
      <c r="AN99" s="289"/>
      <c r="AO99" s="289"/>
      <c r="AP99" s="289"/>
      <c r="AQ99" s="289"/>
      <c r="AR99" s="289"/>
      <c r="AS99" s="289"/>
      <c r="AT99" s="289"/>
      <c r="AU99" s="289"/>
      <c r="AV99" s="289"/>
      <c r="AW99" s="289"/>
      <c r="AX99" s="289"/>
      <c r="AY99" s="289"/>
      <c r="AZ99" s="289"/>
      <c r="BA99" s="289"/>
      <c r="BB99" s="289"/>
    </row>
    <row r="100">
      <c r="A100" s="290">
        <f>PRIX!A101</f>
        <v>45856</v>
      </c>
      <c r="B100" s="302">
        <f t="shared" si="1"/>
        <v>0.8867486651</v>
      </c>
      <c r="C100" s="341">
        <f>IF(A100="","",'Historique détail'!B100/$W100)</f>
        <v>0.4456204068</v>
      </c>
      <c r="D100" s="341">
        <f>IF(B100="","",'Historique détail'!C100/$W100)</f>
        <v>0.1804993813</v>
      </c>
      <c r="E100" s="341">
        <f>IF(C100="","",'Historique détail'!D100/$W100)</f>
        <v>0.01281032779</v>
      </c>
      <c r="F100" s="341">
        <f>IF(D100="","",'Historique détail'!E100/$W100)</f>
        <v>0.06894128384</v>
      </c>
      <c r="G100" s="341">
        <f>IF(E100="","",'Historique détail'!F100/$W100)</f>
        <v>0.07384556923</v>
      </c>
      <c r="H100" s="341">
        <f>IF(F100="","",'Historique détail'!G100/$W100)</f>
        <v>0</v>
      </c>
      <c r="I100" s="341">
        <f>IF(G100="","",'Historique détail'!H100/$W100)</f>
        <v>0.02953994038</v>
      </c>
      <c r="J100" s="341">
        <f>IF(H100="","",'Historique détail'!I100/$W100)</f>
        <v>0.0171649211</v>
      </c>
      <c r="K100" s="341">
        <f>IF(I100="","",'Historique détail'!J100/$W100)</f>
        <v>0.005329686593</v>
      </c>
      <c r="L100" s="341">
        <f>IF(J100="","",'Historique détail'!K100/$W100)</f>
        <v>0.005498565193</v>
      </c>
      <c r="M100" s="341">
        <f>IF(K100="","",'Historique détail'!L100/$W100)</f>
        <v>0</v>
      </c>
      <c r="N100" s="341">
        <f>IF(L100="","",'Historique détail'!M100/$W100)</f>
        <v>0.0287169964</v>
      </c>
      <c r="O100" s="341">
        <f>IF(M100="","",'Historique détail'!N100/$W100)</f>
        <v>0</v>
      </c>
      <c r="P100" s="341">
        <f>IF(N100="","",'Historique détail'!O100/$W100)</f>
        <v>0.01323751365</v>
      </c>
      <c r="Q100" s="341">
        <f>IF(O100="","",'Historique détail'!P100/$W100)</f>
        <v>0.000000001115515103</v>
      </c>
      <c r="R100" s="341">
        <f>IF(P100="","",'Historique détail'!Q100/$W100)</f>
        <v>0.005544071734</v>
      </c>
      <c r="S100" s="341">
        <f>IF(Q100="","",'Historique détail'!R100/$W100)</f>
        <v>0</v>
      </c>
      <c r="T100" s="341">
        <f>IF(R100="","",'Historique détail'!S100/$W100)</f>
        <v>0</v>
      </c>
      <c r="U100" s="340">
        <f t="shared" si="2"/>
        <v>0.1132513349</v>
      </c>
      <c r="V100" s="14">
        <f>IF(A100="","",ARBITRAGES!M101)</f>
        <v>6752.932021</v>
      </c>
      <c r="W100" s="342">
        <f>IF(V100="","",'Historique détail'!U100)</f>
        <v>59627.83598</v>
      </c>
      <c r="X100" s="288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89"/>
      <c r="AT100" s="289"/>
      <c r="AU100" s="289"/>
      <c r="AV100" s="289"/>
      <c r="AW100" s="289"/>
      <c r="AX100" s="289"/>
      <c r="AY100" s="289"/>
      <c r="AZ100" s="289"/>
      <c r="BA100" s="289"/>
      <c r="BB100" s="289"/>
    </row>
    <row r="101">
      <c r="A101" s="290">
        <f>PRIX!A102</f>
        <v>45856</v>
      </c>
      <c r="B101" s="302">
        <f t="shared" si="1"/>
        <v>0.8828812211</v>
      </c>
      <c r="C101" s="341">
        <f>IF(A101="","",'Historique détail'!B101/$W101)</f>
        <v>0.4443863843</v>
      </c>
      <c r="D101" s="341">
        <f>IF(B101="","",'Historique détail'!C101/$W101)</f>
        <v>0.1785876995</v>
      </c>
      <c r="E101" s="341">
        <f>IF(C101="","",'Historique détail'!D101/$W101)</f>
        <v>0.01277485313</v>
      </c>
      <c r="F101" s="341">
        <f>IF(D101="","",'Historique détail'!E101/$W101)</f>
        <v>0.06875037001</v>
      </c>
      <c r="G101" s="341">
        <f>IF(E101="","",'Historique détail'!F101/$W101)</f>
        <v>0.07364107433</v>
      </c>
      <c r="H101" s="341">
        <f>IF(F101="","",'Historique détail'!G101/$W101)</f>
        <v>0</v>
      </c>
      <c r="I101" s="341">
        <f>IF(G101="","",'Historique détail'!H101/$W101)</f>
        <v>0.02945813768</v>
      </c>
      <c r="J101" s="341">
        <f>IF(H101="","",'Historique détail'!I101/$W101)</f>
        <v>0.0171173876</v>
      </c>
      <c r="K101" s="341">
        <f>IF(I101="","",'Historique détail'!J101/$W101)</f>
        <v>0.005314927499</v>
      </c>
      <c r="L101" s="341">
        <f>IF(J101="","",'Historique détail'!K101/$W101)</f>
        <v>0.005483338436</v>
      </c>
      <c r="M101" s="341">
        <f>IF(K101="","",'Historique détail'!L101/$W101)</f>
        <v>0</v>
      </c>
      <c r="N101" s="341">
        <f>IF(L101="","",'Historique détail'!M101/$W101)</f>
        <v>0.02863747261</v>
      </c>
      <c r="O101" s="341">
        <f>IF(M101="","",'Historique détail'!N101/$W101)</f>
        <v>0</v>
      </c>
      <c r="P101" s="341">
        <f>IF(N101="","",'Historique détail'!O101/$W101)</f>
        <v>0.01320085601</v>
      </c>
      <c r="Q101" s="341">
        <f>IF(O101="","",'Historique détail'!P101/$W101)</f>
        <v>0.000000001112425992</v>
      </c>
      <c r="R101" s="341">
        <f>IF(P101="","",'Historique détail'!Q101/$W101)</f>
        <v>0.005528718959</v>
      </c>
      <c r="S101" s="341">
        <f>IF(Q101="","",'Historique détail'!R101/$W101)</f>
        <v>0</v>
      </c>
      <c r="T101" s="341">
        <f>IF(R101="","",'Historique détail'!S101/$W101)</f>
        <v>0</v>
      </c>
      <c r="U101" s="340">
        <f t="shared" si="2"/>
        <v>0.1171187789</v>
      </c>
      <c r="V101" s="14">
        <f>IF(A101="","",ARBITRAGES!M102)</f>
        <v>7002.932022</v>
      </c>
      <c r="W101" s="342">
        <f>IF(V101="","",'Historique détail'!U101)</f>
        <v>59793.41733</v>
      </c>
      <c r="X101" s="288"/>
      <c r="Y101" s="289"/>
      <c r="Z101" s="289"/>
      <c r="AA101" s="289"/>
      <c r="AB101" s="289"/>
      <c r="AC101" s="289"/>
      <c r="AD101" s="289"/>
      <c r="AE101" s="289"/>
      <c r="AF101" s="289"/>
      <c r="AG101" s="289"/>
      <c r="AH101" s="289"/>
      <c r="AI101" s="289"/>
      <c r="AJ101" s="289"/>
      <c r="AK101" s="289"/>
      <c r="AL101" s="289"/>
      <c r="AM101" s="289"/>
      <c r="AN101" s="289"/>
      <c r="AO101" s="289"/>
      <c r="AP101" s="289"/>
      <c r="AQ101" s="289"/>
      <c r="AR101" s="289"/>
      <c r="AS101" s="289"/>
      <c r="AT101" s="289"/>
      <c r="AU101" s="289"/>
      <c r="AV101" s="289"/>
      <c r="AW101" s="289"/>
      <c r="AX101" s="289"/>
      <c r="AY101" s="289"/>
      <c r="AZ101" s="289"/>
      <c r="BA101" s="289"/>
      <c r="BB101" s="289"/>
    </row>
    <row r="102">
      <c r="A102" s="290">
        <f>PRIX!A103</f>
        <v>45857</v>
      </c>
      <c r="B102" s="302">
        <f t="shared" si="1"/>
        <v>0.8785680764</v>
      </c>
      <c r="C102" s="341">
        <f>IF(A102="","",'Historique détail'!B102/$W102)</f>
        <v>0.4358936561</v>
      </c>
      <c r="D102" s="341">
        <f>IF(B102="","",'Historique détail'!C102/$W102)</f>
        <v>0.1761559195</v>
      </c>
      <c r="E102" s="341">
        <f>IF(C102="","",'Historique détail'!D102/$W102)</f>
        <v>0.0131505098</v>
      </c>
      <c r="F102" s="341">
        <f>IF(D102="","",'Historique détail'!E102/$W102)</f>
        <v>0.07051928257</v>
      </c>
      <c r="G102" s="341">
        <f>IF(E102="","",'Historique détail'!F102/$W102)</f>
        <v>0.07514545626</v>
      </c>
      <c r="H102" s="341">
        <f>IF(F102="","",'Historique détail'!G102/$W102)</f>
        <v>0</v>
      </c>
      <c r="I102" s="341">
        <f>IF(G102="","",'Historique détail'!H102/$W102)</f>
        <v>0.03004439852</v>
      </c>
      <c r="J102" s="341">
        <f>IF(H102="","",'Historique détail'!I102/$W102)</f>
        <v>0.01741846171</v>
      </c>
      <c r="K102" s="341">
        <f>IF(I102="","",'Historique détail'!J102/$W102)</f>
        <v>0.005300242422</v>
      </c>
      <c r="L102" s="341">
        <f>IF(J102="","",'Historique détail'!K102/$W102)</f>
        <v>0.005616549733</v>
      </c>
      <c r="M102" s="341">
        <f>IF(K102="","",'Historique détail'!L102/$W102)</f>
        <v>0</v>
      </c>
      <c r="N102" s="341">
        <f>IF(L102="","",'Historique détail'!M102/$W102)</f>
        <v>0.03034324437</v>
      </c>
      <c r="O102" s="341">
        <f>IF(M102="","",'Historique détail'!N102/$W102)</f>
        <v>0</v>
      </c>
      <c r="P102" s="341">
        <f>IF(N102="","",'Historique détail'!O102/$W102)</f>
        <v>0.01330593471</v>
      </c>
      <c r="Q102" s="341">
        <f>IF(O102="","",'Historique détail'!P102/$W102)</f>
        <v>0.000000001109352373</v>
      </c>
      <c r="R102" s="341">
        <f>IF(P102="","",'Historique détail'!Q102/$W102)</f>
        <v>0.005674419622</v>
      </c>
      <c r="S102" s="341">
        <f>IF(Q102="","",'Historique détail'!R102/$W102)</f>
        <v>0</v>
      </c>
      <c r="T102" s="341">
        <f>IF(R102="","",'Historique détail'!S102/$W102)</f>
        <v>0</v>
      </c>
      <c r="U102" s="340">
        <f t="shared" si="2"/>
        <v>0.1214319236</v>
      </c>
      <c r="V102" s="14">
        <f>IF(A102="","",ARBITRAGES!M103)</f>
        <v>7280.946847</v>
      </c>
      <c r="W102" s="342">
        <f>IF(V102="","",'Historique détail'!U102)</f>
        <v>59959.08351</v>
      </c>
      <c r="X102" s="288"/>
      <c r="Y102" s="289"/>
      <c r="Z102" s="289"/>
      <c r="AA102" s="289"/>
      <c r="AB102" s="289"/>
      <c r="AC102" s="289"/>
      <c r="AD102" s="289"/>
      <c r="AE102" s="289"/>
      <c r="AF102" s="289"/>
      <c r="AG102" s="289"/>
      <c r="AH102" s="289"/>
      <c r="AI102" s="289"/>
      <c r="AJ102" s="289"/>
      <c r="AK102" s="289"/>
      <c r="AL102" s="289"/>
      <c r="AM102" s="289"/>
      <c r="AN102" s="289"/>
      <c r="AO102" s="289"/>
      <c r="AP102" s="289"/>
      <c r="AQ102" s="289"/>
      <c r="AR102" s="289"/>
      <c r="AS102" s="289"/>
      <c r="AT102" s="289"/>
      <c r="AU102" s="289"/>
      <c r="AV102" s="289"/>
      <c r="AW102" s="289"/>
      <c r="AX102" s="289"/>
      <c r="AY102" s="289"/>
      <c r="AZ102" s="289"/>
      <c r="BA102" s="289"/>
      <c r="BB102" s="289"/>
    </row>
    <row r="103">
      <c r="A103" s="290">
        <f>PRIX!A104</f>
        <v>45858</v>
      </c>
      <c r="B103" s="302">
        <f t="shared" si="1"/>
        <v>0.8737219246</v>
      </c>
      <c r="C103" s="341">
        <f>IF(A103="","",'Historique détail'!B103/$W103)</f>
        <v>0.4355813214</v>
      </c>
      <c r="D103" s="341">
        <f>IF(B103="","",'Historique détail'!C103/$W103)</f>
        <v>0.1718130732</v>
      </c>
      <c r="E103" s="341">
        <f>IF(C103="","",'Historique détail'!D103/$W103)</f>
        <v>0.01314108695</v>
      </c>
      <c r="F103" s="341">
        <f>IF(D103="","",'Historique détail'!E103/$W103)</f>
        <v>0.07046875277</v>
      </c>
      <c r="G103" s="341">
        <f>IF(E103="","",'Historique détail'!F103/$W103)</f>
        <v>0.07509161162</v>
      </c>
      <c r="H103" s="341">
        <f>IF(F103="","",'Historique détail'!G103/$W103)</f>
        <v>0</v>
      </c>
      <c r="I103" s="341">
        <f>IF(G103="","",'Historique détail'!H103/$W103)</f>
        <v>0.03002287055</v>
      </c>
      <c r="J103" s="341">
        <f>IF(H103="","",'Historique détail'!I103/$W103)</f>
        <v>0.0174059807</v>
      </c>
      <c r="K103" s="341">
        <f>IF(I103="","",'Historique détail'!J103/$W103)</f>
        <v>0.005296444593</v>
      </c>
      <c r="L103" s="341">
        <f>IF(J103="","",'Historique détail'!K103/$W103)</f>
        <v>0.005612525257</v>
      </c>
      <c r="M103" s="341">
        <f>IF(K103="","",'Historique détail'!L103/$W103)</f>
        <v>0</v>
      </c>
      <c r="N103" s="341">
        <f>IF(L103="","",'Historique détail'!M103/$W103)</f>
        <v>0.03032150225</v>
      </c>
      <c r="O103" s="341">
        <f>IF(M103="","",'Historique détail'!N103/$W103)</f>
        <v>0</v>
      </c>
      <c r="P103" s="341">
        <f>IF(N103="","",'Historique détail'!O103/$W103)</f>
        <v>0.01329640049</v>
      </c>
      <c r="Q103" s="341">
        <f>IF(O103="","",'Historique détail'!P103/$W103)</f>
        <v>0.000000001108557479</v>
      </c>
      <c r="R103" s="341">
        <f>IF(P103="","",'Historique détail'!Q103/$W103)</f>
        <v>0.005670353681</v>
      </c>
      <c r="S103" s="341">
        <f>IF(Q103="","",'Historique détail'!R103/$W103)</f>
        <v>0</v>
      </c>
      <c r="T103" s="341">
        <f>IF(R103="","",'Historique détail'!S103/$W103)</f>
        <v>0</v>
      </c>
      <c r="U103" s="340">
        <f t="shared" si="2"/>
        <v>0.1262780754</v>
      </c>
      <c r="V103" s="14">
        <f>IF(A103="","",ARBITRAGES!M104)</f>
        <v>7576.946847</v>
      </c>
      <c r="W103" s="342">
        <f>IF(V103="","",'Historique détail'!U103)</f>
        <v>60002.07732</v>
      </c>
      <c r="X103" s="288"/>
      <c r="Y103" s="289"/>
      <c r="Z103" s="289"/>
      <c r="AA103" s="289"/>
      <c r="AB103" s="289"/>
      <c r="AC103" s="289"/>
      <c r="AD103" s="289"/>
      <c r="AE103" s="289"/>
      <c r="AF103" s="289"/>
      <c r="AG103" s="289"/>
      <c r="AH103" s="289"/>
      <c r="AI103" s="289"/>
      <c r="AJ103" s="289"/>
      <c r="AK103" s="289"/>
      <c r="AL103" s="289"/>
      <c r="AM103" s="289"/>
      <c r="AN103" s="289"/>
      <c r="AO103" s="289"/>
      <c r="AP103" s="289"/>
      <c r="AQ103" s="289"/>
      <c r="AR103" s="289"/>
      <c r="AS103" s="289"/>
      <c r="AT103" s="289"/>
      <c r="AU103" s="289"/>
      <c r="AV103" s="289"/>
      <c r="AW103" s="289"/>
      <c r="AX103" s="289"/>
      <c r="AY103" s="289"/>
      <c r="AZ103" s="289"/>
      <c r="BA103" s="289"/>
      <c r="BB103" s="289"/>
    </row>
    <row r="104">
      <c r="A104" s="290">
        <f>PRIX!A105</f>
        <v>45858</v>
      </c>
      <c r="B104" s="302">
        <f t="shared" si="1"/>
        <v>0.8695612716</v>
      </c>
      <c r="C104" s="341">
        <f>IF(A104="","",'Historique détail'!B104/$W104)</f>
        <v>0.4355667304</v>
      </c>
      <c r="D104" s="341">
        <f>IF(B104="","",'Historique détail'!C104/$W104)</f>
        <v>0.1676759326</v>
      </c>
      <c r="E104" s="341">
        <f>IF(C104="","",'Historique détail'!D104/$W104)</f>
        <v>0.01314064676</v>
      </c>
      <c r="F104" s="341">
        <f>IF(D104="","",'Historique détail'!E104/$W104)</f>
        <v>0.07046639223</v>
      </c>
      <c r="G104" s="341">
        <f>IF(E104="","",'Historique détail'!F104/$W104)</f>
        <v>0.07508909623</v>
      </c>
      <c r="H104" s="341">
        <f>IF(F104="","",'Historique détail'!G104/$W104)</f>
        <v>0</v>
      </c>
      <c r="I104" s="341">
        <f>IF(G104="","",'Historique détail'!H104/$W104)</f>
        <v>0.03002186485</v>
      </c>
      <c r="J104" s="341">
        <f>IF(H104="","",'Historique détail'!I104/$W104)</f>
        <v>0.01740539764</v>
      </c>
      <c r="K104" s="341">
        <f>IF(I104="","",'Historique détail'!J104/$W104)</f>
        <v>0.005296267174</v>
      </c>
      <c r="L104" s="341">
        <f>IF(J104="","",'Historique détail'!K104/$W104)</f>
        <v>0.00561233725</v>
      </c>
      <c r="M104" s="341">
        <f>IF(K104="","",'Historique détail'!L104/$W104)</f>
        <v>0</v>
      </c>
      <c r="N104" s="341">
        <f>IF(L104="","",'Historique détail'!M104/$W104)</f>
        <v>0.03032048655</v>
      </c>
      <c r="O104" s="341">
        <f>IF(M104="","",'Historique détail'!N104/$W104)</f>
        <v>0</v>
      </c>
      <c r="P104" s="341">
        <f>IF(N104="","",'Historique détail'!O104/$W104)</f>
        <v>0.01329595509</v>
      </c>
      <c r="Q104" s="341">
        <f>IF(O104="","",'Historique détail'!P104/$W104)</f>
        <v>0.000000001108520345</v>
      </c>
      <c r="R104" s="341">
        <f>IF(P104="","",'Historique détail'!Q104/$W104)</f>
        <v>0.005670163737</v>
      </c>
      <c r="S104" s="341">
        <f>IF(Q104="","",'Historique détail'!R104/$W104)</f>
        <v>0</v>
      </c>
      <c r="T104" s="341">
        <f>IF(R104="","",'Historique détail'!S104/$W104)</f>
        <v>0</v>
      </c>
      <c r="U104" s="340">
        <f t="shared" si="2"/>
        <v>0.1304387284</v>
      </c>
      <c r="V104" s="14">
        <f>IF(A104="","",ARBITRAGES!M105)</f>
        <v>7826.856847</v>
      </c>
      <c r="W104" s="342">
        <f>IF(V104="","",'Historique détail'!U104)</f>
        <v>60004.08732</v>
      </c>
      <c r="X104" s="288"/>
      <c r="Y104" s="289"/>
      <c r="Z104" s="289"/>
      <c r="AA104" s="289"/>
      <c r="AB104" s="289"/>
      <c r="AC104" s="289"/>
      <c r="AD104" s="289"/>
      <c r="AE104" s="289"/>
      <c r="AF104" s="289"/>
      <c r="AG104" s="289"/>
      <c r="AH104" s="289"/>
      <c r="AI104" s="289"/>
      <c r="AJ104" s="289"/>
      <c r="AK104" s="289"/>
      <c r="AL104" s="289"/>
      <c r="AM104" s="289"/>
      <c r="AN104" s="289"/>
      <c r="AO104" s="289"/>
      <c r="AP104" s="289"/>
      <c r="AQ104" s="289"/>
      <c r="AR104" s="289"/>
      <c r="AS104" s="289"/>
      <c r="AT104" s="289"/>
      <c r="AU104" s="289"/>
      <c r="AV104" s="289"/>
      <c r="AW104" s="289"/>
      <c r="AX104" s="289"/>
      <c r="AY104" s="289"/>
      <c r="AZ104" s="289"/>
      <c r="BA104" s="289"/>
      <c r="BB104" s="289"/>
    </row>
    <row r="105">
      <c r="A105" s="290">
        <f>PRIX!A106</f>
        <v>45858</v>
      </c>
      <c r="B105" s="302">
        <f t="shared" si="1"/>
        <v>0.8633230863</v>
      </c>
      <c r="C105" s="341">
        <f>IF(A105="","",'Historique détail'!B105/$W105)</f>
        <v>0.4355304387</v>
      </c>
      <c r="D105" s="341">
        <f>IF(B105="","",'Historique détail'!C105/$W105)</f>
        <v>0.1614962289</v>
      </c>
      <c r="E105" s="341">
        <f>IF(C105="","",'Historique détail'!D105/$W105)</f>
        <v>0.01313955187</v>
      </c>
      <c r="F105" s="341">
        <f>IF(D105="","",'Historique détail'!E105/$W105)</f>
        <v>0.07046052092</v>
      </c>
      <c r="G105" s="341">
        <f>IF(E105="","",'Historique détail'!F105/$W105)</f>
        <v>0.07508283975</v>
      </c>
      <c r="H105" s="341">
        <f>IF(F105="","",'Historique détail'!G105/$W105)</f>
        <v>0</v>
      </c>
      <c r="I105" s="341">
        <f>IF(G105="","",'Historique détail'!H105/$W105)</f>
        <v>0.03001936341</v>
      </c>
      <c r="J105" s="341">
        <f>IF(H105="","",'Historique détail'!I105/$W105)</f>
        <v>0.01740394741</v>
      </c>
      <c r="K105" s="341">
        <f>IF(I105="","",'Historique détail'!J105/$W105)</f>
        <v>0.005295825885</v>
      </c>
      <c r="L105" s="341">
        <f>IF(J105="","",'Historique détail'!K105/$W105)</f>
        <v>0.005611869626</v>
      </c>
      <c r="M105" s="341">
        <f>IF(K105="","",'Historique détail'!L105/$W105)</f>
        <v>0</v>
      </c>
      <c r="N105" s="341">
        <f>IF(L105="","",'Historique détail'!M105/$W105)</f>
        <v>0.03031796023</v>
      </c>
      <c r="O105" s="341">
        <f>IF(M105="","",'Historique détail'!N105/$W105)</f>
        <v>0</v>
      </c>
      <c r="P105" s="341">
        <f>IF(N105="","",'Historique détail'!O105/$W105)</f>
        <v>0.01329484726</v>
      </c>
      <c r="Q105" s="341">
        <f>IF(O105="","",'Historique détail'!P105/$W105)</f>
        <v>0.000000001108427982</v>
      </c>
      <c r="R105" s="341">
        <f>IF(P105="","",'Historique détail'!Q105/$W105)</f>
        <v>0.005669691295</v>
      </c>
      <c r="S105" s="341">
        <f>IF(Q105="","",'Historique détail'!R105/$W105)</f>
        <v>0</v>
      </c>
      <c r="T105" s="341">
        <f>IF(R105="","",'Historique détail'!S105/$W105)</f>
        <v>0</v>
      </c>
      <c r="U105" s="340">
        <f t="shared" si="2"/>
        <v>0.1366769137</v>
      </c>
      <c r="V105" s="14">
        <f>IF(A105="","",ARBITRAGES!M106)</f>
        <v>8201.856847</v>
      </c>
      <c r="W105" s="342">
        <f>IF(V105="","",'Historique détail'!U105)</f>
        <v>60009.08732</v>
      </c>
      <c r="X105" s="288"/>
      <c r="Y105" s="289"/>
      <c r="Z105" s="289"/>
      <c r="AA105" s="289"/>
      <c r="AB105" s="289"/>
      <c r="AC105" s="289"/>
      <c r="AD105" s="289"/>
      <c r="AE105" s="289"/>
      <c r="AF105" s="289"/>
      <c r="AG105" s="289"/>
      <c r="AH105" s="289"/>
      <c r="AI105" s="289"/>
      <c r="AJ105" s="289"/>
      <c r="AK105" s="289"/>
      <c r="AL105" s="289"/>
      <c r="AM105" s="289"/>
      <c r="AN105" s="289"/>
      <c r="AO105" s="289"/>
      <c r="AP105" s="289"/>
      <c r="AQ105" s="289"/>
      <c r="AR105" s="289"/>
      <c r="AS105" s="289"/>
      <c r="AT105" s="289"/>
      <c r="AU105" s="289"/>
      <c r="AV105" s="289"/>
      <c r="AW105" s="289"/>
      <c r="AX105" s="289"/>
      <c r="AY105" s="289"/>
      <c r="AZ105" s="289"/>
      <c r="BA105" s="289"/>
      <c r="BB105" s="289"/>
    </row>
    <row r="106">
      <c r="A106" s="290">
        <f>PRIX!A107</f>
        <v>45858</v>
      </c>
      <c r="B106" s="302">
        <f t="shared" si="1"/>
        <v>0.8605471634</v>
      </c>
      <c r="C106" s="341">
        <f>IF(A106="","",'Historique détail'!B106/$W106)</f>
        <v>0.4355047772</v>
      </c>
      <c r="D106" s="341">
        <f>IF(B106="","",'Historique détail'!C106/$W106)</f>
        <v>0.1587616577</v>
      </c>
      <c r="E106" s="341">
        <f>IF(C106="","",'Historique détail'!D106/$W106)</f>
        <v>0.01313877768</v>
      </c>
      <c r="F106" s="341">
        <f>IF(D106="","",'Historique détail'!E106/$W106)</f>
        <v>0.07045636938</v>
      </c>
      <c r="G106" s="341">
        <f>IF(E106="","",'Historique détail'!F106/$W106)</f>
        <v>0.07507841586</v>
      </c>
      <c r="H106" s="341">
        <f>IF(F106="","",'Historique détail'!G106/$W106)</f>
        <v>0</v>
      </c>
      <c r="I106" s="341">
        <f>IF(G106="","",'Historique détail'!H106/$W106)</f>
        <v>0.03001759466</v>
      </c>
      <c r="J106" s="341">
        <f>IF(H106="","",'Historique détail'!I106/$W106)</f>
        <v>0.01740292197</v>
      </c>
      <c r="K106" s="341">
        <f>IF(I106="","",'Historique détail'!J106/$W106)</f>
        <v>0.005295513855</v>
      </c>
      <c r="L106" s="341">
        <f>IF(J106="","",'Historique détail'!K106/$W106)</f>
        <v>0.005611538974</v>
      </c>
      <c r="M106" s="341">
        <f>IF(K106="","",'Historique détail'!L106/$W106)</f>
        <v>0</v>
      </c>
      <c r="N106" s="341">
        <f>IF(L106="","",'Historique détail'!M106/$W106)</f>
        <v>0.03031617389</v>
      </c>
      <c r="O106" s="341">
        <f>IF(M106="","",'Historique détail'!N106/$W106)</f>
        <v>0</v>
      </c>
      <c r="P106" s="341">
        <f>IF(N106="","",'Historique détail'!O106/$W106)</f>
        <v>0.01329406393</v>
      </c>
      <c r="Q106" s="341">
        <f>IF(O106="","",'Historique détail'!P106/$W106)</f>
        <v>0.000000001108362673</v>
      </c>
      <c r="R106" s="341">
        <f>IF(P106="","",'Historique détail'!Q106/$W106)</f>
        <v>0.005669357236</v>
      </c>
      <c r="S106" s="341">
        <f>IF(Q106="","",'Historique détail'!R106/$W106)</f>
        <v>0</v>
      </c>
      <c r="T106" s="341">
        <f>IF(R106="","",'Historique détail'!S106/$W106)</f>
        <v>0</v>
      </c>
      <c r="U106" s="340">
        <f t="shared" si="2"/>
        <v>0.1394528366</v>
      </c>
      <c r="V106" s="14">
        <f>IF(A106="","",ARBITRAGES!M107)</f>
        <v>8368.930547</v>
      </c>
      <c r="W106" s="342">
        <f>IF(V106="","",'Historique détail'!U106)</f>
        <v>60012.62328</v>
      </c>
      <c r="X106" s="288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  <c r="AI106" s="289"/>
      <c r="AJ106" s="289"/>
      <c r="AK106" s="289"/>
      <c r="AL106" s="289"/>
      <c r="AM106" s="289"/>
      <c r="AN106" s="289"/>
      <c r="AO106" s="289"/>
      <c r="AP106" s="289"/>
      <c r="AQ106" s="289"/>
      <c r="AR106" s="289"/>
      <c r="AS106" s="289"/>
      <c r="AT106" s="289"/>
      <c r="AU106" s="289"/>
      <c r="AV106" s="289"/>
      <c r="AW106" s="289"/>
      <c r="AX106" s="289"/>
      <c r="AY106" s="289"/>
      <c r="AZ106" s="289"/>
      <c r="BA106" s="289"/>
      <c r="BB106" s="289"/>
    </row>
    <row r="107">
      <c r="A107" s="290">
        <f>PRIX!A108</f>
        <v>45859</v>
      </c>
      <c r="B107" s="302">
        <f t="shared" si="1"/>
        <v>0.8549427275</v>
      </c>
      <c r="C107" s="341">
        <f>IF(A107="","",'Historique détail'!B107/$W107)</f>
        <v>0.4279146714</v>
      </c>
      <c r="D107" s="341">
        <f>IF(B107="","",'Historique détail'!C107/$W107)</f>
        <v>0.1561998371</v>
      </c>
      <c r="E107" s="341">
        <f>IF(C107="","",'Historique détail'!D107/$W107)</f>
        <v>0.01348174396</v>
      </c>
      <c r="F107" s="341">
        <f>IF(D107="","",'Historique détail'!E107/$W107)</f>
        <v>0.0720520983</v>
      </c>
      <c r="G107" s="341">
        <f>IF(E107="","",'Historique détail'!F107/$W107)</f>
        <v>0.07385481768</v>
      </c>
      <c r="H107" s="341">
        <f>IF(F107="","",'Historique détail'!G107/$W107)</f>
        <v>0</v>
      </c>
      <c r="I107" s="341">
        <f>IF(G107="","",'Historique détail'!H107/$W107)</f>
        <v>0.03318642944</v>
      </c>
      <c r="J107" s="341">
        <f>IF(H107="","",'Historique détail'!I107/$W107)</f>
        <v>0.01835503376</v>
      </c>
      <c r="K107" s="341">
        <f>IF(I107="","",'Historique détail'!J107/$W107)</f>
        <v>0.005269085648</v>
      </c>
      <c r="L107" s="341">
        <f>IF(J107="","",'Historique détail'!K107/$W107)</f>
        <v>0.005794232968</v>
      </c>
      <c r="M107" s="341">
        <f>IF(K107="","",'Historique détail'!L107/$W107)</f>
        <v>0</v>
      </c>
      <c r="N107" s="341">
        <f>IF(L107="","",'Historique détail'!M107/$W107)</f>
        <v>0.02954383406</v>
      </c>
      <c r="O107" s="341">
        <f>IF(M107="","",'Historique détail'!N107/$W107)</f>
        <v>0</v>
      </c>
      <c r="P107" s="341">
        <f>IF(N107="","",'Historique détail'!O107/$W107)</f>
        <v>0.01364987873</v>
      </c>
      <c r="Q107" s="341">
        <f>IF(O107="","",'Historique détail'!P107/$W107)</f>
        <v>0.000000001102831192</v>
      </c>
      <c r="R107" s="341">
        <f>IF(P107="","",'Historique détail'!Q107/$W107)</f>
        <v>0.005641063297</v>
      </c>
      <c r="S107" s="341">
        <f>IF(Q107="","",'Historique détail'!R107/$W107)</f>
        <v>0</v>
      </c>
      <c r="T107" s="341">
        <f>IF(R107="","",'Historique détail'!S107/$W107)</f>
        <v>0</v>
      </c>
      <c r="U107" s="340">
        <f t="shared" si="2"/>
        <v>0.1450572725</v>
      </c>
      <c r="V107" s="14">
        <f>IF(A107="","",ARBITRAGES!M108)</f>
        <v>8748.930547</v>
      </c>
      <c r="W107" s="342">
        <f>IF(V107="","",'Historique détail'!U107)</f>
        <v>60313.6292</v>
      </c>
      <c r="X107" s="288"/>
      <c r="Y107" s="289"/>
      <c r="Z107" s="289"/>
      <c r="AA107" s="289"/>
      <c r="AB107" s="289"/>
      <c r="AC107" s="289"/>
      <c r="AD107" s="289"/>
      <c r="AE107" s="289"/>
      <c r="AF107" s="289"/>
      <c r="AG107" s="289"/>
      <c r="AH107" s="289"/>
      <c r="AI107" s="289"/>
      <c r="AJ107" s="289"/>
      <c r="AK107" s="289"/>
      <c r="AL107" s="289"/>
      <c r="AM107" s="289"/>
      <c r="AN107" s="289"/>
      <c r="AO107" s="289"/>
      <c r="AP107" s="289"/>
      <c r="AQ107" s="289"/>
      <c r="AR107" s="289"/>
      <c r="AS107" s="289"/>
      <c r="AT107" s="289"/>
      <c r="AU107" s="289"/>
      <c r="AV107" s="289"/>
      <c r="AW107" s="289"/>
      <c r="AX107" s="289"/>
      <c r="AY107" s="289"/>
      <c r="AZ107" s="289"/>
      <c r="BA107" s="289"/>
      <c r="BB107" s="289"/>
    </row>
    <row r="108">
      <c r="A108" s="290">
        <f>PRIX!A109</f>
        <v>45860</v>
      </c>
      <c r="B108" s="302">
        <f t="shared" si="1"/>
        <v>0.839585885</v>
      </c>
      <c r="C108" s="341">
        <f>IF(A108="","",'Historique détail'!B108/$W108)</f>
        <v>0.4375985967</v>
      </c>
      <c r="D108" s="341">
        <f>IF(B108="","",'Historique détail'!C108/$W108)</f>
        <v>0.1567360686</v>
      </c>
      <c r="E108" s="341">
        <f>IF(C108="","",'Historique détail'!D108/$W108)</f>
        <v>0.01323039876</v>
      </c>
      <c r="F108" s="341">
        <f>IF(D108="","",'Historique détail'!E108/$W108)</f>
        <v>0.05827436887</v>
      </c>
      <c r="G108" s="341">
        <f>IF(E108="","",'Historique détail'!F108/$W108)</f>
        <v>0.07271977642</v>
      </c>
      <c r="H108" s="341">
        <f>IF(F108="","",'Historique détail'!G108/$W108)</f>
        <v>0</v>
      </c>
      <c r="I108" s="341">
        <f>IF(G108="","",'Historique détail'!H108/$W108)</f>
        <v>0.03085529055</v>
      </c>
      <c r="J108" s="341">
        <f>IF(H108="","",'Historique détail'!I108/$W108)</f>
        <v>0.01664241144</v>
      </c>
      <c r="K108" s="341">
        <f>IF(I108="","",'Historique détail'!J108/$W108)</f>
        <v>0.0004971766232</v>
      </c>
      <c r="L108" s="341">
        <f>IF(J108="","",'Historique détail'!K108/$W108)</f>
        <v>0.005920994312</v>
      </c>
      <c r="M108" s="341">
        <f>IF(K108="","",'Historique détail'!L108/$W108)</f>
        <v>0</v>
      </c>
      <c r="N108" s="341">
        <f>IF(L108="","",'Historique détail'!M108/$W108)</f>
        <v>0.02882452211</v>
      </c>
      <c r="O108" s="341">
        <f>IF(M108="","",'Historique détail'!N108/$W108)</f>
        <v>0</v>
      </c>
      <c r="P108" s="341">
        <f>IF(N108="","",'Historique détail'!O108/$W108)</f>
        <v>0.01293656085</v>
      </c>
      <c r="Q108" s="341">
        <f>IF(O108="","",'Historique détail'!P108/$W108)</f>
        <v>0.000000001152094613</v>
      </c>
      <c r="R108" s="341">
        <f>IF(P108="","",'Historique détail'!Q108/$W108)</f>
        <v>0.005349718555</v>
      </c>
      <c r="S108" s="341">
        <f>IF(Q108="","",'Historique détail'!R108/$W108)</f>
        <v>0</v>
      </c>
      <c r="T108" s="341">
        <f>IF(R108="","",'Historique détail'!S108/$W108)</f>
        <v>0</v>
      </c>
      <c r="U108" s="340">
        <f t="shared" si="2"/>
        <v>0.160414115</v>
      </c>
      <c r="V108" s="14">
        <f>IF(A108="","",ARBITRAGES!M109)</f>
        <v>9261.448935</v>
      </c>
      <c r="W108" s="342">
        <f>IF(V108="","",'Historique détail'!U108)</f>
        <v>57734.626</v>
      </c>
      <c r="X108" s="288"/>
      <c r="Y108" s="289"/>
      <c r="Z108" s="289"/>
      <c r="AA108" s="289"/>
      <c r="AB108" s="289"/>
      <c r="AC108" s="289"/>
      <c r="AD108" s="289"/>
      <c r="AE108" s="289"/>
      <c r="AF108" s="289"/>
      <c r="AG108" s="289"/>
      <c r="AH108" s="289"/>
      <c r="AI108" s="289"/>
      <c r="AJ108" s="289"/>
      <c r="AK108" s="289"/>
      <c r="AL108" s="289"/>
      <c r="AM108" s="289"/>
      <c r="AN108" s="289"/>
      <c r="AO108" s="289"/>
      <c r="AP108" s="289"/>
      <c r="AQ108" s="289"/>
      <c r="AR108" s="289"/>
      <c r="AS108" s="289"/>
      <c r="AT108" s="289"/>
      <c r="AU108" s="289"/>
      <c r="AV108" s="289"/>
      <c r="AW108" s="289"/>
      <c r="AX108" s="289"/>
      <c r="AY108" s="289"/>
      <c r="AZ108" s="289"/>
      <c r="BA108" s="289"/>
      <c r="BB108" s="289"/>
    </row>
    <row r="109">
      <c r="A109" s="290">
        <f>PRIX!A110</f>
        <v>45861</v>
      </c>
      <c r="B109" s="302">
        <f t="shared" si="1"/>
        <v>0.8474237726</v>
      </c>
      <c r="C109" s="341">
        <f>IF(A109="","",'Historique détail'!B109/$W109)</f>
        <v>0.437473571</v>
      </c>
      <c r="D109" s="341">
        <f>IF(B109="","",'Historique détail'!C109/$W109)</f>
        <v>0.1566912878</v>
      </c>
      <c r="E109" s="341">
        <f>IF(C109="","",'Historique détail'!D109/$W109)</f>
        <v>0.01322661872</v>
      </c>
      <c r="F109" s="341">
        <f>IF(D109="","",'Historique détail'!E109/$W109)</f>
        <v>0.05825771937</v>
      </c>
      <c r="G109" s="341">
        <f>IF(E109="","",'Historique détail'!F109/$W109)</f>
        <v>0.07269899975</v>
      </c>
      <c r="H109" s="341">
        <f>IF(F109="","",'Historique détail'!G109/$W109)</f>
        <v>0</v>
      </c>
      <c r="I109" s="341">
        <f>IF(G109="","",'Historique détail'!H109/$W109)</f>
        <v>0.03084647492</v>
      </c>
      <c r="J109" s="341">
        <f>IF(H109="","",'Historique détail'!I109/$W109)</f>
        <v>0.01663765655</v>
      </c>
      <c r="K109" s="341">
        <f>IF(I109="","",'Historique détail'!J109/$W109)</f>
        <v>0.0004970345755</v>
      </c>
      <c r="L109" s="341">
        <f>IF(J109="","",'Historique détail'!K109/$W109)</f>
        <v>0.005919302632</v>
      </c>
      <c r="M109" s="341">
        <f>IF(K109="","",'Historique détail'!L109/$W109)</f>
        <v>0</v>
      </c>
      <c r="N109" s="341">
        <f>IF(L109="","",'Historique détail'!M109/$W109)</f>
        <v>0.03689405127</v>
      </c>
      <c r="O109" s="341">
        <f>IF(M109="","",'Historique détail'!N109/$W109)</f>
        <v>0</v>
      </c>
      <c r="P109" s="341">
        <f>IF(N109="","",'Historique détail'!O109/$W109)</f>
        <v>0.01293286476</v>
      </c>
      <c r="Q109" s="341">
        <f>IF(O109="","",'Historique détail'!P109/$W109)</f>
        <v>0.000000001151765449</v>
      </c>
      <c r="R109" s="341">
        <f>IF(P109="","",'Historique détail'!Q109/$W109)</f>
        <v>0.005348190094</v>
      </c>
      <c r="S109" s="341">
        <f>IF(Q109="","",'Historique détail'!R109/$W109)</f>
        <v>0</v>
      </c>
      <c r="T109" s="341">
        <f>IF(R109="","",'Historique détail'!S109/$W109)</f>
        <v>0</v>
      </c>
      <c r="U109" s="340">
        <f t="shared" si="2"/>
        <v>0.1525762274</v>
      </c>
      <c r="V109" s="14">
        <f>IF(A109="","",ARBITRAGES!M110)</f>
        <v>8811.448935</v>
      </c>
      <c r="W109" s="342">
        <f>IF(V109="","",'Historique détail'!U109)</f>
        <v>57751.126</v>
      </c>
      <c r="X109" s="288"/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89"/>
      <c r="AM109" s="289"/>
      <c r="AN109" s="289"/>
      <c r="AO109" s="289"/>
      <c r="AP109" s="289"/>
      <c r="AQ109" s="289"/>
      <c r="AR109" s="289"/>
      <c r="AS109" s="289"/>
      <c r="AT109" s="289"/>
      <c r="AU109" s="289"/>
      <c r="AV109" s="289"/>
      <c r="AW109" s="289"/>
      <c r="AX109" s="289"/>
      <c r="AY109" s="289"/>
      <c r="AZ109" s="289"/>
      <c r="BA109" s="289"/>
      <c r="BB109" s="289"/>
    </row>
    <row r="110">
      <c r="A110" s="290">
        <f>PRIX!A111</f>
        <v>45863</v>
      </c>
      <c r="B110" s="302">
        <f t="shared" si="1"/>
        <v>0.8545478131</v>
      </c>
      <c r="C110" s="341">
        <f>IF(A110="","",'Historique détail'!B110/$W110)</f>
        <v>0.4357027211</v>
      </c>
      <c r="D110" s="341">
        <f>IF(B110="","",'Historique détail'!C110/$W110)</f>
        <v>0.1570318453</v>
      </c>
      <c r="E110" s="341">
        <f>IF(C110="","",'Historique détail'!D110/$W110)</f>
        <v>0.01385912638</v>
      </c>
      <c r="F110" s="341">
        <f>IF(D110="","",'Historique détail'!E110/$W110)</f>
        <v>0.06641705032</v>
      </c>
      <c r="G110" s="341">
        <f>IF(E110="","",'Historique détail'!F110/$W110)</f>
        <v>0.07444600877</v>
      </c>
      <c r="H110" s="341">
        <f>IF(F110="","",'Historique détail'!G110/$W110)</f>
        <v>0</v>
      </c>
      <c r="I110" s="341">
        <f>IF(G110="","",'Historique détail'!H110/$W110)</f>
        <v>0.03093435814</v>
      </c>
      <c r="J110" s="341">
        <f>IF(H110="","",'Historique détail'!I110/$W110)</f>
        <v>0.01693479882</v>
      </c>
      <c r="K110" s="341">
        <f>IF(I110="","",'Historique détail'!J110/$W110)</f>
        <v>0.0004848317827</v>
      </c>
      <c r="L110" s="341">
        <f>IF(J110="","",'Historique détail'!K110/$W110)</f>
        <v>0.005902764262</v>
      </c>
      <c r="M110" s="341">
        <f>IF(K110="","",'Historique détail'!L110/$W110)</f>
        <v>0</v>
      </c>
      <c r="N110" s="341">
        <f>IF(L110="","",'Historique détail'!M110/$W110)</f>
        <v>0.03471536162</v>
      </c>
      <c r="O110" s="341">
        <f>IF(M110="","",'Historique détail'!N110/$W110)</f>
        <v>0</v>
      </c>
      <c r="P110" s="341">
        <f>IF(N110="","",'Historique détail'!O110/$W110)</f>
        <v>0.01290205992</v>
      </c>
      <c r="Q110" s="341">
        <f>IF(O110="","",'Historique détail'!P110/$W110)</f>
        <v>0.000000001123488231</v>
      </c>
      <c r="R110" s="341">
        <f>IF(P110="","",'Historique détail'!Q110/$W110)</f>
        <v>0.005216885635</v>
      </c>
      <c r="S110" s="341">
        <f>IF(Q110="","",'Historique détail'!R110/$W110)</f>
        <v>0</v>
      </c>
      <c r="T110" s="341">
        <f>IF(R110="","",'Historique détail'!S110/$W110)</f>
        <v>0</v>
      </c>
      <c r="U110" s="340">
        <f t="shared" si="2"/>
        <v>0.1454521869</v>
      </c>
      <c r="V110" s="14">
        <f>IF(A110="","",ARBITRAGES!M111)</f>
        <v>8611.448935</v>
      </c>
      <c r="W110" s="342">
        <f>IF(V110="","",'Historique détail'!U110)</f>
        <v>59204.67145</v>
      </c>
      <c r="X110" s="288"/>
      <c r="Y110" s="289"/>
      <c r="Z110" s="289"/>
      <c r="AA110" s="289"/>
      <c r="AB110" s="289"/>
      <c r="AC110" s="289"/>
      <c r="AD110" s="289"/>
      <c r="AE110" s="289"/>
      <c r="AF110" s="289"/>
      <c r="AG110" s="289"/>
      <c r="AH110" s="289"/>
      <c r="AI110" s="289"/>
      <c r="AJ110" s="289"/>
      <c r="AK110" s="289"/>
      <c r="AL110" s="289"/>
      <c r="AM110" s="289"/>
      <c r="AN110" s="289"/>
      <c r="AO110" s="289"/>
      <c r="AP110" s="289"/>
      <c r="AQ110" s="289"/>
      <c r="AR110" s="289"/>
      <c r="AS110" s="289"/>
      <c r="AT110" s="289"/>
      <c r="AU110" s="289"/>
      <c r="AV110" s="289"/>
      <c r="AW110" s="289"/>
      <c r="AX110" s="289"/>
      <c r="AY110" s="289"/>
      <c r="AZ110" s="289"/>
      <c r="BA110" s="289"/>
      <c r="BB110" s="289"/>
    </row>
    <row r="111">
      <c r="A111" s="290">
        <f>PRIX!A112</f>
        <v>45867</v>
      </c>
      <c r="B111" s="302">
        <f t="shared" si="1"/>
        <v>0.8601190663</v>
      </c>
      <c r="C111" s="341">
        <f>IF(A111="","",'Historique détail'!B111/$W111)</f>
        <v>0.4381041196</v>
      </c>
      <c r="D111" s="341">
        <f>IF(B111="","",'Historique détail'!C111/$W111)</f>
        <v>0.160792119</v>
      </c>
      <c r="E111" s="341">
        <f>IF(C111="","",'Historique détail'!D111/$W111)</f>
        <v>0.01475155516</v>
      </c>
      <c r="F111" s="341">
        <f>IF(D111="","",'Historique détail'!E111/$W111)</f>
        <v>0.06644086282</v>
      </c>
      <c r="G111" s="341">
        <f>IF(E111="","",'Historique détail'!F111/$W111)</f>
        <v>0.0715090491</v>
      </c>
      <c r="H111" s="341">
        <f>IF(F111="","",'Historique détail'!G111/$W111)</f>
        <v>0</v>
      </c>
      <c r="I111" s="341">
        <f>IF(G111="","",'Historique détail'!H111/$W111)</f>
        <v>0.03162185229</v>
      </c>
      <c r="J111" s="341">
        <f>IF(H111="","",'Historique détail'!I111/$W111)</f>
        <v>0.01736810731</v>
      </c>
      <c r="K111" s="341">
        <f>IF(I111="","",'Historique détail'!J111/$W111)</f>
        <v>0.00446660993</v>
      </c>
      <c r="L111" s="341">
        <f>IF(J111="","",'Historique détail'!K111/$W111)</f>
        <v>0.006128644476</v>
      </c>
      <c r="M111" s="341">
        <f>IF(K111="","",'Historique détail'!L111/$W111)</f>
        <v>0</v>
      </c>
      <c r="N111" s="341">
        <f>IF(L111="","",'Historique détail'!M111/$W111)</f>
        <v>0.03190084269</v>
      </c>
      <c r="O111" s="341">
        <f>IF(M111="","",'Historique détail'!N111/$W111)</f>
        <v>0</v>
      </c>
      <c r="P111" s="341">
        <f>IF(N111="","",'Historique détail'!O111/$W111)</f>
        <v>0.01242060934</v>
      </c>
      <c r="Q111" s="341">
        <f>IF(O111="","",'Historique détail'!P111/$W111)</f>
        <v>0.0000000009618655539</v>
      </c>
      <c r="R111" s="341">
        <f>IF(P111="","",'Historique détail'!Q111/$W111)</f>
        <v>0.004614693616</v>
      </c>
      <c r="S111" s="341">
        <f>IF(Q111="","",'Historique détail'!R111/$W111)</f>
        <v>0</v>
      </c>
      <c r="T111" s="341">
        <f>IF(R111="","",'Historique détail'!S111/$W111)</f>
        <v>0</v>
      </c>
      <c r="U111" s="340">
        <f t="shared" si="2"/>
        <v>0.1398809337</v>
      </c>
      <c r="V111" s="14">
        <f>IF(A111="","",ARBITRAGES!M112)</f>
        <v>8411.448935</v>
      </c>
      <c r="W111" s="342">
        <f>IF(V111="","",'Historique détail'!U111)</f>
        <v>60132.91956</v>
      </c>
      <c r="X111" s="288"/>
      <c r="Y111" s="289"/>
      <c r="Z111" s="289"/>
      <c r="AA111" s="289"/>
      <c r="AB111" s="289"/>
      <c r="AC111" s="289"/>
      <c r="AD111" s="289"/>
      <c r="AE111" s="289"/>
      <c r="AF111" s="289"/>
      <c r="AG111" s="289"/>
      <c r="AH111" s="289"/>
      <c r="AI111" s="289"/>
      <c r="AJ111" s="289"/>
      <c r="AK111" s="289"/>
      <c r="AL111" s="289"/>
      <c r="AM111" s="289"/>
      <c r="AN111" s="289"/>
      <c r="AO111" s="289"/>
      <c r="AP111" s="289"/>
      <c r="AQ111" s="289"/>
      <c r="AR111" s="289"/>
      <c r="AS111" s="289"/>
      <c r="AT111" s="289"/>
      <c r="AU111" s="289"/>
      <c r="AV111" s="289"/>
      <c r="AW111" s="289"/>
      <c r="AX111" s="289"/>
      <c r="AY111" s="289"/>
      <c r="AZ111" s="289"/>
      <c r="BA111" s="289"/>
      <c r="BB111" s="289"/>
    </row>
    <row r="112">
      <c r="A112" s="290">
        <f>PRIX!A113</f>
        <v>45868</v>
      </c>
      <c r="B112" s="302">
        <f t="shared" si="1"/>
        <v>0.8625195017</v>
      </c>
      <c r="C112" s="341">
        <f>IF(A112="","",'Historique détail'!B112/$W112)</f>
        <v>0.4413704856</v>
      </c>
      <c r="D112" s="341">
        <f>IF(B112="","",'Historique détail'!C112/$W112)</f>
        <v>0.1598352614</v>
      </c>
      <c r="E112" s="341">
        <f>IF(C112="","",'Historique détail'!D112/$W112)</f>
        <v>0.01442258972</v>
      </c>
      <c r="F112" s="341">
        <f>IF(D112="","",'Historique détail'!E112/$W112)</f>
        <v>0.06421596529</v>
      </c>
      <c r="G112" s="341">
        <f>IF(E112="","",'Historique détail'!F112/$W112)</f>
        <v>0.0743351071</v>
      </c>
      <c r="H112" s="341">
        <f>IF(F112="","",'Historique détail'!G112/$W112)</f>
        <v>0</v>
      </c>
      <c r="I112" s="341">
        <f>IF(G112="","",'Historique détail'!H112/$W112)</f>
        <v>0.03141190538</v>
      </c>
      <c r="J112" s="341">
        <f>IF(H112="","",'Historique détail'!I112/$W112)</f>
        <v>0.01630156007</v>
      </c>
      <c r="K112" s="341">
        <f>IF(I112="","",'Historique détail'!J112/$W112)</f>
        <v>0.00455687247</v>
      </c>
      <c r="L112" s="341">
        <f>IF(J112="","",'Historique détail'!K112/$W112)</f>
        <v>0.00614469227</v>
      </c>
      <c r="M112" s="341">
        <f>IF(K112="","",'Historique détail'!L112/$W112)</f>
        <v>0</v>
      </c>
      <c r="N112" s="341">
        <f>IF(L112="","",'Historique détail'!M112/$W112)</f>
        <v>0.03254550411</v>
      </c>
      <c r="O112" s="341">
        <f>IF(M112="","",'Historique détail'!N112/$W112)</f>
        <v>0</v>
      </c>
      <c r="P112" s="341">
        <f>IF(N112="","",'Historique détail'!O112/$W112)</f>
        <v>0.0126716086</v>
      </c>
      <c r="Q112" s="341">
        <f>IF(O112="","",'Historique détail'!P112/$W112)</f>
        <v>0.0000000009813032101</v>
      </c>
      <c r="R112" s="341">
        <f>IF(P112="","",'Historique détail'!Q112/$W112)</f>
        <v>0.004707948674</v>
      </c>
      <c r="S112" s="341">
        <f>IF(Q112="","",'Historique détail'!R112/$W112)</f>
        <v>0</v>
      </c>
      <c r="T112" s="341">
        <f>IF(R112="","",'Historique détail'!S112/$W112)</f>
        <v>0</v>
      </c>
      <c r="U112" s="340">
        <f t="shared" si="2"/>
        <v>0.1374804983</v>
      </c>
      <c r="V112" s="14">
        <f>IF(A112="","",ARBITRAGES!M113)</f>
        <v>8103.348935</v>
      </c>
      <c r="W112" s="342">
        <f>IF(V112="","",'Historique détail'!U112)</f>
        <v>58941.80655</v>
      </c>
      <c r="X112" s="288"/>
      <c r="Y112" s="289"/>
      <c r="Z112" s="289"/>
      <c r="AA112" s="289"/>
      <c r="AB112" s="289"/>
      <c r="AC112" s="289"/>
      <c r="AD112" s="289"/>
      <c r="AE112" s="289"/>
      <c r="AF112" s="289"/>
      <c r="AG112" s="289"/>
      <c r="AH112" s="289"/>
      <c r="AI112" s="289"/>
      <c r="AJ112" s="289"/>
      <c r="AK112" s="289"/>
      <c r="AL112" s="289"/>
      <c r="AM112" s="289"/>
      <c r="AN112" s="289"/>
      <c r="AO112" s="289"/>
      <c r="AP112" s="289"/>
      <c r="AQ112" s="289"/>
      <c r="AR112" s="289"/>
      <c r="AS112" s="289"/>
      <c r="AT112" s="289"/>
      <c r="AU112" s="289"/>
      <c r="AV112" s="289"/>
      <c r="AW112" s="289"/>
      <c r="AX112" s="289"/>
      <c r="AY112" s="289"/>
      <c r="AZ112" s="289"/>
      <c r="BA112" s="289"/>
      <c r="BB112" s="289"/>
    </row>
    <row r="113">
      <c r="A113" s="290">
        <f>PRIX!A114</f>
        <v>45869</v>
      </c>
      <c r="B113" s="302">
        <f t="shared" si="1"/>
        <v>0.858372385</v>
      </c>
      <c r="C113" s="341">
        <f>IF(A113="","",'Historique détail'!B113/$W113)</f>
        <v>0.4458474622</v>
      </c>
      <c r="D113" s="341">
        <f>IF(B113="","",'Historique détail'!C113/$W113)</f>
        <v>0.160201183</v>
      </c>
      <c r="E113" s="341">
        <f>IF(C113="","",'Historique détail'!D113/$W113)</f>
        <v>0.01494729568</v>
      </c>
      <c r="F113" s="341">
        <f>IF(D113="","",'Historique détail'!E113/$W113)</f>
        <v>0.06285485198</v>
      </c>
      <c r="G113" s="341">
        <f>IF(E113="","",'Historique détail'!F113/$W113)</f>
        <v>0.07095741664</v>
      </c>
      <c r="H113" s="341">
        <f>IF(F113="","",'Historique détail'!G113/$W113)</f>
        <v>0</v>
      </c>
      <c r="I113" s="341">
        <f>IF(G113="","",'Historique détail'!H113/$W113)</f>
        <v>0.02938721293</v>
      </c>
      <c r="J113" s="341">
        <f>IF(H113="","",'Historique détail'!I113/$W113)</f>
        <v>0.01505825232</v>
      </c>
      <c r="K113" s="341">
        <f>IF(I113="","",'Historique détail'!J113/$W113)</f>
        <v>0.004506350505</v>
      </c>
      <c r="L113" s="341">
        <f>IF(J113="","",'Historique détail'!K113/$W113)</f>
        <v>0.006033070754</v>
      </c>
      <c r="M113" s="341">
        <f>IF(K113="","",'Historique détail'!L113/$W113)</f>
        <v>0</v>
      </c>
      <c r="N113" s="341">
        <f>IF(L113="","",'Historique détail'!M113/$W113)</f>
        <v>0.03214317433</v>
      </c>
      <c r="O113" s="341">
        <f>IF(M113="","",'Historique détail'!N113/$W113)</f>
        <v>0</v>
      </c>
      <c r="P113" s="341">
        <f>IF(N113="","",'Historique détail'!O113/$W113)</f>
        <v>0.01193873854</v>
      </c>
      <c r="Q113" s="341">
        <f>IF(O113="","",'Historique détail'!P113/$W113)</f>
        <v>0.0000000008644532705</v>
      </c>
      <c r="R113" s="341">
        <f>IF(P113="","",'Historique détail'!Q113/$W113)</f>
        <v>0.004497375202</v>
      </c>
      <c r="S113" s="341">
        <f>IF(Q113="","",'Historique détail'!R113/$W113)</f>
        <v>0</v>
      </c>
      <c r="T113" s="341">
        <f>IF(R113="","",'Historique détail'!S113/$W113)</f>
        <v>0</v>
      </c>
      <c r="U113" s="340">
        <f t="shared" si="2"/>
        <v>0.141627615</v>
      </c>
      <c r="V113" s="14">
        <f>IF(A113="","",ARBITRAGES!M114)</f>
        <v>8054.748935</v>
      </c>
      <c r="W113" s="342">
        <f>IF(V113="","",'Historique détail'!U113)</f>
        <v>56872.72876</v>
      </c>
      <c r="X113" s="288"/>
      <c r="Y113" s="289"/>
      <c r="Z113" s="289"/>
      <c r="AA113" s="289"/>
      <c r="AB113" s="289"/>
      <c r="AC113" s="289"/>
      <c r="AD113" s="289"/>
      <c r="AE113" s="289"/>
      <c r="AF113" s="289"/>
      <c r="AG113" s="289"/>
      <c r="AH113" s="289"/>
      <c r="AI113" s="289"/>
      <c r="AJ113" s="289"/>
      <c r="AK113" s="289"/>
      <c r="AL113" s="289"/>
      <c r="AM113" s="289"/>
      <c r="AN113" s="289"/>
      <c r="AO113" s="289"/>
      <c r="AP113" s="289"/>
      <c r="AQ113" s="289"/>
      <c r="AR113" s="289"/>
      <c r="AS113" s="289"/>
      <c r="AT113" s="289"/>
      <c r="AU113" s="289"/>
      <c r="AV113" s="289"/>
      <c r="AW113" s="289"/>
      <c r="AX113" s="289"/>
      <c r="AY113" s="289"/>
      <c r="AZ113" s="289"/>
      <c r="BA113" s="289"/>
      <c r="BB113" s="289"/>
    </row>
    <row r="114">
      <c r="A114" s="290">
        <f>PRIX!A115</f>
        <v>45869</v>
      </c>
      <c r="B114" s="302">
        <f t="shared" si="1"/>
        <v>0.8601203918</v>
      </c>
      <c r="C114" s="341">
        <f>IF(A114="","",'Historique détail'!B114/$W114)</f>
        <v>0.4458747057</v>
      </c>
      <c r="D114" s="341">
        <f>IF(B114="","",'Historique détail'!C114/$W114)</f>
        <v>0.1602109721</v>
      </c>
      <c r="E114" s="341">
        <f>IF(C114="","",'Historique détail'!D114/$W114)</f>
        <v>0.01494820904</v>
      </c>
      <c r="F114" s="341">
        <f>IF(D114="","",'Historique détail'!E114/$W114)</f>
        <v>0.06285869273</v>
      </c>
      <c r="G114" s="341">
        <f>IF(E114="","",'Historique détail'!F114/$W114)</f>
        <v>0.07265730842</v>
      </c>
      <c r="H114" s="341">
        <f>IF(F114="","",'Historique détail'!G114/$W114)</f>
        <v>0</v>
      </c>
      <c r="I114" s="341">
        <f>IF(G114="","",'Historique détail'!H114/$W114)</f>
        <v>0.02938900864</v>
      </c>
      <c r="J114" s="341">
        <f>IF(H114="","",'Historique détail'!I114/$W114)</f>
        <v>0.01505917246</v>
      </c>
      <c r="K114" s="341">
        <f>IF(I114="","",'Historique détail'!J114/$W114)</f>
        <v>0.004506625866</v>
      </c>
      <c r="L114" s="341">
        <f>IF(J114="","",'Historique détail'!K114/$W114)</f>
        <v>0.006033439405</v>
      </c>
      <c r="M114" s="341">
        <f>IF(K114="","",'Historique détail'!L114/$W114)</f>
        <v>0</v>
      </c>
      <c r="N114" s="341">
        <f>IF(L114="","",'Historique détail'!M114/$W114)</f>
        <v>0.03214513844</v>
      </c>
      <c r="O114" s="341">
        <f>IF(M114="","",'Historique détail'!N114/$W114)</f>
        <v>0</v>
      </c>
      <c r="P114" s="341">
        <f>IF(N114="","",'Historique détail'!O114/$W114)</f>
        <v>0.01193946806</v>
      </c>
      <c r="Q114" s="341">
        <f>IF(O114="","",'Historique détail'!P114/$W114)</f>
        <v>0.000000000864506093</v>
      </c>
      <c r="R114" s="341">
        <f>IF(P114="","",'Historique détail'!Q114/$W114)</f>
        <v>0.004497650014</v>
      </c>
      <c r="S114" s="341">
        <f>IF(Q114="","",'Historique détail'!R114/$W114)</f>
        <v>0</v>
      </c>
      <c r="T114" s="341">
        <f>IF(R114="","",'Historique détail'!S114/$W114)</f>
        <v>0</v>
      </c>
      <c r="U114" s="340">
        <f t="shared" si="2"/>
        <v>0.1398796082</v>
      </c>
      <c r="V114" s="14">
        <f>IF(A114="","",ARBITRAGES!M115)</f>
        <v>7954.848935</v>
      </c>
      <c r="W114" s="342">
        <f>IF(V114="","",'Historique détail'!U114)</f>
        <v>56869.25376</v>
      </c>
      <c r="X114" s="288"/>
      <c r="Y114" s="289"/>
      <c r="Z114" s="289"/>
      <c r="AA114" s="289"/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289"/>
      <c r="AM114" s="289"/>
      <c r="AN114" s="289"/>
      <c r="AO114" s="289"/>
      <c r="AP114" s="289"/>
      <c r="AQ114" s="289"/>
      <c r="AR114" s="289"/>
      <c r="AS114" s="289"/>
      <c r="AT114" s="289"/>
      <c r="AU114" s="289"/>
      <c r="AV114" s="289"/>
      <c r="AW114" s="289"/>
      <c r="AX114" s="289"/>
      <c r="AY114" s="289"/>
      <c r="AZ114" s="289"/>
      <c r="BA114" s="289"/>
      <c r="BB114" s="289"/>
    </row>
    <row r="115">
      <c r="A115" s="290">
        <f>PRIX!A116</f>
        <v>45869</v>
      </c>
      <c r="B115" s="302">
        <f t="shared" si="1"/>
        <v>0.8627263694</v>
      </c>
      <c r="C115" s="341">
        <f>IF(A115="","",'Historique détail'!B115/$W115)</f>
        <v>0.4458747057</v>
      </c>
      <c r="D115" s="341">
        <f>IF(B115="","",'Historique détail'!C115/$W115)</f>
        <v>0.1602109721</v>
      </c>
      <c r="E115" s="341">
        <f>IF(C115="","",'Historique détail'!D115/$W115)</f>
        <v>0.01494820904</v>
      </c>
      <c r="F115" s="341">
        <f>IF(D115="","",'Historique détail'!E115/$W115)</f>
        <v>0.06285869273</v>
      </c>
      <c r="G115" s="341">
        <f>IF(E115="","",'Historique détail'!F115/$W115)</f>
        <v>0.07265730842</v>
      </c>
      <c r="H115" s="341">
        <f>IF(F115="","",'Historique détail'!G115/$W115)</f>
        <v>0</v>
      </c>
      <c r="I115" s="341">
        <f>IF(G115="","",'Historique détail'!H115/$W115)</f>
        <v>0.02938900864</v>
      </c>
      <c r="J115" s="341">
        <f>IF(H115="","",'Historique détail'!I115/$W115)</f>
        <v>0.01505917246</v>
      </c>
      <c r="K115" s="341">
        <f>IF(I115="","",'Historique détail'!J115/$W115)</f>
        <v>0.004506625866</v>
      </c>
      <c r="L115" s="341">
        <f>IF(J115="","",'Historique détail'!K115/$W115)</f>
        <v>0.006033439405</v>
      </c>
      <c r="M115" s="341">
        <f>IF(K115="","",'Historique détail'!L115/$W115)</f>
        <v>0</v>
      </c>
      <c r="N115" s="341">
        <f>IF(L115="","",'Historique détail'!M115/$W115)</f>
        <v>0.03475111601</v>
      </c>
      <c r="O115" s="341">
        <f>IF(M115="","",'Historique détail'!N115/$W115)</f>
        <v>0</v>
      </c>
      <c r="P115" s="341">
        <f>IF(N115="","",'Historique détail'!O115/$W115)</f>
        <v>0.01193946806</v>
      </c>
      <c r="Q115" s="341">
        <f>IF(O115="","",'Historique détail'!P115/$W115)</f>
        <v>0.000000000864506093</v>
      </c>
      <c r="R115" s="341">
        <f>IF(P115="","",'Historique détail'!Q115/$W115)</f>
        <v>0.004497650014</v>
      </c>
      <c r="S115" s="341">
        <f>IF(Q115="","",'Historique détail'!R115/$W115)</f>
        <v>0</v>
      </c>
      <c r="T115" s="341">
        <f>IF(R115="","",'Historique détail'!S115/$W115)</f>
        <v>0</v>
      </c>
      <c r="U115" s="340">
        <f t="shared" si="2"/>
        <v>0.1372736306</v>
      </c>
      <c r="V115" s="14">
        <f>IF(A115="","",ARBITRAGES!M116)</f>
        <v>7806.648935</v>
      </c>
      <c r="W115" s="342">
        <f>IF(V115="","",'Historique détail'!U115)</f>
        <v>56869.25376</v>
      </c>
      <c r="X115" s="288"/>
      <c r="Y115" s="289"/>
      <c r="Z115" s="289"/>
      <c r="AA115" s="289"/>
      <c r="AB115" s="289"/>
      <c r="AC115" s="289"/>
      <c r="AD115" s="289"/>
      <c r="AE115" s="289"/>
      <c r="AF115" s="289"/>
      <c r="AG115" s="289"/>
      <c r="AH115" s="289"/>
      <c r="AI115" s="289"/>
      <c r="AJ115" s="289"/>
      <c r="AK115" s="289"/>
      <c r="AL115" s="289"/>
      <c r="AM115" s="289"/>
      <c r="AN115" s="289"/>
      <c r="AO115" s="289"/>
      <c r="AP115" s="289"/>
      <c r="AQ115" s="289"/>
      <c r="AR115" s="289"/>
      <c r="AS115" s="289"/>
      <c r="AT115" s="289"/>
      <c r="AU115" s="289"/>
      <c r="AV115" s="289"/>
      <c r="AW115" s="289"/>
      <c r="AX115" s="289"/>
      <c r="AY115" s="289"/>
      <c r="AZ115" s="289"/>
      <c r="BA115" s="289"/>
      <c r="BB115" s="289"/>
    </row>
    <row r="116">
      <c r="A116" s="290">
        <f>PRIX!A117</f>
        <v>45870</v>
      </c>
      <c r="B116" s="302">
        <f t="shared" si="1"/>
        <v>0.8680077088</v>
      </c>
      <c r="C116" s="341">
        <f>IF(A116="","",'Historique détail'!B116/$W116)</f>
        <v>0.4511752495</v>
      </c>
      <c r="D116" s="341">
        <f>IF(B116="","",'Historique détail'!C116/$W116)</f>
        <v>0.1602035912</v>
      </c>
      <c r="E116" s="341">
        <f>IF(C116="","",'Historique détail'!D116/$W116)</f>
        <v>0.01494752038</v>
      </c>
      <c r="F116" s="341">
        <f>IF(D116="","",'Historique détail'!E116/$W116)</f>
        <v>0.06285579683</v>
      </c>
      <c r="G116" s="341">
        <f>IF(E116="","",'Historique détail'!F116/$W116)</f>
        <v>0.0726539611</v>
      </c>
      <c r="H116" s="341">
        <f>IF(F116="","",'Historique détail'!G116/$W116)</f>
        <v>0</v>
      </c>
      <c r="I116" s="341">
        <f>IF(G116="","",'Historique détail'!H116/$W116)</f>
        <v>0.02938765469</v>
      </c>
      <c r="J116" s="341">
        <f>IF(H116="","",'Historique détail'!I116/$W116)</f>
        <v>0.01505847868</v>
      </c>
      <c r="K116" s="341">
        <f>IF(I116="","",'Historique détail'!J116/$W116)</f>
        <v>0.004506418246</v>
      </c>
      <c r="L116" s="341">
        <f>IF(J116="","",'Historique détail'!K116/$W116)</f>
        <v>0.006033161445</v>
      </c>
      <c r="M116" s="341">
        <f>IF(K116="","",'Historique détail'!L116/$W116)</f>
        <v>0</v>
      </c>
      <c r="N116" s="341">
        <f>IF(L116="","",'Historique détail'!M116/$W116)</f>
        <v>0.03474951503</v>
      </c>
      <c r="O116" s="341">
        <f>IF(M116="","",'Historique détail'!N116/$W116)</f>
        <v>0</v>
      </c>
      <c r="P116" s="341">
        <f>IF(N116="","",'Historique détail'!O116/$W116)</f>
        <v>0.011938918</v>
      </c>
      <c r="Q116" s="341">
        <f>IF(O116="","",'Historique détail'!P116/$W116)</f>
        <v>0.0000000008644662652</v>
      </c>
      <c r="R116" s="341">
        <f>IF(P116="","",'Historique détail'!Q116/$W116)</f>
        <v>0.004497442808</v>
      </c>
      <c r="S116" s="341">
        <f>IF(Q116="","",'Historique détail'!R116/$W116)</f>
        <v>0</v>
      </c>
      <c r="T116" s="341">
        <f>IF(R116="","",'Historique détail'!S116/$W116)</f>
        <v>0</v>
      </c>
      <c r="U116" s="340">
        <f t="shared" si="2"/>
        <v>0.1319922912</v>
      </c>
      <c r="V116" s="14">
        <f>IF(A116="","",ARBITRAGES!M117)</f>
        <v>7506.648935</v>
      </c>
      <c r="W116" s="342">
        <f>IF(V116="","",'Historique détail'!U116)</f>
        <v>56871.87385</v>
      </c>
      <c r="X116" s="288"/>
      <c r="Y116" s="289"/>
      <c r="Z116" s="289"/>
      <c r="AA116" s="289"/>
      <c r="AB116" s="289"/>
      <c r="AC116" s="289"/>
      <c r="AD116" s="289"/>
      <c r="AE116" s="289"/>
      <c r="AF116" s="289"/>
      <c r="AG116" s="289"/>
      <c r="AH116" s="289"/>
      <c r="AI116" s="289"/>
      <c r="AJ116" s="289"/>
      <c r="AK116" s="289"/>
      <c r="AL116" s="289"/>
      <c r="AM116" s="289"/>
      <c r="AN116" s="289"/>
      <c r="AO116" s="289"/>
      <c r="AP116" s="289"/>
      <c r="AQ116" s="289"/>
      <c r="AR116" s="289"/>
      <c r="AS116" s="289"/>
      <c r="AT116" s="289"/>
      <c r="AU116" s="289"/>
      <c r="AV116" s="289"/>
      <c r="AW116" s="289"/>
      <c r="AX116" s="289"/>
      <c r="AY116" s="289"/>
      <c r="AZ116" s="289"/>
      <c r="BA116" s="289"/>
      <c r="BB116" s="289"/>
    </row>
    <row r="117">
      <c r="A117" s="290">
        <f>PRIX!A118</f>
        <v>45871</v>
      </c>
      <c r="B117" s="302">
        <f t="shared" si="1"/>
        <v>0.8719769617</v>
      </c>
      <c r="C117" s="341">
        <f>IF(A117="","",'Historique détail'!B117/$W117)</f>
        <v>0.4498708932</v>
      </c>
      <c r="D117" s="341">
        <f>IF(B117="","",'Historique détail'!C117/$W117)</f>
        <v>0.1607413195</v>
      </c>
      <c r="E117" s="341">
        <f>IF(C117="","",'Historique détail'!D117/$W117)</f>
        <v>0.01400618305</v>
      </c>
      <c r="F117" s="341">
        <f>IF(D117="","",'Historique détail'!E117/$W117)</f>
        <v>0.06911547544</v>
      </c>
      <c r="G117" s="341">
        <f>IF(E117="","",'Historique détail'!F117/$W117)</f>
        <v>0.07234859615</v>
      </c>
      <c r="H117" s="341">
        <f>IF(F117="","",'Historique détail'!G117/$W117)</f>
        <v>0</v>
      </c>
      <c r="I117" s="341">
        <f>IF(G117="","",'Historique détail'!H117/$W117)</f>
        <v>0.0293327082</v>
      </c>
      <c r="J117" s="341">
        <f>IF(H117="","",'Historique détail'!I117/$W117)</f>
        <v>0.01484147257</v>
      </c>
      <c r="K117" s="341">
        <f>IF(I117="","",'Historique détail'!J117/$W117)</f>
        <v>0.00444325333</v>
      </c>
      <c r="L117" s="341">
        <f>IF(J117="","",'Historique détail'!K117/$W117)</f>
        <v>0.005869137601</v>
      </c>
      <c r="M117" s="341">
        <f>IF(K117="","",'Historique détail'!L117/$W117)</f>
        <v>0</v>
      </c>
      <c r="N117" s="341">
        <f>IF(L117="","",'Historique détail'!M117/$W117)</f>
        <v>0.03510496211</v>
      </c>
      <c r="O117" s="341">
        <f>IF(M117="","",'Historique détail'!N117/$W117)</f>
        <v>0</v>
      </c>
      <c r="P117" s="341">
        <f>IF(N117="","",'Historique détail'!O117/$W117)</f>
        <v>0.01175951325</v>
      </c>
      <c r="Q117" s="341">
        <f>IF(O117="","",'Historique détail'!P117/$W117)</f>
        <v>0.0000000008733087486</v>
      </c>
      <c r="R117" s="341">
        <f>IF(P117="","",'Historique détail'!Q117/$W117)</f>
        <v>0.004543446411</v>
      </c>
      <c r="S117" s="341">
        <f>IF(Q117="","",'Historique détail'!R117/$W117)</f>
        <v>0</v>
      </c>
      <c r="T117" s="341">
        <f>IF(R117="","",'Historique détail'!S117/$W117)</f>
        <v>0</v>
      </c>
      <c r="U117" s="340">
        <f t="shared" si="2"/>
        <v>0.1280230383</v>
      </c>
      <c r="V117" s="14">
        <f>IF(A117="","",ARBITRAGES!M118)</f>
        <v>7207.188935</v>
      </c>
      <c r="W117" s="342">
        <f>IF(V117="","",'Historique détail'!U117)</f>
        <v>56296.031</v>
      </c>
      <c r="X117" s="288"/>
      <c r="Y117" s="289"/>
      <c r="Z117" s="289"/>
      <c r="AA117" s="289"/>
      <c r="AB117" s="289"/>
      <c r="AC117" s="289"/>
      <c r="AD117" s="289"/>
      <c r="AE117" s="289"/>
      <c r="AF117" s="289"/>
      <c r="AG117" s="289"/>
      <c r="AH117" s="289"/>
      <c r="AI117" s="289"/>
      <c r="AJ117" s="289"/>
      <c r="AK117" s="289"/>
      <c r="AL117" s="289"/>
      <c r="AM117" s="289"/>
      <c r="AN117" s="289"/>
      <c r="AO117" s="289"/>
      <c r="AP117" s="289"/>
      <c r="AQ117" s="289"/>
      <c r="AR117" s="289"/>
      <c r="AS117" s="289"/>
      <c r="AT117" s="289"/>
      <c r="AU117" s="289"/>
      <c r="AV117" s="289"/>
      <c r="AW117" s="289"/>
      <c r="AX117" s="289"/>
      <c r="AY117" s="289"/>
      <c r="AZ117" s="289"/>
      <c r="BA117" s="289"/>
      <c r="BB117" s="289"/>
    </row>
    <row r="118">
      <c r="A118" s="290">
        <f>PRIX!A119</f>
        <v>45875</v>
      </c>
      <c r="B118" s="302">
        <f t="shared" si="1"/>
        <v>0.874956109</v>
      </c>
      <c r="C118" s="341">
        <f>IF(A118="","",'Historique détail'!B118/$W118)</f>
        <v>0.4477557147</v>
      </c>
      <c r="D118" s="341">
        <f>IF(B118="","",'Historique détail'!C118/$W118)</f>
        <v>0.1599855547</v>
      </c>
      <c r="E118" s="341">
        <f>IF(C118="","",'Historique détail'!D118/$W118)</f>
        <v>0.01394032954</v>
      </c>
      <c r="F118" s="341">
        <f>IF(D118="","",'Historique détail'!E118/$W118)</f>
        <v>0.06879051206</v>
      </c>
      <c r="G118" s="341">
        <f>IF(E118="","",'Historique détail'!F118/$W118)</f>
        <v>0.07200843145</v>
      </c>
      <c r="H118" s="341">
        <f>IF(F118="","",'Historique détail'!G118/$W118)</f>
        <v>0</v>
      </c>
      <c r="I118" s="341">
        <f>IF(G118="","",'Historique détail'!H118/$W118)</f>
        <v>0.02919479327</v>
      </c>
      <c r="J118" s="341">
        <f>IF(H118="","",'Historique détail'!I118/$W118)</f>
        <v>0.01477169174</v>
      </c>
      <c r="K118" s="341">
        <f>IF(I118="","",'Historique détail'!J118/$W118)</f>
        <v>0.004422362283</v>
      </c>
      <c r="L118" s="341">
        <f>IF(J118="","",'Historique détail'!K118/$W118)</f>
        <v>0.005841542409</v>
      </c>
      <c r="M118" s="341">
        <f>IF(K118="","",'Historique détail'!L118/$W118)</f>
        <v>0</v>
      </c>
      <c r="N118" s="341">
        <f>IF(L118="","",'Historique détail'!M118/$W118)</f>
        <v>0.04201886874</v>
      </c>
      <c r="O118" s="341">
        <f>IF(M118="","",'Historique détail'!N118/$W118)</f>
        <v>0</v>
      </c>
      <c r="P118" s="341">
        <f>IF(N118="","",'Historique détail'!O118/$W118)</f>
        <v>0.01170422301</v>
      </c>
      <c r="Q118" s="341">
        <f>IF(O118="","",'Historique détail'!P118/$W118)</f>
        <v>0.000000000869202673</v>
      </c>
      <c r="R118" s="341">
        <f>IF(P118="","",'Historique détail'!Q118/$W118)</f>
        <v>0.004522084282</v>
      </c>
      <c r="S118" s="341">
        <f>IF(Q118="","",'Historique détail'!R118/$W118)</f>
        <v>0</v>
      </c>
      <c r="T118" s="341">
        <f>IF(R118="","",'Historique détail'!S118/$W118)</f>
        <v>0</v>
      </c>
      <c r="U118" s="340">
        <f t="shared" si="2"/>
        <v>0.125043891</v>
      </c>
      <c r="V118" s="14">
        <f>IF(A118="","",ARBITRAGES!M119)</f>
        <v>7072.728935</v>
      </c>
      <c r="W118" s="342">
        <f>IF(V118="","",'Historique détail'!U118)</f>
        <v>56561.971</v>
      </c>
      <c r="X118" s="288"/>
      <c r="Y118" s="289"/>
      <c r="Z118" s="289"/>
      <c r="AA118" s="289"/>
      <c r="AB118" s="289"/>
      <c r="AC118" s="289"/>
      <c r="AD118" s="289"/>
      <c r="AE118" s="289"/>
      <c r="AF118" s="289"/>
      <c r="AG118" s="289"/>
      <c r="AH118" s="289"/>
      <c r="AI118" s="289"/>
      <c r="AJ118" s="289"/>
      <c r="AK118" s="289"/>
      <c r="AL118" s="289"/>
      <c r="AM118" s="289"/>
      <c r="AN118" s="289"/>
      <c r="AO118" s="289"/>
      <c r="AP118" s="289"/>
      <c r="AQ118" s="289"/>
      <c r="AR118" s="289"/>
      <c r="AS118" s="289"/>
      <c r="AT118" s="289"/>
      <c r="AU118" s="289"/>
      <c r="AV118" s="289"/>
      <c r="AW118" s="289"/>
      <c r="AX118" s="289"/>
      <c r="AY118" s="289"/>
      <c r="AZ118" s="289"/>
      <c r="BA118" s="289"/>
      <c r="BB118" s="289"/>
    </row>
    <row r="119">
      <c r="A119" s="290">
        <f>PRIX!A120</f>
        <v>45876</v>
      </c>
      <c r="B119" s="302">
        <f t="shared" si="1"/>
        <v>0.865107635</v>
      </c>
      <c r="C119" s="341">
        <f>IF(A119="","",'Historique détail'!B119/$W119)</f>
        <v>0.4134138823</v>
      </c>
      <c r="D119" s="341">
        <f>IF(B119="","",'Historique détail'!C119/$W119)</f>
        <v>0.1705067607</v>
      </c>
      <c r="E119" s="341">
        <f>IF(C119="","",'Historique détail'!D119/$W119)</f>
        <v>0.01331500729</v>
      </c>
      <c r="F119" s="341">
        <f>IF(D119="","",'Historique détail'!E119/$W119)</f>
        <v>0.06746158371</v>
      </c>
      <c r="G119" s="341">
        <f>IF(E119="","",'Historique détail'!F119/$W119)</f>
        <v>0.0744268077</v>
      </c>
      <c r="H119" s="341">
        <f>IF(F119="","",'Historique détail'!G119/$W119)</f>
        <v>0</v>
      </c>
      <c r="I119" s="341">
        <f>IF(G119="","",'Historique détail'!H119/$W119)</f>
        <v>0.0352341928</v>
      </c>
      <c r="J119" s="341">
        <f>IF(H119="","",'Historique détail'!I119/$W119)</f>
        <v>0.01573375861</v>
      </c>
      <c r="K119" s="341">
        <f>IF(I119="","",'Historique détail'!J119/$W119)</f>
        <v>0.004532446241</v>
      </c>
      <c r="L119" s="341">
        <f>IF(J119="","",'Historique détail'!K119/$W119)</f>
        <v>0.005826619041</v>
      </c>
      <c r="M119" s="341">
        <f>IF(K119="","",'Historique détail'!L119/$W119)</f>
        <v>0</v>
      </c>
      <c r="N119" s="341">
        <f>IF(L119="","",'Historique détail'!M119/$W119)</f>
        <v>0.04490520352</v>
      </c>
      <c r="O119" s="341">
        <f>IF(M119="","",'Historique détail'!N119/$W119)</f>
        <v>0</v>
      </c>
      <c r="P119" s="341">
        <f>IF(N119="","",'Historique détail'!O119/$W119)</f>
        <v>0.01500984293</v>
      </c>
      <c r="Q119" s="341">
        <f>IF(O119="","",'Historique détail'!P119/$W119)</f>
        <v>0.0000000008524109958</v>
      </c>
      <c r="R119" s="341">
        <f>IF(P119="","",'Historique détail'!Q119/$W119)</f>
        <v>0.004741529311</v>
      </c>
      <c r="S119" s="341">
        <f>IF(Q119="","",'Historique détail'!R119/$W119)</f>
        <v>0</v>
      </c>
      <c r="T119" s="341">
        <f>IF(R119="","",'Historique détail'!S119/$W119)</f>
        <v>0</v>
      </c>
      <c r="U119" s="340">
        <f t="shared" si="2"/>
        <v>0.134892365</v>
      </c>
      <c r="V119" s="14">
        <f>IF(A119="","",ARBITRAGES!M120)</f>
        <v>8237.728935</v>
      </c>
      <c r="W119" s="342">
        <f>IF(V119="","",'Historique détail'!U119)</f>
        <v>61068.90436</v>
      </c>
      <c r="X119" s="288"/>
      <c r="Y119" s="289"/>
      <c r="Z119" s="289"/>
      <c r="AA119" s="289"/>
      <c r="AB119" s="289"/>
      <c r="AC119" s="289"/>
      <c r="AD119" s="289"/>
      <c r="AE119" s="289"/>
      <c r="AF119" s="289"/>
      <c r="AG119" s="289"/>
      <c r="AH119" s="289"/>
      <c r="AI119" s="289"/>
      <c r="AJ119" s="289"/>
      <c r="AK119" s="289"/>
      <c r="AL119" s="289"/>
      <c r="AM119" s="289"/>
      <c r="AN119" s="289"/>
      <c r="AO119" s="289"/>
      <c r="AP119" s="289"/>
      <c r="AQ119" s="289"/>
      <c r="AR119" s="289"/>
      <c r="AS119" s="289"/>
      <c r="AT119" s="289"/>
      <c r="AU119" s="289"/>
      <c r="AV119" s="289"/>
      <c r="AW119" s="289"/>
      <c r="AX119" s="289"/>
      <c r="AY119" s="289"/>
      <c r="AZ119" s="289"/>
      <c r="BA119" s="289"/>
      <c r="BB119" s="289"/>
    </row>
    <row r="120">
      <c r="A120" s="290">
        <f>PRIX!A121</f>
        <v>45876</v>
      </c>
      <c r="B120" s="302">
        <f t="shared" si="1"/>
        <v>0.8459296688</v>
      </c>
      <c r="C120" s="341">
        <f>IF(A120="","",'Historique détail'!B120/$W120)</f>
        <v>0.4141259177</v>
      </c>
      <c r="D120" s="341">
        <f>IF(B120="","",'Historique détail'!C120/$W120)</f>
        <v>0.1501324621</v>
      </c>
      <c r="E120" s="341">
        <f>IF(C120="","",'Historique détail'!D120/$W120)</f>
        <v>0.01333794013</v>
      </c>
      <c r="F120" s="341">
        <f>IF(D120="","",'Historique détail'!E120/$W120)</f>
        <v>0.06757777486</v>
      </c>
      <c r="G120" s="341">
        <f>IF(E120="","",'Historique détail'!F120/$W120)</f>
        <v>0.07455499527</v>
      </c>
      <c r="H120" s="341">
        <f>IF(F120="","",'Historique détail'!G120/$W120)</f>
        <v>0</v>
      </c>
      <c r="I120" s="341">
        <f>IF(G120="","",'Historique détail'!H120/$W120)</f>
        <v>0.03529487773</v>
      </c>
      <c r="J120" s="341">
        <f>IF(H120="","",'Historique détail'!I120/$W120)</f>
        <v>0.01576085735</v>
      </c>
      <c r="K120" s="341">
        <f>IF(I120="","",'Historique détail'!J120/$W120)</f>
        <v>0.004540252612</v>
      </c>
      <c r="L120" s="341">
        <f>IF(J120="","",'Historique détail'!K120/$W120)</f>
        <v>0.005836654405</v>
      </c>
      <c r="M120" s="341">
        <f>IF(K120="","",'Historique détail'!L120/$W120)</f>
        <v>0</v>
      </c>
      <c r="N120" s="341">
        <f>IF(L120="","",'Historique détail'!M120/$W120)</f>
        <v>0.04498254513</v>
      </c>
      <c r="O120" s="341">
        <f>IF(M120="","",'Historique détail'!N120/$W120)</f>
        <v>0</v>
      </c>
      <c r="P120" s="341">
        <f>IF(N120="","",'Historique détail'!O120/$W120)</f>
        <v>0.01503569484</v>
      </c>
      <c r="Q120" s="341">
        <f>IF(O120="","",'Historique détail'!P120/$W120)</f>
        <v>0.0000000008538791294</v>
      </c>
      <c r="R120" s="341">
        <f>IF(P120="","",'Historique détail'!Q120/$W120)</f>
        <v>0.004749695792</v>
      </c>
      <c r="S120" s="341">
        <f>IF(Q120="","",'Historique détail'!R120/$W120)</f>
        <v>0</v>
      </c>
      <c r="T120" s="341">
        <f>IF(R120="","",'Historique détail'!S120/$W120)</f>
        <v>0</v>
      </c>
      <c r="U120" s="340">
        <f t="shared" si="2"/>
        <v>0.1540703312</v>
      </c>
      <c r="V120" s="14">
        <f>IF(A120="","",ARBITRAGES!M121)</f>
        <v>9392.728935</v>
      </c>
      <c r="W120" s="342">
        <f>IF(V120="","",'Historique détail'!U120)</f>
        <v>60963.90436</v>
      </c>
      <c r="X120" s="288"/>
      <c r="Y120" s="289"/>
      <c r="Z120" s="289"/>
      <c r="AA120" s="289"/>
      <c r="AB120" s="289"/>
      <c r="AC120" s="289"/>
      <c r="AD120" s="289"/>
      <c r="AE120" s="289"/>
      <c r="AF120" s="289"/>
      <c r="AG120" s="289"/>
      <c r="AH120" s="289"/>
      <c r="AI120" s="289"/>
      <c r="AJ120" s="289"/>
      <c r="AK120" s="289"/>
      <c r="AL120" s="289"/>
      <c r="AM120" s="289"/>
      <c r="AN120" s="289"/>
      <c r="AO120" s="289"/>
      <c r="AP120" s="289"/>
      <c r="AQ120" s="289"/>
      <c r="AR120" s="289"/>
      <c r="AS120" s="289"/>
      <c r="AT120" s="289"/>
      <c r="AU120" s="289"/>
      <c r="AV120" s="289"/>
      <c r="AW120" s="289"/>
      <c r="AX120" s="289"/>
      <c r="AY120" s="289"/>
      <c r="AZ120" s="289"/>
      <c r="BA120" s="289"/>
      <c r="BB120" s="289"/>
    </row>
    <row r="121">
      <c r="A121" s="290">
        <f>PRIX!A122</f>
        <v>45877</v>
      </c>
      <c r="B121" s="302">
        <f t="shared" si="1"/>
        <v>0.8262782186</v>
      </c>
      <c r="C121" s="341">
        <f>IF(A121="","",'Historique détail'!B121/$W121)</f>
        <v>0.4146360179</v>
      </c>
      <c r="D121" s="341">
        <f>IF(B121="","",'Historique détail'!C121/$W121)</f>
        <v>0.1296239626</v>
      </c>
      <c r="E121" s="341">
        <f>IF(C121="","",'Historique détail'!D121/$W121)</f>
        <v>0.01335436916</v>
      </c>
      <c r="F121" s="341">
        <f>IF(D121="","",'Historique détail'!E121/$W121)</f>
        <v>0.06766101389</v>
      </c>
      <c r="G121" s="341">
        <f>IF(E121="","",'Historique détail'!F121/$W121)</f>
        <v>0.0746468285</v>
      </c>
      <c r="H121" s="341">
        <f>IF(F121="","",'Historique détail'!G121/$W121)</f>
        <v>0</v>
      </c>
      <c r="I121" s="341">
        <f>IF(G121="","",'Historique détail'!H121/$W121)</f>
        <v>0.03533835224</v>
      </c>
      <c r="J121" s="341">
        <f>IF(H121="","",'Historique détail'!I121/$W121)</f>
        <v>0.01578027081</v>
      </c>
      <c r="K121" s="341">
        <f>IF(I121="","",'Historique détail'!J121/$W121)</f>
        <v>0.004545845075</v>
      </c>
      <c r="L121" s="341">
        <f>IF(J121="","",'Historique détail'!K121/$W121)</f>
        <v>0.005843843713</v>
      </c>
      <c r="M121" s="341">
        <f>IF(K121="","",'Historique détail'!L121/$W121)</f>
        <v>0</v>
      </c>
      <c r="N121" s="341">
        <f>IF(L121="","",'Historique détail'!M121/$W121)</f>
        <v>0.04503795245</v>
      </c>
      <c r="O121" s="341">
        <f>IF(M121="","",'Historique détail'!N121/$W121)</f>
        <v>0</v>
      </c>
      <c r="P121" s="341">
        <f>IF(N121="","",'Historique détail'!O121/$W121)</f>
        <v>0.01505421508</v>
      </c>
      <c r="Q121" s="341">
        <f>IF(O121="","",'Historique détail'!P121/$W121)</f>
        <v>0.0000000008549308963</v>
      </c>
      <c r="R121" s="341">
        <f>IF(P121="","",'Historique détail'!Q121/$W121)</f>
        <v>0.004755546237</v>
      </c>
      <c r="S121" s="341">
        <f>IF(Q121="","",'Historique détail'!R121/$W121)</f>
        <v>0</v>
      </c>
      <c r="T121" s="341">
        <f>IF(R121="","",'Historique détail'!S121/$W121)</f>
        <v>0</v>
      </c>
      <c r="U121" s="340">
        <f t="shared" si="2"/>
        <v>0.1737217814</v>
      </c>
      <c r="V121" s="14">
        <f>IF(A121="","",ARBITRAGES!M122)</f>
        <v>10577.72893</v>
      </c>
      <c r="W121" s="342">
        <f>IF(V121="","",'Historique détail'!U121)</f>
        <v>60888.90436</v>
      </c>
      <c r="X121" s="288"/>
      <c r="Y121" s="289"/>
      <c r="Z121" s="289"/>
      <c r="AA121" s="289"/>
      <c r="AB121" s="289"/>
      <c r="AC121" s="289"/>
      <c r="AD121" s="289"/>
      <c r="AE121" s="289"/>
      <c r="AF121" s="289"/>
      <c r="AG121" s="289"/>
      <c r="AH121" s="289"/>
      <c r="AI121" s="289"/>
      <c r="AJ121" s="289"/>
      <c r="AK121" s="289"/>
      <c r="AL121" s="289"/>
      <c r="AM121" s="289"/>
      <c r="AN121" s="289"/>
      <c r="AO121" s="289"/>
      <c r="AP121" s="289"/>
      <c r="AQ121" s="289"/>
      <c r="AR121" s="289"/>
      <c r="AS121" s="289"/>
      <c r="AT121" s="289"/>
      <c r="AU121" s="289"/>
      <c r="AV121" s="289"/>
      <c r="AW121" s="289"/>
      <c r="AX121" s="289"/>
      <c r="AY121" s="289"/>
      <c r="AZ121" s="289"/>
      <c r="BA121" s="289"/>
      <c r="BB121" s="289"/>
    </row>
    <row r="122">
      <c r="A122" s="290">
        <f>PRIX!A123</f>
        <v>45877</v>
      </c>
      <c r="B122" s="302">
        <f t="shared" si="1"/>
        <v>0.8216528061</v>
      </c>
      <c r="C122" s="341">
        <f>IF(A122="","",'Historique détail'!B122/$W122)</f>
        <v>0.4147385303</v>
      </c>
      <c r="D122" s="341">
        <f>IF(B122="","",'Historique détail'!C122/$W122)</f>
        <v>0.1248263132</v>
      </c>
      <c r="E122" s="341">
        <f>IF(C122="","",'Historique détail'!D122/$W122)</f>
        <v>0.01335767082</v>
      </c>
      <c r="F122" s="341">
        <f>IF(D122="","",'Historique détail'!E122/$W122)</f>
        <v>0.06767774203</v>
      </c>
      <c r="G122" s="341">
        <f>IF(E122="","",'Historique détail'!F122/$W122)</f>
        <v>0.07466528377</v>
      </c>
      <c r="H122" s="341">
        <f>IF(F122="","",'Historique détail'!G122/$W122)</f>
        <v>0</v>
      </c>
      <c r="I122" s="341">
        <f>IF(G122="","",'Historique détail'!H122/$W122)</f>
        <v>0.0353470891</v>
      </c>
      <c r="J122" s="341">
        <f>IF(H122="","",'Historique détail'!I122/$W122)</f>
        <v>0.01578417224</v>
      </c>
      <c r="K122" s="341">
        <f>IF(I122="","",'Historique détail'!J122/$W122)</f>
        <v>0.004546968965</v>
      </c>
      <c r="L122" s="341">
        <f>IF(J122="","",'Historique détail'!K122/$W122)</f>
        <v>0.005845288513</v>
      </c>
      <c r="M122" s="341">
        <f>IF(K122="","",'Historique détail'!L122/$W122)</f>
        <v>0</v>
      </c>
      <c r="N122" s="341">
        <f>IF(L122="","",'Historique détail'!M122/$W122)</f>
        <v>0.04504908738</v>
      </c>
      <c r="O122" s="341">
        <f>IF(M122="","",'Historique détail'!N122/$W122)</f>
        <v>0</v>
      </c>
      <c r="P122" s="341">
        <f>IF(N122="","",'Historique détail'!O122/$W122)</f>
        <v>0.015057937</v>
      </c>
      <c r="Q122" s="341">
        <f>IF(O122="","",'Historique détail'!P122/$W122)</f>
        <v>0.0000000008551422647</v>
      </c>
      <c r="R122" s="341">
        <f>IF(P122="","",'Historique détail'!Q122/$W122)</f>
        <v>0.004756721972</v>
      </c>
      <c r="S122" s="341">
        <f>IF(Q122="","",'Historique détail'!R122/$W122)</f>
        <v>0</v>
      </c>
      <c r="T122" s="341">
        <f>IF(R122="","",'Historique détail'!S122/$W122)</f>
        <v>0</v>
      </c>
      <c r="U122" s="340">
        <f t="shared" si="2"/>
        <v>0.1783471939</v>
      </c>
      <c r="V122" s="14">
        <f>IF(A122="","",ARBITRAGES!M123)</f>
        <v>10856.68109</v>
      </c>
      <c r="W122" s="342">
        <f>IF(V122="","",'Historique détail'!U122)</f>
        <v>60873.85424</v>
      </c>
      <c r="X122" s="288"/>
      <c r="Y122" s="289"/>
      <c r="Z122" s="289"/>
      <c r="AA122" s="289"/>
      <c r="AB122" s="289"/>
      <c r="AC122" s="289"/>
      <c r="AD122" s="289"/>
      <c r="AE122" s="289"/>
      <c r="AF122" s="289"/>
      <c r="AG122" s="289"/>
      <c r="AH122" s="289"/>
      <c r="AI122" s="289"/>
      <c r="AJ122" s="289"/>
      <c r="AK122" s="289"/>
      <c r="AL122" s="289"/>
      <c r="AM122" s="289"/>
      <c r="AN122" s="289"/>
      <c r="AO122" s="289"/>
      <c r="AP122" s="289"/>
      <c r="AQ122" s="289"/>
      <c r="AR122" s="289"/>
      <c r="AS122" s="289"/>
      <c r="AT122" s="289"/>
      <c r="AU122" s="289"/>
      <c r="AV122" s="289"/>
      <c r="AW122" s="289"/>
      <c r="AX122" s="289"/>
      <c r="AY122" s="289"/>
      <c r="AZ122" s="289"/>
      <c r="BA122" s="289"/>
      <c r="BB122" s="289"/>
    </row>
    <row r="123">
      <c r="A123" s="290">
        <f>PRIX!A124</f>
        <v>45878</v>
      </c>
      <c r="B123" s="302">
        <f t="shared" si="1"/>
        <v>0.7983910752</v>
      </c>
      <c r="C123" s="341">
        <f>IF(A123="","",'Historique détail'!B123/$W123)</f>
        <v>0.3913765059</v>
      </c>
      <c r="D123" s="341">
        <f>IF(B123="","",'Historique détail'!C123/$W123)</f>
        <v>0.1248570795</v>
      </c>
      <c r="E123" s="341">
        <f>IF(C123="","",'Historique détail'!D123/$W123)</f>
        <v>0.01336096313</v>
      </c>
      <c r="F123" s="341">
        <f>IF(D123="","",'Historique détail'!E123/$W123)</f>
        <v>0.06769442277</v>
      </c>
      <c r="G123" s="341">
        <f>IF(E123="","",'Historique détail'!F123/$W123)</f>
        <v>0.07468368676</v>
      </c>
      <c r="H123" s="341">
        <f>IF(F123="","",'Historique détail'!G123/$W123)</f>
        <v>0</v>
      </c>
      <c r="I123" s="341">
        <f>IF(G123="","",'Historique détail'!H123/$W123)</f>
        <v>0.03535580121</v>
      </c>
      <c r="J123" s="341">
        <f>IF(H123="","",'Historique détail'!I123/$W123)</f>
        <v>0.01578806261</v>
      </c>
      <c r="K123" s="341">
        <f>IF(I123="","",'Historique détail'!J123/$W123)</f>
        <v>0.004548089671</v>
      </c>
      <c r="L123" s="341">
        <f>IF(J123="","",'Historique détail'!K123/$W123)</f>
        <v>0.005846729219</v>
      </c>
      <c r="M123" s="341">
        <f>IF(K123="","",'Historique détail'!L123/$W123)</f>
        <v>0</v>
      </c>
      <c r="N123" s="341">
        <f>IF(L123="","",'Historique détail'!M123/$W123)</f>
        <v>0.04506019077</v>
      </c>
      <c r="O123" s="341">
        <f>IF(M123="","",'Historique détail'!N123/$W123)</f>
        <v>0</v>
      </c>
      <c r="P123" s="341">
        <f>IF(N123="","",'Historique détail'!O123/$W123)</f>
        <v>0.01506164838</v>
      </c>
      <c r="Q123" s="341">
        <f>IF(O123="","",'Historique détail'!P123/$W123)</f>
        <v>0.0000000008553530344</v>
      </c>
      <c r="R123" s="341">
        <f>IF(P123="","",'Historique détail'!Q123/$W123)</f>
        <v>0.004757894376</v>
      </c>
      <c r="S123" s="341">
        <f>IF(Q123="","",'Historique détail'!R123/$W123)</f>
        <v>0</v>
      </c>
      <c r="T123" s="341">
        <f>IF(R123="","",'Historique détail'!S123/$W123)</f>
        <v>0</v>
      </c>
      <c r="U123" s="340">
        <f t="shared" si="2"/>
        <v>0.2016089248</v>
      </c>
      <c r="V123" s="14">
        <f>IF(A123="","",ARBITRAGES!M124)</f>
        <v>12269.68815</v>
      </c>
      <c r="W123" s="342">
        <f>IF(V123="","",'Historique détail'!U123)</f>
        <v>60858.85417</v>
      </c>
      <c r="X123" s="288"/>
      <c r="Y123" s="289"/>
      <c r="Z123" s="289"/>
      <c r="AA123" s="289"/>
      <c r="AB123" s="289"/>
      <c r="AC123" s="289"/>
      <c r="AD123" s="289"/>
      <c r="AE123" s="289"/>
      <c r="AF123" s="289"/>
      <c r="AG123" s="289"/>
      <c r="AH123" s="289"/>
      <c r="AI123" s="289"/>
      <c r="AJ123" s="289"/>
      <c r="AK123" s="289"/>
      <c r="AL123" s="289"/>
      <c r="AM123" s="289"/>
      <c r="AN123" s="289"/>
      <c r="AO123" s="289"/>
      <c r="AP123" s="289"/>
      <c r="AQ123" s="289"/>
      <c r="AR123" s="289"/>
      <c r="AS123" s="289"/>
      <c r="AT123" s="289"/>
      <c r="AU123" s="289"/>
      <c r="AV123" s="289"/>
      <c r="AW123" s="289"/>
      <c r="AX123" s="289"/>
      <c r="AY123" s="289"/>
      <c r="AZ123" s="289"/>
      <c r="BA123" s="289"/>
      <c r="BB123" s="289"/>
    </row>
    <row r="124">
      <c r="A124" s="290">
        <f>PRIX!A125</f>
        <v>45879</v>
      </c>
      <c r="B124" s="302">
        <f t="shared" si="1"/>
        <v>0.7788568311</v>
      </c>
      <c r="C124" s="341">
        <f>IF(A124="","",'Historique détail'!B124/$W124)</f>
        <v>0.3718322298</v>
      </c>
      <c r="D124" s="341">
        <f>IF(B124="","",'Historique détail'!C124/$W124)</f>
        <v>0.124860157</v>
      </c>
      <c r="E124" s="341">
        <f>IF(C124="","",'Historique détail'!D124/$W124)</f>
        <v>0.01336129245</v>
      </c>
      <c r="F124" s="341">
        <f>IF(D124="","",'Historique détail'!E124/$W124)</f>
        <v>0.06769609129</v>
      </c>
      <c r="G124" s="341">
        <f>IF(E124="","",'Historique détail'!F124/$W124)</f>
        <v>0.07468552755</v>
      </c>
      <c r="H124" s="341">
        <f>IF(F124="","",'Historique détail'!G124/$W124)</f>
        <v>0</v>
      </c>
      <c r="I124" s="341">
        <f>IF(G124="","",'Historique détail'!H124/$W124)</f>
        <v>0.03535667266</v>
      </c>
      <c r="J124" s="341">
        <f>IF(H124="","",'Historique détail'!I124/$W124)</f>
        <v>0.01578845175</v>
      </c>
      <c r="K124" s="341">
        <f>IF(I124="","",'Historique détail'!J124/$W124)</f>
        <v>0.004548201771</v>
      </c>
      <c r="L124" s="341">
        <f>IF(J124="","",'Historique détail'!K124/$W124)</f>
        <v>0.005846873329</v>
      </c>
      <c r="M124" s="341">
        <f>IF(K124="","",'Historique détail'!L124/$W124)</f>
        <v>0</v>
      </c>
      <c r="N124" s="341">
        <f>IF(L124="","",'Historique détail'!M124/$W124)</f>
        <v>0.04506130141</v>
      </c>
      <c r="O124" s="341">
        <f>IF(M124="","",'Historique détail'!N124/$W124)</f>
        <v>0</v>
      </c>
      <c r="P124" s="341">
        <f>IF(N124="","",'Historique détail'!O124/$W124)</f>
        <v>0.01506201961</v>
      </c>
      <c r="Q124" s="341">
        <f>IF(O124="","",'Historique détail'!P124/$W124)</f>
        <v>0.0000000008553741169</v>
      </c>
      <c r="R124" s="341">
        <f>IF(P124="","",'Historique détail'!Q124/$W124)</f>
        <v>0.004758011648</v>
      </c>
      <c r="S124" s="341">
        <f>IF(Q124="","",'Historique détail'!R124/$W124)</f>
        <v>0</v>
      </c>
      <c r="T124" s="341">
        <f>IF(R124="","",'Historique détail'!S124/$W124)</f>
        <v>0</v>
      </c>
      <c r="U124" s="340">
        <f t="shared" si="2"/>
        <v>0.2211431689</v>
      </c>
      <c r="V124" s="14">
        <f>IF(A124="","",ARBITRAGES!M125)</f>
        <v>13458.18815</v>
      </c>
      <c r="W124" s="342">
        <f>IF(V124="","",'Historique détail'!U124)</f>
        <v>60857.35417</v>
      </c>
      <c r="X124" s="288"/>
      <c r="Y124" s="289"/>
      <c r="Z124" s="289"/>
      <c r="AA124" s="289"/>
      <c r="AB124" s="289"/>
      <c r="AC124" s="289"/>
      <c r="AD124" s="289"/>
      <c r="AE124" s="289"/>
      <c r="AF124" s="289"/>
      <c r="AG124" s="289"/>
      <c r="AH124" s="289"/>
      <c r="AI124" s="289"/>
      <c r="AJ124" s="289"/>
      <c r="AK124" s="289"/>
      <c r="AL124" s="289"/>
      <c r="AM124" s="289"/>
      <c r="AN124" s="289"/>
      <c r="AO124" s="289"/>
      <c r="AP124" s="289"/>
      <c r="AQ124" s="289"/>
      <c r="AR124" s="289"/>
      <c r="AS124" s="289"/>
      <c r="AT124" s="289"/>
      <c r="AU124" s="289"/>
      <c r="AV124" s="289"/>
      <c r="AW124" s="289"/>
      <c r="AX124" s="289"/>
      <c r="AY124" s="289"/>
      <c r="AZ124" s="289"/>
      <c r="BA124" s="289"/>
      <c r="BB124" s="289"/>
    </row>
    <row r="125">
      <c r="A125" s="290">
        <f>PRIX!A126</f>
        <v>45880</v>
      </c>
      <c r="B125" s="302">
        <f t="shared" si="1"/>
        <v>0.7533566962</v>
      </c>
      <c r="C125" s="341">
        <f>IF(A125="","",'Historique détail'!B125/$W125)</f>
        <v>0.3454256486</v>
      </c>
      <c r="D125" s="341">
        <f>IF(B125="","",'Historique détail'!C125/$W125)</f>
        <v>0.1257541923</v>
      </c>
      <c r="E125" s="341">
        <f>IF(C125="","",'Historique détail'!D125/$W125)</f>
        <v>0.01330333192</v>
      </c>
      <c r="F125" s="341">
        <f>IF(D125="","",'Historique détail'!E125/$W125)</f>
        <v>0.06844508186</v>
      </c>
      <c r="G125" s="341">
        <f>IF(E125="","",'Historique détail'!F125/$W125)</f>
        <v>0.07347098855</v>
      </c>
      <c r="H125" s="341">
        <f>IF(F125="","",'Historique détail'!G125/$W125)</f>
        <v>0</v>
      </c>
      <c r="I125" s="341">
        <f>IF(G125="","",'Historique détail'!H125/$W125)</f>
        <v>0.03559057782</v>
      </c>
      <c r="J125" s="341">
        <f>IF(H125="","",'Historique détail'!I125/$W125)</f>
        <v>0.01573428671</v>
      </c>
      <c r="K125" s="341">
        <f>IF(I125="","",'Historique détail'!J125/$W125)</f>
        <v>0.004474238734</v>
      </c>
      <c r="L125" s="341">
        <f>IF(J125="","",'Historique détail'!K125/$W125)</f>
        <v>0.005854501802</v>
      </c>
      <c r="M125" s="341">
        <f>IF(K125="","",'Historique détail'!L125/$W125)</f>
        <v>0</v>
      </c>
      <c r="N125" s="341">
        <f>IF(L125="","",'Historique détail'!M125/$W125)</f>
        <v>0.04580612984</v>
      </c>
      <c r="O125" s="341">
        <f>IF(M125="","",'Historique détail'!N125/$W125)</f>
        <v>0</v>
      </c>
      <c r="P125" s="341">
        <f>IF(N125="","",'Historique détail'!O125/$W125)</f>
        <v>0.01481708046</v>
      </c>
      <c r="Q125" s="341">
        <f>IF(O125="","",'Historique détail'!P125/$W125)</f>
        <v>0.0000000008882119887</v>
      </c>
      <c r="R125" s="341">
        <f>IF(P125="","",'Historique détail'!Q125/$W125)</f>
        <v>0.004680636675</v>
      </c>
      <c r="S125" s="341">
        <f>IF(Q125="","",'Historique détail'!R125/$W125)</f>
        <v>0</v>
      </c>
      <c r="T125" s="341">
        <f>IF(R125="","",'Historique détail'!S125/$W125)</f>
        <v>0</v>
      </c>
      <c r="U125" s="340">
        <f t="shared" si="2"/>
        <v>0.2466433038</v>
      </c>
      <c r="V125" s="14">
        <f>IF(A125="","",ARBITRAGES!M126)</f>
        <v>15258.18815</v>
      </c>
      <c r="W125" s="342">
        <f>IF(V125="","",'Historique détail'!U125)</f>
        <v>61863.37888</v>
      </c>
      <c r="X125" s="288"/>
      <c r="Y125" s="289"/>
      <c r="Z125" s="289"/>
      <c r="AA125" s="289"/>
      <c r="AB125" s="289"/>
      <c r="AC125" s="289"/>
      <c r="AD125" s="289"/>
      <c r="AE125" s="289"/>
      <c r="AF125" s="289"/>
      <c r="AG125" s="289"/>
      <c r="AH125" s="289"/>
      <c r="AI125" s="289"/>
      <c r="AJ125" s="289"/>
      <c r="AK125" s="289"/>
      <c r="AL125" s="289"/>
      <c r="AM125" s="289"/>
      <c r="AN125" s="289"/>
      <c r="AO125" s="289"/>
      <c r="AP125" s="289"/>
      <c r="AQ125" s="289"/>
      <c r="AR125" s="289"/>
      <c r="AS125" s="289"/>
      <c r="AT125" s="289"/>
      <c r="AU125" s="289"/>
      <c r="AV125" s="289"/>
      <c r="AW125" s="289"/>
      <c r="AX125" s="289"/>
      <c r="AY125" s="289"/>
      <c r="AZ125" s="289"/>
      <c r="BA125" s="289"/>
      <c r="BB125" s="289"/>
    </row>
    <row r="126">
      <c r="A126" s="290">
        <f>PRIX!A127</f>
        <v>45880</v>
      </c>
      <c r="B126" s="302">
        <f t="shared" si="1"/>
        <v>0.7562781526</v>
      </c>
      <c r="C126" s="341">
        <f>IF(A126="","",'Historique détail'!B126/$W126)</f>
        <v>0.3483668863</v>
      </c>
      <c r="D126" s="341">
        <f>IF(B126="","",'Historique détail'!C126/$W126)</f>
        <v>0.1257480943</v>
      </c>
      <c r="E126" s="341">
        <f>IF(C126="","",'Historique détail'!D126/$W126)</f>
        <v>0.01330268682</v>
      </c>
      <c r="F126" s="341">
        <f>IF(D126="","",'Historique détail'!E126/$W126)</f>
        <v>0.06844176285</v>
      </c>
      <c r="G126" s="341">
        <f>IF(E126="","",'Historique détail'!F126/$W126)</f>
        <v>0.07346742582</v>
      </c>
      <c r="H126" s="341">
        <f>IF(F126="","",'Historique détail'!G126/$W126)</f>
        <v>0</v>
      </c>
      <c r="I126" s="341">
        <f>IF(G126="","",'Historique détail'!H126/$W126)</f>
        <v>0.03558885197</v>
      </c>
      <c r="J126" s="341">
        <f>IF(H126="","",'Historique détail'!I126/$W126)</f>
        <v>0.01573352373</v>
      </c>
      <c r="K126" s="341">
        <f>IF(I126="","",'Historique détail'!J126/$W126)</f>
        <v>0.004474021771</v>
      </c>
      <c r="L126" s="341">
        <f>IF(J126="","",'Historique détail'!K126/$W126)</f>
        <v>0.005854217907</v>
      </c>
      <c r="M126" s="341">
        <f>IF(K126="","",'Historique détail'!L126/$W126)</f>
        <v>0</v>
      </c>
      <c r="N126" s="341">
        <f>IF(L126="","",'Historique détail'!M126/$W126)</f>
        <v>0.04580390862</v>
      </c>
      <c r="O126" s="341">
        <f>IF(M126="","",'Historique détail'!N126/$W126)</f>
        <v>0</v>
      </c>
      <c r="P126" s="341">
        <f>IF(N126="","",'Historique détail'!O126/$W126)</f>
        <v>0.01481636195</v>
      </c>
      <c r="Q126" s="341">
        <f>IF(O126="","",'Historique détail'!P126/$W126)</f>
        <v>0.0000000008881689178</v>
      </c>
      <c r="R126" s="341">
        <f>IF(P126="","",'Historique détail'!Q126/$W126)</f>
        <v>0.004680409703</v>
      </c>
      <c r="S126" s="341">
        <f>IF(Q126="","",'Historique détail'!R126/$W126)</f>
        <v>0</v>
      </c>
      <c r="T126" s="341">
        <f>IF(R126="","",'Historique détail'!S126/$W126)</f>
        <v>0</v>
      </c>
      <c r="U126" s="340">
        <f t="shared" si="2"/>
        <v>0.2437218474</v>
      </c>
      <c r="V126" s="14">
        <f>IF(A126="","",ARBITRAGES!M127)</f>
        <v>15078.18815</v>
      </c>
      <c r="W126" s="342">
        <f>IF(V126="","",'Historique détail'!U126)</f>
        <v>61866.37888</v>
      </c>
      <c r="X126" s="288"/>
      <c r="Y126" s="289"/>
      <c r="Z126" s="289"/>
      <c r="AA126" s="289"/>
      <c r="AB126" s="289"/>
      <c r="AC126" s="289"/>
      <c r="AD126" s="289"/>
      <c r="AE126" s="289"/>
      <c r="AF126" s="289"/>
      <c r="AG126" s="289"/>
      <c r="AH126" s="289"/>
      <c r="AI126" s="289"/>
      <c r="AJ126" s="289"/>
      <c r="AK126" s="289"/>
      <c r="AL126" s="289"/>
      <c r="AM126" s="289"/>
      <c r="AN126" s="289"/>
      <c r="AO126" s="289"/>
      <c r="AP126" s="289"/>
      <c r="AQ126" s="289"/>
      <c r="AR126" s="289"/>
      <c r="AS126" s="289"/>
      <c r="AT126" s="289"/>
      <c r="AU126" s="289"/>
      <c r="AV126" s="289"/>
      <c r="AW126" s="289"/>
      <c r="AX126" s="289"/>
      <c r="AY126" s="289"/>
      <c r="AZ126" s="289"/>
      <c r="BA126" s="289"/>
      <c r="BB126" s="289"/>
    </row>
    <row r="127">
      <c r="A127" s="290">
        <f>PRIX!A128</f>
        <v>45880</v>
      </c>
      <c r="B127" s="302">
        <f t="shared" si="1"/>
        <v>0.7659844834</v>
      </c>
      <c r="C127" s="341">
        <f>IF(A127="","",'Historique détail'!B127/$W127)</f>
        <v>0.3581556279</v>
      </c>
      <c r="D127" s="341">
        <f>IF(B127="","",'Historique détail'!C127/$W127)</f>
        <v>0.1257226892</v>
      </c>
      <c r="E127" s="341">
        <f>IF(C127="","",'Historique détail'!D127/$W127)</f>
        <v>0.01329999926</v>
      </c>
      <c r="F127" s="341">
        <f>IF(D127="","",'Historique détail'!E127/$W127)</f>
        <v>0.06842793548</v>
      </c>
      <c r="G127" s="341">
        <f>IF(E127="","",'Historique détail'!F127/$W127)</f>
        <v>0.07345258311</v>
      </c>
      <c r="H127" s="341">
        <f>IF(F127="","",'Historique détail'!G127/$W127)</f>
        <v>0</v>
      </c>
      <c r="I127" s="341">
        <f>IF(G127="","",'Historique détail'!H127/$W127)</f>
        <v>0.03558166192</v>
      </c>
      <c r="J127" s="341">
        <f>IF(H127="","",'Historique détail'!I127/$W127)</f>
        <v>0.01573034507</v>
      </c>
      <c r="K127" s="341">
        <f>IF(I127="","",'Historique détail'!J127/$W127)</f>
        <v>0.004473117879</v>
      </c>
      <c r="L127" s="341">
        <f>IF(J127="","",'Historique détail'!K127/$W127)</f>
        <v>0.005853035173</v>
      </c>
      <c r="M127" s="341">
        <f>IF(K127="","",'Historique détail'!L127/$W127)</f>
        <v>0</v>
      </c>
      <c r="N127" s="341">
        <f>IF(L127="","",'Historique détail'!M127/$W127)</f>
        <v>0.0457946548</v>
      </c>
      <c r="O127" s="341">
        <f>IF(M127="","",'Historique détail'!N127/$W127)</f>
        <v>0</v>
      </c>
      <c r="P127" s="341">
        <f>IF(N127="","",'Historique détail'!O127/$W127)</f>
        <v>0.01481336859</v>
      </c>
      <c r="Q127" s="341">
        <f>IF(O127="","",'Historique détail'!P127/$W127)</f>
        <v>0.00000000088798948</v>
      </c>
      <c r="R127" s="341">
        <f>IF(P127="","",'Historique détail'!Q127/$W127)</f>
        <v>0.004679464114</v>
      </c>
      <c r="S127" s="341">
        <f>IF(Q127="","",'Historique détail'!R127/$W127)</f>
        <v>0</v>
      </c>
      <c r="T127" s="341">
        <f>IF(R127="","",'Historique détail'!S127/$W127)</f>
        <v>0</v>
      </c>
      <c r="U127" s="340">
        <f t="shared" si="2"/>
        <v>0.2340155166</v>
      </c>
      <c r="V127" s="14">
        <f>IF(A127="","",ARBITRAGES!M128)</f>
        <v>14480.61815</v>
      </c>
      <c r="W127" s="342">
        <f>IF(V127="","",'Historique détail'!U127)</f>
        <v>61878.88034</v>
      </c>
      <c r="X127" s="288"/>
      <c r="Y127" s="289"/>
      <c r="Z127" s="289"/>
      <c r="AA127" s="289"/>
      <c r="AB127" s="289"/>
      <c r="AC127" s="289"/>
      <c r="AD127" s="289"/>
      <c r="AE127" s="289"/>
      <c r="AF127" s="289"/>
      <c r="AG127" s="289"/>
      <c r="AH127" s="289"/>
      <c r="AI127" s="289"/>
      <c r="AJ127" s="289"/>
      <c r="AK127" s="289"/>
      <c r="AL127" s="289"/>
      <c r="AM127" s="289"/>
      <c r="AN127" s="289"/>
      <c r="AO127" s="289"/>
      <c r="AP127" s="289"/>
      <c r="AQ127" s="289"/>
      <c r="AR127" s="289"/>
      <c r="AS127" s="289"/>
      <c r="AT127" s="289"/>
      <c r="AU127" s="289"/>
      <c r="AV127" s="289"/>
      <c r="AW127" s="289"/>
      <c r="AX127" s="289"/>
      <c r="AY127" s="289"/>
      <c r="AZ127" s="289"/>
      <c r="BA127" s="289"/>
      <c r="BB127" s="289"/>
    </row>
    <row r="128">
      <c r="A128" s="290">
        <f>PRIX!A129</f>
        <v>45881</v>
      </c>
      <c r="B128" s="302">
        <f t="shared" si="1"/>
        <v>0.7789828338</v>
      </c>
      <c r="C128" s="341">
        <f>IF(A128="","",'Historique détail'!B128/$W128)</f>
        <v>0.3561856902</v>
      </c>
      <c r="D128" s="341">
        <f>IF(B128="","",'Historique détail'!C128/$W128)</f>
        <v>0.1338998138</v>
      </c>
      <c r="E128" s="341">
        <f>IF(C128="","",'Historique détail'!D128/$W128)</f>
        <v>0.01342511942</v>
      </c>
      <c r="F128" s="341">
        <f>IF(D128="","",'Historique détail'!E128/$W128)</f>
        <v>0.07208229625</v>
      </c>
      <c r="G128" s="341">
        <f>IF(E128="","",'Historique détail'!F128/$W128)</f>
        <v>0.07436066135</v>
      </c>
      <c r="H128" s="341">
        <f>IF(F128="","",'Historique détail'!G128/$W128)</f>
        <v>0</v>
      </c>
      <c r="I128" s="341">
        <f>IF(G128="","",'Historique détail'!H128/$W128)</f>
        <v>0.03624668492</v>
      </c>
      <c r="J128" s="341">
        <f>IF(H128="","",'Historique détail'!I128/$W128)</f>
        <v>0.01644596061</v>
      </c>
      <c r="K128" s="341">
        <f>IF(I128="","",'Historique détail'!J128/$W128)</f>
        <v>0.004520032099</v>
      </c>
      <c r="L128" s="341">
        <f>IF(J128="","",'Historique détail'!K128/$W128)</f>
        <v>0.006003360691</v>
      </c>
      <c r="M128" s="341">
        <f>IF(K128="","",'Historique détail'!L128/$W128)</f>
        <v>0</v>
      </c>
      <c r="N128" s="341">
        <f>IF(L128="","",'Historique détail'!M128/$W128)</f>
        <v>0.04678141625</v>
      </c>
      <c r="O128" s="341">
        <f>IF(M128="","",'Historique détail'!N128/$W128)</f>
        <v>0</v>
      </c>
      <c r="P128" s="341">
        <f>IF(N128="","",'Historique détail'!O128/$W128)</f>
        <v>0.01443413416</v>
      </c>
      <c r="Q128" s="341">
        <f>IF(O128="","",'Historique détail'!P128/$W128)</f>
        <v>0.0000000009563358206</v>
      </c>
      <c r="R128" s="341">
        <f>IF(P128="","",'Historique détail'!Q128/$W128)</f>
        <v>0.004597663199</v>
      </c>
      <c r="S128" s="341">
        <f>IF(Q128="","",'Historique détail'!R128/$W128)</f>
        <v>0</v>
      </c>
      <c r="T128" s="341">
        <f>IF(R128="","",'Historique détail'!S128/$W128)</f>
        <v>0</v>
      </c>
      <c r="U128" s="340">
        <f t="shared" si="2"/>
        <v>0.2210171662</v>
      </c>
      <c r="V128" s="14">
        <f>IF(A128="","",ARBITRAGES!M129)</f>
        <v>14035.61815</v>
      </c>
      <c r="W128" s="342">
        <f>IF(V128="","",'Historique détail'!U128)</f>
        <v>63504.65168</v>
      </c>
      <c r="X128" s="288"/>
      <c r="Y128" s="289"/>
      <c r="Z128" s="289"/>
      <c r="AA128" s="289"/>
      <c r="AB128" s="289"/>
      <c r="AC128" s="289"/>
      <c r="AD128" s="289"/>
      <c r="AE128" s="289"/>
      <c r="AF128" s="289"/>
      <c r="AG128" s="289"/>
      <c r="AH128" s="289"/>
      <c r="AI128" s="289"/>
      <c r="AJ128" s="289"/>
      <c r="AK128" s="289"/>
      <c r="AL128" s="289"/>
      <c r="AM128" s="289"/>
      <c r="AN128" s="289"/>
      <c r="AO128" s="289"/>
      <c r="AP128" s="289"/>
      <c r="AQ128" s="289"/>
      <c r="AR128" s="289"/>
      <c r="AS128" s="289"/>
      <c r="AT128" s="289"/>
      <c r="AU128" s="289"/>
      <c r="AV128" s="289"/>
      <c r="AW128" s="289"/>
      <c r="AX128" s="289"/>
      <c r="AY128" s="289"/>
      <c r="AZ128" s="289"/>
      <c r="BA128" s="289"/>
      <c r="BB128" s="289"/>
    </row>
    <row r="129">
      <c r="A129" s="290">
        <f>PRIX!A130</f>
        <v>45882</v>
      </c>
      <c r="B129" s="302">
        <f t="shared" si="1"/>
        <v>0.7634154203</v>
      </c>
      <c r="C129" s="341">
        <f>IF(A129="","",'Historique détail'!B129/$W129)</f>
        <v>0.3561739121</v>
      </c>
      <c r="D129" s="341">
        <f>IF(B129="","",'Historique détail'!C129/$W129)</f>
        <v>0.1183537314</v>
      </c>
      <c r="E129" s="341">
        <f>IF(C129="","",'Historique détail'!D129/$W129)</f>
        <v>0.01342467548</v>
      </c>
      <c r="F129" s="341">
        <f>IF(D129="","",'Historique détail'!E129/$W129)</f>
        <v>0.07207991267</v>
      </c>
      <c r="G129" s="341">
        <f>IF(E129="","",'Historique détail'!F129/$W129)</f>
        <v>0.07435820244</v>
      </c>
      <c r="H129" s="341">
        <f>IF(F129="","",'Historique détail'!G129/$W129)</f>
        <v>0</v>
      </c>
      <c r="I129" s="341">
        <f>IF(G129="","",'Historique détail'!H129/$W129)</f>
        <v>0.03624548633</v>
      </c>
      <c r="J129" s="341">
        <f>IF(H129="","",'Historique détail'!I129/$W129)</f>
        <v>0.01644541679</v>
      </c>
      <c r="K129" s="341">
        <f>IF(I129="","",'Historique détail'!J129/$W129)</f>
        <v>0.004519882633</v>
      </c>
      <c r="L129" s="341">
        <f>IF(J129="","",'Historique détail'!K129/$W129)</f>
        <v>0.006003162176</v>
      </c>
      <c r="M129" s="341">
        <f>IF(K129="","",'Historique détail'!L129/$W129)</f>
        <v>0</v>
      </c>
      <c r="N129" s="341">
        <f>IF(L129="","",'Historique détail'!M129/$W129)</f>
        <v>0.04677986931</v>
      </c>
      <c r="O129" s="341">
        <f>IF(M129="","",'Historique détail'!N129/$W129)</f>
        <v>0</v>
      </c>
      <c r="P129" s="341">
        <f>IF(N129="","",'Historique détail'!O129/$W129)</f>
        <v>0.01443365686</v>
      </c>
      <c r="Q129" s="341">
        <f>IF(O129="","",'Historique détail'!P129/$W129)</f>
        <v>0.0000000009563041971</v>
      </c>
      <c r="R129" s="341">
        <f>IF(P129="","",'Historique détail'!Q129/$W129)</f>
        <v>0.004597511167</v>
      </c>
      <c r="S129" s="341">
        <f>IF(Q129="","",'Historique détail'!R129/$W129)</f>
        <v>0</v>
      </c>
      <c r="T129" s="341">
        <f>IF(R129="","",'Historique détail'!S129/$W129)</f>
        <v>0</v>
      </c>
      <c r="U129" s="340">
        <f t="shared" si="2"/>
        <v>0.2365845797</v>
      </c>
      <c r="V129" s="14">
        <f>IF(A129="","",ARBITRAGES!M130)</f>
        <v>15024.71815</v>
      </c>
      <c r="W129" s="342">
        <f>IF(V129="","",'Historique détail'!U129)</f>
        <v>63506.75168</v>
      </c>
      <c r="X129" s="288"/>
      <c r="Y129" s="289"/>
      <c r="Z129" s="289"/>
      <c r="AA129" s="289"/>
      <c r="AB129" s="289"/>
      <c r="AC129" s="289"/>
      <c r="AD129" s="289"/>
      <c r="AE129" s="289"/>
      <c r="AF129" s="289"/>
      <c r="AG129" s="289"/>
      <c r="AH129" s="289"/>
      <c r="AI129" s="289"/>
      <c r="AJ129" s="289"/>
      <c r="AK129" s="289"/>
      <c r="AL129" s="289"/>
      <c r="AM129" s="289"/>
      <c r="AN129" s="289"/>
      <c r="AO129" s="289"/>
      <c r="AP129" s="289"/>
      <c r="AQ129" s="289"/>
      <c r="AR129" s="289"/>
      <c r="AS129" s="289"/>
      <c r="AT129" s="289"/>
      <c r="AU129" s="289"/>
      <c r="AV129" s="289"/>
      <c r="AW129" s="289"/>
      <c r="AX129" s="289"/>
      <c r="AY129" s="289"/>
      <c r="AZ129" s="289"/>
      <c r="BA129" s="289"/>
      <c r="BB129" s="289"/>
    </row>
    <row r="130">
      <c r="A130" s="290">
        <f>PRIX!A131</f>
        <v>45882</v>
      </c>
      <c r="B130" s="302">
        <f t="shared" si="1"/>
        <v>0.7585198004</v>
      </c>
      <c r="C130" s="341">
        <f>IF(A130="","",'Historique détail'!B130/$W130)</f>
        <v>0.3546749001</v>
      </c>
      <c r="D130" s="341">
        <f>IF(B130="","",'Historique détail'!C130/$W130)</f>
        <v>0.119109405</v>
      </c>
      <c r="E130" s="341">
        <f>IF(C130="","",'Historique détail'!D130/$W130)</f>
        <v>0.01375453916</v>
      </c>
      <c r="F130" s="341">
        <f>IF(D130="","",'Historique détail'!E130/$W130)</f>
        <v>0.06768858288</v>
      </c>
      <c r="G130" s="341">
        <f>IF(E130="","",'Historique détail'!F130/$W130)</f>
        <v>0.07219412329</v>
      </c>
      <c r="H130" s="341">
        <f>IF(F130="","",'Historique détail'!G130/$W130)</f>
        <v>0</v>
      </c>
      <c r="I130" s="341">
        <f>IF(G130="","",'Historique détail'!H130/$W130)</f>
        <v>0.03766220004</v>
      </c>
      <c r="J130" s="341">
        <f>IF(H130="","",'Historique détail'!I130/$W130)</f>
        <v>0.01637620375</v>
      </c>
      <c r="K130" s="341">
        <f>IF(I130="","",'Historique détail'!J130/$W130)</f>
        <v>0.004500860022</v>
      </c>
      <c r="L130" s="341">
        <f>IF(J130="","",'Historique détail'!K130/$W130)</f>
        <v>0.005878265341</v>
      </c>
      <c r="M130" s="341">
        <f>IF(K130="","",'Historique détail'!L130/$W130)</f>
        <v>0</v>
      </c>
      <c r="N130" s="341">
        <f>IF(L130="","",'Historique détail'!M130/$W130)</f>
        <v>0.04772964733</v>
      </c>
      <c r="O130" s="341">
        <f>IF(M130="","",'Historique détail'!N130/$W130)</f>
        <v>0</v>
      </c>
      <c r="P130" s="341">
        <f>IF(N130="","",'Historique détail'!O130/$W130)</f>
        <v>0.01437291063</v>
      </c>
      <c r="Q130" s="341">
        <f>IF(O130="","",'Historique détail'!P130/$W130)</f>
        <v>0.0000000009522794459</v>
      </c>
      <c r="R130" s="341">
        <f>IF(P130="","",'Historique détail'!Q130/$W130)</f>
        <v>0.004578161844</v>
      </c>
      <c r="S130" s="341">
        <f>IF(Q130="","",'Historique détail'!R130/$W130)</f>
        <v>0</v>
      </c>
      <c r="T130" s="341">
        <f>IF(R130="","",'Historique détail'!S130/$W130)</f>
        <v>0</v>
      </c>
      <c r="U130" s="340">
        <f t="shared" si="2"/>
        <v>0.2414801996</v>
      </c>
      <c r="V130" s="14">
        <f>IF(A130="","",ARBITRAGES!M131)</f>
        <v>15400.43815</v>
      </c>
      <c r="W130" s="342">
        <f>IF(V130="","",'Historique détail'!U130)</f>
        <v>63775.15911</v>
      </c>
      <c r="X130" s="288"/>
      <c r="Y130" s="289"/>
      <c r="Z130" s="289"/>
      <c r="AA130" s="289"/>
      <c r="AB130" s="289"/>
      <c r="AC130" s="289"/>
      <c r="AD130" s="289"/>
      <c r="AE130" s="289"/>
      <c r="AF130" s="289"/>
      <c r="AG130" s="289"/>
      <c r="AH130" s="289"/>
      <c r="AI130" s="289"/>
      <c r="AJ130" s="289"/>
      <c r="AK130" s="289"/>
      <c r="AL130" s="289"/>
      <c r="AM130" s="289"/>
      <c r="AN130" s="289"/>
      <c r="AO130" s="289"/>
      <c r="AP130" s="289"/>
      <c r="AQ130" s="289"/>
      <c r="AR130" s="289"/>
      <c r="AS130" s="289"/>
      <c r="AT130" s="289"/>
      <c r="AU130" s="289"/>
      <c r="AV130" s="289"/>
      <c r="AW130" s="289"/>
      <c r="AX130" s="289"/>
      <c r="AY130" s="289"/>
      <c r="AZ130" s="289"/>
      <c r="BA130" s="289"/>
      <c r="BB130" s="289"/>
    </row>
    <row r="131">
      <c r="A131" s="290">
        <f>PRIX!A132</f>
        <v>45882</v>
      </c>
      <c r="B131" s="302">
        <f t="shared" si="1"/>
        <v>0.7511139122</v>
      </c>
      <c r="C131" s="341">
        <f>IF(A131="","",'Historique détail'!B131/$W131)</f>
        <v>0.354614153</v>
      </c>
      <c r="D131" s="341">
        <f>IF(B131="","",'Historique détail'!C131/$W131)</f>
        <v>0.1118130322</v>
      </c>
      <c r="E131" s="341">
        <f>IF(C131="","",'Historique détail'!D131/$W131)</f>
        <v>0.01375218334</v>
      </c>
      <c r="F131" s="341">
        <f>IF(D131="","",'Historique détail'!E131/$W131)</f>
        <v>0.06767698948</v>
      </c>
      <c r="G131" s="341">
        <f>IF(E131="","",'Historique détail'!F131/$W131)</f>
        <v>0.0721817582</v>
      </c>
      <c r="H131" s="341">
        <f>IF(F131="","",'Historique détail'!G131/$W131)</f>
        <v>0</v>
      </c>
      <c r="I131" s="341">
        <f>IF(G131="","",'Historique détail'!H131/$W131)</f>
        <v>0.03765574943</v>
      </c>
      <c r="J131" s="341">
        <f>IF(H131="","",'Historique détail'!I131/$W131)</f>
        <v>0.01637339891</v>
      </c>
      <c r="K131" s="341">
        <f>IF(I131="","",'Historique détail'!J131/$W131)</f>
        <v>0.004500089134</v>
      </c>
      <c r="L131" s="341">
        <f>IF(J131="","",'Historique détail'!K131/$W131)</f>
        <v>0.005877258538</v>
      </c>
      <c r="M131" s="341">
        <f>IF(K131="","",'Historique détail'!L131/$W131)</f>
        <v>0</v>
      </c>
      <c r="N131" s="341">
        <f>IF(L131="","",'Historique détail'!M131/$W131)</f>
        <v>0.04772147241</v>
      </c>
      <c r="O131" s="341">
        <f>IF(M131="","",'Historique détail'!N131/$W131)</f>
        <v>0</v>
      </c>
      <c r="P131" s="341">
        <f>IF(N131="","",'Historique détail'!O131/$W131)</f>
        <v>0.0143704489</v>
      </c>
      <c r="Q131" s="341">
        <f>IF(O131="","",'Historique détail'!P131/$W131)</f>
        <v>0.0000000009521163436</v>
      </c>
      <c r="R131" s="341">
        <f>IF(P131="","",'Historique détail'!Q131/$W131)</f>
        <v>0.004577377716</v>
      </c>
      <c r="S131" s="341">
        <f>IF(Q131="","",'Historique détail'!R131/$W131)</f>
        <v>0</v>
      </c>
      <c r="T131" s="341">
        <f>IF(R131="","",'Historique détail'!S131/$W131)</f>
        <v>0</v>
      </c>
      <c r="U131" s="340">
        <f t="shared" si="2"/>
        <v>0.2488860878</v>
      </c>
      <c r="V131" s="14">
        <f>IF(A131="","",ARBITRAGES!M132)</f>
        <v>15875.46893</v>
      </c>
      <c r="W131" s="342">
        <f>IF(V131="","",'Historique détail'!U131)</f>
        <v>63786.08411</v>
      </c>
      <c r="X131" s="288"/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289"/>
      <c r="AM131" s="289"/>
      <c r="AN131" s="289"/>
      <c r="AO131" s="289"/>
      <c r="AP131" s="289"/>
      <c r="AQ131" s="289"/>
      <c r="AR131" s="289"/>
      <c r="AS131" s="289"/>
      <c r="AT131" s="289"/>
      <c r="AU131" s="289"/>
      <c r="AV131" s="289"/>
      <c r="AW131" s="289"/>
      <c r="AX131" s="289"/>
      <c r="AY131" s="289"/>
      <c r="AZ131" s="289"/>
      <c r="BA131" s="289"/>
      <c r="BB131" s="289"/>
    </row>
    <row r="132">
      <c r="A132" s="290">
        <f>PRIX!A133</f>
        <v>45883</v>
      </c>
      <c r="B132" s="302">
        <f t="shared" si="1"/>
        <v>0.7452024126</v>
      </c>
      <c r="C132" s="341">
        <f>IF(A132="","",'Historique détail'!B132/$W132)</f>
        <v>0.3546331672</v>
      </c>
      <c r="D132" s="341">
        <f>IF(B132="","",'Historique détail'!C132/$W132)</f>
        <v>0.1118190276</v>
      </c>
      <c r="E132" s="341">
        <f>IF(C132="","",'Historique détail'!D132/$W132)</f>
        <v>0.01375292073</v>
      </c>
      <c r="F132" s="341">
        <f>IF(D132="","",'Historique détail'!E132/$W132)</f>
        <v>0.06768061829</v>
      </c>
      <c r="G132" s="341">
        <f>IF(E132="","",'Historique détail'!F132/$W132)</f>
        <v>0.07218562856</v>
      </c>
      <c r="H132" s="341">
        <f>IF(F132="","",'Historique détail'!G132/$W132)</f>
        <v>0</v>
      </c>
      <c r="I132" s="341">
        <f>IF(G132="","",'Historique détail'!H132/$W132)</f>
        <v>0.03765776851</v>
      </c>
      <c r="J132" s="341">
        <f>IF(H132="","",'Historique détail'!I132/$W132)</f>
        <v>0.01637427684</v>
      </c>
      <c r="K132" s="341">
        <f>IF(I132="","",'Historique détail'!J132/$W132)</f>
        <v>0.004500330427</v>
      </c>
      <c r="L132" s="341">
        <f>IF(J132="","",'Historique détail'!K132/$W132)</f>
        <v>0.005877573674</v>
      </c>
      <c r="M132" s="341">
        <f>IF(K132="","",'Historique détail'!L132/$W132)</f>
        <v>0</v>
      </c>
      <c r="N132" s="341">
        <f>IF(L132="","",'Historique détail'!M132/$W132)</f>
        <v>0.04177225724</v>
      </c>
      <c r="O132" s="341">
        <f>IF(M132="","",'Historique détail'!N132/$W132)</f>
        <v>0</v>
      </c>
      <c r="P132" s="341">
        <f>IF(N132="","",'Historique détail'!O132/$W132)</f>
        <v>0.01437121944</v>
      </c>
      <c r="Q132" s="341">
        <f>IF(O132="","",'Historique détail'!P132/$W132)</f>
        <v>0.0000000009521673957</v>
      </c>
      <c r="R132" s="341">
        <f>IF(P132="","",'Historique détail'!Q132/$W132)</f>
        <v>0.004577623153</v>
      </c>
      <c r="S132" s="341">
        <f>IF(Q132="","",'Historique détail'!R132/$W132)</f>
        <v>0</v>
      </c>
      <c r="T132" s="341">
        <f>IF(R132="","",'Historique détail'!S132/$W132)</f>
        <v>0</v>
      </c>
      <c r="U132" s="340">
        <f t="shared" si="2"/>
        <v>0.2547975874</v>
      </c>
      <c r="V132" s="14">
        <f>IF(A132="","",ARBITRAGES!M133)</f>
        <v>16251.66893</v>
      </c>
      <c r="W132" s="342">
        <f>IF(V132="","",'Historique détail'!U132)</f>
        <v>63782.66411</v>
      </c>
      <c r="X132" s="288"/>
      <c r="Y132" s="289"/>
      <c r="Z132" s="289"/>
      <c r="AA132" s="289"/>
      <c r="AB132" s="289"/>
      <c r="AC132" s="289"/>
      <c r="AD132" s="289"/>
      <c r="AE132" s="289"/>
      <c r="AF132" s="289"/>
      <c r="AG132" s="289"/>
      <c r="AH132" s="289"/>
      <c r="AI132" s="289"/>
      <c r="AJ132" s="289"/>
      <c r="AK132" s="289"/>
      <c r="AL132" s="289"/>
      <c r="AM132" s="289"/>
      <c r="AN132" s="289"/>
      <c r="AO132" s="289"/>
      <c r="AP132" s="289"/>
      <c r="AQ132" s="289"/>
      <c r="AR132" s="289"/>
      <c r="AS132" s="289"/>
      <c r="AT132" s="289"/>
      <c r="AU132" s="289"/>
      <c r="AV132" s="289"/>
      <c r="AW132" s="289"/>
      <c r="AX132" s="289"/>
      <c r="AY132" s="289"/>
      <c r="AZ132" s="289"/>
      <c r="BA132" s="289"/>
      <c r="BB132" s="289"/>
    </row>
    <row r="133">
      <c r="A133" s="290">
        <f>PRIX!A134</f>
        <v>45886</v>
      </c>
      <c r="B133" s="302">
        <f t="shared" si="1"/>
        <v>0.7355258554</v>
      </c>
      <c r="C133" s="341">
        <f>IF(A133="","",'Historique détail'!B133/$W133)</f>
        <v>0.3537385784</v>
      </c>
      <c r="D133" s="341">
        <f>IF(B133="","",'Historique détail'!C133/$W133)</f>
        <v>0.1095341249</v>
      </c>
      <c r="E133" s="341">
        <f>IF(C133="","",'Historique détail'!D133/$W133)</f>
        <v>0.01382703082</v>
      </c>
      <c r="F133" s="341">
        <f>IF(D133="","",'Historique détail'!E133/$W133)</f>
        <v>0.06583563252</v>
      </c>
      <c r="G133" s="341">
        <f>IF(E133="","",'Historique détail'!F133/$W133)</f>
        <v>0.07211524042</v>
      </c>
      <c r="H133" s="341">
        <f>IF(F133="","",'Historique détail'!G133/$W133)</f>
        <v>0</v>
      </c>
      <c r="I133" s="341">
        <f>IF(G133="","",'Historique détail'!H133/$W133)</f>
        <v>0.03581722222</v>
      </c>
      <c r="J133" s="341">
        <f>IF(H133="","",'Historique détail'!I133/$W133)</f>
        <v>0.01574004346</v>
      </c>
      <c r="K133" s="341">
        <f>IF(I133="","",'Historique détail'!J133/$W133)</f>
        <v>0.004339165773</v>
      </c>
      <c r="L133" s="341">
        <f>IF(J133="","",'Historique détail'!K133/$W133)</f>
        <v>0.005704926343</v>
      </c>
      <c r="M133" s="341">
        <f>IF(K133="","",'Historique détail'!L133/$W133)</f>
        <v>0</v>
      </c>
      <c r="N133" s="341">
        <f>IF(L133="","",'Historique détail'!M133/$W133)</f>
        <v>0.03912546339</v>
      </c>
      <c r="O133" s="341">
        <f>IF(M133="","",'Historique détail'!N133/$W133)</f>
        <v>0</v>
      </c>
      <c r="P133" s="341">
        <f>IF(N133="","",'Historique détail'!O133/$W133)</f>
        <v>0.01537673937</v>
      </c>
      <c r="Q133" s="341">
        <f>IF(O133="","",'Historique détail'!P133/$W133)</f>
        <v>0.0000000008809749446</v>
      </c>
      <c r="R133" s="341">
        <f>IF(P133="","",'Historique détail'!Q133/$W133)</f>
        <v>0.004371686947</v>
      </c>
      <c r="S133" s="341">
        <f>IF(Q133="","",'Historique détail'!R133/$W133)</f>
        <v>0</v>
      </c>
      <c r="T133" s="341">
        <f>IF(R133="","",'Historique détail'!S133/$W133)</f>
        <v>0</v>
      </c>
      <c r="U133" s="340">
        <f t="shared" si="2"/>
        <v>0.2644741446</v>
      </c>
      <c r="V133" s="14">
        <f>IF(A133="","",ARBITRAGES!M134)</f>
        <v>16495.66893</v>
      </c>
      <c r="W133" s="342">
        <f>IF(V133="","",'Historique détail'!U133)</f>
        <v>62371.57494</v>
      </c>
      <c r="X133" s="288"/>
      <c r="Y133" s="289"/>
      <c r="Z133" s="289"/>
      <c r="AA133" s="289"/>
      <c r="AB133" s="289"/>
      <c r="AC133" s="289"/>
      <c r="AD133" s="289"/>
      <c r="AE133" s="289"/>
      <c r="AF133" s="289"/>
      <c r="AG133" s="289"/>
      <c r="AH133" s="289"/>
      <c r="AI133" s="289"/>
      <c r="AJ133" s="289"/>
      <c r="AK133" s="289"/>
      <c r="AL133" s="289"/>
      <c r="AM133" s="289"/>
      <c r="AN133" s="289"/>
      <c r="AO133" s="289"/>
      <c r="AP133" s="289"/>
      <c r="AQ133" s="289"/>
      <c r="AR133" s="289"/>
      <c r="AS133" s="289"/>
      <c r="AT133" s="289"/>
      <c r="AU133" s="289"/>
      <c r="AV133" s="289"/>
      <c r="AW133" s="289"/>
      <c r="AX133" s="289"/>
      <c r="AY133" s="289"/>
      <c r="AZ133" s="289"/>
      <c r="BA133" s="289"/>
      <c r="BB133" s="289"/>
    </row>
    <row r="134">
      <c r="A134" s="290">
        <f>PRIX!A135</f>
        <v>45887</v>
      </c>
      <c r="B134" s="302">
        <f t="shared" si="1"/>
        <v>0.7322196782</v>
      </c>
      <c r="C134" s="341">
        <f>IF(A134="","",'Historique détail'!B134/$W134)</f>
        <v>0.3526004971</v>
      </c>
      <c r="D134" s="341">
        <f>IF(B134="","",'Historique détail'!C134/$W134)</f>
        <v>0.1130488094</v>
      </c>
      <c r="E134" s="341">
        <f>IF(C134="","",'Historique détail'!D134/$W134)</f>
        <v>0.01365071214</v>
      </c>
      <c r="F134" s="341">
        <f>IF(D134="","",'Historique détail'!E134/$W134)</f>
        <v>0.06268281926</v>
      </c>
      <c r="G134" s="341">
        <f>IF(E134="","",'Historique détail'!F134/$W134)</f>
        <v>0.06930747042</v>
      </c>
      <c r="H134" s="341">
        <f>IF(F134="","",'Historique détail'!G134/$W134)</f>
        <v>0</v>
      </c>
      <c r="I134" s="341">
        <f>IF(G134="","",'Historique détail'!H134/$W134)</f>
        <v>0.03798656436</v>
      </c>
      <c r="J134" s="341">
        <f>IF(H134="","",'Historique détail'!I134/$W134)</f>
        <v>0.01533700836</v>
      </c>
      <c r="K134" s="341">
        <f>IF(I134="","",'Historique détail'!J134/$W134)</f>
        <v>0.00427220881</v>
      </c>
      <c r="L134" s="341">
        <f>IF(J134="","",'Historique détail'!K134/$W134)</f>
        <v>0.005674209801</v>
      </c>
      <c r="M134" s="341">
        <f>IF(K134="","",'Historique détail'!L134/$W134)</f>
        <v>0</v>
      </c>
      <c r="N134" s="341">
        <f>IF(L134="","",'Historique détail'!M134/$W134)</f>
        <v>0.0383713667</v>
      </c>
      <c r="O134" s="341">
        <f>IF(M134="","",'Historique détail'!N134/$W134)</f>
        <v>0</v>
      </c>
      <c r="P134" s="341">
        <f>IF(N134="","",'Historique détail'!O134/$W134)</f>
        <v>0.01501824562</v>
      </c>
      <c r="Q134" s="341">
        <f>IF(O134="","",'Historique détail'!P134/$W134)</f>
        <v>0.0000000008608591033</v>
      </c>
      <c r="R134" s="341">
        <f>IF(P134="","",'Historique détail'!Q134/$W134)</f>
        <v>0.004269765308</v>
      </c>
      <c r="S134" s="341">
        <f>IF(Q134="","",'Historique détail'!R134/$W134)</f>
        <v>0</v>
      </c>
      <c r="T134" s="341">
        <f>IF(R134="","",'Historique détail'!S134/$W134)</f>
        <v>0</v>
      </c>
      <c r="U134" s="340">
        <f t="shared" si="2"/>
        <v>0.2677803218</v>
      </c>
      <c r="V134" s="14">
        <f>IF(A134="","",ARBITRAGES!M135)</f>
        <v>16192.56893</v>
      </c>
      <c r="W134" s="342">
        <f>IF(V134="","",'Historique détail'!U134)</f>
        <v>60469.59993</v>
      </c>
      <c r="X134" s="288"/>
      <c r="Y134" s="289"/>
      <c r="Z134" s="289"/>
      <c r="AA134" s="289"/>
      <c r="AB134" s="289"/>
      <c r="AC134" s="289"/>
      <c r="AD134" s="289"/>
      <c r="AE134" s="289"/>
      <c r="AF134" s="289"/>
      <c r="AG134" s="289"/>
      <c r="AH134" s="289"/>
      <c r="AI134" s="289"/>
      <c r="AJ134" s="289"/>
      <c r="AK134" s="289"/>
      <c r="AL134" s="289"/>
      <c r="AM134" s="289"/>
      <c r="AN134" s="289"/>
      <c r="AO134" s="289"/>
      <c r="AP134" s="289"/>
      <c r="AQ134" s="289"/>
      <c r="AR134" s="289"/>
      <c r="AS134" s="289"/>
      <c r="AT134" s="289"/>
      <c r="AU134" s="289"/>
      <c r="AV134" s="289"/>
      <c r="AW134" s="289"/>
      <c r="AX134" s="289"/>
      <c r="AY134" s="289"/>
      <c r="AZ134" s="289"/>
      <c r="BA134" s="289"/>
      <c r="BB134" s="289"/>
    </row>
    <row r="135">
      <c r="A135" s="290">
        <f>PRIX!A136</f>
        <v>45887</v>
      </c>
      <c r="B135" s="302">
        <f t="shared" si="1"/>
        <v>0.7393522413</v>
      </c>
      <c r="C135" s="341">
        <f>IF(A135="","",'Historique détail'!B135/$W135)</f>
        <v>0.3525713443</v>
      </c>
      <c r="D135" s="341">
        <f>IF(B135="","",'Historique détail'!C135/$W135)</f>
        <v>0.1202325652</v>
      </c>
      <c r="E135" s="341">
        <f>IF(C135="","",'Historique détail'!D135/$W135)</f>
        <v>0.01364958351</v>
      </c>
      <c r="F135" s="341">
        <f>IF(D135="","",'Historique détail'!E135/$W135)</f>
        <v>0.06267763669</v>
      </c>
      <c r="G135" s="341">
        <f>IF(E135="","",'Historique détail'!F135/$W135)</f>
        <v>0.06930174013</v>
      </c>
      <c r="H135" s="341">
        <f>IF(F135="","",'Historique détail'!G135/$W135)</f>
        <v>0</v>
      </c>
      <c r="I135" s="341">
        <f>IF(G135="","",'Historique détail'!H135/$W135)</f>
        <v>0.03798342366</v>
      </c>
      <c r="J135" s="341">
        <f>IF(H135="","",'Historique détail'!I135/$W135)</f>
        <v>0.01533574031</v>
      </c>
      <c r="K135" s="341">
        <f>IF(I135="","",'Historique détail'!J135/$W135)</f>
        <v>0.004271855587</v>
      </c>
      <c r="L135" s="341">
        <f>IF(J135="","",'Historique détail'!K135/$W135)</f>
        <v>0.005673740661</v>
      </c>
      <c r="M135" s="341">
        <f>IF(K135="","",'Historique détail'!L135/$W135)</f>
        <v>0</v>
      </c>
      <c r="N135" s="341">
        <f>IF(L135="","",'Historique détail'!M135/$W135)</f>
        <v>0.03836819418</v>
      </c>
      <c r="O135" s="341">
        <f>IF(M135="","",'Historique détail'!N135/$W135)</f>
        <v>0</v>
      </c>
      <c r="P135" s="341">
        <f>IF(N135="","",'Historique détail'!O135/$W135)</f>
        <v>0.01501700392</v>
      </c>
      <c r="Q135" s="341">
        <f>IF(O135="","",'Historique détail'!P135/$W135)</f>
        <v>0.0000000008607879281</v>
      </c>
      <c r="R135" s="341">
        <f>IF(P135="","",'Historique détail'!Q135/$W135)</f>
        <v>0.004269412287</v>
      </c>
      <c r="S135" s="341">
        <f>IF(Q135="","",'Historique détail'!R135/$W135)</f>
        <v>0</v>
      </c>
      <c r="T135" s="341">
        <f>IF(R135="","",'Historique détail'!S135/$W135)</f>
        <v>0</v>
      </c>
      <c r="U135" s="340">
        <f t="shared" si="2"/>
        <v>0.2606477587</v>
      </c>
      <c r="V135" s="14">
        <f>IF(A135="","",ARBITRAGES!M136)</f>
        <v>15762.56893</v>
      </c>
      <c r="W135" s="342">
        <f>IF(V135="","",'Historique détail'!U135)</f>
        <v>60474.59993</v>
      </c>
      <c r="X135" s="288"/>
      <c r="Y135" s="289"/>
      <c r="Z135" s="289"/>
      <c r="AA135" s="289"/>
      <c r="AB135" s="289"/>
      <c r="AC135" s="289"/>
      <c r="AD135" s="289"/>
      <c r="AE135" s="289"/>
      <c r="AF135" s="289"/>
      <c r="AG135" s="289"/>
      <c r="AH135" s="289"/>
      <c r="AI135" s="289"/>
      <c r="AJ135" s="289"/>
      <c r="AK135" s="289"/>
      <c r="AL135" s="289"/>
      <c r="AM135" s="289"/>
      <c r="AN135" s="289"/>
      <c r="AO135" s="289"/>
      <c r="AP135" s="289"/>
      <c r="AQ135" s="289"/>
      <c r="AR135" s="289"/>
      <c r="AS135" s="289"/>
      <c r="AT135" s="289"/>
      <c r="AU135" s="289"/>
      <c r="AV135" s="289"/>
      <c r="AW135" s="289"/>
      <c r="AX135" s="289"/>
      <c r="AY135" s="289"/>
      <c r="AZ135" s="289"/>
      <c r="BA135" s="289"/>
      <c r="BB135" s="289"/>
    </row>
    <row r="136">
      <c r="A136" s="290">
        <f>PRIX!A137</f>
        <v>45887</v>
      </c>
      <c r="B136" s="302">
        <f t="shared" si="1"/>
        <v>0.7460079282</v>
      </c>
      <c r="C136" s="341">
        <f>IF(A136="","",'Historique détail'!B136/$W136)</f>
        <v>0.3592270312</v>
      </c>
      <c r="D136" s="341">
        <f>IF(B136="","",'Historique détail'!C136/$W136)</f>
        <v>0.1202325652</v>
      </c>
      <c r="E136" s="341">
        <f>IF(C136="","",'Historique détail'!D136/$W136)</f>
        <v>0.01364958351</v>
      </c>
      <c r="F136" s="341">
        <f>IF(D136="","",'Historique détail'!E136/$W136)</f>
        <v>0.06267763669</v>
      </c>
      <c r="G136" s="341">
        <f>IF(E136="","",'Historique détail'!F136/$W136)</f>
        <v>0.06930174013</v>
      </c>
      <c r="H136" s="341">
        <f>IF(F136="","",'Historique détail'!G136/$W136)</f>
        <v>0</v>
      </c>
      <c r="I136" s="341">
        <f>IF(G136="","",'Historique détail'!H136/$W136)</f>
        <v>0.03798342366</v>
      </c>
      <c r="J136" s="341">
        <f>IF(H136="","",'Historique détail'!I136/$W136)</f>
        <v>0.01533574031</v>
      </c>
      <c r="K136" s="341">
        <f>IF(I136="","",'Historique détail'!J136/$W136)</f>
        <v>0.004271855587</v>
      </c>
      <c r="L136" s="341">
        <f>IF(J136="","",'Historique détail'!K136/$W136)</f>
        <v>0.005673740661</v>
      </c>
      <c r="M136" s="341">
        <f>IF(K136="","",'Historique détail'!L136/$W136)</f>
        <v>0</v>
      </c>
      <c r="N136" s="341">
        <f>IF(L136="","",'Historique détail'!M136/$W136)</f>
        <v>0.03836819418</v>
      </c>
      <c r="O136" s="341">
        <f>IF(M136="","",'Historique détail'!N136/$W136)</f>
        <v>0</v>
      </c>
      <c r="P136" s="341">
        <f>IF(N136="","",'Historique détail'!O136/$W136)</f>
        <v>0.01501700392</v>
      </c>
      <c r="Q136" s="341">
        <f>IF(O136="","",'Historique détail'!P136/$W136)</f>
        <v>0.0000000008607879281</v>
      </c>
      <c r="R136" s="341">
        <f>IF(P136="","",'Historique détail'!Q136/$W136)</f>
        <v>0.004269412287</v>
      </c>
      <c r="S136" s="341">
        <f>IF(Q136="","",'Historique détail'!R136/$W136)</f>
        <v>0</v>
      </c>
      <c r="T136" s="341">
        <f>IF(R136="","",'Historique détail'!S136/$W136)</f>
        <v>0</v>
      </c>
      <c r="U136" s="340">
        <f t="shared" si="2"/>
        <v>0.2539920718</v>
      </c>
      <c r="V136" s="14">
        <f>IF(A136="","",ARBITRAGES!M137)</f>
        <v>15360.06893</v>
      </c>
      <c r="W136" s="342">
        <f>IF(V136="","",'Historique détail'!U136)</f>
        <v>60474.59993</v>
      </c>
      <c r="X136" s="288"/>
      <c r="Y136" s="289"/>
      <c r="Z136" s="289"/>
      <c r="AA136" s="289"/>
      <c r="AB136" s="289"/>
      <c r="AC136" s="289"/>
      <c r="AD136" s="289"/>
      <c r="AE136" s="289"/>
      <c r="AF136" s="289"/>
      <c r="AG136" s="289"/>
      <c r="AH136" s="289"/>
      <c r="AI136" s="289"/>
      <c r="AJ136" s="289"/>
      <c r="AK136" s="289"/>
      <c r="AL136" s="289"/>
      <c r="AM136" s="289"/>
      <c r="AN136" s="289"/>
      <c r="AO136" s="289"/>
      <c r="AP136" s="289"/>
      <c r="AQ136" s="289"/>
      <c r="AR136" s="289"/>
      <c r="AS136" s="289"/>
      <c r="AT136" s="289"/>
      <c r="AU136" s="289"/>
      <c r="AV136" s="289"/>
      <c r="AW136" s="289"/>
      <c r="AX136" s="289"/>
      <c r="AY136" s="289"/>
      <c r="AZ136" s="289"/>
      <c r="BA136" s="289"/>
      <c r="BB136" s="289"/>
    </row>
    <row r="137">
      <c r="A137" s="290">
        <f>PRIX!A138</f>
        <v>45888</v>
      </c>
      <c r="B137" s="302">
        <f t="shared" si="1"/>
        <v>0.7489967697</v>
      </c>
      <c r="C137" s="341">
        <f>IF(A137="","",'Historique détail'!B137/$W137)</f>
        <v>0.3592329714</v>
      </c>
      <c r="D137" s="341">
        <f>IF(B137="","",'Historique détail'!C137/$W137)</f>
        <v>0.1202345534</v>
      </c>
      <c r="E137" s="341">
        <f>IF(C137="","",'Historique détail'!D137/$W137)</f>
        <v>0.01364980922</v>
      </c>
      <c r="F137" s="341">
        <f>IF(D137="","",'Historique détail'!E137/$W137)</f>
        <v>0.06565517859</v>
      </c>
      <c r="G137" s="341">
        <f>IF(E137="","",'Historique détail'!F137/$W137)</f>
        <v>0.06930288611</v>
      </c>
      <c r="H137" s="341">
        <f>IF(F137="","",'Historique détail'!G137/$W137)</f>
        <v>0</v>
      </c>
      <c r="I137" s="341">
        <f>IF(G137="","",'Historique détail'!H137/$W137)</f>
        <v>0.03798405176</v>
      </c>
      <c r="J137" s="341">
        <f>IF(H137="","",'Historique détail'!I137/$W137)</f>
        <v>0.0153359939</v>
      </c>
      <c r="K137" s="341">
        <f>IF(I137="","",'Historique détail'!J137/$W137)</f>
        <v>0.004271926227</v>
      </c>
      <c r="L137" s="341">
        <f>IF(J137="","",'Historique détail'!K137/$W137)</f>
        <v>0.005673834483</v>
      </c>
      <c r="M137" s="341">
        <f>IF(K137="","",'Historique détail'!L137/$W137)</f>
        <v>0</v>
      </c>
      <c r="N137" s="341">
        <f>IF(L137="","",'Historique détail'!M137/$W137)</f>
        <v>0.03836882864</v>
      </c>
      <c r="O137" s="341">
        <f>IF(M137="","",'Historique détail'!N137/$W137)</f>
        <v>0</v>
      </c>
      <c r="P137" s="341">
        <f>IF(N137="","",'Historique détail'!O137/$W137)</f>
        <v>0.01501725224</v>
      </c>
      <c r="Q137" s="341">
        <f>IF(O137="","",'Historique détail'!P137/$W137)</f>
        <v>0.0000000008608021622</v>
      </c>
      <c r="R137" s="341">
        <f>IF(P137="","",'Historique détail'!Q137/$W137)</f>
        <v>0.004269482886</v>
      </c>
      <c r="S137" s="341">
        <f>IF(Q137="","",'Historique détail'!R137/$W137)</f>
        <v>0</v>
      </c>
      <c r="T137" s="341">
        <f>IF(R137="","",'Historique détail'!S137/$W137)</f>
        <v>0</v>
      </c>
      <c r="U137" s="340">
        <f t="shared" si="2"/>
        <v>0.2510032303</v>
      </c>
      <c r="V137" s="14">
        <f>IF(A137="","",ARBITRAGES!M138)</f>
        <v>15179.06893</v>
      </c>
      <c r="W137" s="342">
        <f>IF(V137="","",'Historique détail'!U137)</f>
        <v>60473.59993</v>
      </c>
      <c r="X137" s="288"/>
      <c r="Y137" s="289"/>
      <c r="Z137" s="289"/>
      <c r="AA137" s="289"/>
      <c r="AB137" s="289"/>
      <c r="AC137" s="289"/>
      <c r="AD137" s="289"/>
      <c r="AE137" s="289"/>
      <c r="AF137" s="289"/>
      <c r="AG137" s="289"/>
      <c r="AH137" s="289"/>
      <c r="AI137" s="289"/>
      <c r="AJ137" s="289"/>
      <c r="AK137" s="289"/>
      <c r="AL137" s="289"/>
      <c r="AM137" s="289"/>
      <c r="AN137" s="289"/>
      <c r="AO137" s="289"/>
      <c r="AP137" s="289"/>
      <c r="AQ137" s="289"/>
      <c r="AR137" s="289"/>
      <c r="AS137" s="289"/>
      <c r="AT137" s="289"/>
      <c r="AU137" s="289"/>
      <c r="AV137" s="289"/>
      <c r="AW137" s="289"/>
      <c r="AX137" s="289"/>
      <c r="AY137" s="289"/>
      <c r="AZ137" s="289"/>
      <c r="BA137" s="289"/>
      <c r="BB137" s="289"/>
    </row>
    <row r="138">
      <c r="A138" s="290">
        <f>PRIX!A139</f>
        <v>45888</v>
      </c>
      <c r="B138" s="302">
        <f t="shared" si="1"/>
        <v>0.7534768766</v>
      </c>
      <c r="C138" s="341">
        <f>IF(A138="","",'Historique détail'!B138/$W138)</f>
        <v>0.3658240571</v>
      </c>
      <c r="D138" s="341">
        <f>IF(B138="","",'Historique détail'!C138/$W138)</f>
        <v>0.1198739085</v>
      </c>
      <c r="E138" s="341">
        <f>IF(C138="","",'Historique détail'!D138/$W138)</f>
        <v>0.01343834232</v>
      </c>
      <c r="F138" s="341">
        <f>IF(D138="","",'Historique détail'!E138/$W138)</f>
        <v>0.06621938754</v>
      </c>
      <c r="G138" s="341">
        <f>IF(E138="","",'Historique détail'!F138/$W138)</f>
        <v>0.06694498642</v>
      </c>
      <c r="H138" s="341">
        <f>IF(F138="","",'Historique détail'!G138/$W138)</f>
        <v>0</v>
      </c>
      <c r="I138" s="341">
        <f>IF(G138="","",'Historique détail'!H138/$W138)</f>
        <v>0.03906165404</v>
      </c>
      <c r="J138" s="341">
        <f>IF(H138="","",'Historique détail'!I138/$W138)</f>
        <v>0.01498006112</v>
      </c>
      <c r="K138" s="341">
        <f>IF(I138="","",'Historique détail'!J138/$W138)</f>
        <v>0.004240246036</v>
      </c>
      <c r="L138" s="341">
        <f>IF(J138="","",'Historique détail'!K138/$W138)</f>
        <v>0.005510644804</v>
      </c>
      <c r="M138" s="341">
        <f>IF(K138="","",'Historique détail'!L138/$W138)</f>
        <v>0</v>
      </c>
      <c r="N138" s="341">
        <f>IF(L138="","",'Historique détail'!M138/$W138)</f>
        <v>0.03869855185</v>
      </c>
      <c r="O138" s="341">
        <f>IF(M138="","",'Historique détail'!N138/$W138)</f>
        <v>0</v>
      </c>
      <c r="P138" s="341">
        <f>IF(N138="","",'Historique détail'!O138/$W138)</f>
        <v>0.01458008632</v>
      </c>
      <c r="Q138" s="341">
        <f>IF(O138="","",'Historique détail'!P138/$W138)</f>
        <v>0.0000000008199661765</v>
      </c>
      <c r="R138" s="341">
        <f>IF(P138="","",'Historique détail'!Q138/$W138)</f>
        <v>0.004104949738</v>
      </c>
      <c r="S138" s="341">
        <f>IF(Q138="","",'Historique détail'!R138/$W138)</f>
        <v>0</v>
      </c>
      <c r="T138" s="341">
        <f>IF(R138="","",'Historique détail'!S138/$W138)</f>
        <v>0</v>
      </c>
      <c r="U138" s="340">
        <f t="shared" si="2"/>
        <v>0.2465231234</v>
      </c>
      <c r="V138" s="14">
        <f>IF(A138="","",ARBITRAGES!M139)</f>
        <v>14781.11893</v>
      </c>
      <c r="W138" s="342">
        <f>IF(V138="","",'Historique détail'!U138)</f>
        <v>59958.34681</v>
      </c>
      <c r="X138" s="288"/>
      <c r="Y138" s="289"/>
      <c r="Z138" s="289"/>
      <c r="AA138" s="289"/>
      <c r="AB138" s="289"/>
      <c r="AC138" s="289"/>
      <c r="AD138" s="289"/>
      <c r="AE138" s="289"/>
      <c r="AF138" s="289"/>
      <c r="AG138" s="289"/>
      <c r="AH138" s="289"/>
      <c r="AI138" s="289"/>
      <c r="AJ138" s="289"/>
      <c r="AK138" s="289"/>
      <c r="AL138" s="289"/>
      <c r="AM138" s="289"/>
      <c r="AN138" s="289"/>
      <c r="AO138" s="289"/>
      <c r="AP138" s="289"/>
      <c r="AQ138" s="289"/>
      <c r="AR138" s="289"/>
      <c r="AS138" s="289"/>
      <c r="AT138" s="289"/>
      <c r="AU138" s="289"/>
      <c r="AV138" s="289"/>
      <c r="AW138" s="289"/>
      <c r="AX138" s="289"/>
      <c r="AY138" s="289"/>
      <c r="AZ138" s="289"/>
      <c r="BA138" s="289"/>
      <c r="BB138" s="289"/>
    </row>
    <row r="139">
      <c r="A139" s="290">
        <f>PRIX!A140</f>
        <v>45889</v>
      </c>
      <c r="B139" s="302">
        <f t="shared" si="1"/>
        <v>0.7564284971</v>
      </c>
      <c r="C139" s="341">
        <f>IF(A139="","",'Historique détail'!B139/$W139)</f>
        <v>0.3657996535</v>
      </c>
      <c r="D139" s="341">
        <f>IF(B139="","",'Historique détail'!C139/$W139)</f>
        <v>0.1198659119</v>
      </c>
      <c r="E139" s="341">
        <f>IF(C139="","",'Historique détail'!D139/$W139)</f>
        <v>0.01343744586</v>
      </c>
      <c r="F139" s="341">
        <f>IF(D139="","",'Historique détail'!E139/$W139)</f>
        <v>0.06921685398</v>
      </c>
      <c r="G139" s="341">
        <f>IF(E139="","",'Historique détail'!F139/$W139)</f>
        <v>0.06694052062</v>
      </c>
      <c r="H139" s="341">
        <f>IF(F139="","",'Historique détail'!G139/$W139)</f>
        <v>0</v>
      </c>
      <c r="I139" s="341">
        <f>IF(G139="","",'Historique détail'!H139/$W139)</f>
        <v>0.0390590483</v>
      </c>
      <c r="J139" s="341">
        <f>IF(H139="","",'Historique détail'!I139/$W139)</f>
        <v>0.01497906182</v>
      </c>
      <c r="K139" s="341">
        <f>IF(I139="","",'Historique détail'!J139/$W139)</f>
        <v>0.004239963176</v>
      </c>
      <c r="L139" s="341">
        <f>IF(J139="","",'Historique détail'!K139/$W139)</f>
        <v>0.005510277197</v>
      </c>
      <c r="M139" s="341">
        <f>IF(K139="","",'Historique détail'!L139/$W139)</f>
        <v>0</v>
      </c>
      <c r="N139" s="341">
        <f>IF(L139="","",'Historique détail'!M139/$W139)</f>
        <v>0.03869597033</v>
      </c>
      <c r="O139" s="341">
        <f>IF(M139="","",'Historique détail'!N139/$W139)</f>
        <v>0</v>
      </c>
      <c r="P139" s="341">
        <f>IF(N139="","",'Historique détail'!O139/$W139)</f>
        <v>0.01457911371</v>
      </c>
      <c r="Q139" s="341">
        <f>IF(O139="","",'Historique détail'!P139/$W139)</f>
        <v>0.0000000008199114777</v>
      </c>
      <c r="R139" s="341">
        <f>IF(P139="","",'Historique détail'!Q139/$W139)</f>
        <v>0.004104675902</v>
      </c>
      <c r="S139" s="341">
        <f>IF(Q139="","",'Historique détail'!R139/$W139)</f>
        <v>0</v>
      </c>
      <c r="T139" s="341">
        <f>IF(R139="","",'Historique détail'!S139/$W139)</f>
        <v>0</v>
      </c>
      <c r="U139" s="340">
        <f t="shared" si="2"/>
        <v>0.2435715029</v>
      </c>
      <c r="V139" s="14">
        <f>IF(A139="","",ARBITRAGES!M140)</f>
        <v>14605.11893</v>
      </c>
      <c r="W139" s="342">
        <f>IF(V139="","",'Historique détail'!U139)</f>
        <v>59962.34681</v>
      </c>
      <c r="X139" s="288"/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289"/>
      <c r="AM139" s="289"/>
      <c r="AN139" s="289"/>
      <c r="AO139" s="289"/>
      <c r="AP139" s="289"/>
      <c r="AQ139" s="289"/>
      <c r="AR139" s="289"/>
      <c r="AS139" s="289"/>
      <c r="AT139" s="289"/>
      <c r="AU139" s="289"/>
      <c r="AV139" s="289"/>
      <c r="AW139" s="289"/>
      <c r="AX139" s="289"/>
      <c r="AY139" s="289"/>
      <c r="AZ139" s="289"/>
      <c r="BA139" s="289"/>
      <c r="BB139" s="289"/>
    </row>
    <row r="140">
      <c r="A140" s="290">
        <f>PRIX!A141</f>
        <v>45891</v>
      </c>
      <c r="B140" s="302">
        <f t="shared" si="1"/>
        <v>0.7664908165</v>
      </c>
      <c r="C140" s="341">
        <f>IF(A140="","",'Historique détail'!B140/$W140)</f>
        <v>0.3546850254</v>
      </c>
      <c r="D140" s="341">
        <f>IF(B140="","",'Historique détail'!C140/$W140)</f>
        <v>0.1275013846</v>
      </c>
      <c r="E140" s="341">
        <f>IF(C140="","",'Historique détail'!D140/$W140)</f>
        <v>0.01331356361</v>
      </c>
      <c r="F140" s="341">
        <f>IF(D140="","",'Historique détail'!E140/$W140)</f>
        <v>0.0751172426</v>
      </c>
      <c r="G140" s="341">
        <f>IF(E140="","",'Historique détail'!F140/$W140)</f>
        <v>0.06847774629</v>
      </c>
      <c r="H140" s="341">
        <f>IF(F140="","",'Historique détail'!G140/$W140)</f>
        <v>0</v>
      </c>
      <c r="I140" s="341">
        <f>IF(G140="","",'Historique détail'!H140/$W140)</f>
        <v>0.03721928987</v>
      </c>
      <c r="J140" s="341">
        <f>IF(H140="","",'Historique détail'!I140/$W140)</f>
        <v>0.01580045291</v>
      </c>
      <c r="K140" s="341">
        <f>IF(I140="","",'Historique détail'!J140/$W140)</f>
        <v>0.004398662022</v>
      </c>
      <c r="L140" s="341">
        <f>IF(J140="","",'Historique détail'!K140/$W140)</f>
        <v>0.005654634723</v>
      </c>
      <c r="M140" s="341">
        <f>IF(K140="","",'Historique détail'!L140/$W140)</f>
        <v>0</v>
      </c>
      <c r="N140" s="341">
        <f>IF(L140="","",'Historique détail'!M140/$W140)</f>
        <v>0.04372764173</v>
      </c>
      <c r="O140" s="341">
        <f>IF(M140="","",'Historique détail'!N140/$W140)</f>
        <v>0</v>
      </c>
      <c r="P140" s="341">
        <f>IF(N140="","",'Historique détail'!O140/$W140)</f>
        <v>0.01618533043</v>
      </c>
      <c r="Q140" s="341">
        <f>IF(O140="","",'Historique détail'!P140/$W140)</f>
        <v>0.000000001057042152</v>
      </c>
      <c r="R140" s="341">
        <f>IF(P140="","",'Historique détail'!Q140/$W140)</f>
        <v>0.004409841354</v>
      </c>
      <c r="S140" s="341">
        <f>IF(Q140="","",'Historique détail'!R140/$W140)</f>
        <v>0</v>
      </c>
      <c r="T140" s="341">
        <f>IF(R140="","",'Historique détail'!S140/$W140)</f>
        <v>0</v>
      </c>
      <c r="U140" s="340">
        <f t="shared" si="2"/>
        <v>0.2335091835</v>
      </c>
      <c r="V140" s="14">
        <f>IF(A140="","",ARBITRAGES!M141)</f>
        <v>14693.86893</v>
      </c>
      <c r="W140" s="342">
        <f>IF(V140="","",'Historique détail'!U140)</f>
        <v>62926.3</v>
      </c>
      <c r="X140" s="288"/>
      <c r="Y140" s="289"/>
      <c r="Z140" s="289"/>
      <c r="AA140" s="289"/>
      <c r="AB140" s="289"/>
      <c r="AC140" s="289"/>
      <c r="AD140" s="289"/>
      <c r="AE140" s="289"/>
      <c r="AF140" s="289"/>
      <c r="AG140" s="289"/>
      <c r="AH140" s="289"/>
      <c r="AI140" s="289"/>
      <c r="AJ140" s="289"/>
      <c r="AK140" s="289"/>
      <c r="AL140" s="289"/>
      <c r="AM140" s="289"/>
      <c r="AN140" s="289"/>
      <c r="AO140" s="289"/>
      <c r="AP140" s="289"/>
      <c r="AQ140" s="289"/>
      <c r="AR140" s="289"/>
      <c r="AS140" s="289"/>
      <c r="AT140" s="289"/>
      <c r="AU140" s="289"/>
      <c r="AV140" s="289"/>
      <c r="AW140" s="289"/>
      <c r="AX140" s="289"/>
      <c r="AY140" s="289"/>
      <c r="AZ140" s="289"/>
      <c r="BA140" s="289"/>
      <c r="BB140" s="289"/>
    </row>
    <row r="141">
      <c r="A141" s="290">
        <f>PRIX!A142</f>
        <v>45891</v>
      </c>
      <c r="B141" s="302">
        <f t="shared" si="1"/>
        <v>0.7655373201</v>
      </c>
      <c r="C141" s="341">
        <f>IF(A141="","",'Historique détail'!B141/$W141)</f>
        <v>0.3546850254</v>
      </c>
      <c r="D141" s="341">
        <f>IF(B141="","",'Historique détail'!C141/$W141)</f>
        <v>0.1275013846</v>
      </c>
      <c r="E141" s="341">
        <f>IF(C141="","",'Historique détail'!D141/$W141)</f>
        <v>0.01331356361</v>
      </c>
      <c r="F141" s="341">
        <f>IF(D141="","",'Historique détail'!E141/$W141)</f>
        <v>0.0751172426</v>
      </c>
      <c r="G141" s="341">
        <f>IF(E141="","",'Historique détail'!F141/$W141)</f>
        <v>0.06847774629</v>
      </c>
      <c r="H141" s="341">
        <f>IF(F141="","",'Historique détail'!G141/$W141)</f>
        <v>0</v>
      </c>
      <c r="I141" s="341">
        <f>IF(G141="","",'Historique détail'!H141/$W141)</f>
        <v>0.03721928987</v>
      </c>
      <c r="J141" s="341">
        <f>IF(H141="","",'Historique détail'!I141/$W141)</f>
        <v>0.01580045291</v>
      </c>
      <c r="K141" s="341">
        <f>IF(I141="","",'Historique détail'!J141/$W141)</f>
        <v>0.004398662022</v>
      </c>
      <c r="L141" s="341">
        <f>IF(J141="","",'Historique détail'!K141/$W141)</f>
        <v>0.005654634723</v>
      </c>
      <c r="M141" s="341">
        <f>IF(K141="","",'Historique détail'!L141/$W141)</f>
        <v>0</v>
      </c>
      <c r="N141" s="341">
        <f>IF(L141="","",'Historique détail'!M141/$W141)</f>
        <v>0.04372764173</v>
      </c>
      <c r="O141" s="341">
        <f>IF(M141="","",'Historique détail'!N141/$W141)</f>
        <v>0</v>
      </c>
      <c r="P141" s="341">
        <f>IF(N141="","",'Historique détail'!O141/$W141)</f>
        <v>0.01523183403</v>
      </c>
      <c r="Q141" s="341">
        <f>IF(O141="","",'Historique détail'!P141/$W141)</f>
        <v>0.000000001057042152</v>
      </c>
      <c r="R141" s="341">
        <f>IF(P141="","",'Historique détail'!Q141/$W141)</f>
        <v>0.004409841354</v>
      </c>
      <c r="S141" s="341">
        <f>IF(Q141="","",'Historique détail'!R141/$W141)</f>
        <v>0</v>
      </c>
      <c r="T141" s="341">
        <f>IF(R141="","",'Historique détail'!S141/$W141)</f>
        <v>0</v>
      </c>
      <c r="U141" s="340">
        <f t="shared" si="2"/>
        <v>0.2344626799</v>
      </c>
      <c r="V141" s="14">
        <f>IF(A141="","",ARBITRAGES!M142)</f>
        <v>14753.86893</v>
      </c>
      <c r="W141" s="342">
        <f>IF(V141="","",'Historique détail'!U141)</f>
        <v>62926.3</v>
      </c>
      <c r="X141" s="288"/>
      <c r="Y141" s="289"/>
      <c r="Z141" s="289"/>
      <c r="AA141" s="289"/>
      <c r="AB141" s="289"/>
      <c r="AC141" s="289"/>
      <c r="AD141" s="289"/>
      <c r="AE141" s="289"/>
      <c r="AF141" s="289"/>
      <c r="AG141" s="289"/>
      <c r="AH141" s="289"/>
      <c r="AI141" s="289"/>
      <c r="AJ141" s="289"/>
      <c r="AK141" s="289"/>
      <c r="AL141" s="289"/>
      <c r="AM141" s="289"/>
      <c r="AN141" s="289"/>
      <c r="AO141" s="289"/>
      <c r="AP141" s="289"/>
      <c r="AQ141" s="289"/>
      <c r="AR141" s="289"/>
      <c r="AS141" s="289"/>
      <c r="AT141" s="289"/>
      <c r="AU141" s="289"/>
      <c r="AV141" s="289"/>
      <c r="AW141" s="289"/>
      <c r="AX141" s="289"/>
      <c r="AY141" s="289"/>
      <c r="AZ141" s="289"/>
      <c r="BA141" s="289"/>
      <c r="BB141" s="289"/>
    </row>
    <row r="142">
      <c r="A142" s="290">
        <f>PRIX!A143</f>
        <v>45892</v>
      </c>
      <c r="B142" s="302">
        <f t="shared" si="1"/>
        <v>0.763561036</v>
      </c>
      <c r="C142" s="341">
        <f>IF(A142="","",'Historique détail'!B142/$W142)</f>
        <v>0.3544315634</v>
      </c>
      <c r="D142" s="341">
        <f>IF(B142="","",'Historique détail'!C142/$W142)</f>
        <v>0.1274102707</v>
      </c>
      <c r="E142" s="341">
        <f>IF(C142="","",'Historique détail'!D142/$W142)</f>
        <v>0.01330404958</v>
      </c>
      <c r="F142" s="341">
        <f>IF(D142="","",'Historique détail'!E142/$W142)</f>
        <v>0.07506356298</v>
      </c>
      <c r="G142" s="341">
        <f>IF(E142="","",'Historique détail'!F142/$W142)</f>
        <v>0.06842881132</v>
      </c>
      <c r="H142" s="341">
        <f>IF(F142="","",'Historique détail'!G142/$W142)</f>
        <v>0</v>
      </c>
      <c r="I142" s="341">
        <f>IF(G142="","",'Historique détail'!H142/$W142)</f>
        <v>0.03719269255</v>
      </c>
      <c r="J142" s="341">
        <f>IF(H142="","",'Historique détail'!I142/$W142)</f>
        <v>0.01578916173</v>
      </c>
      <c r="K142" s="341">
        <f>IF(I142="","",'Historique détail'!J142/$W142)</f>
        <v>0.004395518689</v>
      </c>
      <c r="L142" s="341">
        <f>IF(J142="","",'Historique détail'!K142/$W142)</f>
        <v>0.005650593857</v>
      </c>
      <c r="M142" s="341">
        <f>IF(K142="","",'Historique détail'!L142/$W142)</f>
        <v>0</v>
      </c>
      <c r="N142" s="341">
        <f>IF(L142="","",'Historique détail'!M142/$W142)</f>
        <v>0.04369639347</v>
      </c>
      <c r="O142" s="341">
        <f>IF(M142="","",'Historique détail'!N142/$W142)</f>
        <v>0</v>
      </c>
      <c r="P142" s="341">
        <f>IF(N142="","",'Historique détail'!O142/$W142)</f>
        <v>0.01379172668</v>
      </c>
      <c r="Q142" s="341">
        <f>IF(O142="","",'Historique détail'!P142/$W142)</f>
        <v>0.000000001056286778</v>
      </c>
      <c r="R142" s="341">
        <f>IF(P142="","",'Historique détail'!Q142/$W142)</f>
        <v>0.004406690032</v>
      </c>
      <c r="S142" s="341">
        <f>IF(Q142="","",'Historique détail'!R142/$W142)</f>
        <v>0</v>
      </c>
      <c r="T142" s="341">
        <f>IF(R142="","",'Historique détail'!S142/$W142)</f>
        <v>0</v>
      </c>
      <c r="U142" s="340">
        <f t="shared" si="2"/>
        <v>0.236438964</v>
      </c>
      <c r="V142" s="14">
        <f>IF(A142="","",ARBITRAGES!M143)</f>
        <v>14888.86893</v>
      </c>
      <c r="W142" s="342">
        <f>IF(V142="","",'Historique détail'!U142)</f>
        <v>62971.3</v>
      </c>
      <c r="X142" s="288"/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289"/>
      <c r="AM142" s="289"/>
      <c r="AN142" s="289"/>
      <c r="AO142" s="289"/>
      <c r="AP142" s="289"/>
      <c r="AQ142" s="289"/>
      <c r="AR142" s="289"/>
      <c r="AS142" s="289"/>
      <c r="AT142" s="289"/>
      <c r="AU142" s="289"/>
      <c r="AV142" s="289"/>
      <c r="AW142" s="289"/>
      <c r="AX142" s="289"/>
      <c r="AY142" s="289"/>
      <c r="AZ142" s="289"/>
      <c r="BA142" s="289"/>
      <c r="BB142" s="289"/>
    </row>
    <row r="143">
      <c r="A143" s="290">
        <f>PRIX!A144</f>
        <v>45894</v>
      </c>
      <c r="B143" s="302">
        <f t="shared" si="1"/>
        <v>0.7539731469</v>
      </c>
      <c r="C143" s="341">
        <f>IF(A143="","",'Historique détail'!B143/$W143)</f>
        <v>0.3550216566</v>
      </c>
      <c r="D143" s="341">
        <f>IF(B143="","",'Historique détail'!C143/$W143)</f>
        <v>0.1247702289</v>
      </c>
      <c r="E143" s="341">
        <f>IF(C143="","",'Historique détail'!D143/$W143)</f>
        <v>0.01301976818</v>
      </c>
      <c r="F143" s="341">
        <f>IF(D143="","",'Historique détail'!E143/$W143)</f>
        <v>0.07348804171</v>
      </c>
      <c r="G143" s="341">
        <f>IF(E143="","",'Historique détail'!F143/$W143)</f>
        <v>0.06436018033</v>
      </c>
      <c r="H143" s="341">
        <f>IF(F143="","",'Historique détail'!G143/$W143)</f>
        <v>0</v>
      </c>
      <c r="I143" s="341">
        <f>IF(G143="","",'Historique détail'!H143/$W143)</f>
        <v>0.03520691347</v>
      </c>
      <c r="J143" s="341">
        <f>IF(H143="","",'Historique détail'!I143/$W143)</f>
        <v>0.01836886365</v>
      </c>
      <c r="K143" s="341">
        <f>IF(I143="","",'Historique détail'!J143/$W143)</f>
        <v>0.004195888636</v>
      </c>
      <c r="L143" s="341">
        <f>IF(J143="","",'Historique détail'!K143/$W143)</f>
        <v>0.005329222222</v>
      </c>
      <c r="M143" s="341">
        <f>IF(K143="","",'Historique détail'!L143/$W143)</f>
        <v>0</v>
      </c>
      <c r="N143" s="341">
        <f>IF(L143="","",'Historique détail'!M143/$W143)</f>
        <v>0.04329614543</v>
      </c>
      <c r="O143" s="341">
        <f>IF(M143="","",'Historique détail'!N143/$W143)</f>
        <v>0</v>
      </c>
      <c r="P143" s="341">
        <f>IF(N143="","",'Historique détail'!O143/$W143)</f>
        <v>0.01286859167</v>
      </c>
      <c r="Q143" s="341">
        <f>IF(O143="","",'Historique détail'!P143/$W143)</f>
        <v>0.0000000009702234407</v>
      </c>
      <c r="R143" s="341">
        <f>IF(P143="","",'Historique détail'!Q143/$W143)</f>
        <v>0.004047645066</v>
      </c>
      <c r="S143" s="341">
        <f>IF(Q143="","",'Historique détail'!R143/$W143)</f>
        <v>0</v>
      </c>
      <c r="T143" s="341">
        <f>IF(R143="","",'Historique détail'!S143/$W143)</f>
        <v>0</v>
      </c>
      <c r="U143" s="340">
        <f t="shared" si="2"/>
        <v>0.2460268531</v>
      </c>
      <c r="V143" s="14">
        <f>IF(A143="","",ARBITRAGES!M144)</f>
        <v>14666.86893</v>
      </c>
      <c r="W143" s="342">
        <f>IF(V143="","",'Historique détail'!U143)</f>
        <v>59614.91091</v>
      </c>
      <c r="X143" s="288"/>
      <c r="Y143" s="289"/>
      <c r="Z143" s="289"/>
      <c r="AA143" s="289"/>
      <c r="AB143" s="289"/>
      <c r="AC143" s="289"/>
      <c r="AD143" s="289"/>
      <c r="AE143" s="289"/>
      <c r="AF143" s="289"/>
      <c r="AG143" s="289"/>
      <c r="AH143" s="289"/>
      <c r="AI143" s="289"/>
      <c r="AJ143" s="289"/>
      <c r="AK143" s="289"/>
      <c r="AL143" s="289"/>
      <c r="AM143" s="289"/>
      <c r="AN143" s="289"/>
      <c r="AO143" s="289"/>
      <c r="AP143" s="289"/>
      <c r="AQ143" s="289"/>
      <c r="AR143" s="289"/>
      <c r="AS143" s="289"/>
      <c r="AT143" s="289"/>
      <c r="AU143" s="289"/>
      <c r="AV143" s="289"/>
      <c r="AW143" s="289"/>
      <c r="AX143" s="289"/>
      <c r="AY143" s="289"/>
      <c r="AZ143" s="289"/>
      <c r="BA143" s="289"/>
      <c r="BB143" s="289"/>
    </row>
    <row r="144">
      <c r="A144" s="290">
        <f>PRIX!A145</f>
        <v>45894</v>
      </c>
      <c r="B144" s="302">
        <f t="shared" si="1"/>
        <v>0.759193001</v>
      </c>
      <c r="C144" s="341">
        <f>IF(A144="","",'Historique détail'!B144/$W144)</f>
        <v>0.3550191555</v>
      </c>
      <c r="D144" s="341">
        <f>IF(B144="","",'Historique détail'!C144/$W144)</f>
        <v>0.1299945158</v>
      </c>
      <c r="E144" s="341">
        <f>IF(C144="","",'Historique détail'!D144/$W144)</f>
        <v>0.01301967645</v>
      </c>
      <c r="F144" s="341">
        <f>IF(D144="","",'Historique détail'!E144/$W144)</f>
        <v>0.07348752397</v>
      </c>
      <c r="G144" s="341">
        <f>IF(E144="","",'Historique détail'!F144/$W144)</f>
        <v>0.0643597269</v>
      </c>
      <c r="H144" s="341">
        <f>IF(F144="","",'Historique détail'!G144/$W144)</f>
        <v>0</v>
      </c>
      <c r="I144" s="341">
        <f>IF(G144="","",'Historique détail'!H144/$W144)</f>
        <v>0.03520666543</v>
      </c>
      <c r="J144" s="341">
        <f>IF(H144="","",'Historique détail'!I144/$W144)</f>
        <v>0.01836873424</v>
      </c>
      <c r="K144" s="341">
        <f>IF(I144="","",'Historique détail'!J144/$W144)</f>
        <v>0.004195859075</v>
      </c>
      <c r="L144" s="341">
        <f>IF(J144="","",'Historique détail'!K144/$W144)</f>
        <v>0.005329184677</v>
      </c>
      <c r="M144" s="341">
        <f>IF(K144="","",'Historique détail'!L144/$W144)</f>
        <v>0</v>
      </c>
      <c r="N144" s="341">
        <f>IF(L144="","",'Historique détail'!M144/$W144)</f>
        <v>0.0432958404</v>
      </c>
      <c r="O144" s="341">
        <f>IF(M144="","",'Historique détail'!N144/$W144)</f>
        <v>0</v>
      </c>
      <c r="P144" s="341">
        <f>IF(N144="","",'Historique détail'!O144/$W144)</f>
        <v>0.01286850101</v>
      </c>
      <c r="Q144" s="341">
        <f>IF(O144="","",'Historique détail'!P144/$W144)</f>
        <v>0.0000000009702166053</v>
      </c>
      <c r="R144" s="341">
        <f>IF(P144="","",'Historique détail'!Q144/$W144)</f>
        <v>0.00404761655</v>
      </c>
      <c r="S144" s="341">
        <f>IF(Q144="","",'Historique détail'!R144/$W144)</f>
        <v>0</v>
      </c>
      <c r="T144" s="341">
        <f>IF(R144="","",'Historique détail'!S144/$W144)</f>
        <v>0</v>
      </c>
      <c r="U144" s="340">
        <f t="shared" si="2"/>
        <v>0.240806999</v>
      </c>
      <c r="V144" s="14">
        <f>IF(A144="","",ARBITRAGES!M145)</f>
        <v>14355.78893</v>
      </c>
      <c r="W144" s="342">
        <f>IF(V144="","",'Historique détail'!U144)</f>
        <v>59615.33091</v>
      </c>
      <c r="X144" s="288"/>
      <c r="Y144" s="289"/>
      <c r="Z144" s="289"/>
      <c r="AA144" s="289"/>
      <c r="AB144" s="289"/>
      <c r="AC144" s="289"/>
      <c r="AD144" s="289"/>
      <c r="AE144" s="289"/>
      <c r="AF144" s="289"/>
      <c r="AG144" s="289"/>
      <c r="AH144" s="289"/>
      <c r="AI144" s="289"/>
      <c r="AJ144" s="289"/>
      <c r="AK144" s="289"/>
      <c r="AL144" s="289"/>
      <c r="AM144" s="289"/>
      <c r="AN144" s="289"/>
      <c r="AO144" s="289"/>
      <c r="AP144" s="289"/>
      <c r="AQ144" s="289"/>
      <c r="AR144" s="289"/>
      <c r="AS144" s="289"/>
      <c r="AT144" s="289"/>
      <c r="AU144" s="289"/>
      <c r="AV144" s="289"/>
      <c r="AW144" s="289"/>
      <c r="AX144" s="289"/>
      <c r="AY144" s="289"/>
      <c r="AZ144" s="289"/>
      <c r="BA144" s="289"/>
      <c r="BB144" s="289"/>
    </row>
    <row r="145">
      <c r="A145" s="290">
        <f>PRIX!A146</f>
        <v>45894</v>
      </c>
      <c r="B145" s="302">
        <f t="shared" si="1"/>
        <v>0.7641791401</v>
      </c>
      <c r="C145" s="341">
        <f>IF(A145="","",'Historique détail'!B145/$W145)</f>
        <v>0.3599979865</v>
      </c>
      <c r="D145" s="341">
        <f>IF(B145="","",'Historique détail'!C145/$W145)</f>
        <v>0.1299968663</v>
      </c>
      <c r="E145" s="341">
        <f>IF(C145="","",'Historique détail'!D145/$W145)</f>
        <v>0.01301991186</v>
      </c>
      <c r="F145" s="341">
        <f>IF(D145="","",'Historique détail'!E145/$W145)</f>
        <v>0.07348885274</v>
      </c>
      <c r="G145" s="341">
        <f>IF(E145="","",'Historique détail'!F145/$W145)</f>
        <v>0.06436089062</v>
      </c>
      <c r="H145" s="341">
        <f>IF(F145="","",'Historique détail'!G145/$W145)</f>
        <v>0</v>
      </c>
      <c r="I145" s="341">
        <f>IF(G145="","",'Historique détail'!H145/$W145)</f>
        <v>0.03520730202</v>
      </c>
      <c r="J145" s="341">
        <f>IF(H145="","",'Historique détail'!I145/$W145)</f>
        <v>0.01836906637</v>
      </c>
      <c r="K145" s="341">
        <f>IF(I145="","",'Historique détail'!J145/$W145)</f>
        <v>0.004195934942</v>
      </c>
      <c r="L145" s="341">
        <f>IF(J145="","",'Historique détail'!K145/$W145)</f>
        <v>0.005329281036</v>
      </c>
      <c r="M145" s="341">
        <f>IF(K145="","",'Historique détail'!L145/$W145)</f>
        <v>0</v>
      </c>
      <c r="N145" s="341">
        <f>IF(L145="","",'Historique détail'!M145/$W145)</f>
        <v>0.04329662326</v>
      </c>
      <c r="O145" s="341">
        <f>IF(M145="","",'Historique détail'!N145/$W145)</f>
        <v>0</v>
      </c>
      <c r="P145" s="341">
        <f>IF(N145="","",'Historique détail'!O145/$W145)</f>
        <v>0.0128687337</v>
      </c>
      <c r="Q145" s="341">
        <f>IF(O145="","",'Historique détail'!P145/$W145)</f>
        <v>0.0000000009702341483</v>
      </c>
      <c r="R145" s="341">
        <f>IF(P145="","",'Historique détail'!Q145/$W145)</f>
        <v>0.004047689737</v>
      </c>
      <c r="S145" s="341">
        <f>IF(Q145="","",'Historique détail'!R145/$W145)</f>
        <v>0</v>
      </c>
      <c r="T145" s="341">
        <f>IF(R145="","",'Historique détail'!S145/$W145)</f>
        <v>0</v>
      </c>
      <c r="U145" s="340">
        <f t="shared" si="2"/>
        <v>0.2358208599</v>
      </c>
      <c r="V145" s="14">
        <f>IF(A145="","",ARBITRAGES!M146)</f>
        <v>14058.2844</v>
      </c>
      <c r="W145" s="342">
        <f>IF(V145="","",'Historique détail'!U145)</f>
        <v>59614.25299</v>
      </c>
      <c r="X145" s="288"/>
      <c r="Y145" s="289"/>
      <c r="Z145" s="289"/>
      <c r="AA145" s="289"/>
      <c r="AB145" s="289"/>
      <c r="AC145" s="289"/>
      <c r="AD145" s="289"/>
      <c r="AE145" s="289"/>
      <c r="AF145" s="289"/>
      <c r="AG145" s="289"/>
      <c r="AH145" s="289"/>
      <c r="AI145" s="289"/>
      <c r="AJ145" s="289"/>
      <c r="AK145" s="289"/>
      <c r="AL145" s="289"/>
      <c r="AM145" s="289"/>
      <c r="AN145" s="289"/>
      <c r="AO145" s="289"/>
      <c r="AP145" s="289"/>
      <c r="AQ145" s="289"/>
      <c r="AR145" s="289"/>
      <c r="AS145" s="289"/>
      <c r="AT145" s="289"/>
      <c r="AU145" s="289"/>
      <c r="AV145" s="289"/>
      <c r="AW145" s="289"/>
      <c r="AX145" s="289"/>
      <c r="AY145" s="289"/>
      <c r="AZ145" s="289"/>
      <c r="BA145" s="289"/>
      <c r="BB145" s="289"/>
    </row>
    <row r="146">
      <c r="A146" s="290">
        <f>PRIX!A147</f>
        <v>45894</v>
      </c>
      <c r="B146" s="302">
        <f t="shared" si="1"/>
        <v>0.7725122169</v>
      </c>
      <c r="C146" s="341">
        <f>IF(A146="","",'Historique détail'!B146/$W146)</f>
        <v>0.3600704666</v>
      </c>
      <c r="D146" s="341">
        <f>IF(B146="","",'Historique détail'!C146/$W146)</f>
        <v>0.1300230392</v>
      </c>
      <c r="E146" s="341">
        <f>IF(C146="","",'Historique détail'!D146/$W146)</f>
        <v>0.01302253322</v>
      </c>
      <c r="F146" s="341">
        <f>IF(D146="","",'Historique détail'!E146/$W146)</f>
        <v>0.07350364859</v>
      </c>
      <c r="G146" s="341">
        <f>IF(E146="","",'Historique détail'!F146/$W146)</f>
        <v>0.07255306971</v>
      </c>
      <c r="H146" s="341">
        <f>IF(F146="","",'Historique détail'!G146/$W146)</f>
        <v>0</v>
      </c>
      <c r="I146" s="341">
        <f>IF(G146="","",'Historique détail'!H146/$W146)</f>
        <v>0.03521439047</v>
      </c>
      <c r="J146" s="341">
        <f>IF(H146="","",'Historique détail'!I146/$W146)</f>
        <v>0.0183727647</v>
      </c>
      <c r="K146" s="341">
        <f>IF(I146="","",'Historique détail'!J146/$W146)</f>
        <v>0.00419677973</v>
      </c>
      <c r="L146" s="341">
        <f>IF(J146="","",'Historique détail'!K146/$W146)</f>
        <v>0.005330354005</v>
      </c>
      <c r="M146" s="341">
        <f>IF(K146="","",'Historique détail'!L146/$W146)</f>
        <v>0</v>
      </c>
      <c r="N146" s="341">
        <f>IF(L146="","",'Historique détail'!M146/$W146)</f>
        <v>0.04330534037</v>
      </c>
      <c r="O146" s="341">
        <f>IF(M146="","",'Historique détail'!N146/$W146)</f>
        <v>0</v>
      </c>
      <c r="P146" s="341">
        <f>IF(N146="","",'Historique détail'!O146/$W146)</f>
        <v>0.01287132462</v>
      </c>
      <c r="Q146" s="341">
        <f>IF(O146="","",'Historique détail'!P146/$W146)</f>
        <v>0.00000000097042949</v>
      </c>
      <c r="R146" s="341">
        <f>IF(P146="","",'Historique détail'!Q146/$W146)</f>
        <v>0.004048504677</v>
      </c>
      <c r="S146" s="341">
        <f>IF(Q146="","",'Historique détail'!R146/$W146)</f>
        <v>0</v>
      </c>
      <c r="T146" s="341">
        <f>IF(R146="","",'Historique détail'!S146/$W146)</f>
        <v>0</v>
      </c>
      <c r="U146" s="340">
        <f t="shared" si="2"/>
        <v>0.2274877831</v>
      </c>
      <c r="V146" s="14">
        <f>IF(A146="","",ARBITRAGES!M147)</f>
        <v>13558.7844</v>
      </c>
      <c r="W146" s="342">
        <f>IF(V146="","",'Historique détail'!U146)</f>
        <v>59602.25299</v>
      </c>
      <c r="X146" s="288"/>
      <c r="Y146" s="289"/>
      <c r="Z146" s="289"/>
      <c r="AA146" s="289"/>
      <c r="AB146" s="289"/>
      <c r="AC146" s="289"/>
      <c r="AD146" s="289"/>
      <c r="AE146" s="289"/>
      <c r="AF146" s="289"/>
      <c r="AG146" s="289"/>
      <c r="AH146" s="289"/>
      <c r="AI146" s="289"/>
      <c r="AJ146" s="289"/>
      <c r="AK146" s="289"/>
      <c r="AL146" s="289"/>
      <c r="AM146" s="289"/>
      <c r="AN146" s="289"/>
      <c r="AO146" s="289"/>
      <c r="AP146" s="289"/>
      <c r="AQ146" s="289"/>
      <c r="AR146" s="289"/>
      <c r="AS146" s="289"/>
      <c r="AT146" s="289"/>
      <c r="AU146" s="289"/>
      <c r="AV146" s="289"/>
      <c r="AW146" s="289"/>
      <c r="AX146" s="289"/>
      <c r="AY146" s="289"/>
      <c r="AZ146" s="289"/>
      <c r="BA146" s="289"/>
      <c r="BB146" s="289"/>
    </row>
    <row r="147">
      <c r="A147" s="290">
        <f>PRIX!A148</f>
        <v>45895</v>
      </c>
      <c r="B147" s="302">
        <f t="shared" si="1"/>
        <v>0.781778642</v>
      </c>
      <c r="C147" s="341">
        <f>IF(A147="","",'Historique détail'!B147/$W147)</f>
        <v>0.3650389729</v>
      </c>
      <c r="D147" s="341">
        <f>IF(B147="","",'Historique détail'!C147/$W147)</f>
        <v>0.1294527377</v>
      </c>
      <c r="E147" s="341">
        <f>IF(C147="","",'Historique détail'!D147/$W147)</f>
        <v>0.01296541434</v>
      </c>
      <c r="F147" s="341">
        <f>IF(D147="","",'Historique détail'!E147/$W147)</f>
        <v>0.07895871714</v>
      </c>
      <c r="G147" s="341">
        <f>IF(E147="","",'Historique détail'!F147/$W147)</f>
        <v>0.07334614578</v>
      </c>
      <c r="H147" s="341">
        <f>IF(F147="","",'Historique détail'!G147/$W147)</f>
        <v>0</v>
      </c>
      <c r="I147" s="341">
        <f>IF(G147="","",'Historique détail'!H147/$W147)</f>
        <v>0.03573705782</v>
      </c>
      <c r="J147" s="341">
        <f>IF(H147="","",'Historique détail'!I147/$W147)</f>
        <v>0.01885434985</v>
      </c>
      <c r="K147" s="341">
        <f>IF(I147="","",'Historique détail'!J147/$W147)</f>
        <v>0.004281118846</v>
      </c>
      <c r="L147" s="341">
        <f>IF(J147="","",'Historique détail'!K147/$W147)</f>
        <v>0.005306974234</v>
      </c>
      <c r="M147" s="341">
        <f>IF(K147="","",'Historique détail'!L147/$W147)</f>
        <v>0</v>
      </c>
      <c r="N147" s="341">
        <f>IF(L147="","",'Historique détail'!M147/$W147)</f>
        <v>0.04207959102</v>
      </c>
      <c r="O147" s="341">
        <f>IF(M147="","",'Historique détail'!N147/$W147)</f>
        <v>0</v>
      </c>
      <c r="P147" s="341">
        <f>IF(N147="","",'Historique détail'!O147/$W147)</f>
        <v>0.01172681405</v>
      </c>
      <c r="Q147" s="341">
        <f>IF(O147="","",'Historique détail'!P147/$W147)</f>
        <v>0.0000000009661730336</v>
      </c>
      <c r="R147" s="341">
        <f>IF(P147="","",'Historique détail'!Q147/$W147)</f>
        <v>0.004030747299</v>
      </c>
      <c r="S147" s="341">
        <f>IF(Q147="","",'Historique détail'!R147/$W147)</f>
        <v>0</v>
      </c>
      <c r="T147" s="341">
        <f>IF(R147="","",'Historique détail'!S147/$W147)</f>
        <v>0</v>
      </c>
      <c r="U147" s="340">
        <f t="shared" si="2"/>
        <v>0.218221358</v>
      </c>
      <c r="V147" s="14">
        <f>IF(A147="","",ARBITRAGES!M148)</f>
        <v>13063.7844</v>
      </c>
      <c r="W147" s="342">
        <f>IF(V147="","",'Historique détail'!U147)</f>
        <v>59864.82955</v>
      </c>
      <c r="X147" s="288"/>
      <c r="Y147" s="220"/>
      <c r="Z147" s="220"/>
      <c r="AA147" s="220"/>
      <c r="AB147" s="220"/>
      <c r="AC147" s="220"/>
      <c r="AD147" s="220"/>
      <c r="AE147" s="220"/>
      <c r="AF147" s="220"/>
      <c r="AG147" s="220"/>
      <c r="AH147" s="220"/>
      <c r="AI147" s="308"/>
      <c r="AJ147" s="220"/>
      <c r="AK147" s="220"/>
      <c r="AL147" s="220"/>
      <c r="AM147" s="220"/>
      <c r="AN147" s="220"/>
      <c r="AO147" s="220"/>
      <c r="AP147" s="220"/>
      <c r="AQ147" s="220"/>
      <c r="AR147" s="220"/>
      <c r="AS147" s="220"/>
      <c r="AT147" s="220"/>
      <c r="AU147" s="220"/>
      <c r="AV147" s="220"/>
      <c r="AW147" s="220"/>
      <c r="AX147" s="220"/>
      <c r="AY147" s="220"/>
      <c r="AZ147" s="220"/>
      <c r="BA147" s="220"/>
      <c r="BB147" s="220"/>
    </row>
    <row r="148">
      <c r="A148" s="290">
        <f>PRIX!A149</f>
        <v>45908</v>
      </c>
      <c r="B148" s="302">
        <f t="shared" si="1"/>
        <v>0.7849079522</v>
      </c>
      <c r="C148" s="341">
        <f>IF(A148="","",'Historique détail'!B148/$W148)</f>
        <v>0.3704499433</v>
      </c>
      <c r="D148" s="341">
        <f>IF(B148="","",'Historique détail'!C148/$W148)</f>
        <v>0.1330012095</v>
      </c>
      <c r="E148" s="341">
        <f>IF(C148="","",'Historique détail'!D148/$W148)</f>
        <v>0.01297817877</v>
      </c>
      <c r="F148" s="341">
        <f>IF(D148="","",'Historique détail'!E148/$W148)</f>
        <v>0.07325329685</v>
      </c>
      <c r="G148" s="341">
        <f>IF(E148="","",'Historique détail'!F148/$W148)</f>
        <v>0.07230595562</v>
      </c>
      <c r="H148" s="341">
        <f>IF(F148="","",'Historique détail'!G148/$W148)</f>
        <v>0</v>
      </c>
      <c r="I148" s="341">
        <f>IF(G148="","",'Historique détail'!H148/$W148)</f>
        <v>0.03509445106</v>
      </c>
      <c r="J148" s="341">
        <f>IF(H148="","",'Historique détail'!I148/$W148)</f>
        <v>0.01831018749</v>
      </c>
      <c r="K148" s="341">
        <f>IF(I148="","",'Historique détail'!J148/$W148)</f>
        <v>0.004182485594</v>
      </c>
      <c r="L148" s="341">
        <f>IF(J148="","",'Historique détail'!K148/$W148)</f>
        <v>0.005312198941</v>
      </c>
      <c r="M148" s="341">
        <f>IF(K148="","",'Historique détail'!L148/$W148)</f>
        <v>0</v>
      </c>
      <c r="N148" s="341">
        <f>IF(L148="","",'Historique détail'!M148/$W148)</f>
        <v>0.04315784337</v>
      </c>
      <c r="O148" s="341">
        <f>IF(M148="","",'Historique détail'!N148/$W148)</f>
        <v>0</v>
      </c>
      <c r="P148" s="341">
        <f>IF(N148="","",'Historique détail'!O148/$W148)</f>
        <v>0.01282748518</v>
      </c>
      <c r="Q148" s="341">
        <f>IF(O148="","",'Historique détail'!P148/$W148)</f>
        <v>0.0000000009671242294</v>
      </c>
      <c r="R148" s="341">
        <f>IF(P148="","",'Historique détail'!Q148/$W148)</f>
        <v>0.004034715563</v>
      </c>
      <c r="S148" s="341">
        <f>IF(Q148="","",'Historique détail'!R148/$W148)</f>
        <v>0</v>
      </c>
      <c r="T148" s="341">
        <f>IF(R148="","",'Historique détail'!S148/$W148)</f>
        <v>0</v>
      </c>
      <c r="U148" s="340">
        <f t="shared" si="2"/>
        <v>0.2150920478</v>
      </c>
      <c r="V148" s="14">
        <f>IF(A148="","",ARBITRAGES!M149)</f>
        <v>12863.7844</v>
      </c>
      <c r="W148" s="342">
        <f>IF(V148="","",'Historique détail'!U148)</f>
        <v>59805.95069</v>
      </c>
      <c r="X148" s="288"/>
      <c r="Y148" s="220"/>
      <c r="Z148" s="220"/>
      <c r="AA148" s="220"/>
      <c r="AB148" s="220"/>
      <c r="AC148" s="220"/>
      <c r="AD148" s="220"/>
      <c r="AE148" s="220"/>
      <c r="AF148" s="220"/>
      <c r="AG148" s="220"/>
      <c r="AH148" s="220"/>
      <c r="AI148" s="308"/>
      <c r="AJ148" s="220"/>
      <c r="AK148" s="220"/>
      <c r="AL148" s="220"/>
      <c r="AM148" s="220"/>
      <c r="AN148" s="220"/>
      <c r="AO148" s="220"/>
      <c r="AP148" s="220"/>
      <c r="AQ148" s="220"/>
      <c r="AR148" s="220"/>
      <c r="AS148" s="220"/>
      <c r="AT148" s="220"/>
      <c r="AU148" s="220"/>
      <c r="AV148" s="220"/>
      <c r="AW148" s="220"/>
      <c r="AX148" s="220"/>
      <c r="AY148" s="220"/>
      <c r="AZ148" s="220"/>
      <c r="BA148" s="220"/>
      <c r="BB148" s="220"/>
    </row>
    <row r="149">
      <c r="A149" s="290">
        <f>PRIX!A150</f>
        <v>45908</v>
      </c>
      <c r="B149" s="302">
        <f t="shared" si="1"/>
        <v>0.7899546273</v>
      </c>
      <c r="C149" s="341">
        <f>IF(A149="","",'Historique détail'!B149/$W149)</f>
        <v>0.3703962442</v>
      </c>
      <c r="D149" s="341">
        <f>IF(B149="","",'Historique détail'!C149/$W149)</f>
        <v>0.1381423828</v>
      </c>
      <c r="E149" s="341">
        <f>IF(C149="","",'Historique détail'!D149/$W149)</f>
        <v>0.0129762975</v>
      </c>
      <c r="F149" s="341">
        <f>IF(D149="","",'Historique détail'!E149/$W149)</f>
        <v>0.0732426783</v>
      </c>
      <c r="G149" s="341">
        <f>IF(E149="","",'Historique détail'!F149/$W149)</f>
        <v>0.0722954744</v>
      </c>
      <c r="H149" s="341">
        <f>IF(F149="","",'Historique détail'!G149/$W149)</f>
        <v>0</v>
      </c>
      <c r="I149" s="341">
        <f>IF(G149="","",'Historique détail'!H149/$W149)</f>
        <v>0.03508936389</v>
      </c>
      <c r="J149" s="341">
        <f>IF(H149="","",'Historique détail'!I149/$W149)</f>
        <v>0.0183075333</v>
      </c>
      <c r="K149" s="341">
        <f>IF(I149="","",'Historique détail'!J149/$W149)</f>
        <v>0.004181879315</v>
      </c>
      <c r="L149" s="341">
        <f>IF(J149="","",'Historique détail'!K149/$W149)</f>
        <v>0.005311428903</v>
      </c>
      <c r="M149" s="341">
        <f>IF(K149="","",'Historique détail'!L149/$W149)</f>
        <v>0</v>
      </c>
      <c r="N149" s="341">
        <f>IF(L149="","",'Historique détail'!M149/$W149)</f>
        <v>0.04315158736</v>
      </c>
      <c r="O149" s="341">
        <f>IF(M149="","",'Historique détail'!N149/$W149)</f>
        <v>0</v>
      </c>
      <c r="P149" s="341">
        <f>IF(N149="","",'Historique détail'!O149/$W149)</f>
        <v>0.01282562575</v>
      </c>
      <c r="Q149" s="341">
        <f>IF(O149="","",'Historique détail'!P149/$W149)</f>
        <v>0.0000000009669840384</v>
      </c>
      <c r="R149" s="341">
        <f>IF(P149="","",'Historique détail'!Q149/$W149)</f>
        <v>0.004034130704</v>
      </c>
      <c r="S149" s="341">
        <f>IF(Q149="","",'Historique détail'!R149/$W149)</f>
        <v>0</v>
      </c>
      <c r="T149" s="341">
        <f>IF(R149="","",'Historique détail'!S149/$W149)</f>
        <v>0</v>
      </c>
      <c r="U149" s="340">
        <f t="shared" si="2"/>
        <v>0.2100453727</v>
      </c>
      <c r="V149" s="14">
        <f>IF(A149="","",ARBITRAGES!M150)</f>
        <v>12563.7844</v>
      </c>
      <c r="W149" s="342">
        <f>IF(V149="","",'Historique détail'!U149)</f>
        <v>59814.62121</v>
      </c>
      <c r="X149" s="288"/>
      <c r="Y149" s="220"/>
      <c r="Z149" s="220"/>
      <c r="AA149" s="220"/>
      <c r="AB149" s="220"/>
      <c r="AC149" s="220"/>
      <c r="AD149" s="220"/>
      <c r="AE149" s="220"/>
      <c r="AF149" s="220"/>
      <c r="AG149" s="220"/>
      <c r="AH149" s="220"/>
      <c r="AI149" s="308"/>
      <c r="AJ149" s="220"/>
      <c r="AK149" s="220"/>
      <c r="AL149" s="220"/>
      <c r="AM149" s="220"/>
      <c r="AN149" s="220"/>
      <c r="AO149" s="220"/>
      <c r="AP149" s="220"/>
      <c r="AQ149" s="220"/>
      <c r="AR149" s="220"/>
      <c r="AS149" s="220"/>
      <c r="AT149" s="220"/>
      <c r="AU149" s="220"/>
      <c r="AV149" s="220"/>
      <c r="AW149" s="220"/>
      <c r="AX149" s="220"/>
      <c r="AY149" s="220"/>
      <c r="AZ149" s="220"/>
      <c r="BA149" s="220"/>
      <c r="BB149" s="220"/>
    </row>
    <row r="150">
      <c r="A150" s="290">
        <f>PRIX!A151</f>
        <v>45909</v>
      </c>
      <c r="B150" s="302">
        <f t="shared" si="1"/>
        <v>0.7861203667</v>
      </c>
      <c r="C150" s="341">
        <f>IF(A150="","",'Historique détail'!B150/$W150)</f>
        <v>0.3702147957</v>
      </c>
      <c r="D150" s="341">
        <f>IF(B150="","",'Historique détail'!C150/$W150)</f>
        <v>0.13807471</v>
      </c>
      <c r="E150" s="341">
        <f>IF(C150="","",'Historique détail'!D150/$W150)</f>
        <v>0.01296994072</v>
      </c>
      <c r="F150" s="341">
        <f>IF(D150="","",'Historique détail'!E150/$W150)</f>
        <v>0.06975951817</v>
      </c>
      <c r="G150" s="341">
        <f>IF(E150="","",'Historique détail'!F150/$W150)</f>
        <v>0.07226005853</v>
      </c>
      <c r="H150" s="341">
        <f>IF(F150="","",'Historique détail'!G150/$W150)</f>
        <v>0</v>
      </c>
      <c r="I150" s="341">
        <f>IF(G150="","",'Historique détail'!H150/$W150)</f>
        <v>0.03507217443</v>
      </c>
      <c r="J150" s="341">
        <f>IF(H150="","",'Historique détail'!I150/$W150)</f>
        <v>0.01829856487</v>
      </c>
      <c r="K150" s="341">
        <f>IF(I150="","",'Historique détail'!J150/$W150)</f>
        <v>0.00417983071</v>
      </c>
      <c r="L150" s="341">
        <f>IF(J150="","",'Historique détail'!K150/$W150)</f>
        <v>0.005308826958</v>
      </c>
      <c r="M150" s="341">
        <f>IF(K150="","",'Historique détail'!L150/$W150)</f>
        <v>0</v>
      </c>
      <c r="N150" s="341">
        <f>IF(L150="","",'Historique détail'!M150/$W150)</f>
        <v>0.0431304484</v>
      </c>
      <c r="O150" s="341">
        <f>IF(M150="","",'Historique détail'!N150/$W150)</f>
        <v>0</v>
      </c>
      <c r="P150" s="341">
        <f>IF(N150="","",'Historique détail'!O150/$W150)</f>
        <v>0.01281934278</v>
      </c>
      <c r="Q150" s="341">
        <f>IF(O150="","",'Historique détail'!P150/$W150)</f>
        <v>0.0000000009665103355</v>
      </c>
      <c r="R150" s="341">
        <f>IF(P150="","",'Historique détail'!Q150/$W150)</f>
        <v>0.004032154478</v>
      </c>
      <c r="S150" s="341">
        <f>IF(Q150="","",'Historique détail'!R150/$W150)</f>
        <v>0</v>
      </c>
      <c r="T150" s="341">
        <f>IF(R150="","",'Historique détail'!S150/$W150)</f>
        <v>0</v>
      </c>
      <c r="U150" s="340">
        <f t="shared" si="2"/>
        <v>0.2138796333</v>
      </c>
      <c r="V150" s="14">
        <f>IF(A150="","",ARBITRAGES!M151)</f>
        <v>12799.39938</v>
      </c>
      <c r="W150" s="342">
        <f>IF(V150="","",'Historique détail'!U150)</f>
        <v>59843.93736</v>
      </c>
      <c r="X150" s="288"/>
      <c r="Y150" s="220"/>
      <c r="Z150" s="220"/>
      <c r="AA150" s="220"/>
      <c r="AB150" s="220"/>
      <c r="AC150" s="220"/>
      <c r="AD150" s="220"/>
      <c r="AE150" s="220"/>
      <c r="AF150" s="220"/>
      <c r="AG150" s="220"/>
      <c r="AH150" s="220"/>
      <c r="AI150" s="308"/>
      <c r="AJ150" s="220"/>
      <c r="AK150" s="220"/>
      <c r="AL150" s="220"/>
      <c r="AM150" s="220"/>
      <c r="AN150" s="220"/>
      <c r="AO150" s="220"/>
      <c r="AP150" s="220"/>
      <c r="AQ150" s="220"/>
      <c r="AR150" s="220"/>
      <c r="AS150" s="220"/>
      <c r="AT150" s="220"/>
      <c r="AU150" s="220"/>
      <c r="AV150" s="220"/>
      <c r="AW150" s="220"/>
      <c r="AX150" s="220"/>
      <c r="AY150" s="220"/>
      <c r="AZ150" s="220"/>
      <c r="BA150" s="220"/>
      <c r="BB150" s="220"/>
    </row>
    <row r="151">
      <c r="A151" s="290">
        <f>PRIX!A152</f>
        <v>45911</v>
      </c>
      <c r="B151" s="302">
        <f t="shared" si="1"/>
        <v>0.7950726217</v>
      </c>
      <c r="C151" s="341">
        <f>IF(A151="","",'Historique détail'!B151/$W151)</f>
        <v>0.3688525961</v>
      </c>
      <c r="D151" s="341">
        <f>IF(B151="","",'Historique détail'!C151/$W151)</f>
        <v>0.135432138</v>
      </c>
      <c r="E151" s="341">
        <f>IF(C151="","",'Historique détail'!D151/$W151)</f>
        <v>0.01250222152</v>
      </c>
      <c r="F151" s="341">
        <f>IF(D151="","",'Historique détail'!E151/$W151)</f>
        <v>0.08361243803</v>
      </c>
      <c r="G151" s="341">
        <f>IF(E151="","",'Historique détail'!F151/$W151)</f>
        <v>0.07489504311</v>
      </c>
      <c r="H151" s="341">
        <f>IF(F151="","",'Historique détail'!G151/$W151)</f>
        <v>0</v>
      </c>
      <c r="I151" s="341">
        <f>IF(G151="","",'Historique détail'!H151/$W151)</f>
        <v>0.03570726233</v>
      </c>
      <c r="J151" s="341">
        <f>IF(H151="","",'Historique détail'!I151/$W151)</f>
        <v>0.01972842771</v>
      </c>
      <c r="K151" s="341">
        <f>IF(I151="","",'Historique détail'!J151/$W151)</f>
        <v>0.004323747031</v>
      </c>
      <c r="L151" s="341">
        <f>IF(J151="","",'Historique détail'!K151/$W151)</f>
        <v>0.005238918991</v>
      </c>
      <c r="M151" s="341">
        <f>IF(K151="","",'Historique détail'!L151/$W151)</f>
        <v>0</v>
      </c>
      <c r="N151" s="341">
        <f>IF(L151="","",'Historique détail'!M151/$W151)</f>
        <v>0.03871328882</v>
      </c>
      <c r="O151" s="341">
        <f>IF(M151="","",'Historique détail'!N151/$W151)</f>
        <v>0</v>
      </c>
      <c r="P151" s="341">
        <f>IF(N151="","",'Historique détail'!O151/$W151)</f>
        <v>0.01204922095</v>
      </c>
      <c r="Q151" s="341">
        <f>IF(O151="","",'Historique détail'!P151/$W151)</f>
        <v>0.0000000009170991197</v>
      </c>
      <c r="R151" s="341">
        <f>IF(P151="","",'Historique détail'!Q151/$W151)</f>
        <v>0.004017318228</v>
      </c>
      <c r="S151" s="341">
        <f>IF(Q151="","",'Historique détail'!R151/$W151)</f>
        <v>0</v>
      </c>
      <c r="T151" s="341">
        <f>IF(R151="","",'Historique détail'!S151/$W151)</f>
        <v>0</v>
      </c>
      <c r="U151" s="340">
        <f t="shared" si="2"/>
        <v>0.2049273783</v>
      </c>
      <c r="V151" s="14">
        <f>IF(A151="","",ARBITRAGES!M152)</f>
        <v>12924.39938</v>
      </c>
      <c r="W151" s="342">
        <f>IF(V151="","",'Historique détail'!U151)</f>
        <v>63068.19267</v>
      </c>
      <c r="X151" s="288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0"/>
      <c r="AI151" s="308"/>
      <c r="AJ151" s="220"/>
      <c r="AK151" s="220"/>
      <c r="AL151" s="220"/>
      <c r="AM151" s="220"/>
      <c r="AN151" s="220"/>
      <c r="AO151" s="220"/>
      <c r="AP151" s="220"/>
      <c r="AQ151" s="220"/>
      <c r="AR151" s="220"/>
      <c r="AS151" s="220"/>
      <c r="AT151" s="220"/>
      <c r="AU151" s="220"/>
      <c r="AV151" s="220"/>
      <c r="AW151" s="220"/>
      <c r="AX151" s="220"/>
      <c r="AY151" s="220"/>
      <c r="AZ151" s="220"/>
      <c r="BA151" s="220"/>
      <c r="BB151" s="220"/>
    </row>
    <row r="152">
      <c r="A152" s="290">
        <f>PRIX!A153</f>
        <v>45911</v>
      </c>
      <c r="B152" s="302">
        <f t="shared" si="1"/>
        <v>0.794512214</v>
      </c>
      <c r="C152" s="341">
        <f>IF(A152="","",'Historique détail'!B152/$W152)</f>
        <v>0.366908844</v>
      </c>
      <c r="D152" s="341">
        <f>IF(B152="","",'Historique détail'!C152/$W152)</f>
        <v>0.1400031181</v>
      </c>
      <c r="E152" s="341">
        <f>IF(C152="","",'Historique détail'!D152/$W152)</f>
        <v>0.01243633823</v>
      </c>
      <c r="F152" s="341">
        <f>IF(D152="","",'Historique détail'!E152/$W152)</f>
        <v>0.08317182338</v>
      </c>
      <c r="G152" s="341">
        <f>IF(E152="","",'Historique détail'!F152/$W152)</f>
        <v>0.07450036675</v>
      </c>
      <c r="H152" s="341">
        <f>IF(F152="","",'Historique détail'!G152/$W152)</f>
        <v>0</v>
      </c>
      <c r="I152" s="341">
        <f>IF(G152="","",'Historique détail'!H152/$W152)</f>
        <v>0.03551909483</v>
      </c>
      <c r="J152" s="341">
        <f>IF(H152="","",'Historique détail'!I152/$W152)</f>
        <v>0.0196244643</v>
      </c>
      <c r="K152" s="341">
        <f>IF(I152="","",'Historique détail'!J152/$W152)</f>
        <v>0.004300962069</v>
      </c>
      <c r="L152" s="341">
        <f>IF(J152="","",'Historique détail'!K152/$W152)</f>
        <v>0.005211311323</v>
      </c>
      <c r="M152" s="341">
        <f>IF(K152="","",'Historique détail'!L152/$W152)</f>
        <v>0</v>
      </c>
      <c r="N152" s="341">
        <f>IF(L152="","",'Historique détail'!M152/$W152)</f>
        <v>0.03850928039</v>
      </c>
      <c r="O152" s="341">
        <f>IF(M152="","",'Historique détail'!N152/$W152)</f>
        <v>0</v>
      </c>
      <c r="P152" s="341">
        <f>IF(N152="","",'Historique détail'!O152/$W152)</f>
        <v>0.0103304617</v>
      </c>
      <c r="Q152" s="341">
        <f>IF(O152="","",'Historique détail'!P152/$W152)</f>
        <v>0.0000000009122662586</v>
      </c>
      <c r="R152" s="341">
        <f>IF(P152="","",'Historique détail'!Q152/$W152)</f>
        <v>0.003996148061</v>
      </c>
      <c r="S152" s="341">
        <f>IF(Q152="","",'Historique détail'!R152/$W152)</f>
        <v>0</v>
      </c>
      <c r="T152" s="341">
        <f>IF(R152="","",'Historique détail'!S152/$W152)</f>
        <v>0</v>
      </c>
      <c r="U152" s="340">
        <f t="shared" si="2"/>
        <v>0.205487786</v>
      </c>
      <c r="V152" s="14">
        <f>IF(A152="","",ARBITRAGES!M153)</f>
        <v>13028.39938</v>
      </c>
      <c r="W152" s="342">
        <f>IF(V152="","",'Historique détail'!U152)</f>
        <v>63402.30545</v>
      </c>
      <c r="X152" s="288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0"/>
      <c r="AI152" s="308"/>
      <c r="AJ152" s="220"/>
      <c r="AK152" s="220"/>
      <c r="AL152" s="220"/>
      <c r="AM152" s="220"/>
      <c r="AN152" s="220"/>
      <c r="AO152" s="220"/>
      <c r="AP152" s="220"/>
      <c r="AQ152" s="220"/>
      <c r="AR152" s="220"/>
      <c r="AS152" s="220"/>
      <c r="AT152" s="220"/>
      <c r="AU152" s="220"/>
      <c r="AV152" s="220"/>
      <c r="AW152" s="220"/>
      <c r="AX152" s="220"/>
      <c r="AY152" s="220"/>
      <c r="AZ152" s="220"/>
      <c r="BA152" s="220"/>
      <c r="BB152" s="220"/>
    </row>
    <row r="153">
      <c r="A153" s="290">
        <f>PRIX!A154</f>
        <v>45911</v>
      </c>
      <c r="B153" s="302">
        <f t="shared" si="1"/>
        <v>0.7907892255</v>
      </c>
      <c r="C153" s="341">
        <f>IF(A153="","",'Historique détail'!B153/$W153)</f>
        <v>0.3669377812</v>
      </c>
      <c r="D153" s="341">
        <f>IF(B153="","",'Historique détail'!C153/$W153)</f>
        <v>0.1400141598</v>
      </c>
      <c r="E153" s="341">
        <f>IF(C153="","",'Historique détail'!D153/$W153)</f>
        <v>0.01243731906</v>
      </c>
      <c r="F153" s="341">
        <f>IF(D153="","",'Historique détail'!E153/$W153)</f>
        <v>0.0793927331</v>
      </c>
      <c r="G153" s="341">
        <f>IF(E153="","",'Historique détail'!F153/$W153)</f>
        <v>0.07450624242</v>
      </c>
      <c r="H153" s="341">
        <f>IF(F153="","",'Historique détail'!G153/$W153)</f>
        <v>0</v>
      </c>
      <c r="I153" s="341">
        <f>IF(G153="","",'Historique détail'!H153/$W153)</f>
        <v>0.03552189614</v>
      </c>
      <c r="J153" s="341">
        <f>IF(H153="","",'Historique détail'!I153/$W153)</f>
        <v>0.01962601204</v>
      </c>
      <c r="K153" s="341">
        <f>IF(I153="","",'Historique détail'!J153/$W153)</f>
        <v>0.004301301276</v>
      </c>
      <c r="L153" s="341">
        <f>IF(J153="","",'Historique détail'!K153/$W153)</f>
        <v>0.005211722327</v>
      </c>
      <c r="M153" s="341">
        <f>IF(K153="","",'Historique détail'!L153/$W153)</f>
        <v>0</v>
      </c>
      <c r="N153" s="341">
        <f>IF(L153="","",'Historique détail'!M153/$W153)</f>
        <v>0.03851231753</v>
      </c>
      <c r="O153" s="341">
        <f>IF(M153="","",'Historique détail'!N153/$W153)</f>
        <v>0</v>
      </c>
      <c r="P153" s="341">
        <f>IF(N153="","",'Historique détail'!O153/$W153)</f>
        <v>0.01033127644</v>
      </c>
      <c r="Q153" s="341">
        <f>IF(O153="","",'Historique détail'!P153/$W153)</f>
        <v>0.0000000009123382069</v>
      </c>
      <c r="R153" s="341">
        <f>IF(P153="","",'Historique détail'!Q153/$W153)</f>
        <v>0.003996463228</v>
      </c>
      <c r="S153" s="341">
        <f>IF(Q153="","",'Historique détail'!R153/$W153)</f>
        <v>0</v>
      </c>
      <c r="T153" s="341">
        <f>IF(R153="","",'Historique détail'!S153/$W153)</f>
        <v>0</v>
      </c>
      <c r="U153" s="340">
        <f t="shared" si="2"/>
        <v>0.2092107745</v>
      </c>
      <c r="V153" s="14">
        <f>IF(A153="","",ARBITRAGES!M154)</f>
        <v>13263.39938</v>
      </c>
      <c r="W153" s="342">
        <f>IF(V153="","",'Historique détail'!U153)</f>
        <v>63397.30545</v>
      </c>
      <c r="X153" s="288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0"/>
      <c r="AI153" s="308"/>
      <c r="AJ153" s="220"/>
      <c r="AK153" s="220"/>
      <c r="AL153" s="220"/>
      <c r="AM153" s="220"/>
      <c r="AN153" s="220"/>
      <c r="AO153" s="220"/>
      <c r="AP153" s="220"/>
      <c r="AQ153" s="220"/>
      <c r="AR153" s="220"/>
      <c r="AS153" s="220"/>
      <c r="AT153" s="220"/>
      <c r="AU153" s="220"/>
      <c r="AV153" s="220"/>
      <c r="AW153" s="220"/>
      <c r="AX153" s="220"/>
      <c r="AY153" s="220"/>
      <c r="AZ153" s="220"/>
      <c r="BA153" s="220"/>
      <c r="BB153" s="220"/>
    </row>
    <row r="154">
      <c r="A154" s="290">
        <f>PRIX!A155</f>
        <v>45912</v>
      </c>
      <c r="B154" s="302">
        <f t="shared" si="1"/>
        <v>0.7868476096</v>
      </c>
      <c r="C154" s="341">
        <f>IF(A154="","",'Historique détail'!B154/$W154)</f>
        <v>0.3685712053</v>
      </c>
      <c r="D154" s="341">
        <f>IF(B154="","",'Historique détail'!C154/$W154)</f>
        <v>0.140637433</v>
      </c>
      <c r="E154" s="341">
        <f>IF(C154="","",'Historique détail'!D154/$W154)</f>
        <v>0.01250028881</v>
      </c>
      <c r="F154" s="341">
        <f>IF(D154="","",'Historique détail'!E154/$W154)</f>
        <v>0.07227423418</v>
      </c>
      <c r="G154" s="341">
        <f>IF(E154="","",'Historique détail'!F154/$W154)</f>
        <v>0.07483790708</v>
      </c>
      <c r="H154" s="341">
        <f>IF(F154="","",'Historique détail'!G154/$W154)</f>
        <v>0</v>
      </c>
      <c r="I154" s="341">
        <f>IF(G154="","",'Historique détail'!H154/$W154)</f>
        <v>0.03568002192</v>
      </c>
      <c r="J154" s="341">
        <f>IF(H154="","",'Historique détail'!I154/$W154)</f>
        <v>0.01971337726</v>
      </c>
      <c r="K154" s="341">
        <f>IF(I154="","",'Historique détail'!J154/$W154)</f>
        <v>0.004320448525</v>
      </c>
      <c r="L154" s="341">
        <f>IF(J154="","",'Historique détail'!K154/$W154)</f>
        <v>0.005234922317</v>
      </c>
      <c r="M154" s="341">
        <f>IF(K154="","",'Historique détail'!L154/$W154)</f>
        <v>0</v>
      </c>
      <c r="N154" s="341">
        <f>IF(L154="","",'Historique détail'!M154/$W154)</f>
        <v>0.03868375517</v>
      </c>
      <c r="O154" s="341">
        <f>IF(M154="","",'Historique détail'!N154/$W154)</f>
        <v>0</v>
      </c>
      <c r="P154" s="341">
        <f>IF(N154="","",'Historique détail'!O154/$W154)</f>
        <v>0.01037726613</v>
      </c>
      <c r="Q154" s="341">
        <f>IF(O154="","",'Historique détail'!P154/$W154)</f>
        <v>0.0000000009163994819</v>
      </c>
      <c r="R154" s="341">
        <f>IF(P154="","",'Historique détail'!Q154/$W154)</f>
        <v>0.004016748882</v>
      </c>
      <c r="S154" s="341">
        <f>IF(Q154="","",'Historique détail'!R154/$W154)</f>
        <v>0</v>
      </c>
      <c r="T154" s="341">
        <f>IF(R154="","",'Historique détail'!S154/$W154)</f>
        <v>0</v>
      </c>
      <c r="U154" s="340">
        <f t="shared" si="2"/>
        <v>0.2131523904</v>
      </c>
      <c r="V154" s="14">
        <f>IF(A154="","",ARBITRAGES!M155)</f>
        <v>13453.39938</v>
      </c>
      <c r="W154" s="342">
        <f>IF(V154="","",'Historique détail'!U154)</f>
        <v>63116.34295</v>
      </c>
      <c r="X154" s="288"/>
      <c r="Y154" s="220"/>
      <c r="Z154" s="220"/>
      <c r="AA154" s="220"/>
      <c r="AB154" s="220"/>
      <c r="AC154" s="220"/>
      <c r="AD154" s="220"/>
      <c r="AE154" s="220"/>
      <c r="AF154" s="220"/>
      <c r="AG154" s="220"/>
      <c r="AH154" s="220"/>
      <c r="AI154" s="308"/>
      <c r="AJ154" s="220"/>
      <c r="AK154" s="220"/>
      <c r="AL154" s="220"/>
      <c r="AM154" s="220"/>
      <c r="AN154" s="220"/>
      <c r="AO154" s="220"/>
      <c r="AP154" s="220"/>
      <c r="AQ154" s="220"/>
      <c r="AR154" s="220"/>
      <c r="AS154" s="220"/>
      <c r="AT154" s="220"/>
      <c r="AU154" s="220"/>
      <c r="AV154" s="220"/>
      <c r="AW154" s="220"/>
      <c r="AX154" s="220"/>
      <c r="AY154" s="220"/>
      <c r="AZ154" s="220"/>
      <c r="BA154" s="220"/>
      <c r="BB154" s="220"/>
    </row>
    <row r="155">
      <c r="A155" s="290">
        <f>PRIX!A156</f>
        <v>45914</v>
      </c>
      <c r="B155" s="302">
        <f t="shared" si="1"/>
        <v>0.7847142985</v>
      </c>
      <c r="C155" s="341">
        <f>IF(A155="","",'Historique détail'!B155/$W155)</f>
        <v>0.3687674107</v>
      </c>
      <c r="D155" s="341">
        <f>IF(B155="","",'Historique détail'!C155/$W155)</f>
        <v>0.142537175</v>
      </c>
      <c r="E155" s="341">
        <f>IF(C155="","",'Historique détail'!D155/$W155)</f>
        <v>0.01278707459</v>
      </c>
      <c r="F155" s="341">
        <f>IF(D155="","",'Historique détail'!E155/$W155)</f>
        <v>0.0693351324</v>
      </c>
      <c r="G155" s="341">
        <f>IF(E155="","",'Historique détail'!F155/$W155)</f>
        <v>0.07423501888</v>
      </c>
      <c r="H155" s="341">
        <f>IF(F155="","",'Historique détail'!G155/$W155)</f>
        <v>0</v>
      </c>
      <c r="I155" s="341">
        <f>IF(G155="","",'Historique détail'!H155/$W155)</f>
        <v>0.03454316444</v>
      </c>
      <c r="J155" s="341">
        <f>IF(H155="","",'Historique détail'!I155/$W155)</f>
        <v>0.02131888978</v>
      </c>
      <c r="K155" s="341">
        <f>IF(I155="","",'Historique détail'!J155/$W155)</f>
        <v>0.004446757748</v>
      </c>
      <c r="L155" s="341">
        <f>IF(J155="","",'Historique détail'!K155/$W155)</f>
        <v>0.005192750201</v>
      </c>
      <c r="M155" s="341">
        <f>IF(K155="","",'Historique détail'!L155/$W155)</f>
        <v>0</v>
      </c>
      <c r="N155" s="341">
        <f>IF(L155="","",'Historique détail'!M155/$W155)</f>
        <v>0.03776304063</v>
      </c>
      <c r="O155" s="341">
        <f>IF(M155="","",'Historique détail'!N155/$W155)</f>
        <v>0</v>
      </c>
      <c r="P155" s="341">
        <f>IF(N155="","",'Historique détail'!O155/$W155)</f>
        <v>0.009803493055</v>
      </c>
      <c r="Q155" s="341">
        <f>IF(O155="","",'Historique détail'!P155/$W155)</f>
        <v>0.0000000009090170409</v>
      </c>
      <c r="R155" s="341">
        <f>IF(P155="","",'Historique détail'!Q155/$W155)</f>
        <v>0.003984390274</v>
      </c>
      <c r="S155" s="341">
        <f>IF(Q155="","",'Historique détail'!R155/$W155)</f>
        <v>0</v>
      </c>
      <c r="T155" s="341">
        <f>IF(R155="","",'Historique détail'!S155/$W155)</f>
        <v>0</v>
      </c>
      <c r="U155" s="340">
        <f t="shared" si="2"/>
        <v>0.2152857015</v>
      </c>
      <c r="V155" s="14">
        <f>IF(A155="","",ARBITRAGES!M156)</f>
        <v>13698.39938</v>
      </c>
      <c r="W155" s="342">
        <f>IF(V155="","",'Historique détail'!U155)</f>
        <v>63628.93254</v>
      </c>
      <c r="X155" s="288"/>
      <c r="Y155" s="220"/>
      <c r="Z155" s="220"/>
      <c r="AA155" s="220"/>
      <c r="AB155" s="220"/>
      <c r="AC155" s="220"/>
      <c r="AD155" s="220"/>
      <c r="AE155" s="220"/>
      <c r="AF155" s="220"/>
      <c r="AG155" s="220"/>
      <c r="AH155" s="220"/>
      <c r="AI155" s="308"/>
      <c r="AJ155" s="220"/>
      <c r="AK155" s="220"/>
      <c r="AL155" s="220"/>
      <c r="AM155" s="220"/>
      <c r="AN155" s="220"/>
      <c r="AO155" s="220"/>
      <c r="AP155" s="220"/>
      <c r="AQ155" s="220"/>
      <c r="AR155" s="220"/>
      <c r="AS155" s="220"/>
      <c r="AT155" s="220"/>
      <c r="AU155" s="220"/>
      <c r="AV155" s="220"/>
      <c r="AW155" s="220"/>
      <c r="AX155" s="220"/>
      <c r="AY155" s="220"/>
      <c r="AZ155" s="220"/>
      <c r="BA155" s="220"/>
      <c r="BB155" s="220"/>
    </row>
    <row r="156">
      <c r="A156" s="290">
        <f>PRIX!A157</f>
        <v>45918</v>
      </c>
      <c r="B156" s="302">
        <f t="shared" si="1"/>
        <v>0.7777080325</v>
      </c>
      <c r="C156" s="341">
        <f>IF(A156="","",'Historique détail'!B156/$W156)</f>
        <v>0.3714798869</v>
      </c>
      <c r="D156" s="341">
        <f>IF(B156="","",'Historique détail'!C156/$W156)</f>
        <v>0.1402065806</v>
      </c>
      <c r="E156" s="341">
        <f>IF(C156="","",'Historique détail'!D156/$W156)</f>
        <v>0.01259893829</v>
      </c>
      <c r="F156" s="341">
        <f>IF(D156="","",'Historique détail'!E156/$W156)</f>
        <v>0.06757434411</v>
      </c>
      <c r="G156" s="341">
        <f>IF(E156="","",'Historique détail'!F156/$W156)</f>
        <v>0.07101269132</v>
      </c>
      <c r="H156" s="341">
        <f>IF(F156="","",'Historique détail'!G156/$W156)</f>
        <v>0</v>
      </c>
      <c r="I156" s="341">
        <f>IF(G156="","",'Historique détail'!H156/$W156)</f>
        <v>0.03416352065</v>
      </c>
      <c r="J156" s="341">
        <f>IF(H156="","",'Historique détail'!I156/$W156)</f>
        <v>0.02016773205</v>
      </c>
      <c r="K156" s="341">
        <f>IF(I156="","",'Historique détail'!J156/$W156)</f>
        <v>0.004289062667</v>
      </c>
      <c r="L156" s="341">
        <f>IF(J156="","",'Historique détail'!K156/$W156)</f>
        <v>0.005073303033</v>
      </c>
      <c r="M156" s="341">
        <f>IF(K156="","",'Historique détail'!L156/$W156)</f>
        <v>0</v>
      </c>
      <c r="N156" s="341">
        <f>IF(L156="","",'Historique détail'!M156/$W156)</f>
        <v>0.03713241783</v>
      </c>
      <c r="O156" s="341">
        <f>IF(M156="","",'Historique détail'!N156/$W156)</f>
        <v>0</v>
      </c>
      <c r="P156" s="341">
        <f>IF(N156="","",'Historique détail'!O156/$W156)</f>
        <v>0.009961105905</v>
      </c>
      <c r="Q156" s="341">
        <f>IF(O156="","",'Historique détail'!P156/$W156)</f>
        <v>0.0000000009236315018</v>
      </c>
      <c r="R156" s="341">
        <f>IF(P156="","",'Historique détail'!Q156/$W156)</f>
        <v>0.004048448167</v>
      </c>
      <c r="S156" s="341">
        <f>IF(Q156="","",'Historique détail'!R156/$W156)</f>
        <v>0</v>
      </c>
      <c r="T156" s="341">
        <f>IF(R156="","",'Historique détail'!S156/$W156)</f>
        <v>0</v>
      </c>
      <c r="U156" s="340">
        <f t="shared" si="2"/>
        <v>0.2222919675</v>
      </c>
      <c r="V156" s="14">
        <f>IF(A156="","",ARBITRAGES!M157)</f>
        <v>13920.39938</v>
      </c>
      <c r="W156" s="342">
        <f>IF(V156="","",'Historique détail'!U156)</f>
        <v>62622.14299</v>
      </c>
      <c r="X156" s="288"/>
      <c r="Y156" s="220"/>
      <c r="Z156" s="220"/>
      <c r="AA156" s="220"/>
      <c r="AB156" s="220"/>
      <c r="AC156" s="220"/>
      <c r="AD156" s="220"/>
      <c r="AE156" s="220"/>
      <c r="AF156" s="220"/>
      <c r="AG156" s="220"/>
      <c r="AH156" s="220"/>
      <c r="AI156" s="308"/>
      <c r="AJ156" s="220"/>
      <c r="AK156" s="220"/>
      <c r="AL156" s="220"/>
      <c r="AM156" s="220"/>
      <c r="AN156" s="220"/>
      <c r="AO156" s="220"/>
      <c r="AP156" s="220"/>
      <c r="AQ156" s="220"/>
      <c r="AR156" s="220"/>
      <c r="AS156" s="220"/>
      <c r="AT156" s="220"/>
      <c r="AU156" s="220"/>
      <c r="AV156" s="220"/>
      <c r="AW156" s="220"/>
      <c r="AX156" s="220"/>
      <c r="AY156" s="220"/>
      <c r="AZ156" s="220"/>
      <c r="BA156" s="220"/>
      <c r="BB156" s="220"/>
    </row>
    <row r="157">
      <c r="A157" s="290">
        <f>PRIX!A158</f>
        <v>45918</v>
      </c>
      <c r="B157" s="302">
        <f t="shared" si="1"/>
        <v>0.7737700237</v>
      </c>
      <c r="C157" s="341">
        <f>IF(A157="","",'Historique détail'!B157/$W157)</f>
        <v>0.371390927</v>
      </c>
      <c r="D157" s="341">
        <f>IF(B157="","",'Historique détail'!C157/$W157)</f>
        <v>0.1401730047</v>
      </c>
      <c r="E157" s="341">
        <f>IF(C157="","",'Historique détail'!D157/$W157)</f>
        <v>0.01259592117</v>
      </c>
      <c r="F157" s="341">
        <f>IF(D157="","",'Historique détail'!E157/$W157)</f>
        <v>0.06380639424</v>
      </c>
      <c r="G157" s="341">
        <f>IF(E157="","",'Historique détail'!F157/$W157)</f>
        <v>0.07099568559</v>
      </c>
      <c r="H157" s="341">
        <f>IF(F157="","",'Historique détail'!G157/$W157)</f>
        <v>0</v>
      </c>
      <c r="I157" s="341">
        <f>IF(G157="","",'Historique détail'!H157/$W157)</f>
        <v>0.03415533935</v>
      </c>
      <c r="J157" s="341">
        <f>IF(H157="","",'Historique détail'!I157/$W157)</f>
        <v>0.02016290239</v>
      </c>
      <c r="K157" s="341">
        <f>IF(I157="","",'Historique détail'!J157/$W157)</f>
        <v>0.004288035545</v>
      </c>
      <c r="L157" s="341">
        <f>IF(J157="","",'Historique détail'!K157/$W157)</f>
        <v>0.005072088106</v>
      </c>
      <c r="M157" s="341">
        <f>IF(K157="","",'Historique détail'!L157/$W157)</f>
        <v>0</v>
      </c>
      <c r="N157" s="341">
        <f>IF(L157="","",'Historique détail'!M157/$W157)</f>
        <v>0.03712352556</v>
      </c>
      <c r="O157" s="341">
        <f>IF(M157="","",'Historique détail'!N157/$W157)</f>
        <v>0</v>
      </c>
      <c r="P157" s="341">
        <f>IF(N157="","",'Historique détail'!O157/$W157)</f>
        <v>0.009958720474</v>
      </c>
      <c r="Q157" s="341">
        <f>IF(O157="","",'Historique détail'!P157/$W157)</f>
        <v>0.0000000009234103156</v>
      </c>
      <c r="R157" s="341">
        <f>IF(P157="","",'Historique détail'!Q157/$W157)</f>
        <v>0.004047478667</v>
      </c>
      <c r="S157" s="341">
        <f>IF(Q157="","",'Historique détail'!R157/$W157)</f>
        <v>0</v>
      </c>
      <c r="T157" s="341">
        <f>IF(R157="","",'Historique détail'!S157/$W157)</f>
        <v>0</v>
      </c>
      <c r="U157" s="340">
        <f t="shared" si="2"/>
        <v>0.2262299763</v>
      </c>
      <c r="V157" s="14">
        <f>IF(A157="","",ARBITRAGES!M158)</f>
        <v>14170.39938</v>
      </c>
      <c r="W157" s="342">
        <f>IF(V157="","",'Historique détail'!U157)</f>
        <v>62637.14299</v>
      </c>
      <c r="X157" s="288"/>
      <c r="Y157" s="220"/>
      <c r="Z157" s="220"/>
      <c r="AA157" s="220"/>
      <c r="AB157" s="220"/>
      <c r="AC157" s="220"/>
      <c r="AD157" s="220"/>
      <c r="AE157" s="220"/>
      <c r="AF157" s="220"/>
      <c r="AG157" s="220"/>
      <c r="AH157" s="220"/>
      <c r="AI157" s="308"/>
      <c r="AJ157" s="220"/>
      <c r="AK157" s="220"/>
      <c r="AL157" s="220"/>
      <c r="AM157" s="220"/>
      <c r="AN157" s="220"/>
      <c r="AO157" s="220"/>
      <c r="AP157" s="220"/>
      <c r="AQ157" s="220"/>
      <c r="AR157" s="220"/>
      <c r="AS157" s="220"/>
      <c r="AT157" s="220"/>
      <c r="AU157" s="220"/>
      <c r="AV157" s="220"/>
      <c r="AW157" s="220"/>
      <c r="AX157" s="220"/>
      <c r="AY157" s="220"/>
      <c r="AZ157" s="220"/>
      <c r="BA157" s="220"/>
      <c r="BB157" s="220"/>
    </row>
    <row r="158">
      <c r="A158" s="290">
        <f>PRIX!A159</f>
        <v>45919</v>
      </c>
      <c r="B158" s="302">
        <f t="shared" si="1"/>
        <v>0.7697996726</v>
      </c>
      <c r="C158" s="341">
        <f>IF(A158="","",'Historique détail'!B158/$W158)</f>
        <v>0.371359801</v>
      </c>
      <c r="D158" s="341">
        <f>IF(B158="","",'Historique détail'!C158/$W158)</f>
        <v>0.1401612569</v>
      </c>
      <c r="E158" s="341">
        <f>IF(C158="","",'Historique détail'!D158/$W158)</f>
        <v>0.01259486552</v>
      </c>
      <c r="F158" s="341">
        <f>IF(D158="","",'Historique détail'!E158/$W158)</f>
        <v>0.06380104668</v>
      </c>
      <c r="G158" s="341">
        <f>IF(E158="","",'Historique détail'!F158/$W158)</f>
        <v>0.06708423337</v>
      </c>
      <c r="H158" s="341">
        <f>IF(F158="","",'Historique détail'!G158/$W158)</f>
        <v>0</v>
      </c>
      <c r="I158" s="341">
        <f>IF(G158="","",'Historique détail'!H158/$W158)</f>
        <v>0.03415247683</v>
      </c>
      <c r="J158" s="341">
        <f>IF(H158="","",'Historique détail'!I158/$W158)</f>
        <v>0.02016121256</v>
      </c>
      <c r="K158" s="341">
        <f>IF(I158="","",'Historique détail'!J158/$W158)</f>
        <v>0.004287676169</v>
      </c>
      <c r="L158" s="341">
        <f>IF(J158="","",'Historique détail'!K158/$W158)</f>
        <v>0.005071663019</v>
      </c>
      <c r="M158" s="341">
        <f>IF(K158="","",'Historique détail'!L158/$W158)</f>
        <v>0</v>
      </c>
      <c r="N158" s="341">
        <f>IF(L158="","",'Historique détail'!M158/$W158)</f>
        <v>0.03712041428</v>
      </c>
      <c r="O158" s="341">
        <f>IF(M158="","",'Historique détail'!N158/$W158)</f>
        <v>0</v>
      </c>
      <c r="P158" s="341">
        <f>IF(N158="","",'Historique détail'!O158/$W158)</f>
        <v>0.009957885843</v>
      </c>
      <c r="Q158" s="341">
        <f>IF(O158="","",'Historique détail'!P158/$W158)</f>
        <v>0.0000000009233329255</v>
      </c>
      <c r="R158" s="341">
        <f>IF(P158="","",'Historique détail'!Q158/$W158)</f>
        <v>0.004047139451</v>
      </c>
      <c r="S158" s="341">
        <f>IF(Q158="","",'Historique détail'!R158/$W158)</f>
        <v>0</v>
      </c>
      <c r="T158" s="341">
        <f>IF(R158="","",'Historique détail'!S158/$W158)</f>
        <v>0</v>
      </c>
      <c r="U158" s="340">
        <f t="shared" si="2"/>
        <v>0.2302003274</v>
      </c>
      <c r="V158" s="14">
        <f>IF(A158="","",ARBITRAGES!M159)</f>
        <v>14420.29938</v>
      </c>
      <c r="W158" s="342">
        <f>IF(V158="","",'Historique détail'!U158)</f>
        <v>62642.39299</v>
      </c>
      <c r="X158" s="288"/>
      <c r="Y158" s="220"/>
      <c r="Z158" s="220"/>
      <c r="AA158" s="220"/>
      <c r="AB158" s="220"/>
      <c r="AC158" s="220"/>
      <c r="AD158" s="220"/>
      <c r="AE158" s="220"/>
      <c r="AF158" s="220"/>
      <c r="AG158" s="220"/>
      <c r="AH158" s="220"/>
      <c r="AI158" s="308"/>
      <c r="AJ158" s="220"/>
      <c r="AK158" s="220"/>
      <c r="AL158" s="220"/>
      <c r="AM158" s="220"/>
      <c r="AN158" s="220"/>
      <c r="AO158" s="220"/>
      <c r="AP158" s="220"/>
      <c r="AQ158" s="220"/>
      <c r="AR158" s="220"/>
      <c r="AS158" s="220"/>
      <c r="AT158" s="220"/>
      <c r="AU158" s="220"/>
      <c r="AV158" s="220"/>
      <c r="AW158" s="220"/>
      <c r="AX158" s="220"/>
      <c r="AY158" s="220"/>
      <c r="AZ158" s="220"/>
      <c r="BA158" s="220"/>
      <c r="BB158" s="220"/>
    </row>
    <row r="159">
      <c r="A159" s="290">
        <f>PRIX!A160</f>
        <v>45922</v>
      </c>
      <c r="B159" s="302">
        <f t="shared" si="1"/>
        <v>0.767062699</v>
      </c>
      <c r="C159" s="341">
        <f>IF(A159="","",'Historique détail'!B159/$W159)</f>
        <v>0.3751999165</v>
      </c>
      <c r="D159" s="341">
        <f>IF(B159="","",'Historique détail'!C159/$W159)</f>
        <v>0.1453801479</v>
      </c>
      <c r="E159" s="341">
        <f>IF(C159="","",'Historique détail'!D159/$W159)</f>
        <v>0.01158403336</v>
      </c>
      <c r="F159" s="341">
        <f>IF(D159="","",'Historique détail'!E159/$W159)</f>
        <v>0.06168136918</v>
      </c>
      <c r="G159" s="341">
        <f>IF(E159="","",'Historique détail'!F159/$W159)</f>
        <v>0.06333937569</v>
      </c>
      <c r="H159" s="341">
        <f>IF(F159="","",'Historique détail'!G159/$W159)</f>
        <v>0</v>
      </c>
      <c r="I159" s="341">
        <f>IF(G159="","",'Historique détail'!H159/$W159)</f>
        <v>0.03244751307</v>
      </c>
      <c r="J159" s="341">
        <f>IF(H159="","",'Historique détail'!I159/$W159)</f>
        <v>0.01850697802</v>
      </c>
      <c r="K159" s="341">
        <f>IF(I159="","",'Historique détail'!J159/$W159)</f>
        <v>0.004123650939</v>
      </c>
      <c r="L159" s="341">
        <f>IF(J159="","",'Historique détail'!K159/$W159)</f>
        <v>0.00576121998</v>
      </c>
      <c r="M159" s="341">
        <f>IF(K159="","",'Historique détail'!L159/$W159)</f>
        <v>0</v>
      </c>
      <c r="N159" s="341">
        <f>IF(L159="","",'Historique détail'!M159/$W159)</f>
        <v>0.03513950479</v>
      </c>
      <c r="O159" s="341">
        <f>IF(M159="","",'Historique détail'!N159/$W159)</f>
        <v>0</v>
      </c>
      <c r="P159" s="341">
        <f>IF(N159="","",'Historique détail'!O159/$W159)</f>
        <v>0.01007777371</v>
      </c>
      <c r="Q159" s="341">
        <f>IF(O159="","",'Historique détail'!P159/$W159)</f>
        <v>0.0000000008104918117</v>
      </c>
      <c r="R159" s="341">
        <f>IF(P159="","",'Historique détail'!Q159/$W159)</f>
        <v>0.00382121511</v>
      </c>
      <c r="S159" s="341">
        <f>IF(Q159="","",'Historique détail'!R159/$W159)</f>
        <v>0</v>
      </c>
      <c r="T159" s="341">
        <f>IF(R159="","",'Historique détail'!S159/$W159)</f>
        <v>0</v>
      </c>
      <c r="U159" s="340">
        <f t="shared" si="2"/>
        <v>0.232937301</v>
      </c>
      <c r="V159" s="14">
        <f>IF(A159="","",ARBITRAGES!M160)</f>
        <v>14129.79938</v>
      </c>
      <c r="W159" s="342">
        <f>IF(V159="","",'Historique détail'!U159)</f>
        <v>60659.23884</v>
      </c>
      <c r="X159" s="288"/>
      <c r="Y159" s="220"/>
      <c r="Z159" s="220"/>
      <c r="AA159" s="220"/>
      <c r="AB159" s="220"/>
      <c r="AC159" s="220"/>
      <c r="AD159" s="220"/>
      <c r="AE159" s="220"/>
      <c r="AF159" s="220"/>
      <c r="AG159" s="220"/>
      <c r="AH159" s="220"/>
      <c r="AI159" s="308"/>
      <c r="AJ159" s="220"/>
      <c r="AK159" s="220"/>
      <c r="AL159" s="220"/>
      <c r="AM159" s="220"/>
      <c r="AN159" s="220"/>
      <c r="AO159" s="220"/>
      <c r="AP159" s="220"/>
      <c r="AQ159" s="220"/>
      <c r="AR159" s="220"/>
      <c r="AS159" s="220"/>
      <c r="AT159" s="220"/>
      <c r="AU159" s="220"/>
      <c r="AV159" s="220"/>
      <c r="AW159" s="220"/>
      <c r="AX159" s="220"/>
      <c r="AY159" s="220"/>
      <c r="AZ159" s="220"/>
      <c r="BA159" s="220"/>
      <c r="BB159" s="220"/>
    </row>
    <row r="160">
      <c r="A160" s="290">
        <f>PRIX!A161</f>
        <v>45923</v>
      </c>
      <c r="B160" s="302">
        <f t="shared" si="1"/>
        <v>0.7688794503</v>
      </c>
      <c r="C160" s="341">
        <f>IF(A160="","",'Historique détail'!B160/$W160)</f>
        <v>0.3751826322</v>
      </c>
      <c r="D160" s="341">
        <f>IF(B160="","",'Historique détail'!C160/$W160)</f>
        <v>0.1453676767</v>
      </c>
      <c r="E160" s="341">
        <f>IF(C160="","",'Historique détail'!D160/$W160)</f>
        <v>0.01158303965</v>
      </c>
      <c r="F160" s="341">
        <f>IF(D160="","",'Historique détail'!E160/$W160)</f>
        <v>0.06354372882</v>
      </c>
      <c r="G160" s="341">
        <f>IF(E160="","",'Historique détail'!F160/$W160)</f>
        <v>0.06333394222</v>
      </c>
      <c r="H160" s="341">
        <f>IF(F160="","",'Historique détail'!G160/$W160)</f>
        <v>0</v>
      </c>
      <c r="I160" s="341">
        <f>IF(G160="","",'Historique détail'!H160/$W160)</f>
        <v>0.03244472961</v>
      </c>
      <c r="J160" s="341">
        <f>IF(H160="","",'Historique détail'!I160/$W160)</f>
        <v>0.01850539043</v>
      </c>
      <c r="K160" s="341">
        <f>IF(I160="","",'Historique détail'!J160/$W160)</f>
        <v>0.004123297198</v>
      </c>
      <c r="L160" s="341">
        <f>IF(J160="","",'Historique détail'!K160/$W160)</f>
        <v>0.005760725763</v>
      </c>
      <c r="M160" s="341">
        <f>IF(K160="","",'Historique détail'!L160/$W160)</f>
        <v>0</v>
      </c>
      <c r="N160" s="341">
        <f>IF(L160="","",'Historique détail'!M160/$W160)</f>
        <v>0.03513649041</v>
      </c>
      <c r="O160" s="341">
        <f>IF(M160="","",'Historique détail'!N160/$W160)</f>
        <v>0</v>
      </c>
      <c r="P160" s="341">
        <f>IF(N160="","",'Historique détail'!O160/$W160)</f>
        <v>0.0100769092</v>
      </c>
      <c r="Q160" s="341">
        <f>IF(O160="","",'Historique détail'!P160/$W160)</f>
        <v>0.0000000008104222849</v>
      </c>
      <c r="R160" s="341">
        <f>IF(P160="","",'Historique détail'!Q160/$W160)</f>
        <v>0.003820887313</v>
      </c>
      <c r="S160" s="341">
        <f>IF(Q160="","",'Historique détail'!R160/$W160)</f>
        <v>0</v>
      </c>
      <c r="T160" s="341">
        <f>IF(R160="","",'Historique détail'!S160/$W160)</f>
        <v>0</v>
      </c>
      <c r="U160" s="340">
        <f t="shared" si="2"/>
        <v>0.2311205497</v>
      </c>
      <c r="V160" s="14">
        <f>IF(A160="","",ARBITRAGES!M161)</f>
        <v>14020.79938</v>
      </c>
      <c r="W160" s="342">
        <f>IF(V160="","",'Historique détail'!U160)</f>
        <v>60664.44284</v>
      </c>
      <c r="X160" s="288"/>
      <c r="Y160" s="220"/>
      <c r="Z160" s="220"/>
      <c r="AA160" s="220"/>
      <c r="AB160" s="220"/>
      <c r="AC160" s="220"/>
      <c r="AD160" s="220"/>
      <c r="AE160" s="220"/>
      <c r="AF160" s="220"/>
      <c r="AG160" s="220"/>
      <c r="AH160" s="220"/>
      <c r="AI160" s="308"/>
      <c r="AJ160" s="220"/>
      <c r="AK160" s="220"/>
      <c r="AL160" s="220"/>
      <c r="AM160" s="220"/>
      <c r="AN160" s="220"/>
      <c r="AO160" s="220"/>
      <c r="AP160" s="220"/>
      <c r="AQ160" s="220"/>
      <c r="AR160" s="220"/>
      <c r="AS160" s="220"/>
      <c r="AT160" s="220"/>
      <c r="AU160" s="220"/>
      <c r="AV160" s="220"/>
      <c r="AW160" s="220"/>
      <c r="AX160" s="220"/>
      <c r="AY160" s="220"/>
      <c r="AZ160" s="220"/>
      <c r="BA160" s="220"/>
      <c r="BB160" s="220"/>
    </row>
    <row r="161">
      <c r="A161" s="290">
        <f>PRIX!A162</f>
        <v>45924</v>
      </c>
      <c r="B161" s="302">
        <f t="shared" si="1"/>
        <v>0.7657669209</v>
      </c>
      <c r="C161" s="341">
        <f>IF(A161="","",'Historique détail'!B161/$W161)</f>
        <v>0.3793135721</v>
      </c>
      <c r="D161" s="341">
        <f>IF(B161="","",'Historique détail'!C161/$W161)</f>
        <v>0.1418527576</v>
      </c>
      <c r="E161" s="341">
        <f>IF(C161="","",'Historique détail'!D161/$W161)</f>
        <v>0.01157661822</v>
      </c>
      <c r="F161" s="341">
        <f>IF(D161="","",'Historique détail'!E161/$W161)</f>
        <v>0.05918876025</v>
      </c>
      <c r="G161" s="341">
        <f>IF(E161="","",'Historique détail'!F161/$W161)</f>
        <v>0.06337036659</v>
      </c>
      <c r="H161" s="341">
        <f>IF(F161="","",'Historique détail'!G161/$W161)</f>
        <v>0</v>
      </c>
      <c r="I161" s="341">
        <f>IF(G161="","",'Historique détail'!H161/$W161)</f>
        <v>0.03324324357</v>
      </c>
      <c r="J161" s="341">
        <f>IF(H161="","",'Historique détail'!I161/$W161)</f>
        <v>0.01832880826</v>
      </c>
      <c r="K161" s="341">
        <f>IF(I161="","",'Historique détail'!J161/$W161)</f>
        <v>0.00422477779</v>
      </c>
      <c r="L161" s="341">
        <f>IF(J161="","",'Historique détail'!K161/$W161)</f>
        <v>0.005795187663</v>
      </c>
      <c r="M161" s="341">
        <f>IF(K161="","",'Historique détail'!L161/$W161)</f>
        <v>0</v>
      </c>
      <c r="N161" s="341">
        <f>IF(L161="","",'Historique détail'!M161/$W161)</f>
        <v>0.03534668445</v>
      </c>
      <c r="O161" s="341">
        <f>IF(M161="","",'Historique détail'!N161/$W161)</f>
        <v>0</v>
      </c>
      <c r="P161" s="341">
        <f>IF(N161="","",'Historique détail'!O161/$W161)</f>
        <v>0.00969277942</v>
      </c>
      <c r="Q161" s="341">
        <f>IF(O161="","",'Historique détail'!P161/$W161)</f>
        <v>0.0000000007815228286</v>
      </c>
      <c r="R161" s="341">
        <f>IF(P161="","",'Historique détail'!Q161/$W161)</f>
        <v>0.003833364199</v>
      </c>
      <c r="S161" s="341">
        <f>IF(Q161="","",'Historique détail'!R161/$W161)</f>
        <v>0</v>
      </c>
      <c r="T161" s="341">
        <f>IF(R161="","",'Historique détail'!S161/$W161)</f>
        <v>0</v>
      </c>
      <c r="U161" s="340">
        <f t="shared" si="2"/>
        <v>0.2342330791</v>
      </c>
      <c r="V161" s="14">
        <f>IF(A161="","",ARBITRAGES!M162)</f>
        <v>13868.29938</v>
      </c>
      <c r="W161" s="342">
        <f>IF(V161="","",'Historique détail'!U161)</f>
        <v>59207.2624</v>
      </c>
      <c r="X161" s="288"/>
      <c r="Y161" s="220"/>
      <c r="Z161" s="220"/>
      <c r="AA161" s="220"/>
      <c r="AB161" s="220"/>
      <c r="AC161" s="220"/>
      <c r="AD161" s="220"/>
      <c r="AE161" s="220"/>
      <c r="AF161" s="220"/>
      <c r="AG161" s="220"/>
      <c r="AH161" s="220"/>
      <c r="AI161" s="308"/>
      <c r="AJ161" s="220"/>
      <c r="AK161" s="220"/>
      <c r="AL161" s="220"/>
      <c r="AM161" s="220"/>
      <c r="AN161" s="220"/>
      <c r="AO161" s="220"/>
      <c r="AP161" s="220"/>
      <c r="AQ161" s="220"/>
      <c r="AR161" s="220"/>
      <c r="AS161" s="220"/>
      <c r="AT161" s="220"/>
      <c r="AU161" s="220"/>
      <c r="AV161" s="220"/>
      <c r="AW161" s="220"/>
      <c r="AX161" s="220"/>
      <c r="AY161" s="220"/>
      <c r="AZ161" s="220"/>
      <c r="BA161" s="220"/>
      <c r="BB161" s="220"/>
    </row>
    <row r="162">
      <c r="A162" s="290">
        <f>PRIX!A163</f>
        <v>45925</v>
      </c>
      <c r="B162" s="302">
        <f t="shared" si="1"/>
        <v>0.7667409694</v>
      </c>
      <c r="C162" s="341">
        <f>IF(A162="","",'Historique détail'!B162/$W162)</f>
        <v>0.3793088826</v>
      </c>
      <c r="D162" s="341">
        <f>IF(B162="","",'Historique détail'!C162/$W162)</f>
        <v>0.1418510038</v>
      </c>
      <c r="E162" s="341">
        <f>IF(C162="","",'Historique détail'!D162/$W162)</f>
        <v>0.0115764751</v>
      </c>
      <c r="F162" s="341">
        <f>IF(D162="","",'Historique détail'!E162/$W162)</f>
        <v>0.05918802849</v>
      </c>
      <c r="G162" s="341">
        <f>IF(E162="","",'Historique détail'!F162/$W162)</f>
        <v>0.06336958313</v>
      </c>
      <c r="H162" s="341">
        <f>IF(F162="","",'Historique détail'!G162/$W162)</f>
        <v>0</v>
      </c>
      <c r="I162" s="341">
        <f>IF(G162="","",'Historique détail'!H162/$W162)</f>
        <v>0.03324283258</v>
      </c>
      <c r="J162" s="341">
        <f>IF(H162="","",'Historique détail'!I162/$W162)</f>
        <v>0.01931209749</v>
      </c>
      <c r="K162" s="341">
        <f>IF(I162="","",'Historique détail'!J162/$W162)</f>
        <v>0.004224725559</v>
      </c>
      <c r="L162" s="341">
        <f>IF(J162="","",'Historique détail'!K162/$W162)</f>
        <v>0.005795116016</v>
      </c>
      <c r="M162" s="341">
        <f>IF(K162="","",'Historique détail'!L162/$W162)</f>
        <v>0</v>
      </c>
      <c r="N162" s="341">
        <f>IF(L162="","",'Historique détail'!M162/$W162)</f>
        <v>0.03534624745</v>
      </c>
      <c r="O162" s="341">
        <f>IF(M162="","",'Historique détail'!N162/$W162)</f>
        <v>0</v>
      </c>
      <c r="P162" s="341">
        <f>IF(N162="","",'Historique détail'!O162/$W162)</f>
        <v>0.009692659586</v>
      </c>
      <c r="Q162" s="341">
        <f>IF(O162="","",'Historique détail'!P162/$W162)</f>
        <v>0.0000000007815131665</v>
      </c>
      <c r="R162" s="341">
        <f>IF(P162="","",'Historique détail'!Q162/$W162)</f>
        <v>0.003833316807</v>
      </c>
      <c r="S162" s="341">
        <f>IF(Q162="","",'Historique détail'!R162/$W162)</f>
        <v>0</v>
      </c>
      <c r="T162" s="341">
        <f>IF(R162="","",'Historique détail'!S162/$W162)</f>
        <v>0</v>
      </c>
      <c r="U162" s="340">
        <f t="shared" si="2"/>
        <v>0.2332590306</v>
      </c>
      <c r="V162" s="14">
        <f>IF(A162="","",ARBITRAGES!M163)</f>
        <v>13810.79938</v>
      </c>
      <c r="W162" s="342">
        <f>IF(V162="","",'Historique détail'!U162)</f>
        <v>59207.9944</v>
      </c>
      <c r="X162" s="288"/>
      <c r="Y162" s="220"/>
      <c r="Z162" s="220"/>
      <c r="AA162" s="220"/>
      <c r="AB162" s="220"/>
      <c r="AC162" s="220"/>
      <c r="AD162" s="220"/>
      <c r="AE162" s="220"/>
      <c r="AF162" s="220"/>
      <c r="AG162" s="220"/>
      <c r="AH162" s="220"/>
      <c r="AI162" s="308"/>
      <c r="AJ162" s="220"/>
      <c r="AK162" s="220"/>
      <c r="AL162" s="220"/>
      <c r="AM162" s="220"/>
      <c r="AN162" s="220"/>
      <c r="AO162" s="220"/>
      <c r="AP162" s="220"/>
      <c r="AQ162" s="220"/>
      <c r="AR162" s="220"/>
      <c r="AS162" s="220"/>
      <c r="AT162" s="220"/>
      <c r="AU162" s="220"/>
      <c r="AV162" s="220"/>
      <c r="AW162" s="220"/>
      <c r="AX162" s="220"/>
      <c r="AY162" s="220"/>
      <c r="AZ162" s="220"/>
      <c r="BA162" s="220"/>
      <c r="BB162" s="220"/>
    </row>
    <row r="163">
      <c r="A163" s="290">
        <f>PRIX!A164</f>
        <v>45928</v>
      </c>
      <c r="B163" s="302">
        <f t="shared" si="1"/>
        <v>0.7701544797</v>
      </c>
      <c r="C163" s="341">
        <f>IF(A163="","",'Historique détail'!B163/$W163)</f>
        <v>0.376777958</v>
      </c>
      <c r="D163" s="341">
        <f>IF(B163="","",'Historique détail'!C163/$W163)</f>
        <v>0.143540063</v>
      </c>
      <c r="E163" s="341">
        <f>IF(C163="","",'Historique détail'!D163/$W163)</f>
        <v>0.01132061361</v>
      </c>
      <c r="F163" s="341">
        <f>IF(D163="","",'Historique détail'!E163/$W163)</f>
        <v>0.05989279672</v>
      </c>
      <c r="G163" s="341">
        <f>IF(E163="","",'Historique détail'!F163/$W163)</f>
        <v>0.06890682429</v>
      </c>
      <c r="H163" s="341">
        <f>IF(F163="","",'Historique détail'!G163/$W163)</f>
        <v>0</v>
      </c>
      <c r="I163" s="341">
        <f>IF(G163="","",'Historique détail'!H163/$W163)</f>
        <v>0.03216922016</v>
      </c>
      <c r="J163" s="341">
        <f>IF(H163="","",'Historique détail'!I163/$W163)</f>
        <v>0.01927720001</v>
      </c>
      <c r="K163" s="341">
        <f>IF(I163="","",'Historique détail'!J163/$W163)</f>
        <v>0.004184027927</v>
      </c>
      <c r="L163" s="341">
        <f>IF(J163="","",'Historique détail'!K163/$W163)</f>
        <v>0.005618836253</v>
      </c>
      <c r="M163" s="341">
        <f>IF(K163="","",'Historique détail'!L163/$W163)</f>
        <v>0</v>
      </c>
      <c r="N163" s="341">
        <f>IF(L163="","",'Historique détail'!M163/$W163)</f>
        <v>0.03493012023</v>
      </c>
      <c r="O163" s="341">
        <f>IF(M163="","",'Historique détail'!N163/$W163)</f>
        <v>0</v>
      </c>
      <c r="P163" s="341">
        <f>IF(N163="","",'Historique détail'!O163/$W163)</f>
        <v>0.009759276384</v>
      </c>
      <c r="Q163" s="341">
        <f>IF(O163="","",'Historique détail'!P163/$W163)</f>
        <v>0.0000000007868844378</v>
      </c>
      <c r="R163" s="341">
        <f>IF(P163="","",'Historique détail'!Q163/$W163)</f>
        <v>0.00377754237</v>
      </c>
      <c r="S163" s="341">
        <f>IF(Q163="","",'Historique détail'!R163/$W163)</f>
        <v>0</v>
      </c>
      <c r="T163" s="341">
        <f>IF(R163="","",'Historique détail'!S163/$W163)</f>
        <v>0</v>
      </c>
      <c r="U163" s="340">
        <f t="shared" si="2"/>
        <v>0.2298455203</v>
      </c>
      <c r="V163" s="14">
        <f>IF(A163="","",ARBITRAGES!M164)</f>
        <v>13515.79938</v>
      </c>
      <c r="W163" s="342">
        <f>IF(V163="","",'Historique détail'!U163)</f>
        <v>58803.84076</v>
      </c>
      <c r="X163" s="288"/>
      <c r="Y163" s="220"/>
      <c r="Z163" s="220"/>
      <c r="AA163" s="220"/>
      <c r="AB163" s="220"/>
      <c r="AC163" s="220"/>
      <c r="AD163" s="220"/>
      <c r="AE163" s="220"/>
      <c r="AF163" s="220"/>
      <c r="AG163" s="220"/>
      <c r="AH163" s="220"/>
      <c r="AI163" s="308"/>
      <c r="AJ163" s="220"/>
      <c r="AK163" s="220"/>
      <c r="AL163" s="220"/>
      <c r="AM163" s="220"/>
      <c r="AN163" s="220"/>
      <c r="AO163" s="220"/>
      <c r="AP163" s="220"/>
      <c r="AQ163" s="220"/>
      <c r="AR163" s="220"/>
      <c r="AS163" s="220"/>
      <c r="AT163" s="220"/>
      <c r="AU163" s="220"/>
      <c r="AV163" s="220"/>
      <c r="AW163" s="220"/>
      <c r="AX163" s="220"/>
      <c r="AY163" s="220"/>
      <c r="AZ163" s="220"/>
      <c r="BA163" s="220"/>
      <c r="BB163" s="220"/>
    </row>
    <row r="164">
      <c r="A164" s="290">
        <f>PRIX!A165</f>
        <v>45905</v>
      </c>
      <c r="B164" s="302">
        <f t="shared" si="1"/>
        <v>0.7844879986</v>
      </c>
      <c r="C164" s="341">
        <f>IF(A164="","",'Historique détail'!B164/$W164)</f>
        <v>0.3889864953</v>
      </c>
      <c r="D164" s="341">
        <f>IF(B164="","",'Historique détail'!C164/$W164)</f>
        <v>0.1456555907</v>
      </c>
      <c r="E164" s="341">
        <f>IF(C164="","",'Historique détail'!D164/$W164)</f>
        <v>0.01090288566</v>
      </c>
      <c r="F164" s="341">
        <f>IF(D164="","",'Historique détail'!E164/$W164)</f>
        <v>0.06471766499</v>
      </c>
      <c r="G164" s="341">
        <f>IF(E164="","",'Historique détail'!F164/$W164)</f>
        <v>0.06883518553</v>
      </c>
      <c r="H164" s="341">
        <f>IF(F164="","",'Historique détail'!G164/$W164)</f>
        <v>0</v>
      </c>
      <c r="I164" s="341">
        <f>IF(G164="","",'Historique détail'!H164/$W164)</f>
        <v>0.03248891593</v>
      </c>
      <c r="J164" s="341">
        <f>IF(H164="","",'Historique détail'!I164/$W164)</f>
        <v>0.0200944263</v>
      </c>
      <c r="K164" s="341">
        <f>IF(I164="","",'Historique détail'!J164/$W164)</f>
        <v>0.0004179678016</v>
      </c>
      <c r="L164" s="341">
        <f>IF(J164="","",'Historique détail'!K164/$W164)</f>
        <v>0.007273643952</v>
      </c>
      <c r="M164" s="341">
        <f>IF(K164="","",'Historique détail'!L164/$W164)</f>
        <v>0</v>
      </c>
      <c r="N164" s="341">
        <f>IF(L164="","",'Historique détail'!M164/$W164)</f>
        <v>0.03524831415</v>
      </c>
      <c r="O164" s="341">
        <f>IF(M164="","",'Historique détail'!N164/$W164)</f>
        <v>0</v>
      </c>
      <c r="P164" s="341">
        <f>IF(N164="","",'Historique détail'!O164/$W164)</f>
        <v>0.009488283891</v>
      </c>
      <c r="Q164" s="341">
        <f>IF(O164="","",'Historique détail'!P164/$W164)</f>
        <v>0.0000000007890896881</v>
      </c>
      <c r="R164" s="341">
        <f>IF(P164="","",'Historique détail'!Q164/$W164)</f>
        <v>0.0003786235846</v>
      </c>
      <c r="S164" s="341">
        <f>IF(Q164="","",'Historique détail'!R164/$W164)</f>
        <v>0</v>
      </c>
      <c r="T164" s="341">
        <f>IF(R164="","",'Historique détail'!S164/$W164)</f>
        <v>0</v>
      </c>
      <c r="U164" s="340">
        <f t="shared" si="2"/>
        <v>0.2155120014</v>
      </c>
      <c r="V164" s="14">
        <f>IF(A164="","",ARBITRAGES!M165)</f>
        <v>13743.29938</v>
      </c>
      <c r="W164" s="342">
        <f>IF(V164="","",'Historique détail'!U164)</f>
        <v>63770.45958</v>
      </c>
      <c r="X164" s="288"/>
      <c r="Y164" s="220"/>
      <c r="Z164" s="220"/>
      <c r="AA164" s="220"/>
      <c r="AB164" s="220"/>
      <c r="AC164" s="220"/>
      <c r="AD164" s="220"/>
      <c r="AE164" s="220"/>
      <c r="AF164" s="220"/>
      <c r="AG164" s="220"/>
      <c r="AH164" s="220"/>
      <c r="AI164" s="308"/>
      <c r="AJ164" s="220"/>
      <c r="AK164" s="220"/>
      <c r="AL164" s="220"/>
      <c r="AM164" s="220"/>
      <c r="AN164" s="220"/>
      <c r="AO164" s="220"/>
      <c r="AP164" s="220"/>
      <c r="AQ164" s="220"/>
      <c r="AR164" s="220"/>
      <c r="AS164" s="220"/>
      <c r="AT164" s="220"/>
      <c r="AU164" s="220"/>
      <c r="AV164" s="220"/>
      <c r="AW164" s="220"/>
      <c r="AX164" s="220"/>
      <c r="AY164" s="220"/>
      <c r="AZ164" s="220"/>
      <c r="BA164" s="220"/>
      <c r="BB164" s="220"/>
    </row>
    <row r="165">
      <c r="A165" s="290">
        <f>PRIX!A166</f>
        <v>45939</v>
      </c>
      <c r="B165" s="302">
        <f t="shared" si="1"/>
        <v>0.7815068765</v>
      </c>
      <c r="C165" s="341">
        <f>IF(A165="","",'Historique détail'!B165/$W165)</f>
        <v>0.3852222936</v>
      </c>
      <c r="D165" s="341">
        <f>IF(B165="","",'Historique détail'!C165/$W165)</f>
        <v>0.139433569</v>
      </c>
      <c r="E165" s="341">
        <f>IF(C165="","",'Historique détail'!D165/$W165)</f>
        <v>0.01062912896</v>
      </c>
      <c r="F165" s="341">
        <f>IF(D165="","",'Historique détail'!E165/$W165)</f>
        <v>0.06111961148</v>
      </c>
      <c r="G165" s="341">
        <f>IF(E165="","",'Historique détail'!F165/$W165)</f>
        <v>0.07952105702</v>
      </c>
      <c r="H165" s="341">
        <f>IF(F165="","",'Historique détail'!G165/$W165)</f>
        <v>0</v>
      </c>
      <c r="I165" s="341">
        <f>IF(G165="","",'Historique détail'!H165/$W165)</f>
        <v>0.03177331552</v>
      </c>
      <c r="J165" s="341">
        <f>IF(H165="","",'Historique détail'!I165/$W165)</f>
        <v>0.01931589808</v>
      </c>
      <c r="K165" s="341">
        <f>IF(I165="","",'Historique détail'!J165/$W165)</f>
        <v>0.0003857032993</v>
      </c>
      <c r="L165" s="341">
        <f>IF(J165="","",'Historique détail'!K165/$W165)</f>
        <v>0.007371120842</v>
      </c>
      <c r="M165" s="341">
        <f>IF(K165="","",'Historique détail'!L165/$W165)</f>
        <v>0</v>
      </c>
      <c r="N165" s="341">
        <f>IF(L165="","",'Historique détail'!M165/$W165)</f>
        <v>0.03402287559</v>
      </c>
      <c r="O165" s="341">
        <f>IF(M165="","",'Historique détail'!N165/$W165)</f>
        <v>0</v>
      </c>
      <c r="P165" s="341">
        <f>IF(N165="","",'Historique détail'!O165/$W165)</f>
        <v>0.009192135611</v>
      </c>
      <c r="Q165" s="341">
        <f>IF(O165="","",'Historique détail'!P165/$W165)</f>
        <v>0.0000000007435216192</v>
      </c>
      <c r="R165" s="341">
        <f>IF(P165="","",'Historique détail'!Q165/$W165)</f>
        <v>0.003520166816</v>
      </c>
      <c r="S165" s="341">
        <f>IF(Q165="","",'Historique détail'!R165/$W165)</f>
        <v>0</v>
      </c>
      <c r="T165" s="341">
        <f>IF(R165="","",'Historique détail'!S165/$W165)</f>
        <v>0</v>
      </c>
      <c r="U165" s="340">
        <f t="shared" si="2"/>
        <v>0.2184931235</v>
      </c>
      <c r="V165" s="14">
        <f>IF(A165="","",ARBITRAGES!M166)</f>
        <v>13937.49379</v>
      </c>
      <c r="W165" s="342">
        <f>IF(V165="","",'Historique détail'!U165)</f>
        <v>63789.16448</v>
      </c>
      <c r="X165" s="288"/>
      <c r="Y165" s="220"/>
      <c r="Z165" s="220"/>
      <c r="AA165" s="220"/>
      <c r="AB165" s="220"/>
      <c r="AC165" s="220"/>
      <c r="AD165" s="220"/>
      <c r="AE165" s="220"/>
      <c r="AF165" s="220"/>
      <c r="AG165" s="220"/>
      <c r="AH165" s="220"/>
      <c r="AI165" s="308"/>
      <c r="AJ165" s="220"/>
      <c r="AK165" s="220"/>
      <c r="AL165" s="220"/>
      <c r="AM165" s="220"/>
      <c r="AN165" s="220"/>
      <c r="AO165" s="220"/>
      <c r="AP165" s="220"/>
      <c r="AQ165" s="220"/>
      <c r="AR165" s="220"/>
      <c r="AS165" s="220"/>
      <c r="AT165" s="220"/>
      <c r="AU165" s="220"/>
      <c r="AV165" s="220"/>
      <c r="AW165" s="220"/>
      <c r="AX165" s="220"/>
      <c r="AY165" s="220"/>
      <c r="AZ165" s="220"/>
      <c r="BA165" s="220"/>
      <c r="BB165" s="220"/>
    </row>
    <row r="166">
      <c r="A166" s="290">
        <f>PRIX!A167</f>
        <v>45939</v>
      </c>
      <c r="B166" s="302">
        <f t="shared" si="1"/>
        <v>0.7784194235</v>
      </c>
      <c r="C166" s="341">
        <f>IF(A166="","",'Historique détail'!B166/$W166)</f>
        <v>0.3852071967</v>
      </c>
      <c r="D166" s="341">
        <f>IF(B166="","",'Historique détail'!C166/$W166)</f>
        <v>0.1394281046</v>
      </c>
      <c r="E166" s="341">
        <f>IF(C166="","",'Historique détail'!D166/$W166)</f>
        <v>0.0106287124</v>
      </c>
      <c r="F166" s="341">
        <f>IF(D166="","",'Historique détail'!E166/$W166)</f>
        <v>0.0611172162</v>
      </c>
      <c r="G166" s="341">
        <f>IF(E166="","",'Historique détail'!F166/$W166)</f>
        <v>0.07646111487</v>
      </c>
      <c r="H166" s="341">
        <f>IF(F166="","",'Historique détail'!G166/$W166)</f>
        <v>0</v>
      </c>
      <c r="I166" s="341">
        <f>IF(G166="","",'Historique détail'!H166/$W166)</f>
        <v>0.03177207032</v>
      </c>
      <c r="J166" s="341">
        <f>IF(H166="","",'Historique détail'!I166/$W166)</f>
        <v>0.01931514109</v>
      </c>
      <c r="K166" s="341">
        <f>IF(I166="","",'Historique détail'!J166/$W166)</f>
        <v>0.0003856881836</v>
      </c>
      <c r="L166" s="341">
        <f>IF(J166="","",'Historique détail'!K166/$W166)</f>
        <v>0.007370831967</v>
      </c>
      <c r="M166" s="341">
        <f>IF(K166="","",'Historique détail'!L166/$W166)</f>
        <v>0</v>
      </c>
      <c r="N166" s="341">
        <f>IF(L166="","",'Historique détail'!M166/$W166)</f>
        <v>0.03402154223</v>
      </c>
      <c r="O166" s="341">
        <f>IF(M166="","",'Historique détail'!N166/$W166)</f>
        <v>0</v>
      </c>
      <c r="P166" s="341">
        <f>IF(N166="","",'Historique détail'!O166/$W166)</f>
        <v>0.00919177537</v>
      </c>
      <c r="Q166" s="341">
        <f>IF(O166="","",'Historique détail'!P166/$W166)</f>
        <v>0.0000000007434924805</v>
      </c>
      <c r="R166" s="341">
        <f>IF(P166="","",'Historique détail'!Q166/$W166)</f>
        <v>0.00352002886</v>
      </c>
      <c r="S166" s="341">
        <f>IF(Q166="","",'Historique détail'!R166/$W166)</f>
        <v>0</v>
      </c>
      <c r="T166" s="341">
        <f>IF(R166="","",'Historique détail'!S166/$W166)</f>
        <v>0</v>
      </c>
      <c r="U166" s="340">
        <f t="shared" si="2"/>
        <v>0.2215805765</v>
      </c>
      <c r="V166" s="14">
        <f>IF(A166="","",ARBITRAGES!M167)</f>
        <v>14134.99379</v>
      </c>
      <c r="W166" s="342">
        <f>IF(V166="","",'Historique détail'!U166)</f>
        <v>63791.66448</v>
      </c>
      <c r="X166" s="288"/>
      <c r="Y166" s="220"/>
      <c r="Z166" s="220"/>
      <c r="AA166" s="220"/>
      <c r="AB166" s="220"/>
      <c r="AC166" s="220"/>
      <c r="AD166" s="220"/>
      <c r="AE166" s="220"/>
      <c r="AF166" s="220"/>
      <c r="AG166" s="220"/>
      <c r="AH166" s="220"/>
      <c r="AI166" s="308"/>
      <c r="AJ166" s="220"/>
      <c r="AK166" s="220"/>
      <c r="AL166" s="220"/>
      <c r="AM166" s="220"/>
      <c r="AN166" s="220"/>
      <c r="AO166" s="220"/>
      <c r="AP166" s="220"/>
      <c r="AQ166" s="220"/>
      <c r="AR166" s="220"/>
      <c r="AS166" s="220"/>
      <c r="AT166" s="220"/>
      <c r="AU166" s="220"/>
      <c r="AV166" s="220"/>
      <c r="AW166" s="220"/>
      <c r="AX166" s="220"/>
      <c r="AY166" s="220"/>
      <c r="AZ166" s="220"/>
      <c r="BA166" s="220"/>
      <c r="BB166" s="220"/>
    </row>
    <row r="167">
      <c r="A167" s="290">
        <f>PRIX!A168</f>
        <v>45940</v>
      </c>
      <c r="B167" s="302">
        <f t="shared" si="1"/>
        <v>0.7843348843</v>
      </c>
      <c r="C167" s="341">
        <f>IF(A167="","",'Historique détail'!B167/$W167)</f>
        <v>0.3899043878</v>
      </c>
      <c r="D167" s="341">
        <f>IF(B167="","",'Historique détail'!C167/$W167)</f>
        <v>0.1375494785</v>
      </c>
      <c r="E167" s="341">
        <f>IF(C167="","",'Historique détail'!D167/$W167)</f>
        <v>0.01076058722</v>
      </c>
      <c r="F167" s="341">
        <f>IF(D167="","",'Historique détail'!E167/$W167)</f>
        <v>0.06186247548</v>
      </c>
      <c r="G167" s="341">
        <f>IF(E167="","",'Historique détail'!F167/$W167)</f>
        <v>0.07739347664</v>
      </c>
      <c r="H167" s="341">
        <f>IF(F167="","",'Historique détail'!G167/$W167)</f>
        <v>0</v>
      </c>
      <c r="I167" s="341">
        <f>IF(G167="","",'Historique détail'!H167/$W167)</f>
        <v>0.03215949685</v>
      </c>
      <c r="J167" s="341">
        <f>IF(H167="","",'Historique détail'!I167/$W167)</f>
        <v>0.01955066864</v>
      </c>
      <c r="K167" s="341">
        <f>IF(I167="","",'Historique détail'!J167/$W167)</f>
        <v>0.0003903912397</v>
      </c>
      <c r="L167" s="341">
        <f>IF(J167="","",'Historique détail'!K167/$W167)</f>
        <v>0.007460711404</v>
      </c>
      <c r="M167" s="341">
        <f>IF(K167="","",'Historique détail'!L167/$W167)</f>
        <v>0</v>
      </c>
      <c r="N167" s="341">
        <f>IF(L167="","",'Historique détail'!M167/$W167)</f>
        <v>0.03443639866</v>
      </c>
      <c r="O167" s="341">
        <f>IF(M167="","",'Historique détail'!N167/$W167)</f>
        <v>0</v>
      </c>
      <c r="P167" s="341">
        <f>IF(N167="","",'Historique détail'!O167/$W167)</f>
        <v>0.00930385927</v>
      </c>
      <c r="Q167" s="341">
        <f>IF(O167="","",'Historique détail'!P167/$W167)</f>
        <v>0.0000000007525585786</v>
      </c>
      <c r="R167" s="341">
        <f>IF(P167="","",'Historique détail'!Q167/$W167)</f>
        <v>0.003562951859</v>
      </c>
      <c r="S167" s="341">
        <f>IF(Q167="","",'Historique détail'!R167/$W167)</f>
        <v>0</v>
      </c>
      <c r="T167" s="341">
        <f>IF(R167="","",'Historique détail'!S167/$W167)</f>
        <v>0</v>
      </c>
      <c r="U167" s="340">
        <f t="shared" si="2"/>
        <v>0.2156651157</v>
      </c>
      <c r="V167" s="14">
        <f>IF(A167="","",ARBITRAGES!M168)</f>
        <v>13591.898</v>
      </c>
      <c r="W167" s="342">
        <f>IF(V167="","",'Historique détail'!U167)</f>
        <v>63023.16419</v>
      </c>
      <c r="X167" s="288"/>
      <c r="Y167" s="220"/>
      <c r="Z167" s="220"/>
      <c r="AA167" s="220"/>
      <c r="AB167" s="220"/>
      <c r="AC167" s="220"/>
      <c r="AD167" s="220"/>
      <c r="AE167" s="220"/>
      <c r="AF167" s="220"/>
      <c r="AG167" s="220"/>
      <c r="AH167" s="220"/>
      <c r="AI167" s="308"/>
      <c r="AJ167" s="220"/>
      <c r="AK167" s="220"/>
      <c r="AL167" s="220"/>
      <c r="AM167" s="220"/>
      <c r="AN167" s="220"/>
      <c r="AO167" s="220"/>
      <c r="AP167" s="220"/>
      <c r="AQ167" s="220"/>
      <c r="AR167" s="220"/>
      <c r="AS167" s="220"/>
      <c r="AT167" s="220"/>
      <c r="AU167" s="220"/>
      <c r="AV167" s="220"/>
      <c r="AW167" s="220"/>
      <c r="AX167" s="220"/>
      <c r="AY167" s="220"/>
      <c r="AZ167" s="220"/>
      <c r="BA167" s="220"/>
      <c r="BB167" s="220"/>
    </row>
    <row r="168">
      <c r="A168" s="290">
        <f>PRIX!A169</f>
        <v>45941</v>
      </c>
      <c r="B168" s="302">
        <f t="shared" si="1"/>
        <v>0.7642537967</v>
      </c>
      <c r="C168" s="341">
        <f>IF(A168="","",'Historique détail'!B168/$W168)</f>
        <v>0.3952337591</v>
      </c>
      <c r="D168" s="341">
        <f>IF(B168="","",'Historique détail'!C168/$W168)</f>
        <v>0.1369223564</v>
      </c>
      <c r="E168" s="341">
        <f>IF(C168="","",'Historique détail'!D168/$W168)</f>
        <v>0.009678075709</v>
      </c>
      <c r="F168" s="341">
        <f>IF(D168="","",'Historique détail'!E168/$W168)</f>
        <v>0.05666948519</v>
      </c>
      <c r="G168" s="341">
        <f>IF(E168="","",'Historique détail'!F168/$W168)</f>
        <v>0.06980603108</v>
      </c>
      <c r="H168" s="341">
        <f>IF(F168="","",'Historique détail'!G168/$W168)</f>
        <v>0</v>
      </c>
      <c r="I168" s="341">
        <f>IF(G168="","",'Historique détail'!H168/$W168)</f>
        <v>0.02828150072</v>
      </c>
      <c r="J168" s="341">
        <f>IF(H168="","",'Historique détail'!I168/$W168)</f>
        <v>0.01676329688</v>
      </c>
      <c r="K168" s="341">
        <f>IF(I168="","",'Historique détail'!J168/$W168)</f>
        <v>0.0003755012053</v>
      </c>
      <c r="L168" s="341">
        <f>IF(J168="","",'Historique détail'!K168/$W168)</f>
        <v>0.006317228638</v>
      </c>
      <c r="M168" s="341">
        <f>IF(K168="","",'Historique détail'!L168/$W168)</f>
        <v>0</v>
      </c>
      <c r="N168" s="341">
        <f>IF(L168="","",'Historique détail'!M168/$W168)</f>
        <v>0.0331229492</v>
      </c>
      <c r="O168" s="341">
        <f>IF(M168="","",'Historique détail'!N168/$W168)</f>
        <v>0</v>
      </c>
      <c r="P168" s="341">
        <f>IF(N168="","",'Historique détail'!O168/$W168)</f>
        <v>0.008051378016</v>
      </c>
      <c r="Q168" s="341">
        <f>IF(O168="","",'Historique détail'!P168/$W168)</f>
        <v>0.0000000005044285758</v>
      </c>
      <c r="R168" s="341">
        <f>IF(P168="","",'Historique détail'!Q168/$W168)</f>
        <v>0.003032234054</v>
      </c>
      <c r="S168" s="341">
        <f>IF(Q168="","",'Historique détail'!R168/$W168)</f>
        <v>0</v>
      </c>
      <c r="T168" s="341">
        <f>IF(R168="","",'Historique détail'!S168/$W168)</f>
        <v>0</v>
      </c>
      <c r="U168" s="340">
        <f t="shared" si="2"/>
        <v>0.2357462033</v>
      </c>
      <c r="V168" s="14">
        <f>IF(A168="","",ARBITRAGES!M169)</f>
        <v>13515.798</v>
      </c>
      <c r="W168" s="342">
        <f>IF(V168="","",'Historique détail'!U168)</f>
        <v>57331.98588</v>
      </c>
      <c r="X168" s="288"/>
      <c r="Y168" s="220"/>
      <c r="Z168" s="220"/>
      <c r="AA168" s="220"/>
      <c r="AB168" s="220"/>
      <c r="AC168" s="220"/>
      <c r="AD168" s="220"/>
      <c r="AE168" s="220"/>
      <c r="AF168" s="220"/>
      <c r="AG168" s="220"/>
      <c r="AH168" s="220"/>
      <c r="AI168" s="308"/>
      <c r="AJ168" s="220"/>
      <c r="AK168" s="220"/>
      <c r="AL168" s="220"/>
      <c r="AM168" s="220"/>
      <c r="AN168" s="220"/>
      <c r="AO168" s="220"/>
      <c r="AP168" s="220"/>
      <c r="AQ168" s="220"/>
      <c r="AR168" s="220"/>
      <c r="AS168" s="220"/>
      <c r="AT168" s="220"/>
      <c r="AU168" s="220"/>
      <c r="AV168" s="220"/>
      <c r="AW168" s="220"/>
      <c r="AX168" s="220"/>
      <c r="AY168" s="220"/>
      <c r="AZ168" s="220"/>
      <c r="BA168" s="220"/>
      <c r="BB168" s="220"/>
    </row>
    <row r="169">
      <c r="A169" s="290">
        <f>PRIX!A170</f>
        <v>45941</v>
      </c>
      <c r="B169" s="302">
        <f t="shared" si="1"/>
        <v>0.7772949302</v>
      </c>
      <c r="C169" s="341">
        <f>IF(A169="","",'Historique détail'!B169/$W169)</f>
        <v>0.3843401378</v>
      </c>
      <c r="D169" s="341">
        <f>IF(B169="","",'Historique détail'!C169/$W169)</f>
        <v>0.1403250172</v>
      </c>
      <c r="E169" s="341">
        <f>IF(C169="","",'Historique détail'!D169/$W169)</f>
        <v>0.009411323973</v>
      </c>
      <c r="F169" s="341">
        <f>IF(D169="","",'Historique détail'!E169/$W169)</f>
        <v>0.05828058807</v>
      </c>
      <c r="G169" s="341">
        <f>IF(E169="","",'Historique détail'!F169/$W169)</f>
        <v>0.08612068101</v>
      </c>
      <c r="H169" s="341">
        <f>IF(F169="","",'Historique détail'!G169/$W169)</f>
        <v>0</v>
      </c>
      <c r="I169" s="341">
        <f>IF(G169="","",'Historique détail'!H169/$W169)</f>
        <v>0.02989347013</v>
      </c>
      <c r="J169" s="341">
        <f>IF(H169="","",'Historique détail'!I169/$W169)</f>
        <v>0.01725534596</v>
      </c>
      <c r="K169" s="341">
        <f>IF(I169="","",'Historique détail'!J169/$W169)</f>
        <v>0.0003742235481</v>
      </c>
      <c r="L169" s="341">
        <f>IF(J169="","",'Historique détail'!K169/$W169)</f>
        <v>0.007380166682</v>
      </c>
      <c r="M169" s="341">
        <f>IF(K169="","",'Historique détail'!L169/$W169)</f>
        <v>0</v>
      </c>
      <c r="N169" s="341">
        <f>IF(L169="","",'Historique détail'!M169/$W169)</f>
        <v>0.03279589485</v>
      </c>
      <c r="O169" s="341">
        <f>IF(M169="","",'Historique détail'!N169/$W169)</f>
        <v>0</v>
      </c>
      <c r="P169" s="341">
        <f>IF(N169="","",'Historique détail'!O169/$W169)</f>
        <v>0.00807327026</v>
      </c>
      <c r="Q169" s="341">
        <f>IF(O169="","",'Historique détail'!P169/$W169)</f>
        <v>0.0000000005758340185</v>
      </c>
      <c r="R169" s="341">
        <f>IF(P169="","",'Historique détail'!Q169/$W169)</f>
        <v>0.003044810071</v>
      </c>
      <c r="S169" s="341">
        <f>IF(Q169="","",'Historique détail'!R169/$W169)</f>
        <v>0</v>
      </c>
      <c r="T169" s="341">
        <f>IF(R169="","",'Historique détail'!S169/$W169)</f>
        <v>0</v>
      </c>
      <c r="U169" s="340">
        <f t="shared" si="2"/>
        <v>0.2227050698</v>
      </c>
      <c r="V169" s="14">
        <f>IF(A169="","",ARBITRAGES!M170)</f>
        <v>13421.798</v>
      </c>
      <c r="W169" s="342">
        <f>IF(V169="","",'Historique détail'!U169)</f>
        <v>60267.14169</v>
      </c>
      <c r="X169" s="288"/>
      <c r="Y169" s="220"/>
      <c r="Z169" s="220"/>
      <c r="AA169" s="220"/>
      <c r="AB169" s="220"/>
      <c r="AC169" s="220"/>
      <c r="AD169" s="220"/>
      <c r="AE169" s="220"/>
      <c r="AF169" s="220"/>
      <c r="AG169" s="220"/>
      <c r="AH169" s="220"/>
      <c r="AI169" s="308"/>
      <c r="AJ169" s="220"/>
      <c r="AK169" s="220"/>
      <c r="AL169" s="220"/>
      <c r="AM169" s="220"/>
      <c r="AN169" s="220"/>
      <c r="AO169" s="220"/>
      <c r="AP169" s="220"/>
      <c r="AQ169" s="220"/>
      <c r="AR169" s="220"/>
      <c r="AS169" s="220"/>
      <c r="AT169" s="220"/>
      <c r="AU169" s="220"/>
      <c r="AV169" s="220"/>
      <c r="AW169" s="220"/>
      <c r="AX169" s="220"/>
      <c r="AY169" s="220"/>
      <c r="AZ169" s="220"/>
      <c r="BA169" s="220"/>
      <c r="BB169" s="220"/>
    </row>
    <row r="170">
      <c r="A170" s="290">
        <f>PRIX!A171</f>
        <v>45942</v>
      </c>
      <c r="B170" s="302">
        <f t="shared" si="1"/>
        <v>0.779007126</v>
      </c>
      <c r="C170" s="341">
        <f>IF(A170="","",'Historique détail'!B170/$W170)</f>
        <v>0.3842608209</v>
      </c>
      <c r="D170" s="341">
        <f>IF(B170="","",'Historique détail'!C170/$W170)</f>
        <v>0.1421686656</v>
      </c>
      <c r="E170" s="341">
        <f>IF(C170="","",'Historique détail'!D170/$W170)</f>
        <v>0.009409381742</v>
      </c>
      <c r="F170" s="341">
        <f>IF(D170="","",'Historique détail'!E170/$W170)</f>
        <v>0.0582685606</v>
      </c>
      <c r="G170" s="341">
        <f>IF(E170="","",'Historique détail'!F170/$W170)</f>
        <v>0.08610290813</v>
      </c>
      <c r="H170" s="341">
        <f>IF(F170="","",'Historique détail'!G170/$W170)</f>
        <v>0</v>
      </c>
      <c r="I170" s="341">
        <f>IF(G170="","",'Historique détail'!H170/$W170)</f>
        <v>0.02988730096</v>
      </c>
      <c r="J170" s="341">
        <f>IF(H170="","",'Historique détail'!I170/$W170)</f>
        <v>0.01725178495</v>
      </c>
      <c r="K170" s="341">
        <f>IF(I170="","",'Historique détail'!J170/$W170)</f>
        <v>0.000374146319</v>
      </c>
      <c r="L170" s="341">
        <f>IF(J170="","",'Historique détail'!K170/$W170)</f>
        <v>0.007378643625</v>
      </c>
      <c r="M170" s="341">
        <f>IF(K170="","",'Historique détail'!L170/$W170)</f>
        <v>0</v>
      </c>
      <c r="N170" s="341">
        <f>IF(L170="","",'Historique détail'!M170/$W170)</f>
        <v>0.03278912671</v>
      </c>
      <c r="O170" s="341">
        <f>IF(M170="","",'Historique détail'!N170/$W170)</f>
        <v>0</v>
      </c>
      <c r="P170" s="341">
        <f>IF(N170="","",'Historique détail'!O170/$W170)</f>
        <v>0.008071604165</v>
      </c>
      <c r="Q170" s="341">
        <f>IF(O170="","",'Historique détail'!P170/$W170)</f>
        <v>0.0000000005757151827</v>
      </c>
      <c r="R170" s="341">
        <f>IF(P170="","",'Historique détail'!Q170/$W170)</f>
        <v>0.003044181709</v>
      </c>
      <c r="S170" s="341">
        <f>IF(Q170="","",'Historique détail'!R170/$W170)</f>
        <v>0</v>
      </c>
      <c r="T170" s="341">
        <f>IF(R170="","",'Historique détail'!S170/$W170)</f>
        <v>0</v>
      </c>
      <c r="U170" s="340">
        <f t="shared" si="2"/>
        <v>0.220992874</v>
      </c>
      <c r="V170" s="14">
        <f>IF(A170="","",ARBITRAGES!M171)</f>
        <v>13321.358</v>
      </c>
      <c r="W170" s="342">
        <f>IF(V170="","",'Historique détail'!U170)</f>
        <v>60279.58169</v>
      </c>
      <c r="X170" s="288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0"/>
      <c r="AI170" s="308"/>
      <c r="AJ170" s="220"/>
      <c r="AK170" s="220"/>
      <c r="AL170" s="220"/>
      <c r="AM170" s="220"/>
      <c r="AN170" s="220"/>
      <c r="AO170" s="220"/>
      <c r="AP170" s="220"/>
      <c r="AQ170" s="220"/>
      <c r="AR170" s="220"/>
      <c r="AS170" s="220"/>
      <c r="AT170" s="220"/>
      <c r="AU170" s="220"/>
      <c r="AV170" s="220"/>
      <c r="AW170" s="220"/>
      <c r="AX170" s="220"/>
      <c r="AY170" s="220"/>
      <c r="AZ170" s="220"/>
      <c r="BA170" s="220"/>
      <c r="BB170" s="220"/>
    </row>
    <row r="171">
      <c r="A171" s="290">
        <f>PRIX!A172</f>
        <v>45945</v>
      </c>
      <c r="B171" s="302">
        <f t="shared" si="1"/>
        <v>0.7696731737</v>
      </c>
      <c r="C171" s="341">
        <f>IF(A171="","",'Historique détail'!B171/$W171)</f>
        <v>0.3805902723</v>
      </c>
      <c r="D171" s="341">
        <f>IF(B171="","",'Historique détail'!C171/$W171)</f>
        <v>0.1404714752</v>
      </c>
      <c r="E171" s="341">
        <f>IF(C171="","",'Historique détail'!D171/$W171)</f>
        <v>0.009436004343</v>
      </c>
      <c r="F171" s="341">
        <f>IF(D171="","",'Historique détail'!E171/$W171)</f>
        <v>0.05973194431</v>
      </c>
      <c r="G171" s="341">
        <f>IF(E171="","",'Historique détail'!F171/$W171)</f>
        <v>0.08167382355</v>
      </c>
      <c r="H171" s="341">
        <f>IF(F171="","",'Historique détail'!G171/$W171)</f>
        <v>0</v>
      </c>
      <c r="I171" s="341">
        <f>IF(G171="","",'Historique détail'!H171/$W171)</f>
        <v>0.02789581207</v>
      </c>
      <c r="J171" s="341">
        <f>IF(H171="","",'Historique détail'!I171/$W171)</f>
        <v>0.01676308464</v>
      </c>
      <c r="K171" s="341">
        <f>IF(I171="","",'Historique détail'!J171/$W171)</f>
        <v>0.003486752759</v>
      </c>
      <c r="L171" s="341">
        <f>IF(J171="","",'Historique détail'!K171/$W171)</f>
        <v>0.007347841329</v>
      </c>
      <c r="M171" s="341">
        <f>IF(K171="","",'Historique détail'!L171/$W171)</f>
        <v>0</v>
      </c>
      <c r="N171" s="341">
        <f>IF(L171="","",'Historique détail'!M171/$W171)</f>
        <v>0.03229446658</v>
      </c>
      <c r="O171" s="341">
        <f>IF(M171="","",'Historique détail'!N171/$W171)</f>
        <v>0</v>
      </c>
      <c r="P171" s="341">
        <f>IF(N171="","",'Historique détail'!O171/$W171)</f>
        <v>0.007107427158</v>
      </c>
      <c r="Q171" s="341">
        <f>IF(O171="","",'Historique détail'!P171/$W171)</f>
        <v>0.0000000005557471469</v>
      </c>
      <c r="R171" s="341">
        <f>IF(P171="","",'Historique détail'!Q171/$W171)</f>
        <v>0.002874268805</v>
      </c>
      <c r="S171" s="341">
        <f>IF(Q171="","",'Historique détail'!R171/$W171)</f>
        <v>0</v>
      </c>
      <c r="T171" s="341">
        <f>IF(R171="","",'Historique détail'!S171/$W171)</f>
        <v>0</v>
      </c>
      <c r="U171" s="340">
        <f t="shared" si="2"/>
        <v>0.2303268263</v>
      </c>
      <c r="V171" s="14">
        <f>IF(A171="","",ARBITRAGES!M172)</f>
        <v>13543.858</v>
      </c>
      <c r="W171" s="342">
        <f>IF(V171="","",'Historique détail'!U171)</f>
        <v>58802.78132</v>
      </c>
      <c r="X171" s="288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0"/>
      <c r="AI171" s="308"/>
      <c r="AJ171" s="220"/>
      <c r="AK171" s="220"/>
      <c r="AL171" s="220"/>
      <c r="AM171" s="220"/>
      <c r="AN171" s="220"/>
      <c r="AO171" s="220"/>
      <c r="AP171" s="220"/>
      <c r="AQ171" s="220"/>
      <c r="AR171" s="220"/>
      <c r="AS171" s="220"/>
      <c r="AT171" s="220"/>
      <c r="AU171" s="220"/>
      <c r="AV171" s="220"/>
      <c r="AW171" s="220"/>
      <c r="AX171" s="220"/>
      <c r="AY171" s="220"/>
      <c r="AZ171" s="220"/>
      <c r="BA171" s="220"/>
      <c r="BB171" s="220"/>
    </row>
    <row r="172">
      <c r="A172" s="290">
        <f>PRIX!A173</f>
        <v>45949</v>
      </c>
      <c r="B172" s="302">
        <f t="shared" si="1"/>
        <v>0.768214408</v>
      </c>
      <c r="C172" s="341">
        <f>IF(A172="","",'Historique détail'!B172/$W172)</f>
        <v>0.3780609997</v>
      </c>
      <c r="D172" s="341">
        <f>IF(B172="","",'Historique détail'!C172/$W172)</f>
        <v>0.1414845262</v>
      </c>
      <c r="E172" s="341">
        <f>IF(C172="","",'Historique détail'!D172/$W172)</f>
        <v>0.009340594437</v>
      </c>
      <c r="F172" s="341">
        <f>IF(D172="","",'Historique détail'!E172/$W172)</f>
        <v>0.05764977954</v>
      </c>
      <c r="G172" s="341">
        <f>IF(E172="","",'Historique détail'!F172/$W172)</f>
        <v>0.08813485241</v>
      </c>
      <c r="H172" s="341">
        <f>IF(F172="","",'Historique détail'!G172/$W172)</f>
        <v>0</v>
      </c>
      <c r="I172" s="341">
        <f>IF(G172="","",'Historique détail'!H172/$W172)</f>
        <v>0.027295305</v>
      </c>
      <c r="J172" s="341">
        <f>IF(H172="","",'Historique détail'!I172/$W172)</f>
        <v>0.01667655665</v>
      </c>
      <c r="K172" s="341">
        <f>IF(I172="","",'Historique détail'!J172/$W172)</f>
        <v>0.003451497291</v>
      </c>
      <c r="L172" s="341">
        <f>IF(J172="","",'Historique détail'!K172/$W172)</f>
        <v>0.006417834164</v>
      </c>
      <c r="M172" s="341">
        <f>IF(K172="","",'Historique détail'!L172/$W172)</f>
        <v>0</v>
      </c>
      <c r="N172" s="341">
        <f>IF(L172="","",'Historique détail'!M172/$W172)</f>
        <v>0.03001070866</v>
      </c>
      <c r="O172" s="341">
        <f>IF(M172="","",'Historique détail'!N172/$W172)</f>
        <v>0</v>
      </c>
      <c r="P172" s="341">
        <f>IF(N172="","",'Historique détail'!O172/$W172)</f>
        <v>0.006846547003</v>
      </c>
      <c r="Q172" s="341">
        <f>IF(O172="","",'Historique détail'!P172/$W172)</f>
        <v>0.0000000005355226783</v>
      </c>
      <c r="R172" s="341">
        <f>IF(P172="","",'Historique détail'!Q172/$W172)</f>
        <v>0.002845206322</v>
      </c>
      <c r="S172" s="341">
        <f>IF(Q172="","",'Historique détail'!R172/$W172)</f>
        <v>0</v>
      </c>
      <c r="T172" s="341">
        <f>IF(R172="","",'Historique détail'!S172/$W172)</f>
        <v>0</v>
      </c>
      <c r="U172" s="340">
        <f t="shared" si="2"/>
        <v>0.231785592</v>
      </c>
      <c r="V172" s="14">
        <f>IF(A172="","",ARBITRAGES!M173)</f>
        <v>13768.858</v>
      </c>
      <c r="W172" s="342">
        <f>IF(V172="","",'Historique détail'!U172)</f>
        <v>59403.42487</v>
      </c>
      <c r="X172" s="288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0"/>
      <c r="AI172" s="308"/>
      <c r="AJ172" s="220"/>
      <c r="AK172" s="220"/>
      <c r="AL172" s="220"/>
      <c r="AM172" s="220"/>
      <c r="AN172" s="220"/>
      <c r="AO172" s="220"/>
      <c r="AP172" s="220"/>
      <c r="AQ172" s="220"/>
      <c r="AR172" s="220"/>
      <c r="AS172" s="220"/>
      <c r="AT172" s="220"/>
      <c r="AU172" s="220"/>
      <c r="AV172" s="220"/>
      <c r="AW172" s="220"/>
      <c r="AX172" s="220"/>
      <c r="AY172" s="220"/>
      <c r="AZ172" s="220"/>
      <c r="BA172" s="220"/>
      <c r="BB172" s="220"/>
    </row>
    <row r="173">
      <c r="A173" s="290">
        <f>PRIX!A174</f>
        <v>45950</v>
      </c>
      <c r="B173" s="302">
        <f t="shared" si="1"/>
        <v>0.764371795</v>
      </c>
      <c r="C173" s="341">
        <f>IF(A173="","",'Historique détail'!B173/$W173)</f>
        <v>0.3780546356</v>
      </c>
      <c r="D173" s="341">
        <f>IF(B173="","",'Historique détail'!C173/$W173)</f>
        <v>0.1414821445</v>
      </c>
      <c r="E173" s="341">
        <f>IF(C173="","",'Historique détail'!D173/$W173)</f>
        <v>0.0093404372</v>
      </c>
      <c r="F173" s="341">
        <f>IF(D173="","",'Historique détail'!E173/$W173)</f>
        <v>0.05764880908</v>
      </c>
      <c r="G173" s="341">
        <f>IF(E173="","",'Historique détail'!F173/$W173)</f>
        <v>0.08430368772</v>
      </c>
      <c r="H173" s="341">
        <f>IF(F173="","",'Historique détail'!G173/$W173)</f>
        <v>0</v>
      </c>
      <c r="I173" s="341">
        <f>IF(G173="","",'Historique détail'!H173/$W173)</f>
        <v>0.02729484552</v>
      </c>
      <c r="J173" s="341">
        <f>IF(H173="","",'Historique détail'!I173/$W173)</f>
        <v>0.01667627592</v>
      </c>
      <c r="K173" s="341">
        <f>IF(I173="","",'Historique détail'!J173/$W173)</f>
        <v>0.003451439189</v>
      </c>
      <c r="L173" s="341">
        <f>IF(J173="","",'Historique détail'!K173/$W173)</f>
        <v>0.006417726127</v>
      </c>
      <c r="M173" s="341">
        <f>IF(K173="","",'Historique détail'!L173/$W173)</f>
        <v>0</v>
      </c>
      <c r="N173" s="341">
        <f>IF(L173="","",'Historique détail'!M173/$W173)</f>
        <v>0.03001020347</v>
      </c>
      <c r="O173" s="341">
        <f>IF(M173="","",'Historique détail'!N173/$W173)</f>
        <v>0</v>
      </c>
      <c r="P173" s="341">
        <f>IF(N173="","",'Historique détail'!O173/$W173)</f>
        <v>0.00684643175</v>
      </c>
      <c r="Q173" s="341">
        <f>IF(O173="","",'Historique détail'!P173/$W173)</f>
        <v>0.0000000005355136634</v>
      </c>
      <c r="R173" s="341">
        <f>IF(P173="","",'Historique détail'!Q173/$W173)</f>
        <v>0.002845158427</v>
      </c>
      <c r="S173" s="341">
        <f>IF(Q173="","",'Historique détail'!R173/$W173)</f>
        <v>0</v>
      </c>
      <c r="T173" s="341">
        <f>IF(R173="","",'Historique détail'!S173/$W173)</f>
        <v>0</v>
      </c>
      <c r="U173" s="340">
        <f t="shared" si="2"/>
        <v>0.235628205</v>
      </c>
      <c r="V173" s="14">
        <f>IF(A173="","",ARBITRAGES!M174)</f>
        <v>13997.358</v>
      </c>
      <c r="W173" s="342">
        <f>IF(V173="","",'Historique détail'!U173)</f>
        <v>59404.42487</v>
      </c>
      <c r="X173" s="288"/>
      <c r="Y173" s="220"/>
      <c r="Z173" s="220"/>
      <c r="AA173" s="220"/>
      <c r="AB173" s="220"/>
      <c r="AC173" s="220"/>
      <c r="AD173" s="220"/>
      <c r="AE173" s="220"/>
      <c r="AF173" s="220"/>
      <c r="AG173" s="220"/>
      <c r="AH173" s="220"/>
      <c r="AI173" s="308"/>
      <c r="AJ173" s="220"/>
      <c r="AK173" s="220"/>
      <c r="AL173" s="220"/>
      <c r="AM173" s="220"/>
      <c r="AN173" s="220"/>
      <c r="AO173" s="220"/>
      <c r="AP173" s="220"/>
      <c r="AQ173" s="220"/>
      <c r="AR173" s="220"/>
      <c r="AS173" s="220"/>
      <c r="AT173" s="220"/>
      <c r="AU173" s="220"/>
      <c r="AV173" s="220"/>
      <c r="AW173" s="220"/>
      <c r="AX173" s="220"/>
      <c r="AY173" s="220"/>
      <c r="AZ173" s="220"/>
      <c r="BA173" s="220"/>
      <c r="BB173" s="220"/>
    </row>
    <row r="174">
      <c r="A174" s="290">
        <f>PRIX!A175</f>
        <v>45952</v>
      </c>
      <c r="B174" s="302">
        <f t="shared" si="1"/>
        <v>0.7454168432</v>
      </c>
      <c r="C174" s="341">
        <f>IF(A174="","",'Historique détail'!B174/$W174)</f>
        <v>0.3809400955</v>
      </c>
      <c r="D174" s="341">
        <f>IF(B174="","",'Historique détail'!C174/$W174)</f>
        <v>0.1389689191</v>
      </c>
      <c r="E174" s="341">
        <f>IF(C174="","",'Historique détail'!D174/$W174)</f>
        <v>0.00000005224783305</v>
      </c>
      <c r="F174" s="341">
        <f>IF(D174="","",'Historique détail'!E174/$W174)</f>
        <v>0.05679069484</v>
      </c>
      <c r="G174" s="341">
        <f>IF(E174="","",'Historique détail'!F174/$W174)</f>
        <v>0.07503251578</v>
      </c>
      <c r="H174" s="341">
        <f>IF(F174="","",'Historique détail'!G174/$W174)</f>
        <v>0</v>
      </c>
      <c r="I174" s="341">
        <f>IF(G174="","",'Historique détail'!H174/$W174)</f>
        <v>0.02771216963</v>
      </c>
      <c r="J174" s="341">
        <f>IF(H174="","",'Historique détail'!I174/$W174)</f>
        <v>0.0165407032</v>
      </c>
      <c r="K174" s="341">
        <f>IF(I174="","",'Historique détail'!J174/$W174)</f>
        <v>0.003583851049</v>
      </c>
      <c r="L174" s="341">
        <f>IF(J174="","",'Historique détail'!K174/$W174)</f>
        <v>0.006108609235</v>
      </c>
      <c r="M174" s="341">
        <f>IF(K174="","",'Historique détail'!L174/$W174)</f>
        <v>0</v>
      </c>
      <c r="N174" s="341">
        <f>IF(L174="","",'Historique détail'!M174/$W174)</f>
        <v>0.02980667348</v>
      </c>
      <c r="O174" s="341">
        <f>IF(M174="","",'Historique détail'!N174/$W174)</f>
        <v>0</v>
      </c>
      <c r="P174" s="341">
        <f>IF(N174="","",'Historique détail'!O174/$W174)</f>
        <v>0.006978247791</v>
      </c>
      <c r="Q174" s="341">
        <f>IF(O174="","",'Historique détail'!P174/$W174)</f>
        <v>0.0000000005055074918</v>
      </c>
      <c r="R174" s="341">
        <f>IF(P174="","",'Historique détail'!Q174/$W174)</f>
        <v>0.002954310783</v>
      </c>
      <c r="S174" s="341">
        <f>IF(Q174="","",'Historique détail'!R174/$W174)</f>
        <v>0</v>
      </c>
      <c r="T174" s="341">
        <f>IF(R174="","",'Historique détail'!S174/$W174)</f>
        <v>0</v>
      </c>
      <c r="U174" s="340">
        <f t="shared" si="2"/>
        <v>0.2545831568</v>
      </c>
      <c r="V174" s="14">
        <f>IF(A174="","",ARBITRAGES!M175)</f>
        <v>14564.6059</v>
      </c>
      <c r="W174" s="342">
        <f>IF(V174="","",'Historique détail'!U174)</f>
        <v>57209.62094</v>
      </c>
      <c r="X174" s="288"/>
      <c r="Y174" s="220"/>
      <c r="Z174" s="220"/>
      <c r="AA174" s="220"/>
      <c r="AB174" s="220"/>
      <c r="AC174" s="220"/>
      <c r="AD174" s="220"/>
      <c r="AE174" s="220"/>
      <c r="AF174" s="220"/>
      <c r="AG174" s="220"/>
      <c r="AH174" s="220"/>
      <c r="AI174" s="308"/>
      <c r="AJ174" s="220"/>
      <c r="AK174" s="220"/>
      <c r="AL174" s="220"/>
      <c r="AM174" s="220"/>
      <c r="AN174" s="220"/>
      <c r="AO174" s="220"/>
      <c r="AP174" s="220"/>
      <c r="AQ174" s="220"/>
      <c r="AR174" s="220"/>
      <c r="AS174" s="220"/>
      <c r="AT174" s="220"/>
      <c r="AU174" s="220"/>
      <c r="AV174" s="220"/>
      <c r="AW174" s="220"/>
      <c r="AX174" s="220"/>
      <c r="AY174" s="220"/>
      <c r="AZ174" s="220"/>
      <c r="BA174" s="220"/>
      <c r="BB174" s="220"/>
    </row>
    <row r="175">
      <c r="A175" s="290">
        <f>PRIX!A176</f>
        <v>45953</v>
      </c>
      <c r="B175" s="302">
        <f t="shared" si="1"/>
        <v>0.7455722295</v>
      </c>
      <c r="C175" s="341">
        <f>IF(A175="","",'Historique détail'!B175/$W175)</f>
        <v>0.3843403972</v>
      </c>
      <c r="D175" s="341">
        <f>IF(B175="","",'Historique détail'!C175/$W175)</f>
        <v>0.1390739816</v>
      </c>
      <c r="E175" s="341">
        <f>IF(C175="","",'Historique détail'!D175/$W175)</f>
        <v>0.00000005281737765</v>
      </c>
      <c r="F175" s="341">
        <f>IF(D175="","",'Historique détail'!E175/$W175)</f>
        <v>0.05792461452</v>
      </c>
      <c r="G175" s="341">
        <f>IF(E175="","",'Historique détail'!F175/$W175)</f>
        <v>0.07317621833</v>
      </c>
      <c r="H175" s="341">
        <f>IF(F175="","",'Historique détail'!G175/$W175)</f>
        <v>0</v>
      </c>
      <c r="I175" s="341">
        <f>IF(G175="","",'Historique détail'!H175/$W175)</f>
        <v>0.02753312195</v>
      </c>
      <c r="J175" s="341">
        <f>IF(H175="","",'Historique détail'!I175/$W175)</f>
        <v>0.01659631551</v>
      </c>
      <c r="K175" s="341">
        <f>IF(I175="","",'Historique détail'!J175/$W175)</f>
        <v>0.003540578945</v>
      </c>
      <c r="L175" s="341">
        <f>IF(J175="","",'Historique détail'!K175/$W175)</f>
        <v>0.005815403528</v>
      </c>
      <c r="M175" s="341">
        <f>IF(K175="","",'Historique détail'!L175/$W175)</f>
        <v>0</v>
      </c>
      <c r="N175" s="341">
        <f>IF(L175="","",'Historique détail'!M175/$W175)</f>
        <v>0.03078527209</v>
      </c>
      <c r="O175" s="341">
        <f>IF(M175="","",'Historique détail'!N175/$W175)</f>
        <v>0</v>
      </c>
      <c r="P175" s="341">
        <f>IF(N175="","",'Historique détail'!O175/$W175)</f>
        <v>0.00678627248</v>
      </c>
      <c r="Q175" s="341">
        <f>IF(O175="","",'Historique détail'!P175/$W175)</f>
        <v>0.0000000004994038976</v>
      </c>
      <c r="R175" s="341">
        <f>IF(P175="","",'Historique détail'!Q175/$W175)</f>
        <v>0</v>
      </c>
      <c r="S175" s="341">
        <f>IF(Q175="","",'Historique détail'!R175/$W175)</f>
        <v>0</v>
      </c>
      <c r="T175" s="341">
        <f>IF(R175="","",'Historique détail'!S175/$W175)</f>
        <v>0</v>
      </c>
      <c r="U175" s="340">
        <f t="shared" si="2"/>
        <v>0.2544277705</v>
      </c>
      <c r="V175" s="14">
        <f>IF(A175="","",ARBITRAGES!M176)</f>
        <v>14733.61277</v>
      </c>
      <c r="W175" s="342">
        <f>IF(V175="","",'Historique détail'!U175)</f>
        <v>57908.82315</v>
      </c>
      <c r="X175" s="288"/>
      <c r="Y175" s="220"/>
      <c r="Z175" s="220"/>
      <c r="AA175" s="220"/>
      <c r="AB175" s="220"/>
      <c r="AC175" s="220"/>
      <c r="AD175" s="220"/>
      <c r="AE175" s="220"/>
      <c r="AF175" s="220"/>
      <c r="AG175" s="220"/>
      <c r="AH175" s="220"/>
      <c r="AI175" s="308"/>
      <c r="AJ175" s="220"/>
      <c r="AK175" s="220"/>
      <c r="AL175" s="220"/>
      <c r="AM175" s="220"/>
      <c r="AN175" s="220"/>
      <c r="AO175" s="220"/>
      <c r="AP175" s="220"/>
      <c r="AQ175" s="220"/>
      <c r="AR175" s="220"/>
      <c r="AS175" s="220"/>
      <c r="AT175" s="220"/>
      <c r="AU175" s="220"/>
      <c r="AV175" s="220"/>
      <c r="AW175" s="220"/>
      <c r="AX175" s="220"/>
      <c r="AY175" s="220"/>
      <c r="AZ175" s="220"/>
      <c r="BA175" s="220"/>
      <c r="BB175" s="220"/>
    </row>
    <row r="176">
      <c r="A176" s="290">
        <f>PRIX!A177</f>
        <v>45957</v>
      </c>
      <c r="B176" s="302">
        <f t="shared" si="1"/>
        <v>0.7362865893</v>
      </c>
      <c r="C176" s="341">
        <f>IF(A176="","",'Historique détail'!B176/$W176)</f>
        <v>0.3640056684</v>
      </c>
      <c r="D176" s="341">
        <f>IF(B176="","",'Historique détail'!C176/$W176)</f>
        <v>0.1423291236</v>
      </c>
      <c r="E176" s="341">
        <f>IF(C176="","",'Historique détail'!D176/$W176)</f>
        <v>0.00000005264454764</v>
      </c>
      <c r="F176" s="341">
        <f>IF(D176="","",'Historique détail'!E176/$W176)</f>
        <v>0.05833432512</v>
      </c>
      <c r="G176" s="341">
        <f>IF(E176="","",'Historique détail'!F176/$W176)</f>
        <v>0.08225951473</v>
      </c>
      <c r="H176" s="341">
        <f>IF(F176="","",'Historique détail'!G176/$W176)</f>
        <v>0</v>
      </c>
      <c r="I176" s="341">
        <f>IF(G176="","",'Historique détail'!H176/$W176)</f>
        <v>0.02767695563</v>
      </c>
      <c r="J176" s="341">
        <f>IF(H176="","",'Historique détail'!I176/$W176)</f>
        <v>0.01596158738</v>
      </c>
      <c r="K176" s="341">
        <f>IF(I176="","",'Historique détail'!J176/$W176)</f>
        <v>0.00357542752</v>
      </c>
      <c r="L176" s="341">
        <f>IF(J176="","",'Historique détail'!K176/$W176)</f>
        <v>0.005698520866</v>
      </c>
      <c r="M176" s="341">
        <f>IF(K176="","",'Historique détail'!L176/$W176)</f>
        <v>0</v>
      </c>
      <c r="N176" s="341">
        <f>IF(L176="","",'Historique détail'!M176/$W176)</f>
        <v>0.02960788556</v>
      </c>
      <c r="O176" s="341">
        <f>IF(M176="","",'Historique détail'!N176/$W176)</f>
        <v>0</v>
      </c>
      <c r="P176" s="341">
        <f>IF(N176="","",'Historique détail'!O176/$W176)</f>
        <v>0.006837527349</v>
      </c>
      <c r="Q176" s="341">
        <f>IF(O176="","",'Historique détail'!P176/$W176)</f>
        <v>0.0000000005283345473</v>
      </c>
      <c r="R176" s="341">
        <f>IF(P176="","",'Historique détail'!Q176/$W176)</f>
        <v>0</v>
      </c>
      <c r="S176" s="341">
        <f>IF(Q176="","",'Historique détail'!R176/$W176)</f>
        <v>0</v>
      </c>
      <c r="T176" s="341">
        <f>IF(R176="","",'Historique détail'!S176/$W176)</f>
        <v>0</v>
      </c>
      <c r="U176" s="340">
        <f t="shared" si="2"/>
        <v>0.2637134107</v>
      </c>
      <c r="V176" s="14">
        <f>IF(A176="","",ARBITRAGES!M177)</f>
        <v>15878.61277</v>
      </c>
      <c r="W176" s="342">
        <f>IF(V176="","",'Historique détail'!U176)</f>
        <v>60211.62415</v>
      </c>
      <c r="X176" s="288"/>
      <c r="Y176" s="220"/>
      <c r="Z176" s="220"/>
      <c r="AA176" s="220"/>
      <c r="AB176" s="220"/>
      <c r="AC176" s="220"/>
      <c r="AD176" s="220"/>
      <c r="AE176" s="220"/>
      <c r="AF176" s="220"/>
      <c r="AG176" s="220"/>
      <c r="AH176" s="220"/>
      <c r="AI176" s="308"/>
      <c r="AJ176" s="220"/>
      <c r="AK176" s="220"/>
      <c r="AL176" s="220"/>
      <c r="AM176" s="220"/>
      <c r="AN176" s="220"/>
      <c r="AO176" s="220"/>
      <c r="AP176" s="220"/>
      <c r="AQ176" s="220"/>
      <c r="AR176" s="220"/>
      <c r="AS176" s="220"/>
      <c r="AT176" s="220"/>
      <c r="AU176" s="220"/>
      <c r="AV176" s="220"/>
      <c r="AW176" s="220"/>
      <c r="AX176" s="220"/>
      <c r="AY176" s="220"/>
      <c r="AZ176" s="220"/>
      <c r="BA176" s="220"/>
      <c r="BB176" s="220"/>
    </row>
    <row r="177">
      <c r="A177" s="290">
        <f>PRIX!A178</f>
        <v>45957</v>
      </c>
      <c r="B177" s="302">
        <f t="shared" si="1"/>
        <v>0.7225618775</v>
      </c>
      <c r="C177" s="341">
        <f>IF(A177="","",'Historique détail'!B177/$W177)</f>
        <v>0.3640358981</v>
      </c>
      <c r="D177" s="341">
        <f>IF(B177="","",'Historique détail'!C177/$W177)</f>
        <v>0.1285550851</v>
      </c>
      <c r="E177" s="341">
        <f>IF(C177="","",'Historique détail'!D177/$W177)</f>
        <v>0.00000005264891963</v>
      </c>
      <c r="F177" s="341">
        <f>IF(D177="","",'Historique détail'!E177/$W177)</f>
        <v>0.05833916963</v>
      </c>
      <c r="G177" s="341">
        <f>IF(E177="","",'Historique détail'!F177/$W177)</f>
        <v>0.08226634616</v>
      </c>
      <c r="H177" s="341">
        <f>IF(F177="","",'Historique détail'!G177/$W177)</f>
        <v>0</v>
      </c>
      <c r="I177" s="341">
        <f>IF(G177="","",'Historique détail'!H177/$W177)</f>
        <v>0.02767925413</v>
      </c>
      <c r="J177" s="341">
        <f>IF(H177="","",'Historique détail'!I177/$W177)</f>
        <v>0.01596291294</v>
      </c>
      <c r="K177" s="341">
        <f>IF(I177="","",'Historique détail'!J177/$W177)</f>
        <v>0.00357572445</v>
      </c>
      <c r="L177" s="341">
        <f>IF(J177="","",'Historique détail'!K177/$W177)</f>
        <v>0.005698994113</v>
      </c>
      <c r="M177" s="341">
        <f>IF(K177="","",'Historique détail'!L177/$W177)</f>
        <v>0</v>
      </c>
      <c r="N177" s="341">
        <f>IF(L177="","",'Historique détail'!M177/$W177)</f>
        <v>0.02961034442</v>
      </c>
      <c r="O177" s="341">
        <f>IF(M177="","",'Historique détail'!N177/$W177)</f>
        <v>0</v>
      </c>
      <c r="P177" s="341">
        <f>IF(N177="","",'Historique détail'!O177/$W177)</f>
        <v>0.006838095188</v>
      </c>
      <c r="Q177" s="341">
        <f>IF(O177="","",'Historique détail'!P177/$W177)</f>
        <v>0.0000000005283784241</v>
      </c>
      <c r="R177" s="341">
        <f>IF(P177="","",'Historique détail'!Q177/$W177)</f>
        <v>0</v>
      </c>
      <c r="S177" s="341">
        <f>IF(Q177="","",'Historique détail'!R177/$W177)</f>
        <v>0</v>
      </c>
      <c r="T177" s="341">
        <f>IF(R177="","",'Historique détail'!S177/$W177)</f>
        <v>0</v>
      </c>
      <c r="U177" s="340">
        <f t="shared" si="2"/>
        <v>0.2774381225</v>
      </c>
      <c r="V177" s="14">
        <f>IF(A177="","",ARBITRAGES!M178)</f>
        <v>16703.61277</v>
      </c>
      <c r="W177" s="342">
        <f>IF(V177="","",'Historique détail'!U177)</f>
        <v>60206.62415</v>
      </c>
      <c r="X177" s="288"/>
      <c r="Y177" s="220"/>
      <c r="Z177" s="220"/>
      <c r="AA177" s="220"/>
      <c r="AB177" s="220"/>
      <c r="AC177" s="220"/>
      <c r="AD177" s="220"/>
      <c r="AE177" s="220"/>
      <c r="AF177" s="220"/>
      <c r="AG177" s="220"/>
      <c r="AH177" s="220"/>
      <c r="AI177" s="308"/>
      <c r="AJ177" s="220"/>
      <c r="AK177" s="220"/>
      <c r="AL177" s="220"/>
      <c r="AM177" s="220"/>
      <c r="AN177" s="220"/>
      <c r="AO177" s="220"/>
      <c r="AP177" s="220"/>
      <c r="AQ177" s="220"/>
      <c r="AR177" s="220"/>
      <c r="AS177" s="220"/>
      <c r="AT177" s="220"/>
      <c r="AU177" s="220"/>
      <c r="AV177" s="220"/>
      <c r="AW177" s="220"/>
      <c r="AX177" s="220"/>
      <c r="AY177" s="220"/>
      <c r="AZ177" s="220"/>
      <c r="BA177" s="220"/>
      <c r="BB177" s="220"/>
    </row>
    <row r="178">
      <c r="A178" s="290">
        <f>PRIX!A179</f>
        <v>45958</v>
      </c>
      <c r="B178" s="302">
        <f t="shared" si="1"/>
        <v>0.7147357397</v>
      </c>
      <c r="C178" s="341">
        <f>IF(A178="","",'Historique détail'!B178/$W178)</f>
        <v>0.3638491589</v>
      </c>
      <c r="D178" s="341">
        <f>IF(B178="","",'Historique détail'!C178/$W178)</f>
        <v>0.1284891403</v>
      </c>
      <c r="E178" s="341">
        <f>IF(C178="","",'Historique détail'!D178/$W178)</f>
        <v>0.00000005262191235</v>
      </c>
      <c r="F178" s="341">
        <f>IF(D178="","",'Historique détail'!E178/$W178)</f>
        <v>0.05830924343</v>
      </c>
      <c r="G178" s="341">
        <f>IF(E178="","",'Historique détail'!F178/$W178)</f>
        <v>0.07476866035</v>
      </c>
      <c r="H178" s="341">
        <f>IF(F178="","",'Historique détail'!G178/$W178)</f>
        <v>0</v>
      </c>
      <c r="I178" s="341">
        <f>IF(G178="","",'Historique détail'!H178/$W178)</f>
        <v>0.02766505552</v>
      </c>
      <c r="J178" s="341">
        <f>IF(H178="","",'Historique détail'!I178/$W178)</f>
        <v>0.01595472446</v>
      </c>
      <c r="K178" s="341">
        <f>IF(I178="","",'Historique détail'!J178/$W178)</f>
        <v>0.003573890213</v>
      </c>
      <c r="L178" s="341">
        <f>IF(J178="","",'Historique détail'!K178/$W178)</f>
        <v>0.005696070704</v>
      </c>
      <c r="M178" s="341">
        <f>IF(K178="","",'Historique détail'!L178/$W178)</f>
        <v>0</v>
      </c>
      <c r="N178" s="341">
        <f>IF(L178="","",'Historique détail'!M178/$W178)</f>
        <v>0.02959515522</v>
      </c>
      <c r="O178" s="341">
        <f>IF(M178="","",'Historique détail'!N178/$W178)</f>
        <v>0</v>
      </c>
      <c r="P178" s="341">
        <f>IF(N178="","",'Historique détail'!O178/$W178)</f>
        <v>0.006834587455</v>
      </c>
      <c r="Q178" s="341">
        <f>IF(O178="","",'Historique détail'!P178/$W178)</f>
        <v>0.0000000005281073822</v>
      </c>
      <c r="R178" s="341">
        <f>IF(P178="","",'Historique détail'!Q178/$W178)</f>
        <v>0</v>
      </c>
      <c r="S178" s="341">
        <f>IF(Q178="","",'Historique détail'!R178/$W178)</f>
        <v>0</v>
      </c>
      <c r="T178" s="341">
        <f>IF(R178="","",'Historique détail'!S178/$W178)</f>
        <v>0</v>
      </c>
      <c r="U178" s="340">
        <f t="shared" si="2"/>
        <v>0.2852642603</v>
      </c>
      <c r="V178" s="14">
        <f>IF(A178="","",ARBITRAGES!M179)</f>
        <v>17183.61277</v>
      </c>
      <c r="W178" s="342">
        <f>IF(V178="","",'Historique détail'!U178)</f>
        <v>60237.52415</v>
      </c>
      <c r="X178" s="288"/>
      <c r="Y178" s="220"/>
      <c r="Z178" s="220"/>
      <c r="AA178" s="220"/>
      <c r="AB178" s="220"/>
      <c r="AC178" s="220"/>
      <c r="AD178" s="220"/>
      <c r="AE178" s="220"/>
      <c r="AF178" s="220"/>
      <c r="AG178" s="220"/>
      <c r="AH178" s="220"/>
      <c r="AI178" s="308"/>
      <c r="AJ178" s="220"/>
      <c r="AK178" s="220"/>
      <c r="AL178" s="220"/>
      <c r="AM178" s="220"/>
      <c r="AN178" s="220"/>
      <c r="AO178" s="220"/>
      <c r="AP178" s="220"/>
      <c r="AQ178" s="220"/>
      <c r="AR178" s="220"/>
      <c r="AS178" s="220"/>
      <c r="AT178" s="220"/>
      <c r="AU178" s="220"/>
      <c r="AV178" s="220"/>
      <c r="AW178" s="220"/>
      <c r="AX178" s="220"/>
      <c r="AY178" s="220"/>
      <c r="AZ178" s="220"/>
      <c r="BA178" s="220"/>
      <c r="BB178" s="220"/>
    </row>
    <row r="179">
      <c r="A179" s="290">
        <f>PRIX!A180</f>
        <v>45960</v>
      </c>
      <c r="B179" s="302">
        <f t="shared" si="1"/>
        <v>0.7003267692</v>
      </c>
      <c r="C179" s="341">
        <f>IF(A179="","",'Historique détail'!B179/$W179)</f>
        <v>0.3607807496</v>
      </c>
      <c r="D179" s="341">
        <f>IF(B179="","",'Historique détail'!C179/$W179)</f>
        <v>0.1235058199</v>
      </c>
      <c r="E179" s="341">
        <f>IF(C179="","",'Historique détail'!D179/$W179)</f>
        <v>0.00000005311519585</v>
      </c>
      <c r="F179" s="341">
        <f>IF(D179="","",'Historique détail'!E179/$W179)</f>
        <v>0.05665855587</v>
      </c>
      <c r="G179" s="341">
        <f>IF(E179="","",'Historique détail'!F179/$W179)</f>
        <v>0.07267510342</v>
      </c>
      <c r="H179" s="341">
        <f>IF(F179="","",'Historique détail'!G179/$W179)</f>
        <v>0</v>
      </c>
      <c r="I179" s="341">
        <f>IF(G179="","",'Historique détail'!H179/$W179)</f>
        <v>0.02676716374</v>
      </c>
      <c r="J179" s="341">
        <f>IF(H179="","",'Historique détail'!I179/$W179)</f>
        <v>0.01564951175</v>
      </c>
      <c r="K179" s="341">
        <f>IF(I179="","",'Historique détail'!J179/$W179)</f>
        <v>0.003481419819</v>
      </c>
      <c r="L179" s="341">
        <f>IF(J179="","",'Historique détail'!K179/$W179)</f>
        <v>0.005286669742</v>
      </c>
      <c r="M179" s="341">
        <f>IF(K179="","",'Historique détail'!L179/$W179)</f>
        <v>0</v>
      </c>
      <c r="N179" s="341">
        <f>IF(L179="","",'Historique détail'!M179/$W179)</f>
        <v>0.0289547591</v>
      </c>
      <c r="O179" s="341">
        <f>IF(M179="","",'Historique détail'!N179/$W179)</f>
        <v>0</v>
      </c>
      <c r="P179" s="341">
        <f>IF(N179="","",'Historique détail'!O179/$W179)</f>
        <v>0.00656696268</v>
      </c>
      <c r="Q179" s="341">
        <f>IF(O179="","",'Historique détail'!P179/$W179)</f>
        <v>0.0000000004910594153</v>
      </c>
      <c r="R179" s="341">
        <f>IF(P179="","",'Historique détail'!Q179/$W179)</f>
        <v>0</v>
      </c>
      <c r="S179" s="341">
        <f>IF(Q179="","",'Historique détail'!R179/$W179)</f>
        <v>0</v>
      </c>
      <c r="T179" s="341">
        <f>IF(R179="","",'Historique détail'!S179/$W179)</f>
        <v>0</v>
      </c>
      <c r="U179" s="340">
        <f t="shared" si="2"/>
        <v>0.2996732308</v>
      </c>
      <c r="V179" s="14">
        <f>IF(A179="","",ARBITRAGES!M180)</f>
        <v>17648.61277</v>
      </c>
      <c r="W179" s="342">
        <f>IF(V179="","",'Historique détail'!U179)</f>
        <v>58892.85713</v>
      </c>
      <c r="X179" s="288"/>
      <c r="Y179" s="220"/>
      <c r="Z179" s="220"/>
      <c r="AA179" s="220"/>
      <c r="AB179" s="220"/>
      <c r="AC179" s="220"/>
      <c r="AD179" s="220"/>
      <c r="AE179" s="220"/>
      <c r="AF179" s="220"/>
      <c r="AG179" s="220"/>
      <c r="AH179" s="220"/>
      <c r="AI179" s="308"/>
      <c r="AJ179" s="220"/>
      <c r="AK179" s="220"/>
      <c r="AL179" s="220"/>
      <c r="AM179" s="220"/>
      <c r="AN179" s="220"/>
      <c r="AO179" s="220"/>
      <c r="AP179" s="220"/>
      <c r="AQ179" s="220"/>
      <c r="AR179" s="220"/>
      <c r="AS179" s="220"/>
      <c r="AT179" s="220"/>
      <c r="AU179" s="220"/>
      <c r="AV179" s="220"/>
      <c r="AW179" s="220"/>
      <c r="AX179" s="220"/>
      <c r="AY179" s="220"/>
      <c r="AZ179" s="220"/>
      <c r="BA179" s="220"/>
      <c r="BB179" s="220"/>
    </row>
    <row r="180">
      <c r="A180" s="290">
        <f>PRIX!A181</f>
        <v>45961</v>
      </c>
      <c r="B180" s="302">
        <f t="shared" si="1"/>
        <v>0.6883212132</v>
      </c>
      <c r="C180" s="341">
        <f>IF(A180="","",'Historique détail'!B180/$W180)</f>
        <v>0.3608208797</v>
      </c>
      <c r="D180" s="341">
        <f>IF(B180="","",'Historique détail'!C180/$W180)</f>
        <v>0.1235195576</v>
      </c>
      <c r="E180" s="341">
        <f>IF(C180="","",'Historique détail'!D180/$W180)</f>
        <v>0.00000005312110392</v>
      </c>
      <c r="F180" s="341">
        <f>IF(D180="","",'Historique détail'!E180/$W180)</f>
        <v>0.05666485807</v>
      </c>
      <c r="G180" s="341">
        <f>IF(E180="","",'Historique détail'!F180/$W180)</f>
        <v>0.06059973288</v>
      </c>
      <c r="H180" s="341">
        <f>IF(F180="","",'Historique détail'!G180/$W180)</f>
        <v>0</v>
      </c>
      <c r="I180" s="341">
        <f>IF(G180="","",'Historique détail'!H180/$W180)</f>
        <v>0.02677014109</v>
      </c>
      <c r="J180" s="341">
        <f>IF(H180="","",'Historique détail'!I180/$W180)</f>
        <v>0.01565125247</v>
      </c>
      <c r="K180" s="341">
        <f>IF(I180="","",'Historique détail'!J180/$W180)</f>
        <v>0.003481807061</v>
      </c>
      <c r="L180" s="341">
        <f>IF(J180="","",'Historique détail'!K180/$W180)</f>
        <v>0.005287257785</v>
      </c>
      <c r="M180" s="341">
        <f>IF(K180="","",'Historique détail'!L180/$W180)</f>
        <v>0</v>
      </c>
      <c r="N180" s="341">
        <f>IF(L180="","",'Historique détail'!M180/$W180)</f>
        <v>0.02895797978</v>
      </c>
      <c r="O180" s="341">
        <f>IF(M180="","",'Historique détail'!N180/$W180)</f>
        <v>0</v>
      </c>
      <c r="P180" s="341">
        <f>IF(N180="","",'Historique détail'!O180/$W180)</f>
        <v>0.006567693132</v>
      </c>
      <c r="Q180" s="341">
        <f>IF(O180="","",'Historique détail'!P180/$W180)</f>
        <v>0.0000000004911140364</v>
      </c>
      <c r="R180" s="341">
        <f>IF(P180="","",'Historique détail'!Q180/$W180)</f>
        <v>0</v>
      </c>
      <c r="S180" s="341">
        <f>IF(Q180="","",'Historique détail'!R180/$W180)</f>
        <v>0</v>
      </c>
      <c r="T180" s="341">
        <f>IF(R180="","",'Historique détail'!S180/$W180)</f>
        <v>0</v>
      </c>
      <c r="U180" s="340">
        <f t="shared" si="2"/>
        <v>0.3116787868</v>
      </c>
      <c r="V180" s="14">
        <f>IF(A180="","",ARBITRAGES!M181)</f>
        <v>18353.61277</v>
      </c>
      <c r="W180" s="342">
        <f>IF(V180="","",'Historique détail'!U180)</f>
        <v>58886.30713</v>
      </c>
      <c r="X180" s="288"/>
      <c r="Y180" s="220"/>
      <c r="Z180" s="220"/>
      <c r="AA180" s="220"/>
      <c r="AB180" s="220"/>
      <c r="AC180" s="220"/>
      <c r="AD180" s="220"/>
      <c r="AE180" s="220"/>
      <c r="AF180" s="220"/>
      <c r="AG180" s="220"/>
      <c r="AH180" s="220"/>
      <c r="AI180" s="308"/>
      <c r="AJ180" s="220"/>
      <c r="AK180" s="220"/>
      <c r="AL180" s="220"/>
      <c r="AM180" s="220"/>
      <c r="AN180" s="220"/>
      <c r="AO180" s="220"/>
      <c r="AP180" s="220"/>
      <c r="AQ180" s="220"/>
      <c r="AR180" s="220"/>
      <c r="AS180" s="220"/>
      <c r="AT180" s="220"/>
      <c r="AU180" s="220"/>
      <c r="AV180" s="220"/>
      <c r="AW180" s="220"/>
      <c r="AX180" s="220"/>
      <c r="AY180" s="220"/>
      <c r="AZ180" s="220"/>
      <c r="BA180" s="220"/>
      <c r="BB180" s="220"/>
    </row>
    <row r="181">
      <c r="A181" s="290">
        <f>PRIX!A182</f>
        <v>45961</v>
      </c>
      <c r="B181" s="302">
        <f t="shared" si="1"/>
        <v>0.681641725</v>
      </c>
      <c r="C181" s="341">
        <f>IF(A181="","",'Historique détail'!B181/$W181)</f>
        <v>0.360692556</v>
      </c>
      <c r="D181" s="341">
        <f>IF(B181="","",'Historique détail'!C181/$W181)</f>
        <v>0.1234756286</v>
      </c>
      <c r="E181" s="341">
        <f>IF(C181="","",'Historique détail'!D181/$W181)</f>
        <v>0.00000005310221173</v>
      </c>
      <c r="F181" s="341">
        <f>IF(D181="","",'Historique détail'!E181/$W181)</f>
        <v>0.05664470557</v>
      </c>
      <c r="G181" s="341">
        <f>IF(E181="","",'Historique détail'!F181/$W181)</f>
        <v>0.05414348992</v>
      </c>
      <c r="H181" s="341">
        <f>IF(F181="","",'Historique détail'!G181/$W181)</f>
        <v>0</v>
      </c>
      <c r="I181" s="341">
        <f>IF(G181="","",'Historique détail'!H181/$W181)</f>
        <v>0.02676062045</v>
      </c>
      <c r="J181" s="341">
        <f>IF(H181="","",'Historique détail'!I181/$W181)</f>
        <v>0.0156456862</v>
      </c>
      <c r="K181" s="341">
        <f>IF(I181="","",'Historique détail'!J181/$W181)</f>
        <v>0.003480568778</v>
      </c>
      <c r="L181" s="341">
        <f>IF(J181="","",'Historique détail'!K181/$W181)</f>
        <v>0.005285377404</v>
      </c>
      <c r="M181" s="341">
        <f>IF(K181="","",'Historique détail'!L181/$W181)</f>
        <v>0</v>
      </c>
      <c r="N181" s="341">
        <f>IF(L181="","",'Historique détail'!M181/$W181)</f>
        <v>0.02894768105</v>
      </c>
      <c r="O181" s="341">
        <f>IF(M181="","",'Historique détail'!N181/$W181)</f>
        <v>0</v>
      </c>
      <c r="P181" s="341">
        <f>IF(N181="","",'Historique détail'!O181/$W181)</f>
        <v>0.006565357373</v>
      </c>
      <c r="Q181" s="341">
        <f>IF(O181="","",'Historique détail'!P181/$W181)</f>
        <v>0.0000000004909393748</v>
      </c>
      <c r="R181" s="341">
        <f>IF(P181="","",'Historique détail'!Q181/$W181)</f>
        <v>0</v>
      </c>
      <c r="S181" s="341">
        <f>IF(Q181="","",'Historique détail'!R181/$W181)</f>
        <v>0</v>
      </c>
      <c r="T181" s="341">
        <f>IF(R181="","",'Historique détail'!S181/$W181)</f>
        <v>0</v>
      </c>
      <c r="U181" s="340">
        <f t="shared" si="2"/>
        <v>0.318358275</v>
      </c>
      <c r="V181" s="14">
        <f>IF(A181="","",ARBITRAGES!M182)</f>
        <v>18753.61277</v>
      </c>
      <c r="W181" s="342">
        <f>IF(V181="","",'Historique détail'!U181)</f>
        <v>58907.25713</v>
      </c>
      <c r="X181" s="288"/>
      <c r="Y181" s="220"/>
      <c r="Z181" s="220"/>
      <c r="AA181" s="220"/>
      <c r="AB181" s="220"/>
      <c r="AC181" s="220"/>
      <c r="AD181" s="220"/>
      <c r="AE181" s="220"/>
      <c r="AF181" s="220"/>
      <c r="AG181" s="220"/>
      <c r="AH181" s="220"/>
      <c r="AI181" s="308"/>
      <c r="AJ181" s="220"/>
      <c r="AK181" s="220"/>
      <c r="AL181" s="220"/>
      <c r="AM181" s="220"/>
      <c r="AN181" s="220"/>
      <c r="AO181" s="220"/>
      <c r="AP181" s="220"/>
      <c r="AQ181" s="220"/>
      <c r="AR181" s="220"/>
      <c r="AS181" s="220"/>
      <c r="AT181" s="220"/>
      <c r="AU181" s="220"/>
      <c r="AV181" s="220"/>
      <c r="AW181" s="220"/>
      <c r="AX181" s="220"/>
      <c r="AY181" s="220"/>
      <c r="AZ181" s="220"/>
      <c r="BA181" s="220"/>
      <c r="BB181" s="220"/>
    </row>
    <row r="182">
      <c r="A182" s="290">
        <f>PRIX!A183</f>
        <v>45962</v>
      </c>
      <c r="B182" s="302">
        <f t="shared" si="1"/>
        <v>0.677901923</v>
      </c>
      <c r="C182" s="341">
        <f>IF(A182="","",'Historique détail'!B182/$W182)</f>
        <v>0.3566029924</v>
      </c>
      <c r="D182" s="341">
        <f>IF(B182="","",'Historique détail'!C182/$W182)</f>
        <v>0.1231854298</v>
      </c>
      <c r="E182" s="341">
        <f>IF(C182="","",'Historique détail'!D182/$W182)</f>
        <v>0.00000005415468391</v>
      </c>
      <c r="F182" s="341">
        <f>IF(D182="","",'Historique détail'!E182/$W182)</f>
        <v>0.05502442951</v>
      </c>
      <c r="G182" s="341">
        <f>IF(E182="","",'Historique détail'!F182/$W182)</f>
        <v>0.05573784676</v>
      </c>
      <c r="H182" s="341">
        <f>IF(F182="","",'Historique détail'!G182/$W182)</f>
        <v>0</v>
      </c>
      <c r="I182" s="341">
        <f>IF(G182="","",'Historique détail'!H182/$W182)</f>
        <v>0.02669772626</v>
      </c>
      <c r="J182" s="341">
        <f>IF(H182="","",'Historique détail'!I182/$W182)</f>
        <v>0.0156089149</v>
      </c>
      <c r="K182" s="341">
        <f>IF(I182="","",'Historique détail'!J182/$W182)</f>
        <v>0.003472388566</v>
      </c>
      <c r="L182" s="341">
        <f>IF(J182="","",'Historique détail'!K182/$W182)</f>
        <v>0.005380566773</v>
      </c>
      <c r="M182" s="341">
        <f>IF(K182="","",'Historique détail'!L182/$W182)</f>
        <v>0</v>
      </c>
      <c r="N182" s="341">
        <f>IF(L182="","",'Historique détail'!M182/$W182)</f>
        <v>0.02953600233</v>
      </c>
      <c r="O182" s="341">
        <f>IF(M182="","",'Historique détail'!N182/$W182)</f>
        <v>0</v>
      </c>
      <c r="P182" s="341">
        <f>IF(N182="","",'Historique détail'!O182/$W182)</f>
        <v>0.006655571117</v>
      </c>
      <c r="Q182" s="341">
        <f>IF(O182="","",'Historique détail'!P182/$W182)</f>
        <v>0.0000000004897855437</v>
      </c>
      <c r="R182" s="341">
        <f>IF(P182="","",'Historique détail'!Q182/$W182)</f>
        <v>0</v>
      </c>
      <c r="S182" s="341">
        <f>IF(Q182="","",'Historique détail'!R182/$W182)</f>
        <v>0</v>
      </c>
      <c r="T182" s="341">
        <f>IF(R182="","",'Historique détail'!S182/$W182)</f>
        <v>0</v>
      </c>
      <c r="U182" s="340">
        <f t="shared" si="2"/>
        <v>0.322098077</v>
      </c>
      <c r="V182" s="14">
        <f>IF(A182="","",ARBITRAGES!M183)</f>
        <v>19018.61277</v>
      </c>
      <c r="W182" s="342">
        <f>IF(V182="","",'Historique détail'!U182)</f>
        <v>59046.03016</v>
      </c>
      <c r="X182" s="288"/>
      <c r="Y182" s="220"/>
      <c r="Z182" s="220"/>
      <c r="AA182" s="220"/>
      <c r="AB182" s="220"/>
      <c r="AC182" s="220"/>
      <c r="AD182" s="220"/>
      <c r="AE182" s="220"/>
      <c r="AF182" s="220"/>
      <c r="AG182" s="220"/>
      <c r="AH182" s="220"/>
      <c r="AI182" s="308"/>
      <c r="AJ182" s="220"/>
      <c r="AK182" s="220"/>
      <c r="AL182" s="220"/>
      <c r="AM182" s="220"/>
      <c r="AN182" s="220"/>
      <c r="AO182" s="220"/>
      <c r="AP182" s="220"/>
      <c r="AQ182" s="220"/>
      <c r="AR182" s="220"/>
      <c r="AS182" s="220"/>
      <c r="AT182" s="220"/>
      <c r="AU182" s="220"/>
      <c r="AV182" s="220"/>
      <c r="AW182" s="220"/>
      <c r="AX182" s="220"/>
      <c r="AY182" s="220"/>
      <c r="AZ182" s="220"/>
      <c r="BA182" s="220"/>
      <c r="BB182" s="220"/>
    </row>
    <row r="183">
      <c r="A183" s="290">
        <f>PRIX!A184</f>
        <v>45963</v>
      </c>
      <c r="B183" s="302">
        <f t="shared" si="1"/>
        <v>0.6743755328</v>
      </c>
      <c r="C183" s="341">
        <f>IF(A183="","",'Historique détail'!B183/$W183)</f>
        <v>0.3565744391</v>
      </c>
      <c r="D183" s="341">
        <f>IF(B183="","",'Historique détail'!C183/$W183)</f>
        <v>0.1231755663</v>
      </c>
      <c r="E183" s="341">
        <f>IF(C183="","",'Historique détail'!D183/$W183)</f>
        <v>0.00000005415034773</v>
      </c>
      <c r="F183" s="341">
        <f>IF(D183="","",'Historique détail'!E183/$W183)</f>
        <v>0.0550200237</v>
      </c>
      <c r="G183" s="341">
        <f>IF(E183="","",'Historique détail'!F183/$W183)</f>
        <v>0.05573338382</v>
      </c>
      <c r="H183" s="341">
        <f>IF(F183="","",'Historique détail'!G183/$W183)</f>
        <v>0</v>
      </c>
      <c r="I183" s="341">
        <f>IF(G183="","",'Historique détail'!H183/$W183)</f>
        <v>0.02669558857</v>
      </c>
      <c r="J183" s="341">
        <f>IF(H183="","",'Historique détail'!I183/$W183)</f>
        <v>0.01560766509</v>
      </c>
      <c r="K183" s="341">
        <f>IF(I183="","",'Historique détail'!J183/$W183)</f>
        <v>0</v>
      </c>
      <c r="L183" s="341">
        <f>IF(J183="","",'Historique détail'!K183/$W183)</f>
        <v>0.00538013595</v>
      </c>
      <c r="M183" s="341">
        <f>IF(K183="","",'Historique détail'!L183/$W183)</f>
        <v>0</v>
      </c>
      <c r="N183" s="341">
        <f>IF(L183="","",'Historique détail'!M183/$W183)</f>
        <v>0.02953363737</v>
      </c>
      <c r="O183" s="341">
        <f>IF(M183="","",'Historique détail'!N183/$W183)</f>
        <v>0</v>
      </c>
      <c r="P183" s="341">
        <f>IF(N183="","",'Historique détail'!O183/$W183)</f>
        <v>0.006655038204</v>
      </c>
      <c r="Q183" s="341">
        <f>IF(O183="","",'Historique détail'!P183/$W183)</f>
        <v>0.0000000004897463265</v>
      </c>
      <c r="R183" s="341">
        <f>IF(P183="","",'Historique détail'!Q183/$W183)</f>
        <v>0</v>
      </c>
      <c r="S183" s="341">
        <f>IF(Q183="","",'Historique détail'!R183/$W183)</f>
        <v>0</v>
      </c>
      <c r="T183" s="341">
        <f>IF(R183="","",'Historique détail'!S183/$W183)</f>
        <v>0</v>
      </c>
      <c r="U183" s="340">
        <f t="shared" si="2"/>
        <v>0.3256244672</v>
      </c>
      <c r="V183" s="14">
        <f>IF(A183="","",ARBITRAGES!M184)</f>
        <v>19228.37173</v>
      </c>
      <c r="W183" s="342">
        <f>IF(V183="","",'Historique détail'!U183)</f>
        <v>59050.75837</v>
      </c>
      <c r="X183" s="288"/>
      <c r="Y183" s="220"/>
      <c r="Z183" s="220"/>
      <c r="AA183" s="220"/>
      <c r="AB183" s="220"/>
      <c r="AC183" s="220"/>
      <c r="AD183" s="220"/>
      <c r="AE183" s="220"/>
      <c r="AF183" s="220"/>
      <c r="AG183" s="220"/>
      <c r="AH183" s="220"/>
      <c r="AI183" s="308"/>
      <c r="AJ183" s="220"/>
      <c r="AK183" s="220"/>
      <c r="AL183" s="220"/>
      <c r="AM183" s="220"/>
      <c r="AN183" s="220"/>
      <c r="AO183" s="220"/>
      <c r="AP183" s="220"/>
      <c r="AQ183" s="220"/>
      <c r="AR183" s="220"/>
      <c r="AS183" s="220"/>
      <c r="AT183" s="220"/>
      <c r="AU183" s="220"/>
      <c r="AV183" s="220"/>
      <c r="AW183" s="220"/>
      <c r="AX183" s="220"/>
      <c r="AY183" s="220"/>
      <c r="AZ183" s="220"/>
      <c r="BA183" s="220"/>
      <c r="BB183" s="220"/>
    </row>
    <row r="184">
      <c r="A184" s="290">
        <f>PRIX!A185</f>
        <v>45964</v>
      </c>
      <c r="B184" s="302">
        <f t="shared" si="1"/>
        <v>0.6480420007</v>
      </c>
      <c r="C184" s="341">
        <f>IF(A184="","",'Historique détail'!B184/$W184)</f>
        <v>0.3633125007</v>
      </c>
      <c r="D184" s="341">
        <f>IF(B184="","",'Historique détail'!C184/$W184)</f>
        <v>0.110971895</v>
      </c>
      <c r="E184" s="341">
        <f>IF(C184="","",'Historique détail'!D184/$W184)</f>
        <v>0.00000004911680155</v>
      </c>
      <c r="F184" s="341">
        <f>IF(D184="","",'Historique détail'!E184/$W184)</f>
        <v>0.05061553203</v>
      </c>
      <c r="G184" s="341">
        <f>IF(E184="","",'Historique détail'!F184/$W184)</f>
        <v>0.04618517535</v>
      </c>
      <c r="H184" s="341">
        <f>IF(F184="","",'Historique détail'!G184/$W184)</f>
        <v>0</v>
      </c>
      <c r="I184" s="341">
        <f>IF(G184="","",'Historique détail'!H184/$W184)</f>
        <v>0.02386818412</v>
      </c>
      <c r="J184" s="341">
        <f>IF(H184="","",'Historique détail'!I184/$W184)</f>
        <v>0.01466288326</v>
      </c>
      <c r="K184" s="341">
        <f>IF(I184="","",'Historique détail'!J184/$W184)</f>
        <v>0</v>
      </c>
      <c r="L184" s="341">
        <f>IF(J184="","",'Historique détail'!K184/$W184)</f>
        <v>0.005080363235</v>
      </c>
      <c r="M184" s="341">
        <f>IF(K184="","",'Historique détail'!L184/$W184)</f>
        <v>0</v>
      </c>
      <c r="N184" s="341">
        <f>IF(L184="","",'Historique détail'!M184/$W184)</f>
        <v>0.02738363417</v>
      </c>
      <c r="O184" s="341">
        <f>IF(M184="","",'Historique détail'!N184/$W184)</f>
        <v>0</v>
      </c>
      <c r="P184" s="341">
        <f>IF(N184="","",'Historique détail'!O184/$W184)</f>
        <v>0.005961783295</v>
      </c>
      <c r="Q184" s="341">
        <f>IF(O184="","",'Historique détail'!P184/$W184)</f>
        <v>0.0000000004301938896</v>
      </c>
      <c r="R184" s="341">
        <f>IF(P184="","",'Historique détail'!Q184/$W184)</f>
        <v>0</v>
      </c>
      <c r="S184" s="341">
        <f>IF(Q184="","",'Historique détail'!R184/$W184)</f>
        <v>0</v>
      </c>
      <c r="T184" s="341">
        <f>IF(R184="","",'Historique détail'!S184/$W184)</f>
        <v>0</v>
      </c>
      <c r="U184" s="340">
        <f t="shared" si="2"/>
        <v>0.3519579993</v>
      </c>
      <c r="V184" s="14">
        <f>IF(A184="","",ARBITRAGES!M185)</f>
        <v>18928.37173</v>
      </c>
      <c r="W184" s="342">
        <f>IF(V184="","",'Historique détail'!U184)</f>
        <v>53780.20039</v>
      </c>
      <c r="X184" s="288"/>
      <c r="Y184" s="220"/>
      <c r="Z184" s="220"/>
      <c r="AA184" s="220"/>
      <c r="AB184" s="220"/>
      <c r="AC184" s="220"/>
      <c r="AD184" s="220"/>
      <c r="AE184" s="220"/>
      <c r="AF184" s="220"/>
      <c r="AG184" s="220"/>
      <c r="AH184" s="220"/>
      <c r="AI184" s="308"/>
      <c r="AJ184" s="220"/>
      <c r="AK184" s="220"/>
      <c r="AL184" s="220"/>
      <c r="AM184" s="220"/>
      <c r="AN184" s="220"/>
      <c r="AO184" s="220"/>
      <c r="AP184" s="220"/>
      <c r="AQ184" s="220"/>
      <c r="AR184" s="220"/>
      <c r="AS184" s="220"/>
      <c r="AT184" s="220"/>
      <c r="AU184" s="220"/>
      <c r="AV184" s="220"/>
      <c r="AW184" s="220"/>
      <c r="AX184" s="220"/>
      <c r="AY184" s="220"/>
      <c r="AZ184" s="220"/>
      <c r="BA184" s="220"/>
      <c r="BB184" s="220"/>
    </row>
    <row r="185">
      <c r="A185" s="290">
        <f>PRIX!A186</f>
        <v>45964</v>
      </c>
      <c r="B185" s="302">
        <f t="shared" si="1"/>
        <v>0.6666703104</v>
      </c>
      <c r="C185" s="341">
        <f>IF(A185="","",'Historique détail'!B185/$W185)</f>
        <v>0.3819699407</v>
      </c>
      <c r="D185" s="341">
        <f>IF(B185="","",'Historique détail'!C185/$W185)</f>
        <v>0.1109605416</v>
      </c>
      <c r="E185" s="341">
        <f>IF(C185="","",'Historique détail'!D185/$W185)</f>
        <v>0.00000004911177647</v>
      </c>
      <c r="F185" s="341">
        <f>IF(D185="","",'Historique détail'!E185/$W185)</f>
        <v>0.05061035362</v>
      </c>
      <c r="G185" s="341">
        <f>IF(E185="","",'Historique détail'!F185/$W185)</f>
        <v>0.0461804502</v>
      </c>
      <c r="H185" s="341">
        <f>IF(F185="","",'Historique détail'!G185/$W185)</f>
        <v>0</v>
      </c>
      <c r="I185" s="341">
        <f>IF(G185="","",'Historique détail'!H185/$W185)</f>
        <v>0.02386574219</v>
      </c>
      <c r="J185" s="341">
        <f>IF(H185="","",'Historique détail'!I185/$W185)</f>
        <v>0.01466138312</v>
      </c>
      <c r="K185" s="341">
        <f>IF(I185="","",'Historique détail'!J185/$W185)</f>
        <v>0</v>
      </c>
      <c r="L185" s="341">
        <f>IF(J185="","",'Historique détail'!K185/$W185)</f>
        <v>0.005079843469</v>
      </c>
      <c r="M185" s="341">
        <f>IF(K185="","",'Historique détail'!L185/$W185)</f>
        <v>0</v>
      </c>
      <c r="N185" s="341">
        <f>IF(L185="","",'Historique détail'!M185/$W185)</f>
        <v>0.02738083259</v>
      </c>
      <c r="O185" s="341">
        <f>IF(M185="","",'Historique détail'!N185/$W185)</f>
        <v>0</v>
      </c>
      <c r="P185" s="341">
        <f>IF(N185="","",'Historique détail'!O185/$W185)</f>
        <v>0.005961173352</v>
      </c>
      <c r="Q185" s="341">
        <f>IF(O185="","",'Historique détail'!P185/$W185)</f>
        <v>0.000000000430149877</v>
      </c>
      <c r="R185" s="341">
        <f>IF(P185="","",'Historique détail'!Q185/$W185)</f>
        <v>0</v>
      </c>
      <c r="S185" s="341">
        <f>IF(Q185="","",'Historique détail'!R185/$W185)</f>
        <v>0</v>
      </c>
      <c r="T185" s="341">
        <f>IF(R185="","",'Historique détail'!S185/$W185)</f>
        <v>0</v>
      </c>
      <c r="U185" s="340">
        <f t="shared" si="2"/>
        <v>0.3333296896</v>
      </c>
      <c r="V185" s="14">
        <f>IF(A185="","",ARBITRAGES!M186)</f>
        <v>17928.37173</v>
      </c>
      <c r="W185" s="342">
        <f>IF(V185="","",'Historique détail'!U185)</f>
        <v>53785.70314</v>
      </c>
      <c r="X185" s="288"/>
      <c r="Y185" s="220"/>
      <c r="Z185" s="220"/>
      <c r="AA185" s="220"/>
      <c r="AB185" s="220"/>
      <c r="AC185" s="220"/>
      <c r="AD185" s="220"/>
      <c r="AE185" s="220"/>
      <c r="AF185" s="220"/>
      <c r="AG185" s="220"/>
      <c r="AH185" s="220"/>
      <c r="AI185" s="308"/>
      <c r="AJ185" s="220"/>
      <c r="AK185" s="220"/>
      <c r="AL185" s="220"/>
      <c r="AM185" s="220"/>
      <c r="AN185" s="220"/>
      <c r="AO185" s="220"/>
      <c r="AP185" s="220"/>
      <c r="AQ185" s="220"/>
      <c r="AR185" s="220"/>
      <c r="AS185" s="220"/>
      <c r="AT185" s="220"/>
      <c r="AU185" s="220"/>
      <c r="AV185" s="220"/>
      <c r="AW185" s="220"/>
      <c r="AX185" s="220"/>
      <c r="AY185" s="220"/>
      <c r="AZ185" s="220"/>
      <c r="BA185" s="220"/>
      <c r="BB185" s="220"/>
    </row>
    <row r="186">
      <c r="A186" s="290">
        <f>PRIX!A187</f>
        <v>45964</v>
      </c>
      <c r="B186" s="302">
        <f t="shared" si="1"/>
        <v>0.6742417436</v>
      </c>
      <c r="C186" s="341">
        <f>IF(A186="","",'Historique détail'!B186/$W186)</f>
        <v>0.3818776409</v>
      </c>
      <c r="D186" s="341">
        <f>IF(B186="","",'Historique détail'!C186/$W186)</f>
        <v>0.1186662573</v>
      </c>
      <c r="E186" s="341">
        <f>IF(C186="","",'Historique détail'!D186/$W186)</f>
        <v>0.00000004909990902</v>
      </c>
      <c r="F186" s="341">
        <f>IF(D186="","",'Historique détail'!E186/$W186)</f>
        <v>0.05059812406</v>
      </c>
      <c r="G186" s="341">
        <f>IF(E186="","",'Historique détail'!F186/$W186)</f>
        <v>0.04616929108</v>
      </c>
      <c r="H186" s="341">
        <f>IF(F186="","",'Historique détail'!G186/$W186)</f>
        <v>0</v>
      </c>
      <c r="I186" s="341">
        <f>IF(G186="","",'Historique détail'!H186/$W186)</f>
        <v>0.02385997524</v>
      </c>
      <c r="J186" s="341">
        <f>IF(H186="","",'Historique détail'!I186/$W186)</f>
        <v>0.01465784032</v>
      </c>
      <c r="K186" s="341">
        <f>IF(I186="","",'Historique détail'!J186/$W186)</f>
        <v>0</v>
      </c>
      <c r="L186" s="341">
        <f>IF(J186="","",'Historique détail'!K186/$W186)</f>
        <v>0.005078615968</v>
      </c>
      <c r="M186" s="341">
        <f>IF(K186="","",'Historique détail'!L186/$W186)</f>
        <v>0</v>
      </c>
      <c r="N186" s="341">
        <f>IF(L186="","",'Historique détail'!M186/$W186)</f>
        <v>0.02737421624</v>
      </c>
      <c r="O186" s="341">
        <f>IF(M186="","",'Historique détail'!N186/$W186)</f>
        <v>0</v>
      </c>
      <c r="P186" s="341">
        <f>IF(N186="","",'Historique détail'!O186/$W186)</f>
        <v>0.005959732885</v>
      </c>
      <c r="Q186" s="341">
        <f>IF(O186="","",'Historique détail'!P186/$W186)</f>
        <v>0.0000000004300459349</v>
      </c>
      <c r="R186" s="341">
        <f>IF(P186="","",'Historique détail'!Q186/$W186)</f>
        <v>0</v>
      </c>
      <c r="S186" s="341">
        <f>IF(Q186="","",'Historique détail'!R186/$W186)</f>
        <v>0</v>
      </c>
      <c r="T186" s="341">
        <f>IF(R186="","",'Historique détail'!S186/$W186)</f>
        <v>0</v>
      </c>
      <c r="U186" s="340">
        <f t="shared" si="2"/>
        <v>0.3257582564</v>
      </c>
      <c r="V186" s="14">
        <f>IF(A186="","",ARBITRAGES!M187)</f>
        <v>17525.37173</v>
      </c>
      <c r="W186" s="342">
        <f>IF(V186="","",'Historique détail'!U186)</f>
        <v>53798.70314</v>
      </c>
      <c r="X186" s="288"/>
      <c r="Y186" s="220"/>
      <c r="Z186" s="220"/>
      <c r="AA186" s="220"/>
      <c r="AB186" s="220"/>
      <c r="AC186" s="220"/>
      <c r="AD186" s="220"/>
      <c r="AE186" s="220"/>
      <c r="AF186" s="220"/>
      <c r="AG186" s="220"/>
      <c r="AH186" s="220"/>
      <c r="AI186" s="308"/>
      <c r="AJ186" s="220"/>
      <c r="AK186" s="220"/>
      <c r="AL186" s="220"/>
      <c r="AM186" s="220"/>
      <c r="AN186" s="220"/>
      <c r="AO186" s="220"/>
      <c r="AP186" s="220"/>
      <c r="AQ186" s="220"/>
      <c r="AR186" s="220"/>
      <c r="AS186" s="220"/>
      <c r="AT186" s="220"/>
      <c r="AU186" s="220"/>
      <c r="AV186" s="220"/>
      <c r="AW186" s="220"/>
      <c r="AX186" s="220"/>
      <c r="AY186" s="220"/>
      <c r="AZ186" s="220"/>
      <c r="BA186" s="220"/>
      <c r="BB186" s="220"/>
    </row>
    <row r="187">
      <c r="A187" s="290">
        <f>PRIX!A188</f>
        <v>45965</v>
      </c>
      <c r="B187" s="302">
        <f t="shared" si="1"/>
        <v>0.6798451361</v>
      </c>
      <c r="C187" s="341">
        <f>IF(A187="","",'Historique détail'!B187/$W187)</f>
        <v>0.3875057332</v>
      </c>
      <c r="D187" s="341">
        <f>IF(B187="","",'Historique détail'!C187/$W187)</f>
        <v>0.1186562321</v>
      </c>
      <c r="E187" s="341">
        <f>IF(C187="","",'Historique détail'!D187/$W187)</f>
        <v>0.00000004909576092</v>
      </c>
      <c r="F187" s="341">
        <f>IF(D187="","",'Historique détail'!E187/$W187)</f>
        <v>0.05059384938</v>
      </c>
      <c r="G187" s="341">
        <f>IF(E187="","",'Historique détail'!F187/$W187)</f>
        <v>0.04616539057</v>
      </c>
      <c r="H187" s="341">
        <f>IF(F187="","",'Historique détail'!G187/$W187)</f>
        <v>0</v>
      </c>
      <c r="I187" s="341">
        <f>IF(G187="","",'Historique détail'!H187/$W187)</f>
        <v>0.02385795948</v>
      </c>
      <c r="J187" s="341">
        <f>IF(H187="","",'Historique détail'!I187/$W187)</f>
        <v>0.01465660198</v>
      </c>
      <c r="K187" s="341">
        <f>IF(I187="","",'Historique détail'!J187/$W187)</f>
        <v>0</v>
      </c>
      <c r="L187" s="341">
        <f>IF(J187="","",'Historique détail'!K187/$W187)</f>
        <v>0.005078186912</v>
      </c>
      <c r="M187" s="341">
        <f>IF(K187="","",'Historique détail'!L187/$W187)</f>
        <v>0</v>
      </c>
      <c r="N187" s="341">
        <f>IF(L187="","",'Historique détail'!M187/$W187)</f>
        <v>0.02737190359</v>
      </c>
      <c r="O187" s="341">
        <f>IF(M187="","",'Historique détail'!N187/$W187)</f>
        <v>0</v>
      </c>
      <c r="P187" s="341">
        <f>IF(N187="","",'Historique détail'!O187/$W187)</f>
        <v>0.00595922939</v>
      </c>
      <c r="Q187" s="341">
        <f>IF(O187="","",'Historique détail'!P187/$W187)</f>
        <v>0.0000000004300096034</v>
      </c>
      <c r="R187" s="341">
        <f>IF(P187="","",'Historique détail'!Q187/$W187)</f>
        <v>0</v>
      </c>
      <c r="S187" s="341">
        <f>IF(Q187="","",'Historique détail'!R187/$W187)</f>
        <v>0</v>
      </c>
      <c r="T187" s="341">
        <f>IF(R187="","",'Historique détail'!S187/$W187)</f>
        <v>0</v>
      </c>
      <c r="U187" s="340">
        <f t="shared" si="2"/>
        <v>0.3201548639</v>
      </c>
      <c r="V187" s="14">
        <f>IF(A187="","",ARBITRAGES!M188)</f>
        <v>17225.37173</v>
      </c>
      <c r="W187" s="342">
        <f>IF(V187="","",'Historique détail'!U187)</f>
        <v>53803.2486</v>
      </c>
      <c r="X187" s="288"/>
      <c r="Y187" s="220"/>
      <c r="Z187" s="220"/>
      <c r="AA187" s="220"/>
      <c r="AB187" s="220"/>
      <c r="AC187" s="220"/>
      <c r="AD187" s="220"/>
      <c r="AE187" s="220"/>
      <c r="AF187" s="220"/>
      <c r="AG187" s="220"/>
      <c r="AH187" s="220"/>
      <c r="AI187" s="308"/>
      <c r="AJ187" s="220"/>
      <c r="AK187" s="220"/>
      <c r="AL187" s="220"/>
      <c r="AM187" s="220"/>
      <c r="AN187" s="220"/>
      <c r="AO187" s="220"/>
      <c r="AP187" s="220"/>
      <c r="AQ187" s="220"/>
      <c r="AR187" s="220"/>
      <c r="AS187" s="220"/>
      <c r="AT187" s="220"/>
      <c r="AU187" s="220"/>
      <c r="AV187" s="220"/>
      <c r="AW187" s="220"/>
      <c r="AX187" s="220"/>
      <c r="AY187" s="220"/>
      <c r="AZ187" s="220"/>
      <c r="BA187" s="220"/>
      <c r="BB187" s="220"/>
    </row>
    <row r="188">
      <c r="A188" s="290">
        <f>PRIX!A189</f>
        <v>45968</v>
      </c>
      <c r="B188" s="302">
        <f t="shared" si="1"/>
        <v>0.7027117388</v>
      </c>
      <c r="C188" s="341">
        <f>IF(A188="","",'Historique détail'!B188/$W188)</f>
        <v>0.406211024</v>
      </c>
      <c r="D188" s="341">
        <f>IF(B188="","",'Historique détail'!C188/$W188)</f>
        <v>0.1206274421</v>
      </c>
      <c r="E188" s="341">
        <f>IF(C188="","",'Historique détail'!D188/$W188)</f>
        <v>0.000000050436761</v>
      </c>
      <c r="F188" s="341">
        <f>IF(D188="","",'Historique détail'!E188/$W188)</f>
        <v>0.05148463191</v>
      </c>
      <c r="G188" s="341">
        <f>IF(E188="","",'Historique détail'!F188/$W188)</f>
        <v>0.04437238106</v>
      </c>
      <c r="H188" s="341">
        <f>IF(F188="","",'Historique détail'!G188/$W188)</f>
        <v>0</v>
      </c>
      <c r="I188" s="341">
        <f>IF(G188="","",'Historique détail'!H188/$W188)</f>
        <v>0.02500475878</v>
      </c>
      <c r="J188" s="341">
        <f>IF(H188="","",'Historique détail'!I188/$W188)</f>
        <v>0.01508069605</v>
      </c>
      <c r="K188" s="341">
        <f>IF(I188="","",'Historique détail'!J188/$W188)</f>
        <v>0</v>
      </c>
      <c r="L188" s="341">
        <f>IF(J188="","",'Historique détail'!K188/$W188)</f>
        <v>0.005355372227</v>
      </c>
      <c r="M188" s="341">
        <f>IF(K188="","",'Historique détail'!L188/$W188)</f>
        <v>0</v>
      </c>
      <c r="N188" s="341">
        <f>IF(L188="","",'Historique détail'!M188/$W188)</f>
        <v>0.02840357465</v>
      </c>
      <c r="O188" s="341">
        <f>IF(M188="","",'Historique détail'!N188/$W188)</f>
        <v>0</v>
      </c>
      <c r="P188" s="341">
        <f>IF(N188="","",'Historique détail'!O188/$W188)</f>
        <v>0.006171807162</v>
      </c>
      <c r="Q188" s="341">
        <f>IF(O188="","",'Historique détail'!P188/$W188)</f>
        <v>0.0000000004556991548</v>
      </c>
      <c r="R188" s="341">
        <f>IF(P188="","",'Historique détail'!Q188/$W188)</f>
        <v>0</v>
      </c>
      <c r="S188" s="341">
        <f>IF(Q188="","",'Historique détail'!R188/$W188)</f>
        <v>0</v>
      </c>
      <c r="T188" s="341">
        <f>IF(R188="","",'Historique détail'!S188/$W188)</f>
        <v>0</v>
      </c>
      <c r="U188" s="340">
        <f t="shared" si="2"/>
        <v>0.2972882612</v>
      </c>
      <c r="V188" s="14">
        <f>IF(A188="","",ARBITRAGES!M189)</f>
        <v>16225.37173</v>
      </c>
      <c r="W188" s="342">
        <f>IF(V188="","",'Historique détail'!U188)</f>
        <v>54577.90923</v>
      </c>
      <c r="X188" s="288"/>
      <c r="Y188" s="220"/>
      <c r="Z188" s="220"/>
      <c r="AA188" s="220"/>
      <c r="AB188" s="220"/>
      <c r="AC188" s="220"/>
      <c r="AD188" s="220"/>
      <c r="AE188" s="220"/>
      <c r="AF188" s="220"/>
      <c r="AG188" s="220"/>
      <c r="AH188" s="220"/>
      <c r="AI188" s="308"/>
      <c r="AJ188" s="220"/>
      <c r="AK188" s="220"/>
      <c r="AL188" s="220"/>
      <c r="AM188" s="220"/>
      <c r="AN188" s="220"/>
      <c r="AO188" s="220"/>
      <c r="AP188" s="220"/>
      <c r="AQ188" s="220"/>
      <c r="AR188" s="220"/>
      <c r="AS188" s="220"/>
      <c r="AT188" s="220"/>
      <c r="AU188" s="220"/>
      <c r="AV188" s="220"/>
      <c r="AW188" s="220"/>
      <c r="AX188" s="220"/>
      <c r="AY188" s="220"/>
      <c r="AZ188" s="220"/>
      <c r="BA188" s="220"/>
      <c r="BB188" s="220"/>
    </row>
    <row r="189">
      <c r="A189" s="290">
        <f>PRIX!A190</f>
        <v>45970</v>
      </c>
      <c r="B189" s="302">
        <f t="shared" si="1"/>
        <v>0.7220491179</v>
      </c>
      <c r="C189" s="341">
        <f>IF(A189="","",'Historique détail'!B189/$W189)</f>
        <v>0.4136256329</v>
      </c>
      <c r="D189" s="341">
        <f>IF(B189="","",'Historique détail'!C189/$W189)</f>
        <v>0.1278957387</v>
      </c>
      <c r="E189" s="341">
        <f>IF(C189="","",'Historique détail'!D189/$W189)</f>
        <v>0.00000005249905543</v>
      </c>
      <c r="F189" s="341">
        <f>IF(D189="","",'Historique détail'!E189/$W189)</f>
        <v>0.0524369692</v>
      </c>
      <c r="G189" s="341">
        <f>IF(E189="","",'Historique détail'!F189/$W189)</f>
        <v>0.04362537261</v>
      </c>
      <c r="H189" s="341">
        <f>IF(F189="","",'Historique détail'!G189/$W189)</f>
        <v>0</v>
      </c>
      <c r="I189" s="341">
        <f>IF(G189="","",'Historique détail'!H189/$W189)</f>
        <v>0.026105079</v>
      </c>
      <c r="J189" s="341">
        <f>IF(H189="","",'Historique détail'!I189/$W189)</f>
        <v>0.0160142895</v>
      </c>
      <c r="K189" s="341">
        <f>IF(I189="","",'Historique détail'!J189/$W189)</f>
        <v>0</v>
      </c>
      <c r="L189" s="341">
        <f>IF(J189="","",'Historique détail'!K189/$W189)</f>
        <v>0.005579982872</v>
      </c>
      <c r="M189" s="341">
        <f>IF(K189="","",'Historique détail'!L189/$W189)</f>
        <v>0</v>
      </c>
      <c r="N189" s="341">
        <f>IF(L189="","",'Historique détail'!M189/$W189)</f>
        <v>0.03063067406</v>
      </c>
      <c r="O189" s="341">
        <f>IF(M189="","",'Historique détail'!N189/$W189)</f>
        <v>0</v>
      </c>
      <c r="P189" s="341">
        <f>IF(N189="","",'Historique détail'!O189/$W189)</f>
        <v>0.006135326036</v>
      </c>
      <c r="Q189" s="341">
        <f>IF(O189="","",'Historique détail'!P189/$W189)</f>
        <v>0.0000000004977793528</v>
      </c>
      <c r="R189" s="341">
        <f>IF(P189="","",'Historique détail'!Q189/$W189)</f>
        <v>0</v>
      </c>
      <c r="S189" s="341">
        <f>IF(Q189="","",'Historique détail'!R189/$W189)</f>
        <v>0</v>
      </c>
      <c r="T189" s="341">
        <f>IF(R189="","",'Historique détail'!S189/$W189)</f>
        <v>0</v>
      </c>
      <c r="U189" s="340">
        <f t="shared" si="2"/>
        <v>0.2779508821</v>
      </c>
      <c r="V189" s="14">
        <f>IF(A189="","",ARBITRAGES!M190)</f>
        <v>15825.37173</v>
      </c>
      <c r="W189" s="342">
        <f>IF(V189="","",'Historique détail'!U189)</f>
        <v>56935.8572</v>
      </c>
      <c r="X189" s="288"/>
      <c r="Y189" s="220"/>
      <c r="Z189" s="220"/>
      <c r="AA189" s="220"/>
      <c r="AB189" s="220"/>
      <c r="AC189" s="220"/>
      <c r="AD189" s="220"/>
      <c r="AE189" s="220"/>
      <c r="AF189" s="220"/>
      <c r="AG189" s="220"/>
      <c r="AH189" s="220"/>
      <c r="AI189" s="308"/>
      <c r="AJ189" s="220"/>
      <c r="AK189" s="220"/>
      <c r="AL189" s="220"/>
      <c r="AM189" s="220"/>
      <c r="AN189" s="220"/>
      <c r="AO189" s="220"/>
      <c r="AP189" s="220"/>
      <c r="AQ189" s="220"/>
      <c r="AR189" s="220"/>
      <c r="AS189" s="220"/>
      <c r="AT189" s="220"/>
      <c r="AU189" s="220"/>
      <c r="AV189" s="220"/>
      <c r="AW189" s="220"/>
      <c r="AX189" s="220"/>
      <c r="AY189" s="220"/>
      <c r="AZ189" s="220"/>
      <c r="BA189" s="220"/>
      <c r="BB189" s="220"/>
    </row>
    <row r="190">
      <c r="A190" s="290">
        <f>PRIX!A191</f>
        <v>45971</v>
      </c>
      <c r="B190" s="302">
        <f t="shared" si="1"/>
        <v>0.7157537129</v>
      </c>
      <c r="C190" s="341">
        <f>IF(A190="","",'Historique détail'!B190/$W190)</f>
        <v>0.4135331044</v>
      </c>
      <c r="D190" s="341">
        <f>IF(B190="","",'Historique détail'!C190/$W190)</f>
        <v>0.1278671282</v>
      </c>
      <c r="E190" s="341">
        <f>IF(C190="","",'Historique détail'!D190/$W190)</f>
        <v>0.00000005248731133</v>
      </c>
      <c r="F190" s="341">
        <f>IF(D190="","",'Historique détail'!E190/$W190)</f>
        <v>0.05242523898</v>
      </c>
      <c r="G190" s="341">
        <f>IF(E190="","",'Historique détail'!F190/$W190)</f>
        <v>0.04361561357</v>
      </c>
      <c r="H190" s="341">
        <f>IF(F190="","",'Historique détail'!G190/$W190)</f>
        <v>0</v>
      </c>
      <c r="I190" s="341">
        <f>IF(G190="","",'Historique détail'!H190/$W190)</f>
        <v>0.02609923926</v>
      </c>
      <c r="J190" s="341">
        <f>IF(H190="","",'Historique détail'!I190/$W190)</f>
        <v>0.01601070708</v>
      </c>
      <c r="K190" s="341">
        <f>IF(I190="","",'Historique détail'!J190/$W190)</f>
        <v>0</v>
      </c>
      <c r="L190" s="341">
        <f>IF(J190="","",'Historique détail'!K190/$W190)</f>
        <v>0.005578734623</v>
      </c>
      <c r="M190" s="341">
        <f>IF(K190="","",'Historique détail'!L190/$W190)</f>
        <v>0</v>
      </c>
      <c r="N190" s="341">
        <f>IF(L190="","",'Historique détail'!M190/$W190)</f>
        <v>0.03062382194</v>
      </c>
      <c r="O190" s="341">
        <f>IF(M190="","",'Historique détail'!N190/$W190)</f>
        <v>0</v>
      </c>
      <c r="P190" s="341">
        <f>IF(N190="","",'Historique détail'!O190/$W190)</f>
        <v>0.00000007184753151</v>
      </c>
      <c r="Q190" s="341">
        <f>IF(O190="","",'Historique détail'!P190/$W190)</f>
        <v>0.000000000497667999</v>
      </c>
      <c r="R190" s="341">
        <f>IF(P190="","",'Historique détail'!Q190/$W190)</f>
        <v>0</v>
      </c>
      <c r="S190" s="341">
        <f>IF(Q190="","",'Historique détail'!R190/$W190)</f>
        <v>0</v>
      </c>
      <c r="T190" s="341">
        <f>IF(R190="","",'Historique détail'!S190/$W190)</f>
        <v>0</v>
      </c>
      <c r="U190" s="340">
        <f t="shared" si="2"/>
        <v>0.2842462871</v>
      </c>
      <c r="V190" s="14">
        <f>IF(A190="","",ARBITRAGES!M191)</f>
        <v>16187.42716</v>
      </c>
      <c r="W190" s="342">
        <f>IF(V190="","",'Historique détail'!U190)</f>
        <v>56948.59667</v>
      </c>
      <c r="X190" s="288"/>
      <c r="Y190" s="220"/>
      <c r="Z190" s="220"/>
      <c r="AA190" s="220"/>
      <c r="AB190" s="220"/>
      <c r="AC190" s="220"/>
      <c r="AD190" s="220"/>
      <c r="AE190" s="220"/>
      <c r="AF190" s="220"/>
      <c r="AG190" s="220"/>
      <c r="AH190" s="220"/>
      <c r="AI190" s="308"/>
      <c r="AJ190" s="220"/>
      <c r="AK190" s="220"/>
      <c r="AL190" s="220"/>
      <c r="AM190" s="220"/>
      <c r="AN190" s="220"/>
      <c r="AO190" s="220"/>
      <c r="AP190" s="220"/>
      <c r="AQ190" s="220"/>
      <c r="AR190" s="220"/>
      <c r="AS190" s="220"/>
      <c r="AT190" s="220"/>
      <c r="AU190" s="220"/>
      <c r="AV190" s="220"/>
      <c r="AW190" s="220"/>
      <c r="AX190" s="220"/>
      <c r="AY190" s="220"/>
      <c r="AZ190" s="220"/>
      <c r="BA190" s="220"/>
      <c r="BB190" s="220"/>
    </row>
    <row r="191">
      <c r="A191" s="290">
        <f>PRIX!A192</f>
        <v>45971</v>
      </c>
      <c r="B191" s="302">
        <f t="shared" si="1"/>
        <v>0.7109709083</v>
      </c>
      <c r="C191" s="341">
        <f>IF(A191="","",'Historique détail'!B191/$W191)</f>
        <v>0.4151705824</v>
      </c>
      <c r="D191" s="341">
        <f>IF(B191="","",'Historique détail'!C191/$W191)</f>
        <v>0.1254894116</v>
      </c>
      <c r="E191" s="341">
        <f>IF(C191="","",'Historique détail'!D191/$W191)</f>
        <v>0.00000005122037094</v>
      </c>
      <c r="F191" s="341">
        <f>IF(D191="","",'Historique détail'!E191/$W191)</f>
        <v>0.05049919693</v>
      </c>
      <c r="G191" s="341">
        <f>IF(E191="","",'Historique détail'!F191/$W191)</f>
        <v>0.04240710087</v>
      </c>
      <c r="H191" s="341">
        <f>IF(F191="","",'Historique détail'!G191/$W191)</f>
        <v>0</v>
      </c>
      <c r="I191" s="341">
        <f>IF(G191="","",'Historique détail'!H191/$W191)</f>
        <v>0.0259022135</v>
      </c>
      <c r="J191" s="341">
        <f>IF(H191="","",'Historique détail'!I191/$W191)</f>
        <v>0.01550064693</v>
      </c>
      <c r="K191" s="341">
        <f>IF(I191="","",'Historique détail'!J191/$W191)</f>
        <v>0</v>
      </c>
      <c r="L191" s="341">
        <f>IF(J191="","",'Historique détail'!K191/$W191)</f>
        <v>0.006052217955</v>
      </c>
      <c r="M191" s="341">
        <f>IF(K191="","",'Historique détail'!L191/$W191)</f>
        <v>0</v>
      </c>
      <c r="N191" s="341">
        <f>IF(L191="","",'Historique détail'!M191/$W191)</f>
        <v>0.02994941366</v>
      </c>
      <c r="O191" s="341">
        <f>IF(M191="","",'Historique détail'!N191/$W191)</f>
        <v>0</v>
      </c>
      <c r="P191" s="341">
        <f>IF(N191="","",'Historique détail'!O191/$W191)</f>
        <v>0.00000007274557498</v>
      </c>
      <c r="Q191" s="341">
        <f>IF(O191="","",'Historique détail'!P191/$W191)</f>
        <v>0.0000000004885561506</v>
      </c>
      <c r="R191" s="341">
        <f>IF(P191="","",'Historique détail'!Q191/$W191)</f>
        <v>0</v>
      </c>
      <c r="S191" s="341">
        <f>IF(Q191="","",'Historique détail'!R191/$W191)</f>
        <v>0</v>
      </c>
      <c r="T191" s="341">
        <f>IF(R191="","",'Historique détail'!S191/$W191)</f>
        <v>0</v>
      </c>
      <c r="U191" s="340">
        <f t="shared" si="2"/>
        <v>0.2890290917</v>
      </c>
      <c r="V191" s="14">
        <f>IF(A191="","",ARBITRAGES!M192)</f>
        <v>16082.42716</v>
      </c>
      <c r="W191" s="342">
        <f>IF(V191="","",'Historique détail'!U191)</f>
        <v>55642.93569</v>
      </c>
      <c r="X191" s="288"/>
      <c r="Y191" s="220"/>
      <c r="Z191" s="220"/>
      <c r="AA191" s="220"/>
      <c r="AB191" s="220"/>
      <c r="AC191" s="220"/>
      <c r="AD191" s="220"/>
      <c r="AE191" s="220"/>
      <c r="AF191" s="220"/>
      <c r="AG191" s="220"/>
      <c r="AH191" s="220"/>
      <c r="AI191" s="308"/>
      <c r="AJ191" s="220"/>
      <c r="AK191" s="220"/>
      <c r="AL191" s="220"/>
      <c r="AM191" s="220"/>
      <c r="AN191" s="220"/>
      <c r="AO191" s="220"/>
      <c r="AP191" s="220"/>
      <c r="AQ191" s="220"/>
      <c r="AR191" s="220"/>
      <c r="AS191" s="220"/>
      <c r="AT191" s="220"/>
      <c r="AU191" s="220"/>
      <c r="AV191" s="220"/>
      <c r="AW191" s="220"/>
      <c r="AX191" s="220"/>
      <c r="AY191" s="220"/>
      <c r="AZ191" s="220"/>
      <c r="BA191" s="220"/>
      <c r="BB191" s="220"/>
    </row>
    <row r="192">
      <c r="A192" s="290">
        <f>PRIX!A193</f>
        <v>45972</v>
      </c>
      <c r="B192" s="302">
        <f t="shared" si="1"/>
        <v>0.7121493174</v>
      </c>
      <c r="C192" s="341">
        <f>IF(A192="","",'Historique détail'!B192/$W192)</f>
        <v>0.4174083925</v>
      </c>
      <c r="D192" s="341">
        <f>IF(B192="","",'Historique détail'!C192/$W192)</f>
        <v>0.1250399746</v>
      </c>
      <c r="E192" s="341">
        <f>IF(C192="","",'Historique détail'!D192/$W192)</f>
        <v>0.00000005103692653</v>
      </c>
      <c r="F192" s="341">
        <f>IF(D192="","",'Historique détail'!E192/$W192)</f>
        <v>0.05031833539</v>
      </c>
      <c r="G192" s="341">
        <f>IF(E192="","",'Historique détail'!F192/$W192)</f>
        <v>0.04225522095</v>
      </c>
      <c r="H192" s="341">
        <f>IF(F192="","",'Historique détail'!G192/$W192)</f>
        <v>0</v>
      </c>
      <c r="I192" s="341">
        <f>IF(G192="","",'Historique détail'!H192/$W192)</f>
        <v>0.02580944541</v>
      </c>
      <c r="J192" s="341">
        <f>IF(H192="","",'Historique détail'!I192/$W192)</f>
        <v>0.01544513177</v>
      </c>
      <c r="K192" s="341">
        <f>IF(I192="","",'Historique détail'!J192/$W192)</f>
        <v>0</v>
      </c>
      <c r="L192" s="341">
        <f>IF(J192="","",'Historique détail'!K192/$W192)</f>
        <v>0.006030542096</v>
      </c>
      <c r="M192" s="341">
        <f>IF(K192="","",'Historique détail'!L192/$W192)</f>
        <v>0</v>
      </c>
      <c r="N192" s="341">
        <f>IF(L192="","",'Historique détail'!M192/$W192)</f>
        <v>0.02984215063</v>
      </c>
      <c r="O192" s="341">
        <f>IF(M192="","",'Historique détail'!N192/$W192)</f>
        <v>0</v>
      </c>
      <c r="P192" s="341">
        <f>IF(N192="","",'Historique détail'!O192/$W192)</f>
        <v>0.00000007248503862</v>
      </c>
      <c r="Q192" s="341">
        <f>IF(O192="","",'Historique détail'!P192/$W192)</f>
        <v>0.0000000004868063997</v>
      </c>
      <c r="R192" s="341">
        <f>IF(P192="","",'Historique détail'!Q192/$W192)</f>
        <v>0</v>
      </c>
      <c r="S192" s="341">
        <f>IF(Q192="","",'Historique détail'!R192/$W192)</f>
        <v>0</v>
      </c>
      <c r="T192" s="341">
        <f>IF(R192="","",'Historique détail'!S192/$W192)</f>
        <v>0</v>
      </c>
      <c r="U192" s="340">
        <f t="shared" si="2"/>
        <v>0.2878506826</v>
      </c>
      <c r="V192" s="14">
        <f>IF(A192="","",ARBITRAGES!M193)</f>
        <v>16074.42716</v>
      </c>
      <c r="W192" s="342">
        <f>IF(V192="","",'Historique détail'!U192)</f>
        <v>55842.93569</v>
      </c>
      <c r="X192" s="288"/>
      <c r="Y192" s="220"/>
      <c r="Z192" s="220"/>
      <c r="AA192" s="220"/>
      <c r="AB192" s="220"/>
      <c r="AC192" s="220"/>
      <c r="AD192" s="220"/>
      <c r="AE192" s="220"/>
      <c r="AF192" s="220"/>
      <c r="AG192" s="220"/>
      <c r="AH192" s="220"/>
      <c r="AI192" s="308"/>
      <c r="AJ192" s="220"/>
      <c r="AK192" s="220"/>
      <c r="AL192" s="220"/>
      <c r="AM192" s="220"/>
      <c r="AN192" s="220"/>
      <c r="AO192" s="220"/>
      <c r="AP192" s="220"/>
      <c r="AQ192" s="220"/>
      <c r="AR192" s="220"/>
      <c r="AS192" s="220"/>
      <c r="AT192" s="220"/>
      <c r="AU192" s="220"/>
      <c r="AV192" s="220"/>
      <c r="AW192" s="220"/>
      <c r="AX192" s="220"/>
      <c r="AY192" s="220"/>
      <c r="AZ192" s="220"/>
      <c r="BA192" s="220"/>
      <c r="BB192" s="220"/>
    </row>
    <row r="193">
      <c r="A193" s="290">
        <f>PRIX!A194</f>
        <v>45974</v>
      </c>
      <c r="B193" s="302">
        <f t="shared" si="1"/>
        <v>0.7179986395</v>
      </c>
      <c r="C193" s="341">
        <f>IF(A193="","",'Historique détail'!B193/$W193)</f>
        <v>0.4343559986</v>
      </c>
      <c r="D193" s="341">
        <f>IF(B193="","",'Historique détail'!C193/$W193)</f>
        <v>0.120226454</v>
      </c>
      <c r="E193" s="341">
        <f>IF(C193="","",'Historique détail'!D193/$W193)</f>
        <v>0.00000005236364561</v>
      </c>
      <c r="F193" s="341">
        <f>IF(D193="","",'Historique détail'!E193/$W193)</f>
        <v>0.04960971924</v>
      </c>
      <c r="G193" s="341">
        <f>IF(E193="","",'Historique détail'!F193/$W193)</f>
        <v>0.03894128166</v>
      </c>
      <c r="H193" s="341">
        <f>IF(F193="","",'Historique détail'!G193/$W193)</f>
        <v>0</v>
      </c>
      <c r="I193" s="341">
        <f>IF(G193="","",'Historique détail'!H193/$W193)</f>
        <v>0.02485224016</v>
      </c>
      <c r="J193" s="341">
        <f>IF(H193="","",'Historique détail'!I193/$W193)</f>
        <v>0.01531463818</v>
      </c>
      <c r="K193" s="341">
        <f>IF(I193="","",'Historique détail'!J193/$W193)</f>
        <v>0</v>
      </c>
      <c r="L193" s="341">
        <f>IF(J193="","",'Historique détail'!K193/$W193)</f>
        <v>0.005504369032</v>
      </c>
      <c r="M193" s="341">
        <f>IF(K193="","",'Historique détail'!L193/$W193)</f>
        <v>0</v>
      </c>
      <c r="N193" s="341">
        <f>IF(L193="","",'Historique détail'!M193/$W193)</f>
        <v>0.02919381699</v>
      </c>
      <c r="O193" s="341">
        <f>IF(M193="","",'Historique détail'!N193/$W193)</f>
        <v>0</v>
      </c>
      <c r="P193" s="341">
        <f>IF(N193="","",'Historique détail'!O193/$W193)</f>
        <v>0.00000006879832131</v>
      </c>
      <c r="Q193" s="341">
        <f>IF(O193="","",'Historique détail'!P193/$W193)</f>
        <v>0.0000000004574850839</v>
      </c>
      <c r="R193" s="341">
        <f>IF(P193="","",'Historique détail'!Q193/$W193)</f>
        <v>0</v>
      </c>
      <c r="S193" s="341">
        <f>IF(Q193="","",'Historique détail'!R193/$W193)</f>
        <v>0</v>
      </c>
      <c r="T193" s="341">
        <f>IF(R193="","",'Historique détail'!S193/$W193)</f>
        <v>0</v>
      </c>
      <c r="U193" s="340">
        <f t="shared" si="2"/>
        <v>0.2820013605</v>
      </c>
      <c r="V193" s="14">
        <f>IF(A193="","",ARBITRAGES!M194)</f>
        <v>14974.42716</v>
      </c>
      <c r="W193" s="342">
        <f>IF(V193="","",'Historique détail'!U193)</f>
        <v>53100.54934</v>
      </c>
      <c r="X193" s="288"/>
      <c r="Y193" s="220"/>
      <c r="Z193" s="220"/>
      <c r="AA193" s="220"/>
      <c r="AB193" s="220"/>
      <c r="AC193" s="220"/>
      <c r="AD193" s="220"/>
      <c r="AE193" s="220"/>
      <c r="AF193" s="220"/>
      <c r="AG193" s="220"/>
      <c r="AH193" s="220"/>
      <c r="AI193" s="308"/>
      <c r="AJ193" s="220"/>
      <c r="AK193" s="220"/>
      <c r="AL193" s="220"/>
      <c r="AM193" s="220"/>
      <c r="AN193" s="220"/>
      <c r="AO193" s="220"/>
      <c r="AP193" s="220"/>
      <c r="AQ193" s="220"/>
      <c r="AR193" s="220"/>
      <c r="AS193" s="220"/>
      <c r="AT193" s="220"/>
      <c r="AU193" s="220"/>
      <c r="AV193" s="220"/>
      <c r="AW193" s="220"/>
      <c r="AX193" s="220"/>
      <c r="AY193" s="220"/>
      <c r="AZ193" s="220"/>
      <c r="BA193" s="220"/>
      <c r="BB193" s="220"/>
    </row>
    <row r="194">
      <c r="A194" s="290">
        <f>PRIX!A195</f>
        <v>45974</v>
      </c>
      <c r="B194" s="302">
        <f t="shared" si="1"/>
        <v>0.7346983747</v>
      </c>
      <c r="C194" s="341">
        <f>IF(A194="","",'Historique détail'!B194/$W194)</f>
        <v>0.4536712137</v>
      </c>
      <c r="D194" s="341">
        <f>IF(B194="","",'Historique détail'!C194/$W194)</f>
        <v>0.1202382651</v>
      </c>
      <c r="E194" s="341">
        <f>IF(C194="","",'Historique détail'!D194/$W194)</f>
        <v>0.00000005138069948</v>
      </c>
      <c r="F194" s="341">
        <f>IF(D194="","",'Historique détail'!E194/$W194)</f>
        <v>0.04826241326</v>
      </c>
      <c r="G194" s="341">
        <f>IF(E194="","",'Historique détail'!F194/$W194)</f>
        <v>0.03919004506</v>
      </c>
      <c r="H194" s="341">
        <f>IF(F194="","",'Historique détail'!G194/$W194)</f>
        <v>0</v>
      </c>
      <c r="I194" s="341">
        <f>IF(G194="","",'Historique détail'!H194/$W194)</f>
        <v>0.02446468505</v>
      </c>
      <c r="J194" s="341">
        <f>IF(H194="","",'Historique détail'!I194/$W194)</f>
        <v>0.01530037994</v>
      </c>
      <c r="K194" s="341">
        <f>IF(I194="","",'Historique détail'!J194/$W194)</f>
        <v>0</v>
      </c>
      <c r="L194" s="341">
        <f>IF(J194="","",'Historique détail'!K194/$W194)</f>
        <v>0.005659956465</v>
      </c>
      <c r="M194" s="341">
        <f>IF(K194="","",'Historique détail'!L194/$W194)</f>
        <v>0</v>
      </c>
      <c r="N194" s="341">
        <f>IF(L194="","",'Historique détail'!M194/$W194)</f>
        <v>0.02791129636</v>
      </c>
      <c r="O194" s="341">
        <f>IF(M194="","",'Historique détail'!N194/$W194)</f>
        <v>0</v>
      </c>
      <c r="P194" s="341">
        <f>IF(N194="","",'Historique détail'!O194/$W194)</f>
        <v>0.00000006785306013</v>
      </c>
      <c r="Q194" s="341">
        <f>IF(O194="","",'Historique détail'!P194/$W194)</f>
        <v>0.0000000004494454898</v>
      </c>
      <c r="R194" s="341">
        <f>IF(P194="","",'Historique détail'!Q194/$W194)</f>
        <v>0</v>
      </c>
      <c r="S194" s="341">
        <f>IF(Q194="","",'Historique détail'!R194/$W194)</f>
        <v>0</v>
      </c>
      <c r="T194" s="341">
        <f>IF(R194="","",'Historique détail'!S194/$W194)</f>
        <v>0</v>
      </c>
      <c r="U194" s="340">
        <f t="shared" si="2"/>
        <v>0.2653016253</v>
      </c>
      <c r="V194" s="14">
        <f>IF(A194="","",ARBITRAGES!M195)</f>
        <v>13998.23896</v>
      </c>
      <c r="W194" s="342">
        <f>IF(V194="","",'Historique détail'!U194)</f>
        <v>52763.48738</v>
      </c>
      <c r="X194" s="288"/>
      <c r="Y194" s="220"/>
      <c r="Z194" s="220"/>
      <c r="AA194" s="220"/>
      <c r="AB194" s="220"/>
      <c r="AC194" s="220"/>
      <c r="AD194" s="220"/>
      <c r="AE194" s="220"/>
      <c r="AF194" s="220"/>
      <c r="AG194" s="220"/>
      <c r="AH194" s="220"/>
      <c r="AI194" s="308"/>
      <c r="AJ194" s="220"/>
      <c r="AK194" s="220"/>
      <c r="AL194" s="220"/>
      <c r="AM194" s="220"/>
      <c r="AN194" s="220"/>
      <c r="AO194" s="220"/>
      <c r="AP194" s="220"/>
      <c r="AQ194" s="220"/>
      <c r="AR194" s="220"/>
      <c r="AS194" s="220"/>
      <c r="AT194" s="220"/>
      <c r="AU194" s="220"/>
      <c r="AV194" s="220"/>
      <c r="AW194" s="220"/>
      <c r="AX194" s="220"/>
      <c r="AY194" s="220"/>
      <c r="AZ194" s="220"/>
      <c r="BA194" s="220"/>
      <c r="BB194" s="220"/>
    </row>
    <row r="195">
      <c r="A195" s="290">
        <f>PRIX!A196</f>
        <v>45974</v>
      </c>
      <c r="B195" s="302">
        <f t="shared" si="1"/>
        <v>0.7479755088</v>
      </c>
      <c r="C195" s="341">
        <f>IF(A195="","",'Historique détail'!B195/$W195)</f>
        <v>0.4536712137</v>
      </c>
      <c r="D195" s="341">
        <f>IF(B195="","",'Historique détail'!C195/$W195)</f>
        <v>0.1335153993</v>
      </c>
      <c r="E195" s="341">
        <f>IF(C195="","",'Historique détail'!D195/$W195)</f>
        <v>0.00000005138069948</v>
      </c>
      <c r="F195" s="341">
        <f>IF(D195="","",'Historique détail'!E195/$W195)</f>
        <v>0.04826241326</v>
      </c>
      <c r="G195" s="341">
        <f>IF(E195="","",'Historique détail'!F195/$W195)</f>
        <v>0.03919004506</v>
      </c>
      <c r="H195" s="341">
        <f>IF(F195="","",'Historique détail'!G195/$W195)</f>
        <v>0</v>
      </c>
      <c r="I195" s="341">
        <f>IF(G195="","",'Historique détail'!H195/$W195)</f>
        <v>0.02446468505</v>
      </c>
      <c r="J195" s="341">
        <f>IF(H195="","",'Historique détail'!I195/$W195)</f>
        <v>0.01530037994</v>
      </c>
      <c r="K195" s="341">
        <f>IF(I195="","",'Historique détail'!J195/$W195)</f>
        <v>0</v>
      </c>
      <c r="L195" s="341">
        <f>IF(J195="","",'Historique détail'!K195/$W195)</f>
        <v>0.005659956465</v>
      </c>
      <c r="M195" s="341">
        <f>IF(K195="","",'Historique détail'!L195/$W195)</f>
        <v>0</v>
      </c>
      <c r="N195" s="341">
        <f>IF(L195="","",'Historique détail'!M195/$W195)</f>
        <v>0.02791129636</v>
      </c>
      <c r="O195" s="341">
        <f>IF(M195="","",'Historique détail'!N195/$W195)</f>
        <v>0</v>
      </c>
      <c r="P195" s="341">
        <f>IF(N195="","",'Historique détail'!O195/$W195)</f>
        <v>0.00000006785306013</v>
      </c>
      <c r="Q195" s="341">
        <f>IF(O195="","",'Historique détail'!P195/$W195)</f>
        <v>0.0000000004494454898</v>
      </c>
      <c r="R195" s="341">
        <f>IF(P195="","",'Historique détail'!Q195/$W195)</f>
        <v>0</v>
      </c>
      <c r="S195" s="341">
        <f>IF(Q195="","",'Historique détail'!R195/$W195)</f>
        <v>0</v>
      </c>
      <c r="T195" s="341">
        <f>IF(R195="","",'Historique détail'!S195/$W195)</f>
        <v>0</v>
      </c>
      <c r="U195" s="340">
        <f t="shared" si="2"/>
        <v>0.2520244912</v>
      </c>
      <c r="V195" s="14">
        <f>IF(A195="","",ARBITRAGES!M196)</f>
        <v>13297.69106</v>
      </c>
      <c r="W195" s="342">
        <f>IF(V195="","",'Historique détail'!U195)</f>
        <v>52763.48738</v>
      </c>
      <c r="X195" s="288"/>
      <c r="Y195" s="220"/>
      <c r="Z195" s="220"/>
      <c r="AA195" s="220"/>
      <c r="AB195" s="220"/>
      <c r="AC195" s="220"/>
      <c r="AD195" s="220"/>
      <c r="AE195" s="220"/>
      <c r="AF195" s="220"/>
      <c r="AG195" s="220"/>
      <c r="AH195" s="220"/>
      <c r="AI195" s="308"/>
      <c r="AJ195" s="220"/>
      <c r="AK195" s="220"/>
      <c r="AL195" s="220"/>
      <c r="AM195" s="220"/>
      <c r="AN195" s="220"/>
      <c r="AO195" s="220"/>
      <c r="AP195" s="220"/>
      <c r="AQ195" s="220"/>
      <c r="AR195" s="220"/>
      <c r="AS195" s="220"/>
      <c r="AT195" s="220"/>
      <c r="AU195" s="220"/>
      <c r="AV195" s="220"/>
      <c r="AW195" s="220"/>
      <c r="AX195" s="220"/>
      <c r="AY195" s="220"/>
      <c r="AZ195" s="220"/>
      <c r="BA195" s="220"/>
      <c r="BB195" s="220"/>
    </row>
    <row r="196">
      <c r="A196" s="290">
        <f>PRIX!A197</f>
        <v>45974</v>
      </c>
      <c r="B196" s="302">
        <f t="shared" si="1"/>
        <v>0.766973775</v>
      </c>
      <c r="C196" s="341">
        <f>IF(A196="","",'Historique détail'!B196/$W196)</f>
        <v>0.4727272696</v>
      </c>
      <c r="D196" s="341">
        <f>IF(B196="","",'Historique détail'!C196/$W196)</f>
        <v>0.1334891821</v>
      </c>
      <c r="E196" s="341">
        <f>IF(C196="","",'Historique détail'!D196/$W196)</f>
        <v>0.00000005137061035</v>
      </c>
      <c r="F196" s="341">
        <f>IF(D196="","",'Historique détail'!E196/$W196)</f>
        <v>0.04825293643</v>
      </c>
      <c r="G196" s="341">
        <f>IF(E196="","",'Historique détail'!F196/$W196)</f>
        <v>0.03918234969</v>
      </c>
      <c r="H196" s="341">
        <f>IF(F196="","",'Historique détail'!G196/$W196)</f>
        <v>0</v>
      </c>
      <c r="I196" s="341">
        <f>IF(G196="","",'Historique détail'!H196/$W196)</f>
        <v>0.02445988116</v>
      </c>
      <c r="J196" s="341">
        <f>IF(H196="","",'Historique détail'!I196/$W196)</f>
        <v>0.01529737555</v>
      </c>
      <c r="K196" s="341">
        <f>IF(I196="","",'Historique détail'!J196/$W196)</f>
        <v>0</v>
      </c>
      <c r="L196" s="341">
        <f>IF(J196="","",'Historique détail'!K196/$W196)</f>
        <v>0.005658845073</v>
      </c>
      <c r="M196" s="341">
        <f>IF(K196="","",'Historique détail'!L196/$W196)</f>
        <v>0</v>
      </c>
      <c r="N196" s="341">
        <f>IF(L196="","",'Historique détail'!M196/$W196)</f>
        <v>0.02790581569</v>
      </c>
      <c r="O196" s="341">
        <f>IF(M196="","",'Historique détail'!N196/$W196)</f>
        <v>0</v>
      </c>
      <c r="P196" s="341">
        <f>IF(N196="","",'Historique détail'!O196/$W196)</f>
        <v>0.00000006783973648</v>
      </c>
      <c r="Q196" s="341">
        <f>IF(O196="","",'Historique détail'!P196/$W196)</f>
        <v>0.0000000004493572365</v>
      </c>
      <c r="R196" s="341">
        <f>IF(P196="","",'Historique détail'!Q196/$W196)</f>
        <v>0</v>
      </c>
      <c r="S196" s="341">
        <f>IF(Q196="","",'Historique détail'!R196/$W196)</f>
        <v>0</v>
      </c>
      <c r="T196" s="341">
        <f>IF(R196="","",'Historique détail'!S196/$W196)</f>
        <v>0</v>
      </c>
      <c r="U196" s="340">
        <f t="shared" si="2"/>
        <v>0.233026225</v>
      </c>
      <c r="V196" s="14">
        <f>IF(A196="","",ARBITRAGES!M197)</f>
        <v>12297.69106</v>
      </c>
      <c r="W196" s="342">
        <f>IF(V196="","",'Historique détail'!U196)</f>
        <v>52773.85007</v>
      </c>
      <c r="X196" s="288"/>
      <c r="Y196" s="220"/>
      <c r="Z196" s="220"/>
      <c r="AA196" s="220"/>
      <c r="AB196" s="220"/>
      <c r="AC196" s="220"/>
      <c r="AD196" s="220"/>
      <c r="AE196" s="220"/>
      <c r="AF196" s="220"/>
      <c r="AG196" s="220"/>
      <c r="AH196" s="220"/>
      <c r="AI196" s="308"/>
      <c r="AJ196" s="220"/>
      <c r="AK196" s="220"/>
      <c r="AL196" s="220"/>
      <c r="AM196" s="220"/>
      <c r="AN196" s="220"/>
      <c r="AO196" s="220"/>
      <c r="AP196" s="220"/>
      <c r="AQ196" s="220"/>
      <c r="AR196" s="220"/>
      <c r="AS196" s="220"/>
      <c r="AT196" s="220"/>
      <c r="AU196" s="220"/>
      <c r="AV196" s="220"/>
      <c r="AW196" s="220"/>
      <c r="AX196" s="220"/>
      <c r="AY196" s="220"/>
      <c r="AZ196" s="220"/>
      <c r="BA196" s="220"/>
      <c r="BB196" s="220"/>
    </row>
    <row r="197">
      <c r="A197" s="290">
        <f>PRIX!A198</f>
        <v>45974</v>
      </c>
      <c r="B197" s="302">
        <f t="shared" si="1"/>
        <v>0.7859859177</v>
      </c>
      <c r="C197" s="341">
        <f>IF(A197="","",'Historique détail'!B197/$W197)</f>
        <v>0.4918265055</v>
      </c>
      <c r="D197" s="341">
        <f>IF(B197="","",'Historique détail'!C197/$W197)</f>
        <v>0.1334496711</v>
      </c>
      <c r="E197" s="341">
        <f>IF(C197="","",'Historique détail'!D197/$W197)</f>
        <v>0.00000005135540531</v>
      </c>
      <c r="F197" s="341">
        <f>IF(D197="","",'Historique détail'!E197/$W197)</f>
        <v>0.04823865419</v>
      </c>
      <c r="G197" s="341">
        <f>IF(E197="","",'Historique détail'!F197/$W197)</f>
        <v>0.03917075222</v>
      </c>
      <c r="H197" s="341">
        <f>IF(F197="","",'Historique détail'!G197/$W197)</f>
        <v>0</v>
      </c>
      <c r="I197" s="341">
        <f>IF(G197="","",'Historique détail'!H197/$W197)</f>
        <v>0.02445264135</v>
      </c>
      <c r="J197" s="341">
        <f>IF(H197="","",'Historique détail'!I197/$W197)</f>
        <v>0.01529284773</v>
      </c>
      <c r="K197" s="341">
        <f>IF(I197="","",'Historique détail'!J197/$W197)</f>
        <v>0</v>
      </c>
      <c r="L197" s="341">
        <f>IF(J197="","",'Historique détail'!K197/$W197)</f>
        <v>0.005657170129</v>
      </c>
      <c r="M197" s="341">
        <f>IF(K197="","",'Historique détail'!L197/$W197)</f>
        <v>0</v>
      </c>
      <c r="N197" s="341">
        <f>IF(L197="","",'Historique détail'!M197/$W197)</f>
        <v>0.02789755593</v>
      </c>
      <c r="O197" s="341">
        <f>IF(M197="","",'Historique détail'!N197/$W197)</f>
        <v>0</v>
      </c>
      <c r="P197" s="341">
        <f>IF(N197="","",'Historique détail'!O197/$W197)</f>
        <v>0.0000000678196568</v>
      </c>
      <c r="Q197" s="341">
        <f>IF(O197="","",'Historique détail'!P197/$W197)</f>
        <v>0.0000000004492242326</v>
      </c>
      <c r="R197" s="341">
        <f>IF(P197="","",'Historique détail'!Q197/$W197)</f>
        <v>0</v>
      </c>
      <c r="S197" s="341">
        <f>IF(Q197="","",'Historique détail'!R197/$W197)</f>
        <v>0</v>
      </c>
      <c r="T197" s="341">
        <f>IF(R197="","",'Historique détail'!S197/$W197)</f>
        <v>0</v>
      </c>
      <c r="U197" s="340">
        <f t="shared" si="2"/>
        <v>0.2140140823</v>
      </c>
      <c r="V197" s="14">
        <f>IF(A197="","",ARBITRAGES!M198)</f>
        <v>11297.69106</v>
      </c>
      <c r="W197" s="342">
        <f>IF(V197="","",'Historique détail'!U197)</f>
        <v>52789.47507</v>
      </c>
      <c r="X197" s="288"/>
      <c r="Y197" s="220"/>
      <c r="Z197" s="220"/>
      <c r="AA197" s="220"/>
      <c r="AB197" s="220"/>
      <c r="AC197" s="220"/>
      <c r="AD197" s="220"/>
      <c r="AE197" s="220"/>
      <c r="AF197" s="220"/>
      <c r="AG197" s="220"/>
      <c r="AH197" s="220"/>
      <c r="AI197" s="308"/>
      <c r="AJ197" s="220"/>
      <c r="AK197" s="220"/>
      <c r="AL197" s="220"/>
      <c r="AM197" s="220"/>
      <c r="AN197" s="220"/>
      <c r="AO197" s="220"/>
      <c r="AP197" s="220"/>
      <c r="AQ197" s="220"/>
      <c r="AR197" s="220"/>
      <c r="AS197" s="220"/>
      <c r="AT197" s="220"/>
      <c r="AU197" s="220"/>
      <c r="AV197" s="220"/>
      <c r="AW197" s="220"/>
      <c r="AX197" s="220"/>
      <c r="AY197" s="220"/>
      <c r="AZ197" s="220"/>
      <c r="BA197" s="220"/>
      <c r="BB197" s="220"/>
    </row>
    <row r="198">
      <c r="A198" s="290">
        <f>PRIX!A199</f>
        <v>45974</v>
      </c>
      <c r="B198" s="302">
        <f t="shared" si="1"/>
        <v>0.7924182337</v>
      </c>
      <c r="C198" s="341">
        <f>IF(A198="","",'Historique détail'!B198/$W198)</f>
        <v>0.5011181445</v>
      </c>
      <c r="D198" s="341">
        <f>IF(B198="","",'Historique détail'!C198/$W198)</f>
        <v>0.1320254725</v>
      </c>
      <c r="E198" s="341">
        <f>IF(C198="","",'Historique détail'!D198/$W198)</f>
        <v>0.00000005078211677</v>
      </c>
      <c r="F198" s="341">
        <f>IF(D198="","",'Historique détail'!E198/$W198)</f>
        <v>0.04726730763</v>
      </c>
      <c r="G198" s="341">
        <f>IF(E198="","",'Historique détail'!F198/$W198)</f>
        <v>0.03879776321</v>
      </c>
      <c r="H198" s="341">
        <f>IF(F198="","",'Historique détail'!G198/$W198)</f>
        <v>0</v>
      </c>
      <c r="I198" s="341">
        <f>IF(G198="","",'Historique détail'!H198/$W198)</f>
        <v>0.02450426478</v>
      </c>
      <c r="J198" s="341">
        <f>IF(H198="","",'Historique détail'!I198/$W198)</f>
        <v>0.01539690681</v>
      </c>
      <c r="K198" s="341">
        <f>IF(I198="","",'Historique détail'!J198/$W198)</f>
        <v>0</v>
      </c>
      <c r="L198" s="341">
        <f>IF(J198="","",'Historique détail'!K198/$W198)</f>
        <v>0.005741229247</v>
      </c>
      <c r="M198" s="341">
        <f>IF(K198="","",'Historique détail'!L198/$W198)</f>
        <v>0</v>
      </c>
      <c r="N198" s="341">
        <f>IF(L198="","",'Historique détail'!M198/$W198)</f>
        <v>0.02756702712</v>
      </c>
      <c r="O198" s="341">
        <f>IF(M198="","",'Historique détail'!N198/$W198)</f>
        <v>0</v>
      </c>
      <c r="P198" s="341">
        <f>IF(N198="","",'Historique détail'!O198/$W198)</f>
        <v>0.00000006657995517</v>
      </c>
      <c r="Q198" s="341">
        <f>IF(O198="","",'Historique détail'!P198/$W198)</f>
        <v>0.0000000004503394479</v>
      </c>
      <c r="R198" s="341">
        <f>IF(P198="","",'Historique détail'!Q198/$W198)</f>
        <v>0</v>
      </c>
      <c r="S198" s="341">
        <f>IF(Q198="","",'Historique détail'!R198/$W198)</f>
        <v>0</v>
      </c>
      <c r="T198" s="341">
        <f>IF(R198="","",'Historique détail'!S198/$W198)</f>
        <v>0</v>
      </c>
      <c r="U198" s="340">
        <f t="shared" si="2"/>
        <v>0.2075817663</v>
      </c>
      <c r="V198" s="14">
        <f>IF(A198="","",ARBITRAGES!M199)</f>
        <v>10797.69106</v>
      </c>
      <c r="W198" s="342">
        <f>IF(V198="","",'Historique détail'!U198)</f>
        <v>52016.56799</v>
      </c>
      <c r="X198" s="288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220"/>
      <c r="AI198" s="308"/>
      <c r="AJ198" s="220"/>
      <c r="AK198" s="220"/>
      <c r="AL198" s="220"/>
      <c r="AM198" s="220"/>
      <c r="AN198" s="220"/>
      <c r="AO198" s="220"/>
      <c r="AP198" s="220"/>
      <c r="AQ198" s="220"/>
      <c r="AR198" s="220"/>
      <c r="AS198" s="220"/>
      <c r="AT198" s="220"/>
      <c r="AU198" s="220"/>
      <c r="AV198" s="220"/>
      <c r="AW198" s="220"/>
      <c r="AX198" s="220"/>
      <c r="AY198" s="220"/>
      <c r="AZ198" s="220"/>
      <c r="BA198" s="220"/>
      <c r="BB198" s="220"/>
    </row>
    <row r="199">
      <c r="A199" s="290">
        <f>PRIX!A200</f>
        <v>45974</v>
      </c>
      <c r="B199" s="302">
        <f t="shared" si="1"/>
        <v>0.8116809868</v>
      </c>
      <c r="C199" s="341">
        <f>IF(A199="","",'Historique détail'!B199/$W199)</f>
        <v>0.5204398345</v>
      </c>
      <c r="D199" s="341">
        <f>IF(B199="","",'Historique détail'!C199/$W199)</f>
        <v>0.1319987607</v>
      </c>
      <c r="E199" s="341">
        <f>IF(C199="","",'Historique détail'!D199/$W199)</f>
        <v>0.00000005077184235</v>
      </c>
      <c r="F199" s="341">
        <f>IF(D199="","",'Historique détail'!E199/$W199)</f>
        <v>0.04725774434</v>
      </c>
      <c r="G199" s="341">
        <f>IF(E199="","",'Historique détail'!F199/$W199)</f>
        <v>0.03878991351</v>
      </c>
      <c r="H199" s="341">
        <f>IF(F199="","",'Historique détail'!G199/$W199)</f>
        <v>0</v>
      </c>
      <c r="I199" s="341">
        <f>IF(G199="","",'Historique détail'!H199/$W199)</f>
        <v>0.02449930698</v>
      </c>
      <c r="J199" s="341">
        <f>IF(H199="","",'Historique détail'!I199/$W199)</f>
        <v>0.01539379165</v>
      </c>
      <c r="K199" s="341">
        <f>IF(I199="","",'Historique détail'!J199/$W199)</f>
        <v>0</v>
      </c>
      <c r="L199" s="341">
        <f>IF(J199="","",'Historique détail'!K199/$W199)</f>
        <v>0.00574006766</v>
      </c>
      <c r="M199" s="341">
        <f>IF(K199="","",'Historique détail'!L199/$W199)</f>
        <v>0</v>
      </c>
      <c r="N199" s="341">
        <f>IF(L199="","",'Historique détail'!M199/$W199)</f>
        <v>0.02756144965</v>
      </c>
      <c r="O199" s="341">
        <f>IF(M199="","",'Historique détail'!N199/$W199)</f>
        <v>0</v>
      </c>
      <c r="P199" s="341">
        <f>IF(N199="","",'Historique détail'!O199/$W199)</f>
        <v>0.00000006656648447</v>
      </c>
      <c r="Q199" s="341">
        <f>IF(O199="","",'Historique détail'!P199/$W199)</f>
        <v>0.0000000004502483335</v>
      </c>
      <c r="R199" s="341">
        <f>IF(P199="","",'Historique détail'!Q199/$W199)</f>
        <v>0</v>
      </c>
      <c r="S199" s="341">
        <f>IF(Q199="","",'Historique détail'!R199/$W199)</f>
        <v>0</v>
      </c>
      <c r="T199" s="341">
        <f>IF(R199="","",'Historique détail'!S199/$W199)</f>
        <v>0</v>
      </c>
      <c r="U199" s="340">
        <f t="shared" si="2"/>
        <v>0.1883190132</v>
      </c>
      <c r="V199" s="14">
        <f>IF(A199="","",ARBITRAGES!M200)</f>
        <v>9797.69106</v>
      </c>
      <c r="W199" s="342">
        <f>IF(V199="","",'Historique détail'!U199)</f>
        <v>52027.09431</v>
      </c>
      <c r="X199" s="288"/>
      <c r="Y199" s="220"/>
      <c r="Z199" s="220"/>
      <c r="AA199" s="220"/>
      <c r="AB199" s="220"/>
      <c r="AC199" s="220"/>
      <c r="AD199" s="220"/>
      <c r="AE199" s="220"/>
      <c r="AF199" s="220"/>
      <c r="AG199" s="220"/>
      <c r="AH199" s="220"/>
      <c r="AI199" s="308"/>
      <c r="AJ199" s="220"/>
      <c r="AK199" s="220"/>
      <c r="AL199" s="220"/>
      <c r="AM199" s="220"/>
      <c r="AN199" s="220"/>
      <c r="AO199" s="220"/>
      <c r="AP199" s="220"/>
      <c r="AQ199" s="220"/>
      <c r="AR199" s="220"/>
      <c r="AS199" s="220"/>
      <c r="AT199" s="220"/>
      <c r="AU199" s="220"/>
      <c r="AV199" s="220"/>
      <c r="AW199" s="220"/>
      <c r="AX199" s="220"/>
      <c r="AY199" s="220"/>
      <c r="AZ199" s="220"/>
      <c r="BA199" s="220"/>
      <c r="BB199" s="220"/>
    </row>
    <row r="200">
      <c r="A200" s="290">
        <f>PRIX!A201</f>
        <v>45974</v>
      </c>
      <c r="B200" s="302">
        <f t="shared" si="1"/>
        <v>0.8202379887</v>
      </c>
      <c r="C200" s="341">
        <f>IF(A200="","",'Historique détail'!B200/$W200)</f>
        <v>0.5263309598</v>
      </c>
      <c r="D200" s="341">
        <f>IF(B200="","",'Historique détail'!C200/$W200)</f>
        <v>0.1333351737</v>
      </c>
      <c r="E200" s="341">
        <f>IF(C200="","",'Historique détail'!D200/$W200)</f>
        <v>0.00000005131134331</v>
      </c>
      <c r="F200" s="341">
        <f>IF(D200="","",'Historique détail'!E200/$W200)</f>
        <v>0.0481972663</v>
      </c>
      <c r="G200" s="341">
        <f>IF(E200="","",'Historique détail'!F200/$W200)</f>
        <v>0.03913714443</v>
      </c>
      <c r="H200" s="341">
        <f>IF(F200="","",'Historique détail'!G200/$W200)</f>
        <v>0</v>
      </c>
      <c r="I200" s="341">
        <f>IF(G200="","",'Historique détail'!H200/$W200)</f>
        <v>0.02443166143</v>
      </c>
      <c r="J200" s="341">
        <f>IF(H200="","",'Historique détail'!I200/$W200)</f>
        <v>0.01527972675</v>
      </c>
      <c r="K200" s="341">
        <f>IF(I200="","",'Historique détail'!J200/$W200)</f>
        <v>0</v>
      </c>
      <c r="L200" s="341">
        <f>IF(J200="","",'Historique détail'!K200/$W200)</f>
        <v>0.00565231638</v>
      </c>
      <c r="M200" s="341">
        <f>IF(K200="","",'Historique détail'!L200/$W200)</f>
        <v>0</v>
      </c>
      <c r="N200" s="341">
        <f>IF(L200="","",'Historique détail'!M200/$W200)</f>
        <v>0.02787362034</v>
      </c>
      <c r="O200" s="341">
        <f>IF(M200="","",'Historique détail'!N200/$W200)</f>
        <v>0</v>
      </c>
      <c r="P200" s="341">
        <f>IF(N200="","",'Historique détail'!O200/$W200)</f>
        <v>0.00000006776146877</v>
      </c>
      <c r="Q200" s="341">
        <f>IF(O200="","",'Historique détail'!P200/$W200)</f>
        <v>0.0000000004488388064</v>
      </c>
      <c r="R200" s="341">
        <f>IF(P200="","",'Historique détail'!Q200/$W200)</f>
        <v>0</v>
      </c>
      <c r="S200" s="341">
        <f>IF(Q200="","",'Historique détail'!R200/$W200)</f>
        <v>0</v>
      </c>
      <c r="T200" s="341">
        <f>IF(R200="","",'Historique détail'!S200/$W200)</f>
        <v>0</v>
      </c>
      <c r="U200" s="340">
        <f t="shared" si="2"/>
        <v>0.1797620113</v>
      </c>
      <c r="V200" s="14">
        <f>IF(A200="","",ARBITRAGES!M201)</f>
        <v>9497.69106</v>
      </c>
      <c r="W200" s="342">
        <f>IF(V200="","",'Historique détail'!U200)</f>
        <v>52834.80637</v>
      </c>
      <c r="X200" s="288"/>
      <c r="Y200" s="220"/>
      <c r="Z200" s="220"/>
      <c r="AA200" s="220"/>
      <c r="AB200" s="220"/>
      <c r="AC200" s="220"/>
      <c r="AD200" s="220"/>
      <c r="AE200" s="220"/>
      <c r="AF200" s="220"/>
      <c r="AG200" s="220"/>
      <c r="AH200" s="220"/>
      <c r="AI200" s="308"/>
      <c r="AJ200" s="220"/>
      <c r="AK200" s="220"/>
      <c r="AL200" s="220"/>
      <c r="AM200" s="220"/>
      <c r="AN200" s="220"/>
      <c r="AO200" s="220"/>
      <c r="AP200" s="220"/>
      <c r="AQ200" s="220"/>
      <c r="AR200" s="220"/>
      <c r="AS200" s="220"/>
      <c r="AT200" s="220"/>
      <c r="AU200" s="220"/>
      <c r="AV200" s="220"/>
      <c r="AW200" s="220"/>
      <c r="AX200" s="220"/>
      <c r="AY200" s="220"/>
      <c r="AZ200" s="220"/>
      <c r="BA200" s="220"/>
      <c r="BB200" s="220"/>
    </row>
    <row r="201">
      <c r="A201" s="290">
        <f>PRIX!A202</f>
        <v>45975</v>
      </c>
      <c r="B201" s="302">
        <f t="shared" si="1"/>
        <v>0.8297508375</v>
      </c>
      <c r="C201" s="341">
        <f>IF(A201="","",'Historique détail'!B201/$W201)</f>
        <v>0.5359290482</v>
      </c>
      <c r="D201" s="341">
        <f>IF(B201="","",'Historique détail'!C201/$W201)</f>
        <v>0.1332965036</v>
      </c>
      <c r="E201" s="341">
        <f>IF(C201="","",'Historique détail'!D201/$W201)</f>
        <v>0.0000000512964619</v>
      </c>
      <c r="F201" s="341">
        <f>IF(D201="","",'Historique détail'!E201/$W201)</f>
        <v>0.04818328804</v>
      </c>
      <c r="G201" s="341">
        <f>IF(E201="","",'Historique détail'!F201/$W201)</f>
        <v>0.0391257938</v>
      </c>
      <c r="H201" s="341">
        <f>IF(F201="","",'Historique détail'!G201/$W201)</f>
        <v>0</v>
      </c>
      <c r="I201" s="341">
        <f>IF(G201="","",'Historique détail'!H201/$W201)</f>
        <v>0.02442457571</v>
      </c>
      <c r="J201" s="341">
        <f>IF(H201="","",'Historique détail'!I201/$W201)</f>
        <v>0.01527529529</v>
      </c>
      <c r="K201" s="341">
        <f>IF(I201="","",'Historique détail'!J201/$W201)</f>
        <v>0</v>
      </c>
      <c r="L201" s="341">
        <f>IF(J201="","",'Historique détail'!K201/$W201)</f>
        <v>0.005650677085</v>
      </c>
      <c r="M201" s="341">
        <f>IF(K201="","",'Historique détail'!L201/$W201)</f>
        <v>0</v>
      </c>
      <c r="N201" s="341">
        <f>IF(L201="","",'Historique détail'!M201/$W201)</f>
        <v>0.02786553638</v>
      </c>
      <c r="O201" s="341">
        <f>IF(M201="","",'Historique détail'!N201/$W201)</f>
        <v>0</v>
      </c>
      <c r="P201" s="341">
        <f>IF(N201="","",'Historique détail'!O201/$W201)</f>
        <v>0.00000006774181646</v>
      </c>
      <c r="Q201" s="341">
        <f>IF(O201="","",'Historique détail'!P201/$W201)</f>
        <v>0.0000000004487086334</v>
      </c>
      <c r="R201" s="341">
        <f>IF(P201="","",'Historique détail'!Q201/$W201)</f>
        <v>0</v>
      </c>
      <c r="S201" s="341">
        <f>IF(Q201="","",'Historique détail'!R201/$W201)</f>
        <v>0</v>
      </c>
      <c r="T201" s="341">
        <f>IF(R201="","",'Historique détail'!S201/$W201)</f>
        <v>0</v>
      </c>
      <c r="U201" s="340">
        <f t="shared" si="2"/>
        <v>0.1702491625</v>
      </c>
      <c r="V201" s="14">
        <f>IF(A201="","",ARBITRAGES!M202)</f>
        <v>8997.69106</v>
      </c>
      <c r="W201" s="342">
        <f>IF(V201="","",'Historique détail'!U201)</f>
        <v>52850.13407</v>
      </c>
      <c r="X201" s="288"/>
      <c r="Y201" s="220"/>
      <c r="Z201" s="220"/>
      <c r="AA201" s="220"/>
      <c r="AB201" s="220"/>
      <c r="AC201" s="220"/>
      <c r="AD201" s="220"/>
      <c r="AE201" s="220"/>
      <c r="AF201" s="220"/>
      <c r="AG201" s="220"/>
      <c r="AH201" s="220"/>
      <c r="AI201" s="308"/>
      <c r="AJ201" s="220"/>
      <c r="AK201" s="220"/>
      <c r="AL201" s="220"/>
      <c r="AM201" s="220"/>
      <c r="AN201" s="220"/>
      <c r="AO201" s="220"/>
      <c r="AP201" s="220"/>
      <c r="AQ201" s="220"/>
      <c r="AR201" s="220"/>
      <c r="AS201" s="220"/>
      <c r="AT201" s="220"/>
      <c r="AU201" s="220"/>
      <c r="AV201" s="220"/>
      <c r="AW201" s="220"/>
      <c r="AX201" s="220"/>
      <c r="AY201" s="220"/>
      <c r="AZ201" s="220"/>
      <c r="BA201" s="220"/>
      <c r="BB201" s="220"/>
    </row>
    <row r="202">
      <c r="A202" s="290">
        <f>PRIX!A203</f>
        <v>45977</v>
      </c>
      <c r="B202" s="302">
        <f t="shared" si="1"/>
        <v>0.8303870848</v>
      </c>
      <c r="C202" s="341">
        <f>IF(A202="","",'Historique détail'!B202/$W202)</f>
        <v>0.5423344857</v>
      </c>
      <c r="D202" s="341">
        <f>IF(B202="","",'Historique détail'!C202/$W202)</f>
        <v>0.1324587448</v>
      </c>
      <c r="E202" s="341">
        <f>IF(C202="","",'Historique détail'!D202/$W202)</f>
        <v>0.0000000484907154</v>
      </c>
      <c r="F202" s="341">
        <f>IF(D202="","",'Historique détail'!E202/$W202)</f>
        <v>0.04550294714</v>
      </c>
      <c r="G202" s="341">
        <f>IF(E202="","",'Historique détail'!F202/$W202)</f>
        <v>0.03836616277</v>
      </c>
      <c r="H202" s="341">
        <f>IF(F202="","",'Historique détail'!G202/$W202)</f>
        <v>0</v>
      </c>
      <c r="I202" s="341">
        <f>IF(G202="","",'Historique détail'!H202/$W202)</f>
        <v>0.02423719456</v>
      </c>
      <c r="J202" s="341">
        <f>IF(H202="","",'Historique détail'!I202/$W202)</f>
        <v>0.01532385586</v>
      </c>
      <c r="K202" s="341">
        <f>IF(I202="","",'Historique détail'!J202/$W202)</f>
        <v>0</v>
      </c>
      <c r="L202" s="341">
        <f>IF(J202="","",'Historique détail'!K202/$W202)</f>
        <v>0.005901416835</v>
      </c>
      <c r="M202" s="341">
        <f>IF(K202="","",'Historique détail'!L202/$W202)</f>
        <v>0</v>
      </c>
      <c r="N202" s="341">
        <f>IF(L202="","",'Historique détail'!M202/$W202)</f>
        <v>0.02626216166</v>
      </c>
      <c r="O202" s="341">
        <f>IF(M202="","",'Historique détail'!N202/$W202)</f>
        <v>0</v>
      </c>
      <c r="P202" s="341">
        <f>IF(N202="","",'Historique détail'!O202/$W202)</f>
        <v>0.00000006640386276</v>
      </c>
      <c r="Q202" s="341">
        <f>IF(O202="","",'Historique détail'!P202/$W202)</f>
        <v>0.0000000004956975443</v>
      </c>
      <c r="R202" s="341">
        <f>IF(P202="","",'Historique détail'!Q202/$W202)</f>
        <v>0</v>
      </c>
      <c r="S202" s="341">
        <f>IF(Q202="","",'Historique détail'!R202/$W202)</f>
        <v>0</v>
      </c>
      <c r="T202" s="341">
        <f>IF(R202="","",'Historique détail'!S202/$W202)</f>
        <v>0</v>
      </c>
      <c r="U202" s="340">
        <f t="shared" si="2"/>
        <v>0.1696129152</v>
      </c>
      <c r="V202" s="14">
        <f>IF(A202="","",ARBITRAGES!M203)</f>
        <v>8510.15106</v>
      </c>
      <c r="W202" s="342">
        <f>IF(V202="","",'Historique détail'!U202)</f>
        <v>50173.95668</v>
      </c>
      <c r="X202" s="288"/>
      <c r="Y202" s="220"/>
      <c r="Z202" s="220"/>
      <c r="AA202" s="220"/>
      <c r="AB202" s="220"/>
      <c r="AC202" s="220"/>
      <c r="AD202" s="220"/>
      <c r="AE202" s="220"/>
      <c r="AF202" s="220"/>
      <c r="AG202" s="220"/>
      <c r="AH202" s="220"/>
      <c r="AI202" s="308"/>
      <c r="AJ202" s="220"/>
      <c r="AK202" s="220"/>
      <c r="AL202" s="220"/>
      <c r="AM202" s="220"/>
      <c r="AN202" s="220"/>
      <c r="AO202" s="220"/>
      <c r="AP202" s="220"/>
      <c r="AQ202" s="220"/>
      <c r="AR202" s="220"/>
      <c r="AS202" s="220"/>
      <c r="AT202" s="220"/>
      <c r="AU202" s="220"/>
      <c r="AV202" s="220"/>
      <c r="AW202" s="220"/>
      <c r="AX202" s="220"/>
      <c r="AY202" s="220"/>
      <c r="AZ202" s="220"/>
      <c r="BA202" s="220"/>
      <c r="BB202" s="220"/>
    </row>
    <row r="203">
      <c r="A203" s="290">
        <f>PRIX!A204</f>
        <v>45977</v>
      </c>
      <c r="B203" s="302">
        <f t="shared" si="1"/>
        <v>0.8386602497</v>
      </c>
      <c r="C203" s="341">
        <f>IF(A203="","",'Historique détail'!B203/$W203)</f>
        <v>0.542194004</v>
      </c>
      <c r="D203" s="341">
        <f>IF(B203="","",'Historique détail'!C203/$W203)</f>
        <v>0.1409126951</v>
      </c>
      <c r="E203" s="341">
        <f>IF(C203="","",'Historique détail'!D203/$W203)</f>
        <v>0.00000004847815478</v>
      </c>
      <c r="F203" s="341">
        <f>IF(D203="","",'Historique détail'!E203/$W203)</f>
        <v>0.04549116045</v>
      </c>
      <c r="G203" s="341">
        <f>IF(E203="","",'Historique détail'!F203/$W203)</f>
        <v>0.03835622473</v>
      </c>
      <c r="H203" s="341">
        <f>IF(F203="","",'Historique détail'!G203/$W203)</f>
        <v>0</v>
      </c>
      <c r="I203" s="341">
        <f>IF(G203="","",'Historique détail'!H203/$W203)</f>
        <v>0.02423091637</v>
      </c>
      <c r="J203" s="341">
        <f>IF(H203="","",'Historique détail'!I203/$W203)</f>
        <v>0.0153198865</v>
      </c>
      <c r="K203" s="341">
        <f>IF(I203="","",'Historique détail'!J203/$W203)</f>
        <v>0</v>
      </c>
      <c r="L203" s="341">
        <f>IF(J203="","",'Historique détail'!K203/$W203)</f>
        <v>0.005899888183</v>
      </c>
      <c r="M203" s="341">
        <f>IF(K203="","",'Historique détail'!L203/$W203)</f>
        <v>0</v>
      </c>
      <c r="N203" s="341">
        <f>IF(L203="","",'Historique détail'!M203/$W203)</f>
        <v>0.02625535894</v>
      </c>
      <c r="O203" s="341">
        <f>IF(M203="","",'Historique détail'!N203/$W203)</f>
        <v>0</v>
      </c>
      <c r="P203" s="341">
        <f>IF(N203="","",'Historique détail'!O203/$W203)</f>
        <v>0.00000006638666208</v>
      </c>
      <c r="Q203" s="341">
        <f>IF(O203="","",'Historique détail'!P203/$W203)</f>
        <v>0.000000000495569143</v>
      </c>
      <c r="R203" s="341">
        <f>IF(P203="","",'Historique détail'!Q203/$W203)</f>
        <v>0</v>
      </c>
      <c r="S203" s="341">
        <f>IF(Q203="","",'Historique détail'!R203/$W203)</f>
        <v>0</v>
      </c>
      <c r="T203" s="341">
        <f>IF(R203="","",'Historique détail'!S203/$W203)</f>
        <v>0</v>
      </c>
      <c r="U203" s="340">
        <f t="shared" si="2"/>
        <v>0.1613397503</v>
      </c>
      <c r="V203" s="14">
        <f>IF(A203="","",ARBITRAGES!M204)</f>
        <v>8097.15106</v>
      </c>
      <c r="W203" s="342">
        <f>IF(V203="","",'Historique détail'!U203)</f>
        <v>50186.95668</v>
      </c>
      <c r="X203" s="288"/>
      <c r="Y203" s="220"/>
      <c r="Z203" s="220"/>
      <c r="AA203" s="220"/>
      <c r="AB203" s="220"/>
      <c r="AC203" s="220"/>
      <c r="AD203" s="220"/>
      <c r="AE203" s="220"/>
      <c r="AF203" s="220"/>
      <c r="AG203" s="220"/>
      <c r="AH203" s="220"/>
      <c r="AI203" s="308"/>
      <c r="AJ203" s="220"/>
      <c r="AK203" s="220"/>
      <c r="AL203" s="220"/>
      <c r="AM203" s="220"/>
      <c r="AN203" s="220"/>
      <c r="AO203" s="220"/>
      <c r="AP203" s="220"/>
      <c r="AQ203" s="220"/>
      <c r="AR203" s="220"/>
      <c r="AS203" s="220"/>
      <c r="AT203" s="220"/>
      <c r="AU203" s="220"/>
      <c r="AV203" s="220"/>
      <c r="AW203" s="220"/>
      <c r="AX203" s="220"/>
      <c r="AY203" s="220"/>
      <c r="AZ203" s="220"/>
      <c r="BA203" s="220"/>
      <c r="BB203" s="220"/>
    </row>
    <row r="204">
      <c r="A204" s="290">
        <f>PRIX!A205</f>
        <v>45978</v>
      </c>
      <c r="B204" s="302">
        <f t="shared" si="1"/>
        <v>0.8366945495</v>
      </c>
      <c r="C204" s="341">
        <f>IF(A204="","",'Historique détail'!B204/$W204)</f>
        <v>0.544755477</v>
      </c>
      <c r="D204" s="341">
        <f>IF(B204="","",'Historique détail'!C204/$W204)</f>
        <v>0.1415784053</v>
      </c>
      <c r="E204" s="341">
        <f>IF(C204="","",'Historique détail'!D204/$W204)</f>
        <v>0.00000004870717886</v>
      </c>
      <c r="F204" s="341">
        <f>IF(D204="","",'Historique détail'!E204/$W204)</f>
        <v>0.04570607314</v>
      </c>
      <c r="G204" s="341">
        <f>IF(E204="","",'Historique détail'!F204/$W204)</f>
        <v>0.03853743004</v>
      </c>
      <c r="H204" s="341">
        <f>IF(F204="","",'Historique détail'!G204/$W204)</f>
        <v>0</v>
      </c>
      <c r="I204" s="341">
        <f>IF(G204="","",'Historique détail'!H204/$W204)</f>
        <v>0.02434538985</v>
      </c>
      <c r="J204" s="341">
        <f>IF(H204="","",'Historique détail'!I204/$W204)</f>
        <v>0.01539226184</v>
      </c>
      <c r="K204" s="341">
        <f>IF(I204="","",'Historique détail'!J204/$W204)</f>
        <v>0</v>
      </c>
      <c r="L204" s="341">
        <f>IF(J204="","",'Historique détail'!K204/$W204)</f>
        <v>0</v>
      </c>
      <c r="M204" s="341">
        <f>IF(K204="","",'Historique détail'!L204/$W204)</f>
        <v>0</v>
      </c>
      <c r="N204" s="341">
        <f>IF(L204="","",'Historique détail'!M204/$W204)</f>
        <v>0.02637939644</v>
      </c>
      <c r="O204" s="341">
        <f>IF(M204="","",'Historique détail'!N204/$W204)</f>
        <v>0</v>
      </c>
      <c r="P204" s="341">
        <f>IF(N204="","",'Historique détail'!O204/$W204)</f>
        <v>0.00000006670029085</v>
      </c>
      <c r="Q204" s="341">
        <f>IF(O204="","",'Historique détail'!P204/$W204)</f>
        <v>0.0000000004979103473</v>
      </c>
      <c r="R204" s="341">
        <f>IF(P204="","",'Historique détail'!Q204/$W204)</f>
        <v>0</v>
      </c>
      <c r="S204" s="341">
        <f>IF(Q204="","",'Historique détail'!R204/$W204)</f>
        <v>0</v>
      </c>
      <c r="T204" s="341">
        <f>IF(R204="","",'Historique détail'!S204/$W204)</f>
        <v>0</v>
      </c>
      <c r="U204" s="340">
        <f t="shared" si="2"/>
        <v>0.1633054505</v>
      </c>
      <c r="V204" s="14">
        <f>IF(A204="","",ARBITRAGES!M205)</f>
        <v>8157.26641</v>
      </c>
      <c r="W204" s="342">
        <f>IF(V204="","",'Historique détail'!U204)</f>
        <v>49950.97459</v>
      </c>
      <c r="X204" s="288"/>
      <c r="Y204" s="220"/>
      <c r="Z204" s="220"/>
      <c r="AA204" s="220"/>
      <c r="AB204" s="220"/>
      <c r="AC204" s="220"/>
      <c r="AD204" s="220"/>
      <c r="AE204" s="220"/>
      <c r="AF204" s="220"/>
      <c r="AG204" s="220"/>
      <c r="AH204" s="220"/>
      <c r="AI204" s="308"/>
      <c r="AJ204" s="220"/>
      <c r="AK204" s="220"/>
      <c r="AL204" s="220"/>
      <c r="AM204" s="220"/>
      <c r="AN204" s="220"/>
      <c r="AO204" s="220"/>
      <c r="AP204" s="220"/>
      <c r="AQ204" s="220"/>
      <c r="AR204" s="220"/>
      <c r="AS204" s="220"/>
      <c r="AT204" s="220"/>
      <c r="AU204" s="220"/>
      <c r="AV204" s="220"/>
      <c r="AW204" s="220"/>
      <c r="AX204" s="220"/>
      <c r="AY204" s="220"/>
      <c r="AZ204" s="220"/>
      <c r="BA204" s="220"/>
      <c r="BB204" s="220"/>
    </row>
    <row r="205">
      <c r="A205" s="290">
        <f>PRIX!A206</f>
        <v>45978</v>
      </c>
      <c r="B205" s="302">
        <f t="shared" si="1"/>
        <v>0.8308310569</v>
      </c>
      <c r="C205" s="341">
        <f>IF(A205="","",'Historique détail'!B205/$W205)</f>
        <v>0.5384740333</v>
      </c>
      <c r="D205" s="341">
        <f>IF(B205="","",'Historique détail'!C205/$W205)</f>
        <v>0.1430558078</v>
      </c>
      <c r="E205" s="341">
        <f>IF(C205="","",'Historique détail'!D205/$W205)</f>
        <v>0.00000004840863859</v>
      </c>
      <c r="F205" s="341">
        <f>IF(D205="","",'Historique détail'!E205/$W205)</f>
        <v>0.04195630645</v>
      </c>
      <c r="G205" s="341">
        <f>IF(E205="","",'Historique détail'!F205/$W205)</f>
        <v>0.04077226973</v>
      </c>
      <c r="H205" s="341">
        <f>IF(F205="","",'Historique détail'!G205/$W205)</f>
        <v>0</v>
      </c>
      <c r="I205" s="341">
        <f>IF(G205="","",'Historique détail'!H205/$W205)</f>
        <v>0.02428578542</v>
      </c>
      <c r="J205" s="341">
        <f>IF(H205="","",'Historique détail'!I205/$W205)</f>
        <v>0.01529791825</v>
      </c>
      <c r="K205" s="341">
        <f>IF(I205="","",'Historique détail'!J205/$W205)</f>
        <v>0</v>
      </c>
      <c r="L205" s="341">
        <f>IF(J205="","",'Historique détail'!K205/$W205)</f>
        <v>0</v>
      </c>
      <c r="M205" s="341">
        <f>IF(K205="","",'Historique détail'!L205/$W205)</f>
        <v>0</v>
      </c>
      <c r="N205" s="341">
        <f>IF(L205="","",'Historique détail'!M205/$W205)</f>
        <v>0.02698881866</v>
      </c>
      <c r="O205" s="341">
        <f>IF(M205="","",'Historique détail'!N205/$W205)</f>
        <v>0</v>
      </c>
      <c r="P205" s="341">
        <f>IF(N205="","",'Historique détail'!O205/$W205)</f>
        <v>0.00000006832672993</v>
      </c>
      <c r="Q205" s="341">
        <f>IF(O205="","",'Historique détail'!P205/$W205)</f>
        <v>0.0000000004603334995</v>
      </c>
      <c r="R205" s="341">
        <f>IF(P205="","",'Historique détail'!Q205/$W205)</f>
        <v>0</v>
      </c>
      <c r="S205" s="341">
        <f>IF(Q205="","",'Historique détail'!R205/$W205)</f>
        <v>0</v>
      </c>
      <c r="T205" s="341">
        <f>IF(R205="","",'Historique détail'!S205/$W205)</f>
        <v>0</v>
      </c>
      <c r="U205" s="340">
        <f t="shared" si="2"/>
        <v>0.1691689431</v>
      </c>
      <c r="V205" s="14">
        <f>IF(A205="","",ARBITRAGES!M206)</f>
        <v>8502.26641</v>
      </c>
      <c r="W205" s="342">
        <f>IF(V205="","",'Historique détail'!U205)</f>
        <v>50259.02658</v>
      </c>
      <c r="X205" s="288"/>
      <c r="Y205" s="220"/>
      <c r="Z205" s="220"/>
      <c r="AA205" s="220"/>
      <c r="AB205" s="220"/>
      <c r="AC205" s="220"/>
      <c r="AD205" s="220"/>
      <c r="AE205" s="220"/>
      <c r="AF205" s="220"/>
      <c r="AG205" s="220"/>
      <c r="AH205" s="220"/>
      <c r="AI205" s="308"/>
      <c r="AJ205" s="220"/>
      <c r="AK205" s="220"/>
      <c r="AL205" s="220"/>
      <c r="AM205" s="220"/>
      <c r="AN205" s="220"/>
      <c r="AO205" s="220"/>
      <c r="AP205" s="220"/>
      <c r="AQ205" s="220"/>
      <c r="AR205" s="220"/>
      <c r="AS205" s="220"/>
      <c r="AT205" s="220"/>
      <c r="AU205" s="220"/>
      <c r="AV205" s="220"/>
      <c r="AW205" s="220"/>
      <c r="AX205" s="220"/>
      <c r="AY205" s="220"/>
      <c r="AZ205" s="220"/>
      <c r="BA205" s="220"/>
      <c r="BB205" s="220"/>
    </row>
    <row r="206">
      <c r="A206" s="290">
        <f>PRIX!A207</f>
        <v>45978</v>
      </c>
      <c r="B206" s="302">
        <f t="shared" si="1"/>
        <v>0.8279786112</v>
      </c>
      <c r="C206" s="341">
        <f>IF(A206="","",'Historique détail'!B206/$W206)</f>
        <v>0.5399449687</v>
      </c>
      <c r="D206" s="341">
        <f>IF(B206="","",'Historique détail'!C206/$W206)</f>
        <v>0.145447454</v>
      </c>
      <c r="E206" s="341">
        <f>IF(C206="","",'Historique détail'!D206/$W206)</f>
        <v>0.00000004901705791</v>
      </c>
      <c r="F206" s="341">
        <f>IF(D206="","",'Historique détail'!E206/$W206)</f>
        <v>0.03588762516</v>
      </c>
      <c r="G206" s="341">
        <f>IF(E206="","",'Historique détail'!F206/$W206)</f>
        <v>0.04013791452</v>
      </c>
      <c r="H206" s="341">
        <f>IF(F206="","",'Historique détail'!G206/$W206)</f>
        <v>0</v>
      </c>
      <c r="I206" s="341">
        <f>IF(G206="","",'Historique détail'!H206/$W206)</f>
        <v>0.0241725986</v>
      </c>
      <c r="J206" s="341">
        <f>IF(H206="","",'Historique détail'!I206/$W206)</f>
        <v>0.01505990564</v>
      </c>
      <c r="K206" s="341">
        <f>IF(I206="","",'Historique détail'!J206/$W206)</f>
        <v>0</v>
      </c>
      <c r="L206" s="341">
        <f>IF(J206="","",'Historique détail'!K206/$W206)</f>
        <v>0</v>
      </c>
      <c r="M206" s="341">
        <f>IF(K206="","",'Historique détail'!L206/$W206)</f>
        <v>0</v>
      </c>
      <c r="N206" s="341">
        <f>IF(L206="","",'Historique détail'!M206/$W206)</f>
        <v>0.02732802503</v>
      </c>
      <c r="O206" s="341">
        <f>IF(M206="","",'Historique détail'!N206/$W206)</f>
        <v>0</v>
      </c>
      <c r="P206" s="341">
        <f>IF(N206="","",'Historique détail'!O206/$W206)</f>
        <v>0.00000007012595253</v>
      </c>
      <c r="Q206" s="341">
        <f>IF(O206="","",'Historique détail'!P206/$W206)</f>
        <v>0.0000000004531714025</v>
      </c>
      <c r="R206" s="341">
        <f>IF(P206="","",'Historique détail'!Q206/$W206)</f>
        <v>0</v>
      </c>
      <c r="S206" s="341">
        <f>IF(Q206="","",'Historique détail'!R206/$W206)</f>
        <v>0</v>
      </c>
      <c r="T206" s="341">
        <f>IF(R206="","",'Historique détail'!S206/$W206)</f>
        <v>0</v>
      </c>
      <c r="U206" s="340">
        <f t="shared" si="2"/>
        <v>0.1720213888</v>
      </c>
      <c r="V206" s="14">
        <f>IF(A206="","",ARBITRAGES!M207)</f>
        <v>8782.26641</v>
      </c>
      <c r="W206" s="342">
        <f>IF(V206="","",'Historique détail'!U206)</f>
        <v>51053.33978</v>
      </c>
      <c r="X206" s="288"/>
      <c r="Y206" s="220"/>
      <c r="Z206" s="220"/>
      <c r="AA206" s="220"/>
      <c r="AB206" s="220"/>
      <c r="AC206" s="220"/>
      <c r="AD206" s="220"/>
      <c r="AE206" s="220"/>
      <c r="AF206" s="220"/>
      <c r="AG206" s="220"/>
      <c r="AH206" s="220"/>
      <c r="AI206" s="308"/>
      <c r="AJ206" s="220"/>
      <c r="AK206" s="220"/>
      <c r="AL206" s="220"/>
      <c r="AM206" s="220"/>
      <c r="AN206" s="220"/>
      <c r="AO206" s="220"/>
      <c r="AP206" s="220"/>
      <c r="AQ206" s="220"/>
      <c r="AR206" s="220"/>
      <c r="AS206" s="220"/>
      <c r="AT206" s="220"/>
      <c r="AU206" s="220"/>
      <c r="AV206" s="220"/>
      <c r="AW206" s="220"/>
      <c r="AX206" s="220"/>
      <c r="AY206" s="220"/>
      <c r="AZ206" s="220"/>
      <c r="BA206" s="220"/>
      <c r="BB206" s="220"/>
    </row>
    <row r="207">
      <c r="A207" s="290">
        <f>PRIX!A208</f>
        <v>45979</v>
      </c>
      <c r="B207" s="302">
        <f t="shared" si="1"/>
        <v>0.8220852212</v>
      </c>
      <c r="C207" s="341">
        <f>IF(A207="","",'Historique détail'!B207/$W207)</f>
        <v>0.5390474948</v>
      </c>
      <c r="D207" s="341">
        <f>IF(B207="","",'Historique détail'!C207/$W207)</f>
        <v>0.1452056974</v>
      </c>
      <c r="E207" s="341">
        <f>IF(C207="","",'Historique détail'!D207/$W207)</f>
        <v>0.00000004893558381</v>
      </c>
      <c r="F207" s="341">
        <f>IF(D207="","",'Historique détail'!E207/$W207)</f>
        <v>0.03582797426</v>
      </c>
      <c r="G207" s="341">
        <f>IF(E207="","",'Historique détail'!F207/$W207)</f>
        <v>0.03555404019</v>
      </c>
      <c r="H207" s="341">
        <f>IF(F207="","",'Historique détail'!G207/$W207)</f>
        <v>0</v>
      </c>
      <c r="I207" s="341">
        <f>IF(G207="","",'Historique détail'!H207/$W207)</f>
        <v>0.02413241993</v>
      </c>
      <c r="J207" s="341">
        <f>IF(H207="","",'Historique détail'!I207/$W207)</f>
        <v>0.0150348737</v>
      </c>
      <c r="K207" s="341">
        <f>IF(I207="","",'Historique détail'!J207/$W207)</f>
        <v>0</v>
      </c>
      <c r="L207" s="341">
        <f>IF(J207="","",'Historique détail'!K207/$W207)</f>
        <v>0</v>
      </c>
      <c r="M207" s="341">
        <f>IF(K207="","",'Historique détail'!L207/$W207)</f>
        <v>0</v>
      </c>
      <c r="N207" s="341">
        <f>IF(L207="","",'Historique détail'!M207/$W207)</f>
        <v>0.02728260153</v>
      </c>
      <c r="O207" s="341">
        <f>IF(M207="","",'Historique détail'!N207/$W207)</f>
        <v>0</v>
      </c>
      <c r="P207" s="341">
        <f>IF(N207="","",'Historique détail'!O207/$W207)</f>
        <v>0.00000007000939211</v>
      </c>
      <c r="Q207" s="341">
        <f>IF(O207="","",'Historique détail'!P207/$W207)</f>
        <v>0.00000000045241816</v>
      </c>
      <c r="R207" s="341">
        <f>IF(P207="","",'Historique détail'!Q207/$W207)</f>
        <v>0</v>
      </c>
      <c r="S207" s="341">
        <f>IF(Q207="","",'Historique détail'!R207/$W207)</f>
        <v>0</v>
      </c>
      <c r="T207" s="341">
        <f>IF(R207="","",'Historique détail'!S207/$W207)</f>
        <v>0</v>
      </c>
      <c r="U207" s="340">
        <f t="shared" si="2"/>
        <v>0.1779147788</v>
      </c>
      <c r="V207" s="14">
        <f>IF(A207="","",ARBITRAGES!M208)</f>
        <v>9098.26641</v>
      </c>
      <c r="W207" s="342">
        <f>IF(V207="","",'Historique détail'!U207)</f>
        <v>51138.33978</v>
      </c>
      <c r="X207" s="288"/>
      <c r="Y207" s="220"/>
      <c r="Z207" s="220"/>
      <c r="AA207" s="220"/>
      <c r="AB207" s="220"/>
      <c r="AC207" s="220"/>
      <c r="AD207" s="220"/>
      <c r="AE207" s="220"/>
      <c r="AF207" s="220"/>
      <c r="AG207" s="220"/>
      <c r="AH207" s="220"/>
      <c r="AI207" s="308"/>
      <c r="AJ207" s="220"/>
      <c r="AK207" s="220"/>
      <c r="AL207" s="220"/>
      <c r="AM207" s="220"/>
      <c r="AN207" s="220"/>
      <c r="AO207" s="220"/>
      <c r="AP207" s="220"/>
      <c r="AQ207" s="220"/>
      <c r="AR207" s="220"/>
      <c r="AS207" s="220"/>
      <c r="AT207" s="220"/>
      <c r="AU207" s="220"/>
      <c r="AV207" s="220"/>
      <c r="AW207" s="220"/>
      <c r="AX207" s="220"/>
      <c r="AY207" s="220"/>
      <c r="AZ207" s="220"/>
      <c r="BA207" s="220"/>
      <c r="BB207" s="220"/>
    </row>
    <row r="208">
      <c r="A208" s="290">
        <f>PRIX!A209</f>
        <v>45980</v>
      </c>
      <c r="B208" s="302">
        <f t="shared" si="1"/>
        <v>0.8164277821</v>
      </c>
      <c r="C208" s="341">
        <f>IF(A208="","",'Historique détail'!B208/$W208)</f>
        <v>0.5399589872</v>
      </c>
      <c r="D208" s="341">
        <f>IF(B208="","",'Historique détail'!C208/$W208)</f>
        <v>0.140176249</v>
      </c>
      <c r="E208" s="341">
        <f>IF(C208="","",'Historique détail'!D208/$W208)</f>
        <v>0.00000004641183321</v>
      </c>
      <c r="F208" s="341">
        <f>IF(D208="","",'Historique détail'!E208/$W208)</f>
        <v>0.03549719542</v>
      </c>
      <c r="G208" s="341">
        <f>IF(E208="","",'Historique détail'!F208/$W208)</f>
        <v>0.03506156763</v>
      </c>
      <c r="H208" s="341">
        <f>IF(F208="","",'Historique détail'!G208/$W208)</f>
        <v>0</v>
      </c>
      <c r="I208" s="341">
        <f>IF(G208="","",'Historique détail'!H208/$W208)</f>
        <v>0.02443318764</v>
      </c>
      <c r="J208" s="341">
        <f>IF(H208="","",'Historique détail'!I208/$W208)</f>
        <v>0.01542491986</v>
      </c>
      <c r="K208" s="341">
        <f>IF(I208="","",'Historique détail'!J208/$W208)</f>
        <v>0</v>
      </c>
      <c r="L208" s="341">
        <f>IF(J208="","",'Historique détail'!K208/$W208)</f>
        <v>0</v>
      </c>
      <c r="M208" s="341">
        <f>IF(K208="","",'Historique détail'!L208/$W208)</f>
        <v>0</v>
      </c>
      <c r="N208" s="341">
        <f>IF(L208="","",'Historique détail'!M208/$W208)</f>
        <v>0.0258755583</v>
      </c>
      <c r="O208" s="341">
        <f>IF(M208="","",'Historique détail'!N208/$W208)</f>
        <v>0</v>
      </c>
      <c r="P208" s="341">
        <f>IF(N208="","",'Historique détail'!O208/$W208)</f>
        <v>0.00000007012526731</v>
      </c>
      <c r="Q208" s="341">
        <f>IF(O208="","",'Historique détail'!P208/$W208)</f>
        <v>0.0000000004465172416</v>
      </c>
      <c r="R208" s="341">
        <f>IF(P208="","",'Historique détail'!Q208/$W208)</f>
        <v>0</v>
      </c>
      <c r="S208" s="341">
        <f>IF(Q208="","",'Historique détail'!R208/$W208)</f>
        <v>0</v>
      </c>
      <c r="T208" s="341">
        <f>IF(R208="","",'Historique détail'!S208/$W208)</f>
        <v>0</v>
      </c>
      <c r="U208" s="340">
        <f t="shared" si="2"/>
        <v>0.1835722179</v>
      </c>
      <c r="V208" s="14">
        <f>IF(A208="","",ARBITRAGES!M209)</f>
        <v>8798.26641</v>
      </c>
      <c r="W208" s="342">
        <f>IF(V208="","",'Historique détail'!U208)</f>
        <v>47928.09342</v>
      </c>
      <c r="X208" s="288"/>
      <c r="Y208" s="220"/>
      <c r="Z208" s="220"/>
      <c r="AA208" s="220"/>
      <c r="AB208" s="220"/>
      <c r="AC208" s="220"/>
      <c r="AD208" s="220"/>
      <c r="AE208" s="220"/>
      <c r="AF208" s="220"/>
      <c r="AG208" s="220"/>
      <c r="AH208" s="220"/>
      <c r="AI208" s="308"/>
      <c r="AJ208" s="220"/>
      <c r="AK208" s="220"/>
      <c r="AL208" s="220"/>
      <c r="AM208" s="220"/>
      <c r="AN208" s="220"/>
      <c r="AO208" s="220"/>
      <c r="AP208" s="220"/>
      <c r="AQ208" s="220"/>
      <c r="AR208" s="220"/>
      <c r="AS208" s="220"/>
      <c r="AT208" s="220"/>
      <c r="AU208" s="220"/>
      <c r="AV208" s="220"/>
      <c r="AW208" s="220"/>
      <c r="AX208" s="220"/>
      <c r="AY208" s="220"/>
      <c r="AZ208" s="220"/>
      <c r="BA208" s="220"/>
      <c r="BB208" s="220"/>
    </row>
    <row r="209">
      <c r="A209" s="290">
        <f>PRIX!A210</f>
        <v>45981</v>
      </c>
      <c r="B209" s="302">
        <f t="shared" si="1"/>
        <v>0.8226807802</v>
      </c>
      <c r="C209" s="341">
        <f>IF(A209="","",'Historique détail'!B209/$W209)</f>
        <v>0.5462020394</v>
      </c>
      <c r="D209" s="341">
        <f>IF(B209="","",'Historique détail'!C209/$W209)</f>
        <v>0.1401812918</v>
      </c>
      <c r="E209" s="341">
        <f>IF(C209="","",'Historique détail'!D209/$W209)</f>
        <v>0.00000004641350286</v>
      </c>
      <c r="F209" s="341">
        <f>IF(D209="","",'Historique détail'!E209/$W209)</f>
        <v>0.03549847242</v>
      </c>
      <c r="G209" s="341">
        <f>IF(E209="","",'Historique détail'!F209/$W209)</f>
        <v>0.03506282896</v>
      </c>
      <c r="H209" s="341">
        <f>IF(F209="","",'Historique détail'!G209/$W209)</f>
        <v>0</v>
      </c>
      <c r="I209" s="341">
        <f>IF(G209="","",'Historique détail'!H209/$W209)</f>
        <v>0.02443406662</v>
      </c>
      <c r="J209" s="341">
        <f>IF(H209="","",'Historique détail'!I209/$W209)</f>
        <v>0.01542547477</v>
      </c>
      <c r="K209" s="341">
        <f>IF(I209="","",'Historique détail'!J209/$W209)</f>
        <v>0</v>
      </c>
      <c r="L209" s="341">
        <f>IF(J209="","",'Historique détail'!K209/$W209)</f>
        <v>0</v>
      </c>
      <c r="M209" s="341">
        <f>IF(K209="","",'Historique détail'!L209/$W209)</f>
        <v>0</v>
      </c>
      <c r="N209" s="341">
        <f>IF(L209="","",'Historique détail'!M209/$W209)</f>
        <v>0.02587648916</v>
      </c>
      <c r="O209" s="341">
        <f>IF(M209="","",'Historique détail'!N209/$W209)</f>
        <v>0</v>
      </c>
      <c r="P209" s="341">
        <f>IF(N209="","",'Historique détail'!O209/$W209)</f>
        <v>0.00000007012779004</v>
      </c>
      <c r="Q209" s="341">
        <f>IF(O209="","",'Historique détail'!P209/$W209)</f>
        <v>0.000000000446533305</v>
      </c>
      <c r="R209" s="341">
        <f>IF(P209="","",'Historique détail'!Q209/$W209)</f>
        <v>0</v>
      </c>
      <c r="S209" s="341">
        <f>IF(Q209="","",'Historique détail'!R209/$W209)</f>
        <v>0</v>
      </c>
      <c r="T209" s="341">
        <f>IF(R209="","",'Historique détail'!S209/$W209)</f>
        <v>0</v>
      </c>
      <c r="U209" s="340">
        <f t="shared" si="2"/>
        <v>0.1773192198</v>
      </c>
      <c r="V209" s="14">
        <f>IF(A209="","",ARBITRAGES!M210)</f>
        <v>8498.26641</v>
      </c>
      <c r="W209" s="342">
        <f>IF(V209="","",'Historique détail'!U209)</f>
        <v>47926.36928</v>
      </c>
      <c r="X209" s="288"/>
      <c r="Y209" s="220"/>
      <c r="Z209" s="220"/>
      <c r="AA209" s="220"/>
      <c r="AB209" s="220"/>
      <c r="AC209" s="220"/>
      <c r="AD209" s="220"/>
      <c r="AE209" s="220"/>
      <c r="AF209" s="220"/>
      <c r="AG209" s="220"/>
      <c r="AH209" s="220"/>
      <c r="AI209" s="308"/>
      <c r="AJ209" s="220"/>
      <c r="AK209" s="220"/>
      <c r="AL209" s="220"/>
      <c r="AM209" s="220"/>
      <c r="AN209" s="220"/>
      <c r="AO209" s="220"/>
      <c r="AP209" s="220"/>
      <c r="AQ209" s="220"/>
      <c r="AR209" s="220"/>
      <c r="AS209" s="220"/>
      <c r="AT209" s="220"/>
      <c r="AU209" s="220"/>
      <c r="AV209" s="220"/>
      <c r="AW209" s="220"/>
      <c r="AX209" s="220"/>
      <c r="AY209" s="220"/>
      <c r="AZ209" s="220"/>
      <c r="BA209" s="220"/>
      <c r="BB209" s="220"/>
    </row>
    <row r="210">
      <c r="A210" s="290">
        <f>PRIX!A211</f>
        <v>45981</v>
      </c>
      <c r="B210" s="302">
        <f t="shared" si="1"/>
        <v>0.8279049287</v>
      </c>
      <c r="C210" s="341">
        <f>IF(A210="","",'Historique détail'!B210/$W210)</f>
        <v>0.5541598661</v>
      </c>
      <c r="D210" s="341">
        <f>IF(B210="","",'Historique détail'!C210/$W210)</f>
        <v>0.1420202673</v>
      </c>
      <c r="E210" s="341">
        <f>IF(C210="","",'Historique détail'!D210/$W210)</f>
        <v>0.00000004487068702</v>
      </c>
      <c r="F210" s="341">
        <f>IF(D210="","",'Historique détail'!E210/$W210)</f>
        <v>0.03576161555</v>
      </c>
      <c r="G210" s="341">
        <f>IF(E210="","",'Historique détail'!F210/$W210)</f>
        <v>0.03200795845</v>
      </c>
      <c r="H210" s="341">
        <f>IF(F210="","",'Historique détail'!G210/$W210)</f>
        <v>0</v>
      </c>
      <c r="I210" s="341">
        <f>IF(G210="","",'Historique détail'!H210/$W210)</f>
        <v>0.02325844866</v>
      </c>
      <c r="J210" s="341">
        <f>IF(H210="","",'Historique détail'!I210/$W210)</f>
        <v>0.01484644292</v>
      </c>
      <c r="K210" s="341">
        <f>IF(I210="","",'Historique détail'!J210/$W210)</f>
        <v>0</v>
      </c>
      <c r="L210" s="341">
        <f>IF(J210="","",'Historique détail'!K210/$W210)</f>
        <v>0</v>
      </c>
      <c r="M210" s="341">
        <f>IF(K210="","",'Historique détail'!L210/$W210)</f>
        <v>0</v>
      </c>
      <c r="N210" s="341">
        <f>IF(L210="","",'Historique détail'!M210/$W210)</f>
        <v>0.02585021529</v>
      </c>
      <c r="O210" s="341">
        <f>IF(M210="","",'Historique détail'!N210/$W210)</f>
        <v>0</v>
      </c>
      <c r="P210" s="341">
        <f>IF(N210="","",'Historique détail'!O210/$W210)</f>
        <v>0.00000006917228058</v>
      </c>
      <c r="Q210" s="341">
        <f>IF(O210="","",'Historique détail'!P210/$W210)</f>
        <v>0.0000000004044665308</v>
      </c>
      <c r="R210" s="341">
        <f>IF(P210="","",'Historique détail'!Q210/$W210)</f>
        <v>0</v>
      </c>
      <c r="S210" s="341">
        <f>IF(Q210="","",'Historique détail'!R210/$W210)</f>
        <v>0</v>
      </c>
      <c r="T210" s="341">
        <f>IF(R210="","",'Historique détail'!S210/$W210)</f>
        <v>0</v>
      </c>
      <c r="U210" s="340">
        <f t="shared" si="2"/>
        <v>0.1720950713</v>
      </c>
      <c r="V210" s="14">
        <f>IF(A210="","",ARBITRAGES!M211)</f>
        <v>7998.26641</v>
      </c>
      <c r="W210" s="342">
        <f>IF(V210="","",'Historique détail'!U210)</f>
        <v>46475.85983</v>
      </c>
      <c r="X210" s="288"/>
      <c r="Y210" s="220"/>
      <c r="Z210" s="220"/>
      <c r="AA210" s="220"/>
      <c r="AB210" s="220"/>
      <c r="AC210" s="220"/>
      <c r="AD210" s="220"/>
      <c r="AE210" s="220"/>
      <c r="AF210" s="220"/>
      <c r="AG210" s="220"/>
      <c r="AH210" s="220"/>
      <c r="AI210" s="308"/>
      <c r="AJ210" s="220"/>
      <c r="AK210" s="220"/>
      <c r="AL210" s="220"/>
      <c r="AM210" s="220"/>
      <c r="AN210" s="220"/>
      <c r="AO210" s="220"/>
      <c r="AP210" s="220"/>
      <c r="AQ210" s="220"/>
      <c r="AR210" s="220"/>
      <c r="AS210" s="220"/>
      <c r="AT210" s="220"/>
      <c r="AU210" s="220"/>
      <c r="AV210" s="220"/>
      <c r="AW210" s="220"/>
      <c r="AX210" s="220"/>
      <c r="AY210" s="220"/>
      <c r="AZ210" s="220"/>
      <c r="BA210" s="220"/>
      <c r="BB210" s="220"/>
    </row>
    <row r="211">
      <c r="A211" s="290">
        <f>PRIX!A212</f>
        <v>45981</v>
      </c>
      <c r="B211" s="302">
        <f t="shared" si="1"/>
        <v>0.8306017868</v>
      </c>
      <c r="C211" s="341">
        <f>IF(A211="","",'Historique détail'!B211/$W211)</f>
        <v>0.5541360199</v>
      </c>
      <c r="D211" s="341">
        <f>IF(B211="","",'Historique détail'!C211/$W211)</f>
        <v>0.142014156</v>
      </c>
      <c r="E211" s="341">
        <f>IF(C211="","",'Historique détail'!D211/$W211)</f>
        <v>0.00000004486875618</v>
      </c>
      <c r="F211" s="341">
        <f>IF(D211="","",'Historique détail'!E211/$W211)</f>
        <v>0.0384925605</v>
      </c>
      <c r="G211" s="341">
        <f>IF(E211="","",'Historique détail'!F211/$W211)</f>
        <v>0.0320065811</v>
      </c>
      <c r="H211" s="341">
        <f>IF(F211="","",'Historique détail'!G211/$W211)</f>
        <v>0</v>
      </c>
      <c r="I211" s="341">
        <f>IF(G211="","",'Historique détail'!H211/$W211)</f>
        <v>0.02325744782</v>
      </c>
      <c r="J211" s="341">
        <f>IF(H211="","",'Historique détail'!I211/$W211)</f>
        <v>0.01484580406</v>
      </c>
      <c r="K211" s="341">
        <f>IF(I211="","",'Historique détail'!J211/$W211)</f>
        <v>0</v>
      </c>
      <c r="L211" s="341">
        <f>IF(J211="","",'Historique détail'!K211/$W211)</f>
        <v>0</v>
      </c>
      <c r="M211" s="341">
        <f>IF(K211="","",'Historique détail'!L211/$W211)</f>
        <v>0</v>
      </c>
      <c r="N211" s="341">
        <f>IF(L211="","",'Historique détail'!M211/$W211)</f>
        <v>0.02584910292</v>
      </c>
      <c r="O211" s="341">
        <f>IF(M211="","",'Historique détail'!N211/$W211)</f>
        <v>0</v>
      </c>
      <c r="P211" s="341">
        <f>IF(N211="","",'Historique détail'!O211/$W211)</f>
        <v>0.00000006916930401</v>
      </c>
      <c r="Q211" s="341">
        <f>IF(O211="","",'Historique détail'!P211/$W211)</f>
        <v>0.0000000004044491261</v>
      </c>
      <c r="R211" s="341">
        <f>IF(P211="","",'Historique détail'!Q211/$W211)</f>
        <v>0</v>
      </c>
      <c r="S211" s="341">
        <f>IF(Q211="","",'Historique détail'!R211/$W211)</f>
        <v>0</v>
      </c>
      <c r="T211" s="341">
        <f>IF(R211="","",'Historique détail'!S211/$W211)</f>
        <v>0</v>
      </c>
      <c r="U211" s="340">
        <f t="shared" si="2"/>
        <v>0.1693982132</v>
      </c>
      <c r="V211" s="14">
        <f>IF(A211="","",ARBITRAGES!M212)</f>
        <v>7873.26641</v>
      </c>
      <c r="W211" s="342">
        <f>IF(V211="","",'Historique détail'!U211)</f>
        <v>46477.85983</v>
      </c>
      <c r="X211" s="288"/>
      <c r="Y211" s="220"/>
      <c r="Z211" s="220"/>
      <c r="AA211" s="220"/>
      <c r="AB211" s="220"/>
      <c r="AC211" s="220"/>
      <c r="AD211" s="220"/>
      <c r="AE211" s="220"/>
      <c r="AF211" s="220"/>
      <c r="AG211" s="220"/>
      <c r="AH211" s="220"/>
      <c r="AI211" s="308"/>
      <c r="AJ211" s="220"/>
      <c r="AK211" s="220"/>
      <c r="AL211" s="220"/>
      <c r="AM211" s="220"/>
      <c r="AN211" s="220"/>
      <c r="AO211" s="220"/>
      <c r="AP211" s="220"/>
      <c r="AQ211" s="220"/>
      <c r="AR211" s="220"/>
      <c r="AS211" s="220"/>
      <c r="AT211" s="220"/>
      <c r="AU211" s="220"/>
      <c r="AV211" s="220"/>
      <c r="AW211" s="220"/>
      <c r="AX211" s="220"/>
      <c r="AY211" s="220"/>
      <c r="AZ211" s="220"/>
      <c r="BA211" s="220"/>
      <c r="BB211" s="220"/>
    </row>
    <row r="212">
      <c r="A212" s="290">
        <f>PRIX!A213</f>
        <v>45981</v>
      </c>
      <c r="B212" s="302">
        <f t="shared" si="1"/>
        <v>0.8364877356</v>
      </c>
      <c r="C212" s="341">
        <f>IF(A212="","",'Historique détail'!B212/$W212)</f>
        <v>0.5599698032</v>
      </c>
      <c r="D212" s="341">
        <f>IF(B212="","",'Historique détail'!C212/$W212)</f>
        <v>0.1420409522</v>
      </c>
      <c r="E212" s="341">
        <f>IF(C212="","",'Historique détail'!D212/$W212)</f>
        <v>0.00000004487722233</v>
      </c>
      <c r="F212" s="341">
        <f>IF(D212="","",'Historique détail'!E212/$W212)</f>
        <v>0.03849982355</v>
      </c>
      <c r="G212" s="341">
        <f>IF(E212="","",'Historique détail'!F212/$W212)</f>
        <v>0.03201262033</v>
      </c>
      <c r="H212" s="341">
        <f>IF(F212="","",'Historique détail'!G212/$W212)</f>
        <v>0</v>
      </c>
      <c r="I212" s="341">
        <f>IF(G212="","",'Historique détail'!H212/$W212)</f>
        <v>0.0232618362</v>
      </c>
      <c r="J212" s="341">
        <f>IF(H212="","",'Historique détail'!I212/$W212)</f>
        <v>0.01484860527</v>
      </c>
      <c r="K212" s="341">
        <f>IF(I212="","",'Historique détail'!J212/$W212)</f>
        <v>0</v>
      </c>
      <c r="L212" s="341">
        <f>IF(J212="","",'Historique détail'!K212/$W212)</f>
        <v>0</v>
      </c>
      <c r="M212" s="341">
        <f>IF(K212="","",'Historique détail'!L212/$W212)</f>
        <v>0</v>
      </c>
      <c r="N212" s="341">
        <f>IF(L212="","",'Historique détail'!M212/$W212)</f>
        <v>0.02585398032</v>
      </c>
      <c r="O212" s="341">
        <f>IF(M212="","",'Historique détail'!N212/$W212)</f>
        <v>0</v>
      </c>
      <c r="P212" s="341">
        <f>IF(N212="","",'Historique détail'!O212/$W212)</f>
        <v>0.00000006918235537</v>
      </c>
      <c r="Q212" s="341">
        <f>IF(O212="","",'Historique détail'!P212/$W212)</f>
        <v>0.0000000004045254404</v>
      </c>
      <c r="R212" s="341">
        <f>IF(P212="","",'Historique détail'!Q212/$W212)</f>
        <v>0</v>
      </c>
      <c r="S212" s="341">
        <f>IF(Q212="","",'Historique détail'!R212/$W212)</f>
        <v>0</v>
      </c>
      <c r="T212" s="341">
        <f>IF(R212="","",'Historique détail'!S212/$W212)</f>
        <v>0</v>
      </c>
      <c r="U212" s="340">
        <f t="shared" si="2"/>
        <v>0.1635122644</v>
      </c>
      <c r="V212" s="14">
        <f>IF(A212="","",ARBITRAGES!M213)</f>
        <v>7598.26641</v>
      </c>
      <c r="W212" s="342">
        <f>IF(V212="","",'Historique détail'!U212)</f>
        <v>46469.09171</v>
      </c>
      <c r="X212" s="288"/>
      <c r="Y212" s="220"/>
      <c r="Z212" s="220"/>
      <c r="AA212" s="220"/>
      <c r="AB212" s="220"/>
      <c r="AC212" s="220"/>
      <c r="AD212" s="220"/>
      <c r="AE212" s="220"/>
      <c r="AF212" s="220"/>
      <c r="AG212" s="220"/>
      <c r="AH212" s="220"/>
      <c r="AI212" s="308"/>
      <c r="AJ212" s="220"/>
      <c r="AK212" s="220"/>
      <c r="AL212" s="220"/>
      <c r="AM212" s="220"/>
      <c r="AN212" s="220"/>
      <c r="AO212" s="220"/>
      <c r="AP212" s="220"/>
      <c r="AQ212" s="220"/>
      <c r="AR212" s="220"/>
      <c r="AS212" s="220"/>
      <c r="AT212" s="220"/>
      <c r="AU212" s="220"/>
      <c r="AV212" s="220"/>
      <c r="AW212" s="220"/>
      <c r="AX212" s="220"/>
      <c r="AY212" s="220"/>
      <c r="AZ212" s="220"/>
      <c r="BA212" s="220"/>
      <c r="BB212" s="220"/>
    </row>
    <row r="213">
      <c r="A213" s="290">
        <f>PRIX!A214</f>
        <v>45981</v>
      </c>
      <c r="B213" s="302">
        <f t="shared" si="1"/>
        <v>0.8386397036</v>
      </c>
      <c r="C213" s="341">
        <f>IF(A213="","",'Historique détail'!B213/$W213)</f>
        <v>0.5621217713</v>
      </c>
      <c r="D213" s="341">
        <f>IF(B213="","",'Historique détail'!C213/$W213)</f>
        <v>0.1420409522</v>
      </c>
      <c r="E213" s="341">
        <f>IF(C213="","",'Historique détail'!D213/$W213)</f>
        <v>0.00000004487722233</v>
      </c>
      <c r="F213" s="341">
        <f>IF(D213="","",'Historique détail'!E213/$W213)</f>
        <v>0.03849982355</v>
      </c>
      <c r="G213" s="341">
        <f>IF(E213="","",'Historique détail'!F213/$W213)</f>
        <v>0.03201262033</v>
      </c>
      <c r="H213" s="341">
        <f>IF(F213="","",'Historique détail'!G213/$W213)</f>
        <v>0</v>
      </c>
      <c r="I213" s="341">
        <f>IF(G213="","",'Historique détail'!H213/$W213)</f>
        <v>0.0232618362</v>
      </c>
      <c r="J213" s="341">
        <f>IF(H213="","",'Historique détail'!I213/$W213)</f>
        <v>0.01484860527</v>
      </c>
      <c r="K213" s="341">
        <f>IF(I213="","",'Historique détail'!J213/$W213)</f>
        <v>0</v>
      </c>
      <c r="L213" s="341">
        <f>IF(J213="","",'Historique détail'!K213/$W213)</f>
        <v>0</v>
      </c>
      <c r="M213" s="341">
        <f>IF(K213="","",'Historique détail'!L213/$W213)</f>
        <v>0</v>
      </c>
      <c r="N213" s="341">
        <f>IF(L213="","",'Historique détail'!M213/$W213)</f>
        <v>0.02585398032</v>
      </c>
      <c r="O213" s="341">
        <f>IF(M213="","",'Historique détail'!N213/$W213)</f>
        <v>0</v>
      </c>
      <c r="P213" s="341">
        <f>IF(N213="","",'Historique détail'!O213/$W213)</f>
        <v>0.00000006918235537</v>
      </c>
      <c r="Q213" s="341">
        <f>IF(O213="","",'Historique détail'!P213/$W213)</f>
        <v>0.0000000004045254404</v>
      </c>
      <c r="R213" s="341">
        <f>IF(P213="","",'Historique détail'!Q213/$W213)</f>
        <v>0</v>
      </c>
      <c r="S213" s="341">
        <f>IF(Q213="","",'Historique détail'!R213/$W213)</f>
        <v>0</v>
      </c>
      <c r="T213" s="341">
        <f>IF(R213="","",'Historique détail'!S213/$W213)</f>
        <v>0</v>
      </c>
      <c r="U213" s="340">
        <f t="shared" si="2"/>
        <v>0.1613602964</v>
      </c>
      <c r="V213" s="14">
        <f>IF(A213="","",ARBITRAGES!M214)</f>
        <v>7498.26641</v>
      </c>
      <c r="W213" s="342">
        <f>IF(V213="","",'Historique détail'!U213)</f>
        <v>46469.09171</v>
      </c>
      <c r="X213" s="288"/>
      <c r="Y213" s="220"/>
      <c r="Z213" s="220"/>
      <c r="AA213" s="220"/>
      <c r="AB213" s="220"/>
      <c r="AC213" s="220"/>
      <c r="AD213" s="220"/>
      <c r="AE213" s="220"/>
      <c r="AF213" s="220"/>
      <c r="AG213" s="220"/>
      <c r="AH213" s="220"/>
      <c r="AI213" s="308"/>
      <c r="AJ213" s="220"/>
      <c r="AK213" s="220"/>
      <c r="AL213" s="220"/>
      <c r="AM213" s="220"/>
      <c r="AN213" s="220"/>
      <c r="AO213" s="220"/>
      <c r="AP213" s="220"/>
      <c r="AQ213" s="220"/>
      <c r="AR213" s="220"/>
      <c r="AS213" s="220"/>
      <c r="AT213" s="220"/>
      <c r="AU213" s="220"/>
      <c r="AV213" s="220"/>
      <c r="AW213" s="220"/>
      <c r="AX213" s="220"/>
      <c r="AY213" s="220"/>
      <c r="AZ213" s="220"/>
      <c r="BA213" s="220"/>
      <c r="BB213" s="220"/>
    </row>
    <row r="214">
      <c r="A214" s="290">
        <f>PRIX!A215</f>
        <v>45981</v>
      </c>
      <c r="B214" s="302">
        <f t="shared" si="1"/>
        <v>0.8440246788</v>
      </c>
      <c r="C214" s="341">
        <f>IF(A214="","",'Historique détail'!B214/$W214)</f>
        <v>0.5675157078</v>
      </c>
      <c r="D214" s="341">
        <f>IF(B214="","",'Historique détail'!C214/$W214)</f>
        <v>0.142036349</v>
      </c>
      <c r="E214" s="341">
        <f>IF(C214="","",'Historique détail'!D214/$W214)</f>
        <v>0.00000004487576795</v>
      </c>
      <c r="F214" s="341">
        <f>IF(D214="","",'Historique détail'!E214/$W214)</f>
        <v>0.03849857584</v>
      </c>
      <c r="G214" s="341">
        <f>IF(E214="","",'Historique détail'!F214/$W214)</f>
        <v>0.03201158286</v>
      </c>
      <c r="H214" s="341">
        <f>IF(F214="","",'Historique détail'!G214/$W214)</f>
        <v>0</v>
      </c>
      <c r="I214" s="341">
        <f>IF(G214="","",'Historique détail'!H214/$W214)</f>
        <v>0.02326108233</v>
      </c>
      <c r="J214" s="341">
        <f>IF(H214="","",'Historique détail'!I214/$W214)</f>
        <v>0.01484812405</v>
      </c>
      <c r="K214" s="341">
        <f>IF(I214="","",'Historique détail'!J214/$W214)</f>
        <v>0</v>
      </c>
      <c r="L214" s="341">
        <f>IF(J214="","",'Historique détail'!K214/$W214)</f>
        <v>0</v>
      </c>
      <c r="M214" s="341">
        <f>IF(K214="","",'Historique détail'!L214/$W214)</f>
        <v>0</v>
      </c>
      <c r="N214" s="341">
        <f>IF(L214="","",'Historique détail'!M214/$W214)</f>
        <v>0.02585314244</v>
      </c>
      <c r="O214" s="341">
        <f>IF(M214="","",'Historique détail'!N214/$W214)</f>
        <v>0</v>
      </c>
      <c r="P214" s="341">
        <f>IF(N214="","",'Historique détail'!O214/$W214)</f>
        <v>0.0000000691801133</v>
      </c>
      <c r="Q214" s="341">
        <f>IF(O214="","",'Historique détail'!P214/$W214)</f>
        <v>0.0000000004045123305</v>
      </c>
      <c r="R214" s="341">
        <f>IF(P214="","",'Historique détail'!Q214/$W214)</f>
        <v>0</v>
      </c>
      <c r="S214" s="341">
        <f>IF(Q214="","",'Historique détail'!R214/$W214)</f>
        <v>0</v>
      </c>
      <c r="T214" s="341">
        <f>IF(R214="","",'Historique détail'!S214/$W214)</f>
        <v>0</v>
      </c>
      <c r="U214" s="340">
        <f t="shared" si="2"/>
        <v>0.1559753212</v>
      </c>
      <c r="V214" s="14">
        <f>IF(A214="","",ARBITRAGES!M215)</f>
        <v>7248.26641</v>
      </c>
      <c r="W214" s="342">
        <f>IF(V214="","",'Historique détail'!U214)</f>
        <v>46470.59774</v>
      </c>
      <c r="X214" s="288"/>
      <c r="Y214" s="220"/>
      <c r="Z214" s="220"/>
      <c r="AA214" s="220"/>
      <c r="AB214" s="220"/>
      <c r="AC214" s="220"/>
      <c r="AD214" s="220"/>
      <c r="AE214" s="220"/>
      <c r="AF214" s="220"/>
      <c r="AG214" s="220"/>
      <c r="AH214" s="220"/>
      <c r="AI214" s="308"/>
      <c r="AJ214" s="220"/>
      <c r="AK214" s="220"/>
      <c r="AL214" s="220"/>
      <c r="AM214" s="220"/>
      <c r="AN214" s="220"/>
      <c r="AO214" s="220"/>
      <c r="AP214" s="220"/>
      <c r="AQ214" s="220"/>
      <c r="AR214" s="220"/>
      <c r="AS214" s="220"/>
      <c r="AT214" s="220"/>
      <c r="AU214" s="220"/>
      <c r="AV214" s="220"/>
      <c r="AW214" s="220"/>
      <c r="AX214" s="220"/>
      <c r="AY214" s="220"/>
      <c r="AZ214" s="220"/>
      <c r="BA214" s="220"/>
      <c r="BB214" s="220"/>
    </row>
    <row r="215">
      <c r="A215" s="290">
        <f>PRIX!A216</f>
        <v>45981</v>
      </c>
      <c r="B215" s="302">
        <f t="shared" si="1"/>
        <v>0.8472566944</v>
      </c>
      <c r="C215" s="341">
        <f>IF(A215="","",'Historique détail'!B215/$W215)</f>
        <v>0.5707552687</v>
      </c>
      <c r="D215" s="341">
        <f>IF(B215="","",'Historique détail'!C215/$W215)</f>
        <v>0.1420324731</v>
      </c>
      <c r="E215" s="341">
        <f>IF(C215="","",'Historique détail'!D215/$W215)</f>
        <v>0.00000004487454339</v>
      </c>
      <c r="F215" s="341">
        <f>IF(D215="","",'Historique détail'!E215/$W215)</f>
        <v>0.0384975253</v>
      </c>
      <c r="G215" s="341">
        <f>IF(E215="","",'Historique détail'!F215/$W215)</f>
        <v>0.03201070934</v>
      </c>
      <c r="H215" s="341">
        <f>IF(F215="","",'Historique détail'!G215/$W215)</f>
        <v>0</v>
      </c>
      <c r="I215" s="341">
        <f>IF(G215="","",'Historique détail'!H215/$W215)</f>
        <v>0.02326044759</v>
      </c>
      <c r="J215" s="341">
        <f>IF(H215="","",'Historique détail'!I215/$W215)</f>
        <v>0.01484771888</v>
      </c>
      <c r="K215" s="341">
        <f>IF(I215="","",'Historique détail'!J215/$W215)</f>
        <v>0</v>
      </c>
      <c r="L215" s="341">
        <f>IF(J215="","",'Historique détail'!K215/$W215)</f>
        <v>0</v>
      </c>
      <c r="M215" s="341">
        <f>IF(K215="","",'Historique détail'!L215/$W215)</f>
        <v>0</v>
      </c>
      <c r="N215" s="341">
        <f>IF(L215="","",'Historique détail'!M215/$W215)</f>
        <v>0.02585243696</v>
      </c>
      <c r="O215" s="341">
        <f>IF(M215="","",'Historique détail'!N215/$W215)</f>
        <v>0</v>
      </c>
      <c r="P215" s="341">
        <f>IF(N215="","",'Historique détail'!O215/$W215)</f>
        <v>0.00000006917822552</v>
      </c>
      <c r="Q215" s="341">
        <f>IF(O215="","",'Historique détail'!P215/$W215)</f>
        <v>0.0000000004045012923</v>
      </c>
      <c r="R215" s="341">
        <f>IF(P215="","",'Historique détail'!Q215/$W215)</f>
        <v>0</v>
      </c>
      <c r="S215" s="341">
        <f>IF(Q215="","",'Historique détail'!R215/$W215)</f>
        <v>0</v>
      </c>
      <c r="T215" s="341">
        <f>IF(R215="","",'Historique détail'!S215/$W215)</f>
        <v>0</v>
      </c>
      <c r="U215" s="340">
        <f t="shared" si="2"/>
        <v>0.1527433056</v>
      </c>
      <c r="V215" s="14">
        <f>IF(A215="","",ARBITRAGES!M216)</f>
        <v>7098.26641</v>
      </c>
      <c r="W215" s="342">
        <f>IF(V215="","",'Historique détail'!U215)</f>
        <v>46471.86585</v>
      </c>
      <c r="X215" s="288"/>
      <c r="Y215" s="220"/>
      <c r="Z215" s="220"/>
      <c r="AA215" s="220"/>
      <c r="AB215" s="220"/>
      <c r="AC215" s="220"/>
      <c r="AD215" s="220"/>
      <c r="AE215" s="220"/>
      <c r="AF215" s="220"/>
      <c r="AG215" s="220"/>
      <c r="AH215" s="220"/>
      <c r="AI215" s="308"/>
      <c r="AJ215" s="220"/>
      <c r="AK215" s="220"/>
      <c r="AL215" s="220"/>
      <c r="AM215" s="220"/>
      <c r="AN215" s="220"/>
      <c r="AO215" s="220"/>
      <c r="AP215" s="220"/>
      <c r="AQ215" s="220"/>
      <c r="AR215" s="220"/>
      <c r="AS215" s="220"/>
      <c r="AT215" s="220"/>
      <c r="AU215" s="220"/>
      <c r="AV215" s="220"/>
      <c r="AW215" s="220"/>
      <c r="AX215" s="220"/>
      <c r="AY215" s="220"/>
      <c r="AZ215" s="220"/>
      <c r="BA215" s="220"/>
      <c r="BB215" s="220"/>
    </row>
    <row r="216">
      <c r="A216" s="290">
        <f>PRIX!A217</f>
        <v>45982</v>
      </c>
      <c r="B216" s="302">
        <f t="shared" si="1"/>
        <v>0.8513352568</v>
      </c>
      <c r="C216" s="341">
        <f>IF(A216="","",'Historique détail'!B216/$W216)</f>
        <v>0.5735747216</v>
      </c>
      <c r="D216" s="341">
        <f>IF(B216="","",'Historique détail'!C216/$W216)</f>
        <v>0.1423395652</v>
      </c>
      <c r="E216" s="341">
        <f>IF(C216="","",'Historique détail'!D216/$W216)</f>
        <v>0.00000004518640992</v>
      </c>
      <c r="F216" s="341">
        <f>IF(D216="","",'Historique détail'!E216/$W216)</f>
        <v>0.03800497372</v>
      </c>
      <c r="G216" s="341">
        <f>IF(E216="","",'Historique détail'!F216/$W216)</f>
        <v>0.03277156554</v>
      </c>
      <c r="H216" s="341">
        <f>IF(F216="","",'Historique détail'!G216/$W216)</f>
        <v>0</v>
      </c>
      <c r="I216" s="341">
        <f>IF(G216="","",'Historique détail'!H216/$W216)</f>
        <v>0.02353691594</v>
      </c>
      <c r="J216" s="341">
        <f>IF(H216="","",'Historique détail'!I216/$W216)</f>
        <v>0.0147624499</v>
      </c>
      <c r="K216" s="341">
        <f>IF(I216="","",'Historique détail'!J216/$W216)</f>
        <v>0</v>
      </c>
      <c r="L216" s="341">
        <f>IF(J216="","",'Historique détail'!K216/$W216)</f>
        <v>0</v>
      </c>
      <c r="M216" s="341">
        <f>IF(K216="","",'Historique détail'!L216/$W216)</f>
        <v>0</v>
      </c>
      <c r="N216" s="341">
        <f>IF(L216="","",'Historique détail'!M216/$W216)</f>
        <v>0.02634495104</v>
      </c>
      <c r="O216" s="341">
        <f>IF(M216="","",'Historique détail'!N216/$W216)</f>
        <v>0</v>
      </c>
      <c r="P216" s="341">
        <f>IF(N216="","",'Historique détail'!O216/$W216)</f>
        <v>0.00000006829313372</v>
      </c>
      <c r="Q216" s="341">
        <f>IF(O216="","",'Historique détail'!P216/$W216)</f>
        <v>0.0000000004300433341</v>
      </c>
      <c r="R216" s="341">
        <f>IF(P216="","",'Historique détail'!Q216/$W216)</f>
        <v>0</v>
      </c>
      <c r="S216" s="341">
        <f>IF(Q216="","",'Historique détail'!R216/$W216)</f>
        <v>0</v>
      </c>
      <c r="T216" s="341">
        <f>IF(R216="","",'Historique détail'!S216/$W216)</f>
        <v>0</v>
      </c>
      <c r="U216" s="340">
        <f t="shared" si="2"/>
        <v>0.1486647432</v>
      </c>
      <c r="V216" s="14">
        <f>IF(A216="","",ARBITRAGES!M217)</f>
        <v>6998.26641</v>
      </c>
      <c r="W216" s="342">
        <f>IF(V216="","",'Historique détail'!U216)</f>
        <v>47074.14994</v>
      </c>
      <c r="X216" s="288"/>
      <c r="Y216" s="220"/>
      <c r="Z216" s="220"/>
      <c r="AA216" s="220"/>
      <c r="AB216" s="220"/>
      <c r="AC216" s="220"/>
      <c r="AD216" s="220"/>
      <c r="AE216" s="220"/>
      <c r="AF216" s="220"/>
      <c r="AG216" s="220"/>
      <c r="AH216" s="220"/>
      <c r="AI216" s="308"/>
      <c r="AJ216" s="220"/>
      <c r="AK216" s="220"/>
      <c r="AL216" s="220"/>
      <c r="AM216" s="220"/>
      <c r="AN216" s="220"/>
      <c r="AO216" s="220"/>
      <c r="AP216" s="220"/>
      <c r="AQ216" s="220"/>
      <c r="AR216" s="220"/>
      <c r="AS216" s="220"/>
      <c r="AT216" s="220"/>
      <c r="AU216" s="220"/>
      <c r="AV216" s="220"/>
      <c r="AW216" s="220"/>
      <c r="AX216" s="220"/>
      <c r="AY216" s="220"/>
      <c r="AZ216" s="220"/>
      <c r="BA216" s="220"/>
      <c r="BB216" s="220"/>
    </row>
    <row r="217">
      <c r="A217" s="290">
        <f>PRIX!A218</f>
        <v>45988</v>
      </c>
      <c r="B217" s="302">
        <f t="shared" si="1"/>
        <v>0.8595662037</v>
      </c>
      <c r="C217" s="341">
        <f>IF(A217="","",'Historique détail'!B217/$W217)</f>
        <v>0.5765984399</v>
      </c>
      <c r="D217" s="341">
        <f>IF(B217="","",'Historique détail'!C217/$W217)</f>
        <v>0.144402056</v>
      </c>
      <c r="E217" s="341">
        <f>IF(C217="","",'Historique détail'!D217/$W217)</f>
        <v>0.00000004501538866</v>
      </c>
      <c r="F217" s="341">
        <f>IF(D217="","",'Historique détail'!E217/$W217)</f>
        <v>0.04008347552</v>
      </c>
      <c r="G217" s="341">
        <f>IF(E217="","",'Historique détail'!F217/$W217)</f>
        <v>0.03090448807</v>
      </c>
      <c r="H217" s="341">
        <f>IF(F217="","",'Historique détail'!G217/$W217)</f>
        <v>0</v>
      </c>
      <c r="I217" s="341">
        <f>IF(G217="","",'Historique détail'!H217/$W217)</f>
        <v>0.02368699106</v>
      </c>
      <c r="J217" s="341">
        <f>IF(H217="","",'Historique détail'!I217/$W217)</f>
        <v>0.01499103697</v>
      </c>
      <c r="K217" s="341">
        <f>IF(I217="","",'Historique détail'!J217/$W217)</f>
        <v>0</v>
      </c>
      <c r="L217" s="341">
        <f>IF(J217="","",'Historique détail'!K217/$W217)</f>
        <v>0</v>
      </c>
      <c r="M217" s="341">
        <f>IF(K217="","",'Historique détail'!L217/$W217)</f>
        <v>0</v>
      </c>
      <c r="N217" s="341">
        <f>IF(L217="","",'Historique détail'!M217/$W217)</f>
        <v>0.02889958904</v>
      </c>
      <c r="O217" s="341">
        <f>IF(M217="","",'Historique détail'!N217/$W217)</f>
        <v>0</v>
      </c>
      <c r="P217" s="341">
        <f>IF(N217="","",'Historique détail'!O217/$W217)</f>
        <v>0.0000000817259304</v>
      </c>
      <c r="Q217" s="341">
        <f>IF(O217="","",'Historique détail'!P217/$W217)</f>
        <v>0.0000000004369840228</v>
      </c>
      <c r="R217" s="341">
        <f>IF(P217="","",'Historique détail'!Q217/$W217)</f>
        <v>0</v>
      </c>
      <c r="S217" s="341">
        <f>IF(Q217="","",'Historique détail'!R217/$W217)</f>
        <v>0</v>
      </c>
      <c r="T217" s="341">
        <f>IF(R217="","",'Historique détail'!S217/$W217)</f>
        <v>0</v>
      </c>
      <c r="U217" s="340">
        <f t="shared" si="2"/>
        <v>0.1404337963</v>
      </c>
      <c r="V217" s="14">
        <f>IF(A217="","",ARBITRAGES!M218)</f>
        <v>7156.381256</v>
      </c>
      <c r="W217" s="342">
        <f>IF(V217="","",'Historique détail'!U217)</f>
        <v>50959.10987</v>
      </c>
      <c r="X217" s="288"/>
      <c r="Y217" s="220"/>
      <c r="Z217" s="220"/>
      <c r="AA217" s="220"/>
      <c r="AB217" s="220"/>
      <c r="AC217" s="220"/>
      <c r="AD217" s="220"/>
      <c r="AE217" s="220"/>
      <c r="AF217" s="220"/>
      <c r="AG217" s="220"/>
      <c r="AH217" s="220"/>
      <c r="AI217" s="308"/>
      <c r="AJ217" s="220"/>
      <c r="AK217" s="220"/>
      <c r="AL217" s="220"/>
      <c r="AM217" s="220"/>
      <c r="AN217" s="220"/>
      <c r="AO217" s="220"/>
      <c r="AP217" s="220"/>
      <c r="AQ217" s="220"/>
      <c r="AR217" s="220"/>
      <c r="AS217" s="220"/>
      <c r="AT217" s="220"/>
      <c r="AU217" s="220"/>
      <c r="AV217" s="220"/>
      <c r="AW217" s="220"/>
      <c r="AX217" s="220"/>
      <c r="AY217" s="220"/>
      <c r="AZ217" s="220"/>
      <c r="BA217" s="220"/>
      <c r="BB217" s="220"/>
    </row>
    <row r="218">
      <c r="A218" s="290">
        <f>PRIX!A219</f>
        <v>45988</v>
      </c>
      <c r="B218" s="302">
        <f t="shared" si="1"/>
        <v>0.8559627173</v>
      </c>
      <c r="C218" s="341">
        <f>IF(A218="","",'Historique détail'!B218/$W218)</f>
        <v>0.5729860686</v>
      </c>
      <c r="D218" s="341">
        <f>IF(B218="","",'Historique détail'!C218/$W218)</f>
        <v>0.14440659</v>
      </c>
      <c r="E218" s="341">
        <f>IF(C218="","",'Historique détail'!D218/$W218)</f>
        <v>0.00000004501680208</v>
      </c>
      <c r="F218" s="341">
        <f>IF(D218="","",'Historique détail'!E218/$W218)</f>
        <v>0.04008473409</v>
      </c>
      <c r="G218" s="341">
        <f>IF(E218="","",'Historique détail'!F218/$W218)</f>
        <v>0.03090545843</v>
      </c>
      <c r="H218" s="341">
        <f>IF(F218="","",'Historique détail'!G218/$W218)</f>
        <v>0</v>
      </c>
      <c r="I218" s="341">
        <f>IF(G218="","",'Historique détail'!H218/$W218)</f>
        <v>0.0236877348</v>
      </c>
      <c r="J218" s="341">
        <f>IF(H218="","",'Historique détail'!I218/$W218)</f>
        <v>0.01499150767</v>
      </c>
      <c r="K218" s="341">
        <f>IF(I218="","",'Historique détail'!J218/$W218)</f>
        <v>0</v>
      </c>
      <c r="L218" s="341">
        <f>IF(J218="","",'Historique détail'!K218/$W218)</f>
        <v>0</v>
      </c>
      <c r="M218" s="341">
        <f>IF(K218="","",'Historique détail'!L218/$W218)</f>
        <v>0</v>
      </c>
      <c r="N218" s="341">
        <f>IF(L218="","",'Historique détail'!M218/$W218)</f>
        <v>0.02890049645</v>
      </c>
      <c r="O218" s="341">
        <f>IF(M218="","",'Historique détail'!N218/$W218)</f>
        <v>0</v>
      </c>
      <c r="P218" s="341">
        <f>IF(N218="","",'Historique détail'!O218/$W218)</f>
        <v>0.00000008172849649</v>
      </c>
      <c r="Q218" s="341">
        <f>IF(O218="","",'Historique détail'!P218/$W218)</f>
        <v>0.0000000004369977436</v>
      </c>
      <c r="R218" s="341">
        <f>IF(P218="","",'Historique détail'!Q218/$W218)</f>
        <v>0</v>
      </c>
      <c r="S218" s="341">
        <f>IF(Q218="","",'Historique détail'!R218/$W218)</f>
        <v>0</v>
      </c>
      <c r="T218" s="341">
        <f>IF(R218="","",'Historique détail'!S218/$W218)</f>
        <v>0</v>
      </c>
      <c r="U218" s="340">
        <f t="shared" si="2"/>
        <v>0.1440372827</v>
      </c>
      <c r="V218" s="14">
        <f>IF(A218="","",ARBITRAGES!M219)</f>
        <v>7339.781256</v>
      </c>
      <c r="W218" s="342">
        <f>IF(V218="","",'Historique détail'!U218)</f>
        <v>50957.50987</v>
      </c>
      <c r="X218" s="288"/>
      <c r="Y218" s="220"/>
      <c r="Z218" s="220"/>
      <c r="AA218" s="220"/>
      <c r="AB218" s="220"/>
      <c r="AC218" s="220"/>
      <c r="AD218" s="220"/>
      <c r="AE218" s="220"/>
      <c r="AF218" s="220"/>
      <c r="AG218" s="220"/>
      <c r="AH218" s="220"/>
      <c r="AI218" s="308"/>
      <c r="AJ218" s="220"/>
      <c r="AK218" s="220"/>
      <c r="AL218" s="220"/>
      <c r="AM218" s="220"/>
      <c r="AN218" s="220"/>
      <c r="AO218" s="220"/>
      <c r="AP218" s="220"/>
      <c r="AQ218" s="220"/>
      <c r="AR218" s="220"/>
      <c r="AS218" s="220"/>
      <c r="AT218" s="220"/>
      <c r="AU218" s="220"/>
      <c r="AV218" s="220"/>
      <c r="AW218" s="220"/>
      <c r="AX218" s="220"/>
      <c r="AY218" s="220"/>
      <c r="AZ218" s="220"/>
      <c r="BA218" s="220"/>
      <c r="BB218" s="220"/>
    </row>
    <row r="219">
      <c r="A219" s="290">
        <f>PRIX!A220</f>
        <v>45988</v>
      </c>
      <c r="B219" s="302">
        <f t="shared" si="1"/>
        <v>0.8505420406</v>
      </c>
      <c r="C219" s="341">
        <f>IF(A219="","",'Historique détail'!B219/$W219)</f>
        <v>0.5675570619</v>
      </c>
      <c r="D219" s="341">
        <f>IF(B219="","",'Historique détail'!C219/$W219)</f>
        <v>0.1444108409</v>
      </c>
      <c r="E219" s="341">
        <f>IF(C219="","",'Historique détail'!D219/$W219)</f>
        <v>0.00000004501812725</v>
      </c>
      <c r="F219" s="341">
        <f>IF(D219="","",'Historique détail'!E219/$W219)</f>
        <v>0.04008591407</v>
      </c>
      <c r="G219" s="341">
        <f>IF(E219="","",'Historique détail'!F219/$W219)</f>
        <v>0.0309063682</v>
      </c>
      <c r="H219" s="341">
        <f>IF(F219="","",'Historique détail'!G219/$W219)</f>
        <v>0</v>
      </c>
      <c r="I219" s="341">
        <f>IF(G219="","",'Historique détail'!H219/$W219)</f>
        <v>0.0236884321</v>
      </c>
      <c r="J219" s="341">
        <f>IF(H219="","",'Historique détail'!I219/$W219)</f>
        <v>0.01499194898</v>
      </c>
      <c r="K219" s="341">
        <f>IF(I219="","",'Historique détail'!J219/$W219)</f>
        <v>0</v>
      </c>
      <c r="L219" s="341">
        <f>IF(J219="","",'Historique détail'!K219/$W219)</f>
        <v>0</v>
      </c>
      <c r="M219" s="341">
        <f>IF(K219="","",'Historique détail'!L219/$W219)</f>
        <v>0</v>
      </c>
      <c r="N219" s="341">
        <f>IF(L219="","",'Historique détail'!M219/$W219)</f>
        <v>0.0289013472</v>
      </c>
      <c r="O219" s="341">
        <f>IF(M219="","",'Historique détail'!N219/$W219)</f>
        <v>0</v>
      </c>
      <c r="P219" s="341">
        <f>IF(N219="","",'Historique détail'!O219/$W219)</f>
        <v>0.00000008173090235</v>
      </c>
      <c r="Q219" s="341">
        <f>IF(O219="","",'Historique détail'!P219/$W219)</f>
        <v>0.0000000004370106075</v>
      </c>
      <c r="R219" s="341">
        <f>IF(P219="","",'Historique détail'!Q219/$W219)</f>
        <v>0</v>
      </c>
      <c r="S219" s="341">
        <f>IF(Q219="","",'Historique détail'!R219/$W219)</f>
        <v>0</v>
      </c>
      <c r="T219" s="341">
        <f>IF(R219="","",'Historique détail'!S219/$W219)</f>
        <v>0</v>
      </c>
      <c r="U219" s="340">
        <f t="shared" si="2"/>
        <v>0.1494579594</v>
      </c>
      <c r="V219" s="14">
        <f>IF(A219="","",ARBITRAGES!M220)</f>
        <v>7615.781256</v>
      </c>
      <c r="W219" s="342">
        <f>IF(V219="","",'Historique détail'!U219)</f>
        <v>50956.00987</v>
      </c>
      <c r="X219" s="288"/>
      <c r="Y219" s="220"/>
      <c r="Z219" s="220"/>
      <c r="AA219" s="220"/>
      <c r="AB219" s="220"/>
      <c r="AC219" s="220"/>
      <c r="AD219" s="220"/>
      <c r="AE219" s="220"/>
      <c r="AF219" s="220"/>
      <c r="AG219" s="220"/>
      <c r="AH219" s="220"/>
      <c r="AI219" s="308"/>
      <c r="AJ219" s="220"/>
      <c r="AK219" s="220"/>
      <c r="AL219" s="220"/>
      <c r="AM219" s="220"/>
      <c r="AN219" s="220"/>
      <c r="AO219" s="220"/>
      <c r="AP219" s="220"/>
      <c r="AQ219" s="220"/>
      <c r="AR219" s="220"/>
      <c r="AS219" s="220"/>
      <c r="AT219" s="220"/>
      <c r="AU219" s="220"/>
      <c r="AV219" s="220"/>
      <c r="AW219" s="220"/>
      <c r="AX219" s="220"/>
      <c r="AY219" s="220"/>
      <c r="AZ219" s="220"/>
      <c r="BA219" s="220"/>
      <c r="BB219" s="220"/>
    </row>
    <row r="220">
      <c r="A220" s="290">
        <f>PRIX!A221</f>
        <v>45989</v>
      </c>
      <c r="B220" s="302">
        <f t="shared" si="1"/>
        <v>0.8434901361</v>
      </c>
      <c r="C220" s="341">
        <f>IF(A220="","",'Historique détail'!B220/$W220)</f>
        <v>0.5675988331</v>
      </c>
      <c r="D220" s="341">
        <f>IF(B220="","",'Historique détail'!C220/$W220)</f>
        <v>0.1444214693</v>
      </c>
      <c r="E220" s="341">
        <f>IF(C220="","",'Historique détail'!D220/$W220)</f>
        <v>0.00000004502144051</v>
      </c>
      <c r="F220" s="341">
        <f>IF(D220="","",'Historique détail'!E220/$W220)</f>
        <v>0.03297436143</v>
      </c>
      <c r="G220" s="341">
        <f>IF(E220="","",'Historique détail'!F220/$W220)</f>
        <v>0.03090864286</v>
      </c>
      <c r="H220" s="341">
        <f>IF(F220="","",'Historique détail'!G220/$W220)</f>
        <v>0</v>
      </c>
      <c r="I220" s="341">
        <f>IF(G220="","",'Historique détail'!H220/$W220)</f>
        <v>0.02369017553</v>
      </c>
      <c r="J220" s="341">
        <f>IF(H220="","",'Historique détail'!I220/$W220)</f>
        <v>0.01499305236</v>
      </c>
      <c r="K220" s="341">
        <f>IF(I220="","",'Historique détail'!J220/$W220)</f>
        <v>0</v>
      </c>
      <c r="L220" s="341">
        <f>IF(J220="","",'Historique détail'!K220/$W220)</f>
        <v>0</v>
      </c>
      <c r="M220" s="341">
        <f>IF(K220="","",'Historique détail'!L220/$W220)</f>
        <v>0</v>
      </c>
      <c r="N220" s="341">
        <f>IF(L220="","",'Historique détail'!M220/$W220)</f>
        <v>0.02890347429</v>
      </c>
      <c r="O220" s="341">
        <f>IF(M220="","",'Historique détail'!N220/$W220)</f>
        <v>0</v>
      </c>
      <c r="P220" s="341">
        <f>IF(N220="","",'Historique détail'!O220/$W220)</f>
        <v>0.0000000817369176</v>
      </c>
      <c r="Q220" s="341">
        <f>IF(O220="","",'Historique détail'!P220/$W220)</f>
        <v>0.0000000004370427708</v>
      </c>
      <c r="R220" s="341">
        <f>IF(P220="","",'Historique détail'!Q220/$W220)</f>
        <v>0</v>
      </c>
      <c r="S220" s="341">
        <f>IF(Q220="","",'Historique détail'!R220/$W220)</f>
        <v>0</v>
      </c>
      <c r="T220" s="341">
        <f>IF(R220="","",'Historique détail'!S220/$W220)</f>
        <v>0</v>
      </c>
      <c r="U220" s="340">
        <f t="shared" si="2"/>
        <v>0.1565098639</v>
      </c>
      <c r="V220" s="14">
        <f>IF(A220="","",ARBITRAGES!M221)</f>
        <v>7974.531256</v>
      </c>
      <c r="W220" s="342">
        <f>IF(V220="","",'Historique détail'!U220)</f>
        <v>50952.25987</v>
      </c>
      <c r="X220" s="288"/>
      <c r="Y220" s="220"/>
      <c r="Z220" s="220"/>
      <c r="AA220" s="220"/>
      <c r="AB220" s="220"/>
      <c r="AC220" s="220"/>
      <c r="AD220" s="220"/>
      <c r="AE220" s="220"/>
      <c r="AF220" s="220"/>
      <c r="AG220" s="220"/>
      <c r="AH220" s="220"/>
      <c r="AI220" s="308"/>
      <c r="AJ220" s="220"/>
      <c r="AK220" s="220"/>
      <c r="AL220" s="220"/>
      <c r="AM220" s="220"/>
      <c r="AN220" s="220"/>
      <c r="AO220" s="220"/>
      <c r="AP220" s="220"/>
      <c r="AQ220" s="220"/>
      <c r="AR220" s="220"/>
      <c r="AS220" s="220"/>
      <c r="AT220" s="220"/>
      <c r="AU220" s="220"/>
      <c r="AV220" s="220"/>
      <c r="AW220" s="220"/>
      <c r="AX220" s="220"/>
      <c r="AY220" s="220"/>
      <c r="AZ220" s="220"/>
      <c r="BA220" s="220"/>
      <c r="BB220" s="220"/>
    </row>
    <row r="221">
      <c r="A221" s="290">
        <f>PRIX!A222</f>
        <v>45991</v>
      </c>
      <c r="B221" s="302">
        <f t="shared" si="1"/>
        <v>0.8376002781</v>
      </c>
      <c r="C221" s="341">
        <f>IF(A221="","",'Historique détail'!B221/$W221)</f>
        <v>0.5671591332</v>
      </c>
      <c r="D221" s="341">
        <f>IF(B221="","",'Historique détail'!C221/$W221)</f>
        <v>0.1422058345</v>
      </c>
      <c r="E221" s="341">
        <f>IF(C221="","",'Historique détail'!D221/$W221)</f>
        <v>0.00000004348231097</v>
      </c>
      <c r="F221" s="341">
        <f>IF(D221="","",'Historique détail'!E221/$W221)</f>
        <v>0.03140781038</v>
      </c>
      <c r="G221" s="341">
        <f>IF(E221="","",'Historique détail'!F221/$W221)</f>
        <v>0.0286673793</v>
      </c>
      <c r="H221" s="341">
        <f>IF(F221="","",'Historique détail'!G221/$W221)</f>
        <v>0</v>
      </c>
      <c r="I221" s="341">
        <f>IF(G221="","",'Historique détail'!H221/$W221)</f>
        <v>0.02291443889</v>
      </c>
      <c r="J221" s="341">
        <f>IF(H221="","",'Historique détail'!I221/$W221)</f>
        <v>0.01777096146</v>
      </c>
      <c r="K221" s="341">
        <f>IF(I221="","",'Historique détail'!J221/$W221)</f>
        <v>0</v>
      </c>
      <c r="L221" s="341">
        <f>IF(J221="","",'Historique détail'!K221/$W221)</f>
        <v>0</v>
      </c>
      <c r="M221" s="341">
        <f>IF(K221="","",'Historique détail'!L221/$W221)</f>
        <v>0</v>
      </c>
      <c r="N221" s="341">
        <f>IF(L221="","",'Historique détail'!M221/$W221)</f>
        <v>0.02747459417</v>
      </c>
      <c r="O221" s="341">
        <f>IF(M221="","",'Historique détail'!N221/$W221)</f>
        <v>0</v>
      </c>
      <c r="P221" s="341">
        <f>IF(N221="","",'Historique détail'!O221/$W221)</f>
        <v>0.00000008226651052</v>
      </c>
      <c r="Q221" s="341">
        <f>IF(O221="","",'Historique détail'!P221/$W221)</f>
        <v>0.0000000003859216171</v>
      </c>
      <c r="R221" s="341">
        <f>IF(P221="","",'Historique détail'!Q221/$W221)</f>
        <v>0</v>
      </c>
      <c r="S221" s="341">
        <f>IF(Q221="","",'Historique détail'!R221/$W221)</f>
        <v>0</v>
      </c>
      <c r="T221" s="341">
        <f>IF(R221="","",'Historique détail'!S221/$W221)</f>
        <v>0</v>
      </c>
      <c r="U221" s="340">
        <f t="shared" si="2"/>
        <v>0.1623997219</v>
      </c>
      <c r="V221" s="14">
        <f>IF(A221="","",ARBITRAGES!M222)</f>
        <v>7788.661256</v>
      </c>
      <c r="W221" s="342">
        <f>IF(V221="","",'Historique détail'!U221)</f>
        <v>47959.81892</v>
      </c>
      <c r="X221" s="288"/>
      <c r="Y221" s="220"/>
      <c r="Z221" s="220"/>
      <c r="AA221" s="220"/>
      <c r="AB221" s="220"/>
      <c r="AC221" s="220"/>
      <c r="AD221" s="220"/>
      <c r="AE221" s="220"/>
      <c r="AF221" s="220"/>
      <c r="AG221" s="220"/>
      <c r="AH221" s="220"/>
      <c r="AI221" s="308"/>
      <c r="AJ221" s="220"/>
      <c r="AK221" s="220"/>
      <c r="AL221" s="220"/>
      <c r="AM221" s="220"/>
      <c r="AN221" s="220"/>
      <c r="AO221" s="220"/>
      <c r="AP221" s="220"/>
      <c r="AQ221" s="220"/>
      <c r="AR221" s="220"/>
      <c r="AS221" s="220"/>
      <c r="AT221" s="220"/>
      <c r="AU221" s="220"/>
      <c r="AV221" s="220"/>
      <c r="AW221" s="220"/>
      <c r="AX221" s="220"/>
      <c r="AY221" s="220"/>
      <c r="AZ221" s="220"/>
      <c r="BA221" s="220"/>
      <c r="BB221" s="220"/>
    </row>
    <row r="222">
      <c r="A222" s="290">
        <f>PRIX!A223</f>
        <v>45992</v>
      </c>
      <c r="B222" s="302">
        <f t="shared" si="1"/>
        <v>0.8277403511</v>
      </c>
      <c r="C222" s="341">
        <f>IF(A222="","",'Historique détail'!B222/$W222)</f>
        <v>0.5670822765</v>
      </c>
      <c r="D222" s="341">
        <f>IF(B222="","",'Historique détail'!C222/$W222)</f>
        <v>0.142186564</v>
      </c>
      <c r="E222" s="341">
        <f>IF(C222="","",'Historique détail'!D222/$W222)</f>
        <v>0.00000004347641861</v>
      </c>
      <c r="F222" s="341">
        <f>IF(D222="","",'Historique détail'!E222/$W222)</f>
        <v>0.03140355425</v>
      </c>
      <c r="G222" s="341">
        <f>IF(E222="","",'Historique détail'!F222/$W222)</f>
        <v>0.02866349454</v>
      </c>
      <c r="H222" s="341">
        <f>IF(F222="","",'Historique détail'!G222/$W222)</f>
        <v>0</v>
      </c>
      <c r="I222" s="341">
        <f>IF(G222="","",'Historique détail'!H222/$W222)</f>
        <v>0.02291133372</v>
      </c>
      <c r="J222" s="341">
        <f>IF(H222="","",'Historique détail'!I222/$W222)</f>
        <v>0.01776855329</v>
      </c>
      <c r="K222" s="341">
        <f>IF(I222="","",'Historique détail'!J222/$W222)</f>
        <v>0</v>
      </c>
      <c r="L222" s="341">
        <f>IF(J222="","",'Historique détail'!K222/$W222)</f>
        <v>0</v>
      </c>
      <c r="M222" s="341">
        <f>IF(K222="","",'Historique détail'!L222/$W222)</f>
        <v>0</v>
      </c>
      <c r="N222" s="341">
        <f>IF(L222="","",'Historique détail'!M222/$W222)</f>
        <v>0.01772444875</v>
      </c>
      <c r="O222" s="341">
        <f>IF(M222="","",'Historique détail'!N222/$W222)</f>
        <v>0</v>
      </c>
      <c r="P222" s="341">
        <f>IF(N222="","",'Historique détail'!O222/$W222)</f>
        <v>0.00000008225536244</v>
      </c>
      <c r="Q222" s="341">
        <f>IF(O222="","",'Historique détail'!P222/$W222)</f>
        <v>0.0000000003858693202</v>
      </c>
      <c r="R222" s="341">
        <f>IF(P222="","",'Historique détail'!Q222/$W222)</f>
        <v>0</v>
      </c>
      <c r="S222" s="341">
        <f>IF(Q222="","",'Historique détail'!R222/$W222)</f>
        <v>0</v>
      </c>
      <c r="T222" s="341">
        <f>IF(R222="","",'Historique détail'!S222/$W222)</f>
        <v>0</v>
      </c>
      <c r="U222" s="340">
        <f t="shared" si="2"/>
        <v>0.1722596489</v>
      </c>
      <c r="V222" s="14">
        <f>IF(A222="","",ARBITRAGES!M223)</f>
        <v>8262.661256</v>
      </c>
      <c r="W222" s="342">
        <f>IF(V222="","",'Historique détail'!U222)</f>
        <v>47966.31892</v>
      </c>
      <c r="X222" s="288"/>
      <c r="Y222" s="220"/>
      <c r="Z222" s="220"/>
      <c r="AA222" s="220"/>
      <c r="AB222" s="220"/>
      <c r="AC222" s="220"/>
      <c r="AD222" s="220"/>
      <c r="AE222" s="220"/>
      <c r="AF222" s="220"/>
      <c r="AG222" s="220"/>
      <c r="AH222" s="220"/>
      <c r="AI222" s="308"/>
      <c r="AJ222" s="220"/>
      <c r="AK222" s="220"/>
      <c r="AL222" s="220"/>
      <c r="AM222" s="220"/>
      <c r="AN222" s="220"/>
      <c r="AO222" s="220"/>
      <c r="AP222" s="220"/>
      <c r="AQ222" s="220"/>
      <c r="AR222" s="220"/>
      <c r="AS222" s="220"/>
      <c r="AT222" s="220"/>
      <c r="AU222" s="220"/>
      <c r="AV222" s="220"/>
      <c r="AW222" s="220"/>
      <c r="AX222" s="220"/>
      <c r="AY222" s="220"/>
      <c r="AZ222" s="220"/>
      <c r="BA222" s="220"/>
      <c r="BB222" s="220"/>
    </row>
    <row r="223">
      <c r="A223" s="290">
        <f>PRIX!A224</f>
        <v>45992</v>
      </c>
      <c r="B223" s="302">
        <f t="shared" si="1"/>
        <v>0.8151930453</v>
      </c>
      <c r="C223" s="341">
        <f>IF(A223="","",'Historique détail'!B223/$W223)</f>
        <v>0.5672005262</v>
      </c>
      <c r="D223" s="341">
        <f>IF(B223="","",'Historique détail'!C223/$W223)</f>
        <v>0.1422162132</v>
      </c>
      <c r="E223" s="341">
        <f>IF(C223="","",'Historique détail'!D223/$W223)</f>
        <v>0.00000004348548445</v>
      </c>
      <c r="F223" s="341">
        <f>IF(D223="","",'Historique détail'!E223/$W223)</f>
        <v>0.03141010262</v>
      </c>
      <c r="G223" s="341">
        <f>IF(E223="","",'Historique détail'!F223/$W223)</f>
        <v>0.02866947154</v>
      </c>
      <c r="H223" s="341">
        <f>IF(F223="","",'Historique détail'!G223/$W223)</f>
        <v>0</v>
      </c>
      <c r="I223" s="341">
        <f>IF(G223="","",'Historique détail'!H223/$W223)</f>
        <v>0.01019620252</v>
      </c>
      <c r="J223" s="341">
        <f>IF(H223="","",'Historique détail'!I223/$W223)</f>
        <v>0.01777225844</v>
      </c>
      <c r="K223" s="341">
        <f>IF(I223="","",'Historique détail'!J223/$W223)</f>
        <v>0</v>
      </c>
      <c r="L223" s="341">
        <f>IF(J223="","",'Historique détail'!K223/$W223)</f>
        <v>0</v>
      </c>
      <c r="M223" s="341">
        <f>IF(K223="","",'Historique détail'!L223/$W223)</f>
        <v>0</v>
      </c>
      <c r="N223" s="341">
        <f>IF(L223="","",'Historique détail'!M223/$W223)</f>
        <v>0.01772814471</v>
      </c>
      <c r="O223" s="341">
        <f>IF(M223="","",'Historique détail'!N223/$W223)</f>
        <v>0</v>
      </c>
      <c r="P223" s="341">
        <f>IF(N223="","",'Historique détail'!O223/$W223)</f>
        <v>0.00000008227251458</v>
      </c>
      <c r="Q223" s="341">
        <f>IF(O223="","",'Historique détail'!P223/$W223)</f>
        <v>0.0000000003859497828</v>
      </c>
      <c r="R223" s="341">
        <f>IF(P223="","",'Historique détail'!Q223/$W223)</f>
        <v>0</v>
      </c>
      <c r="S223" s="341">
        <f>IF(Q223="","",'Historique détail'!R223/$W223)</f>
        <v>0</v>
      </c>
      <c r="T223" s="341">
        <f>IF(R223="","",'Historique détail'!S223/$W223)</f>
        <v>0</v>
      </c>
      <c r="U223" s="340">
        <f t="shared" si="2"/>
        <v>0.1848069547</v>
      </c>
      <c r="V223" s="14">
        <f>IF(A223="","",ARBITRAGES!M224)</f>
        <v>8862.661256</v>
      </c>
      <c r="W223" s="342">
        <f>IF(V223="","",'Historique détail'!U223)</f>
        <v>47956.31892</v>
      </c>
      <c r="X223" s="288"/>
      <c r="Y223" s="220"/>
      <c r="Z223" s="220"/>
      <c r="AA223" s="220"/>
      <c r="AB223" s="220"/>
      <c r="AC223" s="220"/>
      <c r="AD223" s="220"/>
      <c r="AE223" s="220"/>
      <c r="AF223" s="220"/>
      <c r="AG223" s="220"/>
      <c r="AH223" s="220"/>
      <c r="AI223" s="308"/>
      <c r="AJ223" s="220"/>
      <c r="AK223" s="220"/>
      <c r="AL223" s="220"/>
      <c r="AM223" s="220"/>
      <c r="AN223" s="220"/>
      <c r="AO223" s="220"/>
      <c r="AP223" s="220"/>
      <c r="AQ223" s="220"/>
      <c r="AR223" s="220"/>
      <c r="AS223" s="220"/>
      <c r="AT223" s="220"/>
      <c r="AU223" s="220"/>
      <c r="AV223" s="220"/>
      <c r="AW223" s="220"/>
      <c r="AX223" s="220"/>
      <c r="AY223" s="220"/>
      <c r="AZ223" s="220"/>
      <c r="BA223" s="220"/>
      <c r="BB223" s="220"/>
    </row>
    <row r="224">
      <c r="A224" s="290">
        <f>PRIX!A225</f>
        <v>45992</v>
      </c>
      <c r="B224" s="302">
        <f t="shared" si="1"/>
        <v>0.8049699719</v>
      </c>
      <c r="C224" s="341">
        <f>IF(A224="","",'Historique détail'!B224/$W224)</f>
        <v>0.5671768409</v>
      </c>
      <c r="D224" s="341">
        <f>IF(B224="","",'Historique détail'!C224/$W224)</f>
        <v>0.1422102744</v>
      </c>
      <c r="E224" s="341">
        <f>IF(C224="","",'Historique détail'!D224/$W224)</f>
        <v>0.00000004348366857</v>
      </c>
      <c r="F224" s="341">
        <f>IF(D224="","",'Historique détail'!E224/$W224)</f>
        <v>0.03140879098</v>
      </c>
      <c r="G224" s="341">
        <f>IF(E224="","",'Historique détail'!F224/$W224)</f>
        <v>0.02866827435</v>
      </c>
      <c r="H224" s="341">
        <f>IF(F224="","",'Historique détail'!G224/$W224)</f>
        <v>0</v>
      </c>
      <c r="I224" s="341">
        <f>IF(G224="","",'Historique détail'!H224/$W224)</f>
        <v>0.000006744391502</v>
      </c>
      <c r="J224" s="341">
        <f>IF(H224="","",'Historique détail'!I224/$W224)</f>
        <v>0.0177715163</v>
      </c>
      <c r="K224" s="341">
        <f>IF(I224="","",'Historique détail'!J224/$W224)</f>
        <v>0</v>
      </c>
      <c r="L224" s="341">
        <f>IF(J224="","",'Historique détail'!K224/$W224)</f>
        <v>0</v>
      </c>
      <c r="M224" s="341">
        <f>IF(K224="","",'Historique détail'!L224/$W224)</f>
        <v>0</v>
      </c>
      <c r="N224" s="341">
        <f>IF(L224="","",'Historique détail'!M224/$W224)</f>
        <v>0.01772740441</v>
      </c>
      <c r="O224" s="341">
        <f>IF(M224="","",'Historique détail'!N224/$W224)</f>
        <v>0</v>
      </c>
      <c r="P224" s="341">
        <f>IF(N224="","",'Historique détail'!O224/$W224)</f>
        <v>0.00000008226907902</v>
      </c>
      <c r="Q224" s="341">
        <f>IF(O224="","",'Historique détail'!P224/$W224)</f>
        <v>0.0000000003859336662</v>
      </c>
      <c r="R224" s="341">
        <f>IF(P224="","",'Historique détail'!Q224/$W224)</f>
        <v>0</v>
      </c>
      <c r="S224" s="341">
        <f>IF(Q224="","",'Historique détail'!R224/$W224)</f>
        <v>0</v>
      </c>
      <c r="T224" s="341">
        <f>IF(R224="","",'Historique détail'!S224/$W224)</f>
        <v>0</v>
      </c>
      <c r="U224" s="340">
        <f t="shared" si="2"/>
        <v>0.1950300281</v>
      </c>
      <c r="V224" s="14">
        <f>IF(A224="","",ARBITRAGES!M225)</f>
        <v>9353.312806</v>
      </c>
      <c r="W224" s="342">
        <f>IF(V224="","",'Historique détail'!U224)</f>
        <v>47958.32158</v>
      </c>
      <c r="X224" s="288"/>
      <c r="Y224" s="220"/>
      <c r="Z224" s="220"/>
      <c r="AA224" s="220"/>
      <c r="AB224" s="220"/>
      <c r="AC224" s="220"/>
      <c r="AD224" s="220"/>
      <c r="AE224" s="220"/>
      <c r="AF224" s="220"/>
      <c r="AG224" s="220"/>
      <c r="AH224" s="220"/>
      <c r="AI224" s="308"/>
      <c r="AJ224" s="220"/>
      <c r="AK224" s="220"/>
      <c r="AL224" s="220"/>
      <c r="AM224" s="220"/>
      <c r="AN224" s="220"/>
      <c r="AO224" s="220"/>
      <c r="AP224" s="220"/>
      <c r="AQ224" s="220"/>
      <c r="AR224" s="220"/>
      <c r="AS224" s="220"/>
      <c r="AT224" s="220"/>
      <c r="AU224" s="220"/>
      <c r="AV224" s="220"/>
      <c r="AW224" s="220"/>
      <c r="AX224" s="220"/>
      <c r="AY224" s="220"/>
      <c r="AZ224" s="220"/>
      <c r="BA224" s="220"/>
      <c r="BB224" s="220"/>
    </row>
    <row r="225">
      <c r="A225" s="290">
        <f>PRIX!A226</f>
        <v>45992</v>
      </c>
      <c r="B225" s="302">
        <f t="shared" si="1"/>
        <v>0.8058665407</v>
      </c>
      <c r="C225" s="341">
        <f>IF(A225="","",'Historique détail'!B225/$W225)</f>
        <v>0.5713924923</v>
      </c>
      <c r="D225" s="341">
        <f>IF(B225="","",'Historique détail'!C225/$W225)</f>
        <v>0.1423791902</v>
      </c>
      <c r="E225" s="341">
        <f>IF(C225="","",'Historique détail'!D225/$W225)</f>
        <v>0.0000000438993505</v>
      </c>
      <c r="F225" s="341">
        <f>IF(D225="","",'Historique détail'!E225/$W225)</f>
        <v>0.02740187171</v>
      </c>
      <c r="G225" s="341">
        <f>IF(E225="","",'Historique détail'!F225/$W225)</f>
        <v>0.02842625667</v>
      </c>
      <c r="H225" s="341">
        <f>IF(F225="","",'Historique détail'!G225/$W225)</f>
        <v>0</v>
      </c>
      <c r="I225" s="341">
        <f>IF(G225="","",'Historique détail'!H225/$W225)</f>
        <v>0.00000694489103</v>
      </c>
      <c r="J225" s="341">
        <f>IF(H225="","",'Historique détail'!I225/$W225)</f>
        <v>0.01798028067</v>
      </c>
      <c r="K225" s="341">
        <f>IF(I225="","",'Historique détail'!J225/$W225)</f>
        <v>0</v>
      </c>
      <c r="L225" s="341">
        <f>IF(J225="","",'Historique détail'!K225/$W225)</f>
        <v>0</v>
      </c>
      <c r="M225" s="341">
        <f>IF(K225="","",'Historique détail'!L225/$W225)</f>
        <v>0</v>
      </c>
      <c r="N225" s="341">
        <f>IF(L225="","",'Historique détail'!M225/$W225)</f>
        <v>0.01827938246</v>
      </c>
      <c r="O225" s="341">
        <f>IF(M225="","",'Historique détail'!N225/$W225)</f>
        <v>0</v>
      </c>
      <c r="P225" s="341">
        <f>IF(N225="","",'Historique détail'!O225/$W225)</f>
        <v>0.0000000774472787</v>
      </c>
      <c r="Q225" s="341">
        <f>IF(O225="","",'Historique détail'!P225/$W225)</f>
        <v>0.0000000003993322522</v>
      </c>
      <c r="R225" s="341">
        <f>IF(P225="","",'Historique détail'!Q225/$W225)</f>
        <v>0</v>
      </c>
      <c r="S225" s="341">
        <f>IF(Q225="","",'Historique détail'!R225/$W225)</f>
        <v>0</v>
      </c>
      <c r="T225" s="341">
        <f>IF(R225="","",'Historique détail'!S225/$W225)</f>
        <v>0</v>
      </c>
      <c r="U225" s="340">
        <f t="shared" si="2"/>
        <v>0.1941334593</v>
      </c>
      <c r="V225" s="14">
        <f>IF(A225="","",ARBITRAGES!M226)</f>
        <v>9560.301423</v>
      </c>
      <c r="W225" s="342">
        <f>IF(V225="","",'Historique détail'!U225)</f>
        <v>49246.0262</v>
      </c>
      <c r="X225" s="288"/>
      <c r="Y225" s="220"/>
      <c r="Z225" s="220"/>
      <c r="AA225" s="220"/>
      <c r="AB225" s="220"/>
      <c r="AC225" s="220"/>
      <c r="AD225" s="220"/>
      <c r="AE225" s="220"/>
      <c r="AF225" s="220"/>
      <c r="AG225" s="220"/>
      <c r="AH225" s="220"/>
      <c r="AI225" s="308"/>
      <c r="AJ225" s="220"/>
      <c r="AK225" s="220"/>
      <c r="AL225" s="220"/>
      <c r="AM225" s="220"/>
      <c r="AN225" s="220"/>
      <c r="AO225" s="220"/>
      <c r="AP225" s="220"/>
      <c r="AQ225" s="220"/>
      <c r="AR225" s="220"/>
      <c r="AS225" s="220"/>
      <c r="AT225" s="220"/>
      <c r="AU225" s="220"/>
      <c r="AV225" s="220"/>
      <c r="AW225" s="220"/>
      <c r="AX225" s="220"/>
      <c r="AY225" s="220"/>
      <c r="AZ225" s="220"/>
      <c r="BA225" s="220"/>
      <c r="BB225" s="220"/>
    </row>
    <row r="226">
      <c r="A226" s="290">
        <f>PRIX!A227</f>
        <v>45993</v>
      </c>
      <c r="B226" s="302">
        <f t="shared" si="1"/>
        <v>0.8003838648</v>
      </c>
      <c r="C226" s="341">
        <f>IF(A226="","",'Historique détail'!B226/$W226)</f>
        <v>0.5713924923</v>
      </c>
      <c r="D226" s="341">
        <f>IF(B226="","",'Historique détail'!C226/$W226)</f>
        <v>0.1423791902</v>
      </c>
      <c r="E226" s="341">
        <f>IF(C226="","",'Historique détail'!D226/$W226)</f>
        <v>0.0000000438993505</v>
      </c>
      <c r="F226" s="341">
        <f>IF(D226="","",'Historique détail'!E226/$W226)</f>
        <v>0.02191919584</v>
      </c>
      <c r="G226" s="341">
        <f>IF(E226="","",'Historique détail'!F226/$W226)</f>
        <v>0.02842625667</v>
      </c>
      <c r="H226" s="341">
        <f>IF(F226="","",'Historique détail'!G226/$W226)</f>
        <v>0</v>
      </c>
      <c r="I226" s="341">
        <f>IF(G226="","",'Historique détail'!H226/$W226)</f>
        <v>0.00000694489103</v>
      </c>
      <c r="J226" s="341">
        <f>IF(H226="","",'Historique détail'!I226/$W226)</f>
        <v>0.01798028067</v>
      </c>
      <c r="K226" s="341">
        <f>IF(I226="","",'Historique détail'!J226/$W226)</f>
        <v>0</v>
      </c>
      <c r="L226" s="341">
        <f>IF(J226="","",'Historique détail'!K226/$W226)</f>
        <v>0</v>
      </c>
      <c r="M226" s="341">
        <f>IF(K226="","",'Historique détail'!L226/$W226)</f>
        <v>0</v>
      </c>
      <c r="N226" s="341">
        <f>IF(L226="","",'Historique détail'!M226/$W226)</f>
        <v>0.01827938246</v>
      </c>
      <c r="O226" s="341">
        <f>IF(M226="","",'Historique détail'!N226/$W226)</f>
        <v>0</v>
      </c>
      <c r="P226" s="341">
        <f>IF(N226="","",'Historique détail'!O226/$W226)</f>
        <v>0.0000000774472787</v>
      </c>
      <c r="Q226" s="341">
        <f>IF(O226="","",'Historique détail'!P226/$W226)</f>
        <v>0.0000000003993322522</v>
      </c>
      <c r="R226" s="341">
        <f>IF(P226="","",'Historique détail'!Q226/$W226)</f>
        <v>0</v>
      </c>
      <c r="S226" s="341">
        <f>IF(Q226="","",'Historique détail'!R226/$W226)</f>
        <v>0</v>
      </c>
      <c r="T226" s="341">
        <f>IF(R226="","",'Historique détail'!S226/$W226)</f>
        <v>0</v>
      </c>
      <c r="U226" s="340">
        <f t="shared" si="2"/>
        <v>0.1996161352</v>
      </c>
      <c r="V226" s="14">
        <f>IF(A226="","",ARBITRAGES!M227)</f>
        <v>9830.301423</v>
      </c>
      <c r="W226" s="342">
        <f>IF(V226="","",'Historique détail'!U226)</f>
        <v>49246.0262</v>
      </c>
      <c r="X226" s="288"/>
      <c r="Y226" s="220"/>
      <c r="Z226" s="220"/>
      <c r="AA226" s="220"/>
      <c r="AB226" s="220"/>
      <c r="AC226" s="220"/>
      <c r="AD226" s="220"/>
      <c r="AE226" s="220"/>
      <c r="AF226" s="220"/>
      <c r="AG226" s="220"/>
      <c r="AH226" s="220"/>
      <c r="AI226" s="308"/>
      <c r="AJ226" s="220"/>
      <c r="AK226" s="220"/>
      <c r="AL226" s="220"/>
      <c r="AM226" s="220"/>
      <c r="AN226" s="220"/>
      <c r="AO226" s="220"/>
      <c r="AP226" s="220"/>
      <c r="AQ226" s="220"/>
      <c r="AR226" s="220"/>
      <c r="AS226" s="220"/>
      <c r="AT226" s="220"/>
      <c r="AU226" s="220"/>
      <c r="AV226" s="220"/>
      <c r="AW226" s="220"/>
      <c r="AX226" s="220"/>
      <c r="AY226" s="220"/>
      <c r="AZ226" s="220"/>
      <c r="BA226" s="220"/>
      <c r="BB226" s="220"/>
    </row>
    <row r="227">
      <c r="A227" s="290">
        <f>PRIX!A228</f>
        <v>45993</v>
      </c>
      <c r="B227" s="302">
        <f t="shared" si="1"/>
        <v>0.8009987258</v>
      </c>
      <c r="C227" s="341">
        <f>IF(A227="","",'Historique détail'!B227/$W227)</f>
        <v>0.5720357734</v>
      </c>
      <c r="D227" s="341">
        <f>IF(B227="","",'Historique détail'!C227/$W227)</f>
        <v>0.1459448627</v>
      </c>
      <c r="E227" s="341">
        <f>IF(C227="","",'Historique détail'!D227/$W227)</f>
        <v>0.00000004376187329</v>
      </c>
      <c r="F227" s="341">
        <f>IF(D227="","",'Historique détail'!E227/$W227)</f>
        <v>0.02280904336</v>
      </c>
      <c r="G227" s="341">
        <f>IF(E227="","",'Historique détail'!F227/$W227)</f>
        <v>0.02852383134</v>
      </c>
      <c r="H227" s="341">
        <f>IF(F227="","",'Historique détail'!G227/$W227)</f>
        <v>0</v>
      </c>
      <c r="I227" s="341">
        <f>IF(G227="","",'Historique détail'!H227/$W227)</f>
        <v>0.000007562962516</v>
      </c>
      <c r="J227" s="341">
        <f>IF(H227="","",'Historique détail'!I227/$W227)</f>
        <v>0.01822542485</v>
      </c>
      <c r="K227" s="341">
        <f>IF(I227="","",'Historique détail'!J227/$W227)</f>
        <v>0</v>
      </c>
      <c r="L227" s="341">
        <f>IF(J227="","",'Historique détail'!K227/$W227)</f>
        <v>0</v>
      </c>
      <c r="M227" s="341">
        <f>IF(K227="","",'Historique détail'!L227/$W227)</f>
        <v>0</v>
      </c>
      <c r="N227" s="341">
        <f>IF(L227="","",'Historique détail'!M227/$W227)</f>
        <v>0.01345210546</v>
      </c>
      <c r="O227" s="341">
        <f>IF(M227="","",'Historique détail'!N227/$W227)</f>
        <v>0</v>
      </c>
      <c r="P227" s="341">
        <f>IF(N227="","",'Historique détail'!O227/$W227)</f>
        <v>0.00000007762071509</v>
      </c>
      <c r="Q227" s="341">
        <f>IF(O227="","",'Historique détail'!P227/$W227)</f>
        <v>0.0000000004096436163</v>
      </c>
      <c r="R227" s="341">
        <f>IF(P227="","",'Historique détail'!Q227/$W227)</f>
        <v>0</v>
      </c>
      <c r="S227" s="341">
        <f>IF(Q227="","",'Historique détail'!R227/$W227)</f>
        <v>0</v>
      </c>
      <c r="T227" s="341">
        <f>IF(R227="","",'Historique détail'!S227/$W227)</f>
        <v>0</v>
      </c>
      <c r="U227" s="340">
        <f t="shared" si="2"/>
        <v>0.1990012742</v>
      </c>
      <c r="V227" s="14">
        <f>IF(A227="","",ARBITRAGES!M228)</f>
        <v>10115.30142</v>
      </c>
      <c r="W227" s="342">
        <f>IF(V227="","",'Historique détail'!U227)</f>
        <v>50830.33496</v>
      </c>
      <c r="X227" s="288"/>
      <c r="Y227" s="220"/>
      <c r="Z227" s="220"/>
      <c r="AA227" s="220"/>
      <c r="AB227" s="220"/>
      <c r="AC227" s="220"/>
      <c r="AD227" s="220"/>
      <c r="AE227" s="220"/>
      <c r="AF227" s="220"/>
      <c r="AG227" s="220"/>
      <c r="AH227" s="220"/>
      <c r="AI227" s="308"/>
      <c r="AJ227" s="220"/>
      <c r="AK227" s="220"/>
      <c r="AL227" s="220"/>
      <c r="AM227" s="220"/>
      <c r="AN227" s="220"/>
      <c r="AO227" s="220"/>
      <c r="AP227" s="220"/>
      <c r="AQ227" s="220"/>
      <c r="AR227" s="220"/>
      <c r="AS227" s="220"/>
      <c r="AT227" s="220"/>
      <c r="AU227" s="220"/>
      <c r="AV227" s="220"/>
      <c r="AW227" s="220"/>
      <c r="AX227" s="220"/>
      <c r="AY227" s="220"/>
      <c r="AZ227" s="220"/>
      <c r="BA227" s="220"/>
      <c r="BB227" s="220"/>
    </row>
    <row r="228">
      <c r="A228" s="290">
        <f>PRIX!A229</f>
        <v>45993</v>
      </c>
      <c r="B228" s="302">
        <f t="shared" si="1"/>
        <v>0.7980476129</v>
      </c>
      <c r="C228" s="341">
        <f>IF(A228="","",'Historique détail'!B228/$W228)</f>
        <v>0.572036111</v>
      </c>
      <c r="D228" s="341">
        <f>IF(B228="","",'Historique détail'!C228/$W228)</f>
        <v>0.1459449488</v>
      </c>
      <c r="E228" s="341">
        <f>IF(C228="","",'Historique détail'!D228/$W228)</f>
        <v>0.00000004376189912</v>
      </c>
      <c r="F228" s="341">
        <f>IF(D228="","",'Historique détail'!E228/$W228)</f>
        <v>0.02280905682</v>
      </c>
      <c r="G228" s="341">
        <f>IF(E228="","",'Historique détail'!F228/$W228)</f>
        <v>0.02852384818</v>
      </c>
      <c r="H228" s="341">
        <f>IF(F228="","",'Historique détail'!G228/$W228)</f>
        <v>0</v>
      </c>
      <c r="I228" s="341">
        <f>IF(G228="","",'Historique détail'!H228/$W228)</f>
        <v>0.00000756296698</v>
      </c>
      <c r="J228" s="341">
        <f>IF(H228="","",'Historique détail'!I228/$W228)</f>
        <v>0.01527384993</v>
      </c>
      <c r="K228" s="341">
        <f>IF(I228="","",'Historique détail'!J228/$W228)</f>
        <v>0</v>
      </c>
      <c r="L228" s="341">
        <f>IF(J228="","",'Historique détail'!K228/$W228)</f>
        <v>0</v>
      </c>
      <c r="M228" s="341">
        <f>IF(K228="","",'Historique détail'!L228/$W228)</f>
        <v>0</v>
      </c>
      <c r="N228" s="341">
        <f>IF(L228="","",'Historique détail'!M228/$W228)</f>
        <v>0.0134521134</v>
      </c>
      <c r="O228" s="341">
        <f>IF(M228="","",'Historique détail'!N228/$W228)</f>
        <v>0</v>
      </c>
      <c r="P228" s="341">
        <f>IF(N228="","",'Historique détail'!O228/$W228)</f>
        <v>0.0000000776207609</v>
      </c>
      <c r="Q228" s="341">
        <f>IF(O228="","",'Historique détail'!P228/$W228)</f>
        <v>0.0000000004096438581</v>
      </c>
      <c r="R228" s="341">
        <f>IF(P228="","",'Historique détail'!Q228/$W228)</f>
        <v>0</v>
      </c>
      <c r="S228" s="341">
        <f>IF(Q228="","",'Historique détail'!R228/$W228)</f>
        <v>0</v>
      </c>
      <c r="T228" s="341">
        <f>IF(R228="","",'Historique détail'!S228/$W228)</f>
        <v>0</v>
      </c>
      <c r="U228" s="340">
        <f t="shared" si="2"/>
        <v>0.2019523871</v>
      </c>
      <c r="V228" s="14">
        <f>IF(A228="","",ARBITRAGES!M229)</f>
        <v>10265.30142</v>
      </c>
      <c r="W228" s="342">
        <f>IF(V228="","",'Historique détail'!U228)</f>
        <v>50830.30496</v>
      </c>
      <c r="X228" s="288"/>
      <c r="Y228" s="220"/>
      <c r="Z228" s="220"/>
      <c r="AA228" s="220"/>
      <c r="AB228" s="220"/>
      <c r="AC228" s="220"/>
      <c r="AD228" s="220"/>
      <c r="AE228" s="220"/>
      <c r="AF228" s="220"/>
      <c r="AG228" s="220"/>
      <c r="AH228" s="220"/>
      <c r="AI228" s="308"/>
      <c r="AJ228" s="220"/>
      <c r="AK228" s="220"/>
      <c r="AL228" s="220"/>
      <c r="AM228" s="220"/>
      <c r="AN228" s="220"/>
      <c r="AO228" s="220"/>
      <c r="AP228" s="220"/>
      <c r="AQ228" s="220"/>
      <c r="AR228" s="220"/>
      <c r="AS228" s="220"/>
      <c r="AT228" s="220"/>
      <c r="AU228" s="220"/>
      <c r="AV228" s="220"/>
      <c r="AW228" s="220"/>
      <c r="AX228" s="220"/>
      <c r="AY228" s="220"/>
      <c r="AZ228" s="220"/>
      <c r="BA228" s="220"/>
      <c r="BB228" s="220"/>
    </row>
    <row r="229">
      <c r="A229" s="290">
        <f>PRIX!A230</f>
        <v>45994</v>
      </c>
      <c r="B229" s="302">
        <f t="shared" si="1"/>
        <v>0.788216547</v>
      </c>
      <c r="C229" s="341">
        <f>IF(A229="","",'Historique détail'!B229/$W229)</f>
        <v>0.5622110052</v>
      </c>
      <c r="D229" s="341">
        <f>IF(B229="","",'Historique détail'!C229/$W229)</f>
        <v>0.1459411001</v>
      </c>
      <c r="E229" s="341">
        <f>IF(C229="","",'Historique détail'!D229/$W229)</f>
        <v>0.00000004376074508</v>
      </c>
      <c r="F229" s="341">
        <f>IF(D229="","",'Historique détail'!E229/$W229)</f>
        <v>0.02280845532</v>
      </c>
      <c r="G229" s="341">
        <f>IF(E229="","",'Historique détail'!F229/$W229)</f>
        <v>0.02852309597</v>
      </c>
      <c r="H229" s="341">
        <f>IF(F229="","",'Historique détail'!G229/$W229)</f>
        <v>0</v>
      </c>
      <c r="I229" s="341">
        <f>IF(G229="","",'Historique détail'!H229/$W229)</f>
        <v>0.000007562767537</v>
      </c>
      <c r="J229" s="341">
        <f>IF(H229="","",'Historique détail'!I229/$W229)</f>
        <v>0.01527344714</v>
      </c>
      <c r="K229" s="341">
        <f>IF(I229="","",'Historique détail'!J229/$W229)</f>
        <v>0</v>
      </c>
      <c r="L229" s="341">
        <f>IF(J229="","",'Historique détail'!K229/$W229)</f>
        <v>0</v>
      </c>
      <c r="M229" s="341">
        <f>IF(K229="","",'Historique détail'!L229/$W229)</f>
        <v>0</v>
      </c>
      <c r="N229" s="341">
        <f>IF(L229="","",'Historique détail'!M229/$W229)</f>
        <v>0.01345175865</v>
      </c>
      <c r="O229" s="341">
        <f>IF(M229="","",'Historique détail'!N229/$W229)</f>
        <v>0</v>
      </c>
      <c r="P229" s="341">
        <f>IF(N229="","",'Historique détail'!O229/$W229)</f>
        <v>0.00000007761871396</v>
      </c>
      <c r="Q229" s="341">
        <f>IF(O229="","",'Historique détail'!P229/$W229)</f>
        <v>0.0000000004096330554</v>
      </c>
      <c r="R229" s="341">
        <f>IF(P229="","",'Historique détail'!Q229/$W229)</f>
        <v>0</v>
      </c>
      <c r="S229" s="341">
        <f>IF(Q229="","",'Historique détail'!R229/$W229)</f>
        <v>0</v>
      </c>
      <c r="T229" s="341">
        <f>IF(R229="","",'Historique détail'!S229/$W229)</f>
        <v>0</v>
      </c>
      <c r="U229" s="340">
        <f t="shared" si="2"/>
        <v>0.211783453</v>
      </c>
      <c r="V229" s="14">
        <f>IF(A229="","",ARBITRAGES!M230)</f>
        <v>10765.3014</v>
      </c>
      <c r="W229" s="342">
        <f>IF(V229="","",'Historique détail'!U229)</f>
        <v>50831.64544</v>
      </c>
      <c r="X229" s="288"/>
      <c r="Y229" s="220"/>
      <c r="Z229" s="220"/>
      <c r="AA229" s="220"/>
      <c r="AB229" s="220"/>
      <c r="AC229" s="220"/>
      <c r="AD229" s="220"/>
      <c r="AE229" s="220"/>
      <c r="AF229" s="220"/>
      <c r="AG229" s="220"/>
      <c r="AH229" s="220"/>
      <c r="AI229" s="308"/>
      <c r="AJ229" s="220"/>
      <c r="AK229" s="220"/>
      <c r="AL229" s="220"/>
      <c r="AM229" s="220"/>
      <c r="AN229" s="220"/>
      <c r="AO229" s="220"/>
      <c r="AP229" s="220"/>
      <c r="AQ229" s="220"/>
      <c r="AR229" s="220"/>
      <c r="AS229" s="220"/>
      <c r="AT229" s="220"/>
      <c r="AU229" s="220"/>
      <c r="AV229" s="220"/>
      <c r="AW229" s="220"/>
      <c r="AX229" s="220"/>
      <c r="AY229" s="220"/>
      <c r="AZ229" s="220"/>
      <c r="BA229" s="220"/>
      <c r="BB229" s="220"/>
    </row>
    <row r="230">
      <c r="A230" s="290">
        <f>PRIX!A231</f>
        <v>45994</v>
      </c>
      <c r="B230" s="302">
        <f t="shared" si="1"/>
        <v>0.7825114395</v>
      </c>
      <c r="C230" s="341">
        <f>IF(A230="","",'Historique détail'!B230/$W230)</f>
        <v>0.5622110052</v>
      </c>
      <c r="D230" s="341">
        <f>IF(B230="","",'Historique détail'!C230/$W230)</f>
        <v>0.1459411001</v>
      </c>
      <c r="E230" s="341">
        <f>IF(C230="","",'Historique détail'!D230/$W230)</f>
        <v>0.00000004376074508</v>
      </c>
      <c r="F230" s="341">
        <f>IF(D230="","",'Historique détail'!E230/$W230)</f>
        <v>0.02280845532</v>
      </c>
      <c r="G230" s="341">
        <f>IF(E230="","",'Historique détail'!F230/$W230)</f>
        <v>0.02281798851</v>
      </c>
      <c r="H230" s="341">
        <f>IF(F230="","",'Historique détail'!G230/$W230)</f>
        <v>0</v>
      </c>
      <c r="I230" s="341">
        <f>IF(G230="","",'Historique détail'!H230/$W230)</f>
        <v>0.000007562767537</v>
      </c>
      <c r="J230" s="341">
        <f>IF(H230="","",'Historique détail'!I230/$W230)</f>
        <v>0.01527344714</v>
      </c>
      <c r="K230" s="341">
        <f>IF(I230="","",'Historique détail'!J230/$W230)</f>
        <v>0</v>
      </c>
      <c r="L230" s="341">
        <f>IF(J230="","",'Historique détail'!K230/$W230)</f>
        <v>0</v>
      </c>
      <c r="M230" s="341">
        <f>IF(K230="","",'Historique détail'!L230/$W230)</f>
        <v>0</v>
      </c>
      <c r="N230" s="341">
        <f>IF(L230="","",'Historique détail'!M230/$W230)</f>
        <v>0.01345175865</v>
      </c>
      <c r="O230" s="341">
        <f>IF(M230="","",'Historique détail'!N230/$W230)</f>
        <v>0</v>
      </c>
      <c r="P230" s="341">
        <f>IF(N230="","",'Historique détail'!O230/$W230)</f>
        <v>0.00000007761871396</v>
      </c>
      <c r="Q230" s="341">
        <f>IF(O230="","",'Historique détail'!P230/$W230)</f>
        <v>0.0000000004096330554</v>
      </c>
      <c r="R230" s="341">
        <f>IF(P230="","",'Historique détail'!Q230/$W230)</f>
        <v>0</v>
      </c>
      <c r="S230" s="341">
        <f>IF(Q230="","",'Historique détail'!R230/$W230)</f>
        <v>0</v>
      </c>
      <c r="T230" s="341">
        <f>IF(R230="","",'Historique détail'!S230/$W230)</f>
        <v>0</v>
      </c>
      <c r="U230" s="340">
        <f t="shared" si="2"/>
        <v>0.2174885605</v>
      </c>
      <c r="V230" s="14">
        <f>IF(A230="","",ARBITRAGES!M231)</f>
        <v>11055.3014</v>
      </c>
      <c r="W230" s="342">
        <f>IF(V230="","",'Historique détail'!U230)</f>
        <v>50831.64544</v>
      </c>
      <c r="X230" s="288"/>
      <c r="Y230" s="220"/>
      <c r="Z230" s="220"/>
      <c r="AA230" s="220"/>
      <c r="AB230" s="220"/>
      <c r="AC230" s="220"/>
      <c r="AD230" s="220"/>
      <c r="AE230" s="220"/>
      <c r="AF230" s="220"/>
      <c r="AG230" s="220"/>
      <c r="AH230" s="220"/>
      <c r="AI230" s="308"/>
      <c r="AJ230" s="220"/>
      <c r="AK230" s="220"/>
      <c r="AL230" s="220"/>
      <c r="AM230" s="220"/>
      <c r="AN230" s="220"/>
      <c r="AO230" s="220"/>
      <c r="AP230" s="220"/>
      <c r="AQ230" s="220"/>
      <c r="AR230" s="220"/>
      <c r="AS230" s="220"/>
      <c r="AT230" s="220"/>
      <c r="AU230" s="220"/>
      <c r="AV230" s="220"/>
      <c r="AW230" s="220"/>
      <c r="AX230" s="220"/>
      <c r="AY230" s="220"/>
      <c r="AZ230" s="220"/>
      <c r="BA230" s="220"/>
      <c r="BB230" s="220"/>
    </row>
    <row r="231">
      <c r="A231" s="290">
        <f>PRIX!A232</f>
        <v>45995</v>
      </c>
      <c r="B231" s="302">
        <f t="shared" si="1"/>
        <v>0.7771871411</v>
      </c>
      <c r="C231" s="341">
        <f>IF(A231="","",'Historique détail'!B231/$W231)</f>
        <v>0.5608907308</v>
      </c>
      <c r="D231" s="341">
        <f>IF(B231="","",'Historique détail'!C231/$W231)</f>
        <v>0.1421116986</v>
      </c>
      <c r="E231" s="341">
        <f>IF(C231="","",'Historique détail'!D231/$W231)</f>
        <v>0.00000004365797905</v>
      </c>
      <c r="F231" s="341">
        <f>IF(D231="","",'Historique détail'!E231/$W231)</f>
        <v>0.02275489284</v>
      </c>
      <c r="G231" s="341">
        <f>IF(E231="","",'Historique détail'!F231/$W231)</f>
        <v>0.02276440363</v>
      </c>
      <c r="H231" s="341">
        <f>IF(F231="","",'Historique détail'!G231/$W231)</f>
        <v>0</v>
      </c>
      <c r="I231" s="341">
        <f>IF(G231="","",'Historique détail'!H231/$W231)</f>
        <v>0.000007545007429</v>
      </c>
      <c r="J231" s="341">
        <f>IF(H231="","",'Historique détail'!I231/$W231)</f>
        <v>0.01523757957</v>
      </c>
      <c r="K231" s="341">
        <f>IF(I231="","",'Historique détail'!J231/$W231)</f>
        <v>0</v>
      </c>
      <c r="L231" s="341">
        <f>IF(J231="","",'Historique détail'!K231/$W231)</f>
        <v>0</v>
      </c>
      <c r="M231" s="341">
        <f>IF(K231="","",'Historique détail'!L231/$W231)</f>
        <v>0</v>
      </c>
      <c r="N231" s="341">
        <f>IF(L231="","",'Historique détail'!M231/$W231)</f>
        <v>0.01342016907</v>
      </c>
      <c r="O231" s="341">
        <f>IF(M231="","",'Historique détail'!N231/$W231)</f>
        <v>0</v>
      </c>
      <c r="P231" s="341">
        <f>IF(N231="","",'Historique détail'!O231/$W231)</f>
        <v>0.00000007743643721</v>
      </c>
      <c r="Q231" s="341">
        <f>IF(O231="","",'Historique détail'!P231/$W231)</f>
        <v>0.0000000004086710891</v>
      </c>
      <c r="R231" s="341">
        <f>IF(P231="","",'Historique détail'!Q231/$W231)</f>
        <v>0</v>
      </c>
      <c r="S231" s="341">
        <f>IF(Q231="","",'Historique détail'!R231/$W231)</f>
        <v>0</v>
      </c>
      <c r="T231" s="341">
        <f>IF(R231="","",'Historique détail'!S231/$W231)</f>
        <v>0</v>
      </c>
      <c r="U231" s="340">
        <f t="shared" si="2"/>
        <v>0.2228128589</v>
      </c>
      <c r="V231" s="14">
        <f>IF(A231="","",ARBITRAGES!M232)</f>
        <v>11352.60425</v>
      </c>
      <c r="W231" s="342">
        <f>IF(V231="","",'Historique détail'!U231)</f>
        <v>50951.29748</v>
      </c>
      <c r="X231" s="288"/>
      <c r="Y231" s="220"/>
      <c r="Z231" s="220"/>
      <c r="AA231" s="220"/>
      <c r="AB231" s="220"/>
      <c r="AC231" s="220"/>
      <c r="AD231" s="220"/>
      <c r="AE231" s="220"/>
      <c r="AF231" s="220"/>
      <c r="AG231" s="220"/>
      <c r="AH231" s="220"/>
      <c r="AI231" s="308"/>
      <c r="AJ231" s="220"/>
      <c r="AK231" s="220"/>
      <c r="AL231" s="220"/>
      <c r="AM231" s="220"/>
      <c r="AN231" s="220"/>
      <c r="AO231" s="220"/>
      <c r="AP231" s="220"/>
      <c r="AQ231" s="220"/>
      <c r="AR231" s="220"/>
      <c r="AS231" s="220"/>
      <c r="AT231" s="220"/>
      <c r="AU231" s="220"/>
      <c r="AV231" s="220"/>
      <c r="AW231" s="220"/>
      <c r="AX231" s="220"/>
      <c r="AY231" s="220"/>
      <c r="AZ231" s="220"/>
      <c r="BA231" s="220"/>
      <c r="BB231" s="220"/>
    </row>
    <row r="232">
      <c r="A232" s="290">
        <f>PRIX!A233</f>
        <v>46001</v>
      </c>
      <c r="B232" s="302">
        <f t="shared" si="1"/>
        <v>0.7724709721</v>
      </c>
      <c r="C232" s="341">
        <f>IF(A232="","",'Historique détail'!B232/$W232)</f>
        <v>0.5562569038</v>
      </c>
      <c r="D232" s="341">
        <f>IF(B232="","",'Historique détail'!C232/$W232)</f>
        <v>0.1426030454</v>
      </c>
      <c r="E232" s="341">
        <f>IF(C232="","",'Historique détail'!D232/$W232)</f>
        <v>0.00000004465033697</v>
      </c>
      <c r="F232" s="341">
        <f>IF(D232="","",'Historique détail'!E232/$W232)</f>
        <v>0.02178873311</v>
      </c>
      <c r="G232" s="341">
        <f>IF(E232="","",'Historique détail'!F232/$W232)</f>
        <v>0.02335482866</v>
      </c>
      <c r="H232" s="341">
        <f>IF(F232="","",'Historique détail'!G232/$W232)</f>
        <v>0</v>
      </c>
      <c r="I232" s="341">
        <f>IF(G232="","",'Historique détail'!H232/$W232)</f>
        <v>0.000007327860026</v>
      </c>
      <c r="J232" s="341">
        <f>IF(H232="","",'Historique détail'!I232/$W232)</f>
        <v>0.01480945967</v>
      </c>
      <c r="K232" s="341">
        <f>IF(I232="","",'Historique détail'!J232/$W232)</f>
        <v>0</v>
      </c>
      <c r="L232" s="341">
        <f>IF(J232="","",'Historique détail'!K232/$W232)</f>
        <v>0</v>
      </c>
      <c r="M232" s="341">
        <f>IF(K232="","",'Historique détail'!L232/$W232)</f>
        <v>0</v>
      </c>
      <c r="N232" s="341">
        <f>IF(L232="","",'Historique détail'!M232/$W232)</f>
        <v>0.01365056171</v>
      </c>
      <c r="O232" s="341">
        <f>IF(M232="","",'Historique détail'!N232/$W232)</f>
        <v>0</v>
      </c>
      <c r="P232" s="341">
        <f>IF(N232="","",'Historique détail'!O232/$W232)</f>
        <v>0.00000006684156542</v>
      </c>
      <c r="Q232" s="341">
        <f>IF(O232="","",'Historique détail'!P232/$W232)</f>
        <v>0.000000000422182117</v>
      </c>
      <c r="R232" s="341">
        <f>IF(P232="","",'Historique détail'!Q232/$W232)</f>
        <v>0</v>
      </c>
      <c r="S232" s="341">
        <f>IF(Q232="","",'Historique détail'!R232/$W232)</f>
        <v>0</v>
      </c>
      <c r="T232" s="341">
        <f>IF(R232="","",'Historique détail'!S232/$W232)</f>
        <v>0</v>
      </c>
      <c r="U232" s="340">
        <f t="shared" si="2"/>
        <v>0.2275290279</v>
      </c>
      <c r="V232" s="14">
        <f>IF(A232="","",ARBITRAGES!M233)</f>
        <v>11689.47235</v>
      </c>
      <c r="W232" s="342">
        <f>IF(V232="","",'Historique détail'!U232)</f>
        <v>51375.74074</v>
      </c>
      <c r="X232" s="288"/>
      <c r="Y232" s="220"/>
      <c r="Z232" s="220"/>
      <c r="AA232" s="220"/>
      <c r="AB232" s="220"/>
      <c r="AC232" s="220"/>
      <c r="AD232" s="220"/>
      <c r="AE232" s="220"/>
      <c r="AF232" s="220"/>
      <c r="AG232" s="220"/>
      <c r="AH232" s="220"/>
      <c r="AI232" s="308"/>
      <c r="AJ232" s="220"/>
      <c r="AK232" s="220"/>
      <c r="AL232" s="220"/>
      <c r="AM232" s="220"/>
      <c r="AN232" s="220"/>
      <c r="AO232" s="220"/>
      <c r="AP232" s="220"/>
      <c r="AQ232" s="220"/>
      <c r="AR232" s="220"/>
      <c r="AS232" s="220"/>
      <c r="AT232" s="220"/>
      <c r="AU232" s="220"/>
      <c r="AV232" s="220"/>
      <c r="AW232" s="220"/>
      <c r="AX232" s="220"/>
      <c r="AY232" s="220"/>
      <c r="AZ232" s="220"/>
      <c r="BA232" s="220"/>
      <c r="BB232" s="220"/>
    </row>
    <row r="233">
      <c r="A233" s="290">
        <f>PRIX!A234</f>
        <v>46026</v>
      </c>
      <c r="B233" s="302">
        <f t="shared" si="1"/>
        <v>0.761447972</v>
      </c>
      <c r="C233" s="341">
        <f>IF(A233="","",'Historique détail'!B233/$W233)</f>
        <v>0.5534724875</v>
      </c>
      <c r="D233" s="341">
        <f>IF(B233="","",'Historique détail'!C233/$W233)</f>
        <v>0.1378911075</v>
      </c>
      <c r="E233" s="341">
        <f>IF(C233="","",'Historique détail'!D233/$W233)</f>
        <v>0.00000005117450662</v>
      </c>
      <c r="F233" s="341">
        <f>IF(D233="","",'Historique détail'!E233/$W233)</f>
        <v>0.02147725884</v>
      </c>
      <c r="G233" s="341">
        <f>IF(E233="","",'Historique détail'!F233/$W233)</f>
        <v>0.02148623563</v>
      </c>
      <c r="H233" s="341">
        <f>IF(F233="","",'Historique détail'!G233/$W233)</f>
        <v>0</v>
      </c>
      <c r="I233" s="341">
        <f>IF(G233="","",'Historique détail'!H233/$W233)</f>
        <v>0.000007068622003</v>
      </c>
      <c r="J233" s="341">
        <f>IF(H233="","",'Historique détail'!I233/$W233)</f>
        <v>0.01560183393</v>
      </c>
      <c r="K233" s="341">
        <f>IF(I233="","",'Historique détail'!J233/$W233)</f>
        <v>0</v>
      </c>
      <c r="L233" s="341">
        <f>IF(J233="","",'Historique détail'!K233/$W233)</f>
        <v>0</v>
      </c>
      <c r="M233" s="341">
        <f>IF(K233="","",'Historique détail'!L233/$W233)</f>
        <v>0</v>
      </c>
      <c r="N233" s="341">
        <f>IF(L233="","",'Historique détail'!M233/$W233)</f>
        <v>0.01151186294</v>
      </c>
      <c r="O233" s="341">
        <f>IF(M233="","",'Historique détail'!N233/$W233)</f>
        <v>0</v>
      </c>
      <c r="P233" s="341">
        <f>IF(N233="","",'Historique détail'!O233/$W233)</f>
        <v>0.00000006541877501</v>
      </c>
      <c r="Q233" s="341">
        <f>IF(O233="","",'Historique détail'!P233/$W233)</f>
        <v>0.0000000004603304422</v>
      </c>
      <c r="R233" s="341">
        <f>IF(P233="","",'Historique détail'!Q233/$W233)</f>
        <v>0</v>
      </c>
      <c r="S233" s="341">
        <f>IF(Q233="","",'Historique détail'!R233/$W233)</f>
        <v>0</v>
      </c>
      <c r="T233" s="341">
        <f>IF(R233="","",'Historique détail'!S233/$W233)</f>
        <v>0</v>
      </c>
      <c r="U233" s="340">
        <f t="shared" si="2"/>
        <v>0.238552028</v>
      </c>
      <c r="V233" s="14">
        <f>IF(A233="","",ARBITRAGES!M234)</f>
        <v>11989.47235</v>
      </c>
      <c r="W233" s="342">
        <f>IF(V233="","",'Historique détail'!U233)</f>
        <v>50259.36039</v>
      </c>
      <c r="X233" s="288"/>
      <c r="Y233" s="220"/>
      <c r="Z233" s="220"/>
      <c r="AA233" s="220"/>
      <c r="AB233" s="220"/>
      <c r="AC233" s="220"/>
      <c r="AD233" s="220"/>
      <c r="AE233" s="220"/>
      <c r="AF233" s="220"/>
      <c r="AG233" s="220"/>
      <c r="AH233" s="220"/>
      <c r="AI233" s="308"/>
      <c r="AJ233" s="220"/>
      <c r="AK233" s="220"/>
      <c r="AL233" s="220"/>
      <c r="AM233" s="220"/>
      <c r="AN233" s="220"/>
      <c r="AO233" s="220"/>
      <c r="AP233" s="220"/>
      <c r="AQ233" s="220"/>
      <c r="AR233" s="220"/>
      <c r="AS233" s="220"/>
      <c r="AT233" s="220"/>
      <c r="AU233" s="220"/>
      <c r="AV233" s="220"/>
      <c r="AW233" s="220"/>
      <c r="AX233" s="220"/>
      <c r="AY233" s="220"/>
      <c r="AZ233" s="220"/>
      <c r="BA233" s="220"/>
      <c r="BB233" s="220"/>
    </row>
    <row r="234">
      <c r="A234" s="290">
        <f>PRIX!A235</f>
        <v>46039</v>
      </c>
      <c r="B234" s="302">
        <f t="shared" si="1"/>
        <v>0.7540870627</v>
      </c>
      <c r="C234" s="341">
        <f>IF(A234="","",'Historique détail'!B234/$W234)</f>
        <v>0.5594673603</v>
      </c>
      <c r="D234" s="341">
        <f>IF(B234="","",'Historique détail'!C234/$W234)</f>
        <v>0.1301958694</v>
      </c>
      <c r="E234" s="341">
        <f>IF(C234="","",'Historique détail'!D234/$W234)</f>
        <v>0.0000000443987567</v>
      </c>
      <c r="F234" s="341">
        <f>IF(D234="","",'Historique détail'!E234/$W234)</f>
        <v>0.02074709642</v>
      </c>
      <c r="G234" s="341">
        <f>IF(E234="","",'Historique détail'!F234/$W234)</f>
        <v>0.01955831986</v>
      </c>
      <c r="H234" s="341">
        <f>IF(F234="","",'Historique détail'!G234/$W234)</f>
        <v>0</v>
      </c>
      <c r="I234" s="341">
        <f>IF(G234="","",'Historique détail'!H234/$W234)</f>
        <v>0.000006614680366</v>
      </c>
      <c r="J234" s="341">
        <f>IF(H234="","",'Historique détail'!I234/$W234)</f>
        <v>0.01291343917</v>
      </c>
      <c r="K234" s="341">
        <f>IF(I234="","",'Historique détail'!J234/$W234)</f>
        <v>0</v>
      </c>
      <c r="L234" s="341">
        <f>IF(J234="","",'Historique détail'!K234/$W234)</f>
        <v>0</v>
      </c>
      <c r="M234" s="341">
        <f>IF(K234="","",'Historique détail'!L234/$W234)</f>
        <v>0</v>
      </c>
      <c r="N234" s="341">
        <f>IF(L234="","",'Historique détail'!M234/$W234)</f>
        <v>0.0111982598</v>
      </c>
      <c r="O234" s="341">
        <f>IF(M234="","",'Historique détail'!N234/$W234)</f>
        <v>0</v>
      </c>
      <c r="P234" s="341">
        <f>IF(N234="","",'Historique détail'!O234/$W234)</f>
        <v>0.00000005833359946</v>
      </c>
      <c r="Q234" s="341">
        <f>IF(O234="","",'Historique détail'!P234/$W234)</f>
        <v>0.0000000003463377648</v>
      </c>
      <c r="R234" s="341">
        <f>IF(P234="","",'Historique détail'!Q234/$W234)</f>
        <v>0</v>
      </c>
      <c r="S234" s="341">
        <f>IF(Q234="","",'Historique détail'!R234/$W234)</f>
        <v>0</v>
      </c>
      <c r="T234" s="341">
        <f>IF(R234="","",'Historique détail'!S234/$W234)</f>
        <v>0</v>
      </c>
      <c r="U234" s="340">
        <f t="shared" si="2"/>
        <v>0.2459129373</v>
      </c>
      <c r="V234" s="14">
        <f>IF(A234="","",ARBITRAGES!M235)</f>
        <v>12320.53153</v>
      </c>
      <c r="W234" s="342">
        <f>IF(V234="","",'Historique détail'!U234)</f>
        <v>50101.19299</v>
      </c>
      <c r="X234" s="288"/>
      <c r="Y234" s="220"/>
      <c r="Z234" s="220"/>
      <c r="AA234" s="220"/>
      <c r="AB234" s="220"/>
      <c r="AC234" s="220"/>
      <c r="AD234" s="220"/>
      <c r="AE234" s="220"/>
      <c r="AF234" s="220"/>
      <c r="AG234" s="220"/>
      <c r="AH234" s="220"/>
      <c r="AI234" s="308"/>
      <c r="AJ234" s="220"/>
      <c r="AK234" s="220"/>
      <c r="AL234" s="220"/>
      <c r="AM234" s="220"/>
      <c r="AN234" s="220"/>
      <c r="AO234" s="220"/>
      <c r="AP234" s="220"/>
      <c r="AQ234" s="220"/>
      <c r="AR234" s="220"/>
      <c r="AS234" s="220"/>
      <c r="AT234" s="220"/>
      <c r="AU234" s="220"/>
      <c r="AV234" s="220"/>
      <c r="AW234" s="220"/>
      <c r="AX234" s="220"/>
      <c r="AY234" s="220"/>
      <c r="AZ234" s="220"/>
      <c r="BA234" s="220"/>
      <c r="BB234" s="220"/>
    </row>
    <row r="235">
      <c r="A235" s="290">
        <f>PRIX!A236</f>
        <v>46045</v>
      </c>
      <c r="B235" s="302">
        <f t="shared" si="1"/>
        <v>0.7410850861</v>
      </c>
      <c r="C235" s="341">
        <f>IF(A235="","",'Historique détail'!B235/$W235)</f>
        <v>0.5545381057</v>
      </c>
      <c r="D235" s="341">
        <f>IF(B235="","",'Historique détail'!C235/$W235)</f>
        <v>0.1276511635</v>
      </c>
      <c r="E235" s="341">
        <f>IF(C235="","",'Historique détail'!D235/$W235)</f>
        <v>0.00000004373778246</v>
      </c>
      <c r="F235" s="341">
        <f>IF(D235="","",'Historique détail'!E235/$W235)</f>
        <v>0.02130369224</v>
      </c>
      <c r="G235" s="341">
        <f>IF(E235="","",'Historique détail'!F235/$W235)</f>
        <v>0.01967316599</v>
      </c>
      <c r="H235" s="341">
        <f>IF(F235="","",'Historique détail'!G235/$W235)</f>
        <v>0</v>
      </c>
      <c r="I235" s="341">
        <f>IF(G235="","",'Historique détail'!H235/$W235)</f>
        <v>0.000006601956863</v>
      </c>
      <c r="J235" s="341">
        <f>IF(H235="","",'Historique détail'!I235/$W235)</f>
        <v>0.006772903826</v>
      </c>
      <c r="K235" s="341">
        <f>IF(I235="","",'Historique détail'!J235/$W235)</f>
        <v>0</v>
      </c>
      <c r="L235" s="341">
        <f>IF(J235="","",'Historique détail'!K235/$W235)</f>
        <v>0</v>
      </c>
      <c r="M235" s="341">
        <f>IF(K235="","",'Historique détail'!L235/$W235)</f>
        <v>0</v>
      </c>
      <c r="N235" s="341">
        <f>IF(L235="","",'Historique détail'!M235/$W235)</f>
        <v>0.01113934895</v>
      </c>
      <c r="O235" s="341">
        <f>IF(M235="","",'Historique détail'!N235/$W235)</f>
        <v>0</v>
      </c>
      <c r="P235" s="341">
        <f>IF(N235="","",'Historique détail'!O235/$W235)</f>
        <v>0.00000005989855281</v>
      </c>
      <c r="Q235" s="341">
        <f>IF(O235="","",'Historique détail'!P235/$W235)</f>
        <v>0.0000000003437748865</v>
      </c>
      <c r="R235" s="341">
        <f>IF(P235="","",'Historique détail'!Q235/$W235)</f>
        <v>0</v>
      </c>
      <c r="S235" s="341">
        <f>IF(Q235="","",'Historique détail'!R235/$W235)</f>
        <v>0</v>
      </c>
      <c r="T235" s="341">
        <f>IF(R235="","",'Historique détail'!S235/$W235)</f>
        <v>0</v>
      </c>
      <c r="U235" s="340">
        <f t="shared" si="2"/>
        <v>0.2589149139</v>
      </c>
      <c r="V235" s="14">
        <f>IF(A235="","",ARBITRAGES!M236)</f>
        <v>12633.03153</v>
      </c>
      <c r="W235" s="342">
        <f>IF(V235="","",'Historique détail'!U235)</f>
        <v>48792.21262</v>
      </c>
      <c r="X235" s="288"/>
      <c r="Y235" s="220"/>
      <c r="Z235" s="220"/>
      <c r="AA235" s="220"/>
      <c r="AB235" s="220"/>
      <c r="AC235" s="220"/>
      <c r="AD235" s="220"/>
      <c r="AE235" s="220"/>
      <c r="AF235" s="220"/>
      <c r="AG235" s="220"/>
      <c r="AH235" s="220"/>
      <c r="AI235" s="308"/>
      <c r="AJ235" s="220"/>
      <c r="AK235" s="220"/>
      <c r="AL235" s="220"/>
      <c r="AM235" s="220"/>
      <c r="AN235" s="220"/>
      <c r="AO235" s="220"/>
      <c r="AP235" s="220"/>
      <c r="AQ235" s="220"/>
      <c r="AR235" s="220"/>
      <c r="AS235" s="220"/>
      <c r="AT235" s="220"/>
      <c r="AU235" s="220"/>
      <c r="AV235" s="220"/>
      <c r="AW235" s="220"/>
      <c r="AX235" s="220"/>
      <c r="AY235" s="220"/>
      <c r="AZ235" s="220"/>
      <c r="BA235" s="220"/>
      <c r="BB235" s="220"/>
    </row>
    <row r="236">
      <c r="A236" s="290">
        <f>PRIX!A237</f>
        <v>46046</v>
      </c>
      <c r="B236" s="302">
        <f t="shared" si="1"/>
        <v>0.7206378604</v>
      </c>
      <c r="C236" s="341">
        <f>IF(A236="","",'Historique détail'!B236/$W236)</f>
        <v>0.5341228241</v>
      </c>
      <c r="D236" s="341">
        <f>IF(B236="","",'Historique détail'!C236/$W236)</f>
        <v>0.1276293046</v>
      </c>
      <c r="E236" s="341">
        <f>IF(C236="","",'Historique détail'!D236/$W236)</f>
        <v>0.00000004373029286</v>
      </c>
      <c r="F236" s="341">
        <f>IF(D236="","",'Historique détail'!E236/$W236)</f>
        <v>0.02130004423</v>
      </c>
      <c r="G236" s="341">
        <f>IF(E236="","",'Historique détail'!F236/$W236)</f>
        <v>0.01966979718</v>
      </c>
      <c r="H236" s="341">
        <f>IF(F236="","",'Historique détail'!G236/$W236)</f>
        <v>0</v>
      </c>
      <c r="I236" s="341">
        <f>IF(G236="","",'Historique détail'!H236/$W236)</f>
        <v>0.000006600826353</v>
      </c>
      <c r="J236" s="341">
        <f>IF(H236="","",'Historique détail'!I236/$W236)</f>
        <v>0.006771744043</v>
      </c>
      <c r="K236" s="341">
        <f>IF(I236="","",'Historique détail'!J236/$W236)</f>
        <v>0</v>
      </c>
      <c r="L236" s="341">
        <f>IF(J236="","",'Historique détail'!K236/$W236)</f>
        <v>0</v>
      </c>
      <c r="M236" s="341">
        <f>IF(K236="","",'Historique détail'!L236/$W236)</f>
        <v>0</v>
      </c>
      <c r="N236" s="341">
        <f>IF(L236="","",'Historique détail'!M236/$W236)</f>
        <v>0.01113744146</v>
      </c>
      <c r="O236" s="341">
        <f>IF(M236="","",'Historique détail'!N236/$W236)</f>
        <v>0</v>
      </c>
      <c r="P236" s="341">
        <f>IF(N236="","",'Historique détail'!O236/$W236)</f>
        <v>0.00000005988829586</v>
      </c>
      <c r="Q236" s="341">
        <f>IF(O236="","",'Historique détail'!P236/$W236)</f>
        <v>0.0000000003437160189</v>
      </c>
      <c r="R236" s="341">
        <f>IF(P236="","",'Historique détail'!Q236/$W236)</f>
        <v>0</v>
      </c>
      <c r="S236" s="341">
        <f>IF(Q236="","",'Historique détail'!R236/$W236)</f>
        <v>0</v>
      </c>
      <c r="T236" s="341">
        <f>IF(R236="","",'Historique détail'!S236/$W236)</f>
        <v>0</v>
      </c>
      <c r="U236" s="340">
        <f t="shared" si="2"/>
        <v>0.2793621396</v>
      </c>
      <c r="V236" s="14">
        <f>IF(A236="","",ARBITRAGES!M237)</f>
        <v>13633.03142</v>
      </c>
      <c r="W236" s="342">
        <f>IF(V236="","",'Historique détail'!U236)</f>
        <v>48800.56917</v>
      </c>
      <c r="X236" s="288"/>
      <c r="Y236" s="220"/>
      <c r="Z236" s="220"/>
      <c r="AA236" s="220"/>
      <c r="AB236" s="220"/>
      <c r="AC236" s="220"/>
      <c r="AD236" s="220"/>
      <c r="AE236" s="220"/>
      <c r="AF236" s="220"/>
      <c r="AG236" s="220"/>
      <c r="AH236" s="220"/>
      <c r="AI236" s="308"/>
      <c r="AJ236" s="220"/>
      <c r="AK236" s="220"/>
      <c r="AL236" s="220"/>
      <c r="AM236" s="220"/>
      <c r="AN236" s="220"/>
      <c r="AO236" s="220"/>
      <c r="AP236" s="220"/>
      <c r="AQ236" s="220"/>
      <c r="AR236" s="220"/>
      <c r="AS236" s="220"/>
      <c r="AT236" s="220"/>
      <c r="AU236" s="220"/>
      <c r="AV236" s="220"/>
      <c r="AW236" s="220"/>
      <c r="AX236" s="220"/>
      <c r="AY236" s="220"/>
      <c r="AZ236" s="220"/>
      <c r="BA236" s="220"/>
      <c r="BB236" s="220"/>
    </row>
    <row r="237">
      <c r="A237" s="290">
        <f>PRIX!A238</f>
        <v>46047</v>
      </c>
      <c r="B237" s="302">
        <f t="shared" si="1"/>
        <v>0.7238018426</v>
      </c>
      <c r="C237" s="341">
        <f>IF(A237="","",'Historique détail'!B237/$W237)</f>
        <v>0.5337383798</v>
      </c>
      <c r="D237" s="341">
        <f>IF(B237="","",'Historique détail'!C237/$W237)</f>
        <v>0.1263721344</v>
      </c>
      <c r="E237" s="341">
        <f>IF(C237="","",'Historique détail'!D237/$W237)</f>
        <v>0.00000004318768211</v>
      </c>
      <c r="F237" s="341">
        <f>IF(D237="","",'Historique détail'!E237/$W237)</f>
        <v>0.02069863932</v>
      </c>
      <c r="G237" s="341">
        <f>IF(E237="","",'Historique détail'!F237/$W237)</f>
        <v>0.01913353657</v>
      </c>
      <c r="H237" s="341">
        <f>IF(F237="","",'Historique détail'!G237/$W237)</f>
        <v>0</v>
      </c>
      <c r="I237" s="341">
        <f>IF(G237="","",'Historique détail'!H237/$W237)</f>
        <v>0.00611578319</v>
      </c>
      <c r="J237" s="341">
        <f>IF(H237="","",'Historique détail'!I237/$W237)</f>
        <v>0.006705228434</v>
      </c>
      <c r="K237" s="341">
        <f>IF(I237="","",'Historique détail'!J237/$W237)</f>
        <v>0</v>
      </c>
      <c r="L237" s="341">
        <f>IF(J237="","",'Historique détail'!K237/$W237)</f>
        <v>0</v>
      </c>
      <c r="M237" s="341">
        <f>IF(K237="","",'Historique détail'!L237/$W237)</f>
        <v>0</v>
      </c>
      <c r="N237" s="341">
        <f>IF(L237="","",'Historique détail'!M237/$W237)</f>
        <v>0.01103803979</v>
      </c>
      <c r="O237" s="341">
        <f>IF(M237="","",'Historique détail'!N237/$W237)</f>
        <v>0</v>
      </c>
      <c r="P237" s="341">
        <f>IF(N237="","",'Historique détail'!O237/$W237)</f>
        <v>0.00000005749898673</v>
      </c>
      <c r="Q237" s="341">
        <f>IF(O237="","",'Historique détail'!P237/$W237)</f>
        <v>0.0000000003353933422</v>
      </c>
      <c r="R237" s="341">
        <f>IF(P237="","",'Historique détail'!Q237/$W237)</f>
        <v>0</v>
      </c>
      <c r="S237" s="341">
        <f>IF(Q237="","",'Historique détail'!R237/$W237)</f>
        <v>0</v>
      </c>
      <c r="T237" s="341">
        <f>IF(R237="","",'Historique détail'!S237/$W237)</f>
        <v>0</v>
      </c>
      <c r="U237" s="340">
        <f t="shared" si="2"/>
        <v>0.2761981574</v>
      </c>
      <c r="V237" s="14">
        <f>IF(A237="","",ARBITRAGES!M238)</f>
        <v>13336.78142</v>
      </c>
      <c r="W237" s="342">
        <f>IF(V237="","",'Historique détail'!U237)</f>
        <v>48287.00358</v>
      </c>
      <c r="X237" s="288"/>
      <c r="Y237" s="220"/>
      <c r="Z237" s="220"/>
      <c r="AA237" s="220"/>
      <c r="AB237" s="220"/>
      <c r="AC237" s="220"/>
      <c r="AD237" s="220"/>
      <c r="AE237" s="220"/>
      <c r="AF237" s="220"/>
      <c r="AG237" s="220"/>
      <c r="AH237" s="220"/>
      <c r="AI237" s="308"/>
      <c r="AJ237" s="220"/>
      <c r="AK237" s="220"/>
      <c r="AL237" s="220"/>
      <c r="AM237" s="220"/>
      <c r="AN237" s="220"/>
      <c r="AO237" s="220"/>
      <c r="AP237" s="220"/>
      <c r="AQ237" s="220"/>
      <c r="AR237" s="220"/>
      <c r="AS237" s="220"/>
      <c r="AT237" s="220"/>
      <c r="AU237" s="220"/>
      <c r="AV237" s="220"/>
      <c r="AW237" s="220"/>
      <c r="AX237" s="220"/>
      <c r="AY237" s="220"/>
      <c r="AZ237" s="220"/>
      <c r="BA237" s="220"/>
      <c r="BB237" s="220"/>
    </row>
    <row r="238">
      <c r="A238" s="290">
        <f>PRIX!A239</f>
        <v>46048</v>
      </c>
      <c r="B238" s="302">
        <f t="shared" si="1"/>
        <v>0.7279501827</v>
      </c>
      <c r="C238" s="341">
        <f>IF(A238="","",'Historique détail'!B238/$W238)</f>
        <v>0.5378912182</v>
      </c>
      <c r="D238" s="341">
        <f>IF(B238="","",'Historique détail'!C238/$W238)</f>
        <v>0.1263691435</v>
      </c>
      <c r="E238" s="341">
        <f>IF(C238="","",'Historique détail'!D238/$W238)</f>
        <v>0.00000004318665997</v>
      </c>
      <c r="F238" s="341">
        <f>IF(D238="","",'Historique détail'!E238/$W238)</f>
        <v>0.02069814943</v>
      </c>
      <c r="G238" s="341">
        <f>IF(E238="","",'Historique détail'!F238/$W238)</f>
        <v>0.01913308373</v>
      </c>
      <c r="H238" s="341">
        <f>IF(F238="","",'Historique détail'!G238/$W238)</f>
        <v>0</v>
      </c>
      <c r="I238" s="341">
        <f>IF(G238="","",'Historique détail'!H238/$W238)</f>
        <v>0.006115638445</v>
      </c>
      <c r="J238" s="341">
        <f>IF(H238="","",'Historique détail'!I238/$W238)</f>
        <v>0.006705069739</v>
      </c>
      <c r="K238" s="341">
        <f>IF(I238="","",'Historique détail'!J238/$W238)</f>
        <v>0</v>
      </c>
      <c r="L238" s="341">
        <f>IF(J238="","",'Historique détail'!K238/$W238)</f>
        <v>0</v>
      </c>
      <c r="M238" s="341">
        <f>IF(K238="","",'Historique détail'!L238/$W238)</f>
        <v>0</v>
      </c>
      <c r="N238" s="341">
        <f>IF(L238="","",'Historique détail'!M238/$W238)</f>
        <v>0.01103777854</v>
      </c>
      <c r="O238" s="341">
        <f>IF(M238="","",'Historique détail'!N238/$W238)</f>
        <v>0</v>
      </c>
      <c r="P238" s="341">
        <f>IF(N238="","",'Historique détail'!O238/$W238)</f>
        <v>0.00000005749762587</v>
      </c>
      <c r="Q238" s="341">
        <f>IF(O238="","",'Historique détail'!P238/$W238)</f>
        <v>0.0000000003353854043</v>
      </c>
      <c r="R238" s="341">
        <f>IF(P238="","",'Historique détail'!Q238/$W238)</f>
        <v>0</v>
      </c>
      <c r="S238" s="341">
        <f>IF(Q238="","",'Historique détail'!R238/$W238)</f>
        <v>0</v>
      </c>
      <c r="T238" s="341">
        <f>IF(R238="","",'Historique détail'!S238/$W238)</f>
        <v>0</v>
      </c>
      <c r="U238" s="340">
        <f t="shared" si="2"/>
        <v>0.2720498173</v>
      </c>
      <c r="V238" s="14">
        <f>IF(A238="","",ARBITRAGES!M239)</f>
        <v>13136.78142</v>
      </c>
      <c r="W238" s="342">
        <f>IF(V238="","",'Historique détail'!U238)</f>
        <v>48288.14644</v>
      </c>
      <c r="X238" s="288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220"/>
      <c r="AI238" s="308"/>
      <c r="AJ238" s="220"/>
      <c r="AK238" s="220"/>
      <c r="AL238" s="220"/>
      <c r="AM238" s="220"/>
      <c r="AN238" s="220"/>
      <c r="AO238" s="220"/>
      <c r="AP238" s="220"/>
      <c r="AQ238" s="220"/>
      <c r="AR238" s="220"/>
      <c r="AS238" s="220"/>
      <c r="AT238" s="220"/>
      <c r="AU238" s="220"/>
      <c r="AV238" s="220"/>
      <c r="AW238" s="220"/>
      <c r="AX238" s="220"/>
      <c r="AY238" s="220"/>
      <c r="AZ238" s="220"/>
      <c r="BA238" s="220"/>
      <c r="BB238" s="220"/>
    </row>
    <row r="239">
      <c r="A239" s="290">
        <f>PRIX!A240</f>
        <v>46053</v>
      </c>
      <c r="B239" s="302">
        <f t="shared" si="1"/>
        <v>0.7387053709</v>
      </c>
      <c r="C239" s="341">
        <f>IF(A239="","",'Historique détail'!B239/$W239)</f>
        <v>0.5556645242</v>
      </c>
      <c r="D239" s="341">
        <f>IF(B239="","",'Historique détail'!C239/$W239)</f>
        <v>0.1219567745</v>
      </c>
      <c r="E239" s="341">
        <f>IF(C239="","",'Historique détail'!D239/$W239)</f>
        <v>0.00000004225109977</v>
      </c>
      <c r="F239" s="341">
        <f>IF(D239="","",'Historique détail'!E239/$W239)</f>
        <v>0.02030761825</v>
      </c>
      <c r="G239" s="341">
        <f>IF(E239="","",'Historique détail'!F239/$W239)</f>
        <v>0.01823240297</v>
      </c>
      <c r="H239" s="341">
        <f>IF(F239="","",'Historique détail'!G239/$W239)</f>
        <v>0</v>
      </c>
      <c r="I239" s="341">
        <f>IF(G239="","",'Historique détail'!H239/$W239)</f>
        <v>0.005704278461</v>
      </c>
      <c r="J239" s="341">
        <f>IF(H239="","",'Historique détail'!I239/$W239)</f>
        <v>0.006563689019</v>
      </c>
      <c r="K239" s="341">
        <f>IF(I239="","",'Historique détail'!J239/$W239)</f>
        <v>0</v>
      </c>
      <c r="L239" s="341">
        <f>IF(J239="","",'Historique détail'!K239/$W239)</f>
        <v>0</v>
      </c>
      <c r="M239" s="341">
        <f>IF(K239="","",'Historique détail'!L239/$W239)</f>
        <v>0</v>
      </c>
      <c r="N239" s="341">
        <f>IF(L239="","",'Historique détail'!M239/$W239)</f>
        <v>0.01027598546</v>
      </c>
      <c r="O239" s="341">
        <f>IF(M239="","",'Historique détail'!N239/$W239)</f>
        <v>0</v>
      </c>
      <c r="P239" s="341">
        <f>IF(N239="","",'Historique détail'!O239/$W239)</f>
        <v>0.00000005551188623</v>
      </c>
      <c r="Q239" s="341">
        <f>IF(O239="","",'Historique détail'!P239/$W239)</f>
        <v>0.0000000003390014184</v>
      </c>
      <c r="R239" s="341">
        <f>IF(P239="","",'Historique détail'!Q239/$W239)</f>
        <v>0</v>
      </c>
      <c r="S239" s="341">
        <f>IF(Q239="","",'Historique détail'!R239/$W239)</f>
        <v>0</v>
      </c>
      <c r="T239" s="341">
        <f>IF(R239="","",'Historique détail'!S239/$W239)</f>
        <v>0</v>
      </c>
      <c r="U239" s="340">
        <f t="shared" si="2"/>
        <v>0.2612946291</v>
      </c>
      <c r="V239" s="14">
        <f>IF(A239="","",ARBITRAGES!M240)</f>
        <v>12037.03142</v>
      </c>
      <c r="W239" s="342">
        <f>IF(V239="","",'Historique détail'!U239)</f>
        <v>46066.89183</v>
      </c>
      <c r="X239" s="288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220"/>
      <c r="AI239" s="308"/>
      <c r="AJ239" s="220"/>
      <c r="AK239" s="220"/>
      <c r="AL239" s="220"/>
      <c r="AM239" s="220"/>
      <c r="AN239" s="220"/>
      <c r="AO239" s="220"/>
      <c r="AP239" s="220"/>
      <c r="AQ239" s="220"/>
      <c r="AR239" s="220"/>
      <c r="AS239" s="220"/>
      <c r="AT239" s="220"/>
      <c r="AU239" s="220"/>
      <c r="AV239" s="220"/>
      <c r="AW239" s="220"/>
      <c r="AX239" s="220"/>
      <c r="AY239" s="220"/>
      <c r="AZ239" s="220"/>
      <c r="BA239" s="220"/>
      <c r="BB239" s="220"/>
    </row>
    <row r="240">
      <c r="A240" s="290">
        <f>PRIX!A241</f>
        <v>46053</v>
      </c>
      <c r="B240" s="302">
        <f t="shared" si="1"/>
        <v>0.7494669304</v>
      </c>
      <c r="C240" s="341">
        <f>IF(A240="","",'Historique détail'!B240/$W240)</f>
        <v>0.566438003</v>
      </c>
      <c r="D240" s="341">
        <f>IF(B240="","",'Historique détail'!C240/$W240)</f>
        <v>0.1219488328</v>
      </c>
      <c r="E240" s="341">
        <f>IF(C240="","",'Historique détail'!D240/$W240)</f>
        <v>0.00000004224834845</v>
      </c>
      <c r="F240" s="341">
        <f>IF(D240="","",'Historique détail'!E240/$W240)</f>
        <v>0.02030629585</v>
      </c>
      <c r="G240" s="341">
        <f>IF(E240="","",'Historique détail'!F240/$W240)</f>
        <v>0.0182312157</v>
      </c>
      <c r="H240" s="341">
        <f>IF(F240="","",'Historique détail'!G240/$W240)</f>
        <v>0</v>
      </c>
      <c r="I240" s="341">
        <f>IF(G240="","",'Historique détail'!H240/$W240)</f>
        <v>0.005703907007</v>
      </c>
      <c r="J240" s="341">
        <f>IF(H240="","",'Historique détail'!I240/$W240)</f>
        <v>0.006563261602</v>
      </c>
      <c r="K240" s="341">
        <f>IF(I240="","",'Historique détail'!J240/$W240)</f>
        <v>0</v>
      </c>
      <c r="L240" s="341">
        <f>IF(J240="","",'Historique détail'!K240/$W240)</f>
        <v>0</v>
      </c>
      <c r="M240" s="341">
        <f>IF(K240="","",'Historique détail'!L240/$W240)</f>
        <v>0</v>
      </c>
      <c r="N240" s="341">
        <f>IF(L240="","",'Historique détail'!M240/$W240)</f>
        <v>0.0102753163</v>
      </c>
      <c r="O240" s="341">
        <f>IF(M240="","",'Historique détail'!N240/$W240)</f>
        <v>0</v>
      </c>
      <c r="P240" s="341">
        <f>IF(N240="","",'Historique détail'!O240/$W240)</f>
        <v>0.00000005550827138</v>
      </c>
      <c r="Q240" s="341">
        <f>IF(O240="","",'Historique détail'!P240/$W240)</f>
        <v>0.0000000003389793432</v>
      </c>
      <c r="R240" s="341">
        <f>IF(P240="","",'Historique détail'!Q240/$W240)</f>
        <v>0</v>
      </c>
      <c r="S240" s="341">
        <f>IF(Q240="","",'Historique détail'!R240/$W240)</f>
        <v>0</v>
      </c>
      <c r="T240" s="341">
        <f>IF(R240="","",'Historique détail'!S240/$W240)</f>
        <v>0</v>
      </c>
      <c r="U240" s="340">
        <f t="shared" si="2"/>
        <v>0.2505330696</v>
      </c>
      <c r="V240" s="14">
        <f>IF(A240="","",ARBITRAGES!M241)</f>
        <v>11542.03142</v>
      </c>
      <c r="W240" s="342">
        <f>IF(V240="","",'Historique détail'!U240)</f>
        <v>46069.89183</v>
      </c>
      <c r="X240" s="288"/>
      <c r="Y240" s="220"/>
      <c r="Z240" s="220"/>
      <c r="AA240" s="220"/>
      <c r="AB240" s="220"/>
      <c r="AC240" s="220"/>
      <c r="AD240" s="220"/>
      <c r="AE240" s="220"/>
      <c r="AF240" s="220"/>
      <c r="AG240" s="220"/>
      <c r="AH240" s="220"/>
      <c r="AI240" s="308"/>
      <c r="AJ240" s="220"/>
      <c r="AK240" s="220"/>
      <c r="AL240" s="220"/>
      <c r="AM240" s="220"/>
      <c r="AN240" s="220"/>
      <c r="AO240" s="220"/>
      <c r="AP240" s="220"/>
      <c r="AQ240" s="220"/>
      <c r="AR240" s="220"/>
      <c r="AS240" s="220"/>
      <c r="AT240" s="220"/>
      <c r="AU240" s="220"/>
      <c r="AV240" s="220"/>
      <c r="AW240" s="220"/>
      <c r="AX240" s="220"/>
      <c r="AY240" s="220"/>
      <c r="AZ240" s="220"/>
      <c r="BA240" s="220"/>
      <c r="BB240" s="220"/>
    </row>
    <row r="241">
      <c r="A241" s="290">
        <f>PRIX!A242</f>
        <v>46053</v>
      </c>
      <c r="B241" s="302">
        <f t="shared" si="1"/>
        <v>0.742941842</v>
      </c>
      <c r="C241" s="341">
        <f>IF(A241="","",'Historique détail'!B241/$W241)</f>
        <v>0.5664671868</v>
      </c>
      <c r="D241" s="341">
        <f>IF(B241="","",'Historique détail'!C241/$W241)</f>
        <v>0.1219551158</v>
      </c>
      <c r="E241" s="341">
        <f>IF(C241="","",'Historique détail'!D241/$W241)</f>
        <v>0.00000004225052515</v>
      </c>
      <c r="F241" s="341">
        <f>IF(D241="","",'Historique détail'!E241/$W241)</f>
        <v>0.02030734206</v>
      </c>
      <c r="G241" s="341">
        <f>IF(E241="","",'Historique détail'!F241/$W241)</f>
        <v>0.018232155</v>
      </c>
      <c r="H241" s="341">
        <f>IF(F241="","",'Historique détail'!G241/$W241)</f>
        <v>0</v>
      </c>
      <c r="I241" s="341">
        <f>IF(G241="","",'Historique détail'!H241/$W241)</f>
        <v>0.005704200881</v>
      </c>
      <c r="J241" s="341">
        <f>IF(H241="","",'Historique détail'!I241/$W241)</f>
        <v>-0.0000001024441559</v>
      </c>
      <c r="K241" s="341">
        <f>IF(I241="","",'Historique détail'!J241/$W241)</f>
        <v>0</v>
      </c>
      <c r="L241" s="341">
        <f>IF(J241="","",'Historique détail'!K241/$W241)</f>
        <v>0</v>
      </c>
      <c r="M241" s="341">
        <f>IF(K241="","",'Historique détail'!L241/$W241)</f>
        <v>0</v>
      </c>
      <c r="N241" s="341">
        <f>IF(L241="","",'Historique détail'!M241/$W241)</f>
        <v>0.0102758457</v>
      </c>
      <c r="O241" s="341">
        <f>IF(M241="","",'Historique détail'!N241/$W241)</f>
        <v>0</v>
      </c>
      <c r="P241" s="341">
        <f>IF(N241="","",'Historique détail'!O241/$W241)</f>
        <v>0.00000005551113126</v>
      </c>
      <c r="Q241" s="341">
        <f>IF(O241="","",'Historique détail'!P241/$W241)</f>
        <v>0.0000000003389968079</v>
      </c>
      <c r="R241" s="341">
        <f>IF(P241="","",'Historique détail'!Q241/$W241)</f>
        <v>0</v>
      </c>
      <c r="S241" s="341">
        <f>IF(Q241="","",'Historique détail'!R241/$W241)</f>
        <v>0</v>
      </c>
      <c r="T241" s="341">
        <f>IF(R241="","",'Historique détail'!S241/$W241)</f>
        <v>0</v>
      </c>
      <c r="U241" s="340">
        <f t="shared" si="2"/>
        <v>0.257058158</v>
      </c>
      <c r="V241" s="14">
        <f>IF(A241="","",ARBITRAGES!M242)</f>
        <v>11842.03142</v>
      </c>
      <c r="W241" s="342">
        <f>IF(V241="","",'Historique détail'!U241)</f>
        <v>46067.51836</v>
      </c>
      <c r="X241" s="288"/>
      <c r="Y241" s="220"/>
      <c r="Z241" s="220"/>
      <c r="AA241" s="220"/>
      <c r="AB241" s="220"/>
      <c r="AC241" s="220"/>
      <c r="AD241" s="220"/>
      <c r="AE241" s="220"/>
      <c r="AF241" s="220"/>
      <c r="AG241" s="220"/>
      <c r="AH241" s="220"/>
      <c r="AI241" s="308"/>
      <c r="AJ241" s="220"/>
      <c r="AK241" s="220"/>
      <c r="AL241" s="220"/>
      <c r="AM241" s="220"/>
      <c r="AN241" s="220"/>
      <c r="AO241" s="220"/>
      <c r="AP241" s="220"/>
      <c r="AQ241" s="220"/>
      <c r="AR241" s="220"/>
      <c r="AS241" s="220"/>
      <c r="AT241" s="220"/>
      <c r="AU241" s="220"/>
      <c r="AV241" s="220"/>
      <c r="AW241" s="220"/>
      <c r="AX241" s="220"/>
      <c r="AY241" s="220"/>
      <c r="AZ241" s="220"/>
      <c r="BA241" s="220"/>
      <c r="BB241" s="220"/>
    </row>
    <row r="242">
      <c r="A242" s="290">
        <f>PRIX!A243</f>
        <v>46053</v>
      </c>
      <c r="B242" s="302">
        <f t="shared" si="1"/>
        <v>0.7753472411</v>
      </c>
      <c r="C242" s="341">
        <f>IF(A242="","",'Historique détail'!B242/$W242)</f>
        <v>0.5992711603</v>
      </c>
      <c r="D242" s="341">
        <f>IF(B242="","",'Historique détail'!C242/$W242)</f>
        <v>0.1216796758</v>
      </c>
      <c r="E242" s="341">
        <f>IF(C242="","",'Historique détail'!D242/$W242)</f>
        <v>0.00000004215510082</v>
      </c>
      <c r="F242" s="341">
        <f>IF(D242="","",'Historique détail'!E242/$W242)</f>
        <v>0.0202614772</v>
      </c>
      <c r="G242" s="341">
        <f>IF(E242="","",'Historique détail'!F242/$W242)</f>
        <v>0.01819097703</v>
      </c>
      <c r="H242" s="341">
        <f>IF(F242="","",'Historique détail'!G242/$W242)</f>
        <v>0</v>
      </c>
      <c r="I242" s="341">
        <f>IF(G242="","",'Historique détail'!H242/$W242)</f>
        <v>0.005691317739</v>
      </c>
      <c r="J242" s="341">
        <f>IF(H242="","",'Historique détail'!I242/$W242)</f>
        <v>-0.0000001022127821</v>
      </c>
      <c r="K242" s="341">
        <f>IF(I242="","",'Historique détail'!J242/$W242)</f>
        <v>0</v>
      </c>
      <c r="L242" s="341">
        <f>IF(J242="","",'Historique détail'!K242/$W242)</f>
        <v>0</v>
      </c>
      <c r="M242" s="341">
        <f>IF(K242="","",'Historique détail'!L242/$W242)</f>
        <v>0</v>
      </c>
      <c r="N242" s="341">
        <f>IF(L242="","",'Historique détail'!M242/$W242)</f>
        <v>0.01025263733</v>
      </c>
      <c r="O242" s="341">
        <f>IF(M242="","",'Historique détail'!N242/$W242)</f>
        <v>0</v>
      </c>
      <c r="P242" s="341">
        <f>IF(N242="","",'Historique détail'!O242/$W242)</f>
        <v>0.00000005538575737</v>
      </c>
      <c r="Q242" s="341">
        <f>IF(O242="","",'Historique détail'!P242/$W242)</f>
        <v>0.0000000003382311715</v>
      </c>
      <c r="R242" s="341">
        <f>IF(P242="","",'Historique détail'!Q242/$W242)</f>
        <v>0</v>
      </c>
      <c r="S242" s="341">
        <f>IF(Q242="","",'Historique détail'!R242/$W242)</f>
        <v>0</v>
      </c>
      <c r="T242" s="341">
        <f>IF(R242="","",'Historique détail'!S242/$W242)</f>
        <v>0</v>
      </c>
      <c r="U242" s="340">
        <f t="shared" si="2"/>
        <v>0.2246527589</v>
      </c>
      <c r="V242" s="14">
        <f>IF(A242="","",ARBITRAGES!M243)</f>
        <v>10372.62204</v>
      </c>
      <c r="W242" s="342">
        <f>IF(V242="","",'Historique détail'!U242)</f>
        <v>46171.79903</v>
      </c>
      <c r="X242" s="288"/>
      <c r="Y242" s="220"/>
      <c r="Z242" s="220"/>
      <c r="AA242" s="220"/>
      <c r="AB242" s="220"/>
      <c r="AC242" s="220"/>
      <c r="AD242" s="220"/>
      <c r="AE242" s="220"/>
      <c r="AF242" s="220"/>
      <c r="AG242" s="220"/>
      <c r="AH242" s="220"/>
      <c r="AI242" s="308"/>
      <c r="AJ242" s="220"/>
      <c r="AK242" s="220"/>
      <c r="AL242" s="220"/>
      <c r="AM242" s="220"/>
      <c r="AN242" s="220"/>
      <c r="AO242" s="220"/>
      <c r="AP242" s="220"/>
      <c r="AQ242" s="220"/>
      <c r="AR242" s="220"/>
      <c r="AS242" s="220"/>
      <c r="AT242" s="220"/>
      <c r="AU242" s="220"/>
      <c r="AV242" s="220"/>
      <c r="AW242" s="220"/>
      <c r="AX242" s="220"/>
      <c r="AY242" s="220"/>
      <c r="AZ242" s="220"/>
      <c r="BA242" s="220"/>
      <c r="BB242" s="220"/>
    </row>
    <row r="243">
      <c r="A243" s="290">
        <f>PRIX!A244</f>
        <v>46053</v>
      </c>
      <c r="B243" s="302">
        <f t="shared" si="1"/>
        <v>0.7797281995</v>
      </c>
      <c r="C243" s="341">
        <f>IF(A243="","",'Historique détail'!B243/$W243)</f>
        <v>0.5991370377</v>
      </c>
      <c r="D243" s="341">
        <f>IF(B243="","",'Historique détail'!C243/$W243)</f>
        <v>0.1216524428</v>
      </c>
      <c r="E243" s="341">
        <f>IF(C243="","",'Historique détail'!D243/$W243)</f>
        <v>0.00000004214566611</v>
      </c>
      <c r="F243" s="341">
        <f>IF(D243="","",'Historique détail'!E243/$W243)</f>
        <v>0.02025694249</v>
      </c>
      <c r="G243" s="341">
        <f>IF(E243="","",'Historique détail'!F243/$W243)</f>
        <v>0.02274139415</v>
      </c>
      <c r="H243" s="341">
        <f>IF(F243="","",'Historique détail'!G243/$W243)</f>
        <v>0</v>
      </c>
      <c r="I243" s="341">
        <f>IF(G243="","",'Historique détail'!H243/$W243)</f>
        <v>0.005690043968</v>
      </c>
      <c r="J243" s="341">
        <f>IF(H243="","",'Historique détail'!I243/$W243)</f>
        <v>-0.0000001021899059</v>
      </c>
      <c r="K243" s="341">
        <f>IF(I243="","",'Historique détail'!J243/$W243)</f>
        <v>0</v>
      </c>
      <c r="L243" s="341">
        <f>IF(J243="","",'Historique détail'!K243/$W243)</f>
        <v>0</v>
      </c>
      <c r="M243" s="341">
        <f>IF(K243="","",'Historique détail'!L243/$W243)</f>
        <v>0</v>
      </c>
      <c r="N243" s="341">
        <f>IF(L243="","",'Historique détail'!M243/$W243)</f>
        <v>0.0102503427</v>
      </c>
      <c r="O243" s="341">
        <f>IF(M243="","",'Historique détail'!N243/$W243)</f>
        <v>0</v>
      </c>
      <c r="P243" s="341">
        <f>IF(N243="","",'Historique détail'!O243/$W243)</f>
        <v>0.00000005537336152</v>
      </c>
      <c r="Q243" s="341">
        <f>IF(O243="","",'Historique détail'!P243/$W243)</f>
        <v>0.0000000003381554721</v>
      </c>
      <c r="R243" s="341">
        <f>IF(P243="","",'Historique détail'!Q243/$W243)</f>
        <v>0</v>
      </c>
      <c r="S243" s="341">
        <f>IF(Q243="","",'Historique détail'!R243/$W243)</f>
        <v>0</v>
      </c>
      <c r="T243" s="341">
        <f>IF(R243="","",'Historique détail'!S243/$W243)</f>
        <v>0</v>
      </c>
      <c r="U243" s="340">
        <f t="shared" si="2"/>
        <v>0.2202718005</v>
      </c>
      <c r="V243" s="14">
        <f>IF(A243="","",ARBITRAGES!M244)</f>
        <v>10172.62204</v>
      </c>
      <c r="W243" s="342">
        <f>IF(V243="","",'Historique détail'!U243)</f>
        <v>46182.13503</v>
      </c>
      <c r="X243" s="288"/>
      <c r="Y243" s="220"/>
      <c r="Z243" s="220"/>
      <c r="AA243" s="220"/>
      <c r="AB243" s="220"/>
      <c r="AC243" s="220"/>
      <c r="AD243" s="220"/>
      <c r="AE243" s="220"/>
      <c r="AF243" s="220"/>
      <c r="AG243" s="220"/>
      <c r="AH243" s="220"/>
      <c r="AI243" s="308"/>
      <c r="AJ243" s="220"/>
      <c r="AK243" s="220"/>
      <c r="AL243" s="220"/>
      <c r="AM243" s="220"/>
      <c r="AN243" s="220"/>
      <c r="AO243" s="220"/>
      <c r="AP243" s="220"/>
      <c r="AQ243" s="220"/>
      <c r="AR243" s="220"/>
      <c r="AS243" s="220"/>
      <c r="AT243" s="220"/>
      <c r="AU243" s="220"/>
      <c r="AV243" s="220"/>
      <c r="AW243" s="220"/>
      <c r="AX243" s="220"/>
      <c r="AY243" s="220"/>
      <c r="AZ243" s="220"/>
      <c r="BA243" s="220"/>
      <c r="BB243" s="220"/>
    </row>
    <row r="244">
      <c r="A244" s="290">
        <f>PRIX!A245</f>
        <v>46053</v>
      </c>
      <c r="B244" s="302">
        <f t="shared" si="1"/>
        <v>0.785056333</v>
      </c>
      <c r="C244" s="341">
        <f>IF(A244="","",'Historique détail'!B244/$W244)</f>
        <v>0.5988918121</v>
      </c>
      <c r="D244" s="341">
        <f>IF(B244="","",'Historique détail'!C244/$W244)</f>
        <v>0.1216026506</v>
      </c>
      <c r="E244" s="341">
        <f>IF(C244="","",'Historique détail'!D244/$W244)</f>
        <v>0.00000004212841597</v>
      </c>
      <c r="F244" s="341">
        <f>IF(D244="","",'Historique détail'!E244/$W244)</f>
        <v>0.02589592622</v>
      </c>
      <c r="G244" s="341">
        <f>IF(E244="","",'Historique détail'!F244/$W244)</f>
        <v>0.02273208614</v>
      </c>
      <c r="H244" s="341">
        <f>IF(F244="","",'Historique détail'!G244/$W244)</f>
        <v>0</v>
      </c>
      <c r="I244" s="341">
        <f>IF(G244="","",'Historique détail'!H244/$W244)</f>
        <v>0.005687715043</v>
      </c>
      <c r="J244" s="341">
        <f>IF(H244="","",'Historique détail'!I244/$W244)</f>
        <v>-0.0000001021480798</v>
      </c>
      <c r="K244" s="341">
        <f>IF(I244="","",'Historique détail'!J244/$W244)</f>
        <v>0</v>
      </c>
      <c r="L244" s="341">
        <f>IF(J244="","",'Historique détail'!K244/$W244)</f>
        <v>0</v>
      </c>
      <c r="M244" s="341">
        <f>IF(K244="","",'Historique détail'!L244/$W244)</f>
        <v>0</v>
      </c>
      <c r="N244" s="341">
        <f>IF(L244="","",'Historique détail'!M244/$W244)</f>
        <v>0.01024614725</v>
      </c>
      <c r="O244" s="341">
        <f>IF(M244="","",'Historique détail'!N244/$W244)</f>
        <v>0</v>
      </c>
      <c r="P244" s="341">
        <f>IF(N244="","",'Historique détail'!O244/$W244)</f>
        <v>0.00000005535069731</v>
      </c>
      <c r="Q244" s="341">
        <f>IF(O244="","",'Historique détail'!P244/$W244)</f>
        <v>0.0000000003380170657</v>
      </c>
      <c r="R244" s="341">
        <f>IF(P244="","",'Historique détail'!Q244/$W244)</f>
        <v>0</v>
      </c>
      <c r="S244" s="341">
        <f>IF(Q244="","",'Historique détail'!R244/$W244)</f>
        <v>0</v>
      </c>
      <c r="T244" s="341">
        <f>IF(R244="","",'Historique détail'!S244/$W244)</f>
        <v>0</v>
      </c>
      <c r="U244" s="340">
        <f t="shared" si="2"/>
        <v>0.214943667</v>
      </c>
      <c r="V244" s="14">
        <f>IF(A244="","",ARBITRAGES!M245)</f>
        <v>9930.622036</v>
      </c>
      <c r="W244" s="342">
        <f>IF(V244="","",'Historique détail'!U244)</f>
        <v>46201.04503</v>
      </c>
      <c r="X244" s="288"/>
      <c r="Y244" s="220"/>
      <c r="Z244" s="220"/>
      <c r="AA244" s="220"/>
      <c r="AB244" s="220"/>
      <c r="AC244" s="220"/>
      <c r="AD244" s="220"/>
      <c r="AE244" s="220"/>
      <c r="AF244" s="220"/>
      <c r="AG244" s="220"/>
      <c r="AH244" s="220"/>
      <c r="AI244" s="308"/>
      <c r="AJ244" s="220"/>
      <c r="AK244" s="220"/>
      <c r="AL244" s="220"/>
      <c r="AM244" s="220"/>
      <c r="AN244" s="220"/>
      <c r="AO244" s="220"/>
      <c r="AP244" s="220"/>
      <c r="AQ244" s="220"/>
      <c r="AR244" s="220"/>
      <c r="AS244" s="220"/>
      <c r="AT244" s="220"/>
      <c r="AU244" s="220"/>
      <c r="AV244" s="220"/>
      <c r="AW244" s="220"/>
      <c r="AX244" s="220"/>
      <c r="AY244" s="220"/>
      <c r="AZ244" s="220"/>
      <c r="BA244" s="220"/>
      <c r="BB244" s="220"/>
    </row>
    <row r="245">
      <c r="A245" s="290">
        <f>PRIX!A246</f>
        <v>46053</v>
      </c>
      <c r="B245" s="302">
        <f t="shared" si="1"/>
        <v>0.7850563352</v>
      </c>
      <c r="C245" s="341">
        <f>IF(A245="","",'Historique détail'!B245/$W245)</f>
        <v>0.5988918143</v>
      </c>
      <c r="D245" s="341">
        <f>IF(B245="","",'Historique détail'!C245/$W245)</f>
        <v>0.1216026506</v>
      </c>
      <c r="E245" s="341">
        <f>IF(C245="","",'Historique détail'!D245/$W245)</f>
        <v>0.00000004212841596</v>
      </c>
      <c r="F245" s="341">
        <f>IF(D245="","",'Historique détail'!E245/$W245)</f>
        <v>0.02589592622</v>
      </c>
      <c r="G245" s="341">
        <f>IF(E245="","",'Historique détail'!F245/$W245)</f>
        <v>0.02273208614</v>
      </c>
      <c r="H245" s="341">
        <f>IF(F245="","",'Historique détail'!G245/$W245)</f>
        <v>0</v>
      </c>
      <c r="I245" s="341">
        <f>IF(G245="","",'Historique détail'!H245/$W245)</f>
        <v>0.005687715043</v>
      </c>
      <c r="J245" s="341">
        <f>IF(H245="","",'Historique détail'!I245/$W245)</f>
        <v>-0.0000001021480798</v>
      </c>
      <c r="K245" s="341">
        <f>IF(I245="","",'Historique détail'!J245/$W245)</f>
        <v>0</v>
      </c>
      <c r="L245" s="341">
        <f>IF(J245="","",'Historique détail'!K245/$W245)</f>
        <v>0</v>
      </c>
      <c r="M245" s="341">
        <f>IF(K245="","",'Historique détail'!L245/$W245)</f>
        <v>0</v>
      </c>
      <c r="N245" s="341">
        <f>IF(L245="","",'Historique détail'!M245/$W245)</f>
        <v>0.01024614725</v>
      </c>
      <c r="O245" s="341">
        <f>IF(M245="","",'Historique détail'!N245/$W245)</f>
        <v>0</v>
      </c>
      <c r="P245" s="341">
        <f>IF(N245="","",'Historique détail'!O245/$W245)</f>
        <v>0.0000000553506973</v>
      </c>
      <c r="Q245" s="341">
        <f>IF(O245="","",'Historique détail'!P245/$W245)</f>
        <v>0.0000000003380170657</v>
      </c>
      <c r="R245" s="341">
        <f>IF(P245="","",'Historique détail'!Q245/$W245)</f>
        <v>0</v>
      </c>
      <c r="S245" s="341">
        <f>IF(Q245="","",'Historique détail'!R245/$W245)</f>
        <v>0</v>
      </c>
      <c r="T245" s="341">
        <f>IF(R245="","",'Historique détail'!S245/$W245)</f>
        <v>0</v>
      </c>
      <c r="U245" s="340">
        <f t="shared" si="2"/>
        <v>0.2149436648</v>
      </c>
      <c r="V245" s="14">
        <f>IF(A245="","",ARBITRAGES!M246)</f>
        <v>9930.621936</v>
      </c>
      <c r="W245" s="342">
        <f>IF(V245="","",'Historique détail'!U245)</f>
        <v>46201.04504</v>
      </c>
      <c r="X245" s="288"/>
      <c r="Y245" s="220"/>
      <c r="Z245" s="220"/>
      <c r="AA245" s="220"/>
      <c r="AB245" s="220"/>
      <c r="AC245" s="220"/>
      <c r="AD245" s="220"/>
      <c r="AE245" s="220"/>
      <c r="AF245" s="220"/>
      <c r="AG245" s="220"/>
      <c r="AH245" s="220"/>
      <c r="AI245" s="308"/>
      <c r="AJ245" s="220"/>
      <c r="AK245" s="220"/>
      <c r="AL245" s="220"/>
      <c r="AM245" s="220"/>
      <c r="AN245" s="220"/>
      <c r="AO245" s="220"/>
      <c r="AP245" s="220"/>
      <c r="AQ245" s="220"/>
      <c r="AR245" s="220"/>
      <c r="AS245" s="220"/>
      <c r="AT245" s="220"/>
      <c r="AU245" s="220"/>
      <c r="AV245" s="220"/>
      <c r="AW245" s="220"/>
      <c r="AX245" s="220"/>
      <c r="AY245" s="220"/>
      <c r="AZ245" s="220"/>
      <c r="BA245" s="220"/>
      <c r="BB245" s="220"/>
    </row>
    <row r="246">
      <c r="A246" s="290">
        <f>PRIX!A247</f>
        <v>46054</v>
      </c>
      <c r="B246" s="302">
        <f t="shared" si="1"/>
        <v>0.7825510439</v>
      </c>
      <c r="C246" s="341">
        <f>IF(A246="","",'Historique détail'!B246/$W246)</f>
        <v>0.6050764357</v>
      </c>
      <c r="D246" s="341">
        <f>IF(B246="","",'Historique détail'!C246/$W246)</f>
        <v>0.1150397471</v>
      </c>
      <c r="E246" s="341">
        <f>IF(C246="","",'Historique détail'!D246/$W246)</f>
        <v>0.0000000430715895</v>
      </c>
      <c r="F246" s="341">
        <f>IF(D246="","",'Historique détail'!E246/$W246)</f>
        <v>0.02445906115</v>
      </c>
      <c r="G246" s="341">
        <f>IF(E246="","",'Historique détail'!F246/$W246)</f>
        <v>0.02221567464</v>
      </c>
      <c r="H246" s="341">
        <f>IF(F246="","",'Historique détail'!G246/$W246)</f>
        <v>0</v>
      </c>
      <c r="I246" s="341">
        <f>IF(G246="","",'Historique détail'!H246/$W246)</f>
        <v>0.005615515857</v>
      </c>
      <c r="J246" s="341">
        <f>IF(H246="","",'Historique détail'!I246/$W246)</f>
        <v>-0.00000009989550787</v>
      </c>
      <c r="K246" s="341">
        <f>IF(I246="","",'Historique détail'!J246/$W246)</f>
        <v>0</v>
      </c>
      <c r="L246" s="341">
        <f>IF(J246="","",'Historique détail'!K246/$W246)</f>
        <v>0</v>
      </c>
      <c r="M246" s="341">
        <f>IF(K246="","",'Historique détail'!L246/$W246)</f>
        <v>0</v>
      </c>
      <c r="N246" s="341">
        <f>IF(L246="","",'Historique détail'!M246/$W246)</f>
        <v>0.01014461202</v>
      </c>
      <c r="O246" s="341">
        <f>IF(M246="","",'Historique détail'!N246/$W246)</f>
        <v>0</v>
      </c>
      <c r="P246" s="341">
        <f>IF(N246="","",'Historique détail'!O246/$W246)</f>
        <v>0.00000005392683833</v>
      </c>
      <c r="Q246" s="341">
        <f>IF(O246="","",'Historique détail'!P246/$W246)</f>
        <v>0.0000000003162212139</v>
      </c>
      <c r="R246" s="341">
        <f>IF(P246="","",'Historique détail'!Q246/$W246)</f>
        <v>0</v>
      </c>
      <c r="S246" s="341">
        <f>IF(Q246="","",'Historique détail'!R246/$W246)</f>
        <v>0</v>
      </c>
      <c r="T246" s="341">
        <f>IF(R246="","",'Historique détail'!S246/$W246)</f>
        <v>0</v>
      </c>
      <c r="U246" s="340">
        <f t="shared" si="2"/>
        <v>0.2174489561</v>
      </c>
      <c r="V246" s="14">
        <f>IF(A246="","",ARBITRAGES!M247)</f>
        <v>9545.621936</v>
      </c>
      <c r="W246" s="342">
        <f>IF(V246="","",'Historique détail'!U246)</f>
        <v>43898.21918</v>
      </c>
      <c r="X246" s="288"/>
      <c r="Y246" s="220"/>
      <c r="Z246" s="220"/>
      <c r="AA246" s="220"/>
      <c r="AB246" s="220"/>
      <c r="AC246" s="220"/>
      <c r="AD246" s="220"/>
      <c r="AE246" s="220"/>
      <c r="AF246" s="220"/>
      <c r="AG246" s="220"/>
      <c r="AH246" s="220"/>
      <c r="AI246" s="308"/>
      <c r="AJ246" s="220"/>
      <c r="AK246" s="220"/>
      <c r="AL246" s="220"/>
      <c r="AM246" s="220"/>
      <c r="AN246" s="220"/>
      <c r="AO246" s="220"/>
      <c r="AP246" s="220"/>
      <c r="AQ246" s="220"/>
      <c r="AR246" s="220"/>
      <c r="AS246" s="220"/>
      <c r="AT246" s="220"/>
      <c r="AU246" s="220"/>
      <c r="AV246" s="220"/>
      <c r="AW246" s="220"/>
      <c r="AX246" s="220"/>
      <c r="AY246" s="220"/>
      <c r="AZ246" s="220"/>
      <c r="BA246" s="220"/>
      <c r="BB246" s="220"/>
    </row>
    <row r="247">
      <c r="A247" s="290">
        <f>PRIX!A248</f>
        <v>46054</v>
      </c>
      <c r="B247" s="302">
        <f t="shared" si="1"/>
        <v>0.7851827137</v>
      </c>
      <c r="C247" s="341">
        <f>IF(A247="","",'Historique détail'!B247/$W247)</f>
        <v>0.6050427117</v>
      </c>
      <c r="D247" s="341">
        <f>IF(B247="","",'Historique détail'!C247/$W247)</f>
        <v>0.1177086207</v>
      </c>
      <c r="E247" s="341">
        <f>IF(C247="","",'Historique détail'!D247/$W247)</f>
        <v>0.0000000430691889</v>
      </c>
      <c r="F247" s="341">
        <f>IF(D247="","",'Historique détail'!E247/$W247)</f>
        <v>0.02445769793</v>
      </c>
      <c r="G247" s="341">
        <f>IF(E247="","",'Historique détail'!F247/$W247)</f>
        <v>0.02221443644</v>
      </c>
      <c r="H247" s="341">
        <f>IF(F247="","",'Historique détail'!G247/$W247)</f>
        <v>0</v>
      </c>
      <c r="I247" s="341">
        <f>IF(G247="","",'Historique détail'!H247/$W247)</f>
        <v>0.005615202875</v>
      </c>
      <c r="J247" s="341">
        <f>IF(H247="","",'Historique détail'!I247/$W247)</f>
        <v>-0.00000009988994018</v>
      </c>
      <c r="K247" s="341">
        <f>IF(I247="","",'Historique détail'!J247/$W247)</f>
        <v>0</v>
      </c>
      <c r="L247" s="341">
        <f>IF(J247="","",'Historique détail'!K247/$W247)</f>
        <v>0</v>
      </c>
      <c r="M247" s="341">
        <f>IF(K247="","",'Historique détail'!L247/$W247)</f>
        <v>0</v>
      </c>
      <c r="N247" s="341">
        <f>IF(L247="","",'Historique détail'!M247/$W247)</f>
        <v>0.01014404661</v>
      </c>
      <c r="O247" s="341">
        <f>IF(M247="","",'Historique détail'!N247/$W247)</f>
        <v>0</v>
      </c>
      <c r="P247" s="341">
        <f>IF(N247="","",'Historique détail'!O247/$W247)</f>
        <v>0.00000005392383271</v>
      </c>
      <c r="Q247" s="341">
        <f>IF(O247="","",'Historique détail'!P247/$W247)</f>
        <v>0.0000000003162035892</v>
      </c>
      <c r="R247" s="341">
        <f>IF(P247="","",'Historique détail'!Q247/$W247)</f>
        <v>0</v>
      </c>
      <c r="S247" s="341">
        <f>IF(Q247="","",'Historique détail'!R247/$W247)</f>
        <v>0</v>
      </c>
      <c r="T247" s="341">
        <f>IF(R247="","",'Historique détail'!S247/$W247)</f>
        <v>0</v>
      </c>
      <c r="U247" s="340">
        <f t="shared" si="2"/>
        <v>0.2148172863</v>
      </c>
      <c r="V247" s="14">
        <f>IF(A247="","",ARBITRAGES!M248)</f>
        <v>9430.621936</v>
      </c>
      <c r="W247" s="342">
        <f>IF(V247="","",'Historique détail'!U247)</f>
        <v>43900.66599</v>
      </c>
      <c r="X247" s="288"/>
      <c r="Y247" s="220"/>
      <c r="Z247" s="220"/>
      <c r="AA247" s="220"/>
      <c r="AB247" s="220"/>
      <c r="AC247" s="220"/>
      <c r="AD247" s="220"/>
      <c r="AE247" s="220"/>
      <c r="AF247" s="220"/>
      <c r="AG247" s="220"/>
      <c r="AH247" s="220"/>
      <c r="AI247" s="308"/>
      <c r="AJ247" s="220"/>
      <c r="AK247" s="220"/>
      <c r="AL247" s="220"/>
      <c r="AM247" s="220"/>
      <c r="AN247" s="220"/>
      <c r="AO247" s="220"/>
      <c r="AP247" s="220"/>
      <c r="AQ247" s="220"/>
      <c r="AR247" s="220"/>
      <c r="AS247" s="220"/>
      <c r="AT247" s="220"/>
      <c r="AU247" s="220"/>
      <c r="AV247" s="220"/>
      <c r="AW247" s="220"/>
      <c r="AX247" s="220"/>
      <c r="AY247" s="220"/>
      <c r="AZ247" s="220"/>
      <c r="BA247" s="220"/>
      <c r="BB247" s="220"/>
    </row>
    <row r="248">
      <c r="A248" s="290">
        <f>PRIX!A249</f>
        <v>46054</v>
      </c>
      <c r="B248" s="302">
        <f t="shared" si="1"/>
        <v>0.7931120539</v>
      </c>
      <c r="C248" s="341">
        <f>IF(A248="","",'Historique détail'!B248/$W248)</f>
        <v>0.604836051</v>
      </c>
      <c r="D248" s="341">
        <f>IF(B248="","",'Historique détail'!C248/$W248)</f>
        <v>0.125865946</v>
      </c>
      <c r="E248" s="341">
        <f>IF(C248="","",'Historique détail'!D248/$W248)</f>
        <v>0.00000004305447803</v>
      </c>
      <c r="F248" s="341">
        <f>IF(D248="","",'Historique détail'!E248/$W248)</f>
        <v>0.02444934406</v>
      </c>
      <c r="G248" s="341">
        <f>IF(E248="","",'Historique détail'!F248/$W248)</f>
        <v>0.0222068488</v>
      </c>
      <c r="H248" s="341">
        <f>IF(F248="","",'Historique détail'!G248/$W248)</f>
        <v>0</v>
      </c>
      <c r="I248" s="341">
        <f>IF(G248="","",'Historique détail'!H248/$W248)</f>
        <v>0.005613284925</v>
      </c>
      <c r="J248" s="341">
        <f>IF(H248="","",'Historique détail'!I248/$W248)</f>
        <v>-0.0000000998558214</v>
      </c>
      <c r="K248" s="341">
        <f>IF(I248="","",'Historique détail'!J248/$W248)</f>
        <v>0</v>
      </c>
      <c r="L248" s="341">
        <f>IF(J248="","",'Historique détail'!K248/$W248)</f>
        <v>0</v>
      </c>
      <c r="M248" s="341">
        <f>IF(K248="","",'Historique détail'!L248/$W248)</f>
        <v>0</v>
      </c>
      <c r="N248" s="341">
        <f>IF(L248="","",'Historique détail'!M248/$W248)</f>
        <v>0.01014058177</v>
      </c>
      <c r="O248" s="341">
        <f>IF(M248="","",'Historique détail'!N248/$W248)</f>
        <v>0</v>
      </c>
      <c r="P248" s="341">
        <f>IF(N248="","",'Historique détail'!O248/$W248)</f>
        <v>0.00000005390541428</v>
      </c>
      <c r="Q248" s="341">
        <f>IF(O248="","",'Historique détail'!P248/$W248)</f>
        <v>0.0000000003160955855</v>
      </c>
      <c r="R248" s="341">
        <f>IF(P248="","",'Historique détail'!Q248/$W248)</f>
        <v>0</v>
      </c>
      <c r="S248" s="341">
        <f>IF(Q248="","",'Historique détail'!R248/$W248)</f>
        <v>0</v>
      </c>
      <c r="T248" s="341">
        <f>IF(R248="","",'Historique détail'!S248/$W248)</f>
        <v>0</v>
      </c>
      <c r="U248" s="340">
        <f t="shared" si="2"/>
        <v>0.2068879461</v>
      </c>
      <c r="V248" s="14">
        <f>IF(A248="","",ARBITRAGES!M249)</f>
        <v>9085.621936</v>
      </c>
      <c r="W248" s="342">
        <f>IF(V248="","",'Historique détail'!U248)</f>
        <v>43915.66599</v>
      </c>
      <c r="X248" s="288"/>
      <c r="Y248" s="220"/>
      <c r="Z248" s="220"/>
      <c r="AA248" s="220"/>
      <c r="AB248" s="220"/>
      <c r="AC248" s="220"/>
      <c r="AD248" s="220"/>
      <c r="AE248" s="220"/>
      <c r="AF248" s="220"/>
      <c r="AG248" s="220"/>
      <c r="AH248" s="220"/>
      <c r="AI248" s="308"/>
      <c r="AJ248" s="220"/>
      <c r="AK248" s="220"/>
      <c r="AL248" s="220"/>
      <c r="AM248" s="220"/>
      <c r="AN248" s="220"/>
      <c r="AO248" s="220"/>
      <c r="AP248" s="220"/>
      <c r="AQ248" s="220"/>
      <c r="AR248" s="220"/>
      <c r="AS248" s="220"/>
      <c r="AT248" s="220"/>
      <c r="AU248" s="220"/>
      <c r="AV248" s="220"/>
      <c r="AW248" s="220"/>
      <c r="AX248" s="220"/>
      <c r="AY248" s="220"/>
      <c r="AZ248" s="220"/>
      <c r="BA248" s="220"/>
      <c r="BB248" s="220"/>
    </row>
    <row r="249">
      <c r="A249" s="290">
        <f>PRIX!A250</f>
        <v>46055</v>
      </c>
      <c r="B249" s="302">
        <f t="shared" si="1"/>
        <v>0.7943816009</v>
      </c>
      <c r="C249" s="341">
        <f>IF(A249="","",'Historique détail'!B249/$W249)</f>
        <v>0.6124161005</v>
      </c>
      <c r="D249" s="341">
        <f>IF(B249="","",'Historique détail'!C249/$W249)</f>
        <v>0.1203755019</v>
      </c>
      <c r="E249" s="341">
        <f>IF(C249="","",'Historique détail'!D249/$W249)</f>
        <v>0.00000004295261916</v>
      </c>
      <c r="F249" s="341">
        <f>IF(D249="","",'Historique détail'!E249/$W249)</f>
        <v>0.0237539864</v>
      </c>
      <c r="G249" s="341">
        <f>IF(E249="","",'Historique détail'!F249/$W249)</f>
        <v>0.02207316021</v>
      </c>
      <c r="H249" s="341">
        <f>IF(F249="","",'Historique détail'!G249/$W249)</f>
        <v>0</v>
      </c>
      <c r="I249" s="341">
        <f>IF(G249="","",'Historique détail'!H249/$W249)</f>
        <v>0.005580982748</v>
      </c>
      <c r="J249" s="341">
        <f>IF(H249="","",'Historique détail'!I249/$W249)</f>
        <v>-0.0000001018666394</v>
      </c>
      <c r="K249" s="341">
        <f>IF(I249="","",'Historique détail'!J249/$W249)</f>
        <v>0</v>
      </c>
      <c r="L249" s="341">
        <f>IF(J249="","",'Historique détail'!K249/$W249)</f>
        <v>0</v>
      </c>
      <c r="M249" s="341">
        <f>IF(K249="","",'Historique détail'!L249/$W249)</f>
        <v>0</v>
      </c>
      <c r="N249" s="341">
        <f>IF(L249="","",'Historique détail'!M249/$W249)</f>
        <v>0.01018187483</v>
      </c>
      <c r="O249" s="341">
        <f>IF(M249="","",'Historique détail'!N249/$W249)</f>
        <v>0</v>
      </c>
      <c r="P249" s="341">
        <f>IF(N249="","",'Historique détail'!O249/$W249)</f>
        <v>0.0000000529542184</v>
      </c>
      <c r="Q249" s="341">
        <f>IF(O249="","",'Historique détail'!P249/$W249)</f>
        <v>0.0000000003090250002</v>
      </c>
      <c r="R249" s="341">
        <f>IF(P249="","",'Historique détail'!Q249/$W249)</f>
        <v>0</v>
      </c>
      <c r="S249" s="341">
        <f>IF(Q249="","",'Historique détail'!R249/$W249)</f>
        <v>0</v>
      </c>
      <c r="T249" s="341">
        <f>IF(R249="","",'Historique détail'!S249/$W249)</f>
        <v>0</v>
      </c>
      <c r="U249" s="340">
        <f t="shared" si="2"/>
        <v>0.2056183991</v>
      </c>
      <c r="V249" s="14">
        <f>IF(A249="","",ARBITRAGES!M250)</f>
        <v>8851.621936</v>
      </c>
      <c r="W249" s="342">
        <f>IF(V249="","",'Historique détail'!U249)</f>
        <v>43048.78345</v>
      </c>
      <c r="X249" s="288"/>
      <c r="Y249" s="220"/>
      <c r="Z249" s="220"/>
      <c r="AA249" s="220"/>
      <c r="AB249" s="220"/>
      <c r="AC249" s="220"/>
      <c r="AD249" s="220"/>
      <c r="AE249" s="220"/>
      <c r="AF249" s="220"/>
      <c r="AG249" s="220"/>
      <c r="AH249" s="220"/>
      <c r="AI249" s="308"/>
      <c r="AJ249" s="220"/>
      <c r="AK249" s="220"/>
      <c r="AL249" s="220"/>
      <c r="AM249" s="220"/>
      <c r="AN249" s="220"/>
      <c r="AO249" s="220"/>
      <c r="AP249" s="220"/>
      <c r="AQ249" s="220"/>
      <c r="AR249" s="220"/>
      <c r="AS249" s="220"/>
      <c r="AT249" s="220"/>
      <c r="AU249" s="220"/>
      <c r="AV249" s="220"/>
      <c r="AW249" s="220"/>
      <c r="AX249" s="220"/>
      <c r="AY249" s="220"/>
      <c r="AZ249" s="220"/>
      <c r="BA249" s="220"/>
      <c r="BB249" s="220"/>
    </row>
    <row r="250">
      <c r="A250" s="290">
        <f>PRIX!A251</f>
        <v>46055</v>
      </c>
      <c r="B250" s="302">
        <f t="shared" si="1"/>
        <v>0.7874481072</v>
      </c>
      <c r="C250" s="341">
        <f>IF(A250="","",'Historique détail'!B250/$W250)</f>
        <v>0.612314282</v>
      </c>
      <c r="D250" s="341">
        <f>IF(B250="","",'Historique détail'!C250/$W250)</f>
        <v>0.1135540664</v>
      </c>
      <c r="E250" s="341">
        <f>IF(C250="","",'Historique détail'!D250/$W250)</f>
        <v>0.00000004294547799</v>
      </c>
      <c r="F250" s="341">
        <f>IF(D250="","",'Historique détail'!E250/$W250)</f>
        <v>0.02375003713</v>
      </c>
      <c r="G250" s="341">
        <f>IF(E250="","",'Historique détail'!F250/$W250)</f>
        <v>0.02206949039</v>
      </c>
      <c r="H250" s="341">
        <f>IF(F250="","",'Historique détail'!G250/$W250)</f>
        <v>0</v>
      </c>
      <c r="I250" s="341">
        <f>IF(G250="","",'Historique détail'!H250/$W250)</f>
        <v>0.005580054871</v>
      </c>
      <c r="J250" s="341">
        <f>IF(H250="","",'Historique détail'!I250/$W250)</f>
        <v>-0.0000001018497033</v>
      </c>
      <c r="K250" s="341">
        <f>IF(I250="","",'Historique détail'!J250/$W250)</f>
        <v>0</v>
      </c>
      <c r="L250" s="341">
        <f>IF(J250="","",'Historique détail'!K250/$W250)</f>
        <v>0</v>
      </c>
      <c r="M250" s="341">
        <f>IF(K250="","",'Historique détail'!L250/$W250)</f>
        <v>0</v>
      </c>
      <c r="N250" s="341">
        <f>IF(L250="","",'Historique détail'!M250/$W250)</f>
        <v>0.01018018202</v>
      </c>
      <c r="O250" s="341">
        <f>IF(M250="","",'Historique détail'!N250/$W250)</f>
        <v>0</v>
      </c>
      <c r="P250" s="341">
        <f>IF(N250="","",'Historique détail'!O250/$W250)</f>
        <v>0.00000005294541439</v>
      </c>
      <c r="Q250" s="341">
        <f>IF(O250="","",'Historique détail'!P250/$W250)</f>
        <v>0.0000000003089736226</v>
      </c>
      <c r="R250" s="341">
        <f>IF(P250="","",'Historique détail'!Q250/$W250)</f>
        <v>0</v>
      </c>
      <c r="S250" s="341">
        <f>IF(Q250="","",'Historique détail'!R250/$W250)</f>
        <v>0</v>
      </c>
      <c r="T250" s="341">
        <f>IF(R250="","",'Historique détail'!S250/$W250)</f>
        <v>0</v>
      </c>
      <c r="U250" s="340">
        <f t="shared" si="2"/>
        <v>0.2125518928</v>
      </c>
      <c r="V250" s="14">
        <f>IF(A250="","",ARBITRAGES!M251)</f>
        <v>9151.621927</v>
      </c>
      <c r="W250" s="342">
        <f>IF(V250="","",'Historique détail'!U250)</f>
        <v>43055.9418</v>
      </c>
      <c r="X250" s="288"/>
      <c r="Y250" s="220"/>
      <c r="Z250" s="220"/>
      <c r="AA250" s="220"/>
      <c r="AB250" s="220"/>
      <c r="AC250" s="220"/>
      <c r="AD250" s="220"/>
      <c r="AE250" s="220"/>
      <c r="AF250" s="220"/>
      <c r="AG250" s="220"/>
      <c r="AH250" s="220"/>
      <c r="AI250" s="308"/>
      <c r="AJ250" s="220"/>
      <c r="AK250" s="220"/>
      <c r="AL250" s="220"/>
      <c r="AM250" s="220"/>
      <c r="AN250" s="220"/>
      <c r="AO250" s="220"/>
      <c r="AP250" s="220"/>
      <c r="AQ250" s="220"/>
      <c r="AR250" s="220"/>
      <c r="AS250" s="220"/>
      <c r="AT250" s="220"/>
      <c r="AU250" s="220"/>
      <c r="AV250" s="220"/>
      <c r="AW250" s="220"/>
      <c r="AX250" s="220"/>
      <c r="AY250" s="220"/>
      <c r="AZ250" s="220"/>
      <c r="BA250" s="220"/>
      <c r="BB250" s="220"/>
    </row>
    <row r="251">
      <c r="A251" s="290">
        <f>PRIX!A252</f>
        <v>46055</v>
      </c>
      <c r="B251" s="302">
        <f t="shared" si="1"/>
        <v>0.7928132204</v>
      </c>
      <c r="C251" s="341">
        <f>IF(A251="","",'Historique détail'!B251/$W251)</f>
        <v>0.6176793952</v>
      </c>
      <c r="D251" s="341">
        <f>IF(B251="","",'Historique détail'!C251/$W251)</f>
        <v>0.1135540664</v>
      </c>
      <c r="E251" s="341">
        <f>IF(C251="","",'Historique détail'!D251/$W251)</f>
        <v>0.00000004294547799</v>
      </c>
      <c r="F251" s="341">
        <f>IF(D251="","",'Historique détail'!E251/$W251)</f>
        <v>0.02375003713</v>
      </c>
      <c r="G251" s="341">
        <f>IF(E251="","",'Historique détail'!F251/$W251)</f>
        <v>0.02206949039</v>
      </c>
      <c r="H251" s="341">
        <f>IF(F251="","",'Historique détail'!G251/$W251)</f>
        <v>0</v>
      </c>
      <c r="I251" s="341">
        <f>IF(G251="","",'Historique détail'!H251/$W251)</f>
        <v>0.005580054871</v>
      </c>
      <c r="J251" s="341">
        <f>IF(H251="","",'Historique détail'!I251/$W251)</f>
        <v>-0.0000001018497033</v>
      </c>
      <c r="K251" s="341">
        <f>IF(I251="","",'Historique détail'!J251/$W251)</f>
        <v>0</v>
      </c>
      <c r="L251" s="341">
        <f>IF(J251="","",'Historique détail'!K251/$W251)</f>
        <v>0</v>
      </c>
      <c r="M251" s="341">
        <f>IF(K251="","",'Historique détail'!L251/$W251)</f>
        <v>0</v>
      </c>
      <c r="N251" s="341">
        <f>IF(L251="","",'Historique détail'!M251/$W251)</f>
        <v>0.01018018202</v>
      </c>
      <c r="O251" s="341">
        <f>IF(M251="","",'Historique détail'!N251/$W251)</f>
        <v>0</v>
      </c>
      <c r="P251" s="341">
        <f>IF(N251="","",'Historique détail'!O251/$W251)</f>
        <v>0.00000005294541439</v>
      </c>
      <c r="Q251" s="341">
        <f>IF(O251="","",'Historique détail'!P251/$W251)</f>
        <v>0.0000000003089736226</v>
      </c>
      <c r="R251" s="341">
        <f>IF(P251="","",'Historique détail'!Q251/$W251)</f>
        <v>0</v>
      </c>
      <c r="S251" s="341">
        <f>IF(Q251="","",'Historique détail'!R251/$W251)</f>
        <v>0</v>
      </c>
      <c r="T251" s="341">
        <f>IF(R251="","",'Historique détail'!S251/$W251)</f>
        <v>0</v>
      </c>
      <c r="U251" s="340">
        <f t="shared" si="2"/>
        <v>0.2071867796</v>
      </c>
      <c r="V251" s="14">
        <f>IF(A251="","",ARBITRAGES!M252)</f>
        <v>8920.621927</v>
      </c>
      <c r="W251" s="342">
        <f>IF(V251="","",'Historique détail'!U251)</f>
        <v>43055.9418</v>
      </c>
      <c r="X251" s="288"/>
      <c r="Y251" s="220"/>
      <c r="Z251" s="220"/>
      <c r="AA251" s="220"/>
      <c r="AB251" s="220"/>
      <c r="AC251" s="220"/>
      <c r="AD251" s="220"/>
      <c r="AE251" s="220"/>
      <c r="AF251" s="220"/>
      <c r="AG251" s="220"/>
      <c r="AH251" s="220"/>
      <c r="AI251" s="308"/>
      <c r="AJ251" s="220"/>
      <c r="AK251" s="220"/>
      <c r="AL251" s="220"/>
      <c r="AM251" s="220"/>
      <c r="AN251" s="220"/>
      <c r="AO251" s="220"/>
      <c r="AP251" s="220"/>
      <c r="AQ251" s="220"/>
      <c r="AR251" s="220"/>
      <c r="AS251" s="220"/>
      <c r="AT251" s="220"/>
      <c r="AU251" s="220"/>
      <c r="AV251" s="220"/>
      <c r="AW251" s="220"/>
      <c r="AX251" s="220"/>
      <c r="AY251" s="220"/>
      <c r="AZ251" s="220"/>
      <c r="BA251" s="220"/>
      <c r="BB251" s="220"/>
    </row>
    <row r="252">
      <c r="A252" s="290">
        <f>PRIX!A253</f>
        <v>46055</v>
      </c>
      <c r="B252" s="302">
        <f t="shared" si="1"/>
        <v>0.7986803027</v>
      </c>
      <c r="C252" s="341">
        <f>IF(A252="","",'Historique détail'!B252/$W252)</f>
        <v>0.6235992514</v>
      </c>
      <c r="D252" s="341">
        <f>IF(B252="","",'Historique détail'!C252/$W252)</f>
        <v>0.1135198487</v>
      </c>
      <c r="E252" s="341">
        <f>IF(C252="","",'Historique détail'!D252/$W252)</f>
        <v>0.00000004293253704</v>
      </c>
      <c r="F252" s="341">
        <f>IF(D252="","",'Historique détail'!E252/$W252)</f>
        <v>0.02374288043</v>
      </c>
      <c r="G252" s="341">
        <f>IF(E252="","",'Historique détail'!F252/$W252)</f>
        <v>0.0220628401</v>
      </c>
      <c r="H252" s="341">
        <f>IF(F252="","",'Historique détail'!G252/$W252)</f>
        <v>0</v>
      </c>
      <c r="I252" s="341">
        <f>IF(G252="","",'Historique détail'!H252/$W252)</f>
        <v>0.005578373409</v>
      </c>
      <c r="J252" s="341">
        <f>IF(H252="","",'Historique détail'!I252/$W252)</f>
        <v>-0.0000001018190125</v>
      </c>
      <c r="K252" s="341">
        <f>IF(I252="","",'Historique détail'!J252/$W252)</f>
        <v>0</v>
      </c>
      <c r="L252" s="341">
        <f>IF(J252="","",'Historique détail'!K252/$W252)</f>
        <v>0</v>
      </c>
      <c r="M252" s="341">
        <f>IF(K252="","",'Historique détail'!L252/$W252)</f>
        <v>0</v>
      </c>
      <c r="N252" s="341">
        <f>IF(L252="","",'Historique détail'!M252/$W252)</f>
        <v>0.01017711438</v>
      </c>
      <c r="O252" s="341">
        <f>IF(M252="","",'Historique détail'!N252/$W252)</f>
        <v>0</v>
      </c>
      <c r="P252" s="341">
        <f>IF(N252="","",'Historique détail'!O252/$W252)</f>
        <v>0.00000005292946012</v>
      </c>
      <c r="Q252" s="341">
        <f>IF(O252="","",'Historique détail'!P252/$W252)</f>
        <v>0.0000000003088805183</v>
      </c>
      <c r="R252" s="341">
        <f>IF(P252="","",'Historique détail'!Q252/$W252)</f>
        <v>0</v>
      </c>
      <c r="S252" s="341">
        <f>IF(Q252="","",'Historique détail'!R252/$W252)</f>
        <v>0</v>
      </c>
      <c r="T252" s="341">
        <f>IF(R252="","",'Historique détail'!S252/$W252)</f>
        <v>0</v>
      </c>
      <c r="U252" s="340">
        <f t="shared" si="2"/>
        <v>0.2013196973</v>
      </c>
      <c r="V252" s="14">
        <f>IF(A252="","",ARBITRAGES!M253)</f>
        <v>8670.621927</v>
      </c>
      <c r="W252" s="342">
        <f>IF(V252="","",'Historique détail'!U252)</f>
        <v>43068.91995</v>
      </c>
      <c r="X252" s="288"/>
      <c r="Y252" s="220"/>
      <c r="Z252" s="220"/>
      <c r="AA252" s="220"/>
      <c r="AB252" s="220"/>
      <c r="AC252" s="220"/>
      <c r="AD252" s="220"/>
      <c r="AE252" s="220"/>
      <c r="AF252" s="220"/>
      <c r="AG252" s="220"/>
      <c r="AH252" s="220"/>
      <c r="AI252" s="308"/>
      <c r="AJ252" s="220"/>
      <c r="AK252" s="220"/>
      <c r="AL252" s="220"/>
      <c r="AM252" s="220"/>
      <c r="AN252" s="220"/>
      <c r="AO252" s="220"/>
      <c r="AP252" s="220"/>
      <c r="AQ252" s="220"/>
      <c r="AR252" s="220"/>
      <c r="AS252" s="220"/>
      <c r="AT252" s="220"/>
      <c r="AU252" s="220"/>
      <c r="AV252" s="220"/>
      <c r="AW252" s="220"/>
      <c r="AX252" s="220"/>
      <c r="AY252" s="220"/>
      <c r="AZ252" s="220"/>
      <c r="BA252" s="220"/>
      <c r="BB252" s="220"/>
    </row>
    <row r="253">
      <c r="A253" s="290">
        <f>PRIX!A254</f>
        <v>46055</v>
      </c>
      <c r="B253" s="302">
        <f t="shared" si="1"/>
        <v>0.8034825121</v>
      </c>
      <c r="C253" s="341">
        <f>IF(A253="","",'Historique détail'!B253/$W253)</f>
        <v>0.6284458408</v>
      </c>
      <c r="D253" s="341">
        <f>IF(B253="","",'Historique détail'!C253/$W253)</f>
        <v>0.1134910733</v>
      </c>
      <c r="E253" s="341">
        <f>IF(C253="","",'Historique détail'!D253/$W253)</f>
        <v>0.00000004292165438</v>
      </c>
      <c r="F253" s="341">
        <f>IF(D253="","",'Historique détail'!E253/$W253)</f>
        <v>0.02373686202</v>
      </c>
      <c r="G253" s="341">
        <f>IF(E253="","",'Historique détail'!F253/$W253)</f>
        <v>0.02205724755</v>
      </c>
      <c r="H253" s="341">
        <f>IF(F253="","",'Historique détail'!G253/$W253)</f>
        <v>0</v>
      </c>
      <c r="I253" s="341">
        <f>IF(G253="","",'Historique détail'!H253/$W253)</f>
        <v>0.005576959387</v>
      </c>
      <c r="J253" s="341">
        <f>IF(H253="","",'Historique détail'!I253/$W253)</f>
        <v>-0.0000001017932031</v>
      </c>
      <c r="K253" s="341">
        <f>IF(I253="","",'Historique détail'!J253/$W253)</f>
        <v>0</v>
      </c>
      <c r="L253" s="341">
        <f>IF(J253="","",'Historique détail'!K253/$W253)</f>
        <v>0</v>
      </c>
      <c r="M253" s="341">
        <f>IF(K253="","",'Historique détail'!L253/$W253)</f>
        <v>0</v>
      </c>
      <c r="N253" s="341">
        <f>IF(L253="","",'Historique détail'!M253/$W253)</f>
        <v>0.01017453466</v>
      </c>
      <c r="O253" s="341">
        <f>IF(M253="","",'Historique détail'!N253/$W253)</f>
        <v>0</v>
      </c>
      <c r="P253" s="341">
        <f>IF(N253="","",'Historique détail'!O253/$W253)</f>
        <v>0.00000005291604341</v>
      </c>
      <c r="Q253" s="341">
        <f>IF(O253="","",'Historique détail'!P253/$W253)</f>
        <v>0.0000000003088022224</v>
      </c>
      <c r="R253" s="341">
        <f>IF(P253="","",'Historique détail'!Q253/$W253)</f>
        <v>0</v>
      </c>
      <c r="S253" s="341">
        <f>IF(Q253="","",'Historique détail'!R253/$W253)</f>
        <v>0</v>
      </c>
      <c r="T253" s="341">
        <f>IF(R253="","",'Historique détail'!S253/$W253)</f>
        <v>0</v>
      </c>
      <c r="U253" s="340">
        <f t="shared" si="2"/>
        <v>0.1965174879</v>
      </c>
      <c r="V253" s="14">
        <f>IF(A253="","",ARBITRAGES!M254)</f>
        <v>8465.941927</v>
      </c>
      <c r="W253" s="342">
        <f>IF(V253="","",'Historique détail'!U253)</f>
        <v>43079.83995</v>
      </c>
      <c r="X253" s="288"/>
      <c r="Y253" s="220"/>
      <c r="Z253" s="220"/>
      <c r="AA253" s="220"/>
      <c r="AB253" s="220"/>
      <c r="AC253" s="220"/>
      <c r="AD253" s="220"/>
      <c r="AE253" s="220"/>
      <c r="AF253" s="220"/>
      <c r="AG253" s="220"/>
      <c r="AH253" s="220"/>
      <c r="AI253" s="308"/>
      <c r="AJ253" s="220"/>
      <c r="AK253" s="220"/>
      <c r="AL253" s="220"/>
      <c r="AM253" s="220"/>
      <c r="AN253" s="220"/>
      <c r="AO253" s="220"/>
      <c r="AP253" s="220"/>
      <c r="AQ253" s="220"/>
      <c r="AR253" s="220"/>
      <c r="AS253" s="220"/>
      <c r="AT253" s="220"/>
      <c r="AU253" s="220"/>
      <c r="AV253" s="220"/>
      <c r="AW253" s="220"/>
      <c r="AX253" s="220"/>
      <c r="AY253" s="220"/>
      <c r="AZ253" s="220"/>
      <c r="BA253" s="220"/>
      <c r="BB253" s="220"/>
    </row>
    <row r="254">
      <c r="A254" s="290">
        <f>PRIX!A255</f>
        <v>46056</v>
      </c>
      <c r="B254" s="302">
        <f t="shared" si="1"/>
        <v>0.8184861754</v>
      </c>
      <c r="C254" s="341">
        <f>IF(A254="","",'Historique détail'!B254/$W254)</f>
        <v>0.6404433297</v>
      </c>
      <c r="D254" s="341">
        <f>IF(B254="","",'Historique détail'!C254/$W254)</f>
        <v>0.1160627394</v>
      </c>
      <c r="E254" s="341">
        <f>IF(C254="","",'Historique détail'!D254/$W254)</f>
        <v>0.00000004520002173</v>
      </c>
      <c r="F254" s="341">
        <f>IF(D254="","",'Historique détail'!E254/$W254)</f>
        <v>0.02327207869</v>
      </c>
      <c r="G254" s="341">
        <f>IF(E254="","",'Historique détail'!F254/$W254)</f>
        <v>0.02264738815</v>
      </c>
      <c r="H254" s="341">
        <f>IF(F254="","",'Historique détail'!G254/$W254)</f>
        <v>0</v>
      </c>
      <c r="I254" s="341">
        <f>IF(G254="","",'Historique détail'!H254/$W254)</f>
        <v>0.005637463965</v>
      </c>
      <c r="J254" s="341">
        <f>IF(H254="","",'Historique détail'!I254/$W254)</f>
        <v>-0.0000001047463824</v>
      </c>
      <c r="K254" s="341">
        <f>IF(I254="","",'Historique détail'!J254/$W254)</f>
        <v>0</v>
      </c>
      <c r="L254" s="341">
        <f>IF(J254="","",'Historique détail'!K254/$W254)</f>
        <v>0</v>
      </c>
      <c r="M254" s="341">
        <f>IF(K254="","",'Historique détail'!L254/$W254)</f>
        <v>0</v>
      </c>
      <c r="N254" s="341">
        <f>IF(L254="","",'Historique détail'!M254/$W254)</f>
        <v>0.01042318168</v>
      </c>
      <c r="O254" s="341">
        <f>IF(M254="","",'Historique détail'!N254/$W254)</f>
        <v>0</v>
      </c>
      <c r="P254" s="341">
        <f>IF(N254="","",'Historique détail'!O254/$W254)</f>
        <v>0.0000000529386863</v>
      </c>
      <c r="Q254" s="341">
        <f>IF(O254="","",'Historique détail'!P254/$W254)</f>
        <v>0.0000000003223662882</v>
      </c>
      <c r="R254" s="341">
        <f>IF(P254="","",'Historique détail'!Q254/$W254)</f>
        <v>0</v>
      </c>
      <c r="S254" s="341">
        <f>IF(Q254="","",'Historique détail'!R254/$W254)</f>
        <v>0</v>
      </c>
      <c r="T254" s="341">
        <f>IF(R254="","",'Historique détail'!S254/$W254)</f>
        <v>0</v>
      </c>
      <c r="U254" s="340">
        <f t="shared" si="2"/>
        <v>0.1815138246</v>
      </c>
      <c r="V254" s="14">
        <f>IF(A254="","",ARBITRAGES!M255)</f>
        <v>7816.241927</v>
      </c>
      <c r="W254" s="342">
        <f>IF(V254="","",'Historique détail'!U254)</f>
        <v>43061.41388</v>
      </c>
      <c r="X254" s="288"/>
      <c r="Y254" s="220"/>
      <c r="Z254" s="220"/>
      <c r="AA254" s="220"/>
      <c r="AB254" s="220"/>
      <c r="AC254" s="220"/>
      <c r="AD254" s="220"/>
      <c r="AE254" s="220"/>
      <c r="AF254" s="220"/>
      <c r="AG254" s="220"/>
      <c r="AH254" s="220"/>
      <c r="AI254" s="308"/>
      <c r="AJ254" s="220"/>
      <c r="AK254" s="220"/>
      <c r="AL254" s="220"/>
      <c r="AM254" s="220"/>
      <c r="AN254" s="220"/>
      <c r="AO254" s="220"/>
      <c r="AP254" s="220"/>
      <c r="AQ254" s="220"/>
      <c r="AR254" s="220"/>
      <c r="AS254" s="220"/>
      <c r="AT254" s="220"/>
      <c r="AU254" s="220"/>
      <c r="AV254" s="220"/>
      <c r="AW254" s="220"/>
      <c r="AX254" s="220"/>
      <c r="AY254" s="220"/>
      <c r="AZ254" s="220"/>
      <c r="BA254" s="220"/>
      <c r="BB254" s="220"/>
    </row>
    <row r="255">
      <c r="A255" s="290">
        <f>PRIX!A256</f>
        <v>46057</v>
      </c>
      <c r="B255" s="302">
        <f t="shared" si="1"/>
        <v>0.8124774536</v>
      </c>
      <c r="C255" s="341">
        <f>IF(A255="","",'Historique détail'!B255/$W255)</f>
        <v>0.6388845327</v>
      </c>
      <c r="D255" s="341">
        <f>IF(B255="","",'Historique détail'!C255/$W255)</f>
        <v>0.1124609716</v>
      </c>
      <c r="E255" s="341">
        <f>IF(C255="","",'Historique détail'!D255/$W255)</f>
        <v>0.00000004796850676</v>
      </c>
      <c r="F255" s="341">
        <f>IF(D255="","",'Historique détail'!E255/$W255)</f>
        <v>0.02275441175</v>
      </c>
      <c r="G255" s="341">
        <f>IF(E255="","",'Historique détail'!F255/$W255)</f>
        <v>0.02250725452</v>
      </c>
      <c r="H255" s="341">
        <f>IF(F255="","",'Historique détail'!G255/$W255)</f>
        <v>0</v>
      </c>
      <c r="I255" s="341">
        <f>IF(G255="","",'Historique détail'!H255/$W255)</f>
        <v>0.005525088682</v>
      </c>
      <c r="J255" s="341">
        <f>IF(H255="","",'Historique détail'!I255/$W255)</f>
        <v>-0.0000001023311508</v>
      </c>
      <c r="K255" s="341">
        <f>IF(I255="","",'Historique détail'!J255/$W255)</f>
        <v>0</v>
      </c>
      <c r="L255" s="341">
        <f>IF(J255="","",'Historique détail'!K255/$W255)</f>
        <v>0</v>
      </c>
      <c r="M255" s="341">
        <f>IF(K255="","",'Historique détail'!L255/$W255)</f>
        <v>0</v>
      </c>
      <c r="N255" s="341">
        <f>IF(L255="","",'Historique détail'!M255/$W255)</f>
        <v>0.01034519903</v>
      </c>
      <c r="O255" s="341">
        <f>IF(M255="","",'Historique détail'!N255/$W255)</f>
        <v>0</v>
      </c>
      <c r="P255" s="341">
        <f>IF(N255="","",'Historique détail'!O255/$W255)</f>
        <v>0.00000004932292628</v>
      </c>
      <c r="Q255" s="341">
        <f>IF(O255="","",'Historique détail'!P255/$W255)</f>
        <v>0.0000000003253774116</v>
      </c>
      <c r="R255" s="341">
        <f>IF(P255="","",'Historique détail'!Q255/$W255)</f>
        <v>0</v>
      </c>
      <c r="S255" s="341">
        <f>IF(Q255="","",'Historique détail'!R255/$W255)</f>
        <v>0</v>
      </c>
      <c r="T255" s="341">
        <f>IF(R255="","",'Historique détail'!S255/$W255)</f>
        <v>0</v>
      </c>
      <c r="U255" s="340">
        <f t="shared" si="2"/>
        <v>0.1875225464</v>
      </c>
      <c r="V255" s="14">
        <f>IF(A255="","",ARBITRAGES!M256)</f>
        <v>7500.241927</v>
      </c>
      <c r="W255" s="342">
        <f>IF(V255="","",'Historique détail'!U255)</f>
        <v>39996.4808</v>
      </c>
      <c r="X255" s="288"/>
      <c r="Y255" s="220"/>
      <c r="Z255" s="220"/>
      <c r="AA255" s="220"/>
      <c r="AB255" s="220"/>
      <c r="AC255" s="220"/>
      <c r="AD255" s="220"/>
      <c r="AE255" s="220"/>
      <c r="AF255" s="220"/>
      <c r="AG255" s="220"/>
      <c r="AH255" s="220"/>
      <c r="AI255" s="308"/>
      <c r="AJ255" s="220"/>
      <c r="AK255" s="220"/>
      <c r="AL255" s="220"/>
      <c r="AM255" s="220"/>
      <c r="AN255" s="220"/>
      <c r="AO255" s="220"/>
      <c r="AP255" s="220"/>
      <c r="AQ255" s="220"/>
      <c r="AR255" s="220"/>
      <c r="AS255" s="220"/>
      <c r="AT255" s="220"/>
      <c r="AU255" s="220"/>
      <c r="AV255" s="220"/>
      <c r="AW255" s="220"/>
      <c r="AX255" s="220"/>
      <c r="AY255" s="220"/>
      <c r="AZ255" s="220"/>
      <c r="BA255" s="220"/>
      <c r="BB255" s="220"/>
    </row>
    <row r="256">
      <c r="A256" s="290">
        <f>PRIX!A257</f>
        <v>46058</v>
      </c>
      <c r="B256" s="302">
        <f t="shared" si="1"/>
        <v>0.7921450598</v>
      </c>
      <c r="C256" s="341">
        <f>IF(A256="","",'Historique détail'!B256/$W256)</f>
        <v>0.6285999623</v>
      </c>
      <c r="D256" s="341">
        <f>IF(B256="","",'Historique détail'!C256/$W256)</f>
        <v>0.1093309534</v>
      </c>
      <c r="E256" s="341">
        <f>IF(C256="","",'Historique détail'!D256/$W256)</f>
        <v>0.00000004862845906</v>
      </c>
      <c r="F256" s="341">
        <f>IF(D256="","",'Historique détail'!E256/$W256)</f>
        <v>0.02201079027</v>
      </c>
      <c r="G256" s="341">
        <f>IF(E256="","",'Historique détail'!F256/$W256)</f>
        <v>0.02220260865</v>
      </c>
      <c r="H256" s="341">
        <f>IF(F256="","",'Historique détail'!G256/$W256)</f>
        <v>0</v>
      </c>
      <c r="I256" s="341">
        <f>IF(G256="","",'Historique détail'!H256/$W256)</f>
        <v>0</v>
      </c>
      <c r="J256" s="341">
        <f>IF(H256="","",'Historique détail'!I256/$W256)</f>
        <v>-0.0000001011333363</v>
      </c>
      <c r="K256" s="341">
        <f>IF(I256="","",'Historique détail'!J256/$W256)</f>
        <v>0</v>
      </c>
      <c r="L256" s="341">
        <f>IF(J256="","",'Historique détail'!K256/$W256)</f>
        <v>0</v>
      </c>
      <c r="M256" s="341">
        <f>IF(K256="","",'Historique détail'!L256/$W256)</f>
        <v>0</v>
      </c>
      <c r="N256" s="341">
        <f>IF(L256="","",'Historique détail'!M256/$W256)</f>
        <v>0.01000075415</v>
      </c>
      <c r="O256" s="341">
        <f>IF(M256="","",'Historique détail'!N256/$W256)</f>
        <v>0</v>
      </c>
      <c r="P256" s="341">
        <f>IF(N256="","",'Historique détail'!O256/$W256)</f>
        <v>0.00000004324917169</v>
      </c>
      <c r="Q256" s="341">
        <f>IF(O256="","",'Historique détail'!P256/$W256)</f>
        <v>0.0000000002645597953</v>
      </c>
      <c r="R256" s="341">
        <f>IF(P256="","",'Historique détail'!Q256/$W256)</f>
        <v>0</v>
      </c>
      <c r="S256" s="341">
        <f>IF(Q256="","",'Historique détail'!R256/$W256)</f>
        <v>0</v>
      </c>
      <c r="T256" s="341">
        <f>IF(R256="","",'Historique détail'!S256/$W256)</f>
        <v>0</v>
      </c>
      <c r="U256" s="340">
        <f t="shared" si="2"/>
        <v>0.2078549402</v>
      </c>
      <c r="V256" s="14">
        <f>IF(A256="","",ARBITRAGES!M257)</f>
        <v>7725.241927</v>
      </c>
      <c r="W256" s="342">
        <f>IF(V256="","",'Historique détail'!U256)</f>
        <v>37166.50621</v>
      </c>
      <c r="X256" s="288"/>
      <c r="Y256" s="220"/>
      <c r="Z256" s="220"/>
      <c r="AA256" s="220"/>
      <c r="AB256" s="220"/>
      <c r="AC256" s="220"/>
      <c r="AD256" s="220"/>
      <c r="AE256" s="220"/>
      <c r="AF256" s="220"/>
      <c r="AG256" s="220"/>
      <c r="AH256" s="220"/>
      <c r="AI256" s="308"/>
      <c r="AJ256" s="220"/>
      <c r="AK256" s="220"/>
      <c r="AL256" s="220"/>
      <c r="AM256" s="220"/>
      <c r="AN256" s="220"/>
      <c r="AO256" s="220"/>
      <c r="AP256" s="220"/>
      <c r="AQ256" s="220"/>
      <c r="AR256" s="220"/>
      <c r="AS256" s="220"/>
      <c r="AT256" s="220"/>
      <c r="AU256" s="220"/>
      <c r="AV256" s="220"/>
      <c r="AW256" s="220"/>
      <c r="AX256" s="220"/>
      <c r="AY256" s="220"/>
      <c r="AZ256" s="220"/>
      <c r="BA256" s="220"/>
      <c r="BB256" s="220"/>
    </row>
    <row r="257">
      <c r="A257" s="290">
        <f>PRIX!A258</f>
        <v>46058</v>
      </c>
      <c r="B257" s="302">
        <f t="shared" si="1"/>
        <v>0.7981709165</v>
      </c>
      <c r="C257" s="341">
        <f>IF(A257="","",'Historique détail'!B257/$W257)</f>
        <v>0.6346031424</v>
      </c>
      <c r="D257" s="341">
        <f>IF(B257="","",'Historique détail'!C257/$W257)</f>
        <v>0.1093461128</v>
      </c>
      <c r="E257" s="341">
        <f>IF(C257="","",'Historique détail'!D257/$W257)</f>
        <v>0.00000004863520173</v>
      </c>
      <c r="F257" s="341">
        <f>IF(D257="","",'Historique détail'!E257/$W257)</f>
        <v>0.02201384221</v>
      </c>
      <c r="G257" s="341">
        <f>IF(E257="","",'Historique détail'!F257/$W257)</f>
        <v>0.02220568719</v>
      </c>
      <c r="H257" s="341">
        <f>IF(F257="","",'Historique détail'!G257/$W257)</f>
        <v>0</v>
      </c>
      <c r="I257" s="341">
        <f>IF(G257="","",'Historique détail'!H257/$W257)</f>
        <v>0</v>
      </c>
      <c r="J257" s="341">
        <f>IF(H257="","",'Historique détail'!I257/$W257)</f>
        <v>-0.0000001011473591</v>
      </c>
      <c r="K257" s="341">
        <f>IF(I257="","",'Historique détail'!J257/$W257)</f>
        <v>0</v>
      </c>
      <c r="L257" s="341">
        <f>IF(J257="","",'Historique détail'!K257/$W257)</f>
        <v>0</v>
      </c>
      <c r="M257" s="341">
        <f>IF(K257="","",'Historique détail'!L257/$W257)</f>
        <v>0</v>
      </c>
      <c r="N257" s="341">
        <f>IF(L257="","",'Historique détail'!M257/$W257)</f>
        <v>0.01000214082</v>
      </c>
      <c r="O257" s="341">
        <f>IF(M257="","",'Historique détail'!N257/$W257)</f>
        <v>0</v>
      </c>
      <c r="P257" s="341">
        <f>IF(N257="","",'Historique détail'!O257/$W257)</f>
        <v>0.00000004325516848</v>
      </c>
      <c r="Q257" s="341">
        <f>IF(O257="","",'Historique détail'!P257/$W257)</f>
        <v>0.0000000002645964783</v>
      </c>
      <c r="R257" s="341">
        <f>IF(P257="","",'Historique détail'!Q257/$W257)</f>
        <v>0</v>
      </c>
      <c r="S257" s="341">
        <f>IF(Q257="","",'Historique détail'!R257/$W257)</f>
        <v>0</v>
      </c>
      <c r="T257" s="341">
        <f>IF(R257="","",'Historique détail'!S257/$W257)</f>
        <v>0</v>
      </c>
      <c r="U257" s="340">
        <f t="shared" si="2"/>
        <v>0.2018290835</v>
      </c>
      <c r="V257" s="14">
        <f>IF(A257="","",ARBITRAGES!M258)</f>
        <v>7500.241927</v>
      </c>
      <c r="W257" s="342">
        <f>IF(V257="","",'Historique détail'!U257)</f>
        <v>37161.35354</v>
      </c>
      <c r="X257" s="288"/>
      <c r="Y257" s="220"/>
      <c r="Z257" s="220"/>
      <c r="AA257" s="220"/>
      <c r="AB257" s="220"/>
      <c r="AC257" s="220"/>
      <c r="AD257" s="220"/>
      <c r="AE257" s="220"/>
      <c r="AF257" s="220"/>
      <c r="AG257" s="220"/>
      <c r="AH257" s="220"/>
      <c r="AI257" s="308"/>
      <c r="AJ257" s="220"/>
      <c r="AK257" s="220"/>
      <c r="AL257" s="220"/>
      <c r="AM257" s="220"/>
      <c r="AN257" s="220"/>
      <c r="AO257" s="220"/>
      <c r="AP257" s="220"/>
      <c r="AQ257" s="220"/>
      <c r="AR257" s="220"/>
      <c r="AS257" s="220"/>
      <c r="AT257" s="220"/>
      <c r="AU257" s="220"/>
      <c r="AV257" s="220"/>
      <c r="AW257" s="220"/>
      <c r="AX257" s="220"/>
      <c r="AY257" s="220"/>
      <c r="AZ257" s="220"/>
      <c r="BA257" s="220"/>
      <c r="BB257" s="220"/>
    </row>
    <row r="258">
      <c r="A258" s="290">
        <f>PRIX!A259</f>
        <v>46059</v>
      </c>
      <c r="B258" s="302">
        <f t="shared" si="1"/>
        <v>0.8042544201</v>
      </c>
      <c r="C258" s="341">
        <f>IF(A258="","",'Historique détail'!B258/$W258)</f>
        <v>0.6419558414</v>
      </c>
      <c r="D258" s="341">
        <f>IF(B258="","",'Historique détail'!C258/$W258)</f>
        <v>0.1093716304</v>
      </c>
      <c r="E258" s="341">
        <f>IF(C258="","",'Historique détail'!D258/$W258)</f>
        <v>0.00000004859457867</v>
      </c>
      <c r="F258" s="341">
        <f>IF(D258="","",'Historique détail'!E258/$W258)</f>
        <v>0.02144556855</v>
      </c>
      <c r="G258" s="341">
        <f>IF(E258="","",'Historique détail'!F258/$W258)</f>
        <v>0.02167616311</v>
      </c>
      <c r="H258" s="341">
        <f>IF(F258="","",'Historique détail'!G258/$W258)</f>
        <v>0</v>
      </c>
      <c r="I258" s="341">
        <f>IF(G258="","",'Historique détail'!H258/$W258)</f>
        <v>0</v>
      </c>
      <c r="J258" s="341">
        <f>IF(H258="","",'Historique détail'!I258/$W258)</f>
        <v>-0.0000001016018767</v>
      </c>
      <c r="K258" s="341">
        <f>IF(I258="","",'Historique détail'!J258/$W258)</f>
        <v>0</v>
      </c>
      <c r="L258" s="341">
        <f>IF(J258="","",'Historique détail'!K258/$W258)</f>
        <v>0</v>
      </c>
      <c r="M258" s="341">
        <f>IF(K258="","",'Historique détail'!L258/$W258)</f>
        <v>0</v>
      </c>
      <c r="N258" s="341">
        <f>IF(L258="","",'Historique détail'!M258/$W258)</f>
        <v>0.009805224422</v>
      </c>
      <c r="O258" s="341">
        <f>IF(M258="","",'Historique détail'!N258/$W258)</f>
        <v>0</v>
      </c>
      <c r="P258" s="341">
        <f>IF(N258="","",'Historique détail'!O258/$W258)</f>
        <v>0.00000004494780072</v>
      </c>
      <c r="Q258" s="341">
        <f>IF(O258="","",'Historique détail'!P258/$W258)</f>
        <v>0.0000000002749504902</v>
      </c>
      <c r="R258" s="341">
        <f>IF(P258="","",'Historique détail'!Q258/$W258)</f>
        <v>0</v>
      </c>
      <c r="S258" s="341">
        <f>IF(Q258="","",'Historique détail'!R258/$W258)</f>
        <v>0</v>
      </c>
      <c r="T258" s="341">
        <f>IF(R258="","",'Historique détail'!S258/$W258)</f>
        <v>0</v>
      </c>
      <c r="U258" s="340">
        <f t="shared" si="2"/>
        <v>0.1957455799</v>
      </c>
      <c r="V258" s="14">
        <f>IF(A258="","",ARBITRAGES!M259)</f>
        <v>7000.241927</v>
      </c>
      <c r="W258" s="342">
        <f>IF(V258="","",'Historique détail'!U258)</f>
        <v>35761.94124</v>
      </c>
      <c r="X258" s="288"/>
      <c r="Y258" s="220"/>
      <c r="Z258" s="220"/>
      <c r="AA258" s="220"/>
      <c r="AB258" s="220"/>
      <c r="AC258" s="220"/>
      <c r="AD258" s="220"/>
      <c r="AE258" s="220"/>
      <c r="AF258" s="220"/>
      <c r="AG258" s="220"/>
      <c r="AH258" s="220"/>
      <c r="AI258" s="308"/>
      <c r="AJ258" s="220"/>
      <c r="AK258" s="220"/>
      <c r="AL258" s="220"/>
      <c r="AM258" s="220"/>
      <c r="AN258" s="220"/>
      <c r="AO258" s="220"/>
      <c r="AP258" s="220"/>
      <c r="AQ258" s="220"/>
      <c r="AR258" s="220"/>
      <c r="AS258" s="220"/>
      <c r="AT258" s="220"/>
      <c r="AU258" s="220"/>
      <c r="AV258" s="220"/>
      <c r="AW258" s="220"/>
      <c r="AX258" s="220"/>
      <c r="AY258" s="220"/>
      <c r="AZ258" s="220"/>
      <c r="BA258" s="220"/>
      <c r="BB258" s="220"/>
    </row>
    <row r="259">
      <c r="A259" s="290">
        <f>PRIX!A260</f>
        <v>46060</v>
      </c>
      <c r="B259" s="302">
        <f t="shared" si="1"/>
        <v>0.8083479629</v>
      </c>
      <c r="C259" s="341">
        <f>IF(A259="","",'Historique détail'!B259/$W259)</f>
        <v>0.6543114037</v>
      </c>
      <c r="D259" s="341">
        <f>IF(B259="","",'Historique détail'!C259/$W259)</f>
        <v>0.1099515002</v>
      </c>
      <c r="E259" s="341">
        <f>IF(C259="","",'Historique détail'!D259/$W259)</f>
        <v>0.0000000468981301</v>
      </c>
      <c r="F259" s="341">
        <f>IF(D259="","",'Historique détail'!E259/$W259)</f>
        <v>0.0220236228</v>
      </c>
      <c r="G259" s="341">
        <f>IF(E259="","",'Historique détail'!F259/$W259)</f>
        <v>0.02206144731</v>
      </c>
      <c r="H259" s="341">
        <f>IF(F259="","",'Historique détail'!G259/$W259)</f>
        <v>0</v>
      </c>
      <c r="I259" s="341">
        <f>IF(G259="","",'Historique détail'!H259/$W259)</f>
        <v>0</v>
      </c>
      <c r="J259" s="341">
        <f>IF(H259="","",'Historique détail'!I259/$W259)</f>
        <v>-0.0000001018696227</v>
      </c>
      <c r="K259" s="341">
        <f>IF(I259="","",'Historique détail'!J259/$W259)</f>
        <v>0</v>
      </c>
      <c r="L259" s="341">
        <f>IF(J259="","",'Historique détail'!K259/$W259)</f>
        <v>0</v>
      </c>
      <c r="M259" s="341">
        <f>IF(K259="","",'Historique détail'!L259/$W259)</f>
        <v>0</v>
      </c>
      <c r="N259" s="341">
        <f>IF(L259="","",'Historique détail'!M259/$W259)</f>
        <v>0</v>
      </c>
      <c r="O259" s="341">
        <f>IF(M259="","",'Historique détail'!N259/$W259)</f>
        <v>0</v>
      </c>
      <c r="P259" s="341">
        <f>IF(N259="","",'Historique détail'!O259/$W259)</f>
        <v>0.00000004360617252</v>
      </c>
      <c r="Q259" s="341">
        <f>IF(O259="","",'Historique détail'!P259/$W259)</f>
        <v>0.0000000003076761304</v>
      </c>
      <c r="R259" s="341">
        <f>IF(P259="","",'Historique détail'!Q259/$W259)</f>
        <v>0</v>
      </c>
      <c r="S259" s="341">
        <f>IF(Q259="","",'Historique détail'!R259/$W259)</f>
        <v>0</v>
      </c>
      <c r="T259" s="341">
        <f>IF(R259="","",'Historique détail'!S259/$W259)</f>
        <v>0</v>
      </c>
      <c r="U259" s="340">
        <f t="shared" si="2"/>
        <v>0.1916520371</v>
      </c>
      <c r="V259" s="14">
        <f>IF(A259="","",ARBITRAGES!M260)</f>
        <v>7385.844473</v>
      </c>
      <c r="W259" s="342">
        <f>IF(V259="","",'Historique détail'!U259)</f>
        <v>38537.78225</v>
      </c>
      <c r="X259" s="288"/>
      <c r="Y259" s="220"/>
      <c r="Z259" s="220"/>
      <c r="AA259" s="220"/>
      <c r="AB259" s="220"/>
      <c r="AC259" s="220"/>
      <c r="AD259" s="220"/>
      <c r="AE259" s="220"/>
      <c r="AF259" s="220"/>
      <c r="AG259" s="220"/>
      <c r="AH259" s="220"/>
      <c r="AI259" s="308"/>
      <c r="AJ259" s="220"/>
      <c r="AK259" s="220"/>
      <c r="AL259" s="220"/>
      <c r="AM259" s="220"/>
      <c r="AN259" s="220"/>
      <c r="AO259" s="220"/>
      <c r="AP259" s="220"/>
      <c r="AQ259" s="220"/>
      <c r="AR259" s="220"/>
      <c r="AS259" s="220"/>
      <c r="AT259" s="220"/>
      <c r="AU259" s="220"/>
      <c r="AV259" s="220"/>
      <c r="AW259" s="220"/>
      <c r="AX259" s="220"/>
      <c r="AY259" s="220"/>
      <c r="AZ259" s="220"/>
      <c r="BA259" s="220"/>
      <c r="BB259" s="220"/>
    </row>
    <row r="260">
      <c r="A260" s="290">
        <f>PRIX!A261</f>
        <v>46060</v>
      </c>
      <c r="B260" s="302">
        <f t="shared" si="1"/>
        <v>0.7857747365</v>
      </c>
      <c r="C260" s="341">
        <f>IF(A260="","",'Historique détail'!B260/$W260)</f>
        <v>0.6538855247</v>
      </c>
      <c r="D260" s="341">
        <f>IF(B260="","",'Historique détail'!C260/$W260)</f>
        <v>0.1098799348</v>
      </c>
      <c r="E260" s="341">
        <f>IF(C260="","",'Historique détail'!D260/$W260)</f>
        <v>0.00000004686760499</v>
      </c>
      <c r="F260" s="341">
        <f>IF(D260="","",'Historique détail'!E260/$W260)</f>
        <v>0.02200928804</v>
      </c>
      <c r="G260" s="341">
        <f>IF(E260="","",'Historique détail'!F260/$W260)</f>
        <v>0</v>
      </c>
      <c r="H260" s="341">
        <f>IF(F260="","",'Historique détail'!G260/$W260)</f>
        <v>0</v>
      </c>
      <c r="I260" s="341">
        <f>IF(G260="","",'Historique détail'!H260/$W260)</f>
        <v>0</v>
      </c>
      <c r="J260" s="341">
        <f>IF(H260="","",'Historique détail'!I260/$W260)</f>
        <v>-0.0000001018033177</v>
      </c>
      <c r="K260" s="341">
        <f>IF(I260="","",'Historique détail'!J260/$W260)</f>
        <v>0</v>
      </c>
      <c r="L260" s="341">
        <f>IF(J260="","",'Historique détail'!K260/$W260)</f>
        <v>0</v>
      </c>
      <c r="M260" s="341">
        <f>IF(K260="","",'Historique détail'!L260/$W260)</f>
        <v>0</v>
      </c>
      <c r="N260" s="341">
        <f>IF(L260="","",'Historique détail'!M260/$W260)</f>
        <v>0</v>
      </c>
      <c r="O260" s="341">
        <f>IF(M260="","",'Historique détail'!N260/$W260)</f>
        <v>0</v>
      </c>
      <c r="P260" s="341">
        <f>IF(N260="","",'Historique détail'!O260/$W260)</f>
        <v>0.00000004357779008</v>
      </c>
      <c r="Q260" s="341">
        <f>IF(O260="","",'Historique détail'!P260/$W260)</f>
        <v>0.0000000003074758697</v>
      </c>
      <c r="R260" s="341">
        <f>IF(P260="","",'Historique détail'!Q260/$W260)</f>
        <v>0</v>
      </c>
      <c r="S260" s="341">
        <f>IF(Q260="","",'Historique détail'!R260/$W260)</f>
        <v>0</v>
      </c>
      <c r="T260" s="341">
        <f>IF(R260="","",'Historique détail'!S260/$W260)</f>
        <v>0</v>
      </c>
      <c r="U260" s="340">
        <f t="shared" si="2"/>
        <v>0.2142252635</v>
      </c>
      <c r="V260" s="14">
        <f>IF(A260="","",ARBITRAGES!M261)</f>
        <v>8261.143581</v>
      </c>
      <c r="W260" s="342">
        <f>IF(V260="","",'Historique détail'!U260)</f>
        <v>38562.88211</v>
      </c>
      <c r="X260" s="288"/>
      <c r="Y260" s="220"/>
      <c r="Z260" s="220"/>
      <c r="AA260" s="220"/>
      <c r="AB260" s="220"/>
      <c r="AC260" s="220"/>
      <c r="AD260" s="220"/>
      <c r="AE260" s="220"/>
      <c r="AF260" s="220"/>
      <c r="AG260" s="220"/>
      <c r="AH260" s="220"/>
      <c r="AI260" s="308"/>
      <c r="AJ260" s="220"/>
      <c r="AK260" s="220"/>
      <c r="AL260" s="220"/>
      <c r="AM260" s="220"/>
      <c r="AN260" s="220"/>
      <c r="AO260" s="220"/>
      <c r="AP260" s="220"/>
      <c r="AQ260" s="220"/>
      <c r="AR260" s="220"/>
      <c r="AS260" s="220"/>
      <c r="AT260" s="220"/>
      <c r="AU260" s="220"/>
      <c r="AV260" s="220"/>
      <c r="AW260" s="220"/>
      <c r="AX260" s="220"/>
      <c r="AY260" s="220"/>
      <c r="AZ260" s="220"/>
      <c r="BA260" s="220"/>
      <c r="BB260" s="220"/>
    </row>
    <row r="261">
      <c r="A261" s="290">
        <f>PRIX!A262</f>
        <v>46061</v>
      </c>
      <c r="B261" s="302">
        <f t="shared" si="1"/>
        <v>0.7691493882</v>
      </c>
      <c r="C261" s="341">
        <f>IF(A261="","",'Historique détail'!B261/$W261)</f>
        <v>0.6565293348</v>
      </c>
      <c r="D261" s="341">
        <f>IF(B261="","",'Historique détail'!C261/$W261)</f>
        <v>0.1126200633</v>
      </c>
      <c r="E261" s="341">
        <f>IF(C261="","",'Historique détail'!D261/$W261)</f>
        <v>0.00000004674758437</v>
      </c>
      <c r="F261" s="341">
        <f>IF(D261="","",'Historique détail'!E261/$W261)</f>
        <v>0</v>
      </c>
      <c r="G261" s="341">
        <f>IF(E261="","",'Historique détail'!F261/$W261)</f>
        <v>0</v>
      </c>
      <c r="H261" s="341">
        <f>IF(F261="","",'Historique détail'!G261/$W261)</f>
        <v>0</v>
      </c>
      <c r="I261" s="341">
        <f>IF(G261="","",'Historique détail'!H261/$W261)</f>
        <v>0</v>
      </c>
      <c r="J261" s="341">
        <f>IF(H261="","",'Historique détail'!I261/$W261)</f>
        <v>-0.0000001013639289</v>
      </c>
      <c r="K261" s="341">
        <f>IF(I261="","",'Historique détail'!J261/$W261)</f>
        <v>0</v>
      </c>
      <c r="L261" s="341">
        <f>IF(J261="","",'Historique détail'!K261/$W261)</f>
        <v>0</v>
      </c>
      <c r="M261" s="341">
        <f>IF(K261="","",'Historique détail'!L261/$W261)</f>
        <v>0</v>
      </c>
      <c r="N261" s="341">
        <f>IF(L261="","",'Historique détail'!M261/$W261)</f>
        <v>0</v>
      </c>
      <c r="O261" s="341">
        <f>IF(M261="","",'Historique détail'!N261/$W261)</f>
        <v>0</v>
      </c>
      <c r="P261" s="341">
        <f>IF(N261="","",'Historique détail'!O261/$W261)</f>
        <v>0.00000004433296038</v>
      </c>
      <c r="Q261" s="341">
        <f>IF(O261="","",'Historique détail'!P261/$W261)</f>
        <v>0.0000000003070821671</v>
      </c>
      <c r="R261" s="341">
        <f>IF(P261="","",'Historique détail'!Q261/$W261)</f>
        <v>0</v>
      </c>
      <c r="S261" s="341">
        <f>IF(Q261="","",'Historique détail'!R261/$W261)</f>
        <v>0</v>
      </c>
      <c r="T261" s="341">
        <f>IF(R261="","",'Historique détail'!S261/$W261)</f>
        <v>0</v>
      </c>
      <c r="U261" s="340">
        <f t="shared" si="2"/>
        <v>0.2308506118</v>
      </c>
      <c r="V261" s="14">
        <f>IF(A261="","",ARBITRAGES!M262)</f>
        <v>9131.085093</v>
      </c>
      <c r="W261" s="342">
        <f>IF(V261="","",'Historique détail'!U261)</f>
        <v>39554.08661</v>
      </c>
      <c r="X261" s="288"/>
      <c r="Y261" s="220"/>
      <c r="Z261" s="220"/>
      <c r="AA261" s="220"/>
      <c r="AB261" s="220"/>
      <c r="AC261" s="220"/>
      <c r="AD261" s="220"/>
      <c r="AE261" s="220"/>
      <c r="AF261" s="220"/>
      <c r="AG261" s="220"/>
      <c r="AH261" s="220"/>
      <c r="AI261" s="308"/>
      <c r="AJ261" s="220"/>
      <c r="AK261" s="220"/>
      <c r="AL261" s="220"/>
      <c r="AM261" s="220"/>
      <c r="AN261" s="220"/>
      <c r="AO261" s="220"/>
      <c r="AP261" s="220"/>
      <c r="AQ261" s="220"/>
      <c r="AR261" s="220"/>
      <c r="AS261" s="220"/>
      <c r="AT261" s="220"/>
      <c r="AU261" s="220"/>
      <c r="AV261" s="220"/>
      <c r="AW261" s="220"/>
      <c r="AX261" s="220"/>
      <c r="AY261" s="220"/>
      <c r="AZ261" s="220"/>
      <c r="BA261" s="220"/>
      <c r="BB261" s="220"/>
    </row>
    <row r="262">
      <c r="A262" s="290">
        <f>PRIX!A263</f>
        <v>46061</v>
      </c>
      <c r="B262" s="302">
        <f t="shared" si="1"/>
        <v>0.7655172327</v>
      </c>
      <c r="C262" s="341">
        <f>IF(A262="","",'Historique détail'!B262/$W262)</f>
        <v>0.6564722445</v>
      </c>
      <c r="D262" s="341">
        <f>IF(B262="","",'Historique détail'!C262/$W262)</f>
        <v>0.1090449982</v>
      </c>
      <c r="E262" s="341">
        <f>IF(C262="","",'Historique détail'!D262/$W262)</f>
        <v>0.0000000467435193</v>
      </c>
      <c r="F262" s="341">
        <f>IF(D262="","",'Historique détail'!E262/$W262)</f>
        <v>0</v>
      </c>
      <c r="G262" s="341">
        <f>IF(E262="","",'Historique détail'!F262/$W262)</f>
        <v>0</v>
      </c>
      <c r="H262" s="341">
        <f>IF(F262="","",'Historique détail'!G262/$W262)</f>
        <v>0</v>
      </c>
      <c r="I262" s="341">
        <f>IF(G262="","",'Historique détail'!H262/$W262)</f>
        <v>0</v>
      </c>
      <c r="J262" s="341">
        <f>IF(H262="","",'Historique détail'!I262/$W262)</f>
        <v>-0.0000001013551145</v>
      </c>
      <c r="K262" s="341">
        <f>IF(I262="","",'Historique détail'!J262/$W262)</f>
        <v>0</v>
      </c>
      <c r="L262" s="341">
        <f>IF(J262="","",'Historique détail'!K262/$W262)</f>
        <v>0</v>
      </c>
      <c r="M262" s="341">
        <f>IF(K262="","",'Historique détail'!L262/$W262)</f>
        <v>0</v>
      </c>
      <c r="N262" s="341">
        <f>IF(L262="","",'Historique détail'!M262/$W262)</f>
        <v>0</v>
      </c>
      <c r="O262" s="341">
        <f>IF(M262="","",'Historique détail'!N262/$W262)</f>
        <v>0</v>
      </c>
      <c r="P262" s="341">
        <f>IF(N262="","",'Historique détail'!O262/$W262)</f>
        <v>0.00000004432910528</v>
      </c>
      <c r="Q262" s="341">
        <f>IF(O262="","",'Historique détail'!P262/$W262)</f>
        <v>0.0000000003070554639</v>
      </c>
      <c r="R262" s="341">
        <f>IF(P262="","",'Historique détail'!Q262/$W262)</f>
        <v>0</v>
      </c>
      <c r="S262" s="341">
        <f>IF(Q262="","",'Historique détail'!R262/$W262)</f>
        <v>0</v>
      </c>
      <c r="T262" s="341">
        <f>IF(R262="","",'Historique détail'!S262/$W262)</f>
        <v>0</v>
      </c>
      <c r="U262" s="340">
        <f t="shared" si="2"/>
        <v>0.2344827673</v>
      </c>
      <c r="V262" s="14">
        <f>IF(A262="","",ARBITRAGES!M263)</f>
        <v>9275.558268</v>
      </c>
      <c r="W262" s="342">
        <f>IF(V262="","",'Historique détail'!U262)</f>
        <v>39557.52645</v>
      </c>
      <c r="X262" s="288"/>
      <c r="Y262" s="220"/>
      <c r="Z262" s="220"/>
      <c r="AA262" s="220"/>
      <c r="AB262" s="220"/>
      <c r="AC262" s="220"/>
      <c r="AD262" s="220"/>
      <c r="AE262" s="220"/>
      <c r="AF262" s="220"/>
      <c r="AG262" s="220"/>
      <c r="AH262" s="220"/>
      <c r="AI262" s="308"/>
      <c r="AJ262" s="220"/>
      <c r="AK262" s="220"/>
      <c r="AL262" s="220"/>
      <c r="AM262" s="220"/>
      <c r="AN262" s="220"/>
      <c r="AO262" s="220"/>
      <c r="AP262" s="220"/>
      <c r="AQ262" s="220"/>
      <c r="AR262" s="220"/>
      <c r="AS262" s="220"/>
      <c r="AT262" s="220"/>
      <c r="AU262" s="220"/>
      <c r="AV262" s="220"/>
      <c r="AW262" s="220"/>
      <c r="AX262" s="220"/>
      <c r="AY262" s="220"/>
      <c r="AZ262" s="220"/>
      <c r="BA262" s="220"/>
      <c r="BB262" s="220"/>
    </row>
    <row r="263">
      <c r="A263" s="290">
        <f>PRIX!A264</f>
        <v>46062</v>
      </c>
      <c r="B263" s="302">
        <f t="shared" si="1"/>
        <v>0.7626273792</v>
      </c>
      <c r="C263" s="341">
        <f>IF(A263="","",'Historique détail'!B263/$W263)</f>
        <v>0.6550141059</v>
      </c>
      <c r="D263" s="341">
        <f>IF(B263="","",'Historique détail'!C263/$W263)</f>
        <v>0.1076132816</v>
      </c>
      <c r="E263" s="341">
        <f>IF(C263="","",'Historique détail'!D263/$W263)</f>
        <v>0.00000004716688348</v>
      </c>
      <c r="F263" s="341">
        <f>IF(D263="","",'Historique détail'!E263/$W263)</f>
        <v>0</v>
      </c>
      <c r="G263" s="341">
        <f>IF(E263="","",'Historique détail'!F263/$W263)</f>
        <v>0</v>
      </c>
      <c r="H263" s="341">
        <f>IF(F263="","",'Historique détail'!G263/$W263)</f>
        <v>0</v>
      </c>
      <c r="I263" s="341">
        <f>IF(G263="","",'Historique détail'!H263/$W263)</f>
        <v>0</v>
      </c>
      <c r="J263" s="341">
        <f>IF(H263="","",'Historique détail'!I263/$W263)</f>
        <v>-0.00000009823195026</v>
      </c>
      <c r="K263" s="341">
        <f>IF(I263="","",'Historique détail'!J263/$W263)</f>
        <v>0</v>
      </c>
      <c r="L263" s="341">
        <f>IF(J263="","",'Historique détail'!K263/$W263)</f>
        <v>0</v>
      </c>
      <c r="M263" s="341">
        <f>IF(K263="","",'Historique détail'!L263/$W263)</f>
        <v>0</v>
      </c>
      <c r="N263" s="341">
        <f>IF(L263="","",'Historique détail'!M263/$W263)</f>
        <v>0</v>
      </c>
      <c r="O263" s="341">
        <f>IF(M263="","",'Historique détail'!N263/$W263)</f>
        <v>0</v>
      </c>
      <c r="P263" s="341">
        <f>IF(N263="","",'Historique détail'!O263/$W263)</f>
        <v>0.00000004254692493</v>
      </c>
      <c r="Q263" s="341">
        <f>IF(O263="","",'Historique détail'!P263/$W263)</f>
        <v>0.0000000002928802912</v>
      </c>
      <c r="R263" s="341">
        <f>IF(P263="","",'Historique détail'!Q263/$W263)</f>
        <v>0</v>
      </c>
      <c r="S263" s="341">
        <f>IF(Q263="","",'Historique détail'!R263/$W263)</f>
        <v>0</v>
      </c>
      <c r="T263" s="341">
        <f>IF(R263="","",'Historique détail'!S263/$W263)</f>
        <v>0</v>
      </c>
      <c r="U263" s="340">
        <f t="shared" si="2"/>
        <v>0.2373726208</v>
      </c>
      <c r="V263" s="14">
        <f>IF(A263="","",ARBITRAGES!M264)</f>
        <v>9375.558218</v>
      </c>
      <c r="W263" s="342">
        <f>IF(V263="","",'Historique détail'!U263)</f>
        <v>39497.21829</v>
      </c>
      <c r="X263" s="288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0"/>
      <c r="AI263" s="308"/>
      <c r="AJ263" s="220"/>
      <c r="AK263" s="220"/>
      <c r="AL263" s="220"/>
      <c r="AM263" s="220"/>
      <c r="AN263" s="220"/>
      <c r="AO263" s="220"/>
      <c r="AP263" s="220"/>
      <c r="AQ263" s="220"/>
      <c r="AR263" s="220"/>
      <c r="AS263" s="220"/>
      <c r="AT263" s="220"/>
      <c r="AU263" s="220"/>
      <c r="AV263" s="220"/>
      <c r="AW263" s="220"/>
      <c r="AX263" s="220"/>
      <c r="AY263" s="220"/>
      <c r="AZ263" s="220"/>
      <c r="BA263" s="220"/>
      <c r="BB263" s="220"/>
    </row>
    <row r="264">
      <c r="A264" s="290">
        <f>PRIX!A265</f>
        <v>46063</v>
      </c>
      <c r="B264" s="302">
        <f t="shared" si="1"/>
        <v>0.7592980061</v>
      </c>
      <c r="C264" s="341">
        <f>IF(A264="","",'Historique détail'!B264/$W264)</f>
        <v>0.6491711342</v>
      </c>
      <c r="D264" s="341">
        <f>IF(B264="","",'Historique détail'!C264/$W264)</f>
        <v>0.1048773752</v>
      </c>
      <c r="E264" s="341">
        <f>IF(C264="","",'Historique détail'!D264/$W264)</f>
        <v>0.00000004741212692</v>
      </c>
      <c r="F264" s="341">
        <f>IF(D264="","",'Historique détail'!E264/$W264)</f>
        <v>0</v>
      </c>
      <c r="G264" s="341">
        <f>IF(E264="","",'Historique détail'!F264/$W264)</f>
        <v>0</v>
      </c>
      <c r="H264" s="341">
        <f>IF(F264="","",'Historique détail'!G264/$W264)</f>
        <v>0</v>
      </c>
      <c r="I264" s="341">
        <f>IF(G264="","",'Historique détail'!H264/$W264)</f>
        <v>0</v>
      </c>
      <c r="J264" s="341">
        <f>IF(H264="","",'Historique détail'!I264/$W264)</f>
        <v>0.005249406854</v>
      </c>
      <c r="K264" s="341">
        <f>IF(I264="","",'Historique détail'!J264/$W264)</f>
        <v>0</v>
      </c>
      <c r="L264" s="341">
        <f>IF(J264="","",'Historique détail'!K264/$W264)</f>
        <v>0</v>
      </c>
      <c r="M264" s="341">
        <f>IF(K264="","",'Historique détail'!L264/$W264)</f>
        <v>0</v>
      </c>
      <c r="N264" s="341">
        <f>IF(L264="","",'Historique détail'!M264/$W264)</f>
        <v>0</v>
      </c>
      <c r="O264" s="341">
        <f>IF(M264="","",'Historique détail'!N264/$W264)</f>
        <v>0</v>
      </c>
      <c r="P264" s="341">
        <f>IF(N264="","",'Historique détail'!O264/$W264)</f>
        <v>0.00000004216739039</v>
      </c>
      <c r="Q264" s="341">
        <f>IF(O264="","",'Historique détail'!P264/$W264)</f>
        <v>0.0000000002731155075</v>
      </c>
      <c r="R264" s="341">
        <f>IF(P264="","",'Historique détail'!Q264/$W264)</f>
        <v>0</v>
      </c>
      <c r="S264" s="341">
        <f>IF(Q264="","",'Historique détail'!R264/$W264)</f>
        <v>0</v>
      </c>
      <c r="T264" s="341">
        <f>IF(R264="","",'Historique détail'!S264/$W264)</f>
        <v>0</v>
      </c>
      <c r="U264" s="340">
        <f t="shared" si="2"/>
        <v>0.2407019939</v>
      </c>
      <c r="V264" s="14">
        <f>IF(A264="","",ARBITRAGES!M265)</f>
        <v>9175.558218</v>
      </c>
      <c r="W264" s="342">
        <f>IF(V264="","",'Historique détail'!U264)</f>
        <v>38119.99257</v>
      </c>
      <c r="X264" s="288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0"/>
      <c r="AI264" s="308"/>
      <c r="AJ264" s="220"/>
      <c r="AK264" s="220"/>
      <c r="AL264" s="220"/>
      <c r="AM264" s="220"/>
      <c r="AN264" s="220"/>
      <c r="AO264" s="220"/>
      <c r="AP264" s="220"/>
      <c r="AQ264" s="220"/>
      <c r="AR264" s="220"/>
      <c r="AS264" s="220"/>
      <c r="AT264" s="220"/>
      <c r="AU264" s="220"/>
      <c r="AV264" s="220"/>
      <c r="AW264" s="220"/>
      <c r="AX264" s="220"/>
      <c r="AY264" s="220"/>
      <c r="AZ264" s="220"/>
      <c r="BA264" s="220"/>
      <c r="BB264" s="220"/>
    </row>
    <row r="265">
      <c r="A265" s="290">
        <f>PRIX!A266</f>
        <v>46064</v>
      </c>
      <c r="B265" s="302">
        <f t="shared" si="1"/>
        <v>0.7563936933</v>
      </c>
      <c r="C265" s="341">
        <f>IF(A265="","",'Historique détail'!B265/$W265)</f>
        <v>0.6497852643</v>
      </c>
      <c r="D265" s="341">
        <f>IF(B265="","",'Historique détail'!C265/$W265)</f>
        <v>0.1066084378</v>
      </c>
      <c r="E265" s="341">
        <f>IF(C265="","",'Historique détail'!D265/$W265)</f>
        <v>0.00000004695893056</v>
      </c>
      <c r="F265" s="341">
        <f>IF(D265="","",'Historique détail'!E265/$W265)</f>
        <v>0</v>
      </c>
      <c r="G265" s="341">
        <f>IF(E265="","",'Historique détail'!F265/$W265)</f>
        <v>0</v>
      </c>
      <c r="H265" s="341">
        <f>IF(F265="","",'Historique détail'!G265/$W265)</f>
        <v>0</v>
      </c>
      <c r="I265" s="341">
        <f>IF(G265="","",'Historique détail'!H265/$W265)</f>
        <v>0</v>
      </c>
      <c r="J265" s="341">
        <f>IF(H265="","",'Historique détail'!I265/$W265)</f>
        <v>-0.00000009770679788</v>
      </c>
      <c r="K265" s="341">
        <f>IF(I265="","",'Historique détail'!J265/$W265)</f>
        <v>0</v>
      </c>
      <c r="L265" s="341">
        <f>IF(J265="","",'Historique détail'!K265/$W265)</f>
        <v>0</v>
      </c>
      <c r="M265" s="341">
        <f>IF(K265="","",'Historique détail'!L265/$W265)</f>
        <v>0</v>
      </c>
      <c r="N265" s="341">
        <f>IF(L265="","",'Historique détail'!M265/$W265)</f>
        <v>0</v>
      </c>
      <c r="O265" s="341">
        <f>IF(M265="","",'Historique détail'!N265/$W265)</f>
        <v>0</v>
      </c>
      <c r="P265" s="341">
        <f>IF(N265="","",'Historique détail'!O265/$W265)</f>
        <v>0.00000004176432668</v>
      </c>
      <c r="Q265" s="341">
        <f>IF(O265="","",'Historique détail'!P265/$W265)</f>
        <v>0.0000000002705048895</v>
      </c>
      <c r="R265" s="341">
        <f>IF(P265="","",'Historique détail'!Q265/$W265)</f>
        <v>0</v>
      </c>
      <c r="S265" s="341">
        <f>IF(Q265="","",'Historique détail'!R265/$W265)</f>
        <v>0</v>
      </c>
      <c r="T265" s="341">
        <f>IF(R265="","",'Historique détail'!S265/$W265)</f>
        <v>0</v>
      </c>
      <c r="U265" s="340">
        <f t="shared" si="2"/>
        <v>0.2436063067</v>
      </c>
      <c r="V265" s="14">
        <f>IF(A265="","",ARBITRAGES!M266)</f>
        <v>9375.891551</v>
      </c>
      <c r="W265" s="342">
        <f>IF(V265="","",'Historique détail'!U265)</f>
        <v>38487.88514</v>
      </c>
      <c r="X265" s="288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0"/>
      <c r="AI265" s="308"/>
      <c r="AJ265" s="220"/>
      <c r="AK265" s="220"/>
      <c r="AL265" s="220"/>
      <c r="AM265" s="220"/>
      <c r="AN265" s="220"/>
      <c r="AO265" s="220"/>
      <c r="AP265" s="220"/>
      <c r="AQ265" s="220"/>
      <c r="AR265" s="220"/>
      <c r="AS265" s="220"/>
      <c r="AT265" s="220"/>
      <c r="AU265" s="220"/>
      <c r="AV265" s="220"/>
      <c r="AW265" s="220"/>
      <c r="AX265" s="220"/>
      <c r="AY265" s="220"/>
      <c r="AZ265" s="220"/>
      <c r="BA265" s="220"/>
      <c r="BB265" s="220"/>
    </row>
    <row r="266">
      <c r="A266" s="290">
        <f>PRIX!A267</f>
        <v>46065</v>
      </c>
      <c r="B266" s="302">
        <f t="shared" si="1"/>
        <v>0.7495763828</v>
      </c>
      <c r="C266" s="341">
        <f>IF(A266="","",'Historique détail'!B266/$W266)</f>
        <v>0.6437923857</v>
      </c>
      <c r="D266" s="341">
        <f>IF(B266="","",'Historique détail'!C266/$W266)</f>
        <v>0.1057840075</v>
      </c>
      <c r="E266" s="341">
        <f>IF(C266="","",'Historique détail'!D266/$W266)</f>
        <v>0.00000005161379279</v>
      </c>
      <c r="F266" s="341">
        <f>IF(D266="","",'Historique détail'!E266/$W266)</f>
        <v>0</v>
      </c>
      <c r="G266" s="341">
        <f>IF(E266="","",'Historique détail'!F266/$W266)</f>
        <v>0</v>
      </c>
      <c r="H266" s="341">
        <f>IF(F266="","",'Historique détail'!G266/$W266)</f>
        <v>0</v>
      </c>
      <c r="I266" s="341">
        <f>IF(G266="","",'Historique détail'!H266/$W266)</f>
        <v>0</v>
      </c>
      <c r="J266" s="341">
        <f>IF(H266="","",'Historique détail'!I266/$W266)</f>
        <v>-0.0000001075560856</v>
      </c>
      <c r="K266" s="341">
        <f>IF(I266="","",'Historique détail'!J266/$W266)</f>
        <v>0</v>
      </c>
      <c r="L266" s="341">
        <f>IF(J266="","",'Historique détail'!K266/$W266)</f>
        <v>0</v>
      </c>
      <c r="M266" s="341">
        <f>IF(K266="","",'Historique détail'!L266/$W266)</f>
        <v>0</v>
      </c>
      <c r="N266" s="341">
        <f>IF(L266="","",'Historique détail'!M266/$W266)</f>
        <v>0</v>
      </c>
      <c r="O266" s="341">
        <f>IF(M266="","",'Historique détail'!N266/$W266)</f>
        <v>0</v>
      </c>
      <c r="P266" s="341">
        <f>IF(N266="","",'Historique détail'!O266/$W266)</f>
        <v>0.00000004520874816</v>
      </c>
      <c r="Q266" s="341">
        <f>IF(O266="","",'Historique détail'!P266/$W266)</f>
        <v>0.0000000003206044239</v>
      </c>
      <c r="R266" s="341">
        <f>IF(P266="","",'Historique détail'!Q266/$W266)</f>
        <v>0</v>
      </c>
      <c r="S266" s="341">
        <f>IF(Q266="","",'Historique détail'!R266/$W266)</f>
        <v>0</v>
      </c>
      <c r="T266" s="341">
        <f>IF(R266="","",'Historique détail'!S266/$W266)</f>
        <v>0</v>
      </c>
      <c r="U266" s="340">
        <f t="shared" si="2"/>
        <v>0.2504236172</v>
      </c>
      <c r="V266" s="14">
        <f>IF(A266="","",ARBITRAGES!M267)</f>
        <v>9713.391551</v>
      </c>
      <c r="W266" s="342">
        <f>IF(V266="","",'Historique détail'!U266)</f>
        <v>38787.84142</v>
      </c>
      <c r="X266" s="288"/>
      <c r="Y266" s="220"/>
      <c r="Z266" s="220"/>
      <c r="AA266" s="220"/>
      <c r="AB266" s="220"/>
      <c r="AC266" s="220"/>
      <c r="AD266" s="220"/>
      <c r="AE266" s="220"/>
      <c r="AF266" s="220"/>
      <c r="AG266" s="220"/>
      <c r="AH266" s="220"/>
      <c r="AI266" s="308"/>
      <c r="AJ266" s="220"/>
      <c r="AK266" s="220"/>
      <c r="AL266" s="220"/>
      <c r="AM266" s="220"/>
      <c r="AN266" s="220"/>
      <c r="AO266" s="220"/>
      <c r="AP266" s="220"/>
      <c r="AQ266" s="220"/>
      <c r="AR266" s="220"/>
      <c r="AS266" s="220"/>
      <c r="AT266" s="220"/>
      <c r="AU266" s="220"/>
      <c r="AV266" s="220"/>
      <c r="AW266" s="220"/>
      <c r="AX266" s="220"/>
      <c r="AY266" s="220"/>
      <c r="AZ266" s="220"/>
      <c r="BA266" s="220"/>
      <c r="BB266" s="220"/>
    </row>
    <row r="267">
      <c r="A267" s="290">
        <f>PRIX!A268</f>
        <v>46066</v>
      </c>
      <c r="B267" s="302">
        <f t="shared" si="1"/>
        <v>0.7338476644</v>
      </c>
      <c r="C267" s="341">
        <f>IF(A267="","",'Historique détail'!B267/$W267)</f>
        <v>0.643236652</v>
      </c>
      <c r="D267" s="341">
        <f>IF(B267="","",'Historique détail'!C267/$W267)</f>
        <v>0.09061102285</v>
      </c>
      <c r="E267" s="341">
        <f>IF(C267="","",'Historique détail'!D267/$W267)</f>
        <v>0.00000005156923879</v>
      </c>
      <c r="F267" s="341">
        <f>IF(D267="","",'Historique détail'!E267/$W267)</f>
        <v>0</v>
      </c>
      <c r="G267" s="341">
        <f>IF(E267="","",'Historique détail'!F267/$W267)</f>
        <v>0</v>
      </c>
      <c r="H267" s="341">
        <f>IF(F267="","",'Historique détail'!G267/$W267)</f>
        <v>0</v>
      </c>
      <c r="I267" s="341">
        <f>IF(G267="","",'Historique détail'!H267/$W267)</f>
        <v>0</v>
      </c>
      <c r="J267" s="341">
        <f>IF(H267="","",'Historique détail'!I267/$W267)</f>
        <v>-0.0000001074632411</v>
      </c>
      <c r="K267" s="341">
        <f>IF(I267="","",'Historique détail'!J267/$W267)</f>
        <v>0</v>
      </c>
      <c r="L267" s="341">
        <f>IF(J267="","",'Historique détail'!K267/$W267)</f>
        <v>0</v>
      </c>
      <c r="M267" s="341">
        <f>IF(K267="","",'Historique détail'!L267/$W267)</f>
        <v>0</v>
      </c>
      <c r="N267" s="341">
        <f>IF(L267="","",'Historique détail'!M267/$W267)</f>
        <v>0</v>
      </c>
      <c r="O267" s="341">
        <f>IF(M267="","",'Historique détail'!N267/$W267)</f>
        <v>0</v>
      </c>
      <c r="P267" s="341">
        <f>IF(N267="","",'Historique détail'!O267/$W267)</f>
        <v>0.00000004516972311</v>
      </c>
      <c r="Q267" s="341">
        <f>IF(O267="","",'Historique détail'!P267/$W267)</f>
        <v>0.0000000003203276721</v>
      </c>
      <c r="R267" s="341">
        <f>IF(P267="","",'Historique détail'!Q267/$W267)</f>
        <v>0</v>
      </c>
      <c r="S267" s="341">
        <f>IF(Q267="","",'Historique détail'!R267/$W267)</f>
        <v>0</v>
      </c>
      <c r="T267" s="341">
        <f>IF(R267="","",'Historique détail'!S267/$W267)</f>
        <v>0</v>
      </c>
      <c r="U267" s="340">
        <f t="shared" si="2"/>
        <v>0.2661523356</v>
      </c>
      <c r="V267" s="14">
        <f>IF(A267="","",ARBITRAGES!M268)</f>
        <v>10332.39371</v>
      </c>
      <c r="W267" s="342">
        <f>IF(V267="","",'Historique détail'!U267)</f>
        <v>38821.35275</v>
      </c>
      <c r="X267" s="288"/>
      <c r="Y267" s="220"/>
      <c r="Z267" s="220"/>
      <c r="AA267" s="220"/>
      <c r="AB267" s="220"/>
      <c r="AC267" s="220"/>
      <c r="AD267" s="220"/>
      <c r="AE267" s="220"/>
      <c r="AF267" s="220"/>
      <c r="AG267" s="220"/>
      <c r="AH267" s="220"/>
      <c r="AI267" s="308"/>
      <c r="AJ267" s="220"/>
      <c r="AK267" s="220"/>
      <c r="AL267" s="220"/>
      <c r="AM267" s="220"/>
      <c r="AN267" s="220"/>
      <c r="AO267" s="220"/>
      <c r="AP267" s="220"/>
      <c r="AQ267" s="220"/>
      <c r="AR267" s="220"/>
      <c r="AS267" s="220"/>
      <c r="AT267" s="220"/>
      <c r="AU267" s="220"/>
      <c r="AV267" s="220"/>
      <c r="AW267" s="220"/>
      <c r="AX267" s="220"/>
      <c r="AY267" s="220"/>
      <c r="AZ267" s="220"/>
      <c r="BA267" s="220"/>
      <c r="BB267" s="220"/>
    </row>
    <row r="268">
      <c r="A268" s="290" t="str">
        <f>PRIX!A269</f>
        <v/>
      </c>
      <c r="B268" s="302" t="str">
        <f t="shared" si="1"/>
        <v/>
      </c>
      <c r="C268" s="341" t="str">
        <f>IF(A268="","",'Historique détail'!B268/$W268)</f>
        <v/>
      </c>
      <c r="D268" s="341" t="str">
        <f>IF(B268="","",'Historique détail'!C268/$W268)</f>
        <v/>
      </c>
      <c r="E268" s="341" t="str">
        <f>IF(C268="","",'Historique détail'!D268/$W268)</f>
        <v/>
      </c>
      <c r="F268" s="341" t="str">
        <f>IF(D268="","",'Historique détail'!E268/$W268)</f>
        <v/>
      </c>
      <c r="G268" s="341" t="str">
        <f>IF(E268="","",'Historique détail'!F268/$W268)</f>
        <v/>
      </c>
      <c r="H268" s="341" t="str">
        <f>IF(F268="","",'Historique détail'!G268/$W268)</f>
        <v/>
      </c>
      <c r="I268" s="341" t="str">
        <f>IF(G268="","",'Historique détail'!H268/$W268)</f>
        <v/>
      </c>
      <c r="J268" s="341" t="str">
        <f>IF(H268="","",'Historique détail'!I268/$W268)</f>
        <v/>
      </c>
      <c r="K268" s="341" t="str">
        <f>IF(I268="","",'Historique détail'!J268/$W268)</f>
        <v/>
      </c>
      <c r="L268" s="341" t="str">
        <f>IF(J268="","",'Historique détail'!K268/$W268)</f>
        <v/>
      </c>
      <c r="M268" s="341" t="str">
        <f>IF(K268="","",'Historique détail'!L268/$W268)</f>
        <v/>
      </c>
      <c r="N268" s="341" t="str">
        <f>IF(L268="","",'Historique détail'!M268/$W268)</f>
        <v/>
      </c>
      <c r="O268" s="341" t="str">
        <f>IF(M268="","",'Historique détail'!N268/$W268)</f>
        <v/>
      </c>
      <c r="P268" s="341" t="str">
        <f>IF(N268="","",'Historique détail'!O268/$W268)</f>
        <v/>
      </c>
      <c r="Q268" s="341" t="str">
        <f>IF(O268="","",'Historique détail'!P268/$W268)</f>
        <v/>
      </c>
      <c r="R268" s="341" t="str">
        <f>IF(P268="","",'Historique détail'!Q268/$W268)</f>
        <v/>
      </c>
      <c r="S268" s="341" t="str">
        <f>IF(Q268="","",'Historique détail'!R268/$W268)</f>
        <v/>
      </c>
      <c r="T268" s="341" t="str">
        <f>IF(R268="","",'Historique détail'!S268/$W268)</f>
        <v/>
      </c>
      <c r="U268" s="340" t="str">
        <f t="shared" si="2"/>
        <v/>
      </c>
      <c r="V268" s="14" t="str">
        <f>IF(A268="","",ARBITRAGES!M269)</f>
        <v/>
      </c>
      <c r="W268" s="343" t="str">
        <f>IF(V268="","",'Historique détail'!U268)</f>
        <v/>
      </c>
      <c r="X268" s="288"/>
      <c r="Y268" s="220"/>
      <c r="Z268" s="220"/>
      <c r="AA268" s="220"/>
      <c r="AB268" s="220"/>
      <c r="AC268" s="220"/>
      <c r="AD268" s="220"/>
      <c r="AE268" s="220"/>
      <c r="AF268" s="220"/>
      <c r="AG268" s="220"/>
      <c r="AH268" s="220"/>
      <c r="AI268" s="308"/>
      <c r="AJ268" s="220"/>
      <c r="AK268" s="220"/>
      <c r="AL268" s="220"/>
      <c r="AM268" s="220"/>
      <c r="AN268" s="220"/>
      <c r="AO268" s="220"/>
      <c r="AP268" s="220"/>
      <c r="AQ268" s="220"/>
      <c r="AR268" s="220"/>
      <c r="AS268" s="220"/>
      <c r="AT268" s="220"/>
      <c r="AU268" s="220"/>
      <c r="AV268" s="220"/>
      <c r="AW268" s="220"/>
      <c r="AX268" s="220"/>
      <c r="AY268" s="220"/>
      <c r="AZ268" s="220"/>
      <c r="BA268" s="220"/>
      <c r="BB268" s="220"/>
    </row>
    <row r="269">
      <c r="A269" s="290" t="str">
        <f>PRIX!A270</f>
        <v/>
      </c>
      <c r="B269" s="302" t="str">
        <f t="shared" si="1"/>
        <v/>
      </c>
      <c r="C269" s="341" t="str">
        <f>IF(A269="","",'Historique détail'!B269/$W269)</f>
        <v/>
      </c>
      <c r="D269" s="341" t="str">
        <f>IF(B269="","",'Historique détail'!C269/$W269)</f>
        <v/>
      </c>
      <c r="E269" s="341" t="str">
        <f>IF(C269="","",'Historique détail'!D269/$W269)</f>
        <v/>
      </c>
      <c r="F269" s="341" t="str">
        <f>IF(D269="","",'Historique détail'!E269/$W269)</f>
        <v/>
      </c>
      <c r="G269" s="341" t="str">
        <f>IF(E269="","",'Historique détail'!F269/$W269)</f>
        <v/>
      </c>
      <c r="H269" s="341" t="str">
        <f>IF(F269="","",'Historique détail'!G269/$W269)</f>
        <v/>
      </c>
      <c r="I269" s="341" t="str">
        <f>IF(G269="","",'Historique détail'!H269/$W269)</f>
        <v/>
      </c>
      <c r="J269" s="341" t="str">
        <f>IF(H269="","",'Historique détail'!I269/$W269)</f>
        <v/>
      </c>
      <c r="K269" s="341" t="str">
        <f>IF(I269="","",'Historique détail'!J269/$W269)</f>
        <v/>
      </c>
      <c r="L269" s="341" t="str">
        <f>IF(J269="","",'Historique détail'!K269/$W269)</f>
        <v/>
      </c>
      <c r="M269" s="341" t="str">
        <f>IF(K269="","",'Historique détail'!L269/$W269)</f>
        <v/>
      </c>
      <c r="N269" s="341" t="str">
        <f>IF(L269="","",'Historique détail'!M269/$W269)</f>
        <v/>
      </c>
      <c r="O269" s="341" t="str">
        <f>IF(M269="","",'Historique détail'!N269/$W269)</f>
        <v/>
      </c>
      <c r="P269" s="341" t="str">
        <f>IF(N269="","",'Historique détail'!O269/$W269)</f>
        <v/>
      </c>
      <c r="Q269" s="341" t="str">
        <f>IF(O269="","",'Historique détail'!P269/$W269)</f>
        <v/>
      </c>
      <c r="R269" s="341" t="str">
        <f>IF(P269="","",'Historique détail'!Q269/$W269)</f>
        <v/>
      </c>
      <c r="S269" s="341" t="str">
        <f>IF(Q269="","",'Historique détail'!R269/$W269)</f>
        <v/>
      </c>
      <c r="T269" s="341" t="str">
        <f>IF(R269="","",'Historique détail'!S269/$W269)</f>
        <v/>
      </c>
      <c r="U269" s="340" t="str">
        <f t="shared" si="2"/>
        <v/>
      </c>
      <c r="V269" s="14" t="str">
        <f>IF(A269="","",ARBITRAGES!M270)</f>
        <v/>
      </c>
      <c r="W269" s="343" t="str">
        <f>IF(V269="","",'Historique détail'!U269)</f>
        <v/>
      </c>
      <c r="X269" s="288"/>
      <c r="Y269" s="220"/>
      <c r="Z269" s="220"/>
      <c r="AA269" s="220"/>
      <c r="AB269" s="220"/>
      <c r="AC269" s="220"/>
      <c r="AD269" s="220"/>
      <c r="AE269" s="220"/>
      <c r="AF269" s="220"/>
      <c r="AG269" s="220"/>
      <c r="AH269" s="220"/>
      <c r="AI269" s="308"/>
      <c r="AJ269" s="220"/>
      <c r="AK269" s="220"/>
      <c r="AL269" s="220"/>
      <c r="AM269" s="220"/>
      <c r="AN269" s="220"/>
      <c r="AO269" s="220"/>
      <c r="AP269" s="220"/>
      <c r="AQ269" s="220"/>
      <c r="AR269" s="220"/>
      <c r="AS269" s="220"/>
      <c r="AT269" s="220"/>
      <c r="AU269" s="220"/>
      <c r="AV269" s="220"/>
      <c r="AW269" s="220"/>
      <c r="AX269" s="220"/>
      <c r="AY269" s="220"/>
      <c r="AZ269" s="220"/>
      <c r="BA269" s="220"/>
      <c r="BB269" s="220"/>
    </row>
    <row r="270">
      <c r="A270" s="290" t="str">
        <f>PRIX!A271</f>
        <v/>
      </c>
      <c r="B270" s="302" t="str">
        <f t="shared" si="1"/>
        <v/>
      </c>
      <c r="C270" s="341" t="str">
        <f>IF(A270="","",'Historique détail'!B270/$W270)</f>
        <v/>
      </c>
      <c r="D270" s="341" t="str">
        <f>IF(B270="","",'Historique détail'!C270/$W270)</f>
        <v/>
      </c>
      <c r="E270" s="341" t="str">
        <f>IF(C270="","",'Historique détail'!D270/$W270)</f>
        <v/>
      </c>
      <c r="F270" s="341" t="str">
        <f>IF(D270="","",'Historique détail'!E270/$W270)</f>
        <v/>
      </c>
      <c r="G270" s="341" t="str">
        <f>IF(E270="","",'Historique détail'!F270/$W270)</f>
        <v/>
      </c>
      <c r="H270" s="341" t="str">
        <f>IF(F270="","",'Historique détail'!G270/$W270)</f>
        <v/>
      </c>
      <c r="I270" s="341" t="str">
        <f>IF(G270="","",'Historique détail'!H270/$W270)</f>
        <v/>
      </c>
      <c r="J270" s="341" t="str">
        <f>IF(H270="","",'Historique détail'!I270/$W270)</f>
        <v/>
      </c>
      <c r="K270" s="341" t="str">
        <f>IF(I270="","",'Historique détail'!J270/$W270)</f>
        <v/>
      </c>
      <c r="L270" s="341" t="str">
        <f>IF(J270="","",'Historique détail'!K270/$W270)</f>
        <v/>
      </c>
      <c r="M270" s="341" t="str">
        <f>IF(K270="","",'Historique détail'!L270/$W270)</f>
        <v/>
      </c>
      <c r="N270" s="341" t="str">
        <f>IF(L270="","",'Historique détail'!M270/$W270)</f>
        <v/>
      </c>
      <c r="O270" s="341" t="str">
        <f>IF(M270="","",'Historique détail'!N270/$W270)</f>
        <v/>
      </c>
      <c r="P270" s="341" t="str">
        <f>IF(N270="","",'Historique détail'!O270/$W270)</f>
        <v/>
      </c>
      <c r="Q270" s="341" t="str">
        <f>IF(O270="","",'Historique détail'!P270/$W270)</f>
        <v/>
      </c>
      <c r="R270" s="341" t="str">
        <f>IF(P270="","",'Historique détail'!Q270/$W270)</f>
        <v/>
      </c>
      <c r="S270" s="341" t="str">
        <f>IF(Q270="","",'Historique détail'!R270/$W270)</f>
        <v/>
      </c>
      <c r="T270" s="341" t="str">
        <f>IF(R270="","",'Historique détail'!S270/$W270)</f>
        <v/>
      </c>
      <c r="U270" s="340" t="str">
        <f t="shared" si="2"/>
        <v/>
      </c>
      <c r="V270" s="14" t="str">
        <f>IF(A270="","",ARBITRAGES!M271)</f>
        <v/>
      </c>
      <c r="W270" s="343" t="str">
        <f>IF(V270="","",'Historique détail'!U270)</f>
        <v/>
      </c>
      <c r="X270" s="288"/>
      <c r="Y270" s="220"/>
      <c r="Z270" s="220"/>
      <c r="AA270" s="220"/>
      <c r="AB270" s="220"/>
      <c r="AC270" s="220"/>
      <c r="AD270" s="220"/>
      <c r="AE270" s="220"/>
      <c r="AF270" s="220"/>
      <c r="AG270" s="220"/>
      <c r="AH270" s="220"/>
      <c r="AI270" s="308"/>
      <c r="AJ270" s="220"/>
      <c r="AK270" s="220"/>
      <c r="AL270" s="220"/>
      <c r="AM270" s="220"/>
      <c r="AN270" s="220"/>
      <c r="AO270" s="220"/>
      <c r="AP270" s="220"/>
      <c r="AQ270" s="220"/>
      <c r="AR270" s="220"/>
      <c r="AS270" s="220"/>
      <c r="AT270" s="220"/>
      <c r="AU270" s="220"/>
      <c r="AV270" s="220"/>
      <c r="AW270" s="220"/>
      <c r="AX270" s="220"/>
      <c r="AY270" s="220"/>
      <c r="AZ270" s="220"/>
      <c r="BA270" s="220"/>
      <c r="BB270" s="220"/>
    </row>
    <row r="271">
      <c r="A271" s="290" t="str">
        <f>PRIX!A272</f>
        <v/>
      </c>
      <c r="B271" s="302" t="str">
        <f t="shared" si="1"/>
        <v/>
      </c>
      <c r="C271" s="341" t="str">
        <f>IF(A271="","",'Historique détail'!B271/$W271)</f>
        <v/>
      </c>
      <c r="D271" s="341" t="str">
        <f>IF(B271="","",'Historique détail'!C271/$W271)</f>
        <v/>
      </c>
      <c r="E271" s="341" t="str">
        <f>IF(C271="","",'Historique détail'!D271/$W271)</f>
        <v/>
      </c>
      <c r="F271" s="341" t="str">
        <f>IF(D271="","",'Historique détail'!E271/$W271)</f>
        <v/>
      </c>
      <c r="G271" s="341" t="str">
        <f>IF(E271="","",'Historique détail'!F271/$W271)</f>
        <v/>
      </c>
      <c r="H271" s="341" t="str">
        <f>IF(F271="","",'Historique détail'!G271/$W271)</f>
        <v/>
      </c>
      <c r="I271" s="341" t="str">
        <f>IF(G271="","",'Historique détail'!H271/$W271)</f>
        <v/>
      </c>
      <c r="J271" s="341" t="str">
        <f>IF(H271="","",'Historique détail'!I271/$W271)</f>
        <v/>
      </c>
      <c r="K271" s="341" t="str">
        <f>IF(I271="","",'Historique détail'!J271/$W271)</f>
        <v/>
      </c>
      <c r="L271" s="341" t="str">
        <f>IF(J271="","",'Historique détail'!K271/$W271)</f>
        <v/>
      </c>
      <c r="M271" s="341" t="str">
        <f>IF(K271="","",'Historique détail'!L271/$W271)</f>
        <v/>
      </c>
      <c r="N271" s="341" t="str">
        <f>IF(L271="","",'Historique détail'!M271/$W271)</f>
        <v/>
      </c>
      <c r="O271" s="341" t="str">
        <f>IF(M271="","",'Historique détail'!N271/$W271)</f>
        <v/>
      </c>
      <c r="P271" s="341" t="str">
        <f>IF(N271="","",'Historique détail'!O271/$W271)</f>
        <v/>
      </c>
      <c r="Q271" s="341" t="str">
        <f>IF(O271="","",'Historique détail'!P271/$W271)</f>
        <v/>
      </c>
      <c r="R271" s="341" t="str">
        <f>IF(P271="","",'Historique détail'!Q271/$W271)</f>
        <v/>
      </c>
      <c r="S271" s="341" t="str">
        <f>IF(Q271="","",'Historique détail'!R271/$W271)</f>
        <v/>
      </c>
      <c r="T271" s="341" t="str">
        <f>IF(R271="","",'Historique détail'!S271/$W271)</f>
        <v/>
      </c>
      <c r="U271" s="340" t="str">
        <f t="shared" si="2"/>
        <v/>
      </c>
      <c r="V271" s="14" t="str">
        <f>IF(A271="","",ARBITRAGES!M272)</f>
        <v/>
      </c>
      <c r="W271" s="343" t="str">
        <f>IF(V271="","",'Historique détail'!U271)</f>
        <v/>
      </c>
      <c r="X271" s="288"/>
      <c r="Y271" s="220"/>
      <c r="Z271" s="220"/>
      <c r="AA271" s="220"/>
      <c r="AB271" s="220"/>
      <c r="AC271" s="220"/>
      <c r="AD271" s="220"/>
      <c r="AE271" s="220"/>
      <c r="AF271" s="220"/>
      <c r="AG271" s="220"/>
      <c r="AH271" s="220"/>
      <c r="AI271" s="308"/>
      <c r="AJ271" s="220"/>
      <c r="AK271" s="220"/>
      <c r="AL271" s="220"/>
      <c r="AM271" s="220"/>
      <c r="AN271" s="220"/>
      <c r="AO271" s="220"/>
      <c r="AP271" s="220"/>
      <c r="AQ271" s="220"/>
      <c r="AR271" s="220"/>
      <c r="AS271" s="220"/>
      <c r="AT271" s="220"/>
      <c r="AU271" s="220"/>
      <c r="AV271" s="220"/>
      <c r="AW271" s="220"/>
      <c r="AX271" s="220"/>
      <c r="AY271" s="220"/>
      <c r="AZ271" s="220"/>
      <c r="BA271" s="220"/>
      <c r="BB271" s="220"/>
    </row>
    <row r="272">
      <c r="A272" s="290" t="str">
        <f>PRIX!A273</f>
        <v/>
      </c>
      <c r="B272" s="302" t="str">
        <f t="shared" si="1"/>
        <v/>
      </c>
      <c r="C272" s="341" t="str">
        <f>IF(A272="","",'Historique détail'!B272/$W272)</f>
        <v/>
      </c>
      <c r="D272" s="341" t="str">
        <f>IF(B272="","",'Historique détail'!C272/$W272)</f>
        <v/>
      </c>
      <c r="E272" s="341" t="str">
        <f>IF(C272="","",'Historique détail'!D272/$W272)</f>
        <v/>
      </c>
      <c r="F272" s="341" t="str">
        <f>IF(D272="","",'Historique détail'!E272/$W272)</f>
        <v/>
      </c>
      <c r="G272" s="341" t="str">
        <f>IF(E272="","",'Historique détail'!F272/$W272)</f>
        <v/>
      </c>
      <c r="H272" s="341" t="str">
        <f>IF(F272="","",'Historique détail'!G272/$W272)</f>
        <v/>
      </c>
      <c r="I272" s="341" t="str">
        <f>IF(G272="","",'Historique détail'!H272/$W272)</f>
        <v/>
      </c>
      <c r="J272" s="341" t="str">
        <f>IF(H272="","",'Historique détail'!I272/$W272)</f>
        <v/>
      </c>
      <c r="K272" s="341" t="str">
        <f>IF(I272="","",'Historique détail'!J272/$W272)</f>
        <v/>
      </c>
      <c r="L272" s="341" t="str">
        <f>IF(J272="","",'Historique détail'!K272/$W272)</f>
        <v/>
      </c>
      <c r="M272" s="341" t="str">
        <f>IF(K272="","",'Historique détail'!L272/$W272)</f>
        <v/>
      </c>
      <c r="N272" s="341" t="str">
        <f>IF(L272="","",'Historique détail'!M272/$W272)</f>
        <v/>
      </c>
      <c r="O272" s="341" t="str">
        <f>IF(M272="","",'Historique détail'!N272/$W272)</f>
        <v/>
      </c>
      <c r="P272" s="341" t="str">
        <f>IF(N272="","",'Historique détail'!O272/$W272)</f>
        <v/>
      </c>
      <c r="Q272" s="341" t="str">
        <f>IF(O272="","",'Historique détail'!P272/$W272)</f>
        <v/>
      </c>
      <c r="R272" s="341" t="str">
        <f>IF(P272="","",'Historique détail'!Q272/$W272)</f>
        <v/>
      </c>
      <c r="S272" s="341" t="str">
        <f>IF(Q272="","",'Historique détail'!R272/$W272)</f>
        <v/>
      </c>
      <c r="T272" s="341" t="str">
        <f>IF(R272="","",'Historique détail'!S272/$W272)</f>
        <v/>
      </c>
      <c r="U272" s="340" t="str">
        <f t="shared" si="2"/>
        <v/>
      </c>
      <c r="V272" s="14" t="str">
        <f>IF(A272="","",ARBITRAGES!M273)</f>
        <v/>
      </c>
      <c r="W272" s="343" t="str">
        <f>IF(V272="","",'Historique détail'!U272)</f>
        <v/>
      </c>
      <c r="X272" s="288"/>
      <c r="Y272" s="220"/>
      <c r="Z272" s="220"/>
      <c r="AA272" s="220"/>
      <c r="AB272" s="220"/>
      <c r="AC272" s="220"/>
      <c r="AD272" s="220"/>
      <c r="AE272" s="220"/>
      <c r="AF272" s="220"/>
      <c r="AG272" s="220"/>
      <c r="AH272" s="220"/>
      <c r="AI272" s="308"/>
      <c r="AJ272" s="220"/>
      <c r="AK272" s="220"/>
      <c r="AL272" s="220"/>
      <c r="AM272" s="220"/>
      <c r="AN272" s="220"/>
      <c r="AO272" s="220"/>
      <c r="AP272" s="220"/>
      <c r="AQ272" s="220"/>
      <c r="AR272" s="220"/>
      <c r="AS272" s="220"/>
      <c r="AT272" s="220"/>
      <c r="AU272" s="220"/>
      <c r="AV272" s="220"/>
      <c r="AW272" s="220"/>
      <c r="AX272" s="220"/>
      <c r="AY272" s="220"/>
      <c r="AZ272" s="220"/>
      <c r="BA272" s="220"/>
      <c r="BB272" s="220"/>
    </row>
    <row r="273">
      <c r="A273" s="290" t="str">
        <f>PRIX!A274</f>
        <v/>
      </c>
      <c r="B273" s="302" t="str">
        <f t="shared" si="1"/>
        <v/>
      </c>
      <c r="C273" s="341" t="str">
        <f>IF(A273="","",'Historique détail'!B273/$W273)</f>
        <v/>
      </c>
      <c r="D273" s="341" t="str">
        <f>IF(B273="","",'Historique détail'!C273/$W273)</f>
        <v/>
      </c>
      <c r="E273" s="341" t="str">
        <f>IF(C273="","",'Historique détail'!D273/$W273)</f>
        <v/>
      </c>
      <c r="F273" s="341" t="str">
        <f>IF(D273="","",'Historique détail'!E273/$W273)</f>
        <v/>
      </c>
      <c r="G273" s="341" t="str">
        <f>IF(E273="","",'Historique détail'!F273/$W273)</f>
        <v/>
      </c>
      <c r="H273" s="341" t="str">
        <f>IF(F273="","",'Historique détail'!G273/$W273)</f>
        <v/>
      </c>
      <c r="I273" s="341" t="str">
        <f>IF(G273="","",'Historique détail'!H273/$W273)</f>
        <v/>
      </c>
      <c r="J273" s="341" t="str">
        <f>IF(H273="","",'Historique détail'!I273/$W273)</f>
        <v/>
      </c>
      <c r="K273" s="341" t="str">
        <f>IF(I273="","",'Historique détail'!J273/$W273)</f>
        <v/>
      </c>
      <c r="L273" s="341" t="str">
        <f>IF(J273="","",'Historique détail'!K273/$W273)</f>
        <v/>
      </c>
      <c r="M273" s="341" t="str">
        <f>IF(K273="","",'Historique détail'!L273/$W273)</f>
        <v/>
      </c>
      <c r="N273" s="341" t="str">
        <f>IF(L273="","",'Historique détail'!M273/$W273)</f>
        <v/>
      </c>
      <c r="O273" s="341" t="str">
        <f>IF(M273="","",'Historique détail'!N273/$W273)</f>
        <v/>
      </c>
      <c r="P273" s="341" t="str">
        <f>IF(N273="","",'Historique détail'!O273/$W273)</f>
        <v/>
      </c>
      <c r="Q273" s="341" t="str">
        <f>IF(O273="","",'Historique détail'!P273/$W273)</f>
        <v/>
      </c>
      <c r="R273" s="341" t="str">
        <f>IF(P273="","",'Historique détail'!Q273/$W273)</f>
        <v/>
      </c>
      <c r="S273" s="341" t="str">
        <f>IF(Q273="","",'Historique détail'!R273/$W273)</f>
        <v/>
      </c>
      <c r="T273" s="341" t="str">
        <f>IF(R273="","",'Historique détail'!S273/$W273)</f>
        <v/>
      </c>
      <c r="U273" s="340" t="str">
        <f t="shared" si="2"/>
        <v/>
      </c>
      <c r="V273" s="14" t="str">
        <f>IF(A273="","",ARBITRAGES!M274)</f>
        <v/>
      </c>
      <c r="W273" s="343" t="str">
        <f>IF(V273="","",'Historique détail'!U273)</f>
        <v/>
      </c>
      <c r="X273" s="288"/>
      <c r="Y273" s="220"/>
      <c r="Z273" s="220"/>
      <c r="AA273" s="220"/>
      <c r="AB273" s="220"/>
      <c r="AC273" s="220"/>
      <c r="AD273" s="220"/>
      <c r="AE273" s="220"/>
      <c r="AF273" s="220"/>
      <c r="AG273" s="220"/>
      <c r="AH273" s="220"/>
      <c r="AI273" s="308"/>
      <c r="AJ273" s="220"/>
      <c r="AK273" s="220"/>
      <c r="AL273" s="220"/>
      <c r="AM273" s="220"/>
      <c r="AN273" s="220"/>
      <c r="AO273" s="220"/>
      <c r="AP273" s="220"/>
      <c r="AQ273" s="220"/>
      <c r="AR273" s="220"/>
      <c r="AS273" s="220"/>
      <c r="AT273" s="220"/>
      <c r="AU273" s="220"/>
      <c r="AV273" s="220"/>
      <c r="AW273" s="220"/>
      <c r="AX273" s="220"/>
      <c r="AY273" s="220"/>
      <c r="AZ273" s="220"/>
      <c r="BA273" s="220"/>
      <c r="BB273" s="220"/>
    </row>
    <row r="274">
      <c r="A274" s="290" t="str">
        <f>PRIX!A275</f>
        <v/>
      </c>
      <c r="B274" s="302" t="str">
        <f t="shared" si="1"/>
        <v/>
      </c>
      <c r="C274" s="341" t="str">
        <f>IF(A274="","",'Historique détail'!B274/$W274)</f>
        <v/>
      </c>
      <c r="D274" s="341" t="str">
        <f>IF(B274="","",'Historique détail'!C274/$W274)</f>
        <v/>
      </c>
      <c r="E274" s="341" t="str">
        <f>IF(C274="","",'Historique détail'!D274/$W274)</f>
        <v/>
      </c>
      <c r="F274" s="341" t="str">
        <f>IF(D274="","",'Historique détail'!E274/$W274)</f>
        <v/>
      </c>
      <c r="G274" s="341" t="str">
        <f>IF(E274="","",'Historique détail'!F274/$W274)</f>
        <v/>
      </c>
      <c r="H274" s="341" t="str">
        <f>IF(F274="","",'Historique détail'!G274/$W274)</f>
        <v/>
      </c>
      <c r="I274" s="341" t="str">
        <f>IF(G274="","",'Historique détail'!H274/$W274)</f>
        <v/>
      </c>
      <c r="J274" s="341" t="str">
        <f>IF(H274="","",'Historique détail'!I274/$W274)</f>
        <v/>
      </c>
      <c r="K274" s="341" t="str">
        <f>IF(I274="","",'Historique détail'!J274/$W274)</f>
        <v/>
      </c>
      <c r="L274" s="341" t="str">
        <f>IF(J274="","",'Historique détail'!K274/$W274)</f>
        <v/>
      </c>
      <c r="M274" s="341" t="str">
        <f>IF(K274="","",'Historique détail'!L274/$W274)</f>
        <v/>
      </c>
      <c r="N274" s="341" t="str">
        <f>IF(L274="","",'Historique détail'!M274/$W274)</f>
        <v/>
      </c>
      <c r="O274" s="341" t="str">
        <f>IF(M274="","",'Historique détail'!N274/$W274)</f>
        <v/>
      </c>
      <c r="P274" s="341" t="str">
        <f>IF(N274="","",'Historique détail'!O274/$W274)</f>
        <v/>
      </c>
      <c r="Q274" s="341" t="str">
        <f>IF(O274="","",'Historique détail'!P274/$W274)</f>
        <v/>
      </c>
      <c r="R274" s="341" t="str">
        <f>IF(P274="","",'Historique détail'!Q274/$W274)</f>
        <v/>
      </c>
      <c r="S274" s="341" t="str">
        <f>IF(Q274="","",'Historique détail'!R274/$W274)</f>
        <v/>
      </c>
      <c r="T274" s="341" t="str">
        <f>IF(R274="","",'Historique détail'!S274/$W274)</f>
        <v/>
      </c>
      <c r="U274" s="340" t="str">
        <f t="shared" si="2"/>
        <v/>
      </c>
      <c r="V274" s="14" t="str">
        <f>IF(A274="","",ARBITRAGES!M275)</f>
        <v/>
      </c>
      <c r="W274" s="343" t="str">
        <f>IF(V274="","",'Historique détail'!U274)</f>
        <v/>
      </c>
      <c r="X274" s="288"/>
      <c r="Y274" s="220"/>
      <c r="Z274" s="220"/>
      <c r="AA274" s="220"/>
      <c r="AB274" s="220"/>
      <c r="AC274" s="220"/>
      <c r="AD274" s="220"/>
      <c r="AE274" s="220"/>
      <c r="AF274" s="220"/>
      <c r="AG274" s="220"/>
      <c r="AH274" s="220"/>
      <c r="AI274" s="308"/>
      <c r="AJ274" s="220"/>
      <c r="AK274" s="220"/>
      <c r="AL274" s="220"/>
      <c r="AM274" s="220"/>
      <c r="AN274" s="220"/>
      <c r="AO274" s="220"/>
      <c r="AP274" s="220"/>
      <c r="AQ274" s="220"/>
      <c r="AR274" s="220"/>
      <c r="AS274" s="220"/>
      <c r="AT274" s="220"/>
      <c r="AU274" s="220"/>
      <c r="AV274" s="220"/>
      <c r="AW274" s="220"/>
      <c r="AX274" s="220"/>
      <c r="AY274" s="220"/>
      <c r="AZ274" s="220"/>
      <c r="BA274" s="220"/>
      <c r="BB274" s="220"/>
    </row>
    <row r="275">
      <c r="A275" s="290" t="str">
        <f>PRIX!A276</f>
        <v/>
      </c>
      <c r="B275" s="302" t="str">
        <f t="shared" si="1"/>
        <v/>
      </c>
      <c r="C275" s="341" t="str">
        <f>IF(A275="","",'Historique détail'!B275/$W275)</f>
        <v/>
      </c>
      <c r="D275" s="341" t="str">
        <f>IF(B275="","",'Historique détail'!C275/$W275)</f>
        <v/>
      </c>
      <c r="E275" s="341" t="str">
        <f>IF(C275="","",'Historique détail'!D275/$W275)</f>
        <v/>
      </c>
      <c r="F275" s="341" t="str">
        <f>IF(D275="","",'Historique détail'!E275/$W275)</f>
        <v/>
      </c>
      <c r="G275" s="341" t="str">
        <f>IF(E275="","",'Historique détail'!F275/$W275)</f>
        <v/>
      </c>
      <c r="H275" s="341" t="str">
        <f>IF(F275="","",'Historique détail'!G275/$W275)</f>
        <v/>
      </c>
      <c r="I275" s="341" t="str">
        <f>IF(G275="","",'Historique détail'!H275/$W275)</f>
        <v/>
      </c>
      <c r="J275" s="341" t="str">
        <f>IF(H275="","",'Historique détail'!I275/$W275)</f>
        <v/>
      </c>
      <c r="K275" s="341" t="str">
        <f>IF(I275="","",'Historique détail'!J275/$W275)</f>
        <v/>
      </c>
      <c r="L275" s="341" t="str">
        <f>IF(J275="","",'Historique détail'!K275/$W275)</f>
        <v/>
      </c>
      <c r="M275" s="341" t="str">
        <f>IF(K275="","",'Historique détail'!L275/$W275)</f>
        <v/>
      </c>
      <c r="N275" s="341" t="str">
        <f>IF(L275="","",'Historique détail'!M275/$W275)</f>
        <v/>
      </c>
      <c r="O275" s="341" t="str">
        <f>IF(M275="","",'Historique détail'!N275/$W275)</f>
        <v/>
      </c>
      <c r="P275" s="341" t="str">
        <f>IF(N275="","",'Historique détail'!O275/$W275)</f>
        <v/>
      </c>
      <c r="Q275" s="341" t="str">
        <f>IF(O275="","",'Historique détail'!P275/$W275)</f>
        <v/>
      </c>
      <c r="R275" s="341" t="str">
        <f>IF(P275="","",'Historique détail'!Q275/$W275)</f>
        <v/>
      </c>
      <c r="S275" s="341" t="str">
        <f>IF(Q275="","",'Historique détail'!R275/$W275)</f>
        <v/>
      </c>
      <c r="T275" s="341" t="str">
        <f>IF(R275="","",'Historique détail'!S275/$W275)</f>
        <v/>
      </c>
      <c r="U275" s="340" t="str">
        <f t="shared" si="2"/>
        <v/>
      </c>
      <c r="V275" s="14" t="str">
        <f>IF(A275="","",ARBITRAGES!M276)</f>
        <v/>
      </c>
      <c r="W275" s="343" t="str">
        <f>IF(V275="","",'Historique détail'!U275)</f>
        <v/>
      </c>
      <c r="X275" s="288"/>
      <c r="Y275" s="220"/>
      <c r="Z275" s="220"/>
      <c r="AA275" s="220"/>
      <c r="AB275" s="220"/>
      <c r="AC275" s="220"/>
      <c r="AD275" s="220"/>
      <c r="AE275" s="220"/>
      <c r="AF275" s="220"/>
      <c r="AG275" s="220"/>
      <c r="AH275" s="220"/>
      <c r="AI275" s="308"/>
      <c r="AJ275" s="220"/>
      <c r="AK275" s="220"/>
      <c r="AL275" s="220"/>
      <c r="AM275" s="220"/>
      <c r="AN275" s="220"/>
      <c r="AO275" s="220"/>
      <c r="AP275" s="220"/>
      <c r="AQ275" s="220"/>
      <c r="AR275" s="220"/>
      <c r="AS275" s="220"/>
      <c r="AT275" s="220"/>
      <c r="AU275" s="220"/>
      <c r="AV275" s="220"/>
      <c r="AW275" s="220"/>
      <c r="AX275" s="220"/>
      <c r="AY275" s="220"/>
      <c r="AZ275" s="220"/>
      <c r="BA275" s="220"/>
      <c r="BB275" s="220"/>
    </row>
    <row r="276">
      <c r="A276" s="290" t="str">
        <f>PRIX!A277</f>
        <v/>
      </c>
      <c r="B276" s="302" t="str">
        <f t="shared" si="1"/>
        <v/>
      </c>
      <c r="C276" s="341" t="str">
        <f>IF(A276="","",'Historique détail'!B276/$W276)</f>
        <v/>
      </c>
      <c r="D276" s="341" t="str">
        <f>IF(B276="","",'Historique détail'!C276/$W276)</f>
        <v/>
      </c>
      <c r="E276" s="341" t="str">
        <f>IF(C276="","",'Historique détail'!D276/$W276)</f>
        <v/>
      </c>
      <c r="F276" s="341" t="str">
        <f>IF(D276="","",'Historique détail'!E276/$W276)</f>
        <v/>
      </c>
      <c r="G276" s="341" t="str">
        <f>IF(E276="","",'Historique détail'!F276/$W276)</f>
        <v/>
      </c>
      <c r="H276" s="341" t="str">
        <f>IF(F276="","",'Historique détail'!G276/$W276)</f>
        <v/>
      </c>
      <c r="I276" s="341" t="str">
        <f>IF(G276="","",'Historique détail'!H276/$W276)</f>
        <v/>
      </c>
      <c r="J276" s="341" t="str">
        <f>IF(H276="","",'Historique détail'!I276/$W276)</f>
        <v/>
      </c>
      <c r="K276" s="341" t="str">
        <f>IF(I276="","",'Historique détail'!J276/$W276)</f>
        <v/>
      </c>
      <c r="L276" s="341" t="str">
        <f>IF(J276="","",'Historique détail'!K276/$W276)</f>
        <v/>
      </c>
      <c r="M276" s="341" t="str">
        <f>IF(K276="","",'Historique détail'!L276/$W276)</f>
        <v/>
      </c>
      <c r="N276" s="341" t="str">
        <f>IF(L276="","",'Historique détail'!M276/$W276)</f>
        <v/>
      </c>
      <c r="O276" s="341" t="str">
        <f>IF(M276="","",'Historique détail'!N276/$W276)</f>
        <v/>
      </c>
      <c r="P276" s="341" t="str">
        <f>IF(N276="","",'Historique détail'!O276/$W276)</f>
        <v/>
      </c>
      <c r="Q276" s="341" t="str">
        <f>IF(O276="","",'Historique détail'!P276/$W276)</f>
        <v/>
      </c>
      <c r="R276" s="341" t="str">
        <f>IF(P276="","",'Historique détail'!Q276/$W276)</f>
        <v/>
      </c>
      <c r="S276" s="341" t="str">
        <f>IF(Q276="","",'Historique détail'!R276/$W276)</f>
        <v/>
      </c>
      <c r="T276" s="341" t="str">
        <f>IF(R276="","",'Historique détail'!S276/$W276)</f>
        <v/>
      </c>
      <c r="U276" s="340" t="str">
        <f t="shared" si="2"/>
        <v/>
      </c>
      <c r="V276" s="14" t="str">
        <f>IF(A276="","",ARBITRAGES!M277)</f>
        <v/>
      </c>
      <c r="W276" s="343" t="str">
        <f>IF(V276="","",'Historique détail'!U276)</f>
        <v/>
      </c>
      <c r="X276" s="288"/>
      <c r="Y276" s="220"/>
      <c r="Z276" s="220"/>
      <c r="AA276" s="220"/>
      <c r="AB276" s="220"/>
      <c r="AC276" s="220"/>
      <c r="AD276" s="220"/>
      <c r="AE276" s="220"/>
      <c r="AF276" s="220"/>
      <c r="AG276" s="220"/>
      <c r="AH276" s="220"/>
      <c r="AI276" s="308"/>
      <c r="AJ276" s="220"/>
      <c r="AK276" s="220"/>
      <c r="AL276" s="220"/>
      <c r="AM276" s="220"/>
      <c r="AN276" s="220"/>
      <c r="AO276" s="220"/>
      <c r="AP276" s="220"/>
      <c r="AQ276" s="220"/>
      <c r="AR276" s="220"/>
      <c r="AS276" s="220"/>
      <c r="AT276" s="220"/>
      <c r="AU276" s="220"/>
      <c r="AV276" s="220"/>
      <c r="AW276" s="220"/>
      <c r="AX276" s="220"/>
      <c r="AY276" s="220"/>
      <c r="AZ276" s="220"/>
      <c r="BA276" s="220"/>
      <c r="BB276" s="220"/>
    </row>
    <row r="277">
      <c r="A277" s="290" t="str">
        <f>PRIX!A278</f>
        <v/>
      </c>
      <c r="B277" s="302" t="str">
        <f t="shared" si="1"/>
        <v/>
      </c>
      <c r="C277" s="341" t="str">
        <f>IF(A277="","",'Historique détail'!B277/$W277)</f>
        <v/>
      </c>
      <c r="D277" s="341" t="str">
        <f>IF(B277="","",'Historique détail'!C277/$W277)</f>
        <v/>
      </c>
      <c r="E277" s="341" t="str">
        <f>IF(C277="","",'Historique détail'!D277/$W277)</f>
        <v/>
      </c>
      <c r="F277" s="341" t="str">
        <f>IF(D277="","",'Historique détail'!E277/$W277)</f>
        <v/>
      </c>
      <c r="G277" s="341" t="str">
        <f>IF(E277="","",'Historique détail'!F277/$W277)</f>
        <v/>
      </c>
      <c r="H277" s="341" t="str">
        <f>IF(F277="","",'Historique détail'!G277/$W277)</f>
        <v/>
      </c>
      <c r="I277" s="341" t="str">
        <f>IF(G277="","",'Historique détail'!H277/$W277)</f>
        <v/>
      </c>
      <c r="J277" s="341" t="str">
        <f>IF(H277="","",'Historique détail'!I277/$W277)</f>
        <v/>
      </c>
      <c r="K277" s="341" t="str">
        <f>IF(I277="","",'Historique détail'!J277/$W277)</f>
        <v/>
      </c>
      <c r="L277" s="341" t="str">
        <f>IF(J277="","",'Historique détail'!K277/$W277)</f>
        <v/>
      </c>
      <c r="M277" s="341" t="str">
        <f>IF(K277="","",'Historique détail'!L277/$W277)</f>
        <v/>
      </c>
      <c r="N277" s="341" t="str">
        <f>IF(L277="","",'Historique détail'!M277/$W277)</f>
        <v/>
      </c>
      <c r="O277" s="341" t="str">
        <f>IF(M277="","",'Historique détail'!N277/$W277)</f>
        <v/>
      </c>
      <c r="P277" s="341" t="str">
        <f>IF(N277="","",'Historique détail'!O277/$W277)</f>
        <v/>
      </c>
      <c r="Q277" s="341" t="str">
        <f>IF(O277="","",'Historique détail'!P277/$W277)</f>
        <v/>
      </c>
      <c r="R277" s="341" t="str">
        <f>IF(P277="","",'Historique détail'!Q277/$W277)</f>
        <v/>
      </c>
      <c r="S277" s="341" t="str">
        <f>IF(Q277="","",'Historique détail'!R277/$W277)</f>
        <v/>
      </c>
      <c r="T277" s="341" t="str">
        <f>IF(R277="","",'Historique détail'!S277/$W277)</f>
        <v/>
      </c>
      <c r="U277" s="340" t="str">
        <f t="shared" si="2"/>
        <v/>
      </c>
      <c r="V277" s="14" t="str">
        <f>IF(A277="","",ARBITRAGES!M278)</f>
        <v/>
      </c>
      <c r="W277" s="343" t="str">
        <f>IF(V277="","",'Historique détail'!U277)</f>
        <v/>
      </c>
      <c r="X277" s="288"/>
      <c r="Y277" s="220"/>
      <c r="Z277" s="220"/>
      <c r="AA277" s="220"/>
      <c r="AB277" s="220"/>
      <c r="AC277" s="220"/>
      <c r="AD277" s="220"/>
      <c r="AE277" s="220"/>
      <c r="AF277" s="220"/>
      <c r="AG277" s="220"/>
      <c r="AH277" s="220"/>
      <c r="AI277" s="308"/>
      <c r="AJ277" s="220"/>
      <c r="AK277" s="220"/>
      <c r="AL277" s="220"/>
      <c r="AM277" s="220"/>
      <c r="AN277" s="220"/>
      <c r="AO277" s="220"/>
      <c r="AP277" s="220"/>
      <c r="AQ277" s="220"/>
      <c r="AR277" s="220"/>
      <c r="AS277" s="220"/>
      <c r="AT277" s="220"/>
      <c r="AU277" s="220"/>
      <c r="AV277" s="220"/>
      <c r="AW277" s="220"/>
      <c r="AX277" s="220"/>
      <c r="AY277" s="220"/>
      <c r="AZ277" s="220"/>
      <c r="BA277" s="220"/>
      <c r="BB277" s="220"/>
    </row>
    <row r="278">
      <c r="A278" s="290" t="str">
        <f>PRIX!A279</f>
        <v/>
      </c>
      <c r="B278" s="302" t="str">
        <f t="shared" si="1"/>
        <v/>
      </c>
      <c r="C278" s="341" t="str">
        <f>IF(A278="","",'Historique détail'!B278/$W278)</f>
        <v/>
      </c>
      <c r="D278" s="341" t="str">
        <f>IF(B278="","",'Historique détail'!C278/$W278)</f>
        <v/>
      </c>
      <c r="E278" s="341" t="str">
        <f>IF(C278="","",'Historique détail'!D278/$W278)</f>
        <v/>
      </c>
      <c r="F278" s="341" t="str">
        <f>IF(D278="","",'Historique détail'!E278/$W278)</f>
        <v/>
      </c>
      <c r="G278" s="341" t="str">
        <f>IF(E278="","",'Historique détail'!F278/$W278)</f>
        <v/>
      </c>
      <c r="H278" s="341" t="str">
        <f>IF(F278="","",'Historique détail'!G278/$W278)</f>
        <v/>
      </c>
      <c r="I278" s="341" t="str">
        <f>IF(G278="","",'Historique détail'!H278/$W278)</f>
        <v/>
      </c>
      <c r="J278" s="341" t="str">
        <f>IF(H278="","",'Historique détail'!I278/$W278)</f>
        <v/>
      </c>
      <c r="K278" s="341" t="str">
        <f>IF(I278="","",'Historique détail'!J278/$W278)</f>
        <v/>
      </c>
      <c r="L278" s="341" t="str">
        <f>IF(J278="","",'Historique détail'!K278/$W278)</f>
        <v/>
      </c>
      <c r="M278" s="341" t="str">
        <f>IF(K278="","",'Historique détail'!L278/$W278)</f>
        <v/>
      </c>
      <c r="N278" s="341" t="str">
        <f>IF(L278="","",'Historique détail'!M278/$W278)</f>
        <v/>
      </c>
      <c r="O278" s="341" t="str">
        <f>IF(M278="","",'Historique détail'!N278/$W278)</f>
        <v/>
      </c>
      <c r="P278" s="341" t="str">
        <f>IF(N278="","",'Historique détail'!O278/$W278)</f>
        <v/>
      </c>
      <c r="Q278" s="341" t="str">
        <f>IF(O278="","",'Historique détail'!P278/$W278)</f>
        <v/>
      </c>
      <c r="R278" s="341" t="str">
        <f>IF(P278="","",'Historique détail'!Q278/$W278)</f>
        <v/>
      </c>
      <c r="S278" s="341" t="str">
        <f>IF(Q278="","",'Historique détail'!R278/$W278)</f>
        <v/>
      </c>
      <c r="T278" s="341" t="str">
        <f>IF(R278="","",'Historique détail'!S278/$W278)</f>
        <v/>
      </c>
      <c r="U278" s="340" t="str">
        <f t="shared" si="2"/>
        <v/>
      </c>
      <c r="V278" s="14" t="str">
        <f>IF(A278="","",ARBITRAGES!M279)</f>
        <v/>
      </c>
      <c r="W278" s="343" t="str">
        <f>IF(V278="","",'Historique détail'!U278)</f>
        <v/>
      </c>
      <c r="X278" s="288"/>
      <c r="Y278" s="220"/>
      <c r="Z278" s="220"/>
      <c r="AA278" s="220"/>
      <c r="AB278" s="220"/>
      <c r="AC278" s="220"/>
      <c r="AD278" s="220"/>
      <c r="AE278" s="220"/>
      <c r="AF278" s="220"/>
      <c r="AG278" s="220"/>
      <c r="AH278" s="220"/>
      <c r="AI278" s="308"/>
      <c r="AJ278" s="220"/>
      <c r="AK278" s="220"/>
      <c r="AL278" s="220"/>
      <c r="AM278" s="220"/>
      <c r="AN278" s="220"/>
      <c r="AO278" s="220"/>
      <c r="AP278" s="220"/>
      <c r="AQ278" s="220"/>
      <c r="AR278" s="220"/>
      <c r="AS278" s="220"/>
      <c r="AT278" s="220"/>
      <c r="AU278" s="220"/>
      <c r="AV278" s="220"/>
      <c r="AW278" s="220"/>
      <c r="AX278" s="220"/>
      <c r="AY278" s="220"/>
      <c r="AZ278" s="220"/>
      <c r="BA278" s="220"/>
      <c r="BB278" s="220"/>
    </row>
    <row r="279">
      <c r="A279" s="290" t="str">
        <f>PRIX!A280</f>
        <v/>
      </c>
      <c r="B279" s="302" t="str">
        <f t="shared" si="1"/>
        <v/>
      </c>
      <c r="C279" s="341" t="str">
        <f>IF(A279="","",'Historique détail'!B279/$W279)</f>
        <v/>
      </c>
      <c r="D279" s="341" t="str">
        <f>IF(B279="","",'Historique détail'!C279/$W279)</f>
        <v/>
      </c>
      <c r="E279" s="341" t="str">
        <f>IF(C279="","",'Historique détail'!D279/$W279)</f>
        <v/>
      </c>
      <c r="F279" s="341" t="str">
        <f>IF(D279="","",'Historique détail'!E279/$W279)</f>
        <v/>
      </c>
      <c r="G279" s="341" t="str">
        <f>IF(E279="","",'Historique détail'!F279/$W279)</f>
        <v/>
      </c>
      <c r="H279" s="341" t="str">
        <f>IF(F279="","",'Historique détail'!G279/$W279)</f>
        <v/>
      </c>
      <c r="I279" s="341" t="str">
        <f>IF(G279="","",'Historique détail'!H279/$W279)</f>
        <v/>
      </c>
      <c r="J279" s="341" t="str">
        <f>IF(H279="","",'Historique détail'!I279/$W279)</f>
        <v/>
      </c>
      <c r="K279" s="341" t="str">
        <f>IF(I279="","",'Historique détail'!J279/$W279)</f>
        <v/>
      </c>
      <c r="L279" s="341" t="str">
        <f>IF(J279="","",'Historique détail'!K279/$W279)</f>
        <v/>
      </c>
      <c r="M279" s="341" t="str">
        <f>IF(K279="","",'Historique détail'!L279/$W279)</f>
        <v/>
      </c>
      <c r="N279" s="341" t="str">
        <f>IF(L279="","",'Historique détail'!M279/$W279)</f>
        <v/>
      </c>
      <c r="O279" s="341" t="str">
        <f>IF(M279="","",'Historique détail'!N279/$W279)</f>
        <v/>
      </c>
      <c r="P279" s="341" t="str">
        <f>IF(N279="","",'Historique détail'!O279/$W279)</f>
        <v/>
      </c>
      <c r="Q279" s="341" t="str">
        <f>IF(O279="","",'Historique détail'!P279/$W279)</f>
        <v/>
      </c>
      <c r="R279" s="341" t="str">
        <f>IF(P279="","",'Historique détail'!Q279/$W279)</f>
        <v/>
      </c>
      <c r="S279" s="341" t="str">
        <f>IF(Q279="","",'Historique détail'!R279/$W279)</f>
        <v/>
      </c>
      <c r="T279" s="341" t="str">
        <f>IF(R279="","",'Historique détail'!S279/$W279)</f>
        <v/>
      </c>
      <c r="U279" s="340" t="str">
        <f t="shared" si="2"/>
        <v/>
      </c>
      <c r="V279" s="14" t="str">
        <f>IF(A279="","",ARBITRAGES!M280)</f>
        <v/>
      </c>
      <c r="W279" s="343" t="str">
        <f>IF(V279="","",'Historique détail'!U279)</f>
        <v/>
      </c>
      <c r="X279" s="288"/>
      <c r="Y279" s="220"/>
      <c r="Z279" s="220"/>
      <c r="AA279" s="220"/>
      <c r="AB279" s="220"/>
      <c r="AC279" s="220"/>
      <c r="AD279" s="220"/>
      <c r="AE279" s="220"/>
      <c r="AF279" s="220"/>
      <c r="AG279" s="220"/>
      <c r="AH279" s="220"/>
      <c r="AI279" s="308"/>
      <c r="AJ279" s="220"/>
      <c r="AK279" s="220"/>
      <c r="AL279" s="220"/>
      <c r="AM279" s="220"/>
      <c r="AN279" s="220"/>
      <c r="AO279" s="220"/>
      <c r="AP279" s="220"/>
      <c r="AQ279" s="220"/>
      <c r="AR279" s="220"/>
      <c r="AS279" s="220"/>
      <c r="AT279" s="220"/>
      <c r="AU279" s="220"/>
      <c r="AV279" s="220"/>
      <c r="AW279" s="220"/>
      <c r="AX279" s="220"/>
      <c r="AY279" s="220"/>
      <c r="AZ279" s="220"/>
      <c r="BA279" s="220"/>
      <c r="BB279" s="220"/>
    </row>
    <row r="280">
      <c r="A280" s="290" t="str">
        <f>PRIX!A281</f>
        <v/>
      </c>
      <c r="B280" s="302" t="str">
        <f t="shared" si="1"/>
        <v/>
      </c>
      <c r="C280" s="341" t="str">
        <f>IF(A280="","",'Historique détail'!B280/$W280)</f>
        <v/>
      </c>
      <c r="D280" s="341" t="str">
        <f>IF(B280="","",'Historique détail'!C280/$W280)</f>
        <v/>
      </c>
      <c r="E280" s="341" t="str">
        <f>IF(C280="","",'Historique détail'!D280/$W280)</f>
        <v/>
      </c>
      <c r="F280" s="341" t="str">
        <f>IF(D280="","",'Historique détail'!E280/$W280)</f>
        <v/>
      </c>
      <c r="G280" s="341" t="str">
        <f>IF(E280="","",'Historique détail'!F280/$W280)</f>
        <v/>
      </c>
      <c r="H280" s="341" t="str">
        <f>IF(F280="","",'Historique détail'!G280/$W280)</f>
        <v/>
      </c>
      <c r="I280" s="341" t="str">
        <f>IF(G280="","",'Historique détail'!H280/$W280)</f>
        <v/>
      </c>
      <c r="J280" s="341" t="str">
        <f>IF(H280="","",'Historique détail'!I280/$W280)</f>
        <v/>
      </c>
      <c r="K280" s="341" t="str">
        <f>IF(I280="","",'Historique détail'!J280/$W280)</f>
        <v/>
      </c>
      <c r="L280" s="341" t="str">
        <f>IF(J280="","",'Historique détail'!K280/$W280)</f>
        <v/>
      </c>
      <c r="M280" s="341" t="str">
        <f>IF(K280="","",'Historique détail'!L280/$W280)</f>
        <v/>
      </c>
      <c r="N280" s="341" t="str">
        <f>IF(L280="","",'Historique détail'!M280/$W280)</f>
        <v/>
      </c>
      <c r="O280" s="341" t="str">
        <f>IF(M280="","",'Historique détail'!N280/$W280)</f>
        <v/>
      </c>
      <c r="P280" s="341" t="str">
        <f>IF(N280="","",'Historique détail'!O280/$W280)</f>
        <v/>
      </c>
      <c r="Q280" s="341" t="str">
        <f>IF(O280="","",'Historique détail'!P280/$W280)</f>
        <v/>
      </c>
      <c r="R280" s="341" t="str">
        <f>IF(P280="","",'Historique détail'!Q280/$W280)</f>
        <v/>
      </c>
      <c r="S280" s="341" t="str">
        <f>IF(Q280="","",'Historique détail'!R280/$W280)</f>
        <v/>
      </c>
      <c r="T280" s="341" t="str">
        <f>IF(R280="","",'Historique détail'!S280/$W280)</f>
        <v/>
      </c>
      <c r="U280" s="340" t="str">
        <f t="shared" si="2"/>
        <v/>
      </c>
      <c r="V280" s="14" t="str">
        <f>IF(A280="","",ARBITRAGES!M281)</f>
        <v/>
      </c>
      <c r="W280" s="343" t="str">
        <f>IF(V280="","",'Historique détail'!U280)</f>
        <v/>
      </c>
      <c r="X280" s="288"/>
      <c r="Y280" s="220"/>
      <c r="Z280" s="220"/>
      <c r="AA280" s="220"/>
      <c r="AB280" s="220"/>
      <c r="AC280" s="220"/>
      <c r="AD280" s="220"/>
      <c r="AE280" s="220"/>
      <c r="AF280" s="220"/>
      <c r="AG280" s="220"/>
      <c r="AH280" s="220"/>
      <c r="AI280" s="308"/>
      <c r="AJ280" s="220"/>
      <c r="AK280" s="220"/>
      <c r="AL280" s="220"/>
      <c r="AM280" s="220"/>
      <c r="AN280" s="220"/>
      <c r="AO280" s="220"/>
      <c r="AP280" s="220"/>
      <c r="AQ280" s="220"/>
      <c r="AR280" s="220"/>
      <c r="AS280" s="220"/>
      <c r="AT280" s="220"/>
      <c r="AU280" s="220"/>
      <c r="AV280" s="220"/>
      <c r="AW280" s="220"/>
      <c r="AX280" s="220"/>
      <c r="AY280" s="220"/>
      <c r="AZ280" s="220"/>
      <c r="BA280" s="220"/>
      <c r="BB280" s="220"/>
    </row>
    <row r="281">
      <c r="A281" s="290" t="str">
        <f>PRIX!A282</f>
        <v/>
      </c>
      <c r="B281" s="302" t="str">
        <f t="shared" si="1"/>
        <v/>
      </c>
      <c r="C281" s="341" t="str">
        <f>IF(A281="","",'Historique détail'!B281/$W281)</f>
        <v/>
      </c>
      <c r="D281" s="341" t="str">
        <f>IF(B281="","",'Historique détail'!C281/$W281)</f>
        <v/>
      </c>
      <c r="E281" s="341" t="str">
        <f>IF(C281="","",'Historique détail'!D281/$W281)</f>
        <v/>
      </c>
      <c r="F281" s="341" t="str">
        <f>IF(D281="","",'Historique détail'!E281/$W281)</f>
        <v/>
      </c>
      <c r="G281" s="341" t="str">
        <f>IF(E281="","",'Historique détail'!F281/$W281)</f>
        <v/>
      </c>
      <c r="H281" s="341" t="str">
        <f>IF(F281="","",'Historique détail'!G281/$W281)</f>
        <v/>
      </c>
      <c r="I281" s="341" t="str">
        <f>IF(G281="","",'Historique détail'!H281/$W281)</f>
        <v/>
      </c>
      <c r="J281" s="341" t="str">
        <f>IF(H281="","",'Historique détail'!I281/$W281)</f>
        <v/>
      </c>
      <c r="K281" s="341" t="str">
        <f>IF(I281="","",'Historique détail'!J281/$W281)</f>
        <v/>
      </c>
      <c r="L281" s="341" t="str">
        <f>IF(J281="","",'Historique détail'!K281/$W281)</f>
        <v/>
      </c>
      <c r="M281" s="341" t="str">
        <f>IF(K281="","",'Historique détail'!L281/$W281)</f>
        <v/>
      </c>
      <c r="N281" s="341" t="str">
        <f>IF(L281="","",'Historique détail'!M281/$W281)</f>
        <v/>
      </c>
      <c r="O281" s="341" t="str">
        <f>IF(M281="","",'Historique détail'!N281/$W281)</f>
        <v/>
      </c>
      <c r="P281" s="341" t="str">
        <f>IF(N281="","",'Historique détail'!O281/$W281)</f>
        <v/>
      </c>
      <c r="Q281" s="341" t="str">
        <f>IF(O281="","",'Historique détail'!P281/$W281)</f>
        <v/>
      </c>
      <c r="R281" s="341" t="str">
        <f>IF(P281="","",'Historique détail'!Q281/$W281)</f>
        <v/>
      </c>
      <c r="S281" s="341" t="str">
        <f>IF(Q281="","",'Historique détail'!R281/$W281)</f>
        <v/>
      </c>
      <c r="T281" s="341" t="str">
        <f>IF(R281="","",'Historique détail'!S281/$W281)</f>
        <v/>
      </c>
      <c r="U281" s="340" t="str">
        <f t="shared" si="2"/>
        <v/>
      </c>
      <c r="V281" s="14" t="str">
        <f>IF(A281="","",ARBITRAGES!M282)</f>
        <v/>
      </c>
      <c r="W281" s="343" t="str">
        <f>IF(V281="","",'Historique détail'!U281)</f>
        <v/>
      </c>
      <c r="X281" s="288"/>
      <c r="Y281" s="220"/>
      <c r="Z281" s="220"/>
      <c r="AA281" s="220"/>
      <c r="AB281" s="220"/>
      <c r="AC281" s="220"/>
      <c r="AD281" s="220"/>
      <c r="AE281" s="220"/>
      <c r="AF281" s="220"/>
      <c r="AG281" s="220"/>
      <c r="AH281" s="220"/>
      <c r="AI281" s="308"/>
      <c r="AJ281" s="220"/>
      <c r="AK281" s="220"/>
      <c r="AL281" s="220"/>
      <c r="AM281" s="220"/>
      <c r="AN281" s="220"/>
      <c r="AO281" s="220"/>
      <c r="AP281" s="220"/>
      <c r="AQ281" s="220"/>
      <c r="AR281" s="220"/>
      <c r="AS281" s="220"/>
      <c r="AT281" s="220"/>
      <c r="AU281" s="220"/>
      <c r="AV281" s="220"/>
      <c r="AW281" s="220"/>
      <c r="AX281" s="220"/>
      <c r="AY281" s="220"/>
      <c r="AZ281" s="220"/>
      <c r="BA281" s="220"/>
      <c r="BB281" s="220"/>
    </row>
    <row r="282">
      <c r="A282" s="290" t="str">
        <f>PRIX!A283</f>
        <v/>
      </c>
      <c r="B282" s="302" t="str">
        <f t="shared" si="1"/>
        <v/>
      </c>
      <c r="C282" s="341" t="str">
        <f>IF(A282="","",'Historique détail'!B282/$W282)</f>
        <v/>
      </c>
      <c r="D282" s="341" t="str">
        <f>IF(B282="","",'Historique détail'!C282/$W282)</f>
        <v/>
      </c>
      <c r="E282" s="341" t="str">
        <f>IF(C282="","",'Historique détail'!D282/$W282)</f>
        <v/>
      </c>
      <c r="F282" s="341" t="str">
        <f>IF(D282="","",'Historique détail'!E282/$W282)</f>
        <v/>
      </c>
      <c r="G282" s="341" t="str">
        <f>IF(E282="","",'Historique détail'!F282/$W282)</f>
        <v/>
      </c>
      <c r="H282" s="341" t="str">
        <f>IF(F282="","",'Historique détail'!G282/$W282)</f>
        <v/>
      </c>
      <c r="I282" s="341" t="str">
        <f>IF(G282="","",'Historique détail'!H282/$W282)</f>
        <v/>
      </c>
      <c r="J282" s="341" t="str">
        <f>IF(H282="","",'Historique détail'!I282/$W282)</f>
        <v/>
      </c>
      <c r="K282" s="341" t="str">
        <f>IF(I282="","",'Historique détail'!J282/$W282)</f>
        <v/>
      </c>
      <c r="L282" s="341" t="str">
        <f>IF(J282="","",'Historique détail'!K282/$W282)</f>
        <v/>
      </c>
      <c r="M282" s="341" t="str">
        <f>IF(K282="","",'Historique détail'!L282/$W282)</f>
        <v/>
      </c>
      <c r="N282" s="341" t="str">
        <f>IF(L282="","",'Historique détail'!M282/$W282)</f>
        <v/>
      </c>
      <c r="O282" s="341" t="str">
        <f>IF(M282="","",'Historique détail'!N282/$W282)</f>
        <v/>
      </c>
      <c r="P282" s="341" t="str">
        <f>IF(N282="","",'Historique détail'!O282/$W282)</f>
        <v/>
      </c>
      <c r="Q282" s="341" t="str">
        <f>IF(O282="","",'Historique détail'!P282/$W282)</f>
        <v/>
      </c>
      <c r="R282" s="341" t="str">
        <f>IF(P282="","",'Historique détail'!Q282/$W282)</f>
        <v/>
      </c>
      <c r="S282" s="341" t="str">
        <f>IF(Q282="","",'Historique détail'!R282/$W282)</f>
        <v/>
      </c>
      <c r="T282" s="341" t="str">
        <f>IF(R282="","",'Historique détail'!S282/$W282)</f>
        <v/>
      </c>
      <c r="U282" s="340" t="str">
        <f t="shared" si="2"/>
        <v/>
      </c>
      <c r="V282" s="14" t="str">
        <f>IF(A282="","",ARBITRAGES!M283)</f>
        <v/>
      </c>
      <c r="W282" s="343" t="str">
        <f>IF(V282="","",'Historique détail'!U282)</f>
        <v/>
      </c>
      <c r="X282" s="288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0"/>
      <c r="AI282" s="308"/>
      <c r="AJ282" s="220"/>
      <c r="AK282" s="220"/>
      <c r="AL282" s="220"/>
      <c r="AM282" s="220"/>
      <c r="AN282" s="220"/>
      <c r="AO282" s="220"/>
      <c r="AP282" s="220"/>
      <c r="AQ282" s="220"/>
      <c r="AR282" s="220"/>
      <c r="AS282" s="220"/>
      <c r="AT282" s="220"/>
      <c r="AU282" s="220"/>
      <c r="AV282" s="220"/>
      <c r="AW282" s="220"/>
      <c r="AX282" s="220"/>
      <c r="AY282" s="220"/>
      <c r="AZ282" s="220"/>
      <c r="BA282" s="220"/>
      <c r="BB282" s="220"/>
    </row>
    <row r="283">
      <c r="A283" s="290" t="str">
        <f>PRIX!A284</f>
        <v/>
      </c>
      <c r="B283" s="302" t="str">
        <f t="shared" si="1"/>
        <v/>
      </c>
      <c r="C283" s="341" t="str">
        <f>IF(A283="","",'Historique détail'!B283/$W283)</f>
        <v/>
      </c>
      <c r="D283" s="341" t="str">
        <f>IF(B283="","",'Historique détail'!C283/$W283)</f>
        <v/>
      </c>
      <c r="E283" s="341" t="str">
        <f>IF(C283="","",'Historique détail'!D283/$W283)</f>
        <v/>
      </c>
      <c r="F283" s="341" t="str">
        <f>IF(D283="","",'Historique détail'!E283/$W283)</f>
        <v/>
      </c>
      <c r="G283" s="341" t="str">
        <f>IF(E283="","",'Historique détail'!F283/$W283)</f>
        <v/>
      </c>
      <c r="H283" s="341" t="str">
        <f>IF(F283="","",'Historique détail'!G283/$W283)</f>
        <v/>
      </c>
      <c r="I283" s="341" t="str">
        <f>IF(G283="","",'Historique détail'!H283/$W283)</f>
        <v/>
      </c>
      <c r="J283" s="341" t="str">
        <f>IF(H283="","",'Historique détail'!I283/$W283)</f>
        <v/>
      </c>
      <c r="K283" s="341" t="str">
        <f>IF(I283="","",'Historique détail'!J283/$W283)</f>
        <v/>
      </c>
      <c r="L283" s="341" t="str">
        <f>IF(J283="","",'Historique détail'!K283/$W283)</f>
        <v/>
      </c>
      <c r="M283" s="341" t="str">
        <f>IF(K283="","",'Historique détail'!L283/$W283)</f>
        <v/>
      </c>
      <c r="N283" s="341" t="str">
        <f>IF(L283="","",'Historique détail'!M283/$W283)</f>
        <v/>
      </c>
      <c r="O283" s="341" t="str">
        <f>IF(M283="","",'Historique détail'!N283/$W283)</f>
        <v/>
      </c>
      <c r="P283" s="341" t="str">
        <f>IF(N283="","",'Historique détail'!O283/$W283)</f>
        <v/>
      </c>
      <c r="Q283" s="341" t="str">
        <f>IF(O283="","",'Historique détail'!P283/$W283)</f>
        <v/>
      </c>
      <c r="R283" s="341" t="str">
        <f>IF(P283="","",'Historique détail'!Q283/$W283)</f>
        <v/>
      </c>
      <c r="S283" s="341" t="str">
        <f>IF(Q283="","",'Historique détail'!R283/$W283)</f>
        <v/>
      </c>
      <c r="T283" s="341" t="str">
        <f>IF(R283="","",'Historique détail'!S283/$W283)</f>
        <v/>
      </c>
      <c r="U283" s="340" t="str">
        <f t="shared" si="2"/>
        <v/>
      </c>
      <c r="V283" s="14" t="str">
        <f>IF(A283="","",ARBITRAGES!M284)</f>
        <v/>
      </c>
      <c r="W283" s="343" t="str">
        <f>IF(V283="","",'Historique détail'!U283)</f>
        <v/>
      </c>
      <c r="X283" s="288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0"/>
      <c r="AI283" s="308"/>
      <c r="AJ283" s="220"/>
      <c r="AK283" s="220"/>
      <c r="AL283" s="220"/>
      <c r="AM283" s="220"/>
      <c r="AN283" s="220"/>
      <c r="AO283" s="220"/>
      <c r="AP283" s="220"/>
      <c r="AQ283" s="220"/>
      <c r="AR283" s="220"/>
      <c r="AS283" s="220"/>
      <c r="AT283" s="220"/>
      <c r="AU283" s="220"/>
      <c r="AV283" s="220"/>
      <c r="AW283" s="220"/>
      <c r="AX283" s="220"/>
      <c r="AY283" s="220"/>
      <c r="AZ283" s="220"/>
      <c r="BA283" s="220"/>
      <c r="BB283" s="220"/>
    </row>
    <row r="284">
      <c r="A284" s="290" t="str">
        <f>PRIX!A285</f>
        <v/>
      </c>
      <c r="B284" s="302" t="str">
        <f t="shared" si="1"/>
        <v/>
      </c>
      <c r="C284" s="341" t="str">
        <f>IF(A284="","",'Historique détail'!B284/$W284)</f>
        <v/>
      </c>
      <c r="D284" s="341" t="str">
        <f>IF(B284="","",'Historique détail'!C284/$W284)</f>
        <v/>
      </c>
      <c r="E284" s="341" t="str">
        <f>IF(C284="","",'Historique détail'!D284/$W284)</f>
        <v/>
      </c>
      <c r="F284" s="341" t="str">
        <f>IF(D284="","",'Historique détail'!E284/$W284)</f>
        <v/>
      </c>
      <c r="G284" s="341" t="str">
        <f>IF(E284="","",'Historique détail'!F284/$W284)</f>
        <v/>
      </c>
      <c r="H284" s="341" t="str">
        <f>IF(F284="","",'Historique détail'!G284/$W284)</f>
        <v/>
      </c>
      <c r="I284" s="341" t="str">
        <f>IF(G284="","",'Historique détail'!H284/$W284)</f>
        <v/>
      </c>
      <c r="J284" s="341" t="str">
        <f>IF(H284="","",'Historique détail'!I284/$W284)</f>
        <v/>
      </c>
      <c r="K284" s="341" t="str">
        <f>IF(I284="","",'Historique détail'!J284/$W284)</f>
        <v/>
      </c>
      <c r="L284" s="341" t="str">
        <f>IF(J284="","",'Historique détail'!K284/$W284)</f>
        <v/>
      </c>
      <c r="M284" s="341" t="str">
        <f>IF(K284="","",'Historique détail'!L284/$W284)</f>
        <v/>
      </c>
      <c r="N284" s="341" t="str">
        <f>IF(L284="","",'Historique détail'!M284/$W284)</f>
        <v/>
      </c>
      <c r="O284" s="341" t="str">
        <f>IF(M284="","",'Historique détail'!N284/$W284)</f>
        <v/>
      </c>
      <c r="P284" s="341" t="str">
        <f>IF(N284="","",'Historique détail'!O284/$W284)</f>
        <v/>
      </c>
      <c r="Q284" s="341" t="str">
        <f>IF(O284="","",'Historique détail'!P284/$W284)</f>
        <v/>
      </c>
      <c r="R284" s="341" t="str">
        <f>IF(P284="","",'Historique détail'!Q284/$W284)</f>
        <v/>
      </c>
      <c r="S284" s="341" t="str">
        <f>IF(Q284="","",'Historique détail'!R284/$W284)</f>
        <v/>
      </c>
      <c r="T284" s="341" t="str">
        <f>IF(R284="","",'Historique détail'!S284/$W284)</f>
        <v/>
      </c>
      <c r="U284" s="340" t="str">
        <f t="shared" si="2"/>
        <v/>
      </c>
      <c r="V284" s="14" t="str">
        <f>IF(A284="","",ARBITRAGES!M285)</f>
        <v/>
      </c>
      <c r="W284" s="343" t="str">
        <f>IF(V284="","",'Historique détail'!U284)</f>
        <v/>
      </c>
      <c r="X284" s="288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0"/>
      <c r="AI284" s="308"/>
      <c r="AJ284" s="220"/>
      <c r="AK284" s="220"/>
      <c r="AL284" s="220"/>
      <c r="AM284" s="220"/>
      <c r="AN284" s="220"/>
      <c r="AO284" s="220"/>
      <c r="AP284" s="220"/>
      <c r="AQ284" s="220"/>
      <c r="AR284" s="220"/>
      <c r="AS284" s="220"/>
      <c r="AT284" s="220"/>
      <c r="AU284" s="220"/>
      <c r="AV284" s="220"/>
      <c r="AW284" s="220"/>
      <c r="AX284" s="220"/>
      <c r="AY284" s="220"/>
      <c r="AZ284" s="220"/>
      <c r="BA284" s="220"/>
      <c r="BB284" s="220"/>
    </row>
    <row r="285">
      <c r="A285" s="290" t="str">
        <f>PRIX!A286</f>
        <v/>
      </c>
      <c r="B285" s="302" t="str">
        <f t="shared" si="1"/>
        <v/>
      </c>
      <c r="C285" s="341" t="str">
        <f>IF(A285="","",'Historique détail'!B285/$W285)</f>
        <v/>
      </c>
      <c r="D285" s="341" t="str">
        <f>IF(B285="","",'Historique détail'!C285/$W285)</f>
        <v/>
      </c>
      <c r="E285" s="341" t="str">
        <f>IF(C285="","",'Historique détail'!D285/$W285)</f>
        <v/>
      </c>
      <c r="F285" s="341" t="str">
        <f>IF(D285="","",'Historique détail'!E285/$W285)</f>
        <v/>
      </c>
      <c r="G285" s="341" t="str">
        <f>IF(E285="","",'Historique détail'!F285/$W285)</f>
        <v/>
      </c>
      <c r="H285" s="341" t="str">
        <f>IF(F285="","",'Historique détail'!G285/$W285)</f>
        <v/>
      </c>
      <c r="I285" s="341" t="str">
        <f>IF(G285="","",'Historique détail'!H285/$W285)</f>
        <v/>
      </c>
      <c r="J285" s="341" t="str">
        <f>IF(H285="","",'Historique détail'!I285/$W285)</f>
        <v/>
      </c>
      <c r="K285" s="341" t="str">
        <f>IF(I285="","",'Historique détail'!J285/$W285)</f>
        <v/>
      </c>
      <c r="L285" s="341" t="str">
        <f>IF(J285="","",'Historique détail'!K285/$W285)</f>
        <v/>
      </c>
      <c r="M285" s="341" t="str">
        <f>IF(K285="","",'Historique détail'!L285/$W285)</f>
        <v/>
      </c>
      <c r="N285" s="341" t="str">
        <f>IF(L285="","",'Historique détail'!M285/$W285)</f>
        <v/>
      </c>
      <c r="O285" s="341" t="str">
        <f>IF(M285="","",'Historique détail'!N285/$W285)</f>
        <v/>
      </c>
      <c r="P285" s="341" t="str">
        <f>IF(N285="","",'Historique détail'!O285/$W285)</f>
        <v/>
      </c>
      <c r="Q285" s="341" t="str">
        <f>IF(O285="","",'Historique détail'!P285/$W285)</f>
        <v/>
      </c>
      <c r="R285" s="341" t="str">
        <f>IF(P285="","",'Historique détail'!Q285/$W285)</f>
        <v/>
      </c>
      <c r="S285" s="341" t="str">
        <f>IF(Q285="","",'Historique détail'!R285/$W285)</f>
        <v/>
      </c>
      <c r="T285" s="341" t="str">
        <f>IF(R285="","",'Historique détail'!S285/$W285)</f>
        <v/>
      </c>
      <c r="U285" s="340" t="str">
        <f t="shared" si="2"/>
        <v/>
      </c>
      <c r="V285" s="14" t="str">
        <f>IF(A285="","",ARBITRAGES!M286)</f>
        <v/>
      </c>
      <c r="W285" s="343" t="str">
        <f>IF(V285="","",'Historique détail'!U285)</f>
        <v/>
      </c>
      <c r="X285" s="288"/>
      <c r="Y285" s="220"/>
      <c r="Z285" s="220"/>
      <c r="AA285" s="220"/>
      <c r="AB285" s="220"/>
      <c r="AC285" s="220"/>
      <c r="AD285" s="220"/>
      <c r="AE285" s="220"/>
      <c r="AF285" s="220"/>
      <c r="AG285" s="220"/>
      <c r="AH285" s="220"/>
      <c r="AI285" s="308"/>
      <c r="AJ285" s="220"/>
      <c r="AK285" s="220"/>
      <c r="AL285" s="220"/>
      <c r="AM285" s="220"/>
      <c r="AN285" s="220"/>
      <c r="AO285" s="220"/>
      <c r="AP285" s="220"/>
      <c r="AQ285" s="220"/>
      <c r="AR285" s="220"/>
      <c r="AS285" s="220"/>
      <c r="AT285" s="220"/>
      <c r="AU285" s="220"/>
      <c r="AV285" s="220"/>
      <c r="AW285" s="220"/>
      <c r="AX285" s="220"/>
      <c r="AY285" s="220"/>
      <c r="AZ285" s="220"/>
      <c r="BA285" s="220"/>
      <c r="BB285" s="220"/>
    </row>
    <row r="286">
      <c r="A286" s="290" t="str">
        <f>PRIX!A287</f>
        <v/>
      </c>
      <c r="B286" s="302" t="str">
        <f t="shared" si="1"/>
        <v/>
      </c>
      <c r="C286" s="341" t="str">
        <f>IF(A286="","",'Historique détail'!B286/$W286)</f>
        <v/>
      </c>
      <c r="D286" s="341" t="str">
        <f>IF(B286="","",'Historique détail'!C286/$W286)</f>
        <v/>
      </c>
      <c r="E286" s="341" t="str">
        <f>IF(C286="","",'Historique détail'!D286/$W286)</f>
        <v/>
      </c>
      <c r="F286" s="341" t="str">
        <f>IF(D286="","",'Historique détail'!E286/$W286)</f>
        <v/>
      </c>
      <c r="G286" s="341" t="str">
        <f>IF(E286="","",'Historique détail'!F286/$W286)</f>
        <v/>
      </c>
      <c r="H286" s="341" t="str">
        <f>IF(F286="","",'Historique détail'!G286/$W286)</f>
        <v/>
      </c>
      <c r="I286" s="341" t="str">
        <f>IF(G286="","",'Historique détail'!H286/$W286)</f>
        <v/>
      </c>
      <c r="J286" s="341" t="str">
        <f>IF(H286="","",'Historique détail'!I286/$W286)</f>
        <v/>
      </c>
      <c r="K286" s="341" t="str">
        <f>IF(I286="","",'Historique détail'!J286/$W286)</f>
        <v/>
      </c>
      <c r="L286" s="341" t="str">
        <f>IF(J286="","",'Historique détail'!K286/$W286)</f>
        <v/>
      </c>
      <c r="M286" s="341" t="str">
        <f>IF(K286="","",'Historique détail'!L286/$W286)</f>
        <v/>
      </c>
      <c r="N286" s="341" t="str">
        <f>IF(L286="","",'Historique détail'!M286/$W286)</f>
        <v/>
      </c>
      <c r="O286" s="341" t="str">
        <f>IF(M286="","",'Historique détail'!N286/$W286)</f>
        <v/>
      </c>
      <c r="P286" s="341" t="str">
        <f>IF(N286="","",'Historique détail'!O286/$W286)</f>
        <v/>
      </c>
      <c r="Q286" s="341" t="str">
        <f>IF(O286="","",'Historique détail'!P286/$W286)</f>
        <v/>
      </c>
      <c r="R286" s="341" t="str">
        <f>IF(P286="","",'Historique détail'!Q286/$W286)</f>
        <v/>
      </c>
      <c r="S286" s="341" t="str">
        <f>IF(Q286="","",'Historique détail'!R286/$W286)</f>
        <v/>
      </c>
      <c r="T286" s="341" t="str">
        <f>IF(R286="","",'Historique détail'!S286/$W286)</f>
        <v/>
      </c>
      <c r="U286" s="340" t="str">
        <f t="shared" si="2"/>
        <v/>
      </c>
      <c r="V286" s="14" t="str">
        <f>IF(A286="","",ARBITRAGES!M287)</f>
        <v/>
      </c>
      <c r="W286" s="343" t="str">
        <f>IF(V286="","",'Historique détail'!U286)</f>
        <v/>
      </c>
      <c r="X286" s="288"/>
      <c r="Y286" s="220"/>
      <c r="Z286" s="220"/>
      <c r="AA286" s="220"/>
      <c r="AB286" s="220"/>
      <c r="AC286" s="220"/>
      <c r="AD286" s="220"/>
      <c r="AE286" s="220"/>
      <c r="AF286" s="220"/>
      <c r="AG286" s="220"/>
      <c r="AH286" s="220"/>
      <c r="AI286" s="308"/>
      <c r="AJ286" s="220"/>
      <c r="AK286" s="220"/>
      <c r="AL286" s="220"/>
      <c r="AM286" s="220"/>
      <c r="AN286" s="220"/>
      <c r="AO286" s="220"/>
      <c r="AP286" s="220"/>
      <c r="AQ286" s="220"/>
      <c r="AR286" s="220"/>
      <c r="AS286" s="220"/>
      <c r="AT286" s="220"/>
      <c r="AU286" s="220"/>
      <c r="AV286" s="220"/>
      <c r="AW286" s="220"/>
      <c r="AX286" s="220"/>
      <c r="AY286" s="220"/>
      <c r="AZ286" s="220"/>
      <c r="BA286" s="220"/>
      <c r="BB286" s="220"/>
    </row>
    <row r="287">
      <c r="A287" s="290" t="str">
        <f>PRIX!A288</f>
        <v/>
      </c>
      <c r="B287" s="302" t="str">
        <f t="shared" si="1"/>
        <v/>
      </c>
      <c r="C287" s="341" t="str">
        <f>IF(A287="","",'Historique détail'!B287/$W287)</f>
        <v/>
      </c>
      <c r="D287" s="341" t="str">
        <f>IF(B287="","",'Historique détail'!C287/$W287)</f>
        <v/>
      </c>
      <c r="E287" s="341" t="str">
        <f>IF(C287="","",'Historique détail'!D287/$W287)</f>
        <v/>
      </c>
      <c r="F287" s="341" t="str">
        <f>IF(D287="","",'Historique détail'!E287/$W287)</f>
        <v/>
      </c>
      <c r="G287" s="341" t="str">
        <f>IF(E287="","",'Historique détail'!F287/$W287)</f>
        <v/>
      </c>
      <c r="H287" s="341" t="str">
        <f>IF(F287="","",'Historique détail'!G287/$W287)</f>
        <v/>
      </c>
      <c r="I287" s="341" t="str">
        <f>IF(G287="","",'Historique détail'!H287/$W287)</f>
        <v/>
      </c>
      <c r="J287" s="341" t="str">
        <f>IF(H287="","",'Historique détail'!I287/$W287)</f>
        <v/>
      </c>
      <c r="K287" s="341" t="str">
        <f>IF(I287="","",'Historique détail'!J287/$W287)</f>
        <v/>
      </c>
      <c r="L287" s="341" t="str">
        <f>IF(J287="","",'Historique détail'!K287/$W287)</f>
        <v/>
      </c>
      <c r="M287" s="341" t="str">
        <f>IF(K287="","",'Historique détail'!L287/$W287)</f>
        <v/>
      </c>
      <c r="N287" s="341" t="str">
        <f>IF(L287="","",'Historique détail'!M287/$W287)</f>
        <v/>
      </c>
      <c r="O287" s="341" t="str">
        <f>IF(M287="","",'Historique détail'!N287/$W287)</f>
        <v/>
      </c>
      <c r="P287" s="341" t="str">
        <f>IF(N287="","",'Historique détail'!O287/$W287)</f>
        <v/>
      </c>
      <c r="Q287" s="341" t="str">
        <f>IF(O287="","",'Historique détail'!P287/$W287)</f>
        <v/>
      </c>
      <c r="R287" s="341" t="str">
        <f>IF(P287="","",'Historique détail'!Q287/$W287)</f>
        <v/>
      </c>
      <c r="S287" s="341" t="str">
        <f>IF(Q287="","",'Historique détail'!R287/$W287)</f>
        <v/>
      </c>
      <c r="T287" s="341" t="str">
        <f>IF(R287="","",'Historique détail'!S287/$W287)</f>
        <v/>
      </c>
      <c r="U287" s="340" t="str">
        <f t="shared" si="2"/>
        <v/>
      </c>
      <c r="V287" s="14" t="str">
        <f>IF(A287="","",ARBITRAGES!M288)</f>
        <v/>
      </c>
      <c r="W287" s="343" t="str">
        <f>IF(V287="","",'Historique détail'!U287)</f>
        <v/>
      </c>
      <c r="X287" s="288"/>
      <c r="Y287" s="220"/>
      <c r="Z287" s="220"/>
      <c r="AA287" s="220"/>
      <c r="AB287" s="220"/>
      <c r="AC287" s="220"/>
      <c r="AD287" s="220"/>
      <c r="AE287" s="220"/>
      <c r="AF287" s="220"/>
      <c r="AG287" s="220"/>
      <c r="AH287" s="220"/>
      <c r="AI287" s="308"/>
      <c r="AJ287" s="220"/>
      <c r="AK287" s="220"/>
      <c r="AL287" s="220"/>
      <c r="AM287" s="220"/>
      <c r="AN287" s="220"/>
      <c r="AO287" s="220"/>
      <c r="AP287" s="220"/>
      <c r="AQ287" s="220"/>
      <c r="AR287" s="220"/>
      <c r="AS287" s="220"/>
      <c r="AT287" s="220"/>
      <c r="AU287" s="220"/>
      <c r="AV287" s="220"/>
      <c r="AW287" s="220"/>
      <c r="AX287" s="220"/>
      <c r="AY287" s="220"/>
      <c r="AZ287" s="220"/>
      <c r="BA287" s="220"/>
      <c r="BB287" s="220"/>
    </row>
    <row r="288">
      <c r="A288" s="290" t="str">
        <f>PRIX!A289</f>
        <v/>
      </c>
      <c r="B288" s="302" t="str">
        <f t="shared" si="1"/>
        <v/>
      </c>
      <c r="C288" s="341" t="str">
        <f>IF(A288="","",'Historique détail'!B288/$W288)</f>
        <v/>
      </c>
      <c r="D288" s="341" t="str">
        <f>IF(B288="","",'Historique détail'!C288/$W288)</f>
        <v/>
      </c>
      <c r="E288" s="341" t="str">
        <f>IF(C288="","",'Historique détail'!D288/$W288)</f>
        <v/>
      </c>
      <c r="F288" s="341" t="str">
        <f>IF(D288="","",'Historique détail'!E288/$W288)</f>
        <v/>
      </c>
      <c r="G288" s="341" t="str">
        <f>IF(E288="","",'Historique détail'!F288/$W288)</f>
        <v/>
      </c>
      <c r="H288" s="341" t="str">
        <f>IF(F288="","",'Historique détail'!G288/$W288)</f>
        <v/>
      </c>
      <c r="I288" s="341" t="str">
        <f>IF(G288="","",'Historique détail'!H288/$W288)</f>
        <v/>
      </c>
      <c r="J288" s="341" t="str">
        <f>IF(H288="","",'Historique détail'!I288/$W288)</f>
        <v/>
      </c>
      <c r="K288" s="341" t="str">
        <f>IF(I288="","",'Historique détail'!J288/$W288)</f>
        <v/>
      </c>
      <c r="L288" s="341" t="str">
        <f>IF(J288="","",'Historique détail'!K288/$W288)</f>
        <v/>
      </c>
      <c r="M288" s="341" t="str">
        <f>IF(K288="","",'Historique détail'!L288/$W288)</f>
        <v/>
      </c>
      <c r="N288" s="341" t="str">
        <f>IF(L288="","",'Historique détail'!M288/$W288)</f>
        <v/>
      </c>
      <c r="O288" s="341" t="str">
        <f>IF(M288="","",'Historique détail'!N288/$W288)</f>
        <v/>
      </c>
      <c r="P288" s="341" t="str">
        <f>IF(N288="","",'Historique détail'!O288/$W288)</f>
        <v/>
      </c>
      <c r="Q288" s="341" t="str">
        <f>IF(O288="","",'Historique détail'!P288/$W288)</f>
        <v/>
      </c>
      <c r="R288" s="341" t="str">
        <f>IF(P288="","",'Historique détail'!Q288/$W288)</f>
        <v/>
      </c>
      <c r="S288" s="341" t="str">
        <f>IF(Q288="","",'Historique détail'!R288/$W288)</f>
        <v/>
      </c>
      <c r="T288" s="341" t="str">
        <f>IF(R288="","",'Historique détail'!S288/$W288)</f>
        <v/>
      </c>
      <c r="U288" s="340" t="str">
        <f t="shared" si="2"/>
        <v/>
      </c>
      <c r="V288" s="14" t="str">
        <f>IF(A288="","",ARBITRAGES!M289)</f>
        <v/>
      </c>
      <c r="W288" s="343" t="str">
        <f>IF(V288="","",'Historique détail'!U288)</f>
        <v/>
      </c>
      <c r="X288" s="288"/>
      <c r="Y288" s="220"/>
      <c r="Z288" s="220"/>
      <c r="AA288" s="220"/>
      <c r="AB288" s="220"/>
      <c r="AC288" s="220"/>
      <c r="AD288" s="220"/>
      <c r="AE288" s="220"/>
      <c r="AF288" s="220"/>
      <c r="AG288" s="220"/>
      <c r="AH288" s="220"/>
      <c r="AI288" s="308"/>
      <c r="AJ288" s="220"/>
      <c r="AK288" s="220"/>
      <c r="AL288" s="220"/>
      <c r="AM288" s="220"/>
      <c r="AN288" s="220"/>
      <c r="AO288" s="220"/>
      <c r="AP288" s="220"/>
      <c r="AQ288" s="220"/>
      <c r="AR288" s="220"/>
      <c r="AS288" s="220"/>
      <c r="AT288" s="220"/>
      <c r="AU288" s="220"/>
      <c r="AV288" s="220"/>
      <c r="AW288" s="220"/>
      <c r="AX288" s="220"/>
      <c r="AY288" s="220"/>
      <c r="AZ288" s="220"/>
      <c r="BA288" s="220"/>
      <c r="BB288" s="220"/>
    </row>
    <row r="289">
      <c r="A289" s="290" t="str">
        <f>PRIX!A290</f>
        <v/>
      </c>
      <c r="B289" s="302" t="str">
        <f t="shared" si="1"/>
        <v/>
      </c>
      <c r="C289" s="341" t="str">
        <f>IF(A289="","",'Historique détail'!B289/$W289)</f>
        <v/>
      </c>
      <c r="D289" s="341" t="str">
        <f>IF(B289="","",'Historique détail'!C289/$W289)</f>
        <v/>
      </c>
      <c r="E289" s="341" t="str">
        <f>IF(C289="","",'Historique détail'!D289/$W289)</f>
        <v/>
      </c>
      <c r="F289" s="341" t="str">
        <f>IF(D289="","",'Historique détail'!E289/$W289)</f>
        <v/>
      </c>
      <c r="G289" s="341" t="str">
        <f>IF(E289="","",'Historique détail'!F289/$W289)</f>
        <v/>
      </c>
      <c r="H289" s="341" t="str">
        <f>IF(F289="","",'Historique détail'!G289/$W289)</f>
        <v/>
      </c>
      <c r="I289" s="341" t="str">
        <f>IF(G289="","",'Historique détail'!H289/$W289)</f>
        <v/>
      </c>
      <c r="J289" s="341" t="str">
        <f>IF(H289="","",'Historique détail'!I289/$W289)</f>
        <v/>
      </c>
      <c r="K289" s="341" t="str">
        <f>IF(I289="","",'Historique détail'!J289/$W289)</f>
        <v/>
      </c>
      <c r="L289" s="341" t="str">
        <f>IF(J289="","",'Historique détail'!K289/$W289)</f>
        <v/>
      </c>
      <c r="M289" s="341" t="str">
        <f>IF(K289="","",'Historique détail'!L289/$W289)</f>
        <v/>
      </c>
      <c r="N289" s="341" t="str">
        <f>IF(L289="","",'Historique détail'!M289/$W289)</f>
        <v/>
      </c>
      <c r="O289" s="341" t="str">
        <f>IF(M289="","",'Historique détail'!N289/$W289)</f>
        <v/>
      </c>
      <c r="P289" s="341" t="str">
        <f>IF(N289="","",'Historique détail'!O289/$W289)</f>
        <v/>
      </c>
      <c r="Q289" s="341" t="str">
        <f>IF(O289="","",'Historique détail'!P289/$W289)</f>
        <v/>
      </c>
      <c r="R289" s="341" t="str">
        <f>IF(P289="","",'Historique détail'!Q289/$W289)</f>
        <v/>
      </c>
      <c r="S289" s="341" t="str">
        <f>IF(Q289="","",'Historique détail'!R289/$W289)</f>
        <v/>
      </c>
      <c r="T289" s="341" t="str">
        <f>IF(R289="","",'Historique détail'!S289/$W289)</f>
        <v/>
      </c>
      <c r="U289" s="340" t="str">
        <f t="shared" si="2"/>
        <v/>
      </c>
      <c r="V289" s="14" t="str">
        <f>IF(A289="","",ARBITRAGES!M290)</f>
        <v/>
      </c>
      <c r="W289" s="343" t="str">
        <f>IF(V289="","",'Historique détail'!U289)</f>
        <v/>
      </c>
      <c r="X289" s="288"/>
      <c r="Y289" s="220"/>
      <c r="Z289" s="220"/>
      <c r="AA289" s="220"/>
      <c r="AB289" s="220"/>
      <c r="AC289" s="220"/>
      <c r="AD289" s="220"/>
      <c r="AE289" s="220"/>
      <c r="AF289" s="220"/>
      <c r="AG289" s="220"/>
      <c r="AH289" s="220"/>
      <c r="AI289" s="308"/>
      <c r="AJ289" s="220"/>
      <c r="AK289" s="220"/>
      <c r="AL289" s="220"/>
      <c r="AM289" s="220"/>
      <c r="AN289" s="220"/>
      <c r="AO289" s="220"/>
      <c r="AP289" s="220"/>
      <c r="AQ289" s="220"/>
      <c r="AR289" s="220"/>
      <c r="AS289" s="220"/>
      <c r="AT289" s="220"/>
      <c r="AU289" s="220"/>
      <c r="AV289" s="220"/>
      <c r="AW289" s="220"/>
      <c r="AX289" s="220"/>
      <c r="AY289" s="220"/>
      <c r="AZ289" s="220"/>
      <c r="BA289" s="220"/>
      <c r="BB289" s="220"/>
    </row>
    <row r="290">
      <c r="A290" s="290" t="str">
        <f>PRIX!A291</f>
        <v/>
      </c>
      <c r="B290" s="302" t="str">
        <f t="shared" si="1"/>
        <v/>
      </c>
      <c r="C290" s="341" t="str">
        <f>IF(A290="","",'Historique détail'!B290/$W290)</f>
        <v/>
      </c>
      <c r="D290" s="341" t="str">
        <f>IF(B290="","",'Historique détail'!C290/$W290)</f>
        <v/>
      </c>
      <c r="E290" s="341" t="str">
        <f>IF(C290="","",'Historique détail'!D290/$W290)</f>
        <v/>
      </c>
      <c r="F290" s="341" t="str">
        <f>IF(D290="","",'Historique détail'!E290/$W290)</f>
        <v/>
      </c>
      <c r="G290" s="341" t="str">
        <f>IF(E290="","",'Historique détail'!F290/$W290)</f>
        <v/>
      </c>
      <c r="H290" s="341" t="str">
        <f>IF(F290="","",'Historique détail'!G290/$W290)</f>
        <v/>
      </c>
      <c r="I290" s="341" t="str">
        <f>IF(G290="","",'Historique détail'!H290/$W290)</f>
        <v/>
      </c>
      <c r="J290" s="341" t="str">
        <f>IF(H290="","",'Historique détail'!I290/$W290)</f>
        <v/>
      </c>
      <c r="K290" s="341" t="str">
        <f>IF(I290="","",'Historique détail'!J290/$W290)</f>
        <v/>
      </c>
      <c r="L290" s="341" t="str">
        <f>IF(J290="","",'Historique détail'!K290/$W290)</f>
        <v/>
      </c>
      <c r="M290" s="341" t="str">
        <f>IF(K290="","",'Historique détail'!L290/$W290)</f>
        <v/>
      </c>
      <c r="N290" s="341" t="str">
        <f>IF(L290="","",'Historique détail'!M290/$W290)</f>
        <v/>
      </c>
      <c r="O290" s="341" t="str">
        <f>IF(M290="","",'Historique détail'!N290/$W290)</f>
        <v/>
      </c>
      <c r="P290" s="341" t="str">
        <f>IF(N290="","",'Historique détail'!O290/$W290)</f>
        <v/>
      </c>
      <c r="Q290" s="341" t="str">
        <f>IF(O290="","",'Historique détail'!P290/$W290)</f>
        <v/>
      </c>
      <c r="R290" s="341" t="str">
        <f>IF(P290="","",'Historique détail'!Q290/$W290)</f>
        <v/>
      </c>
      <c r="S290" s="341" t="str">
        <f>IF(Q290="","",'Historique détail'!R290/$W290)</f>
        <v/>
      </c>
      <c r="T290" s="341" t="str">
        <f>IF(R290="","",'Historique détail'!S290/$W290)</f>
        <v/>
      </c>
      <c r="U290" s="340" t="str">
        <f t="shared" si="2"/>
        <v/>
      </c>
      <c r="V290" s="14" t="str">
        <f>IF(A290="","",ARBITRAGES!M291)</f>
        <v/>
      </c>
      <c r="W290" s="343" t="str">
        <f>IF(V290="","",'Historique détail'!U290)</f>
        <v/>
      </c>
      <c r="X290" s="288"/>
      <c r="Y290" s="220"/>
      <c r="Z290" s="220"/>
      <c r="AA290" s="220"/>
      <c r="AB290" s="220"/>
      <c r="AC290" s="220"/>
      <c r="AD290" s="220"/>
      <c r="AE290" s="220"/>
      <c r="AF290" s="220"/>
      <c r="AG290" s="220"/>
      <c r="AH290" s="220"/>
      <c r="AI290" s="308"/>
      <c r="AJ290" s="220"/>
      <c r="AK290" s="220"/>
      <c r="AL290" s="220"/>
      <c r="AM290" s="220"/>
      <c r="AN290" s="220"/>
      <c r="AO290" s="220"/>
      <c r="AP290" s="220"/>
      <c r="AQ290" s="220"/>
      <c r="AR290" s="220"/>
      <c r="AS290" s="220"/>
      <c r="AT290" s="220"/>
      <c r="AU290" s="220"/>
      <c r="AV290" s="220"/>
      <c r="AW290" s="220"/>
      <c r="AX290" s="220"/>
      <c r="AY290" s="220"/>
      <c r="AZ290" s="220"/>
      <c r="BA290" s="220"/>
      <c r="BB290" s="220"/>
    </row>
    <row r="291">
      <c r="A291" s="290" t="str">
        <f>PRIX!A292</f>
        <v/>
      </c>
      <c r="B291" s="302" t="str">
        <f t="shared" si="1"/>
        <v/>
      </c>
      <c r="C291" s="341" t="str">
        <f>IF(A291="","",'Historique détail'!B291/$W291)</f>
        <v/>
      </c>
      <c r="D291" s="341" t="str">
        <f>IF(B291="","",'Historique détail'!C291/$W291)</f>
        <v/>
      </c>
      <c r="E291" s="341" t="str">
        <f>IF(C291="","",'Historique détail'!D291/$W291)</f>
        <v/>
      </c>
      <c r="F291" s="341" t="str">
        <f>IF(D291="","",'Historique détail'!E291/$W291)</f>
        <v/>
      </c>
      <c r="G291" s="341" t="str">
        <f>IF(E291="","",'Historique détail'!F291/$W291)</f>
        <v/>
      </c>
      <c r="H291" s="341" t="str">
        <f>IF(F291="","",'Historique détail'!G291/$W291)</f>
        <v/>
      </c>
      <c r="I291" s="341" t="str">
        <f>IF(G291="","",'Historique détail'!H291/$W291)</f>
        <v/>
      </c>
      <c r="J291" s="341" t="str">
        <f>IF(H291="","",'Historique détail'!I291/$W291)</f>
        <v/>
      </c>
      <c r="K291" s="341" t="str">
        <f>IF(I291="","",'Historique détail'!J291/$W291)</f>
        <v/>
      </c>
      <c r="L291" s="341" t="str">
        <f>IF(J291="","",'Historique détail'!K291/$W291)</f>
        <v/>
      </c>
      <c r="M291" s="341" t="str">
        <f>IF(K291="","",'Historique détail'!L291/$W291)</f>
        <v/>
      </c>
      <c r="N291" s="341" t="str">
        <f>IF(L291="","",'Historique détail'!M291/$W291)</f>
        <v/>
      </c>
      <c r="O291" s="341" t="str">
        <f>IF(M291="","",'Historique détail'!N291/$W291)</f>
        <v/>
      </c>
      <c r="P291" s="341" t="str">
        <f>IF(N291="","",'Historique détail'!O291/$W291)</f>
        <v/>
      </c>
      <c r="Q291" s="341" t="str">
        <f>IF(O291="","",'Historique détail'!P291/$W291)</f>
        <v/>
      </c>
      <c r="R291" s="341" t="str">
        <f>IF(P291="","",'Historique détail'!Q291/$W291)</f>
        <v/>
      </c>
      <c r="S291" s="341" t="str">
        <f>IF(Q291="","",'Historique détail'!R291/$W291)</f>
        <v/>
      </c>
      <c r="T291" s="341" t="str">
        <f>IF(R291="","",'Historique détail'!S291/$W291)</f>
        <v/>
      </c>
      <c r="U291" s="340" t="str">
        <f t="shared" si="2"/>
        <v/>
      </c>
      <c r="V291" s="14" t="str">
        <f>IF(A291="","",ARBITRAGES!M292)</f>
        <v/>
      </c>
      <c r="W291" s="343" t="str">
        <f>IF(V291="","",'Historique détail'!U291)</f>
        <v/>
      </c>
      <c r="X291" s="288"/>
      <c r="Y291" s="220"/>
      <c r="Z291" s="220"/>
      <c r="AA291" s="220"/>
      <c r="AB291" s="220"/>
      <c r="AC291" s="220"/>
      <c r="AD291" s="220"/>
      <c r="AE291" s="220"/>
      <c r="AF291" s="220"/>
      <c r="AG291" s="220"/>
      <c r="AH291" s="220"/>
      <c r="AI291" s="308"/>
      <c r="AJ291" s="220"/>
      <c r="AK291" s="220"/>
      <c r="AL291" s="220"/>
      <c r="AM291" s="220"/>
      <c r="AN291" s="220"/>
      <c r="AO291" s="220"/>
      <c r="AP291" s="220"/>
      <c r="AQ291" s="220"/>
      <c r="AR291" s="220"/>
      <c r="AS291" s="220"/>
      <c r="AT291" s="220"/>
      <c r="AU291" s="220"/>
      <c r="AV291" s="220"/>
      <c r="AW291" s="220"/>
      <c r="AX291" s="220"/>
      <c r="AY291" s="220"/>
      <c r="AZ291" s="220"/>
      <c r="BA291" s="220"/>
      <c r="BB291" s="220"/>
    </row>
    <row r="292">
      <c r="A292" s="290" t="str">
        <f>PRIX!A293</f>
        <v/>
      </c>
      <c r="B292" s="302" t="str">
        <f t="shared" si="1"/>
        <v/>
      </c>
      <c r="C292" s="341" t="str">
        <f>IF(A292="","",'Historique détail'!B292/$W292)</f>
        <v/>
      </c>
      <c r="D292" s="341" t="str">
        <f>IF(B292="","",'Historique détail'!C292/$W292)</f>
        <v/>
      </c>
      <c r="E292" s="341" t="str">
        <f>IF(C292="","",'Historique détail'!D292/$W292)</f>
        <v/>
      </c>
      <c r="F292" s="341" t="str">
        <f>IF(D292="","",'Historique détail'!E292/$W292)</f>
        <v/>
      </c>
      <c r="G292" s="341" t="str">
        <f>IF(E292="","",'Historique détail'!F292/$W292)</f>
        <v/>
      </c>
      <c r="H292" s="341" t="str">
        <f>IF(F292="","",'Historique détail'!G292/$W292)</f>
        <v/>
      </c>
      <c r="I292" s="341" t="str">
        <f>IF(G292="","",'Historique détail'!H292/$W292)</f>
        <v/>
      </c>
      <c r="J292" s="341" t="str">
        <f>IF(H292="","",'Historique détail'!I292/$W292)</f>
        <v/>
      </c>
      <c r="K292" s="341" t="str">
        <f>IF(I292="","",'Historique détail'!J292/$W292)</f>
        <v/>
      </c>
      <c r="L292" s="341" t="str">
        <f>IF(J292="","",'Historique détail'!K292/$W292)</f>
        <v/>
      </c>
      <c r="M292" s="341" t="str">
        <f>IF(K292="","",'Historique détail'!L292/$W292)</f>
        <v/>
      </c>
      <c r="N292" s="341" t="str">
        <f>IF(L292="","",'Historique détail'!M292/$W292)</f>
        <v/>
      </c>
      <c r="O292" s="341" t="str">
        <f>IF(M292="","",'Historique détail'!N292/$W292)</f>
        <v/>
      </c>
      <c r="P292" s="341" t="str">
        <f>IF(N292="","",'Historique détail'!O292/$W292)</f>
        <v/>
      </c>
      <c r="Q292" s="341" t="str">
        <f>IF(O292="","",'Historique détail'!P292/$W292)</f>
        <v/>
      </c>
      <c r="R292" s="341" t="str">
        <f>IF(P292="","",'Historique détail'!Q292/$W292)</f>
        <v/>
      </c>
      <c r="S292" s="341" t="str">
        <f>IF(Q292="","",'Historique détail'!R292/$W292)</f>
        <v/>
      </c>
      <c r="T292" s="341" t="str">
        <f>IF(R292="","",'Historique détail'!S292/$W292)</f>
        <v/>
      </c>
      <c r="U292" s="340" t="str">
        <f t="shared" si="2"/>
        <v/>
      </c>
      <c r="V292" s="14" t="str">
        <f>IF(A292="","",ARBITRAGES!M293)</f>
        <v/>
      </c>
      <c r="W292" s="343" t="str">
        <f>IF(V292="","",'Historique détail'!U292)</f>
        <v/>
      </c>
      <c r="X292" s="288"/>
      <c r="Y292" s="220"/>
      <c r="Z292" s="220"/>
      <c r="AA292" s="220"/>
      <c r="AB292" s="220"/>
      <c r="AC292" s="220"/>
      <c r="AD292" s="220"/>
      <c r="AE292" s="220"/>
      <c r="AF292" s="220"/>
      <c r="AG292" s="220"/>
      <c r="AH292" s="220"/>
      <c r="AI292" s="308"/>
      <c r="AJ292" s="220"/>
      <c r="AK292" s="220"/>
      <c r="AL292" s="220"/>
      <c r="AM292" s="220"/>
      <c r="AN292" s="220"/>
      <c r="AO292" s="220"/>
      <c r="AP292" s="220"/>
      <c r="AQ292" s="220"/>
      <c r="AR292" s="220"/>
      <c r="AS292" s="220"/>
      <c r="AT292" s="220"/>
      <c r="AU292" s="220"/>
      <c r="AV292" s="220"/>
      <c r="AW292" s="220"/>
      <c r="AX292" s="220"/>
      <c r="AY292" s="220"/>
      <c r="AZ292" s="220"/>
      <c r="BA292" s="220"/>
      <c r="BB292" s="220"/>
    </row>
    <row r="293">
      <c r="A293" s="290" t="str">
        <f>PRIX!A294</f>
        <v/>
      </c>
      <c r="B293" s="302" t="str">
        <f t="shared" si="1"/>
        <v/>
      </c>
      <c r="C293" s="341" t="str">
        <f>IF(A293="","",'Historique détail'!B293/$W293)</f>
        <v/>
      </c>
      <c r="D293" s="341" t="str">
        <f>IF(B293="","",'Historique détail'!C293/$W293)</f>
        <v/>
      </c>
      <c r="E293" s="341" t="str">
        <f>IF(C293="","",'Historique détail'!D293/$W293)</f>
        <v/>
      </c>
      <c r="F293" s="341" t="str">
        <f>IF(D293="","",'Historique détail'!E293/$W293)</f>
        <v/>
      </c>
      <c r="G293" s="341" t="str">
        <f>IF(E293="","",'Historique détail'!F293/$W293)</f>
        <v/>
      </c>
      <c r="H293" s="341" t="str">
        <f>IF(F293="","",'Historique détail'!G293/$W293)</f>
        <v/>
      </c>
      <c r="I293" s="341" t="str">
        <f>IF(G293="","",'Historique détail'!H293/$W293)</f>
        <v/>
      </c>
      <c r="J293" s="341" t="str">
        <f>IF(H293="","",'Historique détail'!I293/$W293)</f>
        <v/>
      </c>
      <c r="K293" s="341" t="str">
        <f>IF(I293="","",'Historique détail'!J293/$W293)</f>
        <v/>
      </c>
      <c r="L293" s="341" t="str">
        <f>IF(J293="","",'Historique détail'!K293/$W293)</f>
        <v/>
      </c>
      <c r="M293" s="341" t="str">
        <f>IF(K293="","",'Historique détail'!L293/$W293)</f>
        <v/>
      </c>
      <c r="N293" s="341" t="str">
        <f>IF(L293="","",'Historique détail'!M293/$W293)</f>
        <v/>
      </c>
      <c r="O293" s="341" t="str">
        <f>IF(M293="","",'Historique détail'!N293/$W293)</f>
        <v/>
      </c>
      <c r="P293" s="341" t="str">
        <f>IF(N293="","",'Historique détail'!O293/$W293)</f>
        <v/>
      </c>
      <c r="Q293" s="341" t="str">
        <f>IF(O293="","",'Historique détail'!P293/$W293)</f>
        <v/>
      </c>
      <c r="R293" s="341" t="str">
        <f>IF(P293="","",'Historique détail'!Q293/$W293)</f>
        <v/>
      </c>
      <c r="S293" s="341" t="str">
        <f>IF(Q293="","",'Historique détail'!R293/$W293)</f>
        <v/>
      </c>
      <c r="T293" s="341" t="str">
        <f>IF(R293="","",'Historique détail'!S293/$W293)</f>
        <v/>
      </c>
      <c r="U293" s="340" t="str">
        <f t="shared" si="2"/>
        <v/>
      </c>
      <c r="V293" s="14" t="str">
        <f>IF(A293="","",ARBITRAGES!M294)</f>
        <v/>
      </c>
      <c r="W293" s="343" t="str">
        <f>IF(V293="","",'Historique détail'!U293)</f>
        <v/>
      </c>
      <c r="X293" s="288"/>
      <c r="Y293" s="220"/>
      <c r="Z293" s="220"/>
      <c r="AA293" s="220"/>
      <c r="AB293" s="220"/>
      <c r="AC293" s="220"/>
      <c r="AD293" s="220"/>
      <c r="AE293" s="220"/>
      <c r="AF293" s="220"/>
      <c r="AG293" s="220"/>
      <c r="AH293" s="220"/>
      <c r="AI293" s="308"/>
      <c r="AJ293" s="220"/>
      <c r="AK293" s="220"/>
      <c r="AL293" s="220"/>
      <c r="AM293" s="220"/>
      <c r="AN293" s="220"/>
      <c r="AO293" s="220"/>
      <c r="AP293" s="220"/>
      <c r="AQ293" s="220"/>
      <c r="AR293" s="220"/>
      <c r="AS293" s="220"/>
      <c r="AT293" s="220"/>
      <c r="AU293" s="220"/>
      <c r="AV293" s="220"/>
      <c r="AW293" s="220"/>
      <c r="AX293" s="220"/>
      <c r="AY293" s="220"/>
      <c r="AZ293" s="220"/>
      <c r="BA293" s="220"/>
      <c r="BB293" s="220"/>
    </row>
    <row r="294">
      <c r="A294" s="290" t="str">
        <f>PRIX!A295</f>
        <v/>
      </c>
      <c r="B294" s="302" t="str">
        <f t="shared" si="1"/>
        <v/>
      </c>
      <c r="C294" s="341" t="str">
        <f>IF(A294="","",'Historique détail'!B294/$W294)</f>
        <v/>
      </c>
      <c r="D294" s="341" t="str">
        <f>IF(B294="","",'Historique détail'!C294/$W294)</f>
        <v/>
      </c>
      <c r="E294" s="341" t="str">
        <f>IF(C294="","",'Historique détail'!D294/$W294)</f>
        <v/>
      </c>
      <c r="F294" s="341" t="str">
        <f>IF(D294="","",'Historique détail'!E294/$W294)</f>
        <v/>
      </c>
      <c r="G294" s="341" t="str">
        <f>IF(E294="","",'Historique détail'!F294/$W294)</f>
        <v/>
      </c>
      <c r="H294" s="341" t="str">
        <f>IF(F294="","",'Historique détail'!G294/$W294)</f>
        <v/>
      </c>
      <c r="I294" s="341" t="str">
        <f>IF(G294="","",'Historique détail'!H294/$W294)</f>
        <v/>
      </c>
      <c r="J294" s="341" t="str">
        <f>IF(H294="","",'Historique détail'!I294/$W294)</f>
        <v/>
      </c>
      <c r="K294" s="341" t="str">
        <f>IF(I294="","",'Historique détail'!J294/$W294)</f>
        <v/>
      </c>
      <c r="L294" s="341" t="str">
        <f>IF(J294="","",'Historique détail'!K294/$W294)</f>
        <v/>
      </c>
      <c r="M294" s="341" t="str">
        <f>IF(K294="","",'Historique détail'!L294/$W294)</f>
        <v/>
      </c>
      <c r="N294" s="341" t="str">
        <f>IF(L294="","",'Historique détail'!M294/$W294)</f>
        <v/>
      </c>
      <c r="O294" s="341" t="str">
        <f>IF(M294="","",'Historique détail'!N294/$W294)</f>
        <v/>
      </c>
      <c r="P294" s="341" t="str">
        <f>IF(N294="","",'Historique détail'!O294/$W294)</f>
        <v/>
      </c>
      <c r="Q294" s="341" t="str">
        <f>IF(O294="","",'Historique détail'!P294/$W294)</f>
        <v/>
      </c>
      <c r="R294" s="341" t="str">
        <f>IF(P294="","",'Historique détail'!Q294/$W294)</f>
        <v/>
      </c>
      <c r="S294" s="341" t="str">
        <f>IF(Q294="","",'Historique détail'!R294/$W294)</f>
        <v/>
      </c>
      <c r="T294" s="341" t="str">
        <f>IF(R294="","",'Historique détail'!S294/$W294)</f>
        <v/>
      </c>
      <c r="U294" s="340" t="str">
        <f t="shared" si="2"/>
        <v/>
      </c>
      <c r="V294" s="14" t="str">
        <f>IF(A294="","",ARBITRAGES!M295)</f>
        <v/>
      </c>
      <c r="W294" s="343" t="str">
        <f>IF(V294="","",'Historique détail'!U294)</f>
        <v/>
      </c>
      <c r="X294" s="288"/>
      <c r="Y294" s="220"/>
      <c r="Z294" s="220"/>
      <c r="AA294" s="220"/>
      <c r="AB294" s="220"/>
      <c r="AC294" s="220"/>
      <c r="AD294" s="220"/>
      <c r="AE294" s="220"/>
      <c r="AF294" s="220"/>
      <c r="AG294" s="220"/>
      <c r="AH294" s="220"/>
      <c r="AI294" s="308"/>
      <c r="AJ294" s="220"/>
      <c r="AK294" s="220"/>
      <c r="AL294" s="220"/>
      <c r="AM294" s="220"/>
      <c r="AN294" s="220"/>
      <c r="AO294" s="220"/>
      <c r="AP294" s="220"/>
      <c r="AQ294" s="220"/>
      <c r="AR294" s="220"/>
      <c r="AS294" s="220"/>
      <c r="AT294" s="220"/>
      <c r="AU294" s="220"/>
      <c r="AV294" s="220"/>
      <c r="AW294" s="220"/>
      <c r="AX294" s="220"/>
      <c r="AY294" s="220"/>
      <c r="AZ294" s="220"/>
      <c r="BA294" s="220"/>
      <c r="BB294" s="220"/>
    </row>
    <row r="295">
      <c r="A295" s="290" t="str">
        <f>PRIX!A296</f>
        <v/>
      </c>
      <c r="B295" s="302" t="str">
        <f t="shared" si="1"/>
        <v/>
      </c>
      <c r="C295" s="341" t="str">
        <f>IF(A295="","",'Historique détail'!B295/$W295)</f>
        <v/>
      </c>
      <c r="D295" s="341" t="str">
        <f>IF(B295="","",'Historique détail'!C295/$W295)</f>
        <v/>
      </c>
      <c r="E295" s="341" t="str">
        <f>IF(C295="","",'Historique détail'!D295/$W295)</f>
        <v/>
      </c>
      <c r="F295" s="341" t="str">
        <f>IF(D295="","",'Historique détail'!E295/$W295)</f>
        <v/>
      </c>
      <c r="G295" s="341" t="str">
        <f>IF(E295="","",'Historique détail'!F295/$W295)</f>
        <v/>
      </c>
      <c r="H295" s="341" t="str">
        <f>IF(F295="","",'Historique détail'!G295/$W295)</f>
        <v/>
      </c>
      <c r="I295" s="341" t="str">
        <f>IF(G295="","",'Historique détail'!H295/$W295)</f>
        <v/>
      </c>
      <c r="J295" s="341" t="str">
        <f>IF(H295="","",'Historique détail'!I295/$W295)</f>
        <v/>
      </c>
      <c r="K295" s="341" t="str">
        <f>IF(I295="","",'Historique détail'!J295/$W295)</f>
        <v/>
      </c>
      <c r="L295" s="341" t="str">
        <f>IF(J295="","",'Historique détail'!K295/$W295)</f>
        <v/>
      </c>
      <c r="M295" s="341" t="str">
        <f>IF(K295="","",'Historique détail'!L295/$W295)</f>
        <v/>
      </c>
      <c r="N295" s="341" t="str">
        <f>IF(L295="","",'Historique détail'!M295/$W295)</f>
        <v/>
      </c>
      <c r="O295" s="341" t="str">
        <f>IF(M295="","",'Historique détail'!N295/$W295)</f>
        <v/>
      </c>
      <c r="P295" s="341" t="str">
        <f>IF(N295="","",'Historique détail'!O295/$W295)</f>
        <v/>
      </c>
      <c r="Q295" s="341" t="str">
        <f>IF(O295="","",'Historique détail'!P295/$W295)</f>
        <v/>
      </c>
      <c r="R295" s="341" t="str">
        <f>IF(P295="","",'Historique détail'!Q295/$W295)</f>
        <v/>
      </c>
      <c r="S295" s="341" t="str">
        <f>IF(Q295="","",'Historique détail'!R295/$W295)</f>
        <v/>
      </c>
      <c r="T295" s="341" t="str">
        <f>IF(R295="","",'Historique détail'!S295/$W295)</f>
        <v/>
      </c>
      <c r="U295" s="340" t="str">
        <f t="shared" si="2"/>
        <v/>
      </c>
      <c r="V295" s="14" t="str">
        <f>IF(A295="","",ARBITRAGES!M296)</f>
        <v/>
      </c>
      <c r="W295" s="343" t="str">
        <f>IF(V295="","",'Historique détail'!U295)</f>
        <v/>
      </c>
      <c r="X295" s="288"/>
      <c r="Y295" s="220"/>
      <c r="Z295" s="220"/>
      <c r="AA295" s="220"/>
      <c r="AB295" s="220"/>
      <c r="AC295" s="220"/>
      <c r="AD295" s="220"/>
      <c r="AE295" s="220"/>
      <c r="AF295" s="220"/>
      <c r="AG295" s="220"/>
      <c r="AH295" s="220"/>
      <c r="AI295" s="308"/>
      <c r="AJ295" s="220"/>
      <c r="AK295" s="220"/>
      <c r="AL295" s="220"/>
      <c r="AM295" s="220"/>
      <c r="AN295" s="220"/>
      <c r="AO295" s="220"/>
      <c r="AP295" s="220"/>
      <c r="AQ295" s="220"/>
      <c r="AR295" s="220"/>
      <c r="AS295" s="220"/>
      <c r="AT295" s="220"/>
      <c r="AU295" s="220"/>
      <c r="AV295" s="220"/>
      <c r="AW295" s="220"/>
      <c r="AX295" s="220"/>
      <c r="AY295" s="220"/>
      <c r="AZ295" s="220"/>
      <c r="BA295" s="220"/>
      <c r="BB295" s="220"/>
    </row>
    <row r="296">
      <c r="A296" s="290" t="str">
        <f>PRIX!A297</f>
        <v/>
      </c>
      <c r="B296" s="302" t="str">
        <f t="shared" si="1"/>
        <v/>
      </c>
      <c r="C296" s="341" t="str">
        <f>IF(A296="","",'Historique détail'!B296/$W296)</f>
        <v/>
      </c>
      <c r="D296" s="341" t="str">
        <f>IF(B296="","",'Historique détail'!C296/$W296)</f>
        <v/>
      </c>
      <c r="E296" s="341" t="str">
        <f>IF(C296="","",'Historique détail'!D296/$W296)</f>
        <v/>
      </c>
      <c r="F296" s="341" t="str">
        <f>IF(D296="","",'Historique détail'!E296/$W296)</f>
        <v/>
      </c>
      <c r="G296" s="341" t="str">
        <f>IF(E296="","",'Historique détail'!F296/$W296)</f>
        <v/>
      </c>
      <c r="H296" s="341" t="str">
        <f>IF(F296="","",'Historique détail'!G296/$W296)</f>
        <v/>
      </c>
      <c r="I296" s="341" t="str">
        <f>IF(G296="","",'Historique détail'!H296/$W296)</f>
        <v/>
      </c>
      <c r="J296" s="341" t="str">
        <f>IF(H296="","",'Historique détail'!I296/$W296)</f>
        <v/>
      </c>
      <c r="K296" s="341" t="str">
        <f>IF(I296="","",'Historique détail'!J296/$W296)</f>
        <v/>
      </c>
      <c r="L296" s="341" t="str">
        <f>IF(J296="","",'Historique détail'!K296/$W296)</f>
        <v/>
      </c>
      <c r="M296" s="341" t="str">
        <f>IF(K296="","",'Historique détail'!L296/$W296)</f>
        <v/>
      </c>
      <c r="N296" s="341" t="str">
        <f>IF(L296="","",'Historique détail'!M296/$W296)</f>
        <v/>
      </c>
      <c r="O296" s="341" t="str">
        <f>IF(M296="","",'Historique détail'!N296/$W296)</f>
        <v/>
      </c>
      <c r="P296" s="341" t="str">
        <f>IF(N296="","",'Historique détail'!O296/$W296)</f>
        <v/>
      </c>
      <c r="Q296" s="341" t="str">
        <f>IF(O296="","",'Historique détail'!P296/$W296)</f>
        <v/>
      </c>
      <c r="R296" s="341" t="str">
        <f>IF(P296="","",'Historique détail'!Q296/$W296)</f>
        <v/>
      </c>
      <c r="S296" s="341" t="str">
        <f>IF(Q296="","",'Historique détail'!R296/$W296)</f>
        <v/>
      </c>
      <c r="T296" s="341" t="str">
        <f>IF(R296="","",'Historique détail'!S296/$W296)</f>
        <v/>
      </c>
      <c r="U296" s="340" t="str">
        <f t="shared" si="2"/>
        <v/>
      </c>
      <c r="V296" s="14" t="str">
        <f>IF(A296="","",ARBITRAGES!M297)</f>
        <v/>
      </c>
      <c r="W296" s="343" t="str">
        <f>IF(V296="","",'Historique détail'!U296)</f>
        <v/>
      </c>
      <c r="X296" s="288"/>
      <c r="Y296" s="220"/>
      <c r="Z296" s="220"/>
      <c r="AA296" s="220"/>
      <c r="AB296" s="220"/>
      <c r="AC296" s="220"/>
      <c r="AD296" s="220"/>
      <c r="AE296" s="220"/>
      <c r="AF296" s="220"/>
      <c r="AG296" s="220"/>
      <c r="AH296" s="220"/>
      <c r="AI296" s="308"/>
      <c r="AJ296" s="220"/>
      <c r="AK296" s="220"/>
      <c r="AL296" s="220"/>
      <c r="AM296" s="220"/>
      <c r="AN296" s="220"/>
      <c r="AO296" s="220"/>
      <c r="AP296" s="220"/>
      <c r="AQ296" s="220"/>
      <c r="AR296" s="220"/>
      <c r="AS296" s="220"/>
      <c r="AT296" s="220"/>
      <c r="AU296" s="220"/>
      <c r="AV296" s="220"/>
      <c r="AW296" s="220"/>
      <c r="AX296" s="220"/>
      <c r="AY296" s="220"/>
      <c r="AZ296" s="220"/>
      <c r="BA296" s="220"/>
      <c r="BB296" s="220"/>
    </row>
    <row r="297">
      <c r="A297" s="290" t="str">
        <f>PRIX!A298</f>
        <v/>
      </c>
      <c r="B297" s="302" t="str">
        <f t="shared" si="1"/>
        <v/>
      </c>
      <c r="C297" s="341" t="str">
        <f>IF(A297="","",'Historique détail'!B297/$W297)</f>
        <v/>
      </c>
      <c r="D297" s="341" t="str">
        <f>IF(B297="","",'Historique détail'!C297/$W297)</f>
        <v/>
      </c>
      <c r="E297" s="341" t="str">
        <f>IF(C297="","",'Historique détail'!D297/$W297)</f>
        <v/>
      </c>
      <c r="F297" s="341" t="str">
        <f>IF(D297="","",'Historique détail'!E297/$W297)</f>
        <v/>
      </c>
      <c r="G297" s="341" t="str">
        <f>IF(E297="","",'Historique détail'!F297/$W297)</f>
        <v/>
      </c>
      <c r="H297" s="341" t="str">
        <f>IF(F297="","",'Historique détail'!G297/$W297)</f>
        <v/>
      </c>
      <c r="I297" s="341" t="str">
        <f>IF(G297="","",'Historique détail'!H297/$W297)</f>
        <v/>
      </c>
      <c r="J297" s="341" t="str">
        <f>IF(H297="","",'Historique détail'!I297/$W297)</f>
        <v/>
      </c>
      <c r="K297" s="341" t="str">
        <f>IF(I297="","",'Historique détail'!J297/$W297)</f>
        <v/>
      </c>
      <c r="L297" s="341" t="str">
        <f>IF(J297="","",'Historique détail'!K297/$W297)</f>
        <v/>
      </c>
      <c r="M297" s="341" t="str">
        <f>IF(K297="","",'Historique détail'!L297/$W297)</f>
        <v/>
      </c>
      <c r="N297" s="341" t="str">
        <f>IF(L297="","",'Historique détail'!M297/$W297)</f>
        <v/>
      </c>
      <c r="O297" s="341" t="str">
        <f>IF(M297="","",'Historique détail'!N297/$W297)</f>
        <v/>
      </c>
      <c r="P297" s="341" t="str">
        <f>IF(N297="","",'Historique détail'!O297/$W297)</f>
        <v/>
      </c>
      <c r="Q297" s="341" t="str">
        <f>IF(O297="","",'Historique détail'!P297/$W297)</f>
        <v/>
      </c>
      <c r="R297" s="341" t="str">
        <f>IF(P297="","",'Historique détail'!Q297/$W297)</f>
        <v/>
      </c>
      <c r="S297" s="341" t="str">
        <f>IF(Q297="","",'Historique détail'!R297/$W297)</f>
        <v/>
      </c>
      <c r="T297" s="341" t="str">
        <f>IF(R297="","",'Historique détail'!S297/$W297)</f>
        <v/>
      </c>
      <c r="U297" s="340" t="str">
        <f t="shared" si="2"/>
        <v/>
      </c>
      <c r="V297" s="14" t="str">
        <f>IF(A297="","",ARBITRAGES!M298)</f>
        <v/>
      </c>
      <c r="W297" s="343" t="str">
        <f>IF(V297="","",'Historique détail'!U297)</f>
        <v/>
      </c>
      <c r="X297" s="288"/>
      <c r="Y297" s="220"/>
      <c r="Z297" s="220"/>
      <c r="AA297" s="220"/>
      <c r="AB297" s="220"/>
      <c r="AC297" s="220"/>
      <c r="AD297" s="220"/>
      <c r="AE297" s="220"/>
      <c r="AF297" s="220"/>
      <c r="AG297" s="220"/>
      <c r="AH297" s="220"/>
      <c r="AI297" s="308"/>
      <c r="AJ297" s="220"/>
      <c r="AK297" s="220"/>
      <c r="AL297" s="220"/>
      <c r="AM297" s="220"/>
      <c r="AN297" s="220"/>
      <c r="AO297" s="220"/>
      <c r="AP297" s="220"/>
      <c r="AQ297" s="220"/>
      <c r="AR297" s="220"/>
      <c r="AS297" s="220"/>
      <c r="AT297" s="220"/>
      <c r="AU297" s="220"/>
      <c r="AV297" s="220"/>
      <c r="AW297" s="220"/>
      <c r="AX297" s="220"/>
      <c r="AY297" s="220"/>
      <c r="AZ297" s="220"/>
      <c r="BA297" s="220"/>
      <c r="BB297" s="220"/>
    </row>
    <row r="298">
      <c r="A298" s="290" t="str">
        <f>PRIX!A299</f>
        <v/>
      </c>
      <c r="B298" s="302" t="str">
        <f t="shared" si="1"/>
        <v/>
      </c>
      <c r="C298" s="341" t="str">
        <f>IF(A298="","",'Historique détail'!B298/$W298)</f>
        <v/>
      </c>
      <c r="D298" s="341" t="str">
        <f>IF(B298="","",'Historique détail'!C298/$W298)</f>
        <v/>
      </c>
      <c r="E298" s="341" t="str">
        <f>IF(C298="","",'Historique détail'!D298/$W298)</f>
        <v/>
      </c>
      <c r="F298" s="341" t="str">
        <f>IF(D298="","",'Historique détail'!E298/$W298)</f>
        <v/>
      </c>
      <c r="G298" s="341" t="str">
        <f>IF(E298="","",'Historique détail'!F298/$W298)</f>
        <v/>
      </c>
      <c r="H298" s="341" t="str">
        <f>IF(F298="","",'Historique détail'!G298/$W298)</f>
        <v/>
      </c>
      <c r="I298" s="341" t="str">
        <f>IF(G298="","",'Historique détail'!H298/$W298)</f>
        <v/>
      </c>
      <c r="J298" s="341" t="str">
        <f>IF(H298="","",'Historique détail'!I298/$W298)</f>
        <v/>
      </c>
      <c r="K298" s="341" t="str">
        <f>IF(I298="","",'Historique détail'!J298/$W298)</f>
        <v/>
      </c>
      <c r="L298" s="341" t="str">
        <f>IF(J298="","",'Historique détail'!K298/$W298)</f>
        <v/>
      </c>
      <c r="M298" s="341" t="str">
        <f>IF(K298="","",'Historique détail'!L298/$W298)</f>
        <v/>
      </c>
      <c r="N298" s="341" t="str">
        <f>IF(L298="","",'Historique détail'!M298/$W298)</f>
        <v/>
      </c>
      <c r="O298" s="341" t="str">
        <f>IF(M298="","",'Historique détail'!N298/$W298)</f>
        <v/>
      </c>
      <c r="P298" s="341" t="str">
        <f>IF(N298="","",'Historique détail'!O298/$W298)</f>
        <v/>
      </c>
      <c r="Q298" s="341" t="str">
        <f>IF(O298="","",'Historique détail'!P298/$W298)</f>
        <v/>
      </c>
      <c r="R298" s="341" t="str">
        <f>IF(P298="","",'Historique détail'!Q298/$W298)</f>
        <v/>
      </c>
      <c r="S298" s="341" t="str">
        <f>IF(Q298="","",'Historique détail'!R298/$W298)</f>
        <v/>
      </c>
      <c r="T298" s="341" t="str">
        <f>IF(R298="","",'Historique détail'!S298/$W298)</f>
        <v/>
      </c>
      <c r="U298" s="340" t="str">
        <f t="shared" si="2"/>
        <v/>
      </c>
      <c r="V298" s="14" t="str">
        <f>IF(A298="","",ARBITRAGES!M299)</f>
        <v/>
      </c>
      <c r="W298" s="343" t="str">
        <f>IF(V298="","",'Historique détail'!U298)</f>
        <v/>
      </c>
      <c r="X298" s="288"/>
      <c r="Y298" s="220"/>
      <c r="Z298" s="220"/>
      <c r="AA298" s="220"/>
      <c r="AB298" s="220"/>
      <c r="AC298" s="220"/>
      <c r="AD298" s="220"/>
      <c r="AE298" s="220"/>
      <c r="AF298" s="220"/>
      <c r="AG298" s="220"/>
      <c r="AH298" s="220"/>
      <c r="AI298" s="308"/>
      <c r="AJ298" s="220"/>
      <c r="AK298" s="220"/>
      <c r="AL298" s="220"/>
      <c r="AM298" s="220"/>
      <c r="AN298" s="220"/>
      <c r="AO298" s="220"/>
      <c r="AP298" s="220"/>
      <c r="AQ298" s="220"/>
      <c r="AR298" s="220"/>
      <c r="AS298" s="220"/>
      <c r="AT298" s="220"/>
      <c r="AU298" s="220"/>
      <c r="AV298" s="220"/>
      <c r="AW298" s="220"/>
      <c r="AX298" s="220"/>
      <c r="AY298" s="220"/>
      <c r="AZ298" s="220"/>
      <c r="BA298" s="220"/>
      <c r="BB298" s="220"/>
    </row>
    <row r="299">
      <c r="A299" s="290" t="str">
        <f>PRIX!A300</f>
        <v/>
      </c>
      <c r="B299" s="302" t="str">
        <f t="shared" si="1"/>
        <v/>
      </c>
      <c r="C299" s="341" t="str">
        <f>IF(A299="","",'Historique détail'!B299/$W299)</f>
        <v/>
      </c>
      <c r="D299" s="341" t="str">
        <f>IF(B299="","",'Historique détail'!C299/$W299)</f>
        <v/>
      </c>
      <c r="E299" s="341" t="str">
        <f>IF(C299="","",'Historique détail'!D299/$W299)</f>
        <v/>
      </c>
      <c r="F299" s="341" t="str">
        <f>IF(D299="","",'Historique détail'!E299/$W299)</f>
        <v/>
      </c>
      <c r="G299" s="341" t="str">
        <f>IF(E299="","",'Historique détail'!F299/$W299)</f>
        <v/>
      </c>
      <c r="H299" s="341" t="str">
        <f>IF(F299="","",'Historique détail'!G299/$W299)</f>
        <v/>
      </c>
      <c r="I299" s="341" t="str">
        <f>IF(G299="","",'Historique détail'!H299/$W299)</f>
        <v/>
      </c>
      <c r="J299" s="341" t="str">
        <f>IF(H299="","",'Historique détail'!I299/$W299)</f>
        <v/>
      </c>
      <c r="K299" s="341" t="str">
        <f>IF(I299="","",'Historique détail'!J299/$W299)</f>
        <v/>
      </c>
      <c r="L299" s="341" t="str">
        <f>IF(J299="","",'Historique détail'!K299/$W299)</f>
        <v/>
      </c>
      <c r="M299" s="341" t="str">
        <f>IF(K299="","",'Historique détail'!L299/$W299)</f>
        <v/>
      </c>
      <c r="N299" s="341" t="str">
        <f>IF(L299="","",'Historique détail'!M299/$W299)</f>
        <v/>
      </c>
      <c r="O299" s="341" t="str">
        <f>IF(M299="","",'Historique détail'!N299/$W299)</f>
        <v/>
      </c>
      <c r="P299" s="341" t="str">
        <f>IF(N299="","",'Historique détail'!O299/$W299)</f>
        <v/>
      </c>
      <c r="Q299" s="341" t="str">
        <f>IF(O299="","",'Historique détail'!P299/$W299)</f>
        <v/>
      </c>
      <c r="R299" s="341" t="str">
        <f>IF(P299="","",'Historique détail'!Q299/$W299)</f>
        <v/>
      </c>
      <c r="S299" s="341" t="str">
        <f>IF(Q299="","",'Historique détail'!R299/$W299)</f>
        <v/>
      </c>
      <c r="T299" s="341" t="str">
        <f>IF(R299="","",'Historique détail'!S299/$W299)</f>
        <v/>
      </c>
      <c r="U299" s="340" t="str">
        <f t="shared" si="2"/>
        <v/>
      </c>
      <c r="V299" s="14" t="str">
        <f>IF(A299="","",ARBITRAGES!M300)</f>
        <v/>
      </c>
      <c r="W299" s="343" t="str">
        <f>IF(V299="","",'Historique détail'!U299)</f>
        <v/>
      </c>
      <c r="X299" s="288"/>
      <c r="Y299" s="220"/>
      <c r="Z299" s="220"/>
      <c r="AA299" s="220"/>
      <c r="AB299" s="220"/>
      <c r="AC299" s="220"/>
      <c r="AD299" s="220"/>
      <c r="AE299" s="220"/>
      <c r="AF299" s="220"/>
      <c r="AG299" s="220"/>
      <c r="AH299" s="220"/>
      <c r="AI299" s="308"/>
      <c r="AJ299" s="220"/>
      <c r="AK299" s="220"/>
      <c r="AL299" s="220"/>
      <c r="AM299" s="220"/>
      <c r="AN299" s="220"/>
      <c r="AO299" s="220"/>
      <c r="AP299" s="220"/>
      <c r="AQ299" s="220"/>
      <c r="AR299" s="220"/>
      <c r="AS299" s="220"/>
      <c r="AT299" s="220"/>
      <c r="AU299" s="220"/>
      <c r="AV299" s="220"/>
      <c r="AW299" s="220"/>
      <c r="AX299" s="220"/>
      <c r="AY299" s="220"/>
      <c r="AZ299" s="220"/>
      <c r="BA299" s="220"/>
      <c r="BB299" s="220"/>
    </row>
    <row r="300">
      <c r="A300" s="290" t="str">
        <f>PRIX!A301</f>
        <v/>
      </c>
      <c r="B300" s="302" t="str">
        <f t="shared" si="1"/>
        <v/>
      </c>
      <c r="C300" s="341" t="str">
        <f>IF(A300="","",'Historique détail'!B300/$W300)</f>
        <v/>
      </c>
      <c r="D300" s="341" t="str">
        <f>IF(B300="","",'Historique détail'!C300/$W300)</f>
        <v/>
      </c>
      <c r="E300" s="341" t="str">
        <f>IF(C300="","",'Historique détail'!D300/$W300)</f>
        <v/>
      </c>
      <c r="F300" s="341" t="str">
        <f>IF(D300="","",'Historique détail'!E300/$W300)</f>
        <v/>
      </c>
      <c r="G300" s="341" t="str">
        <f>IF(E300="","",'Historique détail'!F300/$W300)</f>
        <v/>
      </c>
      <c r="H300" s="341" t="str">
        <f>IF(F300="","",'Historique détail'!G300/$W300)</f>
        <v/>
      </c>
      <c r="I300" s="341" t="str">
        <f>IF(G300="","",'Historique détail'!H300/$W300)</f>
        <v/>
      </c>
      <c r="J300" s="341" t="str">
        <f>IF(H300="","",'Historique détail'!I300/$W300)</f>
        <v/>
      </c>
      <c r="K300" s="341" t="str">
        <f>IF(I300="","",'Historique détail'!J300/$W300)</f>
        <v/>
      </c>
      <c r="L300" s="341" t="str">
        <f>IF(J300="","",'Historique détail'!K300/$W300)</f>
        <v/>
      </c>
      <c r="M300" s="341" t="str">
        <f>IF(K300="","",'Historique détail'!L300/$W300)</f>
        <v/>
      </c>
      <c r="N300" s="341" t="str">
        <f>IF(L300="","",'Historique détail'!M300/$W300)</f>
        <v/>
      </c>
      <c r="O300" s="341" t="str">
        <f>IF(M300="","",'Historique détail'!N300/$W300)</f>
        <v/>
      </c>
      <c r="P300" s="341" t="str">
        <f>IF(N300="","",'Historique détail'!O300/$W300)</f>
        <v/>
      </c>
      <c r="Q300" s="341" t="str">
        <f>IF(O300="","",'Historique détail'!P300/$W300)</f>
        <v/>
      </c>
      <c r="R300" s="341" t="str">
        <f>IF(P300="","",'Historique détail'!Q300/$W300)</f>
        <v/>
      </c>
      <c r="S300" s="341" t="str">
        <f>IF(Q300="","",'Historique détail'!R300/$W300)</f>
        <v/>
      </c>
      <c r="T300" s="341" t="str">
        <f>IF(R300="","",'Historique détail'!S300/$W300)</f>
        <v/>
      </c>
      <c r="U300" s="340" t="str">
        <f t="shared" si="2"/>
        <v/>
      </c>
      <c r="V300" s="14" t="str">
        <f>IF(A300="","",ARBITRAGES!M301)</f>
        <v/>
      </c>
      <c r="W300" s="343" t="str">
        <f>IF(V300="","",'Historique détail'!U300)</f>
        <v/>
      </c>
      <c r="X300" s="288"/>
      <c r="Y300" s="220"/>
      <c r="Z300" s="220"/>
      <c r="AA300" s="220"/>
      <c r="AB300" s="220"/>
      <c r="AC300" s="220"/>
      <c r="AD300" s="220"/>
      <c r="AE300" s="220"/>
      <c r="AF300" s="220"/>
      <c r="AG300" s="220"/>
      <c r="AH300" s="220"/>
      <c r="AI300" s="308"/>
      <c r="AJ300" s="220"/>
      <c r="AK300" s="220"/>
      <c r="AL300" s="220"/>
      <c r="AM300" s="220"/>
      <c r="AN300" s="220"/>
      <c r="AO300" s="220"/>
      <c r="AP300" s="220"/>
      <c r="AQ300" s="220"/>
      <c r="AR300" s="220"/>
      <c r="AS300" s="220"/>
      <c r="AT300" s="220"/>
      <c r="AU300" s="220"/>
      <c r="AV300" s="220"/>
      <c r="AW300" s="220"/>
      <c r="AX300" s="220"/>
      <c r="AY300" s="220"/>
      <c r="AZ300" s="220"/>
      <c r="BA300" s="220"/>
      <c r="BB300" s="220"/>
    </row>
    <row r="301">
      <c r="A301" s="290" t="str">
        <f>PRIX!A302</f>
        <v/>
      </c>
      <c r="B301" s="302" t="str">
        <f t="shared" si="1"/>
        <v/>
      </c>
      <c r="C301" s="341" t="str">
        <f>IF(A301="","",'Historique détail'!B301/$W301)</f>
        <v/>
      </c>
      <c r="D301" s="341" t="str">
        <f>IF(B301="","",'Historique détail'!C301/$W301)</f>
        <v/>
      </c>
      <c r="E301" s="341" t="str">
        <f>IF(C301="","",'Historique détail'!D301/$W301)</f>
        <v/>
      </c>
      <c r="F301" s="341" t="str">
        <f>IF(D301="","",'Historique détail'!E301/$W301)</f>
        <v/>
      </c>
      <c r="G301" s="341" t="str">
        <f>IF(E301="","",'Historique détail'!F301/$W301)</f>
        <v/>
      </c>
      <c r="H301" s="341" t="str">
        <f>IF(F301="","",'Historique détail'!G301/$W301)</f>
        <v/>
      </c>
      <c r="I301" s="341" t="str">
        <f>IF(G301="","",'Historique détail'!H301/$W301)</f>
        <v/>
      </c>
      <c r="J301" s="341" t="str">
        <f>IF(H301="","",'Historique détail'!I301/$W301)</f>
        <v/>
      </c>
      <c r="K301" s="341" t="str">
        <f>IF(I301="","",'Historique détail'!J301/$W301)</f>
        <v/>
      </c>
      <c r="L301" s="341" t="str">
        <f>IF(J301="","",'Historique détail'!K301/$W301)</f>
        <v/>
      </c>
      <c r="M301" s="341" t="str">
        <f>IF(K301="","",'Historique détail'!L301/$W301)</f>
        <v/>
      </c>
      <c r="N301" s="341" t="str">
        <f>IF(L301="","",'Historique détail'!M301/$W301)</f>
        <v/>
      </c>
      <c r="O301" s="341" t="str">
        <f>IF(M301="","",'Historique détail'!N301/$W301)</f>
        <v/>
      </c>
      <c r="P301" s="341" t="str">
        <f>IF(N301="","",'Historique détail'!O301/$W301)</f>
        <v/>
      </c>
      <c r="Q301" s="341" t="str">
        <f>IF(O301="","",'Historique détail'!P301/$W301)</f>
        <v/>
      </c>
      <c r="R301" s="341" t="str">
        <f>IF(P301="","",'Historique détail'!Q301/$W301)</f>
        <v/>
      </c>
      <c r="S301" s="341" t="str">
        <f>IF(Q301="","",'Historique détail'!R301/$W301)</f>
        <v/>
      </c>
      <c r="T301" s="341" t="str">
        <f>IF(R301="","",'Historique détail'!S301/$W301)</f>
        <v/>
      </c>
      <c r="U301" s="340" t="str">
        <f t="shared" si="2"/>
        <v/>
      </c>
      <c r="V301" s="14" t="str">
        <f>IF(A301="","",ARBITRAGES!M302)</f>
        <v/>
      </c>
      <c r="W301" s="343" t="str">
        <f>IF(V301="","",'Historique détail'!U301)</f>
        <v/>
      </c>
      <c r="X301" s="288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0"/>
      <c r="AI301" s="308"/>
      <c r="AJ301" s="220"/>
      <c r="AK301" s="220"/>
      <c r="AL301" s="220"/>
      <c r="AM301" s="220"/>
      <c r="AN301" s="220"/>
      <c r="AO301" s="220"/>
      <c r="AP301" s="220"/>
      <c r="AQ301" s="220"/>
      <c r="AR301" s="220"/>
      <c r="AS301" s="220"/>
      <c r="AT301" s="220"/>
      <c r="AU301" s="220"/>
      <c r="AV301" s="220"/>
      <c r="AW301" s="220"/>
      <c r="AX301" s="220"/>
      <c r="AY301" s="220"/>
      <c r="AZ301" s="220"/>
      <c r="BA301" s="220"/>
      <c r="BB301" s="220"/>
    </row>
    <row r="302">
      <c r="A302" s="290" t="str">
        <f>PRIX!A303</f>
        <v/>
      </c>
      <c r="B302" s="302" t="str">
        <f t="shared" si="1"/>
        <v/>
      </c>
      <c r="C302" s="341" t="str">
        <f>IF(A302="","",'Historique détail'!B302/$W302)</f>
        <v/>
      </c>
      <c r="D302" s="341" t="str">
        <f>IF(B302="","",'Historique détail'!C302/$W302)</f>
        <v/>
      </c>
      <c r="E302" s="341" t="str">
        <f>IF(C302="","",'Historique détail'!D302/$W302)</f>
        <v/>
      </c>
      <c r="F302" s="341" t="str">
        <f>IF(D302="","",'Historique détail'!E302/$W302)</f>
        <v/>
      </c>
      <c r="G302" s="341" t="str">
        <f>IF(E302="","",'Historique détail'!F302/$W302)</f>
        <v/>
      </c>
      <c r="H302" s="341" t="str">
        <f>IF(F302="","",'Historique détail'!G302/$W302)</f>
        <v/>
      </c>
      <c r="I302" s="341" t="str">
        <f>IF(G302="","",'Historique détail'!H302/$W302)</f>
        <v/>
      </c>
      <c r="J302" s="341" t="str">
        <f>IF(H302="","",'Historique détail'!I302/$W302)</f>
        <v/>
      </c>
      <c r="K302" s="341" t="str">
        <f>IF(I302="","",'Historique détail'!J302/$W302)</f>
        <v/>
      </c>
      <c r="L302" s="341" t="str">
        <f>IF(J302="","",'Historique détail'!K302/$W302)</f>
        <v/>
      </c>
      <c r="M302" s="341" t="str">
        <f>IF(K302="","",'Historique détail'!L302/$W302)</f>
        <v/>
      </c>
      <c r="N302" s="341" t="str">
        <f>IF(L302="","",'Historique détail'!M302/$W302)</f>
        <v/>
      </c>
      <c r="O302" s="341" t="str">
        <f>IF(M302="","",'Historique détail'!N302/$W302)</f>
        <v/>
      </c>
      <c r="P302" s="341" t="str">
        <f>IF(N302="","",'Historique détail'!O302/$W302)</f>
        <v/>
      </c>
      <c r="Q302" s="341" t="str">
        <f>IF(O302="","",'Historique détail'!P302/$W302)</f>
        <v/>
      </c>
      <c r="R302" s="341" t="str">
        <f>IF(P302="","",'Historique détail'!Q302/$W302)</f>
        <v/>
      </c>
      <c r="S302" s="341" t="str">
        <f>IF(Q302="","",'Historique détail'!R302/$W302)</f>
        <v/>
      </c>
      <c r="T302" s="341" t="str">
        <f>IF(R302="","",'Historique détail'!S302/$W302)</f>
        <v/>
      </c>
      <c r="U302" s="340" t="str">
        <f t="shared" si="2"/>
        <v/>
      </c>
      <c r="V302" s="14" t="str">
        <f>IF(A302="","",ARBITRAGES!M303)</f>
        <v/>
      </c>
      <c r="W302" s="343" t="str">
        <f>IF(V302="","",'Historique détail'!U302)</f>
        <v/>
      </c>
      <c r="X302" s="288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0"/>
      <c r="AI302" s="308"/>
      <c r="AJ302" s="220"/>
      <c r="AK302" s="220"/>
      <c r="AL302" s="220"/>
      <c r="AM302" s="220"/>
      <c r="AN302" s="220"/>
      <c r="AO302" s="220"/>
      <c r="AP302" s="220"/>
      <c r="AQ302" s="220"/>
      <c r="AR302" s="220"/>
      <c r="AS302" s="220"/>
      <c r="AT302" s="220"/>
      <c r="AU302" s="220"/>
      <c r="AV302" s="220"/>
      <c r="AW302" s="220"/>
      <c r="AX302" s="220"/>
      <c r="AY302" s="220"/>
      <c r="AZ302" s="220"/>
      <c r="BA302" s="220"/>
      <c r="BB302" s="220"/>
    </row>
    <row r="303">
      <c r="A303" s="290" t="str">
        <f>PRIX!A304</f>
        <v/>
      </c>
      <c r="B303" s="302" t="str">
        <f t="shared" si="1"/>
        <v/>
      </c>
      <c r="C303" s="341" t="str">
        <f>IF(A303="","",'Historique détail'!B303/$W303)</f>
        <v/>
      </c>
      <c r="D303" s="341" t="str">
        <f>IF(B303="","",'Historique détail'!C303/$W303)</f>
        <v/>
      </c>
      <c r="E303" s="341" t="str">
        <f>IF(C303="","",'Historique détail'!D303/$W303)</f>
        <v/>
      </c>
      <c r="F303" s="341" t="str">
        <f>IF(D303="","",'Historique détail'!E303/$W303)</f>
        <v/>
      </c>
      <c r="G303" s="341" t="str">
        <f>IF(E303="","",'Historique détail'!F303/$W303)</f>
        <v/>
      </c>
      <c r="H303" s="341" t="str">
        <f>IF(F303="","",'Historique détail'!G303/$W303)</f>
        <v/>
      </c>
      <c r="I303" s="341" t="str">
        <f>IF(G303="","",'Historique détail'!H303/$W303)</f>
        <v/>
      </c>
      <c r="J303" s="341" t="str">
        <f>IF(H303="","",'Historique détail'!I303/$W303)</f>
        <v/>
      </c>
      <c r="K303" s="341" t="str">
        <f>IF(I303="","",'Historique détail'!J303/$W303)</f>
        <v/>
      </c>
      <c r="L303" s="341" t="str">
        <f>IF(J303="","",'Historique détail'!K303/$W303)</f>
        <v/>
      </c>
      <c r="M303" s="341" t="str">
        <f>IF(K303="","",'Historique détail'!L303/$W303)</f>
        <v/>
      </c>
      <c r="N303" s="341" t="str">
        <f>IF(L303="","",'Historique détail'!M303/$W303)</f>
        <v/>
      </c>
      <c r="O303" s="341" t="str">
        <f>IF(M303="","",'Historique détail'!N303/$W303)</f>
        <v/>
      </c>
      <c r="P303" s="341" t="str">
        <f>IF(N303="","",'Historique détail'!O303/$W303)</f>
        <v/>
      </c>
      <c r="Q303" s="341" t="str">
        <f>IF(O303="","",'Historique détail'!P303/$W303)</f>
        <v/>
      </c>
      <c r="R303" s="341" t="str">
        <f>IF(P303="","",'Historique détail'!Q303/$W303)</f>
        <v/>
      </c>
      <c r="S303" s="341" t="str">
        <f>IF(Q303="","",'Historique détail'!R303/$W303)</f>
        <v/>
      </c>
      <c r="T303" s="341" t="str">
        <f>IF(R303="","",'Historique détail'!S303/$W303)</f>
        <v/>
      </c>
      <c r="U303" s="340" t="str">
        <f t="shared" si="2"/>
        <v/>
      </c>
      <c r="V303" s="14" t="str">
        <f>IF(A303="","",ARBITRAGES!M304)</f>
        <v/>
      </c>
      <c r="W303" s="343" t="str">
        <f>IF(V303="","",'Historique détail'!U303)</f>
        <v/>
      </c>
      <c r="X303" s="288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0"/>
      <c r="AI303" s="308"/>
      <c r="AJ303" s="220"/>
      <c r="AK303" s="220"/>
      <c r="AL303" s="220"/>
      <c r="AM303" s="220"/>
      <c r="AN303" s="220"/>
      <c r="AO303" s="220"/>
      <c r="AP303" s="220"/>
      <c r="AQ303" s="220"/>
      <c r="AR303" s="220"/>
      <c r="AS303" s="220"/>
      <c r="AT303" s="220"/>
      <c r="AU303" s="220"/>
      <c r="AV303" s="220"/>
      <c r="AW303" s="220"/>
      <c r="AX303" s="220"/>
      <c r="AY303" s="220"/>
      <c r="AZ303" s="220"/>
      <c r="BA303" s="220"/>
      <c r="BB303" s="220"/>
    </row>
    <row r="304">
      <c r="A304" s="290" t="str">
        <f>PRIX!A305</f>
        <v/>
      </c>
      <c r="B304" s="302" t="str">
        <f t="shared" si="1"/>
        <v/>
      </c>
      <c r="C304" s="341" t="str">
        <f>IF(A304="","",'Historique détail'!B304/$W304)</f>
        <v/>
      </c>
      <c r="D304" s="341" t="str">
        <f>IF(B304="","",'Historique détail'!C304/$W304)</f>
        <v/>
      </c>
      <c r="E304" s="341" t="str">
        <f>IF(C304="","",'Historique détail'!D304/$W304)</f>
        <v/>
      </c>
      <c r="F304" s="341" t="str">
        <f>IF(D304="","",'Historique détail'!E304/$W304)</f>
        <v/>
      </c>
      <c r="G304" s="341" t="str">
        <f>IF(E304="","",'Historique détail'!F304/$W304)</f>
        <v/>
      </c>
      <c r="H304" s="341" t="str">
        <f>IF(F304="","",'Historique détail'!G304/$W304)</f>
        <v/>
      </c>
      <c r="I304" s="341" t="str">
        <f>IF(G304="","",'Historique détail'!H304/$W304)</f>
        <v/>
      </c>
      <c r="J304" s="341" t="str">
        <f>IF(H304="","",'Historique détail'!I304/$W304)</f>
        <v/>
      </c>
      <c r="K304" s="341" t="str">
        <f>IF(I304="","",'Historique détail'!J304/$W304)</f>
        <v/>
      </c>
      <c r="L304" s="341" t="str">
        <f>IF(J304="","",'Historique détail'!K304/$W304)</f>
        <v/>
      </c>
      <c r="M304" s="341" t="str">
        <f>IF(K304="","",'Historique détail'!L304/$W304)</f>
        <v/>
      </c>
      <c r="N304" s="341" t="str">
        <f>IF(L304="","",'Historique détail'!M304/$W304)</f>
        <v/>
      </c>
      <c r="O304" s="341" t="str">
        <f>IF(M304="","",'Historique détail'!N304/$W304)</f>
        <v/>
      </c>
      <c r="P304" s="341" t="str">
        <f>IF(N304="","",'Historique détail'!O304/$W304)</f>
        <v/>
      </c>
      <c r="Q304" s="341" t="str">
        <f>IF(O304="","",'Historique détail'!P304/$W304)</f>
        <v/>
      </c>
      <c r="R304" s="341" t="str">
        <f>IF(P304="","",'Historique détail'!Q304/$W304)</f>
        <v/>
      </c>
      <c r="S304" s="341" t="str">
        <f>IF(Q304="","",'Historique détail'!R304/$W304)</f>
        <v/>
      </c>
      <c r="T304" s="341" t="str">
        <f>IF(R304="","",'Historique détail'!S304/$W304)</f>
        <v/>
      </c>
      <c r="U304" s="340" t="str">
        <f t="shared" si="2"/>
        <v/>
      </c>
      <c r="V304" s="14" t="str">
        <f>IF(A304="","",ARBITRAGES!M305)</f>
        <v/>
      </c>
      <c r="W304" s="343" t="str">
        <f>IF(V304="","",'Historique détail'!U304)</f>
        <v/>
      </c>
      <c r="X304" s="288"/>
      <c r="Y304" s="220"/>
      <c r="Z304" s="220"/>
      <c r="AA304" s="220"/>
      <c r="AB304" s="220"/>
      <c r="AC304" s="220"/>
      <c r="AD304" s="220"/>
      <c r="AE304" s="220"/>
      <c r="AF304" s="220"/>
      <c r="AG304" s="220"/>
      <c r="AH304" s="220"/>
      <c r="AI304" s="308"/>
      <c r="AJ304" s="220"/>
      <c r="AK304" s="220"/>
      <c r="AL304" s="220"/>
      <c r="AM304" s="220"/>
      <c r="AN304" s="220"/>
      <c r="AO304" s="220"/>
      <c r="AP304" s="220"/>
      <c r="AQ304" s="220"/>
      <c r="AR304" s="220"/>
      <c r="AS304" s="220"/>
      <c r="AT304" s="220"/>
      <c r="AU304" s="220"/>
      <c r="AV304" s="220"/>
      <c r="AW304" s="220"/>
      <c r="AX304" s="220"/>
      <c r="AY304" s="220"/>
      <c r="AZ304" s="220"/>
      <c r="BA304" s="220"/>
      <c r="BB304" s="220"/>
    </row>
    <row r="305">
      <c r="A305" s="290" t="str">
        <f>PRIX!A306</f>
        <v/>
      </c>
      <c r="B305" s="302" t="str">
        <f t="shared" si="1"/>
        <v/>
      </c>
      <c r="C305" s="341" t="str">
        <f>IF(A305="","",'Historique détail'!B305/$W305)</f>
        <v/>
      </c>
      <c r="D305" s="341" t="str">
        <f>IF(B305="","",'Historique détail'!C305/$W305)</f>
        <v/>
      </c>
      <c r="E305" s="341" t="str">
        <f>IF(C305="","",'Historique détail'!D305/$W305)</f>
        <v/>
      </c>
      <c r="F305" s="341" t="str">
        <f>IF(D305="","",'Historique détail'!E305/$W305)</f>
        <v/>
      </c>
      <c r="G305" s="341" t="str">
        <f>IF(E305="","",'Historique détail'!F305/$W305)</f>
        <v/>
      </c>
      <c r="H305" s="341" t="str">
        <f>IF(F305="","",'Historique détail'!G305/$W305)</f>
        <v/>
      </c>
      <c r="I305" s="341" t="str">
        <f>IF(G305="","",'Historique détail'!H305/$W305)</f>
        <v/>
      </c>
      <c r="J305" s="341" t="str">
        <f>IF(H305="","",'Historique détail'!I305/$W305)</f>
        <v/>
      </c>
      <c r="K305" s="341" t="str">
        <f>IF(I305="","",'Historique détail'!J305/$W305)</f>
        <v/>
      </c>
      <c r="L305" s="341" t="str">
        <f>IF(J305="","",'Historique détail'!K305/$W305)</f>
        <v/>
      </c>
      <c r="M305" s="341" t="str">
        <f>IF(K305="","",'Historique détail'!L305/$W305)</f>
        <v/>
      </c>
      <c r="N305" s="341" t="str">
        <f>IF(L305="","",'Historique détail'!M305/$W305)</f>
        <v/>
      </c>
      <c r="O305" s="341" t="str">
        <f>IF(M305="","",'Historique détail'!N305/$W305)</f>
        <v/>
      </c>
      <c r="P305" s="341" t="str">
        <f>IF(N305="","",'Historique détail'!O305/$W305)</f>
        <v/>
      </c>
      <c r="Q305" s="341" t="str">
        <f>IF(O305="","",'Historique détail'!P305/$W305)</f>
        <v/>
      </c>
      <c r="R305" s="341" t="str">
        <f>IF(P305="","",'Historique détail'!Q305/$W305)</f>
        <v/>
      </c>
      <c r="S305" s="341" t="str">
        <f>IF(Q305="","",'Historique détail'!R305/$W305)</f>
        <v/>
      </c>
      <c r="T305" s="341" t="str">
        <f>IF(R305="","",'Historique détail'!S305/$W305)</f>
        <v/>
      </c>
      <c r="U305" s="340" t="str">
        <f t="shared" si="2"/>
        <v/>
      </c>
      <c r="V305" s="14" t="str">
        <f>IF(A305="","",ARBITRAGES!M306)</f>
        <v/>
      </c>
      <c r="W305" s="343" t="str">
        <f>IF(V305="","",'Historique détail'!U305)</f>
        <v/>
      </c>
      <c r="X305" s="288"/>
      <c r="Y305" s="310"/>
      <c r="Z305" s="310"/>
      <c r="AA305" s="310"/>
      <c r="AB305" s="310"/>
      <c r="AC305" s="310"/>
      <c r="AD305" s="310"/>
      <c r="AE305" s="310"/>
      <c r="AF305" s="220"/>
      <c r="AG305" s="220"/>
      <c r="AH305" s="220"/>
      <c r="AI305" s="308"/>
      <c r="AJ305" s="220"/>
      <c r="AK305" s="220"/>
      <c r="AL305" s="220"/>
      <c r="AM305" s="220"/>
      <c r="AN305" s="220"/>
      <c r="AO305" s="220"/>
      <c r="AP305" s="220"/>
      <c r="AQ305" s="220"/>
      <c r="AR305" s="220"/>
      <c r="AS305" s="220"/>
      <c r="AT305" s="220"/>
      <c r="AU305" s="220"/>
      <c r="AV305" s="220"/>
      <c r="AW305" s="220"/>
      <c r="AX305" s="220"/>
      <c r="AY305" s="220"/>
      <c r="AZ305" s="220"/>
      <c r="BA305" s="202" t="s">
        <v>7</v>
      </c>
      <c r="BB305" s="310">
        <v>4.755</v>
      </c>
    </row>
    <row r="306">
      <c r="A306" s="290" t="str">
        <f>PRIX!A307</f>
        <v/>
      </c>
      <c r="B306" s="302" t="str">
        <f t="shared" si="1"/>
        <v/>
      </c>
      <c r="C306" s="341" t="str">
        <f>IF(A306="","",'Historique détail'!B306/$W306)</f>
        <v/>
      </c>
      <c r="D306" s="341" t="str">
        <f>IF(B306="","",'Historique détail'!C306/$W306)</f>
        <v/>
      </c>
      <c r="E306" s="341" t="str">
        <f>IF(C306="","",'Historique détail'!D306/$W306)</f>
        <v/>
      </c>
      <c r="F306" s="341" t="str">
        <f>IF(D306="","",'Historique détail'!E306/$W306)</f>
        <v/>
      </c>
      <c r="G306" s="341" t="str">
        <f>IF(E306="","",'Historique détail'!F306/$W306)</f>
        <v/>
      </c>
      <c r="H306" s="341" t="str">
        <f>IF(F306="","",'Historique détail'!G306/$W306)</f>
        <v/>
      </c>
      <c r="I306" s="341" t="str">
        <f>IF(G306="","",'Historique détail'!H306/$W306)</f>
        <v/>
      </c>
      <c r="J306" s="341" t="str">
        <f>IF(H306="","",'Historique détail'!I306/$W306)</f>
        <v/>
      </c>
      <c r="K306" s="341" t="str">
        <f>IF(I306="","",'Historique détail'!J306/$W306)</f>
        <v/>
      </c>
      <c r="L306" s="341" t="str">
        <f>IF(J306="","",'Historique détail'!K306/$W306)</f>
        <v/>
      </c>
      <c r="M306" s="341" t="str">
        <f>IF(K306="","",'Historique détail'!L306/$W306)</f>
        <v/>
      </c>
      <c r="N306" s="341" t="str">
        <f>IF(L306="","",'Historique détail'!M306/$W306)</f>
        <v/>
      </c>
      <c r="O306" s="341" t="str">
        <f>IF(M306="","",'Historique détail'!N306/$W306)</f>
        <v/>
      </c>
      <c r="P306" s="341" t="str">
        <f>IF(N306="","",'Historique détail'!O306/$W306)</f>
        <v/>
      </c>
      <c r="Q306" s="341" t="str">
        <f>IF(O306="","",'Historique détail'!P306/$W306)</f>
        <v/>
      </c>
      <c r="R306" s="341" t="str">
        <f>IF(P306="","",'Historique détail'!Q306/$W306)</f>
        <v/>
      </c>
      <c r="S306" s="341" t="str">
        <f>IF(Q306="","",'Historique détail'!R306/$W306)</f>
        <v/>
      </c>
      <c r="T306" s="341" t="str">
        <f>IF(R306="","",'Historique détail'!S306/$W306)</f>
        <v/>
      </c>
      <c r="U306" s="340" t="str">
        <f t="shared" si="2"/>
        <v/>
      </c>
      <c r="V306" s="14" t="str">
        <f>IF(A306="","",ARBITRAGES!M307)</f>
        <v/>
      </c>
      <c r="W306" s="343" t="str">
        <f>IF(V306="","",'Historique détail'!U306)</f>
        <v/>
      </c>
      <c r="X306" s="288"/>
      <c r="Y306" s="310"/>
      <c r="Z306" s="310"/>
      <c r="AA306" s="310"/>
      <c r="AB306" s="310"/>
      <c r="AC306" s="310"/>
      <c r="AD306" s="310"/>
      <c r="AE306" s="310"/>
      <c r="AF306" s="220"/>
      <c r="AG306" s="220"/>
      <c r="AH306" s="220"/>
      <c r="AI306" s="308"/>
      <c r="AJ306" s="220"/>
      <c r="AK306" s="220"/>
      <c r="AL306" s="220"/>
      <c r="AM306" s="220"/>
      <c r="AN306" s="220"/>
      <c r="AO306" s="220"/>
      <c r="AP306" s="220"/>
      <c r="AQ306" s="220"/>
      <c r="AR306" s="220"/>
      <c r="AS306" s="220"/>
      <c r="AT306" s="220"/>
      <c r="AU306" s="220"/>
      <c r="AV306" s="220"/>
      <c r="AW306" s="220"/>
      <c r="AX306" s="220"/>
      <c r="AY306" s="220"/>
      <c r="AZ306" s="220"/>
      <c r="BA306" s="202" t="s">
        <v>6</v>
      </c>
      <c r="BB306" s="310">
        <v>2700.0</v>
      </c>
    </row>
    <row r="307">
      <c r="A307" s="290" t="str">
        <f>PRIX!A308</f>
        <v/>
      </c>
      <c r="B307" s="302" t="str">
        <f t="shared" si="1"/>
        <v/>
      </c>
      <c r="C307" s="341" t="str">
        <f>IF(A307="","",'Historique détail'!B307/$W307)</f>
        <v/>
      </c>
      <c r="D307" s="341" t="str">
        <f>IF(B307="","",'Historique détail'!C307/$W307)</f>
        <v/>
      </c>
      <c r="E307" s="341" t="str">
        <f>IF(C307="","",'Historique détail'!D307/$W307)</f>
        <v/>
      </c>
      <c r="F307" s="341" t="str">
        <f>IF(D307="","",'Historique détail'!E307/$W307)</f>
        <v/>
      </c>
      <c r="G307" s="341" t="str">
        <f>IF(E307="","",'Historique détail'!F307/$W307)</f>
        <v/>
      </c>
      <c r="H307" s="341" t="str">
        <f>IF(F307="","",'Historique détail'!G307/$W307)</f>
        <v/>
      </c>
      <c r="I307" s="341" t="str">
        <f>IF(G307="","",'Historique détail'!H307/$W307)</f>
        <v/>
      </c>
      <c r="J307" s="341" t="str">
        <f>IF(H307="","",'Historique détail'!I307/$W307)</f>
        <v/>
      </c>
      <c r="K307" s="341" t="str">
        <f>IF(I307="","",'Historique détail'!J307/$W307)</f>
        <v/>
      </c>
      <c r="L307" s="341" t="str">
        <f>IF(J307="","",'Historique détail'!K307/$W307)</f>
        <v/>
      </c>
      <c r="M307" s="341" t="str">
        <f>IF(K307="","",'Historique détail'!L307/$W307)</f>
        <v/>
      </c>
      <c r="N307" s="341" t="str">
        <f>IF(L307="","",'Historique détail'!M307/$W307)</f>
        <v/>
      </c>
      <c r="O307" s="341" t="str">
        <f>IF(M307="","",'Historique détail'!N307/$W307)</f>
        <v/>
      </c>
      <c r="P307" s="341" t="str">
        <f>IF(N307="","",'Historique détail'!O307/$W307)</f>
        <v/>
      </c>
      <c r="Q307" s="341" t="str">
        <f>IF(O307="","",'Historique détail'!P307/$W307)</f>
        <v/>
      </c>
      <c r="R307" s="341" t="str">
        <f>IF(P307="","",'Historique détail'!Q307/$W307)</f>
        <v/>
      </c>
      <c r="S307" s="341" t="str">
        <f>IF(Q307="","",'Historique détail'!R307/$W307)</f>
        <v/>
      </c>
      <c r="T307" s="341" t="str">
        <f>IF(R307="","",'Historique détail'!S307/$W307)</f>
        <v/>
      </c>
      <c r="U307" s="340" t="str">
        <f t="shared" si="2"/>
        <v/>
      </c>
      <c r="V307" s="14" t="str">
        <f>IF(A307="","",ARBITRAGES!M308)</f>
        <v/>
      </c>
      <c r="W307" s="343" t="str">
        <f>IF(V307="","",'Historique détail'!U307)</f>
        <v/>
      </c>
      <c r="X307" s="288"/>
      <c r="Y307" s="310"/>
      <c r="Z307" s="310"/>
      <c r="AA307" s="310"/>
      <c r="AB307" s="310"/>
      <c r="AC307" s="310"/>
      <c r="AD307" s="310"/>
      <c r="AE307" s="310"/>
      <c r="AF307" s="220"/>
      <c r="AG307" s="220"/>
      <c r="AH307" s="220"/>
      <c r="AI307" s="308"/>
      <c r="AJ307" s="220"/>
      <c r="AK307" s="220"/>
      <c r="AL307" s="220"/>
      <c r="AM307" s="220"/>
      <c r="AN307" s="220"/>
      <c r="AO307" s="220"/>
      <c r="AP307" s="220"/>
      <c r="AQ307" s="220"/>
      <c r="AR307" s="220"/>
      <c r="AS307" s="220"/>
      <c r="AT307" s="220"/>
      <c r="AU307" s="220"/>
      <c r="AV307" s="220"/>
      <c r="AW307" s="220"/>
      <c r="AX307" s="220"/>
      <c r="AY307" s="220"/>
      <c r="AZ307" s="220"/>
      <c r="BA307" s="202" t="s">
        <v>6</v>
      </c>
      <c r="BB307" s="310">
        <v>2700.0</v>
      </c>
    </row>
    <row r="308">
      <c r="A308" s="290" t="str">
        <f>PRIX!A309</f>
        <v/>
      </c>
      <c r="B308" s="302" t="str">
        <f t="shared" si="1"/>
        <v/>
      </c>
      <c r="C308" s="341" t="str">
        <f>IF(A308="","",'Historique détail'!B308/$W308)</f>
        <v/>
      </c>
      <c r="D308" s="341" t="str">
        <f>IF(B308="","",'Historique détail'!C308/$W308)</f>
        <v/>
      </c>
      <c r="E308" s="341" t="str">
        <f>IF(C308="","",'Historique détail'!D308/$W308)</f>
        <v/>
      </c>
      <c r="F308" s="341" t="str">
        <f>IF(D308="","",'Historique détail'!E308/$W308)</f>
        <v/>
      </c>
      <c r="G308" s="341" t="str">
        <f>IF(E308="","",'Historique détail'!F308/$W308)</f>
        <v/>
      </c>
      <c r="H308" s="341" t="str">
        <f>IF(F308="","",'Historique détail'!G308/$W308)</f>
        <v/>
      </c>
      <c r="I308" s="341" t="str">
        <f>IF(G308="","",'Historique détail'!H308/$W308)</f>
        <v/>
      </c>
      <c r="J308" s="341" t="str">
        <f>IF(H308="","",'Historique détail'!I308/$W308)</f>
        <v/>
      </c>
      <c r="K308" s="341" t="str">
        <f>IF(I308="","",'Historique détail'!J308/$W308)</f>
        <v/>
      </c>
      <c r="L308" s="341" t="str">
        <f>IF(J308="","",'Historique détail'!K308/$W308)</f>
        <v/>
      </c>
      <c r="M308" s="341" t="str">
        <f>IF(K308="","",'Historique détail'!L308/$W308)</f>
        <v/>
      </c>
      <c r="N308" s="341" t="str">
        <f>IF(L308="","",'Historique détail'!M308/$W308)</f>
        <v/>
      </c>
      <c r="O308" s="341" t="str">
        <f>IF(M308="","",'Historique détail'!N308/$W308)</f>
        <v/>
      </c>
      <c r="P308" s="341" t="str">
        <f>IF(N308="","",'Historique détail'!O308/$W308)</f>
        <v/>
      </c>
      <c r="Q308" s="341" t="str">
        <f>IF(O308="","",'Historique détail'!P308/$W308)</f>
        <v/>
      </c>
      <c r="R308" s="341" t="str">
        <f>IF(P308="","",'Historique détail'!Q308/$W308)</f>
        <v/>
      </c>
      <c r="S308" s="341" t="str">
        <f>IF(Q308="","",'Historique détail'!R308/$W308)</f>
        <v/>
      </c>
      <c r="T308" s="341" t="str">
        <f>IF(R308="","",'Historique détail'!S308/$W308)</f>
        <v/>
      </c>
      <c r="U308" s="340" t="str">
        <f t="shared" si="2"/>
        <v/>
      </c>
      <c r="V308" s="14" t="str">
        <f>IF(A308="","",ARBITRAGES!M309)</f>
        <v/>
      </c>
      <c r="W308" s="343" t="str">
        <f>IF(V308="","",'Historique détail'!U308)</f>
        <v/>
      </c>
      <c r="X308" s="288"/>
      <c r="Y308" s="310"/>
      <c r="Z308" s="310"/>
      <c r="AA308" s="310"/>
      <c r="AB308" s="310"/>
      <c r="AC308" s="310"/>
      <c r="AD308" s="310"/>
      <c r="AE308" s="310"/>
      <c r="AF308" s="220"/>
      <c r="AG308" s="220"/>
      <c r="AH308" s="220"/>
      <c r="AI308" s="308"/>
      <c r="AJ308" s="220"/>
      <c r="AK308" s="220"/>
      <c r="AL308" s="220"/>
      <c r="AM308" s="220"/>
      <c r="AN308" s="220"/>
      <c r="AO308" s="220"/>
      <c r="AP308" s="220"/>
      <c r="AQ308" s="220"/>
      <c r="AR308" s="220"/>
      <c r="AS308" s="220"/>
      <c r="AT308" s="220"/>
      <c r="AU308" s="220"/>
      <c r="AV308" s="220"/>
      <c r="AW308" s="220"/>
      <c r="AX308" s="220"/>
      <c r="AY308" s="220"/>
      <c r="AZ308" s="220"/>
      <c r="BA308" s="202" t="s">
        <v>6</v>
      </c>
      <c r="BB308" s="310">
        <v>2700.0</v>
      </c>
    </row>
    <row r="309">
      <c r="A309" s="290" t="str">
        <f>PRIX!A310</f>
        <v/>
      </c>
      <c r="B309" s="302" t="str">
        <f t="shared" si="1"/>
        <v/>
      </c>
      <c r="C309" s="341" t="str">
        <f>IF(A309="","",'Historique détail'!B309/$W309)</f>
        <v/>
      </c>
      <c r="D309" s="341" t="str">
        <f>IF(B309="","",'Historique détail'!C309/$W309)</f>
        <v/>
      </c>
      <c r="E309" s="341" t="str">
        <f>IF(C309="","",'Historique détail'!D309/$W309)</f>
        <v/>
      </c>
      <c r="F309" s="341" t="str">
        <f>IF(D309="","",'Historique détail'!E309/$W309)</f>
        <v/>
      </c>
      <c r="G309" s="341" t="str">
        <f>IF(E309="","",'Historique détail'!F309/$W309)</f>
        <v/>
      </c>
      <c r="H309" s="341" t="str">
        <f>IF(F309="","",'Historique détail'!G309/$W309)</f>
        <v/>
      </c>
      <c r="I309" s="341" t="str">
        <f>IF(G309="","",'Historique détail'!H309/$W309)</f>
        <v/>
      </c>
      <c r="J309" s="341" t="str">
        <f>IF(H309="","",'Historique détail'!I309/$W309)</f>
        <v/>
      </c>
      <c r="K309" s="341" t="str">
        <f>IF(I309="","",'Historique détail'!J309/$W309)</f>
        <v/>
      </c>
      <c r="L309" s="341" t="str">
        <f>IF(J309="","",'Historique détail'!K309/$W309)</f>
        <v/>
      </c>
      <c r="M309" s="341" t="str">
        <f>IF(K309="","",'Historique détail'!L309/$W309)</f>
        <v/>
      </c>
      <c r="N309" s="341" t="str">
        <f>IF(L309="","",'Historique détail'!M309/$W309)</f>
        <v/>
      </c>
      <c r="O309" s="341" t="str">
        <f>IF(M309="","",'Historique détail'!N309/$W309)</f>
        <v/>
      </c>
      <c r="P309" s="341" t="str">
        <f>IF(N309="","",'Historique détail'!O309/$W309)</f>
        <v/>
      </c>
      <c r="Q309" s="341" t="str">
        <f>IF(O309="","",'Historique détail'!P309/$W309)</f>
        <v/>
      </c>
      <c r="R309" s="341" t="str">
        <f>IF(P309="","",'Historique détail'!Q309/$W309)</f>
        <v/>
      </c>
      <c r="S309" s="341" t="str">
        <f>IF(Q309="","",'Historique détail'!R309/$W309)</f>
        <v/>
      </c>
      <c r="T309" s="341" t="str">
        <f>IF(R309="","",'Historique détail'!S309/$W309)</f>
        <v/>
      </c>
      <c r="U309" s="340" t="str">
        <f t="shared" si="2"/>
        <v/>
      </c>
      <c r="V309" s="14" t="str">
        <f>IF(A309="","",ARBITRAGES!M310)</f>
        <v/>
      </c>
      <c r="W309" s="343" t="str">
        <f>IF(V309="","",'Historique détail'!U309)</f>
        <v/>
      </c>
      <c r="X309" s="288"/>
      <c r="Y309" s="310"/>
      <c r="Z309" s="310"/>
      <c r="AA309" s="310"/>
      <c r="AB309" s="310"/>
      <c r="AC309" s="310"/>
      <c r="AD309" s="310"/>
      <c r="AE309" s="310"/>
      <c r="AF309" s="220"/>
      <c r="AG309" s="220"/>
      <c r="AH309" s="220"/>
      <c r="AI309" s="308"/>
      <c r="AJ309" s="220"/>
      <c r="AK309" s="220"/>
      <c r="AL309" s="220"/>
      <c r="AM309" s="220"/>
      <c r="AN309" s="220"/>
      <c r="AO309" s="220"/>
      <c r="AP309" s="220"/>
      <c r="AQ309" s="220"/>
      <c r="AR309" s="220"/>
      <c r="AS309" s="220"/>
      <c r="AT309" s="220"/>
      <c r="AU309" s="220"/>
      <c r="AV309" s="220"/>
      <c r="AW309" s="220"/>
      <c r="AX309" s="220"/>
      <c r="AY309" s="220"/>
      <c r="AZ309" s="220"/>
      <c r="BA309" s="202" t="s">
        <v>7</v>
      </c>
      <c r="BB309" s="310">
        <v>4.755</v>
      </c>
    </row>
    <row r="310">
      <c r="A310" s="290" t="str">
        <f>PRIX!A311</f>
        <v/>
      </c>
      <c r="B310" s="302" t="str">
        <f t="shared" si="1"/>
        <v/>
      </c>
      <c r="C310" s="341" t="str">
        <f>IF(A310="","",'Historique détail'!B310/$W310)</f>
        <v/>
      </c>
      <c r="D310" s="341" t="str">
        <f>IF(B310="","",'Historique détail'!C310/$W310)</f>
        <v/>
      </c>
      <c r="E310" s="341" t="str">
        <f>IF(C310="","",'Historique détail'!D310/$W310)</f>
        <v/>
      </c>
      <c r="F310" s="341" t="str">
        <f>IF(D310="","",'Historique détail'!E310/$W310)</f>
        <v/>
      </c>
      <c r="G310" s="341" t="str">
        <f>IF(E310="","",'Historique détail'!F310/$W310)</f>
        <v/>
      </c>
      <c r="H310" s="341" t="str">
        <f>IF(F310="","",'Historique détail'!G310/$W310)</f>
        <v/>
      </c>
      <c r="I310" s="341" t="str">
        <f>IF(G310="","",'Historique détail'!H310/$W310)</f>
        <v/>
      </c>
      <c r="J310" s="341" t="str">
        <f>IF(H310="","",'Historique détail'!I310/$W310)</f>
        <v/>
      </c>
      <c r="K310" s="341" t="str">
        <f>IF(I310="","",'Historique détail'!J310/$W310)</f>
        <v/>
      </c>
      <c r="L310" s="341" t="str">
        <f>IF(J310="","",'Historique détail'!K310/$W310)</f>
        <v/>
      </c>
      <c r="M310" s="341" t="str">
        <f>IF(K310="","",'Historique détail'!L310/$W310)</f>
        <v/>
      </c>
      <c r="N310" s="341" t="str">
        <f>IF(L310="","",'Historique détail'!M310/$W310)</f>
        <v/>
      </c>
      <c r="O310" s="341" t="str">
        <f>IF(M310="","",'Historique détail'!N310/$W310)</f>
        <v/>
      </c>
      <c r="P310" s="341" t="str">
        <f>IF(N310="","",'Historique détail'!O310/$W310)</f>
        <v/>
      </c>
      <c r="Q310" s="341" t="str">
        <f>IF(O310="","",'Historique détail'!P310/$W310)</f>
        <v/>
      </c>
      <c r="R310" s="341" t="str">
        <f>IF(P310="","",'Historique détail'!Q310/$W310)</f>
        <v/>
      </c>
      <c r="S310" s="341" t="str">
        <f>IF(Q310="","",'Historique détail'!R310/$W310)</f>
        <v/>
      </c>
      <c r="T310" s="341" t="str">
        <f>IF(R310="","",'Historique détail'!S310/$W310)</f>
        <v/>
      </c>
      <c r="U310" s="340" t="str">
        <f t="shared" si="2"/>
        <v/>
      </c>
      <c r="V310" s="14" t="str">
        <f>IF(A310="","",ARBITRAGES!M311)</f>
        <v/>
      </c>
      <c r="W310" s="343" t="str">
        <f>IF(V310="","",'Historique détail'!U310)</f>
        <v/>
      </c>
      <c r="X310" s="288"/>
      <c r="Y310" s="310"/>
      <c r="Z310" s="310"/>
      <c r="AA310" s="310"/>
      <c r="AB310" s="310"/>
      <c r="AC310" s="310"/>
      <c r="AD310" s="310"/>
      <c r="AE310" s="310"/>
      <c r="AF310" s="220"/>
      <c r="AG310" s="220"/>
      <c r="AH310" s="220"/>
      <c r="AI310" s="308"/>
      <c r="AJ310" s="220"/>
      <c r="AK310" s="220"/>
      <c r="AL310" s="220"/>
      <c r="AM310" s="220"/>
      <c r="AN310" s="220"/>
      <c r="AO310" s="220"/>
      <c r="AP310" s="220"/>
      <c r="AQ310" s="220"/>
      <c r="AR310" s="220"/>
      <c r="AS310" s="220"/>
      <c r="AT310" s="220"/>
      <c r="AU310" s="220"/>
      <c r="AV310" s="220"/>
      <c r="AW310" s="220"/>
      <c r="AX310" s="220"/>
      <c r="AY310" s="220"/>
      <c r="AZ310" s="220"/>
      <c r="BA310" s="202" t="s">
        <v>7</v>
      </c>
      <c r="BB310" s="310">
        <v>4.755</v>
      </c>
    </row>
    <row r="311">
      <c r="A311" s="290" t="str">
        <f>PRIX!A312</f>
        <v/>
      </c>
      <c r="B311" s="302" t="str">
        <f t="shared" si="1"/>
        <v/>
      </c>
      <c r="C311" s="341" t="str">
        <f>IF(A311="","",'Historique détail'!B311/$W311)</f>
        <v/>
      </c>
      <c r="D311" s="341" t="str">
        <f>IF(B311="","",'Historique détail'!C311/$W311)</f>
        <v/>
      </c>
      <c r="E311" s="341" t="str">
        <f>IF(C311="","",'Historique détail'!D311/$W311)</f>
        <v/>
      </c>
      <c r="F311" s="341" t="str">
        <f>IF(D311="","",'Historique détail'!E311/$W311)</f>
        <v/>
      </c>
      <c r="G311" s="341" t="str">
        <f>IF(E311="","",'Historique détail'!F311/$W311)</f>
        <v/>
      </c>
      <c r="H311" s="341" t="str">
        <f>IF(F311="","",'Historique détail'!G311/$W311)</f>
        <v/>
      </c>
      <c r="I311" s="341" t="str">
        <f>IF(G311="","",'Historique détail'!H311/$W311)</f>
        <v/>
      </c>
      <c r="J311" s="341" t="str">
        <f>IF(H311="","",'Historique détail'!I311/$W311)</f>
        <v/>
      </c>
      <c r="K311" s="341" t="str">
        <f>IF(I311="","",'Historique détail'!J311/$W311)</f>
        <v/>
      </c>
      <c r="L311" s="341" t="str">
        <f>IF(J311="","",'Historique détail'!K311/$W311)</f>
        <v/>
      </c>
      <c r="M311" s="341" t="str">
        <f>IF(K311="","",'Historique détail'!L311/$W311)</f>
        <v/>
      </c>
      <c r="N311" s="341" t="str">
        <f>IF(L311="","",'Historique détail'!M311/$W311)</f>
        <v/>
      </c>
      <c r="O311" s="341" t="str">
        <f>IF(M311="","",'Historique détail'!N311/$W311)</f>
        <v/>
      </c>
      <c r="P311" s="341" t="str">
        <f>IF(N311="","",'Historique détail'!O311/$W311)</f>
        <v/>
      </c>
      <c r="Q311" s="341" t="str">
        <f>IF(O311="","",'Historique détail'!P311/$W311)</f>
        <v/>
      </c>
      <c r="R311" s="341" t="str">
        <f>IF(P311="","",'Historique détail'!Q311/$W311)</f>
        <v/>
      </c>
      <c r="S311" s="341" t="str">
        <f>IF(Q311="","",'Historique détail'!R311/$W311)</f>
        <v/>
      </c>
      <c r="T311" s="341" t="str">
        <f>IF(R311="","",'Historique détail'!S311/$W311)</f>
        <v/>
      </c>
      <c r="U311" s="340" t="str">
        <f t="shared" si="2"/>
        <v/>
      </c>
      <c r="V311" s="14" t="str">
        <f>IF(A311="","",ARBITRAGES!M312)</f>
        <v/>
      </c>
      <c r="W311" s="343" t="str">
        <f>IF(V311="","",'Historique détail'!U311)</f>
        <v/>
      </c>
      <c r="X311" s="288"/>
      <c r="Y311" s="310"/>
      <c r="Z311" s="310"/>
      <c r="AA311" s="310"/>
      <c r="AB311" s="310"/>
      <c r="AC311" s="310"/>
      <c r="AD311" s="310"/>
      <c r="AE311" s="310"/>
      <c r="AF311" s="220"/>
      <c r="AG311" s="220"/>
      <c r="AH311" s="220"/>
      <c r="AI311" s="308"/>
      <c r="AJ311" s="220"/>
      <c r="AK311" s="220"/>
      <c r="AL311" s="220"/>
      <c r="AM311" s="220"/>
      <c r="AN311" s="220"/>
      <c r="AO311" s="220"/>
      <c r="AP311" s="220"/>
      <c r="AQ311" s="220"/>
      <c r="AR311" s="220"/>
      <c r="AS311" s="220"/>
      <c r="AT311" s="220"/>
      <c r="AU311" s="220"/>
      <c r="AV311" s="220"/>
      <c r="AW311" s="220"/>
      <c r="AX311" s="220"/>
      <c r="AY311" s="220"/>
      <c r="AZ311" s="220"/>
      <c r="BA311" s="202" t="s">
        <v>7</v>
      </c>
      <c r="BB311" s="310">
        <v>4.755</v>
      </c>
    </row>
    <row r="312">
      <c r="A312" s="290" t="str">
        <f>PRIX!A313</f>
        <v/>
      </c>
      <c r="B312" s="302" t="str">
        <f t="shared" si="1"/>
        <v/>
      </c>
      <c r="C312" s="341" t="str">
        <f>IF(A312="","",'Historique détail'!B312/$W312)</f>
        <v/>
      </c>
      <c r="D312" s="341" t="str">
        <f>IF(B312="","",'Historique détail'!C312/$W312)</f>
        <v/>
      </c>
      <c r="E312" s="341" t="str">
        <f>IF(C312="","",'Historique détail'!D312/$W312)</f>
        <v/>
      </c>
      <c r="F312" s="341" t="str">
        <f>IF(D312="","",'Historique détail'!E312/$W312)</f>
        <v/>
      </c>
      <c r="G312" s="341" t="str">
        <f>IF(E312="","",'Historique détail'!F312/$W312)</f>
        <v/>
      </c>
      <c r="H312" s="341" t="str">
        <f>IF(F312="","",'Historique détail'!G312/$W312)</f>
        <v/>
      </c>
      <c r="I312" s="341" t="str">
        <f>IF(G312="","",'Historique détail'!H312/$W312)</f>
        <v/>
      </c>
      <c r="J312" s="341" t="str">
        <f>IF(H312="","",'Historique détail'!I312/$W312)</f>
        <v/>
      </c>
      <c r="K312" s="341" t="str">
        <f>IF(I312="","",'Historique détail'!J312/$W312)</f>
        <v/>
      </c>
      <c r="L312" s="341" t="str">
        <f>IF(J312="","",'Historique détail'!K312/$W312)</f>
        <v/>
      </c>
      <c r="M312" s="341" t="str">
        <f>IF(K312="","",'Historique détail'!L312/$W312)</f>
        <v/>
      </c>
      <c r="N312" s="341" t="str">
        <f>IF(L312="","",'Historique détail'!M312/$W312)</f>
        <v/>
      </c>
      <c r="O312" s="341" t="str">
        <f>IF(M312="","",'Historique détail'!N312/$W312)</f>
        <v/>
      </c>
      <c r="P312" s="341" t="str">
        <f>IF(N312="","",'Historique détail'!O312/$W312)</f>
        <v/>
      </c>
      <c r="Q312" s="341" t="str">
        <f>IF(O312="","",'Historique détail'!P312/$W312)</f>
        <v/>
      </c>
      <c r="R312" s="341" t="str">
        <f>IF(P312="","",'Historique détail'!Q312/$W312)</f>
        <v/>
      </c>
      <c r="S312" s="341" t="str">
        <f>IF(Q312="","",'Historique détail'!R312/$W312)</f>
        <v/>
      </c>
      <c r="T312" s="341" t="str">
        <f>IF(R312="","",'Historique détail'!S312/$W312)</f>
        <v/>
      </c>
      <c r="U312" s="340" t="str">
        <f t="shared" si="2"/>
        <v/>
      </c>
      <c r="V312" s="14" t="str">
        <f>IF(A312="","",ARBITRAGES!M313)</f>
        <v/>
      </c>
      <c r="W312" s="343" t="str">
        <f>IF(V312="","",'Historique détail'!U312)</f>
        <v/>
      </c>
      <c r="X312" s="288"/>
      <c r="Y312" s="310"/>
      <c r="Z312" s="310"/>
      <c r="AA312" s="310"/>
      <c r="AB312" s="310"/>
      <c r="AC312" s="310"/>
      <c r="AD312" s="310"/>
      <c r="AE312" s="310"/>
      <c r="AF312" s="220"/>
      <c r="AG312" s="220"/>
      <c r="AH312" s="220"/>
      <c r="AI312" s="308"/>
      <c r="AJ312" s="220"/>
      <c r="AK312" s="220"/>
      <c r="AL312" s="220"/>
      <c r="AM312" s="220"/>
      <c r="AN312" s="220"/>
      <c r="AO312" s="220"/>
      <c r="AP312" s="220"/>
      <c r="AQ312" s="220"/>
      <c r="AR312" s="220"/>
      <c r="AS312" s="220"/>
      <c r="AT312" s="220"/>
      <c r="AU312" s="220"/>
      <c r="AV312" s="220"/>
      <c r="AW312" s="220"/>
      <c r="AX312" s="220"/>
      <c r="AY312" s="220"/>
      <c r="AZ312" s="220"/>
      <c r="BA312" s="202" t="s">
        <v>7</v>
      </c>
      <c r="BB312" s="310">
        <v>4.755</v>
      </c>
    </row>
    <row r="313">
      <c r="A313" s="290" t="str">
        <f>PRIX!A314</f>
        <v/>
      </c>
      <c r="B313" s="302" t="str">
        <f t="shared" si="1"/>
        <v/>
      </c>
      <c r="C313" s="341" t="str">
        <f>IF(A313="","",'Historique détail'!B313/$W313)</f>
        <v/>
      </c>
      <c r="D313" s="341" t="str">
        <f>IF(B313="","",'Historique détail'!C313/$W313)</f>
        <v/>
      </c>
      <c r="E313" s="341" t="str">
        <f>IF(C313="","",'Historique détail'!D313/$W313)</f>
        <v/>
      </c>
      <c r="F313" s="341" t="str">
        <f>IF(D313="","",'Historique détail'!E313/$W313)</f>
        <v/>
      </c>
      <c r="G313" s="341" t="str">
        <f>IF(E313="","",'Historique détail'!F313/$W313)</f>
        <v/>
      </c>
      <c r="H313" s="341" t="str">
        <f>IF(F313="","",'Historique détail'!G313/$W313)</f>
        <v/>
      </c>
      <c r="I313" s="341" t="str">
        <f>IF(G313="","",'Historique détail'!H313/$W313)</f>
        <v/>
      </c>
      <c r="J313" s="341" t="str">
        <f>IF(H313="","",'Historique détail'!I313/$W313)</f>
        <v/>
      </c>
      <c r="K313" s="341" t="str">
        <f>IF(I313="","",'Historique détail'!J313/$W313)</f>
        <v/>
      </c>
      <c r="L313" s="341" t="str">
        <f>IF(J313="","",'Historique détail'!K313/$W313)</f>
        <v/>
      </c>
      <c r="M313" s="341" t="str">
        <f>IF(K313="","",'Historique détail'!L313/$W313)</f>
        <v/>
      </c>
      <c r="N313" s="341" t="str">
        <f>IF(L313="","",'Historique détail'!M313/$W313)</f>
        <v/>
      </c>
      <c r="O313" s="341" t="str">
        <f>IF(M313="","",'Historique détail'!N313/$W313)</f>
        <v/>
      </c>
      <c r="P313" s="341" t="str">
        <f>IF(N313="","",'Historique détail'!O313/$W313)</f>
        <v/>
      </c>
      <c r="Q313" s="341" t="str">
        <f>IF(O313="","",'Historique détail'!P313/$W313)</f>
        <v/>
      </c>
      <c r="R313" s="341" t="str">
        <f>IF(P313="","",'Historique détail'!Q313/$W313)</f>
        <v/>
      </c>
      <c r="S313" s="341" t="str">
        <f>IF(Q313="","",'Historique détail'!R313/$W313)</f>
        <v/>
      </c>
      <c r="T313" s="341" t="str">
        <f>IF(R313="","",'Historique détail'!S313/$W313)</f>
        <v/>
      </c>
      <c r="U313" s="340" t="str">
        <f t="shared" si="2"/>
        <v/>
      </c>
      <c r="V313" s="14" t="str">
        <f>IF(A313="","",ARBITRAGES!M314)</f>
        <v/>
      </c>
      <c r="W313" s="343" t="str">
        <f>IF(V313="","",'Historique détail'!U313)</f>
        <v/>
      </c>
      <c r="X313" s="288"/>
      <c r="Y313" s="310"/>
      <c r="Z313" s="310"/>
      <c r="AA313" s="310"/>
      <c r="AB313" s="310"/>
      <c r="AC313" s="310"/>
      <c r="AD313" s="310"/>
      <c r="AE313" s="310"/>
      <c r="AF313" s="220"/>
      <c r="AG313" s="220"/>
      <c r="AH313" s="220"/>
      <c r="AI313" s="308"/>
      <c r="AJ313" s="220"/>
      <c r="AK313" s="220"/>
      <c r="AL313" s="220"/>
      <c r="AM313" s="220"/>
      <c r="AN313" s="220"/>
      <c r="AO313" s="220"/>
      <c r="AP313" s="220"/>
      <c r="AQ313" s="220"/>
      <c r="AR313" s="220"/>
      <c r="AS313" s="220"/>
      <c r="AT313" s="220"/>
      <c r="AU313" s="220"/>
      <c r="AV313" s="220"/>
      <c r="AW313" s="220"/>
      <c r="AX313" s="220"/>
      <c r="AY313" s="220"/>
      <c r="AZ313" s="220"/>
      <c r="BA313" s="202" t="s">
        <v>6</v>
      </c>
      <c r="BB313" s="310">
        <v>2700.0</v>
      </c>
    </row>
    <row r="314">
      <c r="A314" s="290" t="str">
        <f>PRIX!A315</f>
        <v/>
      </c>
      <c r="B314" s="302" t="str">
        <f t="shared" si="1"/>
        <v/>
      </c>
      <c r="C314" s="341" t="str">
        <f>IF(A314="","",'Historique détail'!B314/$W314)</f>
        <v/>
      </c>
      <c r="D314" s="341" t="str">
        <f>IF(B314="","",'Historique détail'!C314/$W314)</f>
        <v/>
      </c>
      <c r="E314" s="341" t="str">
        <f>IF(C314="","",'Historique détail'!D314/$W314)</f>
        <v/>
      </c>
      <c r="F314" s="341" t="str">
        <f>IF(D314="","",'Historique détail'!E314/$W314)</f>
        <v/>
      </c>
      <c r="G314" s="341" t="str">
        <f>IF(E314="","",'Historique détail'!F314/$W314)</f>
        <v/>
      </c>
      <c r="H314" s="341" t="str">
        <f>IF(F314="","",'Historique détail'!G314/$W314)</f>
        <v/>
      </c>
      <c r="I314" s="341" t="str">
        <f>IF(G314="","",'Historique détail'!H314/$W314)</f>
        <v/>
      </c>
      <c r="J314" s="341" t="str">
        <f>IF(H314="","",'Historique détail'!I314/$W314)</f>
        <v/>
      </c>
      <c r="K314" s="341" t="str">
        <f>IF(I314="","",'Historique détail'!J314/$W314)</f>
        <v/>
      </c>
      <c r="L314" s="341" t="str">
        <f>IF(J314="","",'Historique détail'!K314/$W314)</f>
        <v/>
      </c>
      <c r="M314" s="341" t="str">
        <f>IF(K314="","",'Historique détail'!L314/$W314)</f>
        <v/>
      </c>
      <c r="N314" s="341" t="str">
        <f>IF(L314="","",'Historique détail'!M314/$W314)</f>
        <v/>
      </c>
      <c r="O314" s="341" t="str">
        <f>IF(M314="","",'Historique détail'!N314/$W314)</f>
        <v/>
      </c>
      <c r="P314" s="341" t="str">
        <f>IF(N314="","",'Historique détail'!O314/$W314)</f>
        <v/>
      </c>
      <c r="Q314" s="341" t="str">
        <f>IF(O314="","",'Historique détail'!P314/$W314)</f>
        <v/>
      </c>
      <c r="R314" s="341" t="str">
        <f>IF(P314="","",'Historique détail'!Q314/$W314)</f>
        <v/>
      </c>
      <c r="S314" s="341" t="str">
        <f>IF(Q314="","",'Historique détail'!R314/$W314)</f>
        <v/>
      </c>
      <c r="T314" s="341" t="str">
        <f>IF(R314="","",'Historique détail'!S314/$W314)</f>
        <v/>
      </c>
      <c r="U314" s="340" t="str">
        <f t="shared" si="2"/>
        <v/>
      </c>
      <c r="V314" s="14" t="str">
        <f>IF(A314="","",ARBITRAGES!M315)</f>
        <v/>
      </c>
      <c r="W314" s="343" t="str">
        <f>IF(V314="","",'Historique détail'!U314)</f>
        <v/>
      </c>
      <c r="X314" s="288"/>
      <c r="Y314" s="310"/>
      <c r="Z314" s="310"/>
      <c r="AA314" s="310"/>
      <c r="AB314" s="310"/>
      <c r="AC314" s="310"/>
      <c r="AD314" s="310"/>
      <c r="AE314" s="310"/>
      <c r="AF314" s="220"/>
      <c r="AG314" s="220"/>
      <c r="AH314" s="220"/>
      <c r="AI314" s="308"/>
      <c r="AJ314" s="220"/>
      <c r="AK314" s="220"/>
      <c r="AL314" s="220"/>
      <c r="AM314" s="220"/>
      <c r="AN314" s="220"/>
      <c r="AO314" s="220"/>
      <c r="AP314" s="220"/>
      <c r="AQ314" s="220"/>
      <c r="AR314" s="220"/>
      <c r="AS314" s="220"/>
      <c r="AT314" s="220"/>
      <c r="AU314" s="220"/>
      <c r="AV314" s="220"/>
      <c r="AW314" s="220"/>
      <c r="AX314" s="220"/>
      <c r="AY314" s="220"/>
      <c r="AZ314" s="220"/>
      <c r="BA314" s="202" t="s">
        <v>6</v>
      </c>
      <c r="BB314" s="310">
        <v>2700.0</v>
      </c>
    </row>
    <row r="315">
      <c r="A315" s="290" t="str">
        <f>PRIX!A316</f>
        <v/>
      </c>
      <c r="B315" s="302" t="str">
        <f t="shared" si="1"/>
        <v/>
      </c>
      <c r="C315" s="341" t="str">
        <f>IF(A315="","",'Historique détail'!B315/$W315)</f>
        <v/>
      </c>
      <c r="D315" s="341" t="str">
        <f>IF(B315="","",'Historique détail'!C315/$W315)</f>
        <v/>
      </c>
      <c r="E315" s="341" t="str">
        <f>IF(C315="","",'Historique détail'!D315/$W315)</f>
        <v/>
      </c>
      <c r="F315" s="341" t="str">
        <f>IF(D315="","",'Historique détail'!E315/$W315)</f>
        <v/>
      </c>
      <c r="G315" s="341" t="str">
        <f>IF(E315="","",'Historique détail'!F315/$W315)</f>
        <v/>
      </c>
      <c r="H315" s="341" t="str">
        <f>IF(F315="","",'Historique détail'!G315/$W315)</f>
        <v/>
      </c>
      <c r="I315" s="341" t="str">
        <f>IF(G315="","",'Historique détail'!H315/$W315)</f>
        <v/>
      </c>
      <c r="J315" s="341" t="str">
        <f>IF(H315="","",'Historique détail'!I315/$W315)</f>
        <v/>
      </c>
      <c r="K315" s="341" t="str">
        <f>IF(I315="","",'Historique détail'!J315/$W315)</f>
        <v/>
      </c>
      <c r="L315" s="341" t="str">
        <f>IF(J315="","",'Historique détail'!K315/$W315)</f>
        <v/>
      </c>
      <c r="M315" s="341" t="str">
        <f>IF(K315="","",'Historique détail'!L315/$W315)</f>
        <v/>
      </c>
      <c r="N315" s="341" t="str">
        <f>IF(L315="","",'Historique détail'!M315/$W315)</f>
        <v/>
      </c>
      <c r="O315" s="341" t="str">
        <f>IF(M315="","",'Historique détail'!N315/$W315)</f>
        <v/>
      </c>
      <c r="P315" s="341" t="str">
        <f>IF(N315="","",'Historique détail'!O315/$W315)</f>
        <v/>
      </c>
      <c r="Q315" s="341" t="str">
        <f>IF(O315="","",'Historique détail'!P315/$W315)</f>
        <v/>
      </c>
      <c r="R315" s="341" t="str">
        <f>IF(P315="","",'Historique détail'!Q315/$W315)</f>
        <v/>
      </c>
      <c r="S315" s="341" t="str">
        <f>IF(Q315="","",'Historique détail'!R315/$W315)</f>
        <v/>
      </c>
      <c r="T315" s="341" t="str">
        <f>IF(R315="","",'Historique détail'!S315/$W315)</f>
        <v/>
      </c>
      <c r="U315" s="340" t="str">
        <f t="shared" si="2"/>
        <v/>
      </c>
      <c r="V315" s="14" t="str">
        <f>IF(A315="","",ARBITRAGES!M316)</f>
        <v/>
      </c>
      <c r="W315" s="343" t="str">
        <f>IF(V315="","",'Historique détail'!U315)</f>
        <v/>
      </c>
      <c r="X315" s="288"/>
      <c r="Y315" s="310"/>
      <c r="Z315" s="310"/>
      <c r="AA315" s="310"/>
      <c r="AB315" s="310"/>
      <c r="AC315" s="310"/>
      <c r="AD315" s="310"/>
      <c r="AE315" s="220"/>
      <c r="AF315" s="220"/>
      <c r="AG315" s="220"/>
      <c r="AH315" s="220"/>
      <c r="AI315" s="308"/>
      <c r="AJ315" s="220"/>
      <c r="AK315" s="220"/>
      <c r="AL315" s="220"/>
      <c r="AM315" s="220"/>
      <c r="AN315" s="220"/>
      <c r="AO315" s="220"/>
      <c r="AP315" s="220"/>
      <c r="AQ315" s="220"/>
      <c r="AR315" s="220"/>
      <c r="AS315" s="220"/>
      <c r="AT315" s="220"/>
      <c r="AU315" s="220"/>
      <c r="AV315" s="220"/>
      <c r="AW315" s="220"/>
      <c r="AX315" s="220"/>
      <c r="AY315" s="220"/>
      <c r="AZ315" s="202" t="s">
        <v>6</v>
      </c>
      <c r="BA315" s="310">
        <v>2700.0</v>
      </c>
      <c r="BB315" s="220"/>
    </row>
    <row r="316">
      <c r="A316" s="290" t="str">
        <f>PRIX!A317</f>
        <v/>
      </c>
      <c r="B316" s="302" t="str">
        <f t="shared" si="1"/>
        <v/>
      </c>
      <c r="C316" s="341" t="str">
        <f>IF(A316="","",'Historique détail'!B316/$W316)</f>
        <v/>
      </c>
      <c r="D316" s="341" t="str">
        <f>IF(B316="","",'Historique détail'!C316/$W316)</f>
        <v/>
      </c>
      <c r="E316" s="341" t="str">
        <f>IF(C316="","",'Historique détail'!D316/$W316)</f>
        <v/>
      </c>
      <c r="F316" s="341" t="str">
        <f>IF(D316="","",'Historique détail'!E316/$W316)</f>
        <v/>
      </c>
      <c r="G316" s="341" t="str">
        <f>IF(E316="","",'Historique détail'!F316/$W316)</f>
        <v/>
      </c>
      <c r="H316" s="341" t="str">
        <f>IF(F316="","",'Historique détail'!G316/$W316)</f>
        <v/>
      </c>
      <c r="I316" s="341" t="str">
        <f>IF(G316="","",'Historique détail'!H316/$W316)</f>
        <v/>
      </c>
      <c r="J316" s="341" t="str">
        <f>IF(H316="","",'Historique détail'!I316/$W316)</f>
        <v/>
      </c>
      <c r="K316" s="341" t="str">
        <f>IF(I316="","",'Historique détail'!J316/$W316)</f>
        <v/>
      </c>
      <c r="L316" s="341" t="str">
        <f>IF(J316="","",'Historique détail'!K316/$W316)</f>
        <v/>
      </c>
      <c r="M316" s="341" t="str">
        <f>IF(K316="","",'Historique détail'!L316/$W316)</f>
        <v/>
      </c>
      <c r="N316" s="341" t="str">
        <f>IF(L316="","",'Historique détail'!M316/$W316)</f>
        <v/>
      </c>
      <c r="O316" s="341" t="str">
        <f>IF(M316="","",'Historique détail'!N316/$W316)</f>
        <v/>
      </c>
      <c r="P316" s="341" t="str">
        <f>IF(N316="","",'Historique détail'!O316/$W316)</f>
        <v/>
      </c>
      <c r="Q316" s="341" t="str">
        <f>IF(O316="","",'Historique détail'!P316/$W316)</f>
        <v/>
      </c>
      <c r="R316" s="341" t="str">
        <f>IF(P316="","",'Historique détail'!Q316/$W316)</f>
        <v/>
      </c>
      <c r="S316" s="341" t="str">
        <f>IF(Q316="","",'Historique détail'!R316/$W316)</f>
        <v/>
      </c>
      <c r="T316" s="341" t="str">
        <f>IF(R316="","",'Historique détail'!S316/$W316)</f>
        <v/>
      </c>
      <c r="U316" s="340" t="str">
        <f t="shared" si="2"/>
        <v/>
      </c>
      <c r="V316" s="14" t="str">
        <f>IF(A316="","",ARBITRAGES!M317)</f>
        <v/>
      </c>
      <c r="W316" s="343" t="str">
        <f>IF(V316="","",'Historique détail'!U316)</f>
        <v/>
      </c>
      <c r="X316" s="288"/>
      <c r="Y316" s="310"/>
      <c r="Z316" s="310"/>
      <c r="AA316" s="310"/>
      <c r="AB316" s="310"/>
      <c r="AC316" s="310"/>
      <c r="AD316" s="310"/>
      <c r="AE316" s="220"/>
      <c r="AF316" s="220"/>
      <c r="AG316" s="220"/>
      <c r="AH316" s="220"/>
      <c r="AI316" s="308"/>
      <c r="AJ316" s="220"/>
      <c r="AK316" s="220"/>
      <c r="AL316" s="220"/>
      <c r="AM316" s="220"/>
      <c r="AN316" s="220"/>
      <c r="AO316" s="220"/>
      <c r="AP316" s="220"/>
      <c r="AQ316" s="220"/>
      <c r="AR316" s="220"/>
      <c r="AS316" s="220"/>
      <c r="AT316" s="220"/>
      <c r="AU316" s="220"/>
      <c r="AV316" s="220"/>
      <c r="AW316" s="220"/>
      <c r="AX316" s="220"/>
      <c r="AY316" s="220"/>
      <c r="AZ316" s="202" t="s">
        <v>6</v>
      </c>
      <c r="BA316" s="310">
        <v>2700.0</v>
      </c>
      <c r="BB316" s="220"/>
    </row>
    <row r="317">
      <c r="A317" s="290" t="str">
        <f>PRIX!A318</f>
        <v/>
      </c>
      <c r="B317" s="302" t="str">
        <f t="shared" si="1"/>
        <v/>
      </c>
      <c r="C317" s="341" t="str">
        <f>IF(A317="","",'Historique détail'!B317/$W317)</f>
        <v/>
      </c>
      <c r="D317" s="341" t="str">
        <f>IF(B317="","",'Historique détail'!C317/$W317)</f>
        <v/>
      </c>
      <c r="E317" s="341" t="str">
        <f>IF(C317="","",'Historique détail'!D317/$W317)</f>
        <v/>
      </c>
      <c r="F317" s="341" t="str">
        <f>IF(D317="","",'Historique détail'!E317/$W317)</f>
        <v/>
      </c>
      <c r="G317" s="341" t="str">
        <f>IF(E317="","",'Historique détail'!F317/$W317)</f>
        <v/>
      </c>
      <c r="H317" s="341" t="str">
        <f>IF(F317="","",'Historique détail'!G317/$W317)</f>
        <v/>
      </c>
      <c r="I317" s="341" t="str">
        <f>IF(G317="","",'Historique détail'!H317/$W317)</f>
        <v/>
      </c>
      <c r="J317" s="341" t="str">
        <f>IF(H317="","",'Historique détail'!I317/$W317)</f>
        <v/>
      </c>
      <c r="K317" s="341" t="str">
        <f>IF(I317="","",'Historique détail'!J317/$W317)</f>
        <v/>
      </c>
      <c r="L317" s="341" t="str">
        <f>IF(J317="","",'Historique détail'!K317/$W317)</f>
        <v/>
      </c>
      <c r="M317" s="341" t="str">
        <f>IF(K317="","",'Historique détail'!L317/$W317)</f>
        <v/>
      </c>
      <c r="N317" s="341" t="str">
        <f>IF(L317="","",'Historique détail'!M317/$W317)</f>
        <v/>
      </c>
      <c r="O317" s="341" t="str">
        <f>IF(M317="","",'Historique détail'!N317/$W317)</f>
        <v/>
      </c>
      <c r="P317" s="341" t="str">
        <f>IF(N317="","",'Historique détail'!O317/$W317)</f>
        <v/>
      </c>
      <c r="Q317" s="341" t="str">
        <f>IF(O317="","",'Historique détail'!P317/$W317)</f>
        <v/>
      </c>
      <c r="R317" s="341" t="str">
        <f>IF(P317="","",'Historique détail'!Q317/$W317)</f>
        <v/>
      </c>
      <c r="S317" s="341" t="str">
        <f>IF(Q317="","",'Historique détail'!R317/$W317)</f>
        <v/>
      </c>
      <c r="T317" s="341" t="str">
        <f>IF(R317="","",'Historique détail'!S317/$W317)</f>
        <v/>
      </c>
      <c r="U317" s="340" t="str">
        <f t="shared" si="2"/>
        <v/>
      </c>
      <c r="V317" s="14" t="str">
        <f>IF(A317="","",ARBITRAGES!M318)</f>
        <v/>
      </c>
      <c r="W317" s="343" t="str">
        <f>IF(V317="","",'Historique détail'!U317)</f>
        <v/>
      </c>
      <c r="X317" s="288"/>
      <c r="Y317" s="310"/>
      <c r="Z317" s="310"/>
      <c r="AA317" s="310"/>
      <c r="AB317" s="310"/>
      <c r="AC317" s="310"/>
      <c r="AD317" s="310"/>
      <c r="AE317" s="220"/>
      <c r="AF317" s="220"/>
      <c r="AG317" s="220"/>
      <c r="AH317" s="220"/>
      <c r="AI317" s="308"/>
      <c r="AJ317" s="220"/>
      <c r="AK317" s="220"/>
      <c r="AL317" s="220"/>
      <c r="AM317" s="220"/>
      <c r="AN317" s="220"/>
      <c r="AO317" s="220"/>
      <c r="AP317" s="220"/>
      <c r="AQ317" s="220"/>
      <c r="AR317" s="220"/>
      <c r="AS317" s="220"/>
      <c r="AT317" s="220"/>
      <c r="AU317" s="220"/>
      <c r="AV317" s="220"/>
      <c r="AW317" s="220"/>
      <c r="AX317" s="220"/>
      <c r="AY317" s="220"/>
      <c r="AZ317" s="202" t="s">
        <v>6</v>
      </c>
      <c r="BA317" s="310">
        <v>2700.0</v>
      </c>
      <c r="BB317" s="220"/>
    </row>
    <row r="318">
      <c r="A318" s="290" t="str">
        <f>PRIX!A319</f>
        <v/>
      </c>
      <c r="B318" s="302" t="str">
        <f t="shared" si="1"/>
        <v/>
      </c>
      <c r="C318" s="341" t="str">
        <f>IF(A318="","",'Historique détail'!B318/$W318)</f>
        <v/>
      </c>
      <c r="D318" s="341" t="str">
        <f>IF(B318="","",'Historique détail'!C318/$W318)</f>
        <v/>
      </c>
      <c r="E318" s="341" t="str">
        <f>IF(C318="","",'Historique détail'!D318/$W318)</f>
        <v/>
      </c>
      <c r="F318" s="341" t="str">
        <f>IF(D318="","",'Historique détail'!E318/$W318)</f>
        <v/>
      </c>
      <c r="G318" s="341" t="str">
        <f>IF(E318="","",'Historique détail'!F318/$W318)</f>
        <v/>
      </c>
      <c r="H318" s="341" t="str">
        <f>IF(F318="","",'Historique détail'!G318/$W318)</f>
        <v/>
      </c>
      <c r="I318" s="341" t="str">
        <f>IF(G318="","",'Historique détail'!H318/$W318)</f>
        <v/>
      </c>
      <c r="J318" s="341" t="str">
        <f>IF(H318="","",'Historique détail'!I318/$W318)</f>
        <v/>
      </c>
      <c r="K318" s="341" t="str">
        <f>IF(I318="","",'Historique détail'!J318/$W318)</f>
        <v/>
      </c>
      <c r="L318" s="341" t="str">
        <f>IF(J318="","",'Historique détail'!K318/$W318)</f>
        <v/>
      </c>
      <c r="M318" s="341" t="str">
        <f>IF(K318="","",'Historique détail'!L318/$W318)</f>
        <v/>
      </c>
      <c r="N318" s="341" t="str">
        <f>IF(L318="","",'Historique détail'!M318/$W318)</f>
        <v/>
      </c>
      <c r="O318" s="341" t="str">
        <f>IF(M318="","",'Historique détail'!N318/$W318)</f>
        <v/>
      </c>
      <c r="P318" s="341" t="str">
        <f>IF(N318="","",'Historique détail'!O318/$W318)</f>
        <v/>
      </c>
      <c r="Q318" s="341" t="str">
        <f>IF(O318="","",'Historique détail'!P318/$W318)</f>
        <v/>
      </c>
      <c r="R318" s="341" t="str">
        <f>IF(P318="","",'Historique détail'!Q318/$W318)</f>
        <v/>
      </c>
      <c r="S318" s="341" t="str">
        <f>IF(Q318="","",'Historique détail'!R318/$W318)</f>
        <v/>
      </c>
      <c r="T318" s="341" t="str">
        <f>IF(R318="","",'Historique détail'!S318/$W318)</f>
        <v/>
      </c>
      <c r="U318" s="340" t="str">
        <f t="shared" si="2"/>
        <v/>
      </c>
      <c r="V318" s="14" t="str">
        <f>IF(A318="","",ARBITRAGES!M319)</f>
        <v/>
      </c>
      <c r="W318" s="343" t="str">
        <f>IF(V318="","",'Historique détail'!U318)</f>
        <v/>
      </c>
      <c r="X318" s="288"/>
      <c r="Y318" s="310"/>
      <c r="Z318" s="310"/>
      <c r="AA318" s="310"/>
      <c r="AB318" s="310"/>
      <c r="AC318" s="310"/>
      <c r="AD318" s="310"/>
      <c r="AE318" s="220"/>
      <c r="AF318" s="220"/>
      <c r="AG318" s="220"/>
      <c r="AH318" s="220"/>
      <c r="AI318" s="308"/>
      <c r="AJ318" s="220"/>
      <c r="AK318" s="220"/>
      <c r="AL318" s="220"/>
      <c r="AM318" s="220"/>
      <c r="AN318" s="220"/>
      <c r="AO318" s="220"/>
      <c r="AP318" s="220"/>
      <c r="AQ318" s="220"/>
      <c r="AR318" s="220"/>
      <c r="AS318" s="220"/>
      <c r="AT318" s="220"/>
      <c r="AU318" s="220"/>
      <c r="AV318" s="220"/>
      <c r="AW318" s="220"/>
      <c r="AX318" s="220"/>
      <c r="AY318" s="220"/>
      <c r="AZ318" s="202" t="s">
        <v>6</v>
      </c>
      <c r="BA318" s="310">
        <v>2700.0</v>
      </c>
      <c r="BB318" s="220"/>
    </row>
    <row r="319">
      <c r="A319" s="290" t="str">
        <f>PRIX!A320</f>
        <v/>
      </c>
      <c r="B319" s="302" t="str">
        <f t="shared" si="1"/>
        <v/>
      </c>
      <c r="C319" s="341" t="str">
        <f>IF(A319="","",'Historique détail'!B319/$W319)</f>
        <v/>
      </c>
      <c r="D319" s="341" t="str">
        <f>IF(B319="","",'Historique détail'!C319/$W319)</f>
        <v/>
      </c>
      <c r="E319" s="341" t="str">
        <f>IF(C319="","",'Historique détail'!D319/$W319)</f>
        <v/>
      </c>
      <c r="F319" s="341" t="str">
        <f>IF(D319="","",'Historique détail'!E319/$W319)</f>
        <v/>
      </c>
      <c r="G319" s="341" t="str">
        <f>IF(E319="","",'Historique détail'!F319/$W319)</f>
        <v/>
      </c>
      <c r="H319" s="341" t="str">
        <f>IF(F319="","",'Historique détail'!G319/$W319)</f>
        <v/>
      </c>
      <c r="I319" s="341" t="str">
        <f>IF(G319="","",'Historique détail'!H319/$W319)</f>
        <v/>
      </c>
      <c r="J319" s="341" t="str">
        <f>IF(H319="","",'Historique détail'!I319/$W319)</f>
        <v/>
      </c>
      <c r="K319" s="341" t="str">
        <f>IF(I319="","",'Historique détail'!J319/$W319)</f>
        <v/>
      </c>
      <c r="L319" s="341" t="str">
        <f>IF(J319="","",'Historique détail'!K319/$W319)</f>
        <v/>
      </c>
      <c r="M319" s="341" t="str">
        <f>IF(K319="","",'Historique détail'!L319/$W319)</f>
        <v/>
      </c>
      <c r="N319" s="341" t="str">
        <f>IF(L319="","",'Historique détail'!M319/$W319)</f>
        <v/>
      </c>
      <c r="O319" s="341" t="str">
        <f>IF(M319="","",'Historique détail'!N319/$W319)</f>
        <v/>
      </c>
      <c r="P319" s="341" t="str">
        <f>IF(N319="","",'Historique détail'!O319/$W319)</f>
        <v/>
      </c>
      <c r="Q319" s="341" t="str">
        <f>IF(O319="","",'Historique détail'!P319/$W319)</f>
        <v/>
      </c>
      <c r="R319" s="341" t="str">
        <f>IF(P319="","",'Historique détail'!Q319/$W319)</f>
        <v/>
      </c>
      <c r="S319" s="341" t="str">
        <f>IF(Q319="","",'Historique détail'!R319/$W319)</f>
        <v/>
      </c>
      <c r="T319" s="341" t="str">
        <f>IF(R319="","",'Historique détail'!S319/$W319)</f>
        <v/>
      </c>
      <c r="U319" s="340" t="str">
        <f t="shared" si="2"/>
        <v/>
      </c>
      <c r="V319" s="14" t="str">
        <f>IF(A319="","",ARBITRAGES!M320)</f>
        <v/>
      </c>
      <c r="W319" s="343" t="str">
        <f>IF(V319="","",'Historique détail'!U319)</f>
        <v/>
      </c>
      <c r="X319" s="288"/>
      <c r="Y319" s="310"/>
      <c r="Z319" s="310"/>
      <c r="AA319" s="310"/>
      <c r="AB319" s="310"/>
      <c r="AC319" s="310"/>
      <c r="AD319" s="310"/>
      <c r="AE319" s="220"/>
      <c r="AF319" s="220"/>
      <c r="AG319" s="220"/>
      <c r="AH319" s="220"/>
      <c r="AI319" s="308"/>
      <c r="AJ319" s="220"/>
      <c r="AK319" s="220"/>
      <c r="AL319" s="220"/>
      <c r="AM319" s="220"/>
      <c r="AN319" s="220"/>
      <c r="AO319" s="220"/>
      <c r="AP319" s="220"/>
      <c r="AQ319" s="220"/>
      <c r="AR319" s="220"/>
      <c r="AS319" s="220"/>
      <c r="AT319" s="220"/>
      <c r="AU319" s="220"/>
      <c r="AV319" s="220"/>
      <c r="AW319" s="220"/>
      <c r="AX319" s="220"/>
      <c r="AY319" s="220"/>
      <c r="AZ319" s="202" t="s">
        <v>6</v>
      </c>
      <c r="BA319" s="310">
        <v>2920.0</v>
      </c>
      <c r="BB319" s="220"/>
    </row>
    <row r="320">
      <c r="A320" s="290" t="str">
        <f>PRIX!A321</f>
        <v/>
      </c>
      <c r="B320" s="302" t="str">
        <f t="shared" si="1"/>
        <v/>
      </c>
      <c r="C320" s="341" t="str">
        <f>IF(A320="","",'Historique détail'!B320/$W320)</f>
        <v/>
      </c>
      <c r="D320" s="341" t="str">
        <f>IF(B320="","",'Historique détail'!C320/$W320)</f>
        <v/>
      </c>
      <c r="E320" s="341" t="str">
        <f>IF(C320="","",'Historique détail'!D320/$W320)</f>
        <v/>
      </c>
      <c r="F320" s="341" t="str">
        <f>IF(D320="","",'Historique détail'!E320/$W320)</f>
        <v/>
      </c>
      <c r="G320" s="341" t="str">
        <f>IF(E320="","",'Historique détail'!F320/$W320)</f>
        <v/>
      </c>
      <c r="H320" s="341" t="str">
        <f>IF(F320="","",'Historique détail'!G320/$W320)</f>
        <v/>
      </c>
      <c r="I320" s="341" t="str">
        <f>IF(G320="","",'Historique détail'!H320/$W320)</f>
        <v/>
      </c>
      <c r="J320" s="341" t="str">
        <f>IF(H320="","",'Historique détail'!I320/$W320)</f>
        <v/>
      </c>
      <c r="K320" s="341" t="str">
        <f>IF(I320="","",'Historique détail'!J320/$W320)</f>
        <v/>
      </c>
      <c r="L320" s="341" t="str">
        <f>IF(J320="","",'Historique détail'!K320/$W320)</f>
        <v/>
      </c>
      <c r="M320" s="341" t="str">
        <f>IF(K320="","",'Historique détail'!L320/$W320)</f>
        <v/>
      </c>
      <c r="N320" s="341" t="str">
        <f>IF(L320="","",'Historique détail'!M320/$W320)</f>
        <v/>
      </c>
      <c r="O320" s="341" t="str">
        <f>IF(M320="","",'Historique détail'!N320/$W320)</f>
        <v/>
      </c>
      <c r="P320" s="341" t="str">
        <f>IF(N320="","",'Historique détail'!O320/$W320)</f>
        <v/>
      </c>
      <c r="Q320" s="341" t="str">
        <f>IF(O320="","",'Historique détail'!P320/$W320)</f>
        <v/>
      </c>
      <c r="R320" s="341" t="str">
        <f>IF(P320="","",'Historique détail'!Q320/$W320)</f>
        <v/>
      </c>
      <c r="S320" s="341" t="str">
        <f>IF(Q320="","",'Historique détail'!R320/$W320)</f>
        <v/>
      </c>
      <c r="T320" s="341" t="str">
        <f>IF(R320="","",'Historique détail'!S320/$W320)</f>
        <v/>
      </c>
      <c r="U320" s="340" t="str">
        <f t="shared" si="2"/>
        <v/>
      </c>
      <c r="V320" s="14" t="str">
        <f>IF(A320="","",ARBITRAGES!M321)</f>
        <v/>
      </c>
      <c r="W320" s="343" t="str">
        <f>IF(V320="","",'Historique détail'!U320)</f>
        <v/>
      </c>
      <c r="X320" s="288"/>
      <c r="Y320" s="310"/>
      <c r="Z320" s="310"/>
      <c r="AA320" s="310"/>
      <c r="AB320" s="310"/>
      <c r="AC320" s="310"/>
      <c r="AD320" s="310"/>
      <c r="AE320" s="220"/>
      <c r="AF320" s="220"/>
      <c r="AG320" s="220"/>
      <c r="AH320" s="220"/>
      <c r="AI320" s="308"/>
      <c r="AJ320" s="220"/>
      <c r="AK320" s="220"/>
      <c r="AL320" s="220"/>
      <c r="AM320" s="220"/>
      <c r="AN320" s="220"/>
      <c r="AO320" s="220"/>
      <c r="AP320" s="220"/>
      <c r="AQ320" s="220"/>
      <c r="AR320" s="220"/>
      <c r="AS320" s="220"/>
      <c r="AT320" s="220"/>
      <c r="AU320" s="220"/>
      <c r="AV320" s="220"/>
      <c r="AW320" s="220"/>
      <c r="AX320" s="220"/>
      <c r="AY320" s="220"/>
      <c r="AZ320" s="202" t="s">
        <v>6</v>
      </c>
      <c r="BA320" s="310">
        <v>2920.0</v>
      </c>
      <c r="BB320" s="220"/>
    </row>
    <row r="321">
      <c r="A321" s="344"/>
      <c r="B321" s="302" t="str">
        <f t="shared" si="1"/>
        <v/>
      </c>
      <c r="C321" s="341" t="str">
        <f>IF(A321="","",'Historique détail'!B321/$W321)</f>
        <v/>
      </c>
      <c r="D321" s="341" t="str">
        <f>IF(B321="","",'Historique détail'!C321/$W321)</f>
        <v/>
      </c>
      <c r="E321" s="341" t="str">
        <f>IF(C321="","",'Historique détail'!D321/$W321)</f>
        <v/>
      </c>
      <c r="F321" s="341" t="str">
        <f>IF(D321="","",'Historique détail'!E321/$W321)</f>
        <v/>
      </c>
      <c r="G321" s="341" t="str">
        <f>IF(E321="","",'Historique détail'!F321/$W321)</f>
        <v/>
      </c>
      <c r="H321" s="341" t="str">
        <f>IF(F321="","",'Historique détail'!G321/$W321)</f>
        <v/>
      </c>
      <c r="I321" s="341" t="str">
        <f>IF(G321="","",'Historique détail'!H321/$W321)</f>
        <v/>
      </c>
      <c r="J321" s="341" t="str">
        <f>IF(H321="","",'Historique détail'!I321/$W321)</f>
        <v/>
      </c>
      <c r="K321" s="341" t="str">
        <f>IF(I321="","",'Historique détail'!J321/$W321)</f>
        <v/>
      </c>
      <c r="L321" s="341" t="str">
        <f>IF(J321="","",'Historique détail'!K321/$W321)</f>
        <v/>
      </c>
      <c r="M321" s="341" t="str">
        <f>IF(K321="","",'Historique détail'!L321/$W321)</f>
        <v/>
      </c>
      <c r="N321" s="341" t="str">
        <f>IF(L321="","",'Historique détail'!M321/$W321)</f>
        <v/>
      </c>
      <c r="O321" s="341" t="str">
        <f>IF(M321="","",'Historique détail'!N321/$W321)</f>
        <v/>
      </c>
      <c r="P321" s="341" t="str">
        <f>IF(N321="","",'Historique détail'!O321/$W321)</f>
        <v/>
      </c>
      <c r="Q321" s="341" t="str">
        <f>IF(O321="","",'Historique détail'!P321/$W321)</f>
        <v/>
      </c>
      <c r="R321" s="341" t="str">
        <f>IF(P321="","",'Historique détail'!Q321/$W321)</f>
        <v/>
      </c>
      <c r="S321" s="341" t="str">
        <f>IF(Q321="","",'Historique détail'!R321/$W321)</f>
        <v/>
      </c>
      <c r="T321" s="341" t="str">
        <f>IF(R321="","",'Historique détail'!S321/$W321)</f>
        <v/>
      </c>
      <c r="U321" s="340" t="str">
        <f t="shared" si="2"/>
        <v/>
      </c>
      <c r="V321" s="14" t="str">
        <f>IF(A321="","",ARBITRAGES!M322)</f>
        <v/>
      </c>
      <c r="W321" s="343" t="str">
        <f>IF(V321="","",'Historique détail'!U321)</f>
        <v/>
      </c>
      <c r="X321" s="288"/>
      <c r="Y321" s="310"/>
      <c r="Z321" s="310"/>
      <c r="AA321" s="310"/>
      <c r="AB321" s="310"/>
      <c r="AC321" s="310"/>
      <c r="AD321" s="310"/>
      <c r="AE321" s="220"/>
      <c r="AF321" s="220"/>
      <c r="AG321" s="220"/>
      <c r="AH321" s="220"/>
      <c r="AI321" s="308"/>
      <c r="AJ321" s="220"/>
      <c r="AK321" s="220"/>
      <c r="AL321" s="220"/>
      <c r="AM321" s="220"/>
      <c r="AN321" s="220"/>
      <c r="AO321" s="220"/>
      <c r="AP321" s="220"/>
      <c r="AQ321" s="220"/>
      <c r="AR321" s="220"/>
      <c r="AS321" s="220"/>
      <c r="AT321" s="220"/>
      <c r="AU321" s="220"/>
      <c r="AV321" s="220"/>
      <c r="AW321" s="220"/>
      <c r="AX321" s="220"/>
      <c r="AY321" s="220"/>
      <c r="AZ321" s="202" t="s">
        <v>7</v>
      </c>
      <c r="BA321" s="310">
        <v>5.1</v>
      </c>
      <c r="BB321" s="220"/>
    </row>
    <row r="322">
      <c r="A322" s="344"/>
      <c r="B322" s="302" t="str">
        <f t="shared" si="1"/>
        <v/>
      </c>
      <c r="C322" s="341" t="str">
        <f>IF(A322="","",'Historique détail'!B322/$W322)</f>
        <v/>
      </c>
      <c r="D322" s="341" t="str">
        <f>IF(B322="","",'Historique détail'!C322/$W322)</f>
        <v/>
      </c>
      <c r="E322" s="341" t="str">
        <f>IF(C322="","",'Historique détail'!D322/$W322)</f>
        <v/>
      </c>
      <c r="F322" s="341" t="str">
        <f>IF(D322="","",'Historique détail'!E322/$W322)</f>
        <v/>
      </c>
      <c r="G322" s="341" t="str">
        <f>IF(E322="","",'Historique détail'!F322/$W322)</f>
        <v/>
      </c>
      <c r="H322" s="341" t="str">
        <f>IF(F322="","",'Historique détail'!G322/$W322)</f>
        <v/>
      </c>
      <c r="I322" s="341" t="str">
        <f>IF(G322="","",'Historique détail'!H322/$W322)</f>
        <v/>
      </c>
      <c r="J322" s="341" t="str">
        <f>IF(H322="","",'Historique détail'!I322/$W322)</f>
        <v/>
      </c>
      <c r="K322" s="341" t="str">
        <f>IF(I322="","",'Historique détail'!J322/$W322)</f>
        <v/>
      </c>
      <c r="L322" s="341" t="str">
        <f>IF(J322="","",'Historique détail'!K322/$W322)</f>
        <v/>
      </c>
      <c r="M322" s="341" t="str">
        <f>IF(K322="","",'Historique détail'!L322/$W322)</f>
        <v/>
      </c>
      <c r="N322" s="341" t="str">
        <f>IF(L322="","",'Historique détail'!M322/$W322)</f>
        <v/>
      </c>
      <c r="O322" s="341" t="str">
        <f>IF(M322="","",'Historique détail'!N322/$W322)</f>
        <v/>
      </c>
      <c r="P322" s="341" t="str">
        <f>IF(N322="","",'Historique détail'!O322/$W322)</f>
        <v/>
      </c>
      <c r="Q322" s="341" t="str">
        <f>IF(O322="","",'Historique détail'!P322/$W322)</f>
        <v/>
      </c>
      <c r="R322" s="341" t="str">
        <f>IF(P322="","",'Historique détail'!Q322/$W322)</f>
        <v/>
      </c>
      <c r="S322" s="341" t="str">
        <f>IF(Q322="","",'Historique détail'!R322/$W322)</f>
        <v/>
      </c>
      <c r="T322" s="341" t="str">
        <f>IF(R322="","",'Historique détail'!S322/$W322)</f>
        <v/>
      </c>
      <c r="U322" s="340" t="str">
        <f t="shared" si="2"/>
        <v/>
      </c>
      <c r="V322" s="14" t="str">
        <f>IF(A322="","",ARBITRAGES!M323)</f>
        <v/>
      </c>
      <c r="W322" s="343" t="str">
        <f>IF(V322="","",'Historique détail'!U322)</f>
        <v/>
      </c>
      <c r="X322" s="288"/>
      <c r="Y322" s="310"/>
      <c r="Z322" s="310"/>
      <c r="AA322" s="310"/>
      <c r="AB322" s="310"/>
      <c r="AC322" s="310"/>
      <c r="AD322" s="310"/>
      <c r="AE322" s="220"/>
      <c r="AF322" s="220"/>
      <c r="AG322" s="220"/>
      <c r="AH322" s="220"/>
      <c r="AI322" s="308"/>
      <c r="AJ322" s="220"/>
      <c r="AK322" s="220"/>
      <c r="AL322" s="220"/>
      <c r="AM322" s="220"/>
      <c r="AN322" s="220"/>
      <c r="AO322" s="220"/>
      <c r="AP322" s="220"/>
      <c r="AQ322" s="220"/>
      <c r="AR322" s="220"/>
      <c r="AS322" s="220"/>
      <c r="AT322" s="220"/>
      <c r="AU322" s="220"/>
      <c r="AV322" s="220"/>
      <c r="AW322" s="220"/>
      <c r="AX322" s="220"/>
      <c r="AY322" s="220"/>
      <c r="AZ322" s="202" t="s">
        <v>7</v>
      </c>
      <c r="BA322" s="310">
        <v>5.1</v>
      </c>
      <c r="BB322" s="220"/>
    </row>
    <row r="323">
      <c r="A323" s="344"/>
      <c r="B323" s="302" t="str">
        <f t="shared" si="1"/>
        <v/>
      </c>
      <c r="C323" s="341" t="str">
        <f>IF(A323="","",'Historique détail'!B323/$W323)</f>
        <v/>
      </c>
      <c r="D323" s="341" t="str">
        <f>IF(B323="","",'Historique détail'!C323/$W323)</f>
        <v/>
      </c>
      <c r="E323" s="341" t="str">
        <f>IF(C323="","",'Historique détail'!D323/$W323)</f>
        <v/>
      </c>
      <c r="F323" s="341" t="str">
        <f>IF(D323="","",'Historique détail'!E323/$W323)</f>
        <v/>
      </c>
      <c r="G323" s="341" t="str">
        <f>IF(E323="","",'Historique détail'!F323/$W323)</f>
        <v/>
      </c>
      <c r="H323" s="341" t="str">
        <f>IF(F323="","",'Historique détail'!G323/$W323)</f>
        <v/>
      </c>
      <c r="I323" s="341" t="str">
        <f>IF(G323="","",'Historique détail'!H323/$W323)</f>
        <v/>
      </c>
      <c r="J323" s="341" t="str">
        <f>IF(H323="","",'Historique détail'!I323/$W323)</f>
        <v/>
      </c>
      <c r="K323" s="341" t="str">
        <f>IF(I323="","",'Historique détail'!J323/$W323)</f>
        <v/>
      </c>
      <c r="L323" s="341" t="str">
        <f>IF(J323="","",'Historique détail'!K323/$W323)</f>
        <v/>
      </c>
      <c r="M323" s="341" t="str">
        <f>IF(K323="","",'Historique détail'!L323/$W323)</f>
        <v/>
      </c>
      <c r="N323" s="341" t="str">
        <f>IF(L323="","",'Historique détail'!M323/$W323)</f>
        <v/>
      </c>
      <c r="O323" s="341" t="str">
        <f>IF(M323="","",'Historique détail'!N323/$W323)</f>
        <v/>
      </c>
      <c r="P323" s="341" t="str">
        <f>IF(N323="","",'Historique détail'!O323/$W323)</f>
        <v/>
      </c>
      <c r="Q323" s="341" t="str">
        <f>IF(O323="","",'Historique détail'!P323/$W323)</f>
        <v/>
      </c>
      <c r="R323" s="341" t="str">
        <f>IF(P323="","",'Historique détail'!Q323/$W323)</f>
        <v/>
      </c>
      <c r="S323" s="341" t="str">
        <f>IF(Q323="","",'Historique détail'!R323/$W323)</f>
        <v/>
      </c>
      <c r="T323" s="341" t="str">
        <f>IF(R323="","",'Historique détail'!S323/$W323)</f>
        <v/>
      </c>
      <c r="U323" s="340" t="str">
        <f t="shared" si="2"/>
        <v/>
      </c>
      <c r="V323" s="14" t="str">
        <f>IF(A323="","",ARBITRAGES!M324)</f>
        <v/>
      </c>
      <c r="W323" s="343" t="str">
        <f>IF(V323="","",'Historique détail'!U323)</f>
        <v/>
      </c>
      <c r="X323" s="288"/>
      <c r="Y323" s="310"/>
      <c r="Z323" s="310"/>
      <c r="AA323" s="310"/>
      <c r="AB323" s="310"/>
      <c r="AC323" s="310"/>
      <c r="AD323" s="310"/>
      <c r="AE323" s="220"/>
      <c r="AF323" s="220"/>
      <c r="AG323" s="220"/>
      <c r="AH323" s="220"/>
      <c r="AI323" s="308"/>
      <c r="AJ323" s="220"/>
      <c r="AK323" s="220"/>
      <c r="AL323" s="220"/>
      <c r="AM323" s="220"/>
      <c r="AN323" s="220"/>
      <c r="AO323" s="220"/>
      <c r="AP323" s="220"/>
      <c r="AQ323" s="220"/>
      <c r="AR323" s="220"/>
      <c r="AS323" s="220"/>
      <c r="AT323" s="220"/>
      <c r="AU323" s="220"/>
      <c r="AV323" s="220"/>
      <c r="AW323" s="220"/>
      <c r="AX323" s="220"/>
      <c r="AY323" s="220"/>
      <c r="AZ323" s="202" t="s">
        <v>7</v>
      </c>
      <c r="BA323" s="310">
        <v>5.5</v>
      </c>
      <c r="BB323" s="220"/>
    </row>
    <row r="324">
      <c r="A324" s="344"/>
      <c r="B324" s="302" t="str">
        <f t="shared" si="1"/>
        <v/>
      </c>
      <c r="C324" s="341" t="str">
        <f>IF(A324="","",'Historique détail'!B324/$W324)</f>
        <v/>
      </c>
      <c r="D324" s="341" t="str">
        <f>IF(B324="","",'Historique détail'!C324/$W324)</f>
        <v/>
      </c>
      <c r="E324" s="341" t="str">
        <f>IF(C324="","",'Historique détail'!D324/$W324)</f>
        <v/>
      </c>
      <c r="F324" s="341" t="str">
        <f>IF(D324="","",'Historique détail'!E324/$W324)</f>
        <v/>
      </c>
      <c r="G324" s="341" t="str">
        <f>IF(E324="","",'Historique détail'!F324/$W324)</f>
        <v/>
      </c>
      <c r="H324" s="341" t="str">
        <f>IF(F324="","",'Historique détail'!G324/$W324)</f>
        <v/>
      </c>
      <c r="I324" s="341" t="str">
        <f>IF(G324="","",'Historique détail'!H324/$W324)</f>
        <v/>
      </c>
      <c r="J324" s="341" t="str">
        <f>IF(H324="","",'Historique détail'!I324/$W324)</f>
        <v/>
      </c>
      <c r="K324" s="341" t="str">
        <f>IF(I324="","",'Historique détail'!J324/$W324)</f>
        <v/>
      </c>
      <c r="L324" s="341" t="str">
        <f>IF(J324="","",'Historique détail'!K324/$W324)</f>
        <v/>
      </c>
      <c r="M324" s="341" t="str">
        <f>IF(K324="","",'Historique détail'!L324/$W324)</f>
        <v/>
      </c>
      <c r="N324" s="341" t="str">
        <f>IF(L324="","",'Historique détail'!M324/$W324)</f>
        <v/>
      </c>
      <c r="O324" s="341" t="str">
        <f>IF(M324="","",'Historique détail'!N324/$W324)</f>
        <v/>
      </c>
      <c r="P324" s="341" t="str">
        <f>IF(N324="","",'Historique détail'!O324/$W324)</f>
        <v/>
      </c>
      <c r="Q324" s="341" t="str">
        <f>IF(O324="","",'Historique détail'!P324/$W324)</f>
        <v/>
      </c>
      <c r="R324" s="341" t="str">
        <f>IF(P324="","",'Historique détail'!Q324/$W324)</f>
        <v/>
      </c>
      <c r="S324" s="341" t="str">
        <f>IF(Q324="","",'Historique détail'!R324/$W324)</f>
        <v/>
      </c>
      <c r="T324" s="341" t="str">
        <f>IF(R324="","",'Historique détail'!S324/$W324)</f>
        <v/>
      </c>
      <c r="U324" s="340" t="str">
        <f t="shared" si="2"/>
        <v/>
      </c>
      <c r="V324" s="14" t="str">
        <f>IF(A324="","",ARBITRAGES!M325)</f>
        <v/>
      </c>
      <c r="W324" s="343" t="str">
        <f>IF(V324="","",'Historique détail'!U324)</f>
        <v/>
      </c>
      <c r="X324" s="288"/>
      <c r="Y324" s="310"/>
      <c r="Z324" s="310"/>
      <c r="AA324" s="310"/>
      <c r="AB324" s="310"/>
      <c r="AC324" s="310"/>
      <c r="AD324" s="310"/>
      <c r="AE324" s="220"/>
      <c r="AF324" s="220"/>
      <c r="AG324" s="220"/>
      <c r="AH324" s="220"/>
      <c r="AI324" s="308"/>
      <c r="AJ324" s="220"/>
      <c r="AK324" s="220"/>
      <c r="AL324" s="220"/>
      <c r="AM324" s="220"/>
      <c r="AN324" s="220"/>
      <c r="AO324" s="220"/>
      <c r="AP324" s="220"/>
      <c r="AQ324" s="220"/>
      <c r="AR324" s="220"/>
      <c r="AS324" s="220"/>
      <c r="AT324" s="220"/>
      <c r="AU324" s="220"/>
      <c r="AV324" s="220"/>
      <c r="AW324" s="220"/>
      <c r="AX324" s="220"/>
      <c r="AY324" s="220"/>
      <c r="AZ324" s="202" t="s">
        <v>7</v>
      </c>
      <c r="BA324" s="310">
        <v>5.5</v>
      </c>
      <c r="BB324" s="220"/>
    </row>
    <row r="325">
      <c r="A325" s="240"/>
      <c r="B325" s="302" t="str">
        <f t="shared" si="1"/>
        <v/>
      </c>
      <c r="C325" s="341" t="str">
        <f>IF(A325="","",'Historique détail'!B325/$W325)</f>
        <v/>
      </c>
      <c r="D325" s="341" t="str">
        <f>IF(B325="","",'Historique détail'!C325/$W325)</f>
        <v/>
      </c>
      <c r="E325" s="341" t="str">
        <f>IF(C325="","",'Historique détail'!D325/$W325)</f>
        <v/>
      </c>
      <c r="F325" s="341" t="str">
        <f>IF(D325="","",'Historique détail'!E325/$W325)</f>
        <v/>
      </c>
      <c r="G325" s="341" t="str">
        <f>IF(E325="","",'Historique détail'!F325/$W325)</f>
        <v/>
      </c>
      <c r="H325" s="341" t="str">
        <f>IF(F325="","",'Historique détail'!G325/$W325)</f>
        <v/>
      </c>
      <c r="I325" s="341" t="str">
        <f>IF(G325="","",'Historique détail'!H325/$W325)</f>
        <v/>
      </c>
      <c r="J325" s="341" t="str">
        <f>IF(H325="","",'Historique détail'!I325/$W325)</f>
        <v/>
      </c>
      <c r="K325" s="341" t="str">
        <f>IF(I325="","",'Historique détail'!J325/$W325)</f>
        <v/>
      </c>
      <c r="L325" s="341" t="str">
        <f>IF(J325="","",'Historique détail'!K325/$W325)</f>
        <v/>
      </c>
      <c r="M325" s="341" t="str">
        <f>IF(K325="","",'Historique détail'!L325/$W325)</f>
        <v/>
      </c>
      <c r="N325" s="341" t="str">
        <f>IF(L325="","",'Historique détail'!M325/$W325)</f>
        <v/>
      </c>
      <c r="O325" s="341" t="str">
        <f>IF(M325="","",'Historique détail'!N325/$W325)</f>
        <v/>
      </c>
      <c r="P325" s="341" t="str">
        <f>IF(N325="","",'Historique détail'!O325/$W325)</f>
        <v/>
      </c>
      <c r="Q325" s="341" t="str">
        <f>IF(O325="","",'Historique détail'!P325/$W325)</f>
        <v/>
      </c>
      <c r="R325" s="341" t="str">
        <f>IF(P325="","",'Historique détail'!Q325/$W325)</f>
        <v/>
      </c>
      <c r="S325" s="341" t="str">
        <f>IF(Q325="","",'Historique détail'!R325/$W325)</f>
        <v/>
      </c>
      <c r="T325" s="341" t="str">
        <f>IF(R325="","",'Historique détail'!S325/$W325)</f>
        <v/>
      </c>
      <c r="U325" s="340" t="str">
        <f t="shared" si="2"/>
        <v/>
      </c>
      <c r="V325" s="14" t="str">
        <f>IF(A325="","",ARBITRAGES!M326)</f>
        <v/>
      </c>
      <c r="W325" s="343" t="str">
        <f>IF(V325="","",'Historique détail'!U325)</f>
        <v/>
      </c>
      <c r="X325" s="288"/>
      <c r="Y325" s="220"/>
      <c r="Z325" s="220"/>
      <c r="AA325" s="220"/>
      <c r="AB325" s="220"/>
      <c r="AC325" s="220"/>
      <c r="AD325" s="220"/>
      <c r="AE325" s="220"/>
      <c r="AF325" s="220"/>
      <c r="AG325" s="220"/>
      <c r="AH325" s="220"/>
      <c r="AI325" s="308"/>
      <c r="AJ325" s="220"/>
      <c r="AK325" s="220"/>
      <c r="AL325" s="220"/>
      <c r="AM325" s="220"/>
      <c r="AN325" s="220"/>
      <c r="AO325" s="220"/>
      <c r="AP325" s="220"/>
      <c r="AQ325" s="220"/>
      <c r="AR325" s="220"/>
      <c r="AS325" s="220"/>
      <c r="AT325" s="220"/>
      <c r="AU325" s="220"/>
      <c r="AV325" s="220"/>
      <c r="AW325" s="220"/>
      <c r="AX325" s="220"/>
      <c r="AY325" s="220"/>
      <c r="AZ325" s="220"/>
      <c r="BA325" s="220"/>
      <c r="BB325" s="220"/>
    </row>
    <row r="326">
      <c r="A326" s="240"/>
      <c r="B326" s="302" t="str">
        <f t="shared" si="1"/>
        <v/>
      </c>
      <c r="C326" s="341" t="str">
        <f>IF(A326="","",'Historique détail'!B326/$W326)</f>
        <v/>
      </c>
      <c r="D326" s="341" t="str">
        <f>IF(B326="","",'Historique détail'!C326/$W326)</f>
        <v/>
      </c>
      <c r="E326" s="341" t="str">
        <f>IF(C326="","",'Historique détail'!D326/$W326)</f>
        <v/>
      </c>
      <c r="F326" s="341" t="str">
        <f>IF(D326="","",'Historique détail'!E326/$W326)</f>
        <v/>
      </c>
      <c r="G326" s="341" t="str">
        <f>IF(E326="","",'Historique détail'!F326/$W326)</f>
        <v/>
      </c>
      <c r="H326" s="341" t="str">
        <f>IF(F326="","",'Historique détail'!G326/$W326)</f>
        <v/>
      </c>
      <c r="I326" s="341" t="str">
        <f>IF(G326="","",'Historique détail'!H326/$W326)</f>
        <v/>
      </c>
      <c r="J326" s="341" t="str">
        <f>IF(H326="","",'Historique détail'!I326/$W326)</f>
        <v/>
      </c>
      <c r="K326" s="341" t="str">
        <f>IF(I326="","",'Historique détail'!J326/$W326)</f>
        <v/>
      </c>
      <c r="L326" s="341" t="str">
        <f>IF(J326="","",'Historique détail'!K326/$W326)</f>
        <v/>
      </c>
      <c r="M326" s="341" t="str">
        <f>IF(K326="","",'Historique détail'!L326/$W326)</f>
        <v/>
      </c>
      <c r="N326" s="341" t="str">
        <f>IF(L326="","",'Historique détail'!M326/$W326)</f>
        <v/>
      </c>
      <c r="O326" s="341" t="str">
        <f>IF(M326="","",'Historique détail'!N326/$W326)</f>
        <v/>
      </c>
      <c r="P326" s="341" t="str">
        <f>IF(N326="","",'Historique détail'!O326/$W326)</f>
        <v/>
      </c>
      <c r="Q326" s="341" t="str">
        <f>IF(O326="","",'Historique détail'!P326/$W326)</f>
        <v/>
      </c>
      <c r="R326" s="341" t="str">
        <f>IF(P326="","",'Historique détail'!Q326/$W326)</f>
        <v/>
      </c>
      <c r="S326" s="341" t="str">
        <f>IF(Q326="","",'Historique détail'!R326/$W326)</f>
        <v/>
      </c>
      <c r="T326" s="341" t="str">
        <f>IF(R326="","",'Historique détail'!S326/$W326)</f>
        <v/>
      </c>
      <c r="U326" s="340" t="str">
        <f t="shared" si="2"/>
        <v/>
      </c>
      <c r="V326" s="14" t="str">
        <f>IF(A326="","",ARBITRAGES!M327)</f>
        <v/>
      </c>
      <c r="W326" s="343" t="str">
        <f>IF(V326="","",'Historique détail'!U326)</f>
        <v/>
      </c>
      <c r="X326" s="288"/>
      <c r="Y326" s="220"/>
      <c r="Z326" s="220"/>
      <c r="AA326" s="220"/>
      <c r="AB326" s="220"/>
      <c r="AC326" s="220"/>
      <c r="AD326" s="220"/>
      <c r="AE326" s="220"/>
      <c r="AF326" s="220"/>
      <c r="AG326" s="220"/>
      <c r="AH326" s="220"/>
      <c r="AI326" s="308"/>
      <c r="AJ326" s="220"/>
      <c r="AK326" s="220"/>
      <c r="AL326" s="220"/>
      <c r="AM326" s="220"/>
      <c r="AN326" s="220"/>
      <c r="AO326" s="220"/>
      <c r="AP326" s="220"/>
      <c r="AQ326" s="220"/>
      <c r="AR326" s="220"/>
      <c r="AS326" s="220"/>
      <c r="AT326" s="220"/>
      <c r="AU326" s="220"/>
      <c r="AV326" s="220"/>
      <c r="AW326" s="220"/>
      <c r="AX326" s="220"/>
      <c r="AY326" s="220"/>
      <c r="AZ326" s="220"/>
      <c r="BA326" s="220"/>
      <c r="BB326" s="220"/>
    </row>
    <row r="327">
      <c r="A327" s="240"/>
      <c r="B327" s="302" t="str">
        <f t="shared" si="1"/>
        <v/>
      </c>
      <c r="C327" s="341" t="str">
        <f>IF(A327="","",'Historique détail'!B327/$W327)</f>
        <v/>
      </c>
      <c r="D327" s="341" t="str">
        <f>IF(B327="","",'Historique détail'!C327/$W327)</f>
        <v/>
      </c>
      <c r="E327" s="341" t="str">
        <f>IF(C327="","",'Historique détail'!D327/$W327)</f>
        <v/>
      </c>
      <c r="F327" s="341" t="str">
        <f>IF(D327="","",'Historique détail'!E327/$W327)</f>
        <v/>
      </c>
      <c r="G327" s="341" t="str">
        <f>IF(E327="","",'Historique détail'!F327/$W327)</f>
        <v/>
      </c>
      <c r="H327" s="341" t="str">
        <f>IF(F327="","",'Historique détail'!G327/$W327)</f>
        <v/>
      </c>
      <c r="I327" s="341" t="str">
        <f>IF(G327="","",'Historique détail'!H327/$W327)</f>
        <v/>
      </c>
      <c r="J327" s="341" t="str">
        <f>IF(H327="","",'Historique détail'!I327/$W327)</f>
        <v/>
      </c>
      <c r="K327" s="341" t="str">
        <f>IF(I327="","",'Historique détail'!J327/$W327)</f>
        <v/>
      </c>
      <c r="L327" s="341" t="str">
        <f>IF(J327="","",'Historique détail'!K327/$W327)</f>
        <v/>
      </c>
      <c r="M327" s="341" t="str">
        <f>IF(K327="","",'Historique détail'!L327/$W327)</f>
        <v/>
      </c>
      <c r="N327" s="341" t="str">
        <f>IF(L327="","",'Historique détail'!M327/$W327)</f>
        <v/>
      </c>
      <c r="O327" s="341" t="str">
        <f>IF(M327="","",'Historique détail'!N327/$W327)</f>
        <v/>
      </c>
      <c r="P327" s="341" t="str">
        <f>IF(N327="","",'Historique détail'!O327/$W327)</f>
        <v/>
      </c>
      <c r="Q327" s="341" t="str">
        <f>IF(O327="","",'Historique détail'!P327/$W327)</f>
        <v/>
      </c>
      <c r="R327" s="341" t="str">
        <f>IF(P327="","",'Historique détail'!Q327/$W327)</f>
        <v/>
      </c>
      <c r="S327" s="341" t="str">
        <f>IF(Q327="","",'Historique détail'!R327/$W327)</f>
        <v/>
      </c>
      <c r="T327" s="341" t="str">
        <f>IF(R327="","",'Historique détail'!S327/$W327)</f>
        <v/>
      </c>
      <c r="U327" s="340" t="str">
        <f t="shared" si="2"/>
        <v/>
      </c>
      <c r="V327" s="14" t="str">
        <f>IF(A327="","",ARBITRAGES!M328)</f>
        <v/>
      </c>
      <c r="W327" s="343" t="str">
        <f>IF(V327="","",'Historique détail'!U327)</f>
        <v/>
      </c>
      <c r="X327" s="288"/>
      <c r="Y327" s="220"/>
      <c r="Z327" s="220"/>
      <c r="AA327" s="220"/>
      <c r="AB327" s="220"/>
      <c r="AC327" s="220"/>
      <c r="AD327" s="220"/>
      <c r="AE327" s="220"/>
      <c r="AF327" s="220"/>
      <c r="AG327" s="220"/>
      <c r="AH327" s="220"/>
      <c r="AI327" s="308"/>
      <c r="AJ327" s="220"/>
      <c r="AK327" s="220"/>
      <c r="AL327" s="220"/>
      <c r="AM327" s="220"/>
      <c r="AN327" s="220"/>
      <c r="AO327" s="220"/>
      <c r="AP327" s="220"/>
      <c r="AQ327" s="220"/>
      <c r="AR327" s="220"/>
      <c r="AS327" s="220"/>
      <c r="AT327" s="220"/>
      <c r="AU327" s="220"/>
      <c r="AV327" s="220"/>
      <c r="AW327" s="220"/>
      <c r="AX327" s="220"/>
      <c r="AY327" s="220"/>
      <c r="AZ327" s="220"/>
      <c r="BA327" s="220"/>
      <c r="BB327" s="220"/>
    </row>
    <row r="328">
      <c r="A328" s="240"/>
      <c r="B328" s="302" t="str">
        <f t="shared" si="1"/>
        <v/>
      </c>
      <c r="C328" s="341" t="str">
        <f>IF(A328="","",'Historique détail'!B328/$W328)</f>
        <v/>
      </c>
      <c r="D328" s="341" t="str">
        <f>IF(B328="","",'Historique détail'!C328/$W328)</f>
        <v/>
      </c>
      <c r="E328" s="341" t="str">
        <f>IF(C328="","",'Historique détail'!D328/$W328)</f>
        <v/>
      </c>
      <c r="F328" s="341" t="str">
        <f>IF(D328="","",'Historique détail'!E328/$W328)</f>
        <v/>
      </c>
      <c r="G328" s="341" t="str">
        <f>IF(E328="","",'Historique détail'!F328/$W328)</f>
        <v/>
      </c>
      <c r="H328" s="341" t="str">
        <f>IF(F328="","",'Historique détail'!G328/$W328)</f>
        <v/>
      </c>
      <c r="I328" s="341" t="str">
        <f>IF(G328="","",'Historique détail'!H328/$W328)</f>
        <v/>
      </c>
      <c r="J328" s="341" t="str">
        <f>IF(H328="","",'Historique détail'!I328/$W328)</f>
        <v/>
      </c>
      <c r="K328" s="341" t="str">
        <f>IF(I328="","",'Historique détail'!J328/$W328)</f>
        <v/>
      </c>
      <c r="L328" s="341" t="str">
        <f>IF(J328="","",'Historique détail'!K328/$W328)</f>
        <v/>
      </c>
      <c r="M328" s="341" t="str">
        <f>IF(K328="","",'Historique détail'!L328/$W328)</f>
        <v/>
      </c>
      <c r="N328" s="341" t="str">
        <f>IF(L328="","",'Historique détail'!M328/$W328)</f>
        <v/>
      </c>
      <c r="O328" s="341" t="str">
        <f>IF(M328="","",'Historique détail'!N328/$W328)</f>
        <v/>
      </c>
      <c r="P328" s="341" t="str">
        <f>IF(N328="","",'Historique détail'!O328/$W328)</f>
        <v/>
      </c>
      <c r="Q328" s="341" t="str">
        <f>IF(O328="","",'Historique détail'!P328/$W328)</f>
        <v/>
      </c>
      <c r="R328" s="341" t="str">
        <f>IF(P328="","",'Historique détail'!Q328/$W328)</f>
        <v/>
      </c>
      <c r="S328" s="341" t="str">
        <f>IF(Q328="","",'Historique détail'!R328/$W328)</f>
        <v/>
      </c>
      <c r="T328" s="341" t="str">
        <f>IF(R328="","",'Historique détail'!S328/$W328)</f>
        <v/>
      </c>
      <c r="U328" s="340" t="str">
        <f t="shared" si="2"/>
        <v/>
      </c>
      <c r="V328" s="14" t="str">
        <f>IF(A328="","",ARBITRAGES!M329)</f>
        <v/>
      </c>
      <c r="W328" s="343" t="str">
        <f>IF(V328="","",'Historique détail'!U328)</f>
        <v/>
      </c>
      <c r="X328" s="288"/>
      <c r="Y328" s="220"/>
      <c r="Z328" s="220"/>
      <c r="AA328" s="220"/>
      <c r="AB328" s="220"/>
      <c r="AC328" s="220"/>
      <c r="AD328" s="220"/>
      <c r="AE328" s="220"/>
      <c r="AF328" s="220"/>
      <c r="AG328" s="220"/>
      <c r="AH328" s="220"/>
      <c r="AI328" s="308"/>
      <c r="AJ328" s="220"/>
      <c r="AK328" s="220"/>
      <c r="AL328" s="220"/>
      <c r="AM328" s="220"/>
      <c r="AN328" s="220"/>
      <c r="AO328" s="220"/>
      <c r="AP328" s="220"/>
      <c r="AQ328" s="220"/>
      <c r="AR328" s="220"/>
      <c r="AS328" s="220"/>
      <c r="AT328" s="220"/>
      <c r="AU328" s="220"/>
      <c r="AV328" s="220"/>
      <c r="AW328" s="220"/>
      <c r="AX328" s="220"/>
      <c r="AY328" s="220"/>
      <c r="AZ328" s="220"/>
      <c r="BA328" s="220"/>
      <c r="BB328" s="220"/>
    </row>
    <row r="329">
      <c r="A329" s="240"/>
      <c r="B329" s="302" t="str">
        <f t="shared" si="1"/>
        <v/>
      </c>
      <c r="C329" s="341" t="str">
        <f>IF(A329="","",'Historique détail'!B329/$W329)</f>
        <v/>
      </c>
      <c r="D329" s="341" t="str">
        <f>IF(B329="","",'Historique détail'!C329/$W329)</f>
        <v/>
      </c>
      <c r="E329" s="341" t="str">
        <f>IF(C329="","",'Historique détail'!D329/$W329)</f>
        <v/>
      </c>
      <c r="F329" s="341" t="str">
        <f>IF(D329="","",'Historique détail'!E329/$W329)</f>
        <v/>
      </c>
      <c r="G329" s="341" t="str">
        <f>IF(E329="","",'Historique détail'!F329/$W329)</f>
        <v/>
      </c>
      <c r="H329" s="341" t="str">
        <f>IF(F329="","",'Historique détail'!G329/$W329)</f>
        <v/>
      </c>
      <c r="I329" s="341" t="str">
        <f>IF(G329="","",'Historique détail'!H329/$W329)</f>
        <v/>
      </c>
      <c r="J329" s="341" t="str">
        <f>IF(H329="","",'Historique détail'!I329/$W329)</f>
        <v/>
      </c>
      <c r="K329" s="341" t="str">
        <f>IF(I329="","",'Historique détail'!J329/$W329)</f>
        <v/>
      </c>
      <c r="L329" s="341" t="str">
        <f>IF(J329="","",'Historique détail'!K329/$W329)</f>
        <v/>
      </c>
      <c r="M329" s="341" t="str">
        <f>IF(K329="","",'Historique détail'!L329/$W329)</f>
        <v/>
      </c>
      <c r="N329" s="341" t="str">
        <f>IF(L329="","",'Historique détail'!M329/$W329)</f>
        <v/>
      </c>
      <c r="O329" s="341" t="str">
        <f>IF(M329="","",'Historique détail'!N329/$W329)</f>
        <v/>
      </c>
      <c r="P329" s="341" t="str">
        <f>IF(N329="","",'Historique détail'!O329/$W329)</f>
        <v/>
      </c>
      <c r="Q329" s="341" t="str">
        <f>IF(O329="","",'Historique détail'!P329/$W329)</f>
        <v/>
      </c>
      <c r="R329" s="341" t="str">
        <f>IF(P329="","",'Historique détail'!Q329/$W329)</f>
        <v/>
      </c>
      <c r="S329" s="341" t="str">
        <f>IF(Q329="","",'Historique détail'!R329/$W329)</f>
        <v/>
      </c>
      <c r="T329" s="341" t="str">
        <f>IF(R329="","",'Historique détail'!S329/$W329)</f>
        <v/>
      </c>
      <c r="U329" s="340" t="str">
        <f t="shared" si="2"/>
        <v/>
      </c>
      <c r="V329" s="14" t="str">
        <f>IF(A329="","",ARBITRAGES!M330)</f>
        <v/>
      </c>
      <c r="W329" s="343" t="str">
        <f>IF(V329="","",'Historique détail'!U329)</f>
        <v/>
      </c>
      <c r="X329" s="288"/>
      <c r="Y329" s="220"/>
      <c r="Z329" s="220"/>
      <c r="AA329" s="220"/>
      <c r="AB329" s="220"/>
      <c r="AC329" s="220"/>
      <c r="AD329" s="220"/>
      <c r="AE329" s="220"/>
      <c r="AF329" s="220"/>
      <c r="AG329" s="220"/>
      <c r="AH329" s="220"/>
      <c r="AI329" s="308"/>
      <c r="AJ329" s="220"/>
      <c r="AK329" s="220"/>
      <c r="AL329" s="220"/>
      <c r="AM329" s="220"/>
      <c r="AN329" s="220"/>
      <c r="AO329" s="220"/>
      <c r="AP329" s="220"/>
      <c r="AQ329" s="220"/>
      <c r="AR329" s="220"/>
      <c r="AS329" s="220"/>
      <c r="AT329" s="220"/>
      <c r="AU329" s="220"/>
      <c r="AV329" s="220"/>
      <c r="AW329" s="220"/>
      <c r="AX329" s="220"/>
      <c r="AY329" s="220"/>
      <c r="AZ329" s="220"/>
      <c r="BA329" s="220"/>
      <c r="BB329" s="220"/>
    </row>
    <row r="330">
      <c r="A330" s="240"/>
      <c r="B330" s="302" t="str">
        <f t="shared" si="1"/>
        <v/>
      </c>
      <c r="C330" s="341" t="str">
        <f>IF(A330="","",'Historique détail'!B330/$W330)</f>
        <v/>
      </c>
      <c r="D330" s="341" t="str">
        <f>IF(B330="","",'Historique détail'!C330/$W330)</f>
        <v/>
      </c>
      <c r="E330" s="341" t="str">
        <f>IF(C330="","",'Historique détail'!D330/$W330)</f>
        <v/>
      </c>
      <c r="F330" s="341" t="str">
        <f>IF(D330="","",'Historique détail'!E330/$W330)</f>
        <v/>
      </c>
      <c r="G330" s="341" t="str">
        <f>IF(E330="","",'Historique détail'!F330/$W330)</f>
        <v/>
      </c>
      <c r="H330" s="341" t="str">
        <f>IF(F330="","",'Historique détail'!G330/$W330)</f>
        <v/>
      </c>
      <c r="I330" s="341" t="str">
        <f>IF(G330="","",'Historique détail'!H330/$W330)</f>
        <v/>
      </c>
      <c r="J330" s="341" t="str">
        <f>IF(H330="","",'Historique détail'!I330/$W330)</f>
        <v/>
      </c>
      <c r="K330" s="341" t="str">
        <f>IF(I330="","",'Historique détail'!J330/$W330)</f>
        <v/>
      </c>
      <c r="L330" s="341" t="str">
        <f>IF(J330="","",'Historique détail'!K330/$W330)</f>
        <v/>
      </c>
      <c r="M330" s="341" t="str">
        <f>IF(K330="","",'Historique détail'!L330/$W330)</f>
        <v/>
      </c>
      <c r="N330" s="341" t="str">
        <f>IF(L330="","",'Historique détail'!M330/$W330)</f>
        <v/>
      </c>
      <c r="O330" s="341" t="str">
        <f>IF(M330="","",'Historique détail'!N330/$W330)</f>
        <v/>
      </c>
      <c r="P330" s="341" t="str">
        <f>IF(N330="","",'Historique détail'!O330/$W330)</f>
        <v/>
      </c>
      <c r="Q330" s="341" t="str">
        <f>IF(O330="","",'Historique détail'!P330/$W330)</f>
        <v/>
      </c>
      <c r="R330" s="341" t="str">
        <f>IF(P330="","",'Historique détail'!Q330/$W330)</f>
        <v/>
      </c>
      <c r="S330" s="341" t="str">
        <f>IF(Q330="","",'Historique détail'!R330/$W330)</f>
        <v/>
      </c>
      <c r="T330" s="341" t="str">
        <f>IF(R330="","",'Historique détail'!S330/$W330)</f>
        <v/>
      </c>
      <c r="U330" s="340" t="str">
        <f t="shared" si="2"/>
        <v/>
      </c>
      <c r="V330" s="14" t="str">
        <f>IF(A330="","",ARBITRAGES!M331)</f>
        <v/>
      </c>
      <c r="W330" s="343" t="str">
        <f>IF(V330="","",'Historique détail'!U330)</f>
        <v/>
      </c>
      <c r="X330" s="288"/>
      <c r="Y330" s="220"/>
      <c r="Z330" s="220"/>
      <c r="AA330" s="220"/>
      <c r="AB330" s="220"/>
      <c r="AC330" s="220"/>
      <c r="AD330" s="220"/>
      <c r="AE330" s="220"/>
      <c r="AF330" s="220"/>
      <c r="AG330" s="220"/>
      <c r="AH330" s="220"/>
      <c r="AI330" s="308"/>
      <c r="AJ330" s="220"/>
      <c r="AK330" s="220"/>
      <c r="AL330" s="220"/>
      <c r="AM330" s="220"/>
      <c r="AN330" s="220"/>
      <c r="AO330" s="220"/>
      <c r="AP330" s="220"/>
      <c r="AQ330" s="220"/>
      <c r="AR330" s="220"/>
      <c r="AS330" s="220"/>
      <c r="AT330" s="220"/>
      <c r="AU330" s="220"/>
      <c r="AV330" s="220"/>
      <c r="AW330" s="220"/>
      <c r="AX330" s="220"/>
      <c r="AY330" s="220"/>
      <c r="AZ330" s="220"/>
      <c r="BA330" s="220"/>
      <c r="BB330" s="220"/>
    </row>
    <row r="331">
      <c r="A331" s="240"/>
      <c r="B331" s="302" t="str">
        <f t="shared" si="1"/>
        <v/>
      </c>
      <c r="C331" s="341" t="str">
        <f>IF(A331="","",'Historique détail'!B331/$W331)</f>
        <v/>
      </c>
      <c r="D331" s="341" t="str">
        <f>IF(B331="","",'Historique détail'!C331/$W331)</f>
        <v/>
      </c>
      <c r="E331" s="341" t="str">
        <f>IF(C331="","",'Historique détail'!D331/$W331)</f>
        <v/>
      </c>
      <c r="F331" s="341" t="str">
        <f>IF(D331="","",'Historique détail'!E331/$W331)</f>
        <v/>
      </c>
      <c r="G331" s="341" t="str">
        <f>IF(E331="","",'Historique détail'!F331/$W331)</f>
        <v/>
      </c>
      <c r="H331" s="341" t="str">
        <f>IF(F331="","",'Historique détail'!G331/$W331)</f>
        <v/>
      </c>
      <c r="I331" s="341" t="str">
        <f>IF(G331="","",'Historique détail'!H331/$W331)</f>
        <v/>
      </c>
      <c r="J331" s="341" t="str">
        <f>IF(H331="","",'Historique détail'!I331/$W331)</f>
        <v/>
      </c>
      <c r="K331" s="341" t="str">
        <f>IF(I331="","",'Historique détail'!J331/$W331)</f>
        <v/>
      </c>
      <c r="L331" s="341" t="str">
        <f>IF(J331="","",'Historique détail'!K331/$W331)</f>
        <v/>
      </c>
      <c r="M331" s="341" t="str">
        <f>IF(K331="","",'Historique détail'!L331/$W331)</f>
        <v/>
      </c>
      <c r="N331" s="341" t="str">
        <f>IF(L331="","",'Historique détail'!M331/$W331)</f>
        <v/>
      </c>
      <c r="O331" s="341" t="str">
        <f>IF(M331="","",'Historique détail'!N331/$W331)</f>
        <v/>
      </c>
      <c r="P331" s="341" t="str">
        <f>IF(N331="","",'Historique détail'!O331/$W331)</f>
        <v/>
      </c>
      <c r="Q331" s="341" t="str">
        <f>IF(O331="","",'Historique détail'!P331/$W331)</f>
        <v/>
      </c>
      <c r="R331" s="341" t="str">
        <f>IF(P331="","",'Historique détail'!Q331/$W331)</f>
        <v/>
      </c>
      <c r="S331" s="341" t="str">
        <f>IF(Q331="","",'Historique détail'!R331/$W331)</f>
        <v/>
      </c>
      <c r="T331" s="341" t="str">
        <f>IF(R331="","",'Historique détail'!S331/$W331)</f>
        <v/>
      </c>
      <c r="U331" s="340" t="str">
        <f t="shared" si="2"/>
        <v/>
      </c>
      <c r="V331" s="14" t="str">
        <f>IF(A331="","",ARBITRAGES!M332)</f>
        <v/>
      </c>
      <c r="W331" s="343" t="str">
        <f>IF(V331="","",'Historique détail'!U331)</f>
        <v/>
      </c>
      <c r="X331" s="288"/>
      <c r="Y331" s="220"/>
      <c r="Z331" s="220"/>
      <c r="AA331" s="220"/>
      <c r="AB331" s="220"/>
      <c r="AC331" s="220"/>
      <c r="AD331" s="220"/>
      <c r="AE331" s="220"/>
      <c r="AF331" s="220"/>
      <c r="AG331" s="220"/>
      <c r="AH331" s="220"/>
      <c r="AI331" s="308"/>
      <c r="AJ331" s="220"/>
      <c r="AK331" s="220"/>
      <c r="AL331" s="220"/>
      <c r="AM331" s="220"/>
      <c r="AN331" s="220"/>
      <c r="AO331" s="220"/>
      <c r="AP331" s="220"/>
      <c r="AQ331" s="220"/>
      <c r="AR331" s="220"/>
      <c r="AS331" s="220"/>
      <c r="AT331" s="220"/>
      <c r="AU331" s="220"/>
      <c r="AV331" s="220"/>
      <c r="AW331" s="220"/>
      <c r="AX331" s="220"/>
      <c r="AY331" s="220"/>
      <c r="AZ331" s="220"/>
      <c r="BA331" s="220"/>
      <c r="BB331" s="220"/>
    </row>
    <row r="332">
      <c r="A332" s="240"/>
      <c r="B332" s="302" t="str">
        <f t="shared" si="1"/>
        <v/>
      </c>
      <c r="C332" s="341" t="str">
        <f>IF(A332="","",'Historique détail'!B332/$W332)</f>
        <v/>
      </c>
      <c r="D332" s="341" t="str">
        <f>IF(B332="","",'Historique détail'!C332/$W332)</f>
        <v/>
      </c>
      <c r="E332" s="341" t="str">
        <f>IF(C332="","",'Historique détail'!D332/$W332)</f>
        <v/>
      </c>
      <c r="F332" s="341" t="str">
        <f>IF(D332="","",'Historique détail'!E332/$W332)</f>
        <v/>
      </c>
      <c r="G332" s="341" t="str">
        <f>IF(E332="","",'Historique détail'!F332/$W332)</f>
        <v/>
      </c>
      <c r="H332" s="341" t="str">
        <f>IF(F332="","",'Historique détail'!G332/$W332)</f>
        <v/>
      </c>
      <c r="I332" s="341" t="str">
        <f>IF(G332="","",'Historique détail'!H332/$W332)</f>
        <v/>
      </c>
      <c r="J332" s="341" t="str">
        <f>IF(H332="","",'Historique détail'!I332/$W332)</f>
        <v/>
      </c>
      <c r="K332" s="341" t="str">
        <f>IF(I332="","",'Historique détail'!J332/$W332)</f>
        <v/>
      </c>
      <c r="L332" s="341" t="str">
        <f>IF(J332="","",'Historique détail'!K332/$W332)</f>
        <v/>
      </c>
      <c r="M332" s="341" t="str">
        <f>IF(K332="","",'Historique détail'!L332/$W332)</f>
        <v/>
      </c>
      <c r="N332" s="341" t="str">
        <f>IF(L332="","",'Historique détail'!M332/$W332)</f>
        <v/>
      </c>
      <c r="O332" s="341" t="str">
        <f>IF(M332="","",'Historique détail'!N332/$W332)</f>
        <v/>
      </c>
      <c r="P332" s="341" t="str">
        <f>IF(N332="","",'Historique détail'!O332/$W332)</f>
        <v/>
      </c>
      <c r="Q332" s="341" t="str">
        <f>IF(O332="","",'Historique détail'!P332/$W332)</f>
        <v/>
      </c>
      <c r="R332" s="341" t="str">
        <f>IF(P332="","",'Historique détail'!Q332/$W332)</f>
        <v/>
      </c>
      <c r="S332" s="341" t="str">
        <f>IF(Q332="","",'Historique détail'!R332/$W332)</f>
        <v/>
      </c>
      <c r="T332" s="341" t="str">
        <f>IF(R332="","",'Historique détail'!S332/$W332)</f>
        <v/>
      </c>
      <c r="U332" s="340" t="str">
        <f t="shared" si="2"/>
        <v/>
      </c>
      <c r="V332" s="14" t="str">
        <f>IF(A332="","",ARBITRAGES!M333)</f>
        <v/>
      </c>
      <c r="W332" s="343" t="str">
        <f>IF(V332="","",'Historique détail'!U332)</f>
        <v/>
      </c>
      <c r="X332" s="288"/>
      <c r="Y332" s="220"/>
      <c r="Z332" s="220"/>
      <c r="AA332" s="220"/>
      <c r="AB332" s="220"/>
      <c r="AC332" s="220"/>
      <c r="AD332" s="220"/>
      <c r="AE332" s="220"/>
      <c r="AF332" s="220"/>
      <c r="AG332" s="220"/>
      <c r="AH332" s="220"/>
      <c r="AI332" s="308"/>
      <c r="AJ332" s="220"/>
      <c r="AK332" s="220"/>
      <c r="AL332" s="220"/>
      <c r="AM332" s="220"/>
      <c r="AN332" s="220"/>
      <c r="AO332" s="220"/>
      <c r="AP332" s="220"/>
      <c r="AQ332" s="220"/>
      <c r="AR332" s="220"/>
      <c r="AS332" s="220"/>
      <c r="AT332" s="220"/>
      <c r="AU332" s="220"/>
      <c r="AV332" s="220"/>
      <c r="AW332" s="220"/>
      <c r="AX332" s="220"/>
      <c r="AY332" s="220"/>
      <c r="AZ332" s="220"/>
      <c r="BA332" s="220"/>
      <c r="BB332" s="220"/>
    </row>
    <row r="333">
      <c r="A333" s="240"/>
      <c r="B333" s="302" t="str">
        <f t="shared" si="1"/>
        <v/>
      </c>
      <c r="C333" s="341" t="str">
        <f>IF(A333="","",'Historique détail'!B333/$W333)</f>
        <v/>
      </c>
      <c r="D333" s="341" t="str">
        <f>IF(B333="","",'Historique détail'!C333/$W333)</f>
        <v/>
      </c>
      <c r="E333" s="341" t="str">
        <f>IF(C333="","",'Historique détail'!D333/$W333)</f>
        <v/>
      </c>
      <c r="F333" s="341" t="str">
        <f>IF(D333="","",'Historique détail'!E333/$W333)</f>
        <v/>
      </c>
      <c r="G333" s="341" t="str">
        <f>IF(E333="","",'Historique détail'!F333/$W333)</f>
        <v/>
      </c>
      <c r="H333" s="341" t="str">
        <f>IF(F333="","",'Historique détail'!G333/$W333)</f>
        <v/>
      </c>
      <c r="I333" s="341" t="str">
        <f>IF(G333="","",'Historique détail'!H333/$W333)</f>
        <v/>
      </c>
      <c r="J333" s="341" t="str">
        <f>IF(H333="","",'Historique détail'!I333/$W333)</f>
        <v/>
      </c>
      <c r="K333" s="341" t="str">
        <f>IF(I333="","",'Historique détail'!J333/$W333)</f>
        <v/>
      </c>
      <c r="L333" s="341" t="str">
        <f>IF(J333="","",'Historique détail'!K333/$W333)</f>
        <v/>
      </c>
      <c r="M333" s="341" t="str">
        <f>IF(K333="","",'Historique détail'!L333/$W333)</f>
        <v/>
      </c>
      <c r="N333" s="341" t="str">
        <f>IF(L333="","",'Historique détail'!M333/$W333)</f>
        <v/>
      </c>
      <c r="O333" s="341" t="str">
        <f>IF(M333="","",'Historique détail'!N333/$W333)</f>
        <v/>
      </c>
      <c r="P333" s="341" t="str">
        <f>IF(N333="","",'Historique détail'!O333/$W333)</f>
        <v/>
      </c>
      <c r="Q333" s="341" t="str">
        <f>IF(O333="","",'Historique détail'!P333/$W333)</f>
        <v/>
      </c>
      <c r="R333" s="341" t="str">
        <f>IF(P333="","",'Historique détail'!Q333/$W333)</f>
        <v/>
      </c>
      <c r="S333" s="341" t="str">
        <f>IF(Q333="","",'Historique détail'!R333/$W333)</f>
        <v/>
      </c>
      <c r="T333" s="341" t="str">
        <f>IF(R333="","",'Historique détail'!S333/$W333)</f>
        <v/>
      </c>
      <c r="U333" s="340" t="str">
        <f t="shared" si="2"/>
        <v/>
      </c>
      <c r="V333" s="14" t="str">
        <f>IF(A333="","",ARBITRAGES!M334)</f>
        <v/>
      </c>
      <c r="W333" s="343" t="str">
        <f>IF(V333="","",'Historique détail'!U333)</f>
        <v/>
      </c>
      <c r="X333" s="288"/>
      <c r="Y333" s="220"/>
      <c r="Z333" s="220"/>
      <c r="AA333" s="220"/>
      <c r="AB333" s="220"/>
      <c r="AC333" s="220"/>
      <c r="AD333" s="220"/>
      <c r="AE333" s="220"/>
      <c r="AF333" s="220"/>
      <c r="AG333" s="220"/>
      <c r="AH333" s="220"/>
      <c r="AI333" s="308"/>
      <c r="AJ333" s="220"/>
      <c r="AK333" s="220"/>
      <c r="AL333" s="220"/>
      <c r="AM333" s="220"/>
      <c r="AN333" s="220"/>
      <c r="AO333" s="220"/>
      <c r="AP333" s="220"/>
      <c r="AQ333" s="220"/>
      <c r="AR333" s="220"/>
      <c r="AS333" s="220"/>
      <c r="AT333" s="220"/>
      <c r="AU333" s="220"/>
      <c r="AV333" s="220"/>
      <c r="AW333" s="220"/>
      <c r="AX333" s="220"/>
      <c r="AY333" s="220"/>
      <c r="AZ333" s="220"/>
      <c r="BA333" s="220"/>
      <c r="BB333" s="220"/>
    </row>
    <row r="334">
      <c r="A334" s="240"/>
      <c r="B334" s="302" t="str">
        <f t="shared" si="1"/>
        <v/>
      </c>
      <c r="C334" s="341" t="str">
        <f>IF(A334="","",'Historique détail'!B334/$W334)</f>
        <v/>
      </c>
      <c r="D334" s="341" t="str">
        <f>IF(B334="","",'Historique détail'!C334/$W334)</f>
        <v/>
      </c>
      <c r="E334" s="341" t="str">
        <f>IF(C334="","",'Historique détail'!D334/$W334)</f>
        <v/>
      </c>
      <c r="F334" s="341" t="str">
        <f>IF(D334="","",'Historique détail'!E334/$W334)</f>
        <v/>
      </c>
      <c r="G334" s="341" t="str">
        <f>IF(E334="","",'Historique détail'!F334/$W334)</f>
        <v/>
      </c>
      <c r="H334" s="341" t="str">
        <f>IF(F334="","",'Historique détail'!G334/$W334)</f>
        <v/>
      </c>
      <c r="I334" s="341" t="str">
        <f>IF(G334="","",'Historique détail'!H334/$W334)</f>
        <v/>
      </c>
      <c r="J334" s="341" t="str">
        <f>IF(H334="","",'Historique détail'!I334/$W334)</f>
        <v/>
      </c>
      <c r="K334" s="341" t="str">
        <f>IF(I334="","",'Historique détail'!J334/$W334)</f>
        <v/>
      </c>
      <c r="L334" s="341" t="str">
        <f>IF(J334="","",'Historique détail'!K334/$W334)</f>
        <v/>
      </c>
      <c r="M334" s="341" t="str">
        <f>IF(K334="","",'Historique détail'!L334/$W334)</f>
        <v/>
      </c>
      <c r="N334" s="341" t="str">
        <f>IF(L334="","",'Historique détail'!M334/$W334)</f>
        <v/>
      </c>
      <c r="O334" s="341" t="str">
        <f>IF(M334="","",'Historique détail'!N334/$W334)</f>
        <v/>
      </c>
      <c r="P334" s="341" t="str">
        <f>IF(N334="","",'Historique détail'!O334/$W334)</f>
        <v/>
      </c>
      <c r="Q334" s="341" t="str">
        <f>IF(O334="","",'Historique détail'!P334/$W334)</f>
        <v/>
      </c>
      <c r="R334" s="341" t="str">
        <f>IF(P334="","",'Historique détail'!Q334/$W334)</f>
        <v/>
      </c>
      <c r="S334" s="341" t="str">
        <f>IF(Q334="","",'Historique détail'!R334/$W334)</f>
        <v/>
      </c>
      <c r="T334" s="341" t="str">
        <f>IF(R334="","",'Historique détail'!S334/$W334)</f>
        <v/>
      </c>
      <c r="U334" s="340" t="str">
        <f t="shared" si="2"/>
        <v/>
      </c>
      <c r="V334" s="14" t="str">
        <f>IF(A334="","",ARBITRAGES!M335)</f>
        <v/>
      </c>
      <c r="W334" s="343" t="str">
        <f>IF(V334="","",'Historique détail'!U334)</f>
        <v/>
      </c>
      <c r="X334" s="288"/>
      <c r="Y334" s="220"/>
      <c r="Z334" s="220"/>
      <c r="AA334" s="220"/>
      <c r="AB334" s="220"/>
      <c r="AC334" s="220"/>
      <c r="AD334" s="220"/>
      <c r="AE334" s="220"/>
      <c r="AF334" s="220"/>
      <c r="AG334" s="220"/>
      <c r="AH334" s="220"/>
      <c r="AI334" s="308"/>
      <c r="AJ334" s="220"/>
      <c r="AK334" s="220"/>
      <c r="AL334" s="220"/>
      <c r="AM334" s="220"/>
      <c r="AN334" s="220"/>
      <c r="AO334" s="220"/>
      <c r="AP334" s="220"/>
      <c r="AQ334" s="220"/>
      <c r="AR334" s="220"/>
      <c r="AS334" s="220"/>
      <c r="AT334" s="220"/>
      <c r="AU334" s="220"/>
      <c r="AV334" s="220"/>
      <c r="AW334" s="220"/>
      <c r="AX334" s="220"/>
      <c r="AY334" s="220"/>
      <c r="AZ334" s="220"/>
      <c r="BA334" s="220"/>
      <c r="BB334" s="220"/>
    </row>
    <row r="335">
      <c r="A335" s="240"/>
      <c r="B335" s="302" t="str">
        <f t="shared" si="1"/>
        <v/>
      </c>
      <c r="C335" s="341" t="str">
        <f>IF(A335="","",'Historique détail'!B335/$W335)</f>
        <v/>
      </c>
      <c r="D335" s="341" t="str">
        <f>IF(B335="","",'Historique détail'!C335/$W335)</f>
        <v/>
      </c>
      <c r="E335" s="341" t="str">
        <f>IF(C335="","",'Historique détail'!D335/$W335)</f>
        <v/>
      </c>
      <c r="F335" s="341" t="str">
        <f>IF(D335="","",'Historique détail'!E335/$W335)</f>
        <v/>
      </c>
      <c r="G335" s="341" t="str">
        <f>IF(E335="","",'Historique détail'!F335/$W335)</f>
        <v/>
      </c>
      <c r="H335" s="341" t="str">
        <f>IF(F335="","",'Historique détail'!G335/$W335)</f>
        <v/>
      </c>
      <c r="I335" s="341" t="str">
        <f>IF(G335="","",'Historique détail'!H335/$W335)</f>
        <v/>
      </c>
      <c r="J335" s="341" t="str">
        <f>IF(H335="","",'Historique détail'!I335/$W335)</f>
        <v/>
      </c>
      <c r="K335" s="341" t="str">
        <f>IF(I335="","",'Historique détail'!J335/$W335)</f>
        <v/>
      </c>
      <c r="L335" s="341" t="str">
        <f>IF(J335="","",'Historique détail'!K335/$W335)</f>
        <v/>
      </c>
      <c r="M335" s="341" t="str">
        <f>IF(K335="","",'Historique détail'!L335/$W335)</f>
        <v/>
      </c>
      <c r="N335" s="341" t="str">
        <f>IF(L335="","",'Historique détail'!M335/$W335)</f>
        <v/>
      </c>
      <c r="O335" s="341" t="str">
        <f>IF(M335="","",'Historique détail'!N335/$W335)</f>
        <v/>
      </c>
      <c r="P335" s="341" t="str">
        <f>IF(N335="","",'Historique détail'!O335/$W335)</f>
        <v/>
      </c>
      <c r="Q335" s="341" t="str">
        <f>IF(O335="","",'Historique détail'!P335/$W335)</f>
        <v/>
      </c>
      <c r="R335" s="341" t="str">
        <f>IF(P335="","",'Historique détail'!Q335/$W335)</f>
        <v/>
      </c>
      <c r="S335" s="341" t="str">
        <f>IF(Q335="","",'Historique détail'!R335/$W335)</f>
        <v/>
      </c>
      <c r="T335" s="341" t="str">
        <f>IF(R335="","",'Historique détail'!S335/$W335)</f>
        <v/>
      </c>
      <c r="U335" s="340" t="str">
        <f t="shared" si="2"/>
        <v/>
      </c>
      <c r="V335" s="14" t="str">
        <f>IF(A335="","",ARBITRAGES!M336)</f>
        <v/>
      </c>
      <c r="W335" s="343" t="str">
        <f>IF(V335="","",'Historique détail'!U335)</f>
        <v/>
      </c>
      <c r="X335" s="288"/>
      <c r="Y335" s="220"/>
      <c r="Z335" s="220"/>
      <c r="AA335" s="220"/>
      <c r="AB335" s="220"/>
      <c r="AC335" s="220"/>
      <c r="AD335" s="220"/>
      <c r="AE335" s="220"/>
      <c r="AF335" s="220"/>
      <c r="AG335" s="220"/>
      <c r="AH335" s="220"/>
      <c r="AI335" s="308"/>
      <c r="AJ335" s="220"/>
      <c r="AK335" s="220"/>
      <c r="AL335" s="220"/>
      <c r="AM335" s="220"/>
      <c r="AN335" s="220"/>
      <c r="AO335" s="220"/>
      <c r="AP335" s="220"/>
      <c r="AQ335" s="220"/>
      <c r="AR335" s="220"/>
      <c r="AS335" s="220"/>
      <c r="AT335" s="220"/>
      <c r="AU335" s="220"/>
      <c r="AV335" s="220"/>
      <c r="AW335" s="220"/>
      <c r="AX335" s="220"/>
      <c r="AY335" s="220"/>
      <c r="AZ335" s="220"/>
      <c r="BA335" s="220"/>
      <c r="BB335" s="220"/>
    </row>
    <row r="336">
      <c r="A336" s="240"/>
      <c r="B336" s="302" t="str">
        <f t="shared" si="1"/>
        <v/>
      </c>
      <c r="C336" s="341" t="str">
        <f>IF(A336="","",'Historique détail'!B336/$W336)</f>
        <v/>
      </c>
      <c r="D336" s="341" t="str">
        <f>IF(B336="","",'Historique détail'!C336/$W336)</f>
        <v/>
      </c>
      <c r="E336" s="341" t="str">
        <f>IF(C336="","",'Historique détail'!D336/$W336)</f>
        <v/>
      </c>
      <c r="F336" s="341" t="str">
        <f>IF(D336="","",'Historique détail'!E336/$W336)</f>
        <v/>
      </c>
      <c r="G336" s="341" t="str">
        <f>IF(E336="","",'Historique détail'!F336/$W336)</f>
        <v/>
      </c>
      <c r="H336" s="341" t="str">
        <f>IF(F336="","",'Historique détail'!G336/$W336)</f>
        <v/>
      </c>
      <c r="I336" s="341" t="str">
        <f>IF(G336="","",'Historique détail'!H336/$W336)</f>
        <v/>
      </c>
      <c r="J336" s="341" t="str">
        <f>IF(H336="","",'Historique détail'!I336/$W336)</f>
        <v/>
      </c>
      <c r="K336" s="341" t="str">
        <f>IF(I336="","",'Historique détail'!J336/$W336)</f>
        <v/>
      </c>
      <c r="L336" s="341" t="str">
        <f>IF(J336="","",'Historique détail'!K336/$W336)</f>
        <v/>
      </c>
      <c r="M336" s="341" t="str">
        <f>IF(K336="","",'Historique détail'!L336/$W336)</f>
        <v/>
      </c>
      <c r="N336" s="341" t="str">
        <f>IF(L336="","",'Historique détail'!M336/$W336)</f>
        <v/>
      </c>
      <c r="O336" s="341" t="str">
        <f>IF(M336="","",'Historique détail'!N336/$W336)</f>
        <v/>
      </c>
      <c r="P336" s="341" t="str">
        <f>IF(N336="","",'Historique détail'!O336/$W336)</f>
        <v/>
      </c>
      <c r="Q336" s="341" t="str">
        <f>IF(O336="","",'Historique détail'!P336/$W336)</f>
        <v/>
      </c>
      <c r="R336" s="341" t="str">
        <f>IF(P336="","",'Historique détail'!Q336/$W336)</f>
        <v/>
      </c>
      <c r="S336" s="341" t="str">
        <f>IF(Q336="","",'Historique détail'!R336/$W336)</f>
        <v/>
      </c>
      <c r="T336" s="341" t="str">
        <f>IF(R336="","",'Historique détail'!S336/$W336)</f>
        <v/>
      </c>
      <c r="U336" s="340" t="str">
        <f t="shared" si="2"/>
        <v/>
      </c>
      <c r="V336" s="14" t="str">
        <f>IF(A336="","",ARBITRAGES!M337)</f>
        <v/>
      </c>
      <c r="W336" s="343" t="str">
        <f>IF(V336="","",'Historique détail'!U336)</f>
        <v/>
      </c>
      <c r="X336" s="288"/>
      <c r="Y336" s="220"/>
      <c r="Z336" s="220"/>
      <c r="AA336" s="220"/>
      <c r="AB336" s="220"/>
      <c r="AC336" s="220"/>
      <c r="AD336" s="220"/>
      <c r="AE336" s="220"/>
      <c r="AF336" s="220"/>
      <c r="AG336" s="220"/>
      <c r="AH336" s="220"/>
      <c r="AI336" s="308"/>
      <c r="AJ336" s="220"/>
      <c r="AK336" s="220"/>
      <c r="AL336" s="220"/>
      <c r="AM336" s="220"/>
      <c r="AN336" s="220"/>
      <c r="AO336" s="220"/>
      <c r="AP336" s="220"/>
      <c r="AQ336" s="220"/>
      <c r="AR336" s="220"/>
      <c r="AS336" s="220"/>
      <c r="AT336" s="220"/>
      <c r="AU336" s="220"/>
      <c r="AV336" s="220"/>
      <c r="AW336" s="220"/>
      <c r="AX336" s="220"/>
      <c r="AY336" s="220"/>
      <c r="AZ336" s="220"/>
      <c r="BA336" s="220"/>
      <c r="BB336" s="220"/>
    </row>
    <row r="337">
      <c r="A337" s="240"/>
      <c r="B337" s="302" t="str">
        <f t="shared" si="1"/>
        <v/>
      </c>
      <c r="C337" s="341" t="str">
        <f>IF(A337="","",'Historique détail'!B337/$W337)</f>
        <v/>
      </c>
      <c r="D337" s="341" t="str">
        <f>IF(B337="","",'Historique détail'!C337/$W337)</f>
        <v/>
      </c>
      <c r="E337" s="341" t="str">
        <f>IF(C337="","",'Historique détail'!D337/$W337)</f>
        <v/>
      </c>
      <c r="F337" s="341" t="str">
        <f>IF(D337="","",'Historique détail'!E337/$W337)</f>
        <v/>
      </c>
      <c r="G337" s="341" t="str">
        <f>IF(E337="","",'Historique détail'!F337/$W337)</f>
        <v/>
      </c>
      <c r="H337" s="341" t="str">
        <f>IF(F337="","",'Historique détail'!G337/$W337)</f>
        <v/>
      </c>
      <c r="I337" s="341" t="str">
        <f>IF(G337="","",'Historique détail'!H337/$W337)</f>
        <v/>
      </c>
      <c r="J337" s="341" t="str">
        <f>IF(H337="","",'Historique détail'!I337/$W337)</f>
        <v/>
      </c>
      <c r="K337" s="341" t="str">
        <f>IF(I337="","",'Historique détail'!J337/$W337)</f>
        <v/>
      </c>
      <c r="L337" s="341" t="str">
        <f>IF(J337="","",'Historique détail'!K337/$W337)</f>
        <v/>
      </c>
      <c r="M337" s="341" t="str">
        <f>IF(K337="","",'Historique détail'!L337/$W337)</f>
        <v/>
      </c>
      <c r="N337" s="341" t="str">
        <f>IF(L337="","",'Historique détail'!M337/$W337)</f>
        <v/>
      </c>
      <c r="O337" s="341" t="str">
        <f>IF(M337="","",'Historique détail'!N337/$W337)</f>
        <v/>
      </c>
      <c r="P337" s="341" t="str">
        <f>IF(N337="","",'Historique détail'!O337/$W337)</f>
        <v/>
      </c>
      <c r="Q337" s="341" t="str">
        <f>IF(O337="","",'Historique détail'!P337/$W337)</f>
        <v/>
      </c>
      <c r="R337" s="341" t="str">
        <f>IF(P337="","",'Historique détail'!Q337/$W337)</f>
        <v/>
      </c>
      <c r="S337" s="341" t="str">
        <f>IF(Q337="","",'Historique détail'!R337/$W337)</f>
        <v/>
      </c>
      <c r="T337" s="341" t="str">
        <f>IF(R337="","",'Historique détail'!S337/$W337)</f>
        <v/>
      </c>
      <c r="U337" s="340" t="str">
        <f t="shared" si="2"/>
        <v/>
      </c>
      <c r="V337" s="14" t="str">
        <f>IF(A337="","",ARBITRAGES!M338)</f>
        <v/>
      </c>
      <c r="W337" s="343" t="str">
        <f>IF(V337="","",'Historique détail'!U337)</f>
        <v/>
      </c>
      <c r="X337" s="288"/>
      <c r="Y337" s="220"/>
      <c r="Z337" s="220"/>
      <c r="AA337" s="220"/>
      <c r="AB337" s="220"/>
      <c r="AC337" s="220"/>
      <c r="AD337" s="220"/>
      <c r="AE337" s="220"/>
      <c r="AF337" s="220"/>
      <c r="AG337" s="220"/>
      <c r="AH337" s="220"/>
      <c r="AI337" s="308"/>
      <c r="AJ337" s="220"/>
      <c r="AK337" s="220"/>
      <c r="AL337" s="220"/>
      <c r="AM337" s="220"/>
      <c r="AN337" s="220"/>
      <c r="AO337" s="220"/>
      <c r="AP337" s="220"/>
      <c r="AQ337" s="220"/>
      <c r="AR337" s="220"/>
      <c r="AS337" s="220"/>
      <c r="AT337" s="220"/>
      <c r="AU337" s="220"/>
      <c r="AV337" s="220"/>
      <c r="AW337" s="220"/>
      <c r="AX337" s="220"/>
      <c r="AY337" s="220"/>
      <c r="AZ337" s="220"/>
      <c r="BA337" s="220"/>
      <c r="BB337" s="220"/>
    </row>
    <row r="338">
      <c r="A338" s="240"/>
      <c r="B338" s="302" t="str">
        <f t="shared" si="1"/>
        <v/>
      </c>
      <c r="C338" s="341" t="str">
        <f>IF(A338="","",'Historique détail'!B338/$W338)</f>
        <v/>
      </c>
      <c r="D338" s="341" t="str">
        <f>IF(B338="","",'Historique détail'!C338/$W338)</f>
        <v/>
      </c>
      <c r="E338" s="341" t="str">
        <f>IF(C338="","",'Historique détail'!D338/$W338)</f>
        <v/>
      </c>
      <c r="F338" s="341" t="str">
        <f>IF(D338="","",'Historique détail'!E338/$W338)</f>
        <v/>
      </c>
      <c r="G338" s="341" t="str">
        <f>IF(E338="","",'Historique détail'!F338/$W338)</f>
        <v/>
      </c>
      <c r="H338" s="341" t="str">
        <f>IF(F338="","",'Historique détail'!G338/$W338)</f>
        <v/>
      </c>
      <c r="I338" s="341" t="str">
        <f>IF(G338="","",'Historique détail'!H338/$W338)</f>
        <v/>
      </c>
      <c r="J338" s="341" t="str">
        <f>IF(H338="","",'Historique détail'!I338/$W338)</f>
        <v/>
      </c>
      <c r="K338" s="341" t="str">
        <f>IF(I338="","",'Historique détail'!J338/$W338)</f>
        <v/>
      </c>
      <c r="L338" s="341" t="str">
        <f>IF(J338="","",'Historique détail'!K338/$W338)</f>
        <v/>
      </c>
      <c r="M338" s="341" t="str">
        <f>IF(K338="","",'Historique détail'!L338/$W338)</f>
        <v/>
      </c>
      <c r="N338" s="341" t="str">
        <f>IF(L338="","",'Historique détail'!M338/$W338)</f>
        <v/>
      </c>
      <c r="O338" s="341" t="str">
        <f>IF(M338="","",'Historique détail'!N338/$W338)</f>
        <v/>
      </c>
      <c r="P338" s="341" t="str">
        <f>IF(N338="","",'Historique détail'!O338/$W338)</f>
        <v/>
      </c>
      <c r="Q338" s="341" t="str">
        <f>IF(O338="","",'Historique détail'!P338/$W338)</f>
        <v/>
      </c>
      <c r="R338" s="341" t="str">
        <f>IF(P338="","",'Historique détail'!Q338/$W338)</f>
        <v/>
      </c>
      <c r="S338" s="341" t="str">
        <f>IF(Q338="","",'Historique détail'!R338/$W338)</f>
        <v/>
      </c>
      <c r="T338" s="341" t="str">
        <f>IF(R338="","",'Historique détail'!S338/$W338)</f>
        <v/>
      </c>
      <c r="U338" s="340" t="str">
        <f t="shared" si="2"/>
        <v/>
      </c>
      <c r="V338" s="14" t="str">
        <f>IF(A338="","",ARBITRAGES!M339)</f>
        <v/>
      </c>
      <c r="W338" s="343" t="str">
        <f>IF(V338="","",'Historique détail'!U338)</f>
        <v/>
      </c>
      <c r="X338" s="288"/>
      <c r="Y338" s="220"/>
      <c r="Z338" s="220"/>
      <c r="AA338" s="220"/>
      <c r="AB338" s="220"/>
      <c r="AC338" s="220"/>
      <c r="AD338" s="220"/>
      <c r="AE338" s="220"/>
      <c r="AF338" s="220"/>
      <c r="AG338" s="220"/>
      <c r="AH338" s="220"/>
      <c r="AI338" s="308"/>
      <c r="AJ338" s="220"/>
      <c r="AK338" s="220"/>
      <c r="AL338" s="220"/>
      <c r="AM338" s="220"/>
      <c r="AN338" s="220"/>
      <c r="AO338" s="220"/>
      <c r="AP338" s="220"/>
      <c r="AQ338" s="220"/>
      <c r="AR338" s="220"/>
      <c r="AS338" s="220"/>
      <c r="AT338" s="220"/>
      <c r="AU338" s="220"/>
      <c r="AV338" s="220"/>
      <c r="AW338" s="220"/>
      <c r="AX338" s="220"/>
      <c r="AY338" s="220"/>
      <c r="AZ338" s="220"/>
      <c r="BA338" s="220"/>
      <c r="BB338" s="220"/>
    </row>
    <row r="339">
      <c r="A339" s="240"/>
      <c r="B339" s="302" t="str">
        <f t="shared" si="1"/>
        <v/>
      </c>
      <c r="C339" s="341" t="str">
        <f>IF(A339="","",'Historique détail'!B339/$W339)</f>
        <v/>
      </c>
      <c r="D339" s="341" t="str">
        <f>IF(B339="","",'Historique détail'!C339/$W339)</f>
        <v/>
      </c>
      <c r="E339" s="341" t="str">
        <f>IF(C339="","",'Historique détail'!D339/$W339)</f>
        <v/>
      </c>
      <c r="F339" s="341" t="str">
        <f>IF(D339="","",'Historique détail'!E339/$W339)</f>
        <v/>
      </c>
      <c r="G339" s="341" t="str">
        <f>IF(E339="","",'Historique détail'!F339/$W339)</f>
        <v/>
      </c>
      <c r="H339" s="341" t="str">
        <f>IF(F339="","",'Historique détail'!G339/$W339)</f>
        <v/>
      </c>
      <c r="I339" s="341" t="str">
        <f>IF(G339="","",'Historique détail'!H339/$W339)</f>
        <v/>
      </c>
      <c r="J339" s="341" t="str">
        <f>IF(H339="","",'Historique détail'!I339/$W339)</f>
        <v/>
      </c>
      <c r="K339" s="341" t="str">
        <f>IF(I339="","",'Historique détail'!J339/$W339)</f>
        <v/>
      </c>
      <c r="L339" s="341" t="str">
        <f>IF(J339="","",'Historique détail'!K339/$W339)</f>
        <v/>
      </c>
      <c r="M339" s="341" t="str">
        <f>IF(K339="","",'Historique détail'!L339/$W339)</f>
        <v/>
      </c>
      <c r="N339" s="341" t="str">
        <f>IF(L339="","",'Historique détail'!M339/$W339)</f>
        <v/>
      </c>
      <c r="O339" s="341" t="str">
        <f>IF(M339="","",'Historique détail'!N339/$W339)</f>
        <v/>
      </c>
      <c r="P339" s="341" t="str">
        <f>IF(N339="","",'Historique détail'!O339/$W339)</f>
        <v/>
      </c>
      <c r="Q339" s="341" t="str">
        <f>IF(O339="","",'Historique détail'!P339/$W339)</f>
        <v/>
      </c>
      <c r="R339" s="341" t="str">
        <f>IF(P339="","",'Historique détail'!Q339/$W339)</f>
        <v/>
      </c>
      <c r="S339" s="341" t="str">
        <f>IF(Q339="","",'Historique détail'!R339/$W339)</f>
        <v/>
      </c>
      <c r="T339" s="341" t="str">
        <f>IF(R339="","",'Historique détail'!S339/$W339)</f>
        <v/>
      </c>
      <c r="U339" s="340" t="str">
        <f t="shared" si="2"/>
        <v/>
      </c>
      <c r="V339" s="14" t="str">
        <f>IF(A339="","",ARBITRAGES!M340)</f>
        <v/>
      </c>
      <c r="W339" s="343" t="str">
        <f>IF(V339="","",'Historique détail'!U339)</f>
        <v/>
      </c>
      <c r="X339" s="288"/>
      <c r="Y339" s="220"/>
      <c r="Z339" s="220"/>
      <c r="AA339" s="220"/>
      <c r="AB339" s="220"/>
      <c r="AC339" s="220"/>
      <c r="AD339" s="220"/>
      <c r="AE339" s="220"/>
      <c r="AF339" s="220"/>
      <c r="AG339" s="220"/>
      <c r="AH339" s="220"/>
      <c r="AI339" s="308"/>
      <c r="AJ339" s="220"/>
      <c r="AK339" s="220"/>
      <c r="AL339" s="220"/>
      <c r="AM339" s="220"/>
      <c r="AN339" s="220"/>
      <c r="AO339" s="220"/>
      <c r="AP339" s="220"/>
      <c r="AQ339" s="220"/>
      <c r="AR339" s="220"/>
      <c r="AS339" s="220"/>
      <c r="AT339" s="220"/>
      <c r="AU339" s="220"/>
      <c r="AV339" s="220"/>
      <c r="AW339" s="220"/>
      <c r="AX339" s="220"/>
      <c r="AY339" s="220"/>
      <c r="AZ339" s="220"/>
      <c r="BA339" s="220"/>
      <c r="BB339" s="220"/>
    </row>
    <row r="340">
      <c r="A340" s="240"/>
      <c r="B340" s="302" t="str">
        <f t="shared" si="1"/>
        <v/>
      </c>
      <c r="C340" s="341" t="str">
        <f>IF(A340="","",'Historique détail'!B340/$W340)</f>
        <v/>
      </c>
      <c r="D340" s="341" t="str">
        <f>IF(B340="","",'Historique détail'!C340/$W340)</f>
        <v/>
      </c>
      <c r="E340" s="341" t="str">
        <f>IF(C340="","",'Historique détail'!D340/$W340)</f>
        <v/>
      </c>
      <c r="F340" s="341" t="str">
        <f>IF(D340="","",'Historique détail'!E340/$W340)</f>
        <v/>
      </c>
      <c r="G340" s="341" t="str">
        <f>IF(E340="","",'Historique détail'!F340/$W340)</f>
        <v/>
      </c>
      <c r="H340" s="341" t="str">
        <f>IF(F340="","",'Historique détail'!G340/$W340)</f>
        <v/>
      </c>
      <c r="I340" s="341" t="str">
        <f>IF(G340="","",'Historique détail'!H340/$W340)</f>
        <v/>
      </c>
      <c r="J340" s="341" t="str">
        <f>IF(H340="","",'Historique détail'!I340/$W340)</f>
        <v/>
      </c>
      <c r="K340" s="341" t="str">
        <f>IF(I340="","",'Historique détail'!J340/$W340)</f>
        <v/>
      </c>
      <c r="L340" s="341" t="str">
        <f>IF(J340="","",'Historique détail'!K340/$W340)</f>
        <v/>
      </c>
      <c r="M340" s="341" t="str">
        <f>IF(K340="","",'Historique détail'!L340/$W340)</f>
        <v/>
      </c>
      <c r="N340" s="341" t="str">
        <f>IF(L340="","",'Historique détail'!M340/$W340)</f>
        <v/>
      </c>
      <c r="O340" s="341" t="str">
        <f>IF(M340="","",'Historique détail'!N340/$W340)</f>
        <v/>
      </c>
      <c r="P340" s="341" t="str">
        <f>IF(N340="","",'Historique détail'!O340/$W340)</f>
        <v/>
      </c>
      <c r="Q340" s="341" t="str">
        <f>IF(O340="","",'Historique détail'!P340/$W340)</f>
        <v/>
      </c>
      <c r="R340" s="341" t="str">
        <f>IF(P340="","",'Historique détail'!Q340/$W340)</f>
        <v/>
      </c>
      <c r="S340" s="341" t="str">
        <f>IF(Q340="","",'Historique détail'!R340/$W340)</f>
        <v/>
      </c>
      <c r="T340" s="341" t="str">
        <f>IF(R340="","",'Historique détail'!S340/$W340)</f>
        <v/>
      </c>
      <c r="U340" s="340" t="str">
        <f t="shared" si="2"/>
        <v/>
      </c>
      <c r="V340" s="14" t="str">
        <f>IF(A340="","",ARBITRAGES!M341)</f>
        <v/>
      </c>
      <c r="W340" s="343" t="str">
        <f>IF(V340="","",'Historique détail'!U340)</f>
        <v/>
      </c>
      <c r="X340" s="288"/>
      <c r="Y340" s="220"/>
      <c r="Z340" s="220"/>
      <c r="AA340" s="220"/>
      <c r="AB340" s="220"/>
      <c r="AC340" s="220"/>
      <c r="AD340" s="220"/>
      <c r="AE340" s="220"/>
      <c r="AF340" s="220"/>
      <c r="AG340" s="220"/>
      <c r="AH340" s="220"/>
      <c r="AI340" s="308"/>
      <c r="AJ340" s="220"/>
      <c r="AK340" s="220"/>
      <c r="AL340" s="220"/>
      <c r="AM340" s="220"/>
      <c r="AN340" s="220"/>
      <c r="AO340" s="220"/>
      <c r="AP340" s="220"/>
      <c r="AQ340" s="220"/>
      <c r="AR340" s="220"/>
      <c r="AS340" s="220"/>
      <c r="AT340" s="220"/>
      <c r="AU340" s="220"/>
      <c r="AV340" s="220"/>
      <c r="AW340" s="220"/>
      <c r="AX340" s="220"/>
      <c r="AY340" s="220"/>
      <c r="AZ340" s="220"/>
      <c r="BA340" s="220"/>
      <c r="BB340" s="220"/>
    </row>
    <row r="341">
      <c r="A341" s="240"/>
      <c r="B341" s="302" t="str">
        <f t="shared" si="1"/>
        <v/>
      </c>
      <c r="C341" s="341" t="str">
        <f>IF(A341="","",'Historique détail'!B341/$W341)</f>
        <v/>
      </c>
      <c r="D341" s="341" t="str">
        <f>IF(B341="","",'Historique détail'!C341/$W341)</f>
        <v/>
      </c>
      <c r="E341" s="341" t="str">
        <f>IF(C341="","",'Historique détail'!D341/$W341)</f>
        <v/>
      </c>
      <c r="F341" s="341" t="str">
        <f>IF(D341="","",'Historique détail'!E341/$W341)</f>
        <v/>
      </c>
      <c r="G341" s="341" t="str">
        <f>IF(E341="","",'Historique détail'!F341/$W341)</f>
        <v/>
      </c>
      <c r="H341" s="341" t="str">
        <f>IF(F341="","",'Historique détail'!G341/$W341)</f>
        <v/>
      </c>
      <c r="I341" s="341" t="str">
        <f>IF(G341="","",'Historique détail'!H341/$W341)</f>
        <v/>
      </c>
      <c r="J341" s="341" t="str">
        <f>IF(H341="","",'Historique détail'!I341/$W341)</f>
        <v/>
      </c>
      <c r="K341" s="341" t="str">
        <f>IF(I341="","",'Historique détail'!J341/$W341)</f>
        <v/>
      </c>
      <c r="L341" s="341" t="str">
        <f>IF(J341="","",'Historique détail'!K341/$W341)</f>
        <v/>
      </c>
      <c r="M341" s="341" t="str">
        <f>IF(K341="","",'Historique détail'!L341/$W341)</f>
        <v/>
      </c>
      <c r="N341" s="341" t="str">
        <f>IF(L341="","",'Historique détail'!M341/$W341)</f>
        <v/>
      </c>
      <c r="O341" s="341" t="str">
        <f>IF(M341="","",'Historique détail'!N341/$W341)</f>
        <v/>
      </c>
      <c r="P341" s="341" t="str">
        <f>IF(N341="","",'Historique détail'!O341/$W341)</f>
        <v/>
      </c>
      <c r="Q341" s="341" t="str">
        <f>IF(O341="","",'Historique détail'!P341/$W341)</f>
        <v/>
      </c>
      <c r="R341" s="341" t="str">
        <f>IF(P341="","",'Historique détail'!Q341/$W341)</f>
        <v/>
      </c>
      <c r="S341" s="341" t="str">
        <f>IF(Q341="","",'Historique détail'!R341/$W341)</f>
        <v/>
      </c>
      <c r="T341" s="341" t="str">
        <f>IF(R341="","",'Historique détail'!S341/$W341)</f>
        <v/>
      </c>
      <c r="U341" s="340" t="str">
        <f t="shared" si="2"/>
        <v/>
      </c>
      <c r="V341" s="14" t="str">
        <f>IF(A341="","",ARBITRAGES!M342)</f>
        <v/>
      </c>
      <c r="W341" s="343" t="str">
        <f>IF(V341="","",'Historique détail'!U341)</f>
        <v/>
      </c>
      <c r="X341" s="288"/>
      <c r="Y341" s="220"/>
      <c r="Z341" s="220"/>
      <c r="AA341" s="220"/>
      <c r="AB341" s="220"/>
      <c r="AC341" s="220"/>
      <c r="AD341" s="220"/>
      <c r="AE341" s="220"/>
      <c r="AF341" s="220"/>
      <c r="AG341" s="220"/>
      <c r="AH341" s="220"/>
      <c r="AI341" s="308"/>
      <c r="AJ341" s="220"/>
      <c r="AK341" s="220"/>
      <c r="AL341" s="220"/>
      <c r="AM341" s="220"/>
      <c r="AN341" s="220"/>
      <c r="AO341" s="220"/>
      <c r="AP341" s="220"/>
      <c r="AQ341" s="220"/>
      <c r="AR341" s="220"/>
      <c r="AS341" s="220"/>
      <c r="AT341" s="220"/>
      <c r="AU341" s="220"/>
      <c r="AV341" s="220"/>
      <c r="AW341" s="220"/>
      <c r="AX341" s="220"/>
      <c r="AY341" s="220"/>
      <c r="AZ341" s="220"/>
      <c r="BA341" s="220"/>
      <c r="BB341" s="220"/>
    </row>
    <row r="342">
      <c r="A342" s="240"/>
      <c r="B342" s="302" t="str">
        <f t="shared" si="1"/>
        <v/>
      </c>
      <c r="C342" s="341" t="str">
        <f>IF(A342="","",'Historique détail'!B342/$W342)</f>
        <v/>
      </c>
      <c r="D342" s="341" t="str">
        <f>IF(B342="","",'Historique détail'!C342/$W342)</f>
        <v/>
      </c>
      <c r="E342" s="341" t="str">
        <f>IF(C342="","",'Historique détail'!D342/$W342)</f>
        <v/>
      </c>
      <c r="F342" s="341" t="str">
        <f>IF(D342="","",'Historique détail'!E342/$W342)</f>
        <v/>
      </c>
      <c r="G342" s="341" t="str">
        <f>IF(E342="","",'Historique détail'!F342/$W342)</f>
        <v/>
      </c>
      <c r="H342" s="341" t="str">
        <f>IF(F342="","",'Historique détail'!G342/$W342)</f>
        <v/>
      </c>
      <c r="I342" s="341" t="str">
        <f>IF(G342="","",'Historique détail'!H342/$W342)</f>
        <v/>
      </c>
      <c r="J342" s="341" t="str">
        <f>IF(H342="","",'Historique détail'!I342/$W342)</f>
        <v/>
      </c>
      <c r="K342" s="341" t="str">
        <f>IF(I342="","",'Historique détail'!J342/$W342)</f>
        <v/>
      </c>
      <c r="L342" s="341" t="str">
        <f>IF(J342="","",'Historique détail'!K342/$W342)</f>
        <v/>
      </c>
      <c r="M342" s="341" t="str">
        <f>IF(K342="","",'Historique détail'!L342/$W342)</f>
        <v/>
      </c>
      <c r="N342" s="341" t="str">
        <f>IF(L342="","",'Historique détail'!M342/$W342)</f>
        <v/>
      </c>
      <c r="O342" s="341" t="str">
        <f>IF(M342="","",'Historique détail'!N342/$W342)</f>
        <v/>
      </c>
      <c r="P342" s="341" t="str">
        <f>IF(N342="","",'Historique détail'!O342/$W342)</f>
        <v/>
      </c>
      <c r="Q342" s="341" t="str">
        <f>IF(O342="","",'Historique détail'!P342/$W342)</f>
        <v/>
      </c>
      <c r="R342" s="341" t="str">
        <f>IF(P342="","",'Historique détail'!Q342/$W342)</f>
        <v/>
      </c>
      <c r="S342" s="341" t="str">
        <f>IF(Q342="","",'Historique détail'!R342/$W342)</f>
        <v/>
      </c>
      <c r="T342" s="341" t="str">
        <f>IF(R342="","",'Historique détail'!S342/$W342)</f>
        <v/>
      </c>
      <c r="U342" s="340" t="str">
        <f t="shared" si="2"/>
        <v/>
      </c>
      <c r="V342" s="14" t="str">
        <f>IF(A342="","",ARBITRAGES!M343)</f>
        <v/>
      </c>
      <c r="W342" s="343" t="str">
        <f>IF(V342="","",'Historique détail'!U342)</f>
        <v/>
      </c>
      <c r="X342" s="288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220"/>
      <c r="AI342" s="308"/>
      <c r="AJ342" s="220"/>
      <c r="AK342" s="220"/>
      <c r="AL342" s="220"/>
      <c r="AM342" s="220"/>
      <c r="AN342" s="220"/>
      <c r="AO342" s="220"/>
      <c r="AP342" s="220"/>
      <c r="AQ342" s="220"/>
      <c r="AR342" s="220"/>
      <c r="AS342" s="220"/>
      <c r="AT342" s="220"/>
      <c r="AU342" s="220"/>
      <c r="AV342" s="220"/>
      <c r="AW342" s="220"/>
      <c r="AX342" s="220"/>
      <c r="AY342" s="220"/>
      <c r="AZ342" s="220"/>
      <c r="BA342" s="220"/>
      <c r="BB342" s="220"/>
    </row>
    <row r="343">
      <c r="A343" s="240"/>
      <c r="B343" s="302" t="str">
        <f t="shared" si="1"/>
        <v/>
      </c>
      <c r="C343" s="341" t="str">
        <f>IF(A343="","",'Historique détail'!B343/$W343)</f>
        <v/>
      </c>
      <c r="D343" s="341" t="str">
        <f>IF(B343="","",'Historique détail'!C343/$W343)</f>
        <v/>
      </c>
      <c r="E343" s="341" t="str">
        <f>IF(C343="","",'Historique détail'!D343/$W343)</f>
        <v/>
      </c>
      <c r="F343" s="341" t="str">
        <f>IF(D343="","",'Historique détail'!E343/$W343)</f>
        <v/>
      </c>
      <c r="G343" s="341" t="str">
        <f>IF(E343="","",'Historique détail'!F343/$W343)</f>
        <v/>
      </c>
      <c r="H343" s="341" t="str">
        <f>IF(F343="","",'Historique détail'!G343/$W343)</f>
        <v/>
      </c>
      <c r="I343" s="341" t="str">
        <f>IF(G343="","",'Historique détail'!H343/$W343)</f>
        <v/>
      </c>
      <c r="J343" s="341" t="str">
        <f>IF(H343="","",'Historique détail'!I343/$W343)</f>
        <v/>
      </c>
      <c r="K343" s="341" t="str">
        <f>IF(I343="","",'Historique détail'!J343/$W343)</f>
        <v/>
      </c>
      <c r="L343" s="341" t="str">
        <f>IF(J343="","",'Historique détail'!K343/$W343)</f>
        <v/>
      </c>
      <c r="M343" s="341" t="str">
        <f>IF(K343="","",'Historique détail'!L343/$W343)</f>
        <v/>
      </c>
      <c r="N343" s="341" t="str">
        <f>IF(L343="","",'Historique détail'!M343/$W343)</f>
        <v/>
      </c>
      <c r="O343" s="341" t="str">
        <f>IF(M343="","",'Historique détail'!N343/$W343)</f>
        <v/>
      </c>
      <c r="P343" s="341" t="str">
        <f>IF(N343="","",'Historique détail'!O343/$W343)</f>
        <v/>
      </c>
      <c r="Q343" s="341" t="str">
        <f>IF(O343="","",'Historique détail'!P343/$W343)</f>
        <v/>
      </c>
      <c r="R343" s="341" t="str">
        <f>IF(P343="","",'Historique détail'!Q343/$W343)</f>
        <v/>
      </c>
      <c r="S343" s="341" t="str">
        <f>IF(Q343="","",'Historique détail'!R343/$W343)</f>
        <v/>
      </c>
      <c r="T343" s="341" t="str">
        <f>IF(R343="","",'Historique détail'!S343/$W343)</f>
        <v/>
      </c>
      <c r="U343" s="340" t="str">
        <f t="shared" si="2"/>
        <v/>
      </c>
      <c r="V343" s="14" t="str">
        <f>IF(A343="","",ARBITRAGES!M344)</f>
        <v/>
      </c>
      <c r="W343" s="343" t="str">
        <f>IF(V343="","",'Historique détail'!U343)</f>
        <v/>
      </c>
      <c r="X343" s="288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220"/>
      <c r="AI343" s="308"/>
      <c r="AJ343" s="220"/>
      <c r="AK343" s="220"/>
      <c r="AL343" s="220"/>
      <c r="AM343" s="220"/>
      <c r="AN343" s="220"/>
      <c r="AO343" s="220"/>
      <c r="AP343" s="220"/>
      <c r="AQ343" s="220"/>
      <c r="AR343" s="220"/>
      <c r="AS343" s="220"/>
      <c r="AT343" s="220"/>
      <c r="AU343" s="220"/>
      <c r="AV343" s="220"/>
      <c r="AW343" s="220"/>
      <c r="AX343" s="220"/>
      <c r="AY343" s="220"/>
      <c r="AZ343" s="220"/>
      <c r="BA343" s="220"/>
      <c r="BB343" s="220"/>
    </row>
    <row r="344">
      <c r="A344" s="240"/>
      <c r="B344" s="302" t="str">
        <f t="shared" si="1"/>
        <v/>
      </c>
      <c r="C344" s="341" t="str">
        <f>IF(A344="","",'Historique détail'!B344/$W344)</f>
        <v/>
      </c>
      <c r="D344" s="341" t="str">
        <f>IF(B344="","",'Historique détail'!C344/$W344)</f>
        <v/>
      </c>
      <c r="E344" s="341" t="str">
        <f>IF(C344="","",'Historique détail'!D344/$W344)</f>
        <v/>
      </c>
      <c r="F344" s="341" t="str">
        <f>IF(D344="","",'Historique détail'!E344/$W344)</f>
        <v/>
      </c>
      <c r="G344" s="341" t="str">
        <f>IF(E344="","",'Historique détail'!F344/$W344)</f>
        <v/>
      </c>
      <c r="H344" s="341" t="str">
        <f>IF(F344="","",'Historique détail'!G344/$W344)</f>
        <v/>
      </c>
      <c r="I344" s="341" t="str">
        <f>IF(G344="","",'Historique détail'!H344/$W344)</f>
        <v/>
      </c>
      <c r="J344" s="341" t="str">
        <f>IF(H344="","",'Historique détail'!I344/$W344)</f>
        <v/>
      </c>
      <c r="K344" s="341" t="str">
        <f>IF(I344="","",'Historique détail'!J344/$W344)</f>
        <v/>
      </c>
      <c r="L344" s="341" t="str">
        <f>IF(J344="","",'Historique détail'!K344/$W344)</f>
        <v/>
      </c>
      <c r="M344" s="341" t="str">
        <f>IF(K344="","",'Historique détail'!L344/$W344)</f>
        <v/>
      </c>
      <c r="N344" s="341" t="str">
        <f>IF(L344="","",'Historique détail'!M344/$W344)</f>
        <v/>
      </c>
      <c r="O344" s="341" t="str">
        <f>IF(M344="","",'Historique détail'!N344/$W344)</f>
        <v/>
      </c>
      <c r="P344" s="341" t="str">
        <f>IF(N344="","",'Historique détail'!O344/$W344)</f>
        <v/>
      </c>
      <c r="Q344" s="341" t="str">
        <f>IF(O344="","",'Historique détail'!P344/$W344)</f>
        <v/>
      </c>
      <c r="R344" s="341" t="str">
        <f>IF(P344="","",'Historique détail'!Q344/$W344)</f>
        <v/>
      </c>
      <c r="S344" s="341" t="str">
        <f>IF(Q344="","",'Historique détail'!R344/$W344)</f>
        <v/>
      </c>
      <c r="T344" s="341" t="str">
        <f>IF(R344="","",'Historique détail'!S344/$W344)</f>
        <v/>
      </c>
      <c r="U344" s="340" t="str">
        <f t="shared" si="2"/>
        <v/>
      </c>
      <c r="V344" s="14" t="str">
        <f>IF(A344="","",ARBITRAGES!M345)</f>
        <v/>
      </c>
      <c r="W344" s="343" t="str">
        <f>IF(V344="","",'Historique détail'!U344)</f>
        <v/>
      </c>
      <c r="X344" s="288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0"/>
      <c r="AI344" s="308"/>
      <c r="AJ344" s="220"/>
      <c r="AK344" s="220"/>
      <c r="AL344" s="220"/>
      <c r="AM344" s="220"/>
      <c r="AN344" s="220"/>
      <c r="AO344" s="220"/>
      <c r="AP344" s="220"/>
      <c r="AQ344" s="220"/>
      <c r="AR344" s="220"/>
      <c r="AS344" s="220"/>
      <c r="AT344" s="220"/>
      <c r="AU344" s="220"/>
      <c r="AV344" s="220"/>
      <c r="AW344" s="220"/>
      <c r="AX344" s="220"/>
      <c r="AY344" s="220"/>
      <c r="AZ344" s="220"/>
      <c r="BA344" s="220"/>
      <c r="BB344" s="220"/>
    </row>
    <row r="345">
      <c r="A345" s="240"/>
      <c r="B345" s="302" t="str">
        <f t="shared" si="1"/>
        <v/>
      </c>
      <c r="C345" s="341" t="str">
        <f>IF(A345="","",'Historique détail'!B345/$W345)</f>
        <v/>
      </c>
      <c r="D345" s="341" t="str">
        <f>IF(B345="","",'Historique détail'!C345/$W345)</f>
        <v/>
      </c>
      <c r="E345" s="341" t="str">
        <f>IF(C345="","",'Historique détail'!D345/$W345)</f>
        <v/>
      </c>
      <c r="F345" s="341" t="str">
        <f>IF(D345="","",'Historique détail'!E345/$W345)</f>
        <v/>
      </c>
      <c r="G345" s="341" t="str">
        <f>IF(E345="","",'Historique détail'!F345/$W345)</f>
        <v/>
      </c>
      <c r="H345" s="341" t="str">
        <f>IF(F345="","",'Historique détail'!G345/$W345)</f>
        <v/>
      </c>
      <c r="I345" s="341" t="str">
        <f>IF(G345="","",'Historique détail'!H345/$W345)</f>
        <v/>
      </c>
      <c r="J345" s="341" t="str">
        <f>IF(H345="","",'Historique détail'!I345/$W345)</f>
        <v/>
      </c>
      <c r="K345" s="341" t="str">
        <f>IF(I345="","",'Historique détail'!J345/$W345)</f>
        <v/>
      </c>
      <c r="L345" s="341" t="str">
        <f>IF(J345="","",'Historique détail'!K345/$W345)</f>
        <v/>
      </c>
      <c r="M345" s="341" t="str">
        <f>IF(K345="","",'Historique détail'!L345/$W345)</f>
        <v/>
      </c>
      <c r="N345" s="341" t="str">
        <f>IF(L345="","",'Historique détail'!M345/$W345)</f>
        <v/>
      </c>
      <c r="O345" s="341" t="str">
        <f>IF(M345="","",'Historique détail'!N345/$W345)</f>
        <v/>
      </c>
      <c r="P345" s="341" t="str">
        <f>IF(N345="","",'Historique détail'!O345/$W345)</f>
        <v/>
      </c>
      <c r="Q345" s="341" t="str">
        <f>IF(O345="","",'Historique détail'!P345/$W345)</f>
        <v/>
      </c>
      <c r="R345" s="341" t="str">
        <f>IF(P345="","",'Historique détail'!Q345/$W345)</f>
        <v/>
      </c>
      <c r="S345" s="341" t="str">
        <f>IF(Q345="","",'Historique détail'!R345/$W345)</f>
        <v/>
      </c>
      <c r="T345" s="341" t="str">
        <f>IF(R345="","",'Historique détail'!S345/$W345)</f>
        <v/>
      </c>
      <c r="U345" s="340" t="str">
        <f t="shared" si="2"/>
        <v/>
      </c>
      <c r="V345" s="14" t="str">
        <f>IF(A345="","",ARBITRAGES!M346)</f>
        <v/>
      </c>
      <c r="W345" s="343" t="str">
        <f>IF(V345="","",'Historique détail'!U345)</f>
        <v/>
      </c>
      <c r="X345" s="288"/>
      <c r="Y345" s="220"/>
      <c r="Z345" s="220"/>
      <c r="AA345" s="220"/>
      <c r="AB345" s="220"/>
      <c r="AC345" s="220"/>
      <c r="AD345" s="220"/>
      <c r="AE345" s="220"/>
      <c r="AF345" s="220"/>
      <c r="AG345" s="220"/>
      <c r="AH345" s="220"/>
      <c r="AI345" s="308"/>
      <c r="AJ345" s="220"/>
      <c r="AK345" s="220"/>
      <c r="AL345" s="220"/>
      <c r="AM345" s="220"/>
      <c r="AN345" s="220"/>
      <c r="AO345" s="220"/>
      <c r="AP345" s="220"/>
      <c r="AQ345" s="220"/>
      <c r="AR345" s="220"/>
      <c r="AS345" s="220"/>
      <c r="AT345" s="220"/>
      <c r="AU345" s="220"/>
      <c r="AV345" s="220"/>
      <c r="AW345" s="220"/>
      <c r="AX345" s="220"/>
      <c r="AY345" s="220"/>
      <c r="AZ345" s="220"/>
      <c r="BA345" s="220"/>
      <c r="BB345" s="220"/>
    </row>
    <row r="346">
      <c r="A346" s="240"/>
      <c r="B346" s="302" t="str">
        <f t="shared" si="1"/>
        <v/>
      </c>
      <c r="C346" s="341" t="str">
        <f>IF(A346="","",'Historique détail'!B346/$W346)</f>
        <v/>
      </c>
      <c r="D346" s="341" t="str">
        <f>IF(B346="","",'Historique détail'!C346/$W346)</f>
        <v/>
      </c>
      <c r="E346" s="341" t="str">
        <f>IF(C346="","",'Historique détail'!D346/$W346)</f>
        <v/>
      </c>
      <c r="F346" s="341" t="str">
        <f>IF(D346="","",'Historique détail'!E346/$W346)</f>
        <v/>
      </c>
      <c r="G346" s="341" t="str">
        <f>IF(E346="","",'Historique détail'!F346/$W346)</f>
        <v/>
      </c>
      <c r="H346" s="341" t="str">
        <f>IF(F346="","",'Historique détail'!G346/$W346)</f>
        <v/>
      </c>
      <c r="I346" s="341" t="str">
        <f>IF(G346="","",'Historique détail'!H346/$W346)</f>
        <v/>
      </c>
      <c r="J346" s="341" t="str">
        <f>IF(H346="","",'Historique détail'!I346/$W346)</f>
        <v/>
      </c>
      <c r="K346" s="341" t="str">
        <f>IF(I346="","",'Historique détail'!J346/$W346)</f>
        <v/>
      </c>
      <c r="L346" s="341" t="str">
        <f>IF(J346="","",'Historique détail'!K346/$W346)</f>
        <v/>
      </c>
      <c r="M346" s="341" t="str">
        <f>IF(K346="","",'Historique détail'!L346/$W346)</f>
        <v/>
      </c>
      <c r="N346" s="341" t="str">
        <f>IF(L346="","",'Historique détail'!M346/$W346)</f>
        <v/>
      </c>
      <c r="O346" s="341" t="str">
        <f>IF(M346="","",'Historique détail'!N346/$W346)</f>
        <v/>
      </c>
      <c r="P346" s="341" t="str">
        <f>IF(N346="","",'Historique détail'!O346/$W346)</f>
        <v/>
      </c>
      <c r="Q346" s="341" t="str">
        <f>IF(O346="","",'Historique détail'!P346/$W346)</f>
        <v/>
      </c>
      <c r="R346" s="341" t="str">
        <f>IF(P346="","",'Historique détail'!Q346/$W346)</f>
        <v/>
      </c>
      <c r="S346" s="341" t="str">
        <f>IF(Q346="","",'Historique détail'!R346/$W346)</f>
        <v/>
      </c>
      <c r="T346" s="341" t="str">
        <f>IF(R346="","",'Historique détail'!S346/$W346)</f>
        <v/>
      </c>
      <c r="U346" s="340" t="str">
        <f t="shared" si="2"/>
        <v/>
      </c>
      <c r="V346" s="14" t="str">
        <f>IF(A346="","",ARBITRAGES!M347)</f>
        <v/>
      </c>
      <c r="W346" s="343" t="str">
        <f>IF(V346="","",'Historique détail'!U346)</f>
        <v/>
      </c>
      <c r="X346" s="288"/>
      <c r="Y346" s="220"/>
      <c r="Z346" s="220"/>
      <c r="AA346" s="220"/>
      <c r="AB346" s="220"/>
      <c r="AC346" s="220"/>
      <c r="AD346" s="220"/>
      <c r="AE346" s="220"/>
      <c r="AF346" s="220"/>
      <c r="AG346" s="220"/>
      <c r="AH346" s="220"/>
      <c r="AI346" s="308"/>
      <c r="AJ346" s="220"/>
      <c r="AK346" s="220"/>
      <c r="AL346" s="220"/>
      <c r="AM346" s="220"/>
      <c r="AN346" s="220"/>
      <c r="AO346" s="220"/>
      <c r="AP346" s="220"/>
      <c r="AQ346" s="220"/>
      <c r="AR346" s="220"/>
      <c r="AS346" s="220"/>
      <c r="AT346" s="220"/>
      <c r="AU346" s="220"/>
      <c r="AV346" s="220"/>
      <c r="AW346" s="220"/>
      <c r="AX346" s="220"/>
      <c r="AY346" s="220"/>
      <c r="AZ346" s="220"/>
      <c r="BA346" s="220"/>
      <c r="BB346" s="220"/>
    </row>
    <row r="347">
      <c r="A347" s="240"/>
      <c r="B347" s="302" t="str">
        <f t="shared" si="1"/>
        <v/>
      </c>
      <c r="C347" s="341" t="str">
        <f>IF(A347="","",'Historique détail'!B347/$W347)</f>
        <v/>
      </c>
      <c r="D347" s="341" t="str">
        <f>IF(B347="","",'Historique détail'!C347/$W347)</f>
        <v/>
      </c>
      <c r="E347" s="341" t="str">
        <f>IF(C347="","",'Historique détail'!D347/$W347)</f>
        <v/>
      </c>
      <c r="F347" s="341" t="str">
        <f>IF(D347="","",'Historique détail'!E347/$W347)</f>
        <v/>
      </c>
      <c r="G347" s="341" t="str">
        <f>IF(E347="","",'Historique détail'!F347/$W347)</f>
        <v/>
      </c>
      <c r="H347" s="341" t="str">
        <f>IF(F347="","",'Historique détail'!G347/$W347)</f>
        <v/>
      </c>
      <c r="I347" s="341" t="str">
        <f>IF(G347="","",'Historique détail'!H347/$W347)</f>
        <v/>
      </c>
      <c r="J347" s="341" t="str">
        <f>IF(H347="","",'Historique détail'!I347/$W347)</f>
        <v/>
      </c>
      <c r="K347" s="341" t="str">
        <f>IF(I347="","",'Historique détail'!J347/$W347)</f>
        <v/>
      </c>
      <c r="L347" s="341" t="str">
        <f>IF(J347="","",'Historique détail'!K347/$W347)</f>
        <v/>
      </c>
      <c r="M347" s="341" t="str">
        <f>IF(K347="","",'Historique détail'!L347/$W347)</f>
        <v/>
      </c>
      <c r="N347" s="341" t="str">
        <f>IF(L347="","",'Historique détail'!M347/$W347)</f>
        <v/>
      </c>
      <c r="O347" s="341" t="str">
        <f>IF(M347="","",'Historique détail'!N347/$W347)</f>
        <v/>
      </c>
      <c r="P347" s="341" t="str">
        <f>IF(N347="","",'Historique détail'!O347/$W347)</f>
        <v/>
      </c>
      <c r="Q347" s="341" t="str">
        <f>IF(O347="","",'Historique détail'!P347/$W347)</f>
        <v/>
      </c>
      <c r="R347" s="341" t="str">
        <f>IF(P347="","",'Historique détail'!Q347/$W347)</f>
        <v/>
      </c>
      <c r="S347" s="341" t="str">
        <f>IF(Q347="","",'Historique détail'!R347/$W347)</f>
        <v/>
      </c>
      <c r="T347" s="341" t="str">
        <f>IF(R347="","",'Historique détail'!S347/$W347)</f>
        <v/>
      </c>
      <c r="U347" s="340" t="str">
        <f t="shared" si="2"/>
        <v/>
      </c>
      <c r="V347" s="14" t="str">
        <f>IF(A347="","",ARBITRAGES!M348)</f>
        <v/>
      </c>
      <c r="W347" s="343" t="str">
        <f>IF(V347="","",'Historique détail'!U347)</f>
        <v/>
      </c>
      <c r="X347" s="288"/>
      <c r="Y347" s="220"/>
      <c r="Z347" s="220"/>
      <c r="AA347" s="220"/>
      <c r="AB347" s="220"/>
      <c r="AC347" s="220"/>
      <c r="AD347" s="220"/>
      <c r="AE347" s="220"/>
      <c r="AF347" s="220"/>
      <c r="AG347" s="220"/>
      <c r="AH347" s="220"/>
      <c r="AI347" s="308"/>
      <c r="AJ347" s="220"/>
      <c r="AK347" s="220"/>
      <c r="AL347" s="220"/>
      <c r="AM347" s="220"/>
      <c r="AN347" s="220"/>
      <c r="AO347" s="220"/>
      <c r="AP347" s="220"/>
      <c r="AQ347" s="220"/>
      <c r="AR347" s="220"/>
      <c r="AS347" s="220"/>
      <c r="AT347" s="220"/>
      <c r="AU347" s="220"/>
      <c r="AV347" s="220"/>
      <c r="AW347" s="220"/>
      <c r="AX347" s="220"/>
      <c r="AY347" s="220"/>
      <c r="AZ347" s="220"/>
      <c r="BA347" s="220"/>
      <c r="BB347" s="220"/>
    </row>
    <row r="348">
      <c r="A348" s="240"/>
      <c r="B348" s="302" t="str">
        <f t="shared" si="1"/>
        <v/>
      </c>
      <c r="C348" s="341" t="str">
        <f>IF(A348="","",'Historique détail'!B348/$W348)</f>
        <v/>
      </c>
      <c r="D348" s="341" t="str">
        <f>IF(B348="","",'Historique détail'!C348/$W348)</f>
        <v/>
      </c>
      <c r="E348" s="341" t="str">
        <f>IF(C348="","",'Historique détail'!D348/$W348)</f>
        <v/>
      </c>
      <c r="F348" s="341" t="str">
        <f>IF(D348="","",'Historique détail'!E348/$W348)</f>
        <v/>
      </c>
      <c r="G348" s="341" t="str">
        <f>IF(E348="","",'Historique détail'!F348/$W348)</f>
        <v/>
      </c>
      <c r="H348" s="341" t="str">
        <f>IF(F348="","",'Historique détail'!G348/$W348)</f>
        <v/>
      </c>
      <c r="I348" s="341" t="str">
        <f>IF(G348="","",'Historique détail'!H348/$W348)</f>
        <v/>
      </c>
      <c r="J348" s="341" t="str">
        <f>IF(H348="","",'Historique détail'!I348/$W348)</f>
        <v/>
      </c>
      <c r="K348" s="341" t="str">
        <f>IF(I348="","",'Historique détail'!J348/$W348)</f>
        <v/>
      </c>
      <c r="L348" s="341" t="str">
        <f>IF(J348="","",'Historique détail'!K348/$W348)</f>
        <v/>
      </c>
      <c r="M348" s="341" t="str">
        <f>IF(K348="","",'Historique détail'!L348/$W348)</f>
        <v/>
      </c>
      <c r="N348" s="341" t="str">
        <f>IF(L348="","",'Historique détail'!M348/$W348)</f>
        <v/>
      </c>
      <c r="O348" s="341" t="str">
        <f>IF(M348="","",'Historique détail'!N348/$W348)</f>
        <v/>
      </c>
      <c r="P348" s="341" t="str">
        <f>IF(N348="","",'Historique détail'!O348/$W348)</f>
        <v/>
      </c>
      <c r="Q348" s="341" t="str">
        <f>IF(O348="","",'Historique détail'!P348/$W348)</f>
        <v/>
      </c>
      <c r="R348" s="341" t="str">
        <f>IF(P348="","",'Historique détail'!Q348/$W348)</f>
        <v/>
      </c>
      <c r="S348" s="341" t="str">
        <f>IF(Q348="","",'Historique détail'!R348/$W348)</f>
        <v/>
      </c>
      <c r="T348" s="341" t="str">
        <f>IF(R348="","",'Historique détail'!S348/$W348)</f>
        <v/>
      </c>
      <c r="U348" s="340" t="str">
        <f t="shared" si="2"/>
        <v/>
      </c>
      <c r="V348" s="14" t="str">
        <f>IF(A348="","",ARBITRAGES!M349)</f>
        <v/>
      </c>
      <c r="W348" s="343" t="str">
        <f>IF(V348="","",'Historique détail'!U348)</f>
        <v/>
      </c>
      <c r="X348" s="288"/>
      <c r="Y348" s="220"/>
      <c r="Z348" s="220"/>
      <c r="AA348" s="220"/>
      <c r="AB348" s="220"/>
      <c r="AC348" s="220"/>
      <c r="AD348" s="220"/>
      <c r="AE348" s="220"/>
      <c r="AF348" s="220"/>
      <c r="AG348" s="220"/>
      <c r="AH348" s="220"/>
      <c r="AI348" s="308"/>
      <c r="AJ348" s="220"/>
      <c r="AK348" s="220"/>
      <c r="AL348" s="220"/>
      <c r="AM348" s="220"/>
      <c r="AN348" s="220"/>
      <c r="AO348" s="220"/>
      <c r="AP348" s="220"/>
      <c r="AQ348" s="220"/>
      <c r="AR348" s="220"/>
      <c r="AS348" s="220"/>
      <c r="AT348" s="220"/>
      <c r="AU348" s="220"/>
      <c r="AV348" s="220"/>
      <c r="AW348" s="220"/>
      <c r="AX348" s="220"/>
      <c r="AY348" s="220"/>
      <c r="AZ348" s="220"/>
      <c r="BA348" s="220"/>
      <c r="BB348" s="220"/>
    </row>
    <row r="349">
      <c r="A349" s="240"/>
      <c r="B349" s="302" t="str">
        <f t="shared" si="1"/>
        <v/>
      </c>
      <c r="C349" s="341" t="str">
        <f>IF(A349="","",'Historique détail'!B349/$W349)</f>
        <v/>
      </c>
      <c r="D349" s="341" t="str">
        <f>IF(B349="","",'Historique détail'!C349/$W349)</f>
        <v/>
      </c>
      <c r="E349" s="341" t="str">
        <f>IF(C349="","",'Historique détail'!D349/$W349)</f>
        <v/>
      </c>
      <c r="F349" s="341" t="str">
        <f>IF(D349="","",'Historique détail'!E349/$W349)</f>
        <v/>
      </c>
      <c r="G349" s="341" t="str">
        <f>IF(E349="","",'Historique détail'!F349/$W349)</f>
        <v/>
      </c>
      <c r="H349" s="341" t="str">
        <f>IF(F349="","",'Historique détail'!G349/$W349)</f>
        <v/>
      </c>
      <c r="I349" s="341" t="str">
        <f>IF(G349="","",'Historique détail'!H349/$W349)</f>
        <v/>
      </c>
      <c r="J349" s="341" t="str">
        <f>IF(H349="","",'Historique détail'!I349/$W349)</f>
        <v/>
      </c>
      <c r="K349" s="341" t="str">
        <f>IF(I349="","",'Historique détail'!J349/$W349)</f>
        <v/>
      </c>
      <c r="L349" s="341" t="str">
        <f>IF(J349="","",'Historique détail'!K349/$W349)</f>
        <v/>
      </c>
      <c r="M349" s="341" t="str">
        <f>IF(K349="","",'Historique détail'!L349/$W349)</f>
        <v/>
      </c>
      <c r="N349" s="341" t="str">
        <f>IF(L349="","",'Historique détail'!M349/$W349)</f>
        <v/>
      </c>
      <c r="O349" s="341" t="str">
        <f>IF(M349="","",'Historique détail'!N349/$W349)</f>
        <v/>
      </c>
      <c r="P349" s="341" t="str">
        <f>IF(N349="","",'Historique détail'!O349/$W349)</f>
        <v/>
      </c>
      <c r="Q349" s="341" t="str">
        <f>IF(O349="","",'Historique détail'!P349/$W349)</f>
        <v/>
      </c>
      <c r="R349" s="341" t="str">
        <f>IF(P349="","",'Historique détail'!Q349/$W349)</f>
        <v/>
      </c>
      <c r="S349" s="341" t="str">
        <f>IF(Q349="","",'Historique détail'!R349/$W349)</f>
        <v/>
      </c>
      <c r="T349" s="341" t="str">
        <f>IF(R349="","",'Historique détail'!S349/$W349)</f>
        <v/>
      </c>
      <c r="U349" s="340" t="str">
        <f t="shared" si="2"/>
        <v/>
      </c>
      <c r="V349" s="14" t="str">
        <f>IF(A349="","",ARBITRAGES!M350)</f>
        <v/>
      </c>
      <c r="W349" s="343" t="str">
        <f>IF(V349="","",'Historique détail'!U349)</f>
        <v/>
      </c>
      <c r="X349" s="288"/>
      <c r="Y349" s="220"/>
      <c r="Z349" s="220"/>
      <c r="AA349" s="220"/>
      <c r="AB349" s="220"/>
      <c r="AC349" s="220"/>
      <c r="AD349" s="220"/>
      <c r="AE349" s="220"/>
      <c r="AF349" s="220"/>
      <c r="AG349" s="220"/>
      <c r="AH349" s="220"/>
      <c r="AI349" s="308"/>
      <c r="AJ349" s="220"/>
      <c r="AK349" s="220"/>
      <c r="AL349" s="220"/>
      <c r="AM349" s="220"/>
      <c r="AN349" s="220"/>
      <c r="AO349" s="220"/>
      <c r="AP349" s="220"/>
      <c r="AQ349" s="220"/>
      <c r="AR349" s="220"/>
      <c r="AS349" s="220"/>
      <c r="AT349" s="220"/>
      <c r="AU349" s="220"/>
      <c r="AV349" s="220"/>
      <c r="AW349" s="220"/>
      <c r="AX349" s="220"/>
      <c r="AY349" s="220"/>
      <c r="AZ349" s="220"/>
      <c r="BA349" s="220"/>
      <c r="BB349" s="220"/>
    </row>
    <row r="350">
      <c r="A350" s="240"/>
      <c r="B350" s="302" t="str">
        <f t="shared" si="1"/>
        <v/>
      </c>
      <c r="C350" s="341" t="str">
        <f>IF(A350="","",'Historique détail'!B350/$W350)</f>
        <v/>
      </c>
      <c r="D350" s="341" t="str">
        <f>IF(B350="","",'Historique détail'!C350/$W350)</f>
        <v/>
      </c>
      <c r="E350" s="341" t="str">
        <f>IF(C350="","",'Historique détail'!D350/$W350)</f>
        <v/>
      </c>
      <c r="F350" s="341" t="str">
        <f>IF(D350="","",'Historique détail'!E350/$W350)</f>
        <v/>
      </c>
      <c r="G350" s="341" t="str">
        <f>IF(E350="","",'Historique détail'!F350/$W350)</f>
        <v/>
      </c>
      <c r="H350" s="341" t="str">
        <f>IF(F350="","",'Historique détail'!G350/$W350)</f>
        <v/>
      </c>
      <c r="I350" s="341" t="str">
        <f>IF(G350="","",'Historique détail'!H350/$W350)</f>
        <v/>
      </c>
      <c r="J350" s="341" t="str">
        <f>IF(H350="","",'Historique détail'!I350/$W350)</f>
        <v/>
      </c>
      <c r="K350" s="341" t="str">
        <f>IF(I350="","",'Historique détail'!J350/$W350)</f>
        <v/>
      </c>
      <c r="L350" s="341" t="str">
        <f>IF(J350="","",'Historique détail'!K350/$W350)</f>
        <v/>
      </c>
      <c r="M350" s="341" t="str">
        <f>IF(K350="","",'Historique détail'!L350/$W350)</f>
        <v/>
      </c>
      <c r="N350" s="341" t="str">
        <f>IF(L350="","",'Historique détail'!M350/$W350)</f>
        <v/>
      </c>
      <c r="O350" s="341" t="str">
        <f>IF(M350="","",'Historique détail'!N350/$W350)</f>
        <v/>
      </c>
      <c r="P350" s="341" t="str">
        <f>IF(N350="","",'Historique détail'!O350/$W350)</f>
        <v/>
      </c>
      <c r="Q350" s="341" t="str">
        <f>IF(O350="","",'Historique détail'!P350/$W350)</f>
        <v/>
      </c>
      <c r="R350" s="341" t="str">
        <f>IF(P350="","",'Historique détail'!Q350/$W350)</f>
        <v/>
      </c>
      <c r="S350" s="341" t="str">
        <f>IF(Q350="","",'Historique détail'!R350/$W350)</f>
        <v/>
      </c>
      <c r="T350" s="341" t="str">
        <f>IF(R350="","",'Historique détail'!S350/$W350)</f>
        <v/>
      </c>
      <c r="U350" s="340" t="str">
        <f t="shared" si="2"/>
        <v/>
      </c>
      <c r="V350" s="14" t="str">
        <f>IF(A350="","",ARBITRAGES!M351)</f>
        <v/>
      </c>
      <c r="W350" s="343" t="str">
        <f>IF(V350="","",'Historique détail'!U350)</f>
        <v/>
      </c>
      <c r="X350" s="288"/>
      <c r="Y350" s="220"/>
      <c r="Z350" s="220"/>
      <c r="AA350" s="220"/>
      <c r="AB350" s="220"/>
      <c r="AC350" s="220"/>
      <c r="AD350" s="220"/>
      <c r="AE350" s="220"/>
      <c r="AF350" s="220"/>
      <c r="AG350" s="220"/>
      <c r="AH350" s="220"/>
      <c r="AI350" s="308"/>
      <c r="AJ350" s="220"/>
      <c r="AK350" s="220"/>
      <c r="AL350" s="220"/>
      <c r="AM350" s="220"/>
      <c r="AN350" s="220"/>
      <c r="AO350" s="220"/>
      <c r="AP350" s="220"/>
      <c r="AQ350" s="220"/>
      <c r="AR350" s="220"/>
      <c r="AS350" s="220"/>
      <c r="AT350" s="220"/>
      <c r="AU350" s="220"/>
      <c r="AV350" s="220"/>
      <c r="AW350" s="220"/>
      <c r="AX350" s="220"/>
      <c r="AY350" s="220"/>
      <c r="AZ350" s="220"/>
      <c r="BA350" s="220"/>
      <c r="BB350" s="220"/>
    </row>
    <row r="351">
      <c r="A351" s="240"/>
      <c r="B351" s="302" t="str">
        <f t="shared" si="1"/>
        <v/>
      </c>
      <c r="C351" s="341" t="str">
        <f>IF(A351="","",'Historique détail'!B351/$W351)</f>
        <v/>
      </c>
      <c r="D351" s="341" t="str">
        <f>IF(B351="","",'Historique détail'!C351/$W351)</f>
        <v/>
      </c>
      <c r="E351" s="341" t="str">
        <f>IF(C351="","",'Historique détail'!D351/$W351)</f>
        <v/>
      </c>
      <c r="F351" s="341" t="str">
        <f>IF(D351="","",'Historique détail'!E351/$W351)</f>
        <v/>
      </c>
      <c r="G351" s="341" t="str">
        <f>IF(E351="","",'Historique détail'!F351/$W351)</f>
        <v/>
      </c>
      <c r="H351" s="341" t="str">
        <f>IF(F351="","",'Historique détail'!G351/$W351)</f>
        <v/>
      </c>
      <c r="I351" s="341" t="str">
        <f>IF(G351="","",'Historique détail'!H351/$W351)</f>
        <v/>
      </c>
      <c r="J351" s="341" t="str">
        <f>IF(H351="","",'Historique détail'!I351/$W351)</f>
        <v/>
      </c>
      <c r="K351" s="341" t="str">
        <f>IF(I351="","",'Historique détail'!J351/$W351)</f>
        <v/>
      </c>
      <c r="L351" s="341" t="str">
        <f>IF(J351="","",'Historique détail'!K351/$W351)</f>
        <v/>
      </c>
      <c r="M351" s="341" t="str">
        <f>IF(K351="","",'Historique détail'!L351/$W351)</f>
        <v/>
      </c>
      <c r="N351" s="341" t="str">
        <f>IF(L351="","",'Historique détail'!M351/$W351)</f>
        <v/>
      </c>
      <c r="O351" s="341" t="str">
        <f>IF(M351="","",'Historique détail'!N351/$W351)</f>
        <v/>
      </c>
      <c r="P351" s="341" t="str">
        <f>IF(N351="","",'Historique détail'!O351/$W351)</f>
        <v/>
      </c>
      <c r="Q351" s="341" t="str">
        <f>IF(O351="","",'Historique détail'!P351/$W351)</f>
        <v/>
      </c>
      <c r="R351" s="341" t="str">
        <f>IF(P351="","",'Historique détail'!Q351/$W351)</f>
        <v/>
      </c>
      <c r="S351" s="341" t="str">
        <f>IF(Q351="","",'Historique détail'!R351/$W351)</f>
        <v/>
      </c>
      <c r="T351" s="341" t="str">
        <f>IF(R351="","",'Historique détail'!S351/$W351)</f>
        <v/>
      </c>
      <c r="U351" s="340" t="str">
        <f t="shared" si="2"/>
        <v/>
      </c>
      <c r="V351" s="14" t="str">
        <f>IF(A351="","",ARBITRAGES!M352)</f>
        <v/>
      </c>
      <c r="W351" s="343" t="str">
        <f>IF(V351="","",'Historique détail'!U351)</f>
        <v/>
      </c>
      <c r="X351" s="288"/>
      <c r="Y351" s="220"/>
      <c r="Z351" s="220"/>
      <c r="AA351" s="220"/>
      <c r="AB351" s="220"/>
      <c r="AC351" s="220"/>
      <c r="AD351" s="220"/>
      <c r="AE351" s="220"/>
      <c r="AF351" s="220"/>
      <c r="AG351" s="220"/>
      <c r="AH351" s="220"/>
      <c r="AI351" s="308"/>
      <c r="AJ351" s="220"/>
      <c r="AK351" s="220"/>
      <c r="AL351" s="220"/>
      <c r="AM351" s="220"/>
      <c r="AN351" s="220"/>
      <c r="AO351" s="220"/>
      <c r="AP351" s="220"/>
      <c r="AQ351" s="220"/>
      <c r="AR351" s="220"/>
      <c r="AS351" s="220"/>
      <c r="AT351" s="220"/>
      <c r="AU351" s="220"/>
      <c r="AV351" s="220"/>
      <c r="AW351" s="220"/>
      <c r="AX351" s="220"/>
      <c r="AY351" s="220"/>
      <c r="AZ351" s="220"/>
      <c r="BA351" s="220"/>
      <c r="BB351" s="220"/>
    </row>
    <row r="352">
      <c r="A352" s="240"/>
      <c r="B352" s="302" t="str">
        <f t="shared" si="1"/>
        <v/>
      </c>
      <c r="C352" s="341" t="str">
        <f>IF(A352="","",'Historique détail'!B352/$W352)</f>
        <v/>
      </c>
      <c r="D352" s="341" t="str">
        <f>IF(B352="","",'Historique détail'!C352/$W352)</f>
        <v/>
      </c>
      <c r="E352" s="341" t="str">
        <f>IF(C352="","",'Historique détail'!D352/$W352)</f>
        <v/>
      </c>
      <c r="F352" s="341" t="str">
        <f>IF(D352="","",'Historique détail'!E352/$W352)</f>
        <v/>
      </c>
      <c r="G352" s="341" t="str">
        <f>IF(E352="","",'Historique détail'!F352/$W352)</f>
        <v/>
      </c>
      <c r="H352" s="341" t="str">
        <f>IF(F352="","",'Historique détail'!G352/$W352)</f>
        <v/>
      </c>
      <c r="I352" s="341" t="str">
        <f>IF(G352="","",'Historique détail'!H352/$W352)</f>
        <v/>
      </c>
      <c r="J352" s="341" t="str">
        <f>IF(H352="","",'Historique détail'!I352/$W352)</f>
        <v/>
      </c>
      <c r="K352" s="341" t="str">
        <f>IF(I352="","",'Historique détail'!J352/$W352)</f>
        <v/>
      </c>
      <c r="L352" s="341" t="str">
        <f>IF(J352="","",'Historique détail'!K352/$W352)</f>
        <v/>
      </c>
      <c r="M352" s="341" t="str">
        <f>IF(K352="","",'Historique détail'!L352/$W352)</f>
        <v/>
      </c>
      <c r="N352" s="341" t="str">
        <f>IF(L352="","",'Historique détail'!M352/$W352)</f>
        <v/>
      </c>
      <c r="O352" s="341" t="str">
        <f>IF(M352="","",'Historique détail'!N352/$W352)</f>
        <v/>
      </c>
      <c r="P352" s="341" t="str">
        <f>IF(N352="","",'Historique détail'!O352/$W352)</f>
        <v/>
      </c>
      <c r="Q352" s="341" t="str">
        <f>IF(O352="","",'Historique détail'!P352/$W352)</f>
        <v/>
      </c>
      <c r="R352" s="341" t="str">
        <f>IF(P352="","",'Historique détail'!Q352/$W352)</f>
        <v/>
      </c>
      <c r="S352" s="341" t="str">
        <f>IF(Q352="","",'Historique détail'!R352/$W352)</f>
        <v/>
      </c>
      <c r="T352" s="341" t="str">
        <f>IF(R352="","",'Historique détail'!S352/$W352)</f>
        <v/>
      </c>
      <c r="U352" s="340" t="str">
        <f t="shared" si="2"/>
        <v/>
      </c>
      <c r="V352" s="14" t="str">
        <f>IF(A352="","",ARBITRAGES!M353)</f>
        <v/>
      </c>
      <c r="W352" s="343" t="str">
        <f>IF(V352="","",'Historique détail'!U352)</f>
        <v/>
      </c>
      <c r="X352" s="288"/>
      <c r="Y352" s="220"/>
      <c r="Z352" s="220"/>
      <c r="AA352" s="220"/>
      <c r="AB352" s="220"/>
      <c r="AC352" s="220"/>
      <c r="AD352" s="220"/>
      <c r="AE352" s="220"/>
      <c r="AF352" s="220"/>
      <c r="AG352" s="220"/>
      <c r="AH352" s="220"/>
      <c r="AI352" s="308"/>
      <c r="AJ352" s="220"/>
      <c r="AK352" s="220"/>
      <c r="AL352" s="220"/>
      <c r="AM352" s="220"/>
      <c r="AN352" s="220"/>
      <c r="AO352" s="220"/>
      <c r="AP352" s="220"/>
      <c r="AQ352" s="220"/>
      <c r="AR352" s="220"/>
      <c r="AS352" s="220"/>
      <c r="AT352" s="220"/>
      <c r="AU352" s="220"/>
      <c r="AV352" s="220"/>
      <c r="AW352" s="220"/>
      <c r="AX352" s="220"/>
      <c r="AY352" s="220"/>
      <c r="AZ352" s="220"/>
      <c r="BA352" s="220"/>
      <c r="BB352" s="220"/>
    </row>
    <row r="353">
      <c r="A353" s="240"/>
      <c r="B353" s="302" t="str">
        <f t="shared" si="1"/>
        <v/>
      </c>
      <c r="C353" s="341" t="str">
        <f>IF(A353="","",'Historique détail'!B353/$W353)</f>
        <v/>
      </c>
      <c r="D353" s="341" t="str">
        <f>IF(B353="","",'Historique détail'!C353/$W353)</f>
        <v/>
      </c>
      <c r="E353" s="341" t="str">
        <f>IF(C353="","",'Historique détail'!D353/$W353)</f>
        <v/>
      </c>
      <c r="F353" s="341" t="str">
        <f>IF(D353="","",'Historique détail'!E353/$W353)</f>
        <v/>
      </c>
      <c r="G353" s="341" t="str">
        <f>IF(E353="","",'Historique détail'!F353/$W353)</f>
        <v/>
      </c>
      <c r="H353" s="341" t="str">
        <f>IF(F353="","",'Historique détail'!G353/$W353)</f>
        <v/>
      </c>
      <c r="I353" s="341" t="str">
        <f>IF(G353="","",'Historique détail'!H353/$W353)</f>
        <v/>
      </c>
      <c r="J353" s="341" t="str">
        <f>IF(H353="","",'Historique détail'!I353/$W353)</f>
        <v/>
      </c>
      <c r="K353" s="341" t="str">
        <f>IF(I353="","",'Historique détail'!J353/$W353)</f>
        <v/>
      </c>
      <c r="L353" s="341" t="str">
        <f>IF(J353="","",'Historique détail'!K353/$W353)</f>
        <v/>
      </c>
      <c r="M353" s="341" t="str">
        <f>IF(K353="","",'Historique détail'!L353/$W353)</f>
        <v/>
      </c>
      <c r="N353" s="341" t="str">
        <f>IF(L353="","",'Historique détail'!M353/$W353)</f>
        <v/>
      </c>
      <c r="O353" s="341" t="str">
        <f>IF(M353="","",'Historique détail'!N353/$W353)</f>
        <v/>
      </c>
      <c r="P353" s="341" t="str">
        <f>IF(N353="","",'Historique détail'!O353/$W353)</f>
        <v/>
      </c>
      <c r="Q353" s="341" t="str">
        <f>IF(O353="","",'Historique détail'!P353/$W353)</f>
        <v/>
      </c>
      <c r="R353" s="341" t="str">
        <f>IF(P353="","",'Historique détail'!Q353/$W353)</f>
        <v/>
      </c>
      <c r="S353" s="341" t="str">
        <f>IF(Q353="","",'Historique détail'!R353/$W353)</f>
        <v/>
      </c>
      <c r="T353" s="341" t="str">
        <f>IF(R353="","",'Historique détail'!S353/$W353)</f>
        <v/>
      </c>
      <c r="U353" s="340" t="str">
        <f t="shared" si="2"/>
        <v/>
      </c>
      <c r="V353" s="14" t="str">
        <f>IF(A353="","",ARBITRAGES!M354)</f>
        <v/>
      </c>
      <c r="W353" s="343" t="str">
        <f>IF(V353="","",'Historique détail'!U353)</f>
        <v/>
      </c>
      <c r="X353" s="288"/>
      <c r="Y353" s="220"/>
      <c r="Z353" s="220"/>
      <c r="AA353" s="220"/>
      <c r="AB353" s="220"/>
      <c r="AC353" s="220"/>
      <c r="AD353" s="220"/>
      <c r="AE353" s="220"/>
      <c r="AF353" s="220"/>
      <c r="AG353" s="220"/>
      <c r="AH353" s="220"/>
      <c r="AI353" s="308"/>
      <c r="AJ353" s="220"/>
      <c r="AK353" s="220"/>
      <c r="AL353" s="220"/>
      <c r="AM353" s="220"/>
      <c r="AN353" s="220"/>
      <c r="AO353" s="220"/>
      <c r="AP353" s="220"/>
      <c r="AQ353" s="220"/>
      <c r="AR353" s="220"/>
      <c r="AS353" s="220"/>
      <c r="AT353" s="220"/>
      <c r="AU353" s="220"/>
      <c r="AV353" s="220"/>
      <c r="AW353" s="220"/>
      <c r="AX353" s="220"/>
      <c r="AY353" s="220"/>
      <c r="AZ353" s="220"/>
      <c r="BA353" s="220"/>
      <c r="BB353" s="220"/>
    </row>
    <row r="354">
      <c r="A354" s="240"/>
      <c r="B354" s="302" t="str">
        <f t="shared" si="1"/>
        <v/>
      </c>
      <c r="C354" s="341" t="str">
        <f>IF(A354="","",'Historique détail'!B354/$W354)</f>
        <v/>
      </c>
      <c r="D354" s="341" t="str">
        <f>IF(B354="","",'Historique détail'!C354/$W354)</f>
        <v/>
      </c>
      <c r="E354" s="341" t="str">
        <f>IF(C354="","",'Historique détail'!D354/$W354)</f>
        <v/>
      </c>
      <c r="F354" s="341" t="str">
        <f>IF(D354="","",'Historique détail'!E354/$W354)</f>
        <v/>
      </c>
      <c r="G354" s="341" t="str">
        <f>IF(E354="","",'Historique détail'!F354/$W354)</f>
        <v/>
      </c>
      <c r="H354" s="341" t="str">
        <f>IF(F354="","",'Historique détail'!G354/$W354)</f>
        <v/>
      </c>
      <c r="I354" s="341" t="str">
        <f>IF(G354="","",'Historique détail'!H354/$W354)</f>
        <v/>
      </c>
      <c r="J354" s="341" t="str">
        <f>IF(H354="","",'Historique détail'!I354/$W354)</f>
        <v/>
      </c>
      <c r="K354" s="341" t="str">
        <f>IF(I354="","",'Historique détail'!J354/$W354)</f>
        <v/>
      </c>
      <c r="L354" s="341" t="str">
        <f>IF(J354="","",'Historique détail'!K354/$W354)</f>
        <v/>
      </c>
      <c r="M354" s="341" t="str">
        <f>IF(K354="","",'Historique détail'!L354/$W354)</f>
        <v/>
      </c>
      <c r="N354" s="341" t="str">
        <f>IF(L354="","",'Historique détail'!M354/$W354)</f>
        <v/>
      </c>
      <c r="O354" s="341" t="str">
        <f>IF(M354="","",'Historique détail'!N354/$W354)</f>
        <v/>
      </c>
      <c r="P354" s="341" t="str">
        <f>IF(N354="","",'Historique détail'!O354/$W354)</f>
        <v/>
      </c>
      <c r="Q354" s="341" t="str">
        <f>IF(O354="","",'Historique détail'!P354/$W354)</f>
        <v/>
      </c>
      <c r="R354" s="341" t="str">
        <f>IF(P354="","",'Historique détail'!Q354/$W354)</f>
        <v/>
      </c>
      <c r="S354" s="341" t="str">
        <f>IF(Q354="","",'Historique détail'!R354/$W354)</f>
        <v/>
      </c>
      <c r="T354" s="341" t="str">
        <f>IF(R354="","",'Historique détail'!S354/$W354)</f>
        <v/>
      </c>
      <c r="U354" s="340" t="str">
        <f t="shared" si="2"/>
        <v/>
      </c>
      <c r="V354" s="14" t="str">
        <f>IF(A354="","",ARBITRAGES!M355)</f>
        <v/>
      </c>
      <c r="W354" s="343" t="str">
        <f>IF(V354="","",'Historique détail'!U354)</f>
        <v/>
      </c>
      <c r="X354" s="288"/>
      <c r="Y354" s="220"/>
      <c r="Z354" s="220"/>
      <c r="AA354" s="220"/>
      <c r="AB354" s="220"/>
      <c r="AC354" s="220"/>
      <c r="AD354" s="220"/>
      <c r="AE354" s="220"/>
      <c r="AF354" s="220"/>
      <c r="AG354" s="220"/>
      <c r="AH354" s="220"/>
      <c r="AI354" s="308"/>
      <c r="AJ354" s="220"/>
      <c r="AK354" s="220"/>
      <c r="AL354" s="220"/>
      <c r="AM354" s="220"/>
      <c r="AN354" s="220"/>
      <c r="AO354" s="220"/>
      <c r="AP354" s="220"/>
      <c r="AQ354" s="220"/>
      <c r="AR354" s="220"/>
      <c r="AS354" s="220"/>
      <c r="AT354" s="220"/>
      <c r="AU354" s="220"/>
      <c r="AV354" s="220"/>
      <c r="AW354" s="220"/>
      <c r="AX354" s="220"/>
      <c r="AY354" s="220"/>
      <c r="AZ354" s="220"/>
      <c r="BA354" s="220"/>
      <c r="BB354" s="220"/>
    </row>
    <row r="355">
      <c r="A355" s="240"/>
      <c r="B355" s="302" t="str">
        <f t="shared" si="1"/>
        <v/>
      </c>
      <c r="C355" s="341" t="str">
        <f>IF(A355="","",'Historique détail'!B355/$W355)</f>
        <v/>
      </c>
      <c r="D355" s="341" t="str">
        <f>IF(B355="","",'Historique détail'!C355/$W355)</f>
        <v/>
      </c>
      <c r="E355" s="341" t="str">
        <f>IF(C355="","",'Historique détail'!D355/$W355)</f>
        <v/>
      </c>
      <c r="F355" s="341" t="str">
        <f>IF(D355="","",'Historique détail'!E355/$W355)</f>
        <v/>
      </c>
      <c r="G355" s="341" t="str">
        <f>IF(E355="","",'Historique détail'!F355/$W355)</f>
        <v/>
      </c>
      <c r="H355" s="341" t="str">
        <f>IF(F355="","",'Historique détail'!G355/$W355)</f>
        <v/>
      </c>
      <c r="I355" s="341" t="str">
        <f>IF(G355="","",'Historique détail'!H355/$W355)</f>
        <v/>
      </c>
      <c r="J355" s="341" t="str">
        <f>IF(H355="","",'Historique détail'!I355/$W355)</f>
        <v/>
      </c>
      <c r="K355" s="341" t="str">
        <f>IF(I355="","",'Historique détail'!J355/$W355)</f>
        <v/>
      </c>
      <c r="L355" s="341" t="str">
        <f>IF(J355="","",'Historique détail'!K355/$W355)</f>
        <v/>
      </c>
      <c r="M355" s="341" t="str">
        <f>IF(K355="","",'Historique détail'!L355/$W355)</f>
        <v/>
      </c>
      <c r="N355" s="341" t="str">
        <f>IF(L355="","",'Historique détail'!M355/$W355)</f>
        <v/>
      </c>
      <c r="O355" s="341" t="str">
        <f>IF(M355="","",'Historique détail'!N355/$W355)</f>
        <v/>
      </c>
      <c r="P355" s="341" t="str">
        <f>IF(N355="","",'Historique détail'!O355/$W355)</f>
        <v/>
      </c>
      <c r="Q355" s="341" t="str">
        <f>IF(O355="","",'Historique détail'!P355/$W355)</f>
        <v/>
      </c>
      <c r="R355" s="341" t="str">
        <f>IF(P355="","",'Historique détail'!Q355/$W355)</f>
        <v/>
      </c>
      <c r="S355" s="341" t="str">
        <f>IF(Q355="","",'Historique détail'!R355/$W355)</f>
        <v/>
      </c>
      <c r="T355" s="341" t="str">
        <f>IF(R355="","",'Historique détail'!S355/$W355)</f>
        <v/>
      </c>
      <c r="U355" s="340" t="str">
        <f t="shared" si="2"/>
        <v/>
      </c>
      <c r="V355" s="14" t="str">
        <f>IF(A355="","",ARBITRAGES!M356)</f>
        <v/>
      </c>
      <c r="W355" s="343" t="str">
        <f>IF(V355="","",'Historique détail'!U355)</f>
        <v/>
      </c>
      <c r="X355" s="288"/>
      <c r="Y355" s="220"/>
      <c r="Z355" s="220"/>
      <c r="AA355" s="220"/>
      <c r="AB355" s="220"/>
      <c r="AC355" s="220"/>
      <c r="AD355" s="220"/>
      <c r="AE355" s="220"/>
      <c r="AF355" s="220"/>
      <c r="AG355" s="220"/>
      <c r="AH355" s="220"/>
      <c r="AI355" s="308"/>
      <c r="AJ355" s="220"/>
      <c r="AK355" s="220"/>
      <c r="AL355" s="220"/>
      <c r="AM355" s="220"/>
      <c r="AN355" s="220"/>
      <c r="AO355" s="220"/>
      <c r="AP355" s="220"/>
      <c r="AQ355" s="220"/>
      <c r="AR355" s="220"/>
      <c r="AS355" s="220"/>
      <c r="AT355" s="220"/>
      <c r="AU355" s="220"/>
      <c r="AV355" s="220"/>
      <c r="AW355" s="220"/>
      <c r="AX355" s="220"/>
      <c r="AY355" s="220"/>
      <c r="AZ355" s="220"/>
      <c r="BA355" s="220"/>
      <c r="BB355" s="220"/>
    </row>
    <row r="356">
      <c r="A356" s="240"/>
      <c r="B356" s="302" t="str">
        <f t="shared" si="1"/>
        <v/>
      </c>
      <c r="C356" s="341" t="str">
        <f>IF(A356="","",'Historique détail'!B356/$W356)</f>
        <v/>
      </c>
      <c r="D356" s="341" t="str">
        <f>IF(B356="","",'Historique détail'!C356/$W356)</f>
        <v/>
      </c>
      <c r="E356" s="341" t="str">
        <f>IF(C356="","",'Historique détail'!D356/$W356)</f>
        <v/>
      </c>
      <c r="F356" s="341" t="str">
        <f>IF(D356="","",'Historique détail'!E356/$W356)</f>
        <v/>
      </c>
      <c r="G356" s="341" t="str">
        <f>IF(E356="","",'Historique détail'!F356/$W356)</f>
        <v/>
      </c>
      <c r="H356" s="341" t="str">
        <f>IF(F356="","",'Historique détail'!G356/$W356)</f>
        <v/>
      </c>
      <c r="I356" s="341" t="str">
        <f>IF(G356="","",'Historique détail'!H356/$W356)</f>
        <v/>
      </c>
      <c r="J356" s="341" t="str">
        <f>IF(H356="","",'Historique détail'!I356/$W356)</f>
        <v/>
      </c>
      <c r="K356" s="341" t="str">
        <f>IF(I356="","",'Historique détail'!J356/$W356)</f>
        <v/>
      </c>
      <c r="L356" s="341" t="str">
        <f>IF(J356="","",'Historique détail'!K356/$W356)</f>
        <v/>
      </c>
      <c r="M356" s="341" t="str">
        <f>IF(K356="","",'Historique détail'!L356/$W356)</f>
        <v/>
      </c>
      <c r="N356" s="341" t="str">
        <f>IF(L356="","",'Historique détail'!M356/$W356)</f>
        <v/>
      </c>
      <c r="O356" s="341" t="str">
        <f>IF(M356="","",'Historique détail'!N356/$W356)</f>
        <v/>
      </c>
      <c r="P356" s="341" t="str">
        <f>IF(N356="","",'Historique détail'!O356/$W356)</f>
        <v/>
      </c>
      <c r="Q356" s="341" t="str">
        <f>IF(O356="","",'Historique détail'!P356/$W356)</f>
        <v/>
      </c>
      <c r="R356" s="341" t="str">
        <f>IF(P356="","",'Historique détail'!Q356/$W356)</f>
        <v/>
      </c>
      <c r="S356" s="341" t="str">
        <f>IF(Q356="","",'Historique détail'!R356/$W356)</f>
        <v/>
      </c>
      <c r="T356" s="341" t="str">
        <f>IF(R356="","",'Historique détail'!S356/$W356)</f>
        <v/>
      </c>
      <c r="U356" s="340" t="str">
        <f t="shared" si="2"/>
        <v/>
      </c>
      <c r="V356" s="14" t="str">
        <f>IF(A356="","",ARBITRAGES!M357)</f>
        <v/>
      </c>
      <c r="W356" s="343" t="str">
        <f>IF(V356="","",'Historique détail'!U356)</f>
        <v/>
      </c>
      <c r="X356" s="288"/>
      <c r="Y356" s="220"/>
      <c r="Z356" s="220"/>
      <c r="AA356" s="220"/>
      <c r="AB356" s="220"/>
      <c r="AC356" s="220"/>
      <c r="AD356" s="220"/>
      <c r="AE356" s="220"/>
      <c r="AF356" s="220"/>
      <c r="AG356" s="220"/>
      <c r="AH356" s="220"/>
      <c r="AI356" s="308"/>
      <c r="AJ356" s="220"/>
      <c r="AK356" s="220"/>
      <c r="AL356" s="220"/>
      <c r="AM356" s="220"/>
      <c r="AN356" s="220"/>
      <c r="AO356" s="220"/>
      <c r="AP356" s="220"/>
      <c r="AQ356" s="220"/>
      <c r="AR356" s="220"/>
      <c r="AS356" s="220"/>
      <c r="AT356" s="220"/>
      <c r="AU356" s="220"/>
      <c r="AV356" s="220"/>
      <c r="AW356" s="220"/>
      <c r="AX356" s="220"/>
      <c r="AY356" s="220"/>
      <c r="AZ356" s="220"/>
      <c r="BA356" s="220"/>
      <c r="BB356" s="220"/>
    </row>
    <row r="357">
      <c r="A357" s="240"/>
      <c r="B357" s="302" t="str">
        <f t="shared" si="1"/>
        <v/>
      </c>
      <c r="C357" s="341" t="str">
        <f>IF(A357="","",'Historique détail'!B357/$W357)</f>
        <v/>
      </c>
      <c r="D357" s="341" t="str">
        <f>IF(B357="","",'Historique détail'!C357/$W357)</f>
        <v/>
      </c>
      <c r="E357" s="341" t="str">
        <f>IF(C357="","",'Historique détail'!D357/$W357)</f>
        <v/>
      </c>
      <c r="F357" s="341" t="str">
        <f>IF(D357="","",'Historique détail'!E357/$W357)</f>
        <v/>
      </c>
      <c r="G357" s="341" t="str">
        <f>IF(E357="","",'Historique détail'!F357/$W357)</f>
        <v/>
      </c>
      <c r="H357" s="341" t="str">
        <f>IF(F357="","",'Historique détail'!G357/$W357)</f>
        <v/>
      </c>
      <c r="I357" s="341" t="str">
        <f>IF(G357="","",'Historique détail'!H357/$W357)</f>
        <v/>
      </c>
      <c r="J357" s="341" t="str">
        <f>IF(H357="","",'Historique détail'!I357/$W357)</f>
        <v/>
      </c>
      <c r="K357" s="341" t="str">
        <f>IF(I357="","",'Historique détail'!J357/$W357)</f>
        <v/>
      </c>
      <c r="L357" s="341" t="str">
        <f>IF(J357="","",'Historique détail'!K357/$W357)</f>
        <v/>
      </c>
      <c r="M357" s="341" t="str">
        <f>IF(K357="","",'Historique détail'!L357/$W357)</f>
        <v/>
      </c>
      <c r="N357" s="341" t="str">
        <f>IF(L357="","",'Historique détail'!M357/$W357)</f>
        <v/>
      </c>
      <c r="O357" s="341" t="str">
        <f>IF(M357="","",'Historique détail'!N357/$W357)</f>
        <v/>
      </c>
      <c r="P357" s="341" t="str">
        <f>IF(N357="","",'Historique détail'!O357/$W357)</f>
        <v/>
      </c>
      <c r="Q357" s="341" t="str">
        <f>IF(O357="","",'Historique détail'!P357/$W357)</f>
        <v/>
      </c>
      <c r="R357" s="341" t="str">
        <f>IF(P357="","",'Historique détail'!Q357/$W357)</f>
        <v/>
      </c>
      <c r="S357" s="341" t="str">
        <f>IF(Q357="","",'Historique détail'!R357/$W357)</f>
        <v/>
      </c>
      <c r="T357" s="341" t="str">
        <f>IF(R357="","",'Historique détail'!S357/$W357)</f>
        <v/>
      </c>
      <c r="U357" s="340" t="str">
        <f t="shared" si="2"/>
        <v/>
      </c>
      <c r="V357" s="14" t="str">
        <f>IF(A357="","",ARBITRAGES!M358)</f>
        <v/>
      </c>
      <c r="W357" s="343" t="str">
        <f>IF(V357="","",'Historique détail'!U357)</f>
        <v/>
      </c>
      <c r="X357" s="288"/>
      <c r="Y357" s="220"/>
      <c r="Z357" s="220"/>
      <c r="AA357" s="220"/>
      <c r="AB357" s="220"/>
      <c r="AC357" s="220"/>
      <c r="AD357" s="220"/>
      <c r="AE357" s="220"/>
      <c r="AF357" s="220"/>
      <c r="AG357" s="220"/>
      <c r="AH357" s="220"/>
      <c r="AI357" s="308"/>
      <c r="AJ357" s="220"/>
      <c r="AK357" s="220"/>
      <c r="AL357" s="220"/>
      <c r="AM357" s="220"/>
      <c r="AN357" s="220"/>
      <c r="AO357" s="220"/>
      <c r="AP357" s="220"/>
      <c r="AQ357" s="220"/>
      <c r="AR357" s="220"/>
      <c r="AS357" s="220"/>
      <c r="AT357" s="220"/>
      <c r="AU357" s="220"/>
      <c r="AV357" s="220"/>
      <c r="AW357" s="220"/>
      <c r="AX357" s="220"/>
      <c r="AY357" s="220"/>
      <c r="AZ357" s="220"/>
      <c r="BA357" s="220"/>
      <c r="BB357" s="220"/>
    </row>
    <row r="358">
      <c r="A358" s="240"/>
      <c r="B358" s="302" t="str">
        <f t="shared" si="1"/>
        <v/>
      </c>
      <c r="C358" s="341" t="str">
        <f>IF(A358="","",'Historique détail'!B358/$W358)</f>
        <v/>
      </c>
      <c r="D358" s="341" t="str">
        <f>IF(B358="","",'Historique détail'!C358/$W358)</f>
        <v/>
      </c>
      <c r="E358" s="341" t="str">
        <f>IF(C358="","",'Historique détail'!D358/$W358)</f>
        <v/>
      </c>
      <c r="F358" s="341" t="str">
        <f>IF(D358="","",'Historique détail'!E358/$W358)</f>
        <v/>
      </c>
      <c r="G358" s="341" t="str">
        <f>IF(E358="","",'Historique détail'!F358/$W358)</f>
        <v/>
      </c>
      <c r="H358" s="341" t="str">
        <f>IF(F358="","",'Historique détail'!G358/$W358)</f>
        <v/>
      </c>
      <c r="I358" s="341" t="str">
        <f>IF(G358="","",'Historique détail'!H358/$W358)</f>
        <v/>
      </c>
      <c r="J358" s="341" t="str">
        <f>IF(H358="","",'Historique détail'!I358/$W358)</f>
        <v/>
      </c>
      <c r="K358" s="341" t="str">
        <f>IF(I358="","",'Historique détail'!J358/$W358)</f>
        <v/>
      </c>
      <c r="L358" s="341" t="str">
        <f>IF(J358="","",'Historique détail'!K358/$W358)</f>
        <v/>
      </c>
      <c r="M358" s="341" t="str">
        <f>IF(K358="","",'Historique détail'!L358/$W358)</f>
        <v/>
      </c>
      <c r="N358" s="341" t="str">
        <f>IF(L358="","",'Historique détail'!M358/$W358)</f>
        <v/>
      </c>
      <c r="O358" s="341" t="str">
        <f>IF(M358="","",'Historique détail'!N358/$W358)</f>
        <v/>
      </c>
      <c r="P358" s="341" t="str">
        <f>IF(N358="","",'Historique détail'!O358/$W358)</f>
        <v/>
      </c>
      <c r="Q358" s="341" t="str">
        <f>IF(O358="","",'Historique détail'!P358/$W358)</f>
        <v/>
      </c>
      <c r="R358" s="341" t="str">
        <f>IF(P358="","",'Historique détail'!Q358/$W358)</f>
        <v/>
      </c>
      <c r="S358" s="341" t="str">
        <f>IF(Q358="","",'Historique détail'!R358/$W358)</f>
        <v/>
      </c>
      <c r="T358" s="341" t="str">
        <f>IF(R358="","",'Historique détail'!S358/$W358)</f>
        <v/>
      </c>
      <c r="U358" s="340" t="str">
        <f t="shared" si="2"/>
        <v/>
      </c>
      <c r="V358" s="14" t="str">
        <f>IF(A358="","",ARBITRAGES!M359)</f>
        <v/>
      </c>
      <c r="W358" s="343" t="str">
        <f>IF(V358="","",'Historique détail'!U358)</f>
        <v/>
      </c>
      <c r="X358" s="288"/>
      <c r="Y358" s="220"/>
      <c r="Z358" s="220"/>
      <c r="AA358" s="220"/>
      <c r="AB358" s="220"/>
      <c r="AC358" s="220"/>
      <c r="AD358" s="220"/>
      <c r="AE358" s="220"/>
      <c r="AF358" s="220"/>
      <c r="AG358" s="220"/>
      <c r="AH358" s="220"/>
      <c r="AI358" s="308"/>
      <c r="AJ358" s="220"/>
      <c r="AK358" s="220"/>
      <c r="AL358" s="220"/>
      <c r="AM358" s="220"/>
      <c r="AN358" s="220"/>
      <c r="AO358" s="220"/>
      <c r="AP358" s="220"/>
      <c r="AQ358" s="220"/>
      <c r="AR358" s="220"/>
      <c r="AS358" s="220"/>
      <c r="AT358" s="220"/>
      <c r="AU358" s="220"/>
      <c r="AV358" s="220"/>
      <c r="AW358" s="220"/>
      <c r="AX358" s="220"/>
      <c r="AY358" s="220"/>
      <c r="AZ358" s="220"/>
      <c r="BA358" s="220"/>
      <c r="BB358" s="220"/>
    </row>
    <row r="359">
      <c r="A359" s="240"/>
      <c r="B359" s="302" t="str">
        <f t="shared" si="1"/>
        <v/>
      </c>
      <c r="C359" s="341" t="str">
        <f>IF(A359="","",'Historique détail'!B359/$W359)</f>
        <v/>
      </c>
      <c r="D359" s="341" t="str">
        <f>IF(B359="","",'Historique détail'!C359/$W359)</f>
        <v/>
      </c>
      <c r="E359" s="341" t="str">
        <f>IF(C359="","",'Historique détail'!D359/$W359)</f>
        <v/>
      </c>
      <c r="F359" s="341" t="str">
        <f>IF(D359="","",'Historique détail'!E359/$W359)</f>
        <v/>
      </c>
      <c r="G359" s="341" t="str">
        <f>IF(E359="","",'Historique détail'!F359/$W359)</f>
        <v/>
      </c>
      <c r="H359" s="341" t="str">
        <f>IF(F359="","",'Historique détail'!G359/$W359)</f>
        <v/>
      </c>
      <c r="I359" s="341" t="str">
        <f>IF(G359="","",'Historique détail'!H359/$W359)</f>
        <v/>
      </c>
      <c r="J359" s="341" t="str">
        <f>IF(H359="","",'Historique détail'!I359/$W359)</f>
        <v/>
      </c>
      <c r="K359" s="341" t="str">
        <f>IF(I359="","",'Historique détail'!J359/$W359)</f>
        <v/>
      </c>
      <c r="L359" s="341" t="str">
        <f>IF(J359="","",'Historique détail'!K359/$W359)</f>
        <v/>
      </c>
      <c r="M359" s="341" t="str">
        <f>IF(K359="","",'Historique détail'!L359/$W359)</f>
        <v/>
      </c>
      <c r="N359" s="341" t="str">
        <f>IF(L359="","",'Historique détail'!M359/$W359)</f>
        <v/>
      </c>
      <c r="O359" s="341" t="str">
        <f>IF(M359="","",'Historique détail'!N359/$W359)</f>
        <v/>
      </c>
      <c r="P359" s="341" t="str">
        <f>IF(N359="","",'Historique détail'!O359/$W359)</f>
        <v/>
      </c>
      <c r="Q359" s="341" t="str">
        <f>IF(O359="","",'Historique détail'!P359/$W359)</f>
        <v/>
      </c>
      <c r="R359" s="341" t="str">
        <f>IF(P359="","",'Historique détail'!Q359/$W359)</f>
        <v/>
      </c>
      <c r="S359" s="341" t="str">
        <f>IF(Q359="","",'Historique détail'!R359/$W359)</f>
        <v/>
      </c>
      <c r="T359" s="341" t="str">
        <f>IF(R359="","",'Historique détail'!S359/$W359)</f>
        <v/>
      </c>
      <c r="U359" s="340" t="str">
        <f t="shared" si="2"/>
        <v/>
      </c>
      <c r="V359" s="14" t="str">
        <f>IF(A359="","",ARBITRAGES!M360)</f>
        <v/>
      </c>
      <c r="W359" s="343" t="str">
        <f>IF(V359="","",'Historique détail'!U359)</f>
        <v/>
      </c>
      <c r="X359" s="288"/>
      <c r="Y359" s="220"/>
      <c r="Z359" s="220"/>
      <c r="AA359" s="220"/>
      <c r="AB359" s="220"/>
      <c r="AC359" s="220"/>
      <c r="AD359" s="220"/>
      <c r="AE359" s="220"/>
      <c r="AF359" s="220"/>
      <c r="AG359" s="220"/>
      <c r="AH359" s="220"/>
      <c r="AI359" s="308"/>
      <c r="AJ359" s="220"/>
      <c r="AK359" s="220"/>
      <c r="AL359" s="220"/>
      <c r="AM359" s="220"/>
      <c r="AN359" s="220"/>
      <c r="AO359" s="220"/>
      <c r="AP359" s="220"/>
      <c r="AQ359" s="220"/>
      <c r="AR359" s="220"/>
      <c r="AS359" s="220"/>
      <c r="AT359" s="220"/>
      <c r="AU359" s="220"/>
      <c r="AV359" s="220"/>
      <c r="AW359" s="220"/>
      <c r="AX359" s="220"/>
      <c r="AY359" s="220"/>
      <c r="AZ359" s="220"/>
      <c r="BA359" s="220"/>
      <c r="BB359" s="220"/>
    </row>
    <row r="360">
      <c r="A360" s="240"/>
      <c r="B360" s="302" t="str">
        <f t="shared" si="1"/>
        <v/>
      </c>
      <c r="C360" s="341" t="str">
        <f>IF(A360="","",'Historique détail'!B360/$W360)</f>
        <v/>
      </c>
      <c r="D360" s="341" t="str">
        <f>IF(B360="","",'Historique détail'!C360/$W360)</f>
        <v/>
      </c>
      <c r="E360" s="341" t="str">
        <f>IF(C360="","",'Historique détail'!D360/$W360)</f>
        <v/>
      </c>
      <c r="F360" s="341" t="str">
        <f>IF(D360="","",'Historique détail'!E360/$W360)</f>
        <v/>
      </c>
      <c r="G360" s="341" t="str">
        <f>IF(E360="","",'Historique détail'!F360/$W360)</f>
        <v/>
      </c>
      <c r="H360" s="341" t="str">
        <f>IF(F360="","",'Historique détail'!G360/$W360)</f>
        <v/>
      </c>
      <c r="I360" s="341" t="str">
        <f>IF(G360="","",'Historique détail'!H360/$W360)</f>
        <v/>
      </c>
      <c r="J360" s="341" t="str">
        <f>IF(H360="","",'Historique détail'!I360/$W360)</f>
        <v/>
      </c>
      <c r="K360" s="341" t="str">
        <f>IF(I360="","",'Historique détail'!J360/$W360)</f>
        <v/>
      </c>
      <c r="L360" s="341" t="str">
        <f>IF(J360="","",'Historique détail'!K360/$W360)</f>
        <v/>
      </c>
      <c r="M360" s="341" t="str">
        <f>IF(K360="","",'Historique détail'!L360/$W360)</f>
        <v/>
      </c>
      <c r="N360" s="341" t="str">
        <f>IF(L360="","",'Historique détail'!M360/$W360)</f>
        <v/>
      </c>
      <c r="O360" s="341" t="str">
        <f>IF(M360="","",'Historique détail'!N360/$W360)</f>
        <v/>
      </c>
      <c r="P360" s="341" t="str">
        <f>IF(N360="","",'Historique détail'!O360/$W360)</f>
        <v/>
      </c>
      <c r="Q360" s="341" t="str">
        <f>IF(O360="","",'Historique détail'!P360/$W360)</f>
        <v/>
      </c>
      <c r="R360" s="341" t="str">
        <f>IF(P360="","",'Historique détail'!Q360/$W360)</f>
        <v/>
      </c>
      <c r="S360" s="341" t="str">
        <f>IF(Q360="","",'Historique détail'!R360/$W360)</f>
        <v/>
      </c>
      <c r="T360" s="341" t="str">
        <f>IF(R360="","",'Historique détail'!S360/$W360)</f>
        <v/>
      </c>
      <c r="U360" s="340" t="str">
        <f t="shared" si="2"/>
        <v/>
      </c>
      <c r="V360" s="14" t="str">
        <f>IF(A360="","",ARBITRAGES!M361)</f>
        <v/>
      </c>
      <c r="W360" s="343" t="str">
        <f>IF(V360="","",'Historique détail'!U360)</f>
        <v/>
      </c>
      <c r="X360" s="288"/>
      <c r="Y360" s="220"/>
      <c r="Z360" s="220"/>
      <c r="AA360" s="220"/>
      <c r="AB360" s="220"/>
      <c r="AC360" s="220"/>
      <c r="AD360" s="220"/>
      <c r="AE360" s="220"/>
      <c r="AF360" s="220"/>
      <c r="AG360" s="220"/>
      <c r="AH360" s="220"/>
      <c r="AI360" s="308"/>
      <c r="AJ360" s="220"/>
      <c r="AK360" s="220"/>
      <c r="AL360" s="220"/>
      <c r="AM360" s="220"/>
      <c r="AN360" s="220"/>
      <c r="AO360" s="220"/>
      <c r="AP360" s="220"/>
      <c r="AQ360" s="220"/>
      <c r="AR360" s="220"/>
      <c r="AS360" s="220"/>
      <c r="AT360" s="220"/>
      <c r="AU360" s="220"/>
      <c r="AV360" s="220"/>
      <c r="AW360" s="220"/>
      <c r="AX360" s="220"/>
      <c r="AY360" s="220"/>
      <c r="AZ360" s="220"/>
      <c r="BA360" s="220"/>
      <c r="BB360" s="220"/>
    </row>
    <row r="361">
      <c r="A361" s="240"/>
      <c r="B361" s="302" t="str">
        <f t="shared" si="1"/>
        <v/>
      </c>
      <c r="C361" s="341" t="str">
        <f>IF(A361="","",'Historique détail'!B361/$W361)</f>
        <v/>
      </c>
      <c r="D361" s="341" t="str">
        <f>IF(B361="","",'Historique détail'!C361/$W361)</f>
        <v/>
      </c>
      <c r="E361" s="341" t="str">
        <f>IF(C361="","",'Historique détail'!D361/$W361)</f>
        <v/>
      </c>
      <c r="F361" s="341" t="str">
        <f>IF(D361="","",'Historique détail'!E361/$W361)</f>
        <v/>
      </c>
      <c r="G361" s="341" t="str">
        <f>IF(E361="","",'Historique détail'!F361/$W361)</f>
        <v/>
      </c>
      <c r="H361" s="341" t="str">
        <f>IF(F361="","",'Historique détail'!G361/$W361)</f>
        <v/>
      </c>
      <c r="I361" s="341" t="str">
        <f>IF(G361="","",'Historique détail'!H361/$W361)</f>
        <v/>
      </c>
      <c r="J361" s="341" t="str">
        <f>IF(H361="","",'Historique détail'!I361/$W361)</f>
        <v/>
      </c>
      <c r="K361" s="341" t="str">
        <f>IF(I361="","",'Historique détail'!J361/$W361)</f>
        <v/>
      </c>
      <c r="L361" s="341" t="str">
        <f>IF(J361="","",'Historique détail'!K361/$W361)</f>
        <v/>
      </c>
      <c r="M361" s="341" t="str">
        <f>IF(K361="","",'Historique détail'!L361/$W361)</f>
        <v/>
      </c>
      <c r="N361" s="341" t="str">
        <f>IF(L361="","",'Historique détail'!M361/$W361)</f>
        <v/>
      </c>
      <c r="O361" s="341" t="str">
        <f>IF(M361="","",'Historique détail'!N361/$W361)</f>
        <v/>
      </c>
      <c r="P361" s="341" t="str">
        <f>IF(N361="","",'Historique détail'!O361/$W361)</f>
        <v/>
      </c>
      <c r="Q361" s="341" t="str">
        <f>IF(O361="","",'Historique détail'!P361/$W361)</f>
        <v/>
      </c>
      <c r="R361" s="341" t="str">
        <f>IF(P361="","",'Historique détail'!Q361/$W361)</f>
        <v/>
      </c>
      <c r="S361" s="341" t="str">
        <f>IF(Q361="","",'Historique détail'!R361/$W361)</f>
        <v/>
      </c>
      <c r="T361" s="341" t="str">
        <f>IF(R361="","",'Historique détail'!S361/$W361)</f>
        <v/>
      </c>
      <c r="U361" s="340" t="str">
        <f t="shared" si="2"/>
        <v/>
      </c>
      <c r="V361" s="14" t="str">
        <f>IF(A361="","",ARBITRAGES!M362)</f>
        <v/>
      </c>
      <c r="W361" s="343" t="str">
        <f>IF(V361="","",'Historique détail'!U361)</f>
        <v/>
      </c>
      <c r="X361" s="288"/>
      <c r="Y361" s="220"/>
      <c r="Z361" s="220"/>
      <c r="AA361" s="220"/>
      <c r="AB361" s="220"/>
      <c r="AC361" s="220"/>
      <c r="AD361" s="220"/>
      <c r="AE361" s="220"/>
      <c r="AF361" s="220"/>
      <c r="AG361" s="220"/>
      <c r="AH361" s="220"/>
      <c r="AI361" s="308"/>
      <c r="AJ361" s="220"/>
      <c r="AK361" s="220"/>
      <c r="AL361" s="220"/>
      <c r="AM361" s="220"/>
      <c r="AN361" s="220"/>
      <c r="AO361" s="220"/>
      <c r="AP361" s="220"/>
      <c r="AQ361" s="220"/>
      <c r="AR361" s="220"/>
      <c r="AS361" s="220"/>
      <c r="AT361" s="220"/>
      <c r="AU361" s="220"/>
      <c r="AV361" s="220"/>
      <c r="AW361" s="220"/>
      <c r="AX361" s="220"/>
      <c r="AY361" s="220"/>
      <c r="AZ361" s="220"/>
      <c r="BA361" s="220"/>
      <c r="BB361" s="220"/>
    </row>
    <row r="362">
      <c r="A362" s="240"/>
      <c r="B362" s="302" t="str">
        <f t="shared" si="1"/>
        <v/>
      </c>
      <c r="C362" s="341" t="str">
        <f>IF(A362="","",'Historique détail'!B362/$W362)</f>
        <v/>
      </c>
      <c r="D362" s="341" t="str">
        <f>IF(B362="","",'Historique détail'!C362/$W362)</f>
        <v/>
      </c>
      <c r="E362" s="341" t="str">
        <f>IF(C362="","",'Historique détail'!D362/$W362)</f>
        <v/>
      </c>
      <c r="F362" s="341" t="str">
        <f>IF(D362="","",'Historique détail'!E362/$W362)</f>
        <v/>
      </c>
      <c r="G362" s="341" t="str">
        <f>IF(E362="","",'Historique détail'!F362/$W362)</f>
        <v/>
      </c>
      <c r="H362" s="341" t="str">
        <f>IF(F362="","",'Historique détail'!G362/$W362)</f>
        <v/>
      </c>
      <c r="I362" s="341" t="str">
        <f>IF(G362="","",'Historique détail'!H362/$W362)</f>
        <v/>
      </c>
      <c r="J362" s="341" t="str">
        <f>IF(H362="","",'Historique détail'!I362/$W362)</f>
        <v/>
      </c>
      <c r="K362" s="341" t="str">
        <f>IF(I362="","",'Historique détail'!J362/$W362)</f>
        <v/>
      </c>
      <c r="L362" s="341" t="str">
        <f>IF(J362="","",'Historique détail'!K362/$W362)</f>
        <v/>
      </c>
      <c r="M362" s="341" t="str">
        <f>IF(K362="","",'Historique détail'!L362/$W362)</f>
        <v/>
      </c>
      <c r="N362" s="341" t="str">
        <f>IF(L362="","",'Historique détail'!M362/$W362)</f>
        <v/>
      </c>
      <c r="O362" s="341" t="str">
        <f>IF(M362="","",'Historique détail'!N362/$W362)</f>
        <v/>
      </c>
      <c r="P362" s="341" t="str">
        <f>IF(N362="","",'Historique détail'!O362/$W362)</f>
        <v/>
      </c>
      <c r="Q362" s="341" t="str">
        <f>IF(O362="","",'Historique détail'!P362/$W362)</f>
        <v/>
      </c>
      <c r="R362" s="341" t="str">
        <f>IF(P362="","",'Historique détail'!Q362/$W362)</f>
        <v/>
      </c>
      <c r="S362" s="341" t="str">
        <f>IF(Q362="","",'Historique détail'!R362/$W362)</f>
        <v/>
      </c>
      <c r="T362" s="341" t="str">
        <f>IF(R362="","",'Historique détail'!S362/$W362)</f>
        <v/>
      </c>
      <c r="U362" s="340" t="str">
        <f t="shared" si="2"/>
        <v/>
      </c>
      <c r="V362" s="14" t="str">
        <f>IF(A362="","",ARBITRAGES!M363)</f>
        <v/>
      </c>
      <c r="W362" s="343" t="str">
        <f>IF(V362="","",'Historique détail'!U362)</f>
        <v/>
      </c>
      <c r="X362" s="288"/>
      <c r="Y362" s="220"/>
      <c r="Z362" s="220"/>
      <c r="AA362" s="220"/>
      <c r="AB362" s="220"/>
      <c r="AC362" s="220"/>
      <c r="AD362" s="220"/>
      <c r="AE362" s="220"/>
      <c r="AF362" s="220"/>
      <c r="AG362" s="220"/>
      <c r="AH362" s="220"/>
      <c r="AI362" s="308"/>
      <c r="AJ362" s="220"/>
      <c r="AK362" s="220"/>
      <c r="AL362" s="220"/>
      <c r="AM362" s="220"/>
      <c r="AN362" s="220"/>
      <c r="AO362" s="220"/>
      <c r="AP362" s="220"/>
      <c r="AQ362" s="220"/>
      <c r="AR362" s="220"/>
      <c r="AS362" s="220"/>
      <c r="AT362" s="220"/>
      <c r="AU362" s="220"/>
      <c r="AV362" s="220"/>
      <c r="AW362" s="220"/>
      <c r="AX362" s="220"/>
      <c r="AY362" s="220"/>
      <c r="AZ362" s="220"/>
      <c r="BA362" s="220"/>
      <c r="BB362" s="220"/>
    </row>
    <row r="363">
      <c r="A363" s="240"/>
      <c r="B363" s="302" t="str">
        <f t="shared" si="1"/>
        <v/>
      </c>
      <c r="C363" s="341" t="str">
        <f>IF(A363="","",'Historique détail'!B363/$W363)</f>
        <v/>
      </c>
      <c r="D363" s="341" t="str">
        <f>IF(B363="","",'Historique détail'!C363/$W363)</f>
        <v/>
      </c>
      <c r="E363" s="341" t="str">
        <f>IF(C363="","",'Historique détail'!D363/$W363)</f>
        <v/>
      </c>
      <c r="F363" s="341" t="str">
        <f>IF(D363="","",'Historique détail'!E363/$W363)</f>
        <v/>
      </c>
      <c r="G363" s="341" t="str">
        <f>IF(E363="","",'Historique détail'!F363/$W363)</f>
        <v/>
      </c>
      <c r="H363" s="341" t="str">
        <f>IF(F363="","",'Historique détail'!G363/$W363)</f>
        <v/>
      </c>
      <c r="I363" s="341" t="str">
        <f>IF(G363="","",'Historique détail'!H363/$W363)</f>
        <v/>
      </c>
      <c r="J363" s="341" t="str">
        <f>IF(H363="","",'Historique détail'!I363/$W363)</f>
        <v/>
      </c>
      <c r="K363" s="341" t="str">
        <f>IF(I363="","",'Historique détail'!J363/$W363)</f>
        <v/>
      </c>
      <c r="L363" s="341" t="str">
        <f>IF(J363="","",'Historique détail'!K363/$W363)</f>
        <v/>
      </c>
      <c r="M363" s="341" t="str">
        <f>IF(K363="","",'Historique détail'!L363/$W363)</f>
        <v/>
      </c>
      <c r="N363" s="341" t="str">
        <f>IF(L363="","",'Historique détail'!M363/$W363)</f>
        <v/>
      </c>
      <c r="O363" s="341" t="str">
        <f>IF(M363="","",'Historique détail'!N363/$W363)</f>
        <v/>
      </c>
      <c r="P363" s="341" t="str">
        <f>IF(N363="","",'Historique détail'!O363/$W363)</f>
        <v/>
      </c>
      <c r="Q363" s="341" t="str">
        <f>IF(O363="","",'Historique détail'!P363/$W363)</f>
        <v/>
      </c>
      <c r="R363" s="341" t="str">
        <f>IF(P363="","",'Historique détail'!Q363/$W363)</f>
        <v/>
      </c>
      <c r="S363" s="341" t="str">
        <f>IF(Q363="","",'Historique détail'!R363/$W363)</f>
        <v/>
      </c>
      <c r="T363" s="341" t="str">
        <f>IF(R363="","",'Historique détail'!S363/$W363)</f>
        <v/>
      </c>
      <c r="U363" s="340" t="str">
        <f t="shared" si="2"/>
        <v/>
      </c>
      <c r="V363" s="14" t="str">
        <f>IF(A363="","",ARBITRAGES!M364)</f>
        <v/>
      </c>
      <c r="W363" s="343" t="str">
        <f>IF(V363="","",'Historique détail'!U363)</f>
        <v/>
      </c>
      <c r="X363" s="288"/>
      <c r="Y363" s="220"/>
      <c r="Z363" s="220"/>
      <c r="AA363" s="220"/>
      <c r="AB363" s="220"/>
      <c r="AC363" s="220"/>
      <c r="AD363" s="220"/>
      <c r="AE363" s="220"/>
      <c r="AF363" s="220"/>
      <c r="AG363" s="220"/>
      <c r="AH363" s="220"/>
      <c r="AI363" s="308"/>
      <c r="AJ363" s="220"/>
      <c r="AK363" s="220"/>
      <c r="AL363" s="220"/>
      <c r="AM363" s="220"/>
      <c r="AN363" s="220"/>
      <c r="AO363" s="220"/>
      <c r="AP363" s="220"/>
      <c r="AQ363" s="220"/>
      <c r="AR363" s="220"/>
      <c r="AS363" s="220"/>
      <c r="AT363" s="220"/>
      <c r="AU363" s="220"/>
      <c r="AV363" s="220"/>
      <c r="AW363" s="220"/>
      <c r="AX363" s="220"/>
      <c r="AY363" s="220"/>
      <c r="AZ363" s="220"/>
      <c r="BA363" s="220"/>
      <c r="BB363" s="220"/>
    </row>
    <row r="364">
      <c r="A364" s="240"/>
      <c r="B364" s="302" t="str">
        <f t="shared" si="1"/>
        <v/>
      </c>
      <c r="C364" s="341" t="str">
        <f>IF(A364="","",'Historique détail'!B364/$W364)</f>
        <v/>
      </c>
      <c r="D364" s="341" t="str">
        <f>IF(B364="","",'Historique détail'!C364/$W364)</f>
        <v/>
      </c>
      <c r="E364" s="341" t="str">
        <f>IF(C364="","",'Historique détail'!D364/$W364)</f>
        <v/>
      </c>
      <c r="F364" s="341" t="str">
        <f>IF(D364="","",'Historique détail'!E364/$W364)</f>
        <v/>
      </c>
      <c r="G364" s="341" t="str">
        <f>IF(E364="","",'Historique détail'!F364/$W364)</f>
        <v/>
      </c>
      <c r="H364" s="341" t="str">
        <f>IF(F364="","",'Historique détail'!G364/$W364)</f>
        <v/>
      </c>
      <c r="I364" s="341" t="str">
        <f>IF(G364="","",'Historique détail'!H364/$W364)</f>
        <v/>
      </c>
      <c r="J364" s="341" t="str">
        <f>IF(H364="","",'Historique détail'!I364/$W364)</f>
        <v/>
      </c>
      <c r="K364" s="341" t="str">
        <f>IF(I364="","",'Historique détail'!J364/$W364)</f>
        <v/>
      </c>
      <c r="L364" s="341" t="str">
        <f>IF(J364="","",'Historique détail'!K364/$W364)</f>
        <v/>
      </c>
      <c r="M364" s="341" t="str">
        <f>IF(K364="","",'Historique détail'!L364/$W364)</f>
        <v/>
      </c>
      <c r="N364" s="341" t="str">
        <f>IF(L364="","",'Historique détail'!M364/$W364)</f>
        <v/>
      </c>
      <c r="O364" s="341" t="str">
        <f>IF(M364="","",'Historique détail'!N364/$W364)</f>
        <v/>
      </c>
      <c r="P364" s="341" t="str">
        <f>IF(N364="","",'Historique détail'!O364/$W364)</f>
        <v/>
      </c>
      <c r="Q364" s="341" t="str">
        <f>IF(O364="","",'Historique détail'!P364/$W364)</f>
        <v/>
      </c>
      <c r="R364" s="341" t="str">
        <f>IF(P364="","",'Historique détail'!Q364/$W364)</f>
        <v/>
      </c>
      <c r="S364" s="341" t="str">
        <f>IF(Q364="","",'Historique détail'!R364/$W364)</f>
        <v/>
      </c>
      <c r="T364" s="341" t="str">
        <f>IF(R364="","",'Historique détail'!S364/$W364)</f>
        <v/>
      </c>
      <c r="U364" s="340" t="str">
        <f t="shared" si="2"/>
        <v/>
      </c>
      <c r="V364" s="14" t="str">
        <f>IF(A364="","",ARBITRAGES!M365)</f>
        <v/>
      </c>
      <c r="W364" s="343" t="str">
        <f>IF(V364="","",'Historique détail'!U364)</f>
        <v/>
      </c>
      <c r="X364" s="288"/>
      <c r="Y364" s="220"/>
      <c r="Z364" s="220"/>
      <c r="AA364" s="220"/>
      <c r="AB364" s="220"/>
      <c r="AC364" s="220"/>
      <c r="AD364" s="220"/>
      <c r="AE364" s="220"/>
      <c r="AF364" s="220"/>
      <c r="AG364" s="220"/>
      <c r="AH364" s="220"/>
      <c r="AI364" s="308"/>
      <c r="AJ364" s="220"/>
      <c r="AK364" s="220"/>
      <c r="AL364" s="220"/>
      <c r="AM364" s="220"/>
      <c r="AN364" s="220"/>
      <c r="AO364" s="220"/>
      <c r="AP364" s="220"/>
      <c r="AQ364" s="220"/>
      <c r="AR364" s="220"/>
      <c r="AS364" s="220"/>
      <c r="AT364" s="220"/>
      <c r="AU364" s="220"/>
      <c r="AV364" s="220"/>
      <c r="AW364" s="220"/>
      <c r="AX364" s="220"/>
      <c r="AY364" s="220"/>
      <c r="AZ364" s="220"/>
      <c r="BA364" s="220"/>
      <c r="BB364" s="220"/>
    </row>
    <row r="365">
      <c r="A365" s="240"/>
      <c r="B365" s="302" t="str">
        <f t="shared" si="1"/>
        <v/>
      </c>
      <c r="C365" s="341" t="str">
        <f>IF(A365="","",'Historique détail'!B365/$W365)</f>
        <v/>
      </c>
      <c r="D365" s="341" t="str">
        <f>IF(B365="","",'Historique détail'!C365/$W365)</f>
        <v/>
      </c>
      <c r="E365" s="341" t="str">
        <f>IF(C365="","",'Historique détail'!D365/$W365)</f>
        <v/>
      </c>
      <c r="F365" s="341" t="str">
        <f>IF(D365="","",'Historique détail'!E365/$W365)</f>
        <v/>
      </c>
      <c r="G365" s="341" t="str">
        <f>IF(E365="","",'Historique détail'!F365/$W365)</f>
        <v/>
      </c>
      <c r="H365" s="341" t="str">
        <f>IF(F365="","",'Historique détail'!G365/$W365)</f>
        <v/>
      </c>
      <c r="I365" s="341" t="str">
        <f>IF(G365="","",'Historique détail'!H365/$W365)</f>
        <v/>
      </c>
      <c r="J365" s="341" t="str">
        <f>IF(H365="","",'Historique détail'!I365/$W365)</f>
        <v/>
      </c>
      <c r="K365" s="341" t="str">
        <f>IF(I365="","",'Historique détail'!J365/$W365)</f>
        <v/>
      </c>
      <c r="L365" s="341" t="str">
        <f>IF(J365="","",'Historique détail'!K365/$W365)</f>
        <v/>
      </c>
      <c r="M365" s="341" t="str">
        <f>IF(K365="","",'Historique détail'!L365/$W365)</f>
        <v/>
      </c>
      <c r="N365" s="341" t="str">
        <f>IF(L365="","",'Historique détail'!M365/$W365)</f>
        <v/>
      </c>
      <c r="O365" s="341" t="str">
        <f>IF(M365="","",'Historique détail'!N365/$W365)</f>
        <v/>
      </c>
      <c r="P365" s="341" t="str">
        <f>IF(N365="","",'Historique détail'!O365/$W365)</f>
        <v/>
      </c>
      <c r="Q365" s="341" t="str">
        <f>IF(O365="","",'Historique détail'!P365/$W365)</f>
        <v/>
      </c>
      <c r="R365" s="341" t="str">
        <f>IF(P365="","",'Historique détail'!Q365/$W365)</f>
        <v/>
      </c>
      <c r="S365" s="341" t="str">
        <f>IF(Q365="","",'Historique détail'!R365/$W365)</f>
        <v/>
      </c>
      <c r="T365" s="341" t="str">
        <f>IF(R365="","",'Historique détail'!S365/$W365)</f>
        <v/>
      </c>
      <c r="U365" s="340" t="str">
        <f t="shared" si="2"/>
        <v/>
      </c>
      <c r="V365" s="14" t="str">
        <f>IF(A365="","",ARBITRAGES!M366)</f>
        <v/>
      </c>
      <c r="W365" s="343" t="str">
        <f>IF(V365="","",'Historique détail'!U365)</f>
        <v/>
      </c>
      <c r="X365" s="288"/>
      <c r="Y365" s="220"/>
      <c r="Z365" s="220"/>
      <c r="AA365" s="220"/>
      <c r="AB365" s="220"/>
      <c r="AC365" s="220"/>
      <c r="AD365" s="220"/>
      <c r="AE365" s="220"/>
      <c r="AF365" s="220"/>
      <c r="AG365" s="220"/>
      <c r="AH365" s="220"/>
      <c r="AI365" s="308"/>
      <c r="AJ365" s="220"/>
      <c r="AK365" s="220"/>
      <c r="AL365" s="220"/>
      <c r="AM365" s="220"/>
      <c r="AN365" s="220"/>
      <c r="AO365" s="220"/>
      <c r="AP365" s="220"/>
      <c r="AQ365" s="220"/>
      <c r="AR365" s="220"/>
      <c r="AS365" s="220"/>
      <c r="AT365" s="220"/>
      <c r="AU365" s="220"/>
      <c r="AV365" s="220"/>
      <c r="AW365" s="220"/>
      <c r="AX365" s="220"/>
      <c r="AY365" s="220"/>
      <c r="AZ365" s="220"/>
      <c r="BA365" s="220"/>
      <c r="BB365" s="220"/>
    </row>
    <row r="366">
      <c r="A366" s="240"/>
      <c r="B366" s="302" t="str">
        <f t="shared" si="1"/>
        <v/>
      </c>
      <c r="C366" s="341" t="str">
        <f>IF(A366="","",'Historique détail'!B366/$W366)</f>
        <v/>
      </c>
      <c r="D366" s="341" t="str">
        <f>IF(B366="","",'Historique détail'!C366/$W366)</f>
        <v/>
      </c>
      <c r="E366" s="341" t="str">
        <f>IF(C366="","",'Historique détail'!D366/$W366)</f>
        <v/>
      </c>
      <c r="F366" s="341" t="str">
        <f>IF(D366="","",'Historique détail'!E366/$W366)</f>
        <v/>
      </c>
      <c r="G366" s="341" t="str">
        <f>IF(E366="","",'Historique détail'!F366/$W366)</f>
        <v/>
      </c>
      <c r="H366" s="341" t="str">
        <f>IF(F366="","",'Historique détail'!G366/$W366)</f>
        <v/>
      </c>
      <c r="I366" s="341" t="str">
        <f>IF(G366="","",'Historique détail'!H366/$W366)</f>
        <v/>
      </c>
      <c r="J366" s="341" t="str">
        <f>IF(H366="","",'Historique détail'!I366/$W366)</f>
        <v/>
      </c>
      <c r="K366" s="341" t="str">
        <f>IF(I366="","",'Historique détail'!J366/$W366)</f>
        <v/>
      </c>
      <c r="L366" s="341" t="str">
        <f>IF(J366="","",'Historique détail'!K366/$W366)</f>
        <v/>
      </c>
      <c r="M366" s="341" t="str">
        <f>IF(K366="","",'Historique détail'!L366/$W366)</f>
        <v/>
      </c>
      <c r="N366" s="341" t="str">
        <f>IF(L366="","",'Historique détail'!M366/$W366)</f>
        <v/>
      </c>
      <c r="O366" s="341" t="str">
        <f>IF(M366="","",'Historique détail'!N366/$W366)</f>
        <v/>
      </c>
      <c r="P366" s="341" t="str">
        <f>IF(N366="","",'Historique détail'!O366/$W366)</f>
        <v/>
      </c>
      <c r="Q366" s="341" t="str">
        <f>IF(O366="","",'Historique détail'!P366/$W366)</f>
        <v/>
      </c>
      <c r="R366" s="341" t="str">
        <f>IF(P366="","",'Historique détail'!Q366/$W366)</f>
        <v/>
      </c>
      <c r="S366" s="341" t="str">
        <f>IF(Q366="","",'Historique détail'!R366/$W366)</f>
        <v/>
      </c>
      <c r="T366" s="341" t="str">
        <f>IF(R366="","",'Historique détail'!S366/$W366)</f>
        <v/>
      </c>
      <c r="U366" s="340" t="str">
        <f t="shared" si="2"/>
        <v/>
      </c>
      <c r="V366" s="14" t="str">
        <f>IF(A366="","",ARBITRAGES!M367)</f>
        <v/>
      </c>
      <c r="W366" s="343" t="str">
        <f>IF(V366="","",'Historique détail'!U366)</f>
        <v/>
      </c>
      <c r="X366" s="288"/>
      <c r="Y366" s="220"/>
      <c r="Z366" s="220"/>
      <c r="AA366" s="220"/>
      <c r="AB366" s="220"/>
      <c r="AC366" s="220"/>
      <c r="AD366" s="220"/>
      <c r="AE366" s="220"/>
      <c r="AF366" s="220"/>
      <c r="AG366" s="220"/>
      <c r="AH366" s="220"/>
      <c r="AI366" s="308"/>
      <c r="AJ366" s="220"/>
      <c r="AK366" s="220"/>
      <c r="AL366" s="220"/>
      <c r="AM366" s="220"/>
      <c r="AN366" s="220"/>
      <c r="AO366" s="220"/>
      <c r="AP366" s="220"/>
      <c r="AQ366" s="220"/>
      <c r="AR366" s="220"/>
      <c r="AS366" s="220"/>
      <c r="AT366" s="220"/>
      <c r="AU366" s="220"/>
      <c r="AV366" s="220"/>
      <c r="AW366" s="220"/>
      <c r="AX366" s="220"/>
      <c r="AY366" s="220"/>
      <c r="AZ366" s="220"/>
      <c r="BA366" s="220"/>
      <c r="BB366" s="220"/>
    </row>
    <row r="367">
      <c r="A367" s="240"/>
      <c r="B367" s="302" t="str">
        <f t="shared" si="1"/>
        <v/>
      </c>
      <c r="C367" s="341" t="str">
        <f>IF(A367="","",'Historique détail'!B367/$W367)</f>
        <v/>
      </c>
      <c r="D367" s="341" t="str">
        <f>IF(B367="","",'Historique détail'!C367/$W367)</f>
        <v/>
      </c>
      <c r="E367" s="341" t="str">
        <f>IF(C367="","",'Historique détail'!D367/$W367)</f>
        <v/>
      </c>
      <c r="F367" s="341" t="str">
        <f>IF(D367="","",'Historique détail'!E367/$W367)</f>
        <v/>
      </c>
      <c r="G367" s="341" t="str">
        <f>IF(E367="","",'Historique détail'!F367/$W367)</f>
        <v/>
      </c>
      <c r="H367" s="341" t="str">
        <f>IF(F367="","",'Historique détail'!G367/$W367)</f>
        <v/>
      </c>
      <c r="I367" s="341" t="str">
        <f>IF(G367="","",'Historique détail'!H367/$W367)</f>
        <v/>
      </c>
      <c r="J367" s="341" t="str">
        <f>IF(H367="","",'Historique détail'!I367/$W367)</f>
        <v/>
      </c>
      <c r="K367" s="341" t="str">
        <f>IF(I367="","",'Historique détail'!J367/$W367)</f>
        <v/>
      </c>
      <c r="L367" s="341" t="str">
        <f>IF(J367="","",'Historique détail'!K367/$W367)</f>
        <v/>
      </c>
      <c r="M367" s="341" t="str">
        <f>IF(K367="","",'Historique détail'!L367/$W367)</f>
        <v/>
      </c>
      <c r="N367" s="341" t="str">
        <f>IF(L367="","",'Historique détail'!M367/$W367)</f>
        <v/>
      </c>
      <c r="O367" s="341" t="str">
        <f>IF(M367="","",'Historique détail'!N367/$W367)</f>
        <v/>
      </c>
      <c r="P367" s="341" t="str">
        <f>IF(N367="","",'Historique détail'!O367/$W367)</f>
        <v/>
      </c>
      <c r="Q367" s="341" t="str">
        <f>IF(O367="","",'Historique détail'!P367/$W367)</f>
        <v/>
      </c>
      <c r="R367" s="341" t="str">
        <f>IF(P367="","",'Historique détail'!Q367/$W367)</f>
        <v/>
      </c>
      <c r="S367" s="341" t="str">
        <f>IF(Q367="","",'Historique détail'!R367/$W367)</f>
        <v/>
      </c>
      <c r="T367" s="341" t="str">
        <f>IF(R367="","",'Historique détail'!S367/$W367)</f>
        <v/>
      </c>
      <c r="U367" s="340" t="str">
        <f t="shared" si="2"/>
        <v/>
      </c>
      <c r="V367" s="14" t="str">
        <f>IF(A367="","",ARBITRAGES!M368)</f>
        <v/>
      </c>
      <c r="W367" s="343" t="str">
        <f>IF(V367="","",'Historique détail'!U367)</f>
        <v/>
      </c>
      <c r="X367" s="288"/>
      <c r="Y367" s="220"/>
      <c r="Z367" s="220"/>
      <c r="AA367" s="220"/>
      <c r="AB367" s="220"/>
      <c r="AC367" s="220"/>
      <c r="AD367" s="220"/>
      <c r="AE367" s="220"/>
      <c r="AF367" s="220"/>
      <c r="AG367" s="220"/>
      <c r="AH367" s="220"/>
      <c r="AI367" s="308"/>
      <c r="AJ367" s="220"/>
      <c r="AK367" s="220"/>
      <c r="AL367" s="220"/>
      <c r="AM367" s="220"/>
      <c r="AN367" s="220"/>
      <c r="AO367" s="220"/>
      <c r="AP367" s="220"/>
      <c r="AQ367" s="220"/>
      <c r="AR367" s="220"/>
      <c r="AS367" s="220"/>
      <c r="AT367" s="220"/>
      <c r="AU367" s="220"/>
      <c r="AV367" s="220"/>
      <c r="AW367" s="220"/>
      <c r="AX367" s="220"/>
      <c r="AY367" s="220"/>
      <c r="AZ367" s="220"/>
      <c r="BA367" s="220"/>
      <c r="BB367" s="220"/>
    </row>
    <row r="368">
      <c r="A368" s="240"/>
      <c r="B368" s="302" t="str">
        <f t="shared" si="1"/>
        <v/>
      </c>
      <c r="C368" s="341" t="str">
        <f>IF(A368="","",'Historique détail'!B368/$W368)</f>
        <v/>
      </c>
      <c r="D368" s="341" t="str">
        <f>IF(B368="","",'Historique détail'!C368/$W368)</f>
        <v/>
      </c>
      <c r="E368" s="341" t="str">
        <f>IF(C368="","",'Historique détail'!D368/$W368)</f>
        <v/>
      </c>
      <c r="F368" s="341" t="str">
        <f>IF(D368="","",'Historique détail'!E368/$W368)</f>
        <v/>
      </c>
      <c r="G368" s="341" t="str">
        <f>IF(E368="","",'Historique détail'!F368/$W368)</f>
        <v/>
      </c>
      <c r="H368" s="341" t="str">
        <f>IF(F368="","",'Historique détail'!G368/$W368)</f>
        <v/>
      </c>
      <c r="I368" s="341" t="str">
        <f>IF(G368="","",'Historique détail'!H368/$W368)</f>
        <v/>
      </c>
      <c r="J368" s="341" t="str">
        <f>IF(H368="","",'Historique détail'!I368/$W368)</f>
        <v/>
      </c>
      <c r="K368" s="341" t="str">
        <f>IF(I368="","",'Historique détail'!J368/$W368)</f>
        <v/>
      </c>
      <c r="L368" s="341" t="str">
        <f>IF(J368="","",'Historique détail'!K368/$W368)</f>
        <v/>
      </c>
      <c r="M368" s="341" t="str">
        <f>IF(K368="","",'Historique détail'!L368/$W368)</f>
        <v/>
      </c>
      <c r="N368" s="341" t="str">
        <f>IF(L368="","",'Historique détail'!M368/$W368)</f>
        <v/>
      </c>
      <c r="O368" s="341" t="str">
        <f>IF(M368="","",'Historique détail'!N368/$W368)</f>
        <v/>
      </c>
      <c r="P368" s="341" t="str">
        <f>IF(N368="","",'Historique détail'!O368/$W368)</f>
        <v/>
      </c>
      <c r="Q368" s="341" t="str">
        <f>IF(O368="","",'Historique détail'!P368/$W368)</f>
        <v/>
      </c>
      <c r="R368" s="341" t="str">
        <f>IF(P368="","",'Historique détail'!Q368/$W368)</f>
        <v/>
      </c>
      <c r="S368" s="341" t="str">
        <f>IF(Q368="","",'Historique détail'!R368/$W368)</f>
        <v/>
      </c>
      <c r="T368" s="341" t="str">
        <f>IF(R368="","",'Historique détail'!S368/$W368)</f>
        <v/>
      </c>
      <c r="U368" s="340" t="str">
        <f t="shared" si="2"/>
        <v/>
      </c>
      <c r="V368" s="14" t="str">
        <f>IF(A368="","",ARBITRAGES!M369)</f>
        <v/>
      </c>
      <c r="W368" s="343" t="str">
        <f>IF(V368="","",'Historique détail'!U368)</f>
        <v/>
      </c>
      <c r="X368" s="288"/>
      <c r="Y368" s="220"/>
      <c r="Z368" s="220"/>
      <c r="AA368" s="220"/>
      <c r="AB368" s="220"/>
      <c r="AC368" s="220"/>
      <c r="AD368" s="220"/>
      <c r="AE368" s="220"/>
      <c r="AF368" s="220"/>
      <c r="AG368" s="220"/>
      <c r="AH368" s="220"/>
      <c r="AI368" s="308"/>
      <c r="AJ368" s="220"/>
      <c r="AK368" s="220"/>
      <c r="AL368" s="220"/>
      <c r="AM368" s="220"/>
      <c r="AN368" s="220"/>
      <c r="AO368" s="220"/>
      <c r="AP368" s="220"/>
      <c r="AQ368" s="220"/>
      <c r="AR368" s="220"/>
      <c r="AS368" s="220"/>
      <c r="AT368" s="220"/>
      <c r="AU368" s="220"/>
      <c r="AV368" s="220"/>
      <c r="AW368" s="220"/>
      <c r="AX368" s="220"/>
      <c r="AY368" s="220"/>
      <c r="AZ368" s="220"/>
      <c r="BA368" s="220"/>
      <c r="BB368" s="220"/>
    </row>
    <row r="369">
      <c r="A369" s="240"/>
      <c r="B369" s="302" t="str">
        <f t="shared" si="1"/>
        <v/>
      </c>
      <c r="C369" s="341" t="str">
        <f>IF(A369="","",'Historique détail'!B369/$W369)</f>
        <v/>
      </c>
      <c r="D369" s="341" t="str">
        <f>IF(B369="","",'Historique détail'!C369/$W369)</f>
        <v/>
      </c>
      <c r="E369" s="341" t="str">
        <f>IF(C369="","",'Historique détail'!D369/$W369)</f>
        <v/>
      </c>
      <c r="F369" s="341" t="str">
        <f>IF(D369="","",'Historique détail'!E369/$W369)</f>
        <v/>
      </c>
      <c r="G369" s="341" t="str">
        <f>IF(E369="","",'Historique détail'!F369/$W369)</f>
        <v/>
      </c>
      <c r="H369" s="341" t="str">
        <f>IF(F369="","",'Historique détail'!G369/$W369)</f>
        <v/>
      </c>
      <c r="I369" s="341" t="str">
        <f>IF(G369="","",'Historique détail'!H369/$W369)</f>
        <v/>
      </c>
      <c r="J369" s="341" t="str">
        <f>IF(H369="","",'Historique détail'!I369/$W369)</f>
        <v/>
      </c>
      <c r="K369" s="341" t="str">
        <f>IF(I369="","",'Historique détail'!J369/$W369)</f>
        <v/>
      </c>
      <c r="L369" s="341" t="str">
        <f>IF(J369="","",'Historique détail'!K369/$W369)</f>
        <v/>
      </c>
      <c r="M369" s="341" t="str">
        <f>IF(K369="","",'Historique détail'!L369/$W369)</f>
        <v/>
      </c>
      <c r="N369" s="341" t="str">
        <f>IF(L369="","",'Historique détail'!M369/$W369)</f>
        <v/>
      </c>
      <c r="O369" s="341" t="str">
        <f>IF(M369="","",'Historique détail'!N369/$W369)</f>
        <v/>
      </c>
      <c r="P369" s="341" t="str">
        <f>IF(N369="","",'Historique détail'!O369/$W369)</f>
        <v/>
      </c>
      <c r="Q369" s="341" t="str">
        <f>IF(O369="","",'Historique détail'!P369/$W369)</f>
        <v/>
      </c>
      <c r="R369" s="341" t="str">
        <f>IF(P369="","",'Historique détail'!Q369/$W369)</f>
        <v/>
      </c>
      <c r="S369" s="341" t="str">
        <f>IF(Q369="","",'Historique détail'!R369/$W369)</f>
        <v/>
      </c>
      <c r="T369" s="341" t="str">
        <f>IF(R369="","",'Historique détail'!S369/$W369)</f>
        <v/>
      </c>
      <c r="U369" s="340" t="str">
        <f t="shared" si="2"/>
        <v/>
      </c>
      <c r="V369" s="14" t="str">
        <f>IF(A369="","",ARBITRAGES!M370)</f>
        <v/>
      </c>
      <c r="W369" s="343" t="str">
        <f>IF(V369="","",'Historique détail'!U369)</f>
        <v/>
      </c>
      <c r="X369" s="288"/>
      <c r="Y369" s="220"/>
      <c r="Z369" s="220"/>
      <c r="AA369" s="220"/>
      <c r="AB369" s="220"/>
      <c r="AC369" s="220"/>
      <c r="AD369" s="220"/>
      <c r="AE369" s="220"/>
      <c r="AF369" s="220"/>
      <c r="AG369" s="220"/>
      <c r="AH369" s="220"/>
      <c r="AI369" s="308"/>
      <c r="AJ369" s="220"/>
      <c r="AK369" s="220"/>
      <c r="AL369" s="220"/>
      <c r="AM369" s="220"/>
      <c r="AN369" s="220"/>
      <c r="AO369" s="220"/>
      <c r="AP369" s="220"/>
      <c r="AQ369" s="220"/>
      <c r="AR369" s="220"/>
      <c r="AS369" s="220"/>
      <c r="AT369" s="220"/>
      <c r="AU369" s="220"/>
      <c r="AV369" s="220"/>
      <c r="AW369" s="220"/>
      <c r="AX369" s="220"/>
      <c r="AY369" s="220"/>
      <c r="AZ369" s="220"/>
      <c r="BA369" s="220"/>
      <c r="BB369" s="220"/>
    </row>
    <row r="370">
      <c r="A370" s="240"/>
      <c r="B370" s="302" t="str">
        <f t="shared" si="1"/>
        <v/>
      </c>
      <c r="C370" s="341" t="str">
        <f>IF(A370="","",'Historique détail'!B370/$W370)</f>
        <v/>
      </c>
      <c r="D370" s="341" t="str">
        <f>IF(B370="","",'Historique détail'!C370/$W370)</f>
        <v/>
      </c>
      <c r="E370" s="341" t="str">
        <f>IF(C370="","",'Historique détail'!D370/$W370)</f>
        <v/>
      </c>
      <c r="F370" s="341" t="str">
        <f>IF(D370="","",'Historique détail'!E370/$W370)</f>
        <v/>
      </c>
      <c r="G370" s="341" t="str">
        <f>IF(E370="","",'Historique détail'!F370/$W370)</f>
        <v/>
      </c>
      <c r="H370" s="341" t="str">
        <f>IF(F370="","",'Historique détail'!G370/$W370)</f>
        <v/>
      </c>
      <c r="I370" s="341" t="str">
        <f>IF(G370="","",'Historique détail'!H370/$W370)</f>
        <v/>
      </c>
      <c r="J370" s="341" t="str">
        <f>IF(H370="","",'Historique détail'!I370/$W370)</f>
        <v/>
      </c>
      <c r="K370" s="341" t="str">
        <f>IF(I370="","",'Historique détail'!J370/$W370)</f>
        <v/>
      </c>
      <c r="L370" s="341" t="str">
        <f>IF(J370="","",'Historique détail'!K370/$W370)</f>
        <v/>
      </c>
      <c r="M370" s="341" t="str">
        <f>IF(K370="","",'Historique détail'!L370/$W370)</f>
        <v/>
      </c>
      <c r="N370" s="341" t="str">
        <f>IF(L370="","",'Historique détail'!M370/$W370)</f>
        <v/>
      </c>
      <c r="O370" s="341" t="str">
        <f>IF(M370="","",'Historique détail'!N370/$W370)</f>
        <v/>
      </c>
      <c r="P370" s="341" t="str">
        <f>IF(N370="","",'Historique détail'!O370/$W370)</f>
        <v/>
      </c>
      <c r="Q370" s="341" t="str">
        <f>IF(O370="","",'Historique détail'!P370/$W370)</f>
        <v/>
      </c>
      <c r="R370" s="341" t="str">
        <f>IF(P370="","",'Historique détail'!Q370/$W370)</f>
        <v/>
      </c>
      <c r="S370" s="341" t="str">
        <f>IF(Q370="","",'Historique détail'!R370/$W370)</f>
        <v/>
      </c>
      <c r="T370" s="341" t="str">
        <f>IF(R370="","",'Historique détail'!S370/$W370)</f>
        <v/>
      </c>
      <c r="U370" s="340" t="str">
        <f t="shared" si="2"/>
        <v/>
      </c>
      <c r="V370" s="14" t="str">
        <f>IF(A370="","",ARBITRAGES!M371)</f>
        <v/>
      </c>
      <c r="W370" s="343" t="str">
        <f>IF(V370="","",'Historique détail'!U370)</f>
        <v/>
      </c>
      <c r="X370" s="288"/>
      <c r="Y370" s="220"/>
      <c r="Z370" s="220"/>
      <c r="AA370" s="220"/>
      <c r="AB370" s="220"/>
      <c r="AC370" s="220"/>
      <c r="AD370" s="220"/>
      <c r="AE370" s="220"/>
      <c r="AF370" s="220"/>
      <c r="AG370" s="220"/>
      <c r="AH370" s="220"/>
      <c r="AI370" s="308"/>
      <c r="AJ370" s="220"/>
      <c r="AK370" s="220"/>
      <c r="AL370" s="220"/>
      <c r="AM370" s="220"/>
      <c r="AN370" s="220"/>
      <c r="AO370" s="220"/>
      <c r="AP370" s="220"/>
      <c r="AQ370" s="220"/>
      <c r="AR370" s="220"/>
      <c r="AS370" s="220"/>
      <c r="AT370" s="220"/>
      <c r="AU370" s="220"/>
      <c r="AV370" s="220"/>
      <c r="AW370" s="220"/>
      <c r="AX370" s="220"/>
      <c r="AY370" s="220"/>
      <c r="AZ370" s="220"/>
      <c r="BA370" s="220"/>
      <c r="BB370" s="220"/>
    </row>
    <row r="371">
      <c r="A371" s="240"/>
      <c r="B371" s="302" t="str">
        <f t="shared" si="1"/>
        <v/>
      </c>
      <c r="C371" s="341" t="str">
        <f>IF(A371="","",'Historique détail'!B371/$W371)</f>
        <v/>
      </c>
      <c r="D371" s="341" t="str">
        <f>IF(B371="","",'Historique détail'!C371/$W371)</f>
        <v/>
      </c>
      <c r="E371" s="341" t="str">
        <f>IF(C371="","",'Historique détail'!D371/$W371)</f>
        <v/>
      </c>
      <c r="F371" s="341" t="str">
        <f>IF(D371="","",'Historique détail'!E371/$W371)</f>
        <v/>
      </c>
      <c r="G371" s="341" t="str">
        <f>IF(E371="","",'Historique détail'!F371/$W371)</f>
        <v/>
      </c>
      <c r="H371" s="341" t="str">
        <f>IF(F371="","",'Historique détail'!G371/$W371)</f>
        <v/>
      </c>
      <c r="I371" s="341" t="str">
        <f>IF(G371="","",'Historique détail'!H371/$W371)</f>
        <v/>
      </c>
      <c r="J371" s="341" t="str">
        <f>IF(H371="","",'Historique détail'!I371/$W371)</f>
        <v/>
      </c>
      <c r="K371" s="341" t="str">
        <f>IF(I371="","",'Historique détail'!J371/$W371)</f>
        <v/>
      </c>
      <c r="L371" s="341" t="str">
        <f>IF(J371="","",'Historique détail'!K371/$W371)</f>
        <v/>
      </c>
      <c r="M371" s="341" t="str">
        <f>IF(K371="","",'Historique détail'!L371/$W371)</f>
        <v/>
      </c>
      <c r="N371" s="341" t="str">
        <f>IF(L371="","",'Historique détail'!M371/$W371)</f>
        <v/>
      </c>
      <c r="O371" s="341" t="str">
        <f>IF(M371="","",'Historique détail'!N371/$W371)</f>
        <v/>
      </c>
      <c r="P371" s="341" t="str">
        <f>IF(N371="","",'Historique détail'!O371/$W371)</f>
        <v/>
      </c>
      <c r="Q371" s="341" t="str">
        <f>IF(O371="","",'Historique détail'!P371/$W371)</f>
        <v/>
      </c>
      <c r="R371" s="341" t="str">
        <f>IF(P371="","",'Historique détail'!Q371/$W371)</f>
        <v/>
      </c>
      <c r="S371" s="341" t="str">
        <f>IF(Q371="","",'Historique détail'!R371/$W371)</f>
        <v/>
      </c>
      <c r="T371" s="341" t="str">
        <f>IF(R371="","",'Historique détail'!S371/$W371)</f>
        <v/>
      </c>
      <c r="U371" s="340" t="str">
        <f t="shared" si="2"/>
        <v/>
      </c>
      <c r="V371" s="14" t="str">
        <f>IF(A371="","",ARBITRAGES!M372)</f>
        <v/>
      </c>
      <c r="W371" s="343" t="str">
        <f>IF(V371="","",'Historique détail'!U371)</f>
        <v/>
      </c>
      <c r="X371" s="288"/>
      <c r="Y371" s="220"/>
      <c r="Z371" s="220"/>
      <c r="AA371" s="220"/>
      <c r="AB371" s="220"/>
      <c r="AC371" s="220"/>
      <c r="AD371" s="220"/>
      <c r="AE371" s="220"/>
      <c r="AF371" s="220"/>
      <c r="AG371" s="220"/>
      <c r="AH371" s="220"/>
      <c r="AI371" s="308"/>
      <c r="AJ371" s="220"/>
      <c r="AK371" s="220"/>
      <c r="AL371" s="220"/>
      <c r="AM371" s="220"/>
      <c r="AN371" s="220"/>
      <c r="AO371" s="220"/>
      <c r="AP371" s="220"/>
      <c r="AQ371" s="220"/>
      <c r="AR371" s="220"/>
      <c r="AS371" s="220"/>
      <c r="AT371" s="220"/>
      <c r="AU371" s="220"/>
      <c r="AV371" s="220"/>
      <c r="AW371" s="220"/>
      <c r="AX371" s="220"/>
      <c r="AY371" s="220"/>
      <c r="AZ371" s="220"/>
      <c r="BA371" s="220"/>
      <c r="BB371" s="220"/>
    </row>
    <row r="372">
      <c r="A372" s="240"/>
      <c r="B372" s="302" t="str">
        <f t="shared" si="1"/>
        <v/>
      </c>
      <c r="C372" s="341" t="str">
        <f>IF(A372="","",'Historique détail'!B372/$W372)</f>
        <v/>
      </c>
      <c r="D372" s="341" t="str">
        <f>IF(B372="","",'Historique détail'!C372/$W372)</f>
        <v/>
      </c>
      <c r="E372" s="341" t="str">
        <f>IF(C372="","",'Historique détail'!D372/$W372)</f>
        <v/>
      </c>
      <c r="F372" s="341" t="str">
        <f>IF(D372="","",'Historique détail'!E372/$W372)</f>
        <v/>
      </c>
      <c r="G372" s="341" t="str">
        <f>IF(E372="","",'Historique détail'!F372/$W372)</f>
        <v/>
      </c>
      <c r="H372" s="341" t="str">
        <f>IF(F372="","",'Historique détail'!G372/$W372)</f>
        <v/>
      </c>
      <c r="I372" s="341" t="str">
        <f>IF(G372="","",'Historique détail'!H372/$W372)</f>
        <v/>
      </c>
      <c r="J372" s="341" t="str">
        <f>IF(H372="","",'Historique détail'!I372/$W372)</f>
        <v/>
      </c>
      <c r="K372" s="341" t="str">
        <f>IF(I372="","",'Historique détail'!J372/$W372)</f>
        <v/>
      </c>
      <c r="L372" s="341" t="str">
        <f>IF(J372="","",'Historique détail'!K372/$W372)</f>
        <v/>
      </c>
      <c r="M372" s="341" t="str">
        <f>IF(K372="","",'Historique détail'!L372/$W372)</f>
        <v/>
      </c>
      <c r="N372" s="341" t="str">
        <f>IF(L372="","",'Historique détail'!M372/$W372)</f>
        <v/>
      </c>
      <c r="O372" s="341" t="str">
        <f>IF(M372="","",'Historique détail'!N372/$W372)</f>
        <v/>
      </c>
      <c r="P372" s="341" t="str">
        <f>IF(N372="","",'Historique détail'!O372/$W372)</f>
        <v/>
      </c>
      <c r="Q372" s="341" t="str">
        <f>IF(O372="","",'Historique détail'!P372/$W372)</f>
        <v/>
      </c>
      <c r="R372" s="341" t="str">
        <f>IF(P372="","",'Historique détail'!Q372/$W372)</f>
        <v/>
      </c>
      <c r="S372" s="341" t="str">
        <f>IF(Q372="","",'Historique détail'!R372/$W372)</f>
        <v/>
      </c>
      <c r="T372" s="341" t="str">
        <f>IF(R372="","",'Historique détail'!S372/$W372)</f>
        <v/>
      </c>
      <c r="U372" s="340" t="str">
        <f t="shared" si="2"/>
        <v/>
      </c>
      <c r="V372" s="14" t="str">
        <f>IF(A372="","",ARBITRAGES!M373)</f>
        <v/>
      </c>
      <c r="W372" s="343" t="str">
        <f>IF(V372="","",'Historique détail'!U372)</f>
        <v/>
      </c>
      <c r="X372" s="288"/>
      <c r="Y372" s="220"/>
      <c r="Z372" s="220"/>
      <c r="AA372" s="220"/>
      <c r="AB372" s="220"/>
      <c r="AC372" s="220"/>
      <c r="AD372" s="220"/>
      <c r="AE372" s="220"/>
      <c r="AF372" s="220"/>
      <c r="AG372" s="220"/>
      <c r="AH372" s="220"/>
      <c r="AI372" s="308"/>
      <c r="AJ372" s="220"/>
      <c r="AK372" s="220"/>
      <c r="AL372" s="220"/>
      <c r="AM372" s="220"/>
      <c r="AN372" s="220"/>
      <c r="AO372" s="220"/>
      <c r="AP372" s="220"/>
      <c r="AQ372" s="220"/>
      <c r="AR372" s="220"/>
      <c r="AS372" s="220"/>
      <c r="AT372" s="220"/>
      <c r="AU372" s="220"/>
      <c r="AV372" s="220"/>
      <c r="AW372" s="220"/>
      <c r="AX372" s="220"/>
      <c r="AY372" s="220"/>
      <c r="AZ372" s="220"/>
      <c r="BA372" s="220"/>
      <c r="BB372" s="220"/>
    </row>
    <row r="373">
      <c r="A373" s="240"/>
      <c r="B373" s="302" t="str">
        <f t="shared" si="1"/>
        <v/>
      </c>
      <c r="C373" s="341" t="str">
        <f>IF(A373="","",'Historique détail'!B373/$W373)</f>
        <v/>
      </c>
      <c r="D373" s="341" t="str">
        <f>IF(B373="","",'Historique détail'!C373/$W373)</f>
        <v/>
      </c>
      <c r="E373" s="341" t="str">
        <f>IF(C373="","",'Historique détail'!D373/$W373)</f>
        <v/>
      </c>
      <c r="F373" s="341" t="str">
        <f>IF(D373="","",'Historique détail'!E373/$W373)</f>
        <v/>
      </c>
      <c r="G373" s="341" t="str">
        <f>IF(E373="","",'Historique détail'!F373/$W373)</f>
        <v/>
      </c>
      <c r="H373" s="341" t="str">
        <f>IF(F373="","",'Historique détail'!G373/$W373)</f>
        <v/>
      </c>
      <c r="I373" s="341" t="str">
        <f>IF(G373="","",'Historique détail'!H373/$W373)</f>
        <v/>
      </c>
      <c r="J373" s="341" t="str">
        <f>IF(H373="","",'Historique détail'!I373/$W373)</f>
        <v/>
      </c>
      <c r="K373" s="341" t="str">
        <f>IF(I373="","",'Historique détail'!J373/$W373)</f>
        <v/>
      </c>
      <c r="L373" s="341" t="str">
        <f>IF(J373="","",'Historique détail'!K373/$W373)</f>
        <v/>
      </c>
      <c r="M373" s="341" t="str">
        <f>IF(K373="","",'Historique détail'!L373/$W373)</f>
        <v/>
      </c>
      <c r="N373" s="341" t="str">
        <f>IF(L373="","",'Historique détail'!M373/$W373)</f>
        <v/>
      </c>
      <c r="O373" s="341" t="str">
        <f>IF(M373="","",'Historique détail'!N373/$W373)</f>
        <v/>
      </c>
      <c r="P373" s="341" t="str">
        <f>IF(N373="","",'Historique détail'!O373/$W373)</f>
        <v/>
      </c>
      <c r="Q373" s="341" t="str">
        <f>IF(O373="","",'Historique détail'!P373/$W373)</f>
        <v/>
      </c>
      <c r="R373" s="341" t="str">
        <f>IF(P373="","",'Historique détail'!Q373/$W373)</f>
        <v/>
      </c>
      <c r="S373" s="341" t="str">
        <f>IF(Q373="","",'Historique détail'!R373/$W373)</f>
        <v/>
      </c>
      <c r="T373" s="341" t="str">
        <f>IF(R373="","",'Historique détail'!S373/$W373)</f>
        <v/>
      </c>
      <c r="U373" s="340" t="str">
        <f t="shared" si="2"/>
        <v/>
      </c>
      <c r="V373" s="14" t="str">
        <f>IF(A373="","",ARBITRAGES!M374)</f>
        <v/>
      </c>
      <c r="W373" s="343" t="str">
        <f>IF(V373="","",'Historique détail'!U373)</f>
        <v/>
      </c>
      <c r="X373" s="288"/>
      <c r="Y373" s="220"/>
      <c r="Z373" s="220"/>
      <c r="AA373" s="220"/>
      <c r="AB373" s="220"/>
      <c r="AC373" s="220"/>
      <c r="AD373" s="220"/>
      <c r="AE373" s="220"/>
      <c r="AF373" s="220"/>
      <c r="AG373" s="220"/>
      <c r="AH373" s="220"/>
      <c r="AI373" s="308"/>
      <c r="AJ373" s="220"/>
      <c r="AK373" s="220"/>
      <c r="AL373" s="220"/>
      <c r="AM373" s="220"/>
      <c r="AN373" s="220"/>
      <c r="AO373" s="220"/>
      <c r="AP373" s="220"/>
      <c r="AQ373" s="220"/>
      <c r="AR373" s="220"/>
      <c r="AS373" s="220"/>
      <c r="AT373" s="220"/>
      <c r="AU373" s="220"/>
      <c r="AV373" s="220"/>
      <c r="AW373" s="220"/>
      <c r="AX373" s="220"/>
      <c r="AY373" s="220"/>
      <c r="AZ373" s="220"/>
      <c r="BA373" s="220"/>
      <c r="BB373" s="220"/>
    </row>
    <row r="374">
      <c r="A374" s="240"/>
      <c r="B374" s="302" t="str">
        <f t="shared" si="1"/>
        <v/>
      </c>
      <c r="C374" s="341" t="str">
        <f>IF(A374="","",'Historique détail'!B374/$W374)</f>
        <v/>
      </c>
      <c r="D374" s="341" t="str">
        <f>IF(B374="","",'Historique détail'!C374/$W374)</f>
        <v/>
      </c>
      <c r="E374" s="341" t="str">
        <f>IF(C374="","",'Historique détail'!D374/$W374)</f>
        <v/>
      </c>
      <c r="F374" s="341" t="str">
        <f>IF(D374="","",'Historique détail'!E374/$W374)</f>
        <v/>
      </c>
      <c r="G374" s="341" t="str">
        <f>IF(E374="","",'Historique détail'!F374/$W374)</f>
        <v/>
      </c>
      <c r="H374" s="341" t="str">
        <f>IF(F374="","",'Historique détail'!G374/$W374)</f>
        <v/>
      </c>
      <c r="I374" s="341" t="str">
        <f>IF(G374="","",'Historique détail'!H374/$W374)</f>
        <v/>
      </c>
      <c r="J374" s="341" t="str">
        <f>IF(H374="","",'Historique détail'!I374/$W374)</f>
        <v/>
      </c>
      <c r="K374" s="341" t="str">
        <f>IF(I374="","",'Historique détail'!J374/$W374)</f>
        <v/>
      </c>
      <c r="L374" s="341" t="str">
        <f>IF(J374="","",'Historique détail'!K374/$W374)</f>
        <v/>
      </c>
      <c r="M374" s="341" t="str">
        <f>IF(K374="","",'Historique détail'!L374/$W374)</f>
        <v/>
      </c>
      <c r="N374" s="341" t="str">
        <f>IF(L374="","",'Historique détail'!M374/$W374)</f>
        <v/>
      </c>
      <c r="O374" s="341" t="str">
        <f>IF(M374="","",'Historique détail'!N374/$W374)</f>
        <v/>
      </c>
      <c r="P374" s="341" t="str">
        <f>IF(N374="","",'Historique détail'!O374/$W374)</f>
        <v/>
      </c>
      <c r="Q374" s="341" t="str">
        <f>IF(O374="","",'Historique détail'!P374/$W374)</f>
        <v/>
      </c>
      <c r="R374" s="341" t="str">
        <f>IF(P374="","",'Historique détail'!Q374/$W374)</f>
        <v/>
      </c>
      <c r="S374" s="341" t="str">
        <f>IF(Q374="","",'Historique détail'!R374/$W374)</f>
        <v/>
      </c>
      <c r="T374" s="341" t="str">
        <f>IF(R374="","",'Historique détail'!S374/$W374)</f>
        <v/>
      </c>
      <c r="U374" s="340" t="str">
        <f t="shared" si="2"/>
        <v/>
      </c>
      <c r="V374" s="14" t="str">
        <f>IF(A374="","",ARBITRAGES!M375)</f>
        <v/>
      </c>
      <c r="W374" s="343" t="str">
        <f>IF(V374="","",'Historique détail'!U374)</f>
        <v/>
      </c>
      <c r="X374" s="288"/>
      <c r="Y374" s="220"/>
      <c r="Z374" s="220"/>
      <c r="AA374" s="220"/>
      <c r="AB374" s="220"/>
      <c r="AC374" s="220"/>
      <c r="AD374" s="220"/>
      <c r="AE374" s="220"/>
      <c r="AF374" s="220"/>
      <c r="AG374" s="220"/>
      <c r="AH374" s="220"/>
      <c r="AI374" s="308"/>
      <c r="AJ374" s="220"/>
      <c r="AK374" s="220"/>
      <c r="AL374" s="220"/>
      <c r="AM374" s="220"/>
      <c r="AN374" s="220"/>
      <c r="AO374" s="220"/>
      <c r="AP374" s="220"/>
      <c r="AQ374" s="220"/>
      <c r="AR374" s="220"/>
      <c r="AS374" s="220"/>
      <c r="AT374" s="220"/>
      <c r="AU374" s="220"/>
      <c r="AV374" s="220"/>
      <c r="AW374" s="220"/>
      <c r="AX374" s="220"/>
      <c r="AY374" s="220"/>
      <c r="AZ374" s="220"/>
      <c r="BA374" s="220"/>
      <c r="BB374" s="220"/>
    </row>
    <row r="375">
      <c r="A375" s="240"/>
      <c r="B375" s="302" t="str">
        <f t="shared" si="1"/>
        <v/>
      </c>
      <c r="C375" s="341" t="str">
        <f>IF(A375="","",'Historique détail'!B375/$W375)</f>
        <v/>
      </c>
      <c r="D375" s="341" t="str">
        <f>IF(B375="","",'Historique détail'!C375/$W375)</f>
        <v/>
      </c>
      <c r="E375" s="341" t="str">
        <f>IF(C375="","",'Historique détail'!D375/$W375)</f>
        <v/>
      </c>
      <c r="F375" s="341" t="str">
        <f>IF(D375="","",'Historique détail'!E375/$W375)</f>
        <v/>
      </c>
      <c r="G375" s="341" t="str">
        <f>IF(E375="","",'Historique détail'!F375/$W375)</f>
        <v/>
      </c>
      <c r="H375" s="341" t="str">
        <f>IF(F375="","",'Historique détail'!G375/$W375)</f>
        <v/>
      </c>
      <c r="I375" s="341" t="str">
        <f>IF(G375="","",'Historique détail'!H375/$W375)</f>
        <v/>
      </c>
      <c r="J375" s="341" t="str">
        <f>IF(H375="","",'Historique détail'!I375/$W375)</f>
        <v/>
      </c>
      <c r="K375" s="341" t="str">
        <f>IF(I375="","",'Historique détail'!J375/$W375)</f>
        <v/>
      </c>
      <c r="L375" s="341" t="str">
        <f>IF(J375="","",'Historique détail'!K375/$W375)</f>
        <v/>
      </c>
      <c r="M375" s="341" t="str">
        <f>IF(K375="","",'Historique détail'!L375/$W375)</f>
        <v/>
      </c>
      <c r="N375" s="341" t="str">
        <f>IF(L375="","",'Historique détail'!M375/$W375)</f>
        <v/>
      </c>
      <c r="O375" s="341" t="str">
        <f>IF(M375="","",'Historique détail'!N375/$W375)</f>
        <v/>
      </c>
      <c r="P375" s="341" t="str">
        <f>IF(N375="","",'Historique détail'!O375/$W375)</f>
        <v/>
      </c>
      <c r="Q375" s="341" t="str">
        <f>IF(O375="","",'Historique détail'!P375/$W375)</f>
        <v/>
      </c>
      <c r="R375" s="341" t="str">
        <f>IF(P375="","",'Historique détail'!Q375/$W375)</f>
        <v/>
      </c>
      <c r="S375" s="341" t="str">
        <f>IF(Q375="","",'Historique détail'!R375/$W375)</f>
        <v/>
      </c>
      <c r="T375" s="341" t="str">
        <f>IF(R375="","",'Historique détail'!S375/$W375)</f>
        <v/>
      </c>
      <c r="U375" s="340" t="str">
        <f t="shared" si="2"/>
        <v/>
      </c>
      <c r="V375" s="14" t="str">
        <f>IF(A375="","",ARBITRAGES!M376)</f>
        <v/>
      </c>
      <c r="W375" s="343" t="str">
        <f>IF(V375="","",'Historique détail'!U375)</f>
        <v/>
      </c>
      <c r="X375" s="288"/>
      <c r="Y375" s="220"/>
      <c r="Z375" s="220"/>
      <c r="AA375" s="220"/>
      <c r="AB375" s="220"/>
      <c r="AC375" s="220"/>
      <c r="AD375" s="220"/>
      <c r="AE375" s="220"/>
      <c r="AF375" s="220"/>
      <c r="AG375" s="220"/>
      <c r="AH375" s="220"/>
      <c r="AI375" s="308"/>
      <c r="AJ375" s="220"/>
      <c r="AK375" s="220"/>
      <c r="AL375" s="220"/>
      <c r="AM375" s="220"/>
      <c r="AN375" s="220"/>
      <c r="AO375" s="220"/>
      <c r="AP375" s="220"/>
      <c r="AQ375" s="220"/>
      <c r="AR375" s="220"/>
      <c r="AS375" s="220"/>
      <c r="AT375" s="220"/>
      <c r="AU375" s="220"/>
      <c r="AV375" s="220"/>
      <c r="AW375" s="220"/>
      <c r="AX375" s="220"/>
      <c r="AY375" s="220"/>
      <c r="AZ375" s="220"/>
      <c r="BA375" s="220"/>
      <c r="BB375" s="220"/>
    </row>
    <row r="376">
      <c r="A376" s="240"/>
      <c r="B376" s="302" t="str">
        <f t="shared" si="1"/>
        <v/>
      </c>
      <c r="C376" s="341" t="str">
        <f>IF(A376="","",'Historique détail'!B376/$W376)</f>
        <v/>
      </c>
      <c r="D376" s="341" t="str">
        <f>IF(B376="","",'Historique détail'!C376/$W376)</f>
        <v/>
      </c>
      <c r="E376" s="341" t="str">
        <f>IF(C376="","",'Historique détail'!D376/$W376)</f>
        <v/>
      </c>
      <c r="F376" s="341" t="str">
        <f>IF(D376="","",'Historique détail'!E376/$W376)</f>
        <v/>
      </c>
      <c r="G376" s="341" t="str">
        <f>IF(E376="","",'Historique détail'!F376/$W376)</f>
        <v/>
      </c>
      <c r="H376" s="341" t="str">
        <f>IF(F376="","",'Historique détail'!G376/$W376)</f>
        <v/>
      </c>
      <c r="I376" s="341" t="str">
        <f>IF(G376="","",'Historique détail'!H376/$W376)</f>
        <v/>
      </c>
      <c r="J376" s="341" t="str">
        <f>IF(H376="","",'Historique détail'!I376/$W376)</f>
        <v/>
      </c>
      <c r="K376" s="341" t="str">
        <f>IF(I376="","",'Historique détail'!J376/$W376)</f>
        <v/>
      </c>
      <c r="L376" s="341" t="str">
        <f>IF(J376="","",'Historique détail'!K376/$W376)</f>
        <v/>
      </c>
      <c r="M376" s="341" t="str">
        <f>IF(K376="","",'Historique détail'!L376/$W376)</f>
        <v/>
      </c>
      <c r="N376" s="341" t="str">
        <f>IF(L376="","",'Historique détail'!M376/$W376)</f>
        <v/>
      </c>
      <c r="O376" s="341" t="str">
        <f>IF(M376="","",'Historique détail'!N376/$W376)</f>
        <v/>
      </c>
      <c r="P376" s="341" t="str">
        <f>IF(N376="","",'Historique détail'!O376/$W376)</f>
        <v/>
      </c>
      <c r="Q376" s="341" t="str">
        <f>IF(O376="","",'Historique détail'!P376/$W376)</f>
        <v/>
      </c>
      <c r="R376" s="341" t="str">
        <f>IF(P376="","",'Historique détail'!Q376/$W376)</f>
        <v/>
      </c>
      <c r="S376" s="341" t="str">
        <f>IF(Q376="","",'Historique détail'!R376/$W376)</f>
        <v/>
      </c>
      <c r="T376" s="341" t="str">
        <f>IF(R376="","",'Historique détail'!S376/$W376)</f>
        <v/>
      </c>
      <c r="U376" s="340" t="str">
        <f t="shared" si="2"/>
        <v/>
      </c>
      <c r="V376" s="14" t="str">
        <f>IF(A376="","",ARBITRAGES!M377)</f>
        <v/>
      </c>
      <c r="W376" s="343" t="str">
        <f>IF(V376="","",'Historique détail'!U376)</f>
        <v/>
      </c>
      <c r="X376" s="288"/>
      <c r="Y376" s="220"/>
      <c r="Z376" s="220"/>
      <c r="AA376" s="220"/>
      <c r="AB376" s="220"/>
      <c r="AC376" s="220"/>
      <c r="AD376" s="220"/>
      <c r="AE376" s="220"/>
      <c r="AF376" s="220"/>
      <c r="AG376" s="220"/>
      <c r="AH376" s="220"/>
      <c r="AI376" s="308"/>
      <c r="AJ376" s="220"/>
      <c r="AK376" s="220"/>
      <c r="AL376" s="220"/>
      <c r="AM376" s="220"/>
      <c r="AN376" s="220"/>
      <c r="AO376" s="220"/>
      <c r="AP376" s="220"/>
      <c r="AQ376" s="220"/>
      <c r="AR376" s="220"/>
      <c r="AS376" s="220"/>
      <c r="AT376" s="220"/>
      <c r="AU376" s="220"/>
      <c r="AV376" s="220"/>
      <c r="AW376" s="220"/>
      <c r="AX376" s="220"/>
      <c r="AY376" s="220"/>
      <c r="AZ376" s="220"/>
      <c r="BA376" s="220"/>
      <c r="BB376" s="220"/>
    </row>
    <row r="377">
      <c r="A377" s="240"/>
      <c r="B377" s="302" t="str">
        <f t="shared" si="1"/>
        <v/>
      </c>
      <c r="C377" s="341" t="str">
        <f>IF(A377="","",'Historique détail'!B377/$W377)</f>
        <v/>
      </c>
      <c r="D377" s="341" t="str">
        <f>IF(B377="","",'Historique détail'!C377/$W377)</f>
        <v/>
      </c>
      <c r="E377" s="341" t="str">
        <f>IF(C377="","",'Historique détail'!D377/$W377)</f>
        <v/>
      </c>
      <c r="F377" s="341" t="str">
        <f>IF(D377="","",'Historique détail'!E377/$W377)</f>
        <v/>
      </c>
      <c r="G377" s="341" t="str">
        <f>IF(E377="","",'Historique détail'!F377/$W377)</f>
        <v/>
      </c>
      <c r="H377" s="341" t="str">
        <f>IF(F377="","",'Historique détail'!G377/$W377)</f>
        <v/>
      </c>
      <c r="I377" s="341" t="str">
        <f>IF(G377="","",'Historique détail'!H377/$W377)</f>
        <v/>
      </c>
      <c r="J377" s="341" t="str">
        <f>IF(H377="","",'Historique détail'!I377/$W377)</f>
        <v/>
      </c>
      <c r="K377" s="341" t="str">
        <f>IF(I377="","",'Historique détail'!J377/$W377)</f>
        <v/>
      </c>
      <c r="L377" s="341" t="str">
        <f>IF(J377="","",'Historique détail'!K377/$W377)</f>
        <v/>
      </c>
      <c r="M377" s="341" t="str">
        <f>IF(K377="","",'Historique détail'!L377/$W377)</f>
        <v/>
      </c>
      <c r="N377" s="341" t="str">
        <f>IF(L377="","",'Historique détail'!M377/$W377)</f>
        <v/>
      </c>
      <c r="O377" s="341" t="str">
        <f>IF(M377="","",'Historique détail'!N377/$W377)</f>
        <v/>
      </c>
      <c r="P377" s="341" t="str">
        <f>IF(N377="","",'Historique détail'!O377/$W377)</f>
        <v/>
      </c>
      <c r="Q377" s="341" t="str">
        <f>IF(O377="","",'Historique détail'!P377/$W377)</f>
        <v/>
      </c>
      <c r="R377" s="341" t="str">
        <f>IF(P377="","",'Historique détail'!Q377/$W377)</f>
        <v/>
      </c>
      <c r="S377" s="341" t="str">
        <f>IF(Q377="","",'Historique détail'!R377/$W377)</f>
        <v/>
      </c>
      <c r="T377" s="341" t="str">
        <f>IF(R377="","",'Historique détail'!S377/$W377)</f>
        <v/>
      </c>
      <c r="U377" s="340" t="str">
        <f t="shared" si="2"/>
        <v/>
      </c>
      <c r="V377" s="14" t="str">
        <f>IF(A377="","",ARBITRAGES!M378)</f>
        <v/>
      </c>
      <c r="W377" s="343" t="str">
        <f>IF(V377="","",'Historique détail'!U377)</f>
        <v/>
      </c>
      <c r="X377" s="288"/>
      <c r="Y377" s="220"/>
      <c r="Z377" s="220"/>
      <c r="AA377" s="220"/>
      <c r="AB377" s="220"/>
      <c r="AC377" s="220"/>
      <c r="AD377" s="220"/>
      <c r="AE377" s="220"/>
      <c r="AF377" s="220"/>
      <c r="AG377" s="220"/>
      <c r="AH377" s="220"/>
      <c r="AI377" s="308"/>
      <c r="AJ377" s="220"/>
      <c r="AK377" s="220"/>
      <c r="AL377" s="220"/>
      <c r="AM377" s="220"/>
      <c r="AN377" s="220"/>
      <c r="AO377" s="220"/>
      <c r="AP377" s="220"/>
      <c r="AQ377" s="220"/>
      <c r="AR377" s="220"/>
      <c r="AS377" s="220"/>
      <c r="AT377" s="220"/>
      <c r="AU377" s="220"/>
      <c r="AV377" s="220"/>
      <c r="AW377" s="220"/>
      <c r="AX377" s="220"/>
      <c r="AY377" s="220"/>
      <c r="AZ377" s="220"/>
      <c r="BA377" s="220"/>
      <c r="BB377" s="220"/>
    </row>
    <row r="378">
      <c r="A378" s="240"/>
      <c r="B378" s="302" t="str">
        <f t="shared" si="1"/>
        <v/>
      </c>
      <c r="C378" s="341" t="str">
        <f>IF(A378="","",'Historique détail'!B378/$W378)</f>
        <v/>
      </c>
      <c r="D378" s="341" t="str">
        <f>IF(B378="","",'Historique détail'!C378/$W378)</f>
        <v/>
      </c>
      <c r="E378" s="341" t="str">
        <f>IF(C378="","",'Historique détail'!D378/$W378)</f>
        <v/>
      </c>
      <c r="F378" s="341" t="str">
        <f>IF(D378="","",'Historique détail'!E378/$W378)</f>
        <v/>
      </c>
      <c r="G378" s="341" t="str">
        <f>IF(E378="","",'Historique détail'!F378/$W378)</f>
        <v/>
      </c>
      <c r="H378" s="341" t="str">
        <f>IF(F378="","",'Historique détail'!G378/$W378)</f>
        <v/>
      </c>
      <c r="I378" s="341" t="str">
        <f>IF(G378="","",'Historique détail'!H378/$W378)</f>
        <v/>
      </c>
      <c r="J378" s="341" t="str">
        <f>IF(H378="","",'Historique détail'!I378/$W378)</f>
        <v/>
      </c>
      <c r="K378" s="341" t="str">
        <f>IF(I378="","",'Historique détail'!J378/$W378)</f>
        <v/>
      </c>
      <c r="L378" s="341" t="str">
        <f>IF(J378="","",'Historique détail'!K378/$W378)</f>
        <v/>
      </c>
      <c r="M378" s="341" t="str">
        <f>IF(K378="","",'Historique détail'!L378/$W378)</f>
        <v/>
      </c>
      <c r="N378" s="341" t="str">
        <f>IF(L378="","",'Historique détail'!M378/$W378)</f>
        <v/>
      </c>
      <c r="O378" s="341" t="str">
        <f>IF(M378="","",'Historique détail'!N378/$W378)</f>
        <v/>
      </c>
      <c r="P378" s="341" t="str">
        <f>IF(N378="","",'Historique détail'!O378/$W378)</f>
        <v/>
      </c>
      <c r="Q378" s="341" t="str">
        <f>IF(O378="","",'Historique détail'!P378/$W378)</f>
        <v/>
      </c>
      <c r="R378" s="341" t="str">
        <f>IF(P378="","",'Historique détail'!Q378/$W378)</f>
        <v/>
      </c>
      <c r="S378" s="341" t="str">
        <f>IF(Q378="","",'Historique détail'!R378/$W378)</f>
        <v/>
      </c>
      <c r="T378" s="341" t="str">
        <f>IF(R378="","",'Historique détail'!S378/$W378)</f>
        <v/>
      </c>
      <c r="U378" s="340" t="str">
        <f t="shared" si="2"/>
        <v/>
      </c>
      <c r="V378" s="14" t="str">
        <f>IF(A378="","",ARBITRAGES!M379)</f>
        <v/>
      </c>
      <c r="W378" s="343" t="str">
        <f>IF(V378="","",'Historique détail'!U378)</f>
        <v/>
      </c>
      <c r="X378" s="288"/>
      <c r="Y378" s="220"/>
      <c r="Z378" s="220"/>
      <c r="AA378" s="220"/>
      <c r="AB378" s="220"/>
      <c r="AC378" s="220"/>
      <c r="AD378" s="220"/>
      <c r="AE378" s="220"/>
      <c r="AF378" s="220"/>
      <c r="AG378" s="220"/>
      <c r="AH378" s="220"/>
      <c r="AI378" s="308"/>
      <c r="AJ378" s="220"/>
      <c r="AK378" s="220"/>
      <c r="AL378" s="220"/>
      <c r="AM378" s="220"/>
      <c r="AN378" s="220"/>
      <c r="AO378" s="220"/>
      <c r="AP378" s="220"/>
      <c r="AQ378" s="220"/>
      <c r="AR378" s="220"/>
      <c r="AS378" s="220"/>
      <c r="AT378" s="220"/>
      <c r="AU378" s="220"/>
      <c r="AV378" s="220"/>
      <c r="AW378" s="220"/>
      <c r="AX378" s="220"/>
      <c r="AY378" s="220"/>
      <c r="AZ378" s="220"/>
      <c r="BA378" s="220"/>
      <c r="BB378" s="220"/>
    </row>
    <row r="379">
      <c r="A379" s="240"/>
      <c r="B379" s="302" t="str">
        <f t="shared" si="1"/>
        <v/>
      </c>
      <c r="C379" s="341" t="str">
        <f>IF(A379="","",'Historique détail'!B379/$W379)</f>
        <v/>
      </c>
      <c r="D379" s="341" t="str">
        <f>IF(B379="","",'Historique détail'!C379/$W379)</f>
        <v/>
      </c>
      <c r="E379" s="341" t="str">
        <f>IF(C379="","",'Historique détail'!D379/$W379)</f>
        <v/>
      </c>
      <c r="F379" s="341" t="str">
        <f>IF(D379="","",'Historique détail'!E379/$W379)</f>
        <v/>
      </c>
      <c r="G379" s="341" t="str">
        <f>IF(E379="","",'Historique détail'!F379/$W379)</f>
        <v/>
      </c>
      <c r="H379" s="341" t="str">
        <f>IF(F379="","",'Historique détail'!G379/$W379)</f>
        <v/>
      </c>
      <c r="I379" s="341" t="str">
        <f>IF(G379="","",'Historique détail'!H379/$W379)</f>
        <v/>
      </c>
      <c r="J379" s="341" t="str">
        <f>IF(H379="","",'Historique détail'!I379/$W379)</f>
        <v/>
      </c>
      <c r="K379" s="341" t="str">
        <f>IF(I379="","",'Historique détail'!J379/$W379)</f>
        <v/>
      </c>
      <c r="L379" s="341" t="str">
        <f>IF(J379="","",'Historique détail'!K379/$W379)</f>
        <v/>
      </c>
      <c r="M379" s="341" t="str">
        <f>IF(K379="","",'Historique détail'!L379/$W379)</f>
        <v/>
      </c>
      <c r="N379" s="341" t="str">
        <f>IF(L379="","",'Historique détail'!M379/$W379)</f>
        <v/>
      </c>
      <c r="O379" s="341" t="str">
        <f>IF(M379="","",'Historique détail'!N379/$W379)</f>
        <v/>
      </c>
      <c r="P379" s="341" t="str">
        <f>IF(N379="","",'Historique détail'!O379/$W379)</f>
        <v/>
      </c>
      <c r="Q379" s="341" t="str">
        <f>IF(O379="","",'Historique détail'!P379/$W379)</f>
        <v/>
      </c>
      <c r="R379" s="341" t="str">
        <f>IF(P379="","",'Historique détail'!Q379/$W379)</f>
        <v/>
      </c>
      <c r="S379" s="341" t="str">
        <f>IF(Q379="","",'Historique détail'!R379/$W379)</f>
        <v/>
      </c>
      <c r="T379" s="341" t="str">
        <f>IF(R379="","",'Historique détail'!S379/$W379)</f>
        <v/>
      </c>
      <c r="U379" s="340" t="str">
        <f t="shared" si="2"/>
        <v/>
      </c>
      <c r="V379" s="14" t="str">
        <f>IF(A379="","",ARBITRAGES!M380)</f>
        <v/>
      </c>
      <c r="W379" s="343" t="str">
        <f>IF(V379="","",'Historique détail'!U379)</f>
        <v/>
      </c>
      <c r="X379" s="288"/>
      <c r="Y379" s="220"/>
      <c r="Z379" s="220"/>
      <c r="AA379" s="220"/>
      <c r="AB379" s="220"/>
      <c r="AC379" s="220"/>
      <c r="AD379" s="220"/>
      <c r="AE379" s="220"/>
      <c r="AF379" s="220"/>
      <c r="AG379" s="220"/>
      <c r="AH379" s="220"/>
      <c r="AI379" s="308"/>
      <c r="AJ379" s="220"/>
      <c r="AK379" s="220"/>
      <c r="AL379" s="220"/>
      <c r="AM379" s="220"/>
      <c r="AN379" s="220"/>
      <c r="AO379" s="220"/>
      <c r="AP379" s="220"/>
      <c r="AQ379" s="220"/>
      <c r="AR379" s="220"/>
      <c r="AS379" s="220"/>
      <c r="AT379" s="220"/>
      <c r="AU379" s="220"/>
      <c r="AV379" s="220"/>
      <c r="AW379" s="220"/>
      <c r="AX379" s="220"/>
      <c r="AY379" s="220"/>
      <c r="AZ379" s="220"/>
      <c r="BA379" s="220"/>
      <c r="BB379" s="220"/>
    </row>
    <row r="380">
      <c r="A380" s="240"/>
      <c r="B380" s="302" t="str">
        <f t="shared" si="1"/>
        <v/>
      </c>
      <c r="C380" s="341" t="str">
        <f>IF(A380="","",'Historique détail'!B380/$W380)</f>
        <v/>
      </c>
      <c r="D380" s="341" t="str">
        <f>IF(B380="","",'Historique détail'!C380/$W380)</f>
        <v/>
      </c>
      <c r="E380" s="341" t="str">
        <f>IF(C380="","",'Historique détail'!D380/$W380)</f>
        <v/>
      </c>
      <c r="F380" s="341" t="str">
        <f>IF(D380="","",'Historique détail'!E380/$W380)</f>
        <v/>
      </c>
      <c r="G380" s="341" t="str">
        <f>IF(E380="","",'Historique détail'!F380/$W380)</f>
        <v/>
      </c>
      <c r="H380" s="341" t="str">
        <f>IF(F380="","",'Historique détail'!G380/$W380)</f>
        <v/>
      </c>
      <c r="I380" s="341" t="str">
        <f>IF(G380="","",'Historique détail'!H380/$W380)</f>
        <v/>
      </c>
      <c r="J380" s="341" t="str">
        <f>IF(H380="","",'Historique détail'!I380/$W380)</f>
        <v/>
      </c>
      <c r="K380" s="341" t="str">
        <f>IF(I380="","",'Historique détail'!J380/$W380)</f>
        <v/>
      </c>
      <c r="L380" s="341" t="str">
        <f>IF(J380="","",'Historique détail'!K380/$W380)</f>
        <v/>
      </c>
      <c r="M380" s="341" t="str">
        <f>IF(K380="","",'Historique détail'!L380/$W380)</f>
        <v/>
      </c>
      <c r="N380" s="341" t="str">
        <f>IF(L380="","",'Historique détail'!M380/$W380)</f>
        <v/>
      </c>
      <c r="O380" s="341" t="str">
        <f>IF(M380="","",'Historique détail'!N380/$W380)</f>
        <v/>
      </c>
      <c r="P380" s="341" t="str">
        <f>IF(N380="","",'Historique détail'!O380/$W380)</f>
        <v/>
      </c>
      <c r="Q380" s="341" t="str">
        <f>IF(O380="","",'Historique détail'!P380/$W380)</f>
        <v/>
      </c>
      <c r="R380" s="341" t="str">
        <f>IF(P380="","",'Historique détail'!Q380/$W380)</f>
        <v/>
      </c>
      <c r="S380" s="341" t="str">
        <f>IF(Q380="","",'Historique détail'!R380/$W380)</f>
        <v/>
      </c>
      <c r="T380" s="341" t="str">
        <f>IF(R380="","",'Historique détail'!S380/$W380)</f>
        <v/>
      </c>
      <c r="U380" s="340" t="str">
        <f t="shared" si="2"/>
        <v/>
      </c>
      <c r="V380" s="14" t="str">
        <f>IF(A380="","",ARBITRAGES!M381)</f>
        <v/>
      </c>
      <c r="W380" s="343" t="str">
        <f>IF(V380="","",'Historique détail'!U380)</f>
        <v/>
      </c>
      <c r="X380" s="288"/>
      <c r="Y380" s="220"/>
      <c r="Z380" s="220"/>
      <c r="AA380" s="220"/>
      <c r="AB380" s="220"/>
      <c r="AC380" s="220"/>
      <c r="AD380" s="220"/>
      <c r="AE380" s="220"/>
      <c r="AF380" s="220"/>
      <c r="AG380" s="220"/>
      <c r="AH380" s="220"/>
      <c r="AI380" s="308"/>
      <c r="AJ380" s="220"/>
      <c r="AK380" s="220"/>
      <c r="AL380" s="220"/>
      <c r="AM380" s="220"/>
      <c r="AN380" s="220"/>
      <c r="AO380" s="220"/>
      <c r="AP380" s="220"/>
      <c r="AQ380" s="220"/>
      <c r="AR380" s="220"/>
      <c r="AS380" s="220"/>
      <c r="AT380" s="220"/>
      <c r="AU380" s="220"/>
      <c r="AV380" s="220"/>
      <c r="AW380" s="220"/>
      <c r="AX380" s="220"/>
      <c r="AY380" s="220"/>
      <c r="AZ380" s="220"/>
      <c r="BA380" s="220"/>
      <c r="BB380" s="220"/>
    </row>
    <row r="381">
      <c r="A381" s="240"/>
      <c r="B381" s="302" t="str">
        <f t="shared" si="1"/>
        <v/>
      </c>
      <c r="C381" s="341" t="str">
        <f>IF(A381="","",'Historique détail'!B381/$W381)</f>
        <v/>
      </c>
      <c r="D381" s="341" t="str">
        <f>IF(B381="","",'Historique détail'!C381/$W381)</f>
        <v/>
      </c>
      <c r="E381" s="341" t="str">
        <f>IF(C381="","",'Historique détail'!D381/$W381)</f>
        <v/>
      </c>
      <c r="F381" s="341" t="str">
        <f>IF(D381="","",'Historique détail'!E381/$W381)</f>
        <v/>
      </c>
      <c r="G381" s="341" t="str">
        <f>IF(E381="","",'Historique détail'!F381/$W381)</f>
        <v/>
      </c>
      <c r="H381" s="341" t="str">
        <f>IF(F381="","",'Historique détail'!G381/$W381)</f>
        <v/>
      </c>
      <c r="I381" s="341" t="str">
        <f>IF(G381="","",'Historique détail'!H381/$W381)</f>
        <v/>
      </c>
      <c r="J381" s="341" t="str">
        <f>IF(H381="","",'Historique détail'!I381/$W381)</f>
        <v/>
      </c>
      <c r="K381" s="341" t="str">
        <f>IF(I381="","",'Historique détail'!J381/$W381)</f>
        <v/>
      </c>
      <c r="L381" s="341" t="str">
        <f>IF(J381="","",'Historique détail'!K381/$W381)</f>
        <v/>
      </c>
      <c r="M381" s="341" t="str">
        <f>IF(K381="","",'Historique détail'!L381/$W381)</f>
        <v/>
      </c>
      <c r="N381" s="341" t="str">
        <f>IF(L381="","",'Historique détail'!M381/$W381)</f>
        <v/>
      </c>
      <c r="O381" s="341" t="str">
        <f>IF(M381="","",'Historique détail'!N381/$W381)</f>
        <v/>
      </c>
      <c r="P381" s="341" t="str">
        <f>IF(N381="","",'Historique détail'!O381/$W381)</f>
        <v/>
      </c>
      <c r="Q381" s="341" t="str">
        <f>IF(O381="","",'Historique détail'!P381/$W381)</f>
        <v/>
      </c>
      <c r="R381" s="341" t="str">
        <f>IF(P381="","",'Historique détail'!Q381/$W381)</f>
        <v/>
      </c>
      <c r="S381" s="341" t="str">
        <f>IF(Q381="","",'Historique détail'!R381/$W381)</f>
        <v/>
      </c>
      <c r="T381" s="341" t="str">
        <f>IF(R381="","",'Historique détail'!S381/$W381)</f>
        <v/>
      </c>
      <c r="U381" s="340" t="str">
        <f t="shared" si="2"/>
        <v/>
      </c>
      <c r="V381" s="14" t="str">
        <f>IF(A381="","",ARBITRAGES!M382)</f>
        <v/>
      </c>
      <c r="W381" s="343" t="str">
        <f>IF(V381="","",'Historique détail'!U381)</f>
        <v/>
      </c>
      <c r="X381" s="288"/>
      <c r="Y381" s="220"/>
      <c r="Z381" s="220"/>
      <c r="AA381" s="220"/>
      <c r="AB381" s="220"/>
      <c r="AC381" s="220"/>
      <c r="AD381" s="220"/>
      <c r="AE381" s="220"/>
      <c r="AF381" s="220"/>
      <c r="AG381" s="220"/>
      <c r="AH381" s="220"/>
      <c r="AI381" s="308"/>
      <c r="AJ381" s="220"/>
      <c r="AK381" s="220"/>
      <c r="AL381" s="220"/>
      <c r="AM381" s="220"/>
      <c r="AN381" s="220"/>
      <c r="AO381" s="220"/>
      <c r="AP381" s="220"/>
      <c r="AQ381" s="220"/>
      <c r="AR381" s="220"/>
      <c r="AS381" s="220"/>
      <c r="AT381" s="220"/>
      <c r="AU381" s="220"/>
      <c r="AV381" s="220"/>
      <c r="AW381" s="220"/>
      <c r="AX381" s="220"/>
      <c r="AY381" s="220"/>
      <c r="AZ381" s="220"/>
      <c r="BA381" s="220"/>
      <c r="BB381" s="220"/>
    </row>
    <row r="382">
      <c r="A382" s="240"/>
      <c r="B382" s="302" t="str">
        <f t="shared" si="1"/>
        <v/>
      </c>
      <c r="C382" s="341" t="str">
        <f>IF(A382="","",'Historique détail'!B382/$W382)</f>
        <v/>
      </c>
      <c r="D382" s="341" t="str">
        <f>IF(B382="","",'Historique détail'!C382/$W382)</f>
        <v/>
      </c>
      <c r="E382" s="341" t="str">
        <f>IF(C382="","",'Historique détail'!D382/$W382)</f>
        <v/>
      </c>
      <c r="F382" s="341" t="str">
        <f>IF(D382="","",'Historique détail'!E382/$W382)</f>
        <v/>
      </c>
      <c r="G382" s="341" t="str">
        <f>IF(E382="","",'Historique détail'!F382/$W382)</f>
        <v/>
      </c>
      <c r="H382" s="341" t="str">
        <f>IF(F382="","",'Historique détail'!G382/$W382)</f>
        <v/>
      </c>
      <c r="I382" s="341" t="str">
        <f>IF(G382="","",'Historique détail'!H382/$W382)</f>
        <v/>
      </c>
      <c r="J382" s="341" t="str">
        <f>IF(H382="","",'Historique détail'!I382/$W382)</f>
        <v/>
      </c>
      <c r="K382" s="341" t="str">
        <f>IF(I382="","",'Historique détail'!J382/$W382)</f>
        <v/>
      </c>
      <c r="L382" s="341" t="str">
        <f>IF(J382="","",'Historique détail'!K382/$W382)</f>
        <v/>
      </c>
      <c r="M382" s="341" t="str">
        <f>IF(K382="","",'Historique détail'!L382/$W382)</f>
        <v/>
      </c>
      <c r="N382" s="341" t="str">
        <f>IF(L382="","",'Historique détail'!M382/$W382)</f>
        <v/>
      </c>
      <c r="O382" s="341" t="str">
        <f>IF(M382="","",'Historique détail'!N382/$W382)</f>
        <v/>
      </c>
      <c r="P382" s="341" t="str">
        <f>IF(N382="","",'Historique détail'!O382/$W382)</f>
        <v/>
      </c>
      <c r="Q382" s="341" t="str">
        <f>IF(O382="","",'Historique détail'!P382/$W382)</f>
        <v/>
      </c>
      <c r="R382" s="341" t="str">
        <f>IF(P382="","",'Historique détail'!Q382/$W382)</f>
        <v/>
      </c>
      <c r="S382" s="341" t="str">
        <f>IF(Q382="","",'Historique détail'!R382/$W382)</f>
        <v/>
      </c>
      <c r="T382" s="341" t="str">
        <f>IF(R382="","",'Historique détail'!S382/$W382)</f>
        <v/>
      </c>
      <c r="U382" s="340" t="str">
        <f t="shared" si="2"/>
        <v/>
      </c>
      <c r="V382" s="14" t="str">
        <f>IF(A382="","",ARBITRAGES!M383)</f>
        <v/>
      </c>
      <c r="W382" s="343" t="str">
        <f>IF(V382="","",'Historique détail'!U382)</f>
        <v/>
      </c>
      <c r="X382" s="288"/>
      <c r="Y382" s="220"/>
      <c r="Z382" s="220"/>
      <c r="AA382" s="220"/>
      <c r="AB382" s="220"/>
      <c r="AC382" s="220"/>
      <c r="AD382" s="220"/>
      <c r="AE382" s="220"/>
      <c r="AF382" s="220"/>
      <c r="AG382" s="220"/>
      <c r="AH382" s="220"/>
      <c r="AI382" s="308"/>
      <c r="AJ382" s="220"/>
      <c r="AK382" s="220"/>
      <c r="AL382" s="220"/>
      <c r="AM382" s="220"/>
      <c r="AN382" s="220"/>
      <c r="AO382" s="220"/>
      <c r="AP382" s="220"/>
      <c r="AQ382" s="220"/>
      <c r="AR382" s="220"/>
      <c r="AS382" s="220"/>
      <c r="AT382" s="220"/>
      <c r="AU382" s="220"/>
      <c r="AV382" s="220"/>
      <c r="AW382" s="220"/>
      <c r="AX382" s="220"/>
      <c r="AY382" s="220"/>
      <c r="AZ382" s="220"/>
      <c r="BA382" s="220"/>
      <c r="BB382" s="220"/>
    </row>
    <row r="383">
      <c r="A383" s="240"/>
      <c r="B383" s="302" t="str">
        <f t="shared" si="1"/>
        <v/>
      </c>
      <c r="C383" s="341" t="str">
        <f>IF(A383="","",'Historique détail'!B383/$W383)</f>
        <v/>
      </c>
      <c r="D383" s="341" t="str">
        <f>IF(B383="","",'Historique détail'!C383/$W383)</f>
        <v/>
      </c>
      <c r="E383" s="341" t="str">
        <f>IF(C383="","",'Historique détail'!D383/$W383)</f>
        <v/>
      </c>
      <c r="F383" s="341" t="str">
        <f>IF(D383="","",'Historique détail'!E383/$W383)</f>
        <v/>
      </c>
      <c r="G383" s="341" t="str">
        <f>IF(E383="","",'Historique détail'!F383/$W383)</f>
        <v/>
      </c>
      <c r="H383" s="341" t="str">
        <f>IF(F383="","",'Historique détail'!G383/$W383)</f>
        <v/>
      </c>
      <c r="I383" s="341" t="str">
        <f>IF(G383="","",'Historique détail'!H383/$W383)</f>
        <v/>
      </c>
      <c r="J383" s="341" t="str">
        <f>IF(H383="","",'Historique détail'!I383/$W383)</f>
        <v/>
      </c>
      <c r="K383" s="341" t="str">
        <f>IF(I383="","",'Historique détail'!J383/$W383)</f>
        <v/>
      </c>
      <c r="L383" s="341" t="str">
        <f>IF(J383="","",'Historique détail'!K383/$W383)</f>
        <v/>
      </c>
      <c r="M383" s="341" t="str">
        <f>IF(K383="","",'Historique détail'!L383/$W383)</f>
        <v/>
      </c>
      <c r="N383" s="341" t="str">
        <f>IF(L383="","",'Historique détail'!M383/$W383)</f>
        <v/>
      </c>
      <c r="O383" s="341" t="str">
        <f>IF(M383="","",'Historique détail'!N383/$W383)</f>
        <v/>
      </c>
      <c r="P383" s="341" t="str">
        <f>IF(N383="","",'Historique détail'!O383/$W383)</f>
        <v/>
      </c>
      <c r="Q383" s="341" t="str">
        <f>IF(O383="","",'Historique détail'!P383/$W383)</f>
        <v/>
      </c>
      <c r="R383" s="341" t="str">
        <f>IF(P383="","",'Historique détail'!Q383/$W383)</f>
        <v/>
      </c>
      <c r="S383" s="341" t="str">
        <f>IF(Q383="","",'Historique détail'!R383/$W383)</f>
        <v/>
      </c>
      <c r="T383" s="341" t="str">
        <f>IF(R383="","",'Historique détail'!S383/$W383)</f>
        <v/>
      </c>
      <c r="U383" s="340" t="str">
        <f t="shared" si="2"/>
        <v/>
      </c>
      <c r="V383" s="14" t="str">
        <f>IF(A383="","",ARBITRAGES!M384)</f>
        <v/>
      </c>
      <c r="W383" s="343" t="str">
        <f>IF(V383="","",'Historique détail'!U383)</f>
        <v/>
      </c>
      <c r="X383" s="288"/>
      <c r="Y383" s="220"/>
      <c r="Z383" s="220"/>
      <c r="AA383" s="220"/>
      <c r="AB383" s="220"/>
      <c r="AC383" s="220"/>
      <c r="AD383" s="220"/>
      <c r="AE383" s="220"/>
      <c r="AF383" s="220"/>
      <c r="AG383" s="220"/>
      <c r="AH383" s="220"/>
      <c r="AI383" s="308"/>
      <c r="AJ383" s="220"/>
      <c r="AK383" s="220"/>
      <c r="AL383" s="220"/>
      <c r="AM383" s="220"/>
      <c r="AN383" s="220"/>
      <c r="AO383" s="220"/>
      <c r="AP383" s="220"/>
      <c r="AQ383" s="220"/>
      <c r="AR383" s="220"/>
      <c r="AS383" s="220"/>
      <c r="AT383" s="220"/>
      <c r="AU383" s="220"/>
      <c r="AV383" s="220"/>
      <c r="AW383" s="220"/>
      <c r="AX383" s="220"/>
      <c r="AY383" s="220"/>
      <c r="AZ383" s="220"/>
      <c r="BA383" s="220"/>
      <c r="BB383" s="220"/>
    </row>
    <row r="384">
      <c r="A384" s="240"/>
      <c r="B384" s="302" t="str">
        <f t="shared" si="1"/>
        <v/>
      </c>
      <c r="C384" s="341" t="str">
        <f>IF(A384="","",'Historique détail'!B384/$W384)</f>
        <v/>
      </c>
      <c r="D384" s="341" t="str">
        <f>IF(B384="","",'Historique détail'!C384/$W384)</f>
        <v/>
      </c>
      <c r="E384" s="341" t="str">
        <f>IF(C384="","",'Historique détail'!D384/$W384)</f>
        <v/>
      </c>
      <c r="F384" s="341" t="str">
        <f>IF(D384="","",'Historique détail'!E384/$W384)</f>
        <v/>
      </c>
      <c r="G384" s="341" t="str">
        <f>IF(E384="","",'Historique détail'!F384/$W384)</f>
        <v/>
      </c>
      <c r="H384" s="341" t="str">
        <f>IF(F384="","",'Historique détail'!G384/$W384)</f>
        <v/>
      </c>
      <c r="I384" s="341" t="str">
        <f>IF(G384="","",'Historique détail'!H384/$W384)</f>
        <v/>
      </c>
      <c r="J384" s="341" t="str">
        <f>IF(H384="","",'Historique détail'!I384/$W384)</f>
        <v/>
      </c>
      <c r="K384" s="341" t="str">
        <f>IF(I384="","",'Historique détail'!J384/$W384)</f>
        <v/>
      </c>
      <c r="L384" s="341" t="str">
        <f>IF(J384="","",'Historique détail'!K384/$W384)</f>
        <v/>
      </c>
      <c r="M384" s="341" t="str">
        <f>IF(K384="","",'Historique détail'!L384/$W384)</f>
        <v/>
      </c>
      <c r="N384" s="341" t="str">
        <f>IF(L384="","",'Historique détail'!M384/$W384)</f>
        <v/>
      </c>
      <c r="O384" s="341" t="str">
        <f>IF(M384="","",'Historique détail'!N384/$W384)</f>
        <v/>
      </c>
      <c r="P384" s="341" t="str">
        <f>IF(N384="","",'Historique détail'!O384/$W384)</f>
        <v/>
      </c>
      <c r="Q384" s="341" t="str">
        <f>IF(O384="","",'Historique détail'!P384/$W384)</f>
        <v/>
      </c>
      <c r="R384" s="341" t="str">
        <f>IF(P384="","",'Historique détail'!Q384/$W384)</f>
        <v/>
      </c>
      <c r="S384" s="341" t="str">
        <f>IF(Q384="","",'Historique détail'!R384/$W384)</f>
        <v/>
      </c>
      <c r="T384" s="341" t="str">
        <f>IF(R384="","",'Historique détail'!S384/$W384)</f>
        <v/>
      </c>
      <c r="U384" s="340" t="str">
        <f t="shared" si="2"/>
        <v/>
      </c>
      <c r="V384" s="14" t="str">
        <f>IF(A384="","",ARBITRAGES!M385)</f>
        <v/>
      </c>
      <c r="W384" s="343" t="str">
        <f>IF(V384="","",'Historique détail'!U384)</f>
        <v/>
      </c>
      <c r="X384" s="288"/>
      <c r="Y384" s="220"/>
      <c r="Z384" s="220"/>
      <c r="AA384" s="220"/>
      <c r="AB384" s="220"/>
      <c r="AC384" s="220"/>
      <c r="AD384" s="220"/>
      <c r="AE384" s="220"/>
      <c r="AF384" s="220"/>
      <c r="AG384" s="220"/>
      <c r="AH384" s="220"/>
      <c r="AI384" s="308"/>
      <c r="AJ384" s="220"/>
      <c r="AK384" s="220"/>
      <c r="AL384" s="220"/>
      <c r="AM384" s="220"/>
      <c r="AN384" s="220"/>
      <c r="AO384" s="220"/>
      <c r="AP384" s="220"/>
      <c r="AQ384" s="220"/>
      <c r="AR384" s="220"/>
      <c r="AS384" s="220"/>
      <c r="AT384" s="220"/>
      <c r="AU384" s="220"/>
      <c r="AV384" s="220"/>
      <c r="AW384" s="220"/>
      <c r="AX384" s="220"/>
      <c r="AY384" s="220"/>
      <c r="AZ384" s="220"/>
      <c r="BA384" s="220"/>
      <c r="BB384" s="220"/>
    </row>
    <row r="385">
      <c r="A385" s="240"/>
      <c r="B385" s="302" t="str">
        <f t="shared" si="1"/>
        <v/>
      </c>
      <c r="C385" s="341" t="str">
        <f>IF(A385="","",'Historique détail'!B385/$W385)</f>
        <v/>
      </c>
      <c r="D385" s="341" t="str">
        <f>IF(B385="","",'Historique détail'!C385/$W385)</f>
        <v/>
      </c>
      <c r="E385" s="341" t="str">
        <f>IF(C385="","",'Historique détail'!D385/$W385)</f>
        <v/>
      </c>
      <c r="F385" s="341" t="str">
        <f>IF(D385="","",'Historique détail'!E385/$W385)</f>
        <v/>
      </c>
      <c r="G385" s="341" t="str">
        <f>IF(E385="","",'Historique détail'!F385/$W385)</f>
        <v/>
      </c>
      <c r="H385" s="341" t="str">
        <f>IF(F385="","",'Historique détail'!G385/$W385)</f>
        <v/>
      </c>
      <c r="I385" s="341" t="str">
        <f>IF(G385="","",'Historique détail'!H385/$W385)</f>
        <v/>
      </c>
      <c r="J385" s="341" t="str">
        <f>IF(H385="","",'Historique détail'!I385/$W385)</f>
        <v/>
      </c>
      <c r="K385" s="341" t="str">
        <f>IF(I385="","",'Historique détail'!J385/$W385)</f>
        <v/>
      </c>
      <c r="L385" s="341" t="str">
        <f>IF(J385="","",'Historique détail'!K385/$W385)</f>
        <v/>
      </c>
      <c r="M385" s="341" t="str">
        <f>IF(K385="","",'Historique détail'!L385/$W385)</f>
        <v/>
      </c>
      <c r="N385" s="341" t="str">
        <f>IF(L385="","",'Historique détail'!M385/$W385)</f>
        <v/>
      </c>
      <c r="O385" s="341" t="str">
        <f>IF(M385="","",'Historique détail'!N385/$W385)</f>
        <v/>
      </c>
      <c r="P385" s="341" t="str">
        <f>IF(N385="","",'Historique détail'!O385/$W385)</f>
        <v/>
      </c>
      <c r="Q385" s="341" t="str">
        <f>IF(O385="","",'Historique détail'!P385/$W385)</f>
        <v/>
      </c>
      <c r="R385" s="341" t="str">
        <f>IF(P385="","",'Historique détail'!Q385/$W385)</f>
        <v/>
      </c>
      <c r="S385" s="341" t="str">
        <f>IF(Q385="","",'Historique détail'!R385/$W385)</f>
        <v/>
      </c>
      <c r="T385" s="341" t="str">
        <f>IF(R385="","",'Historique détail'!S385/$W385)</f>
        <v/>
      </c>
      <c r="U385" s="340" t="str">
        <f t="shared" si="2"/>
        <v/>
      </c>
      <c r="V385" s="14" t="str">
        <f>IF(A385="","",ARBITRAGES!M386)</f>
        <v/>
      </c>
      <c r="W385" s="343" t="str">
        <f>IF(V385="","",'Historique détail'!U385)</f>
        <v/>
      </c>
      <c r="X385" s="288"/>
      <c r="Y385" s="220"/>
      <c r="Z385" s="220"/>
      <c r="AA385" s="220"/>
      <c r="AB385" s="220"/>
      <c r="AC385" s="220"/>
      <c r="AD385" s="220"/>
      <c r="AE385" s="220"/>
      <c r="AF385" s="220"/>
      <c r="AG385" s="220"/>
      <c r="AH385" s="220"/>
      <c r="AI385" s="308"/>
      <c r="AJ385" s="220"/>
      <c r="AK385" s="220"/>
      <c r="AL385" s="220"/>
      <c r="AM385" s="220"/>
      <c r="AN385" s="220"/>
      <c r="AO385" s="220"/>
      <c r="AP385" s="220"/>
      <c r="AQ385" s="220"/>
      <c r="AR385" s="220"/>
      <c r="AS385" s="220"/>
      <c r="AT385" s="220"/>
      <c r="AU385" s="220"/>
      <c r="AV385" s="220"/>
      <c r="AW385" s="220"/>
      <c r="AX385" s="220"/>
      <c r="AY385" s="220"/>
      <c r="AZ385" s="220"/>
      <c r="BA385" s="220"/>
      <c r="BB385" s="220"/>
    </row>
    <row r="386">
      <c r="A386" s="240"/>
      <c r="B386" s="302" t="str">
        <f t="shared" si="1"/>
        <v/>
      </c>
      <c r="C386" s="341" t="str">
        <f>IF(A386="","",'Historique détail'!B386/$W386)</f>
        <v/>
      </c>
      <c r="D386" s="341" t="str">
        <f>IF(B386="","",'Historique détail'!C386/$W386)</f>
        <v/>
      </c>
      <c r="E386" s="341" t="str">
        <f>IF(C386="","",'Historique détail'!D386/$W386)</f>
        <v/>
      </c>
      <c r="F386" s="341" t="str">
        <f>IF(D386="","",'Historique détail'!E386/$W386)</f>
        <v/>
      </c>
      <c r="G386" s="341" t="str">
        <f>IF(E386="","",'Historique détail'!F386/$W386)</f>
        <v/>
      </c>
      <c r="H386" s="341" t="str">
        <f>IF(F386="","",'Historique détail'!G386/$W386)</f>
        <v/>
      </c>
      <c r="I386" s="341" t="str">
        <f>IF(G386="","",'Historique détail'!H386/$W386)</f>
        <v/>
      </c>
      <c r="J386" s="341" t="str">
        <f>IF(H386="","",'Historique détail'!I386/$W386)</f>
        <v/>
      </c>
      <c r="K386" s="341" t="str">
        <f>IF(I386="","",'Historique détail'!J386/$W386)</f>
        <v/>
      </c>
      <c r="L386" s="341" t="str">
        <f>IF(J386="","",'Historique détail'!K386/$W386)</f>
        <v/>
      </c>
      <c r="M386" s="341" t="str">
        <f>IF(K386="","",'Historique détail'!L386/$W386)</f>
        <v/>
      </c>
      <c r="N386" s="341" t="str">
        <f>IF(L386="","",'Historique détail'!M386/$W386)</f>
        <v/>
      </c>
      <c r="O386" s="341" t="str">
        <f>IF(M386="","",'Historique détail'!N386/$W386)</f>
        <v/>
      </c>
      <c r="P386" s="341" t="str">
        <f>IF(N386="","",'Historique détail'!O386/$W386)</f>
        <v/>
      </c>
      <c r="Q386" s="341" t="str">
        <f>IF(O386="","",'Historique détail'!P386/$W386)</f>
        <v/>
      </c>
      <c r="R386" s="341" t="str">
        <f>IF(P386="","",'Historique détail'!Q386/$W386)</f>
        <v/>
      </c>
      <c r="S386" s="341" t="str">
        <f>IF(Q386="","",'Historique détail'!R386/$W386)</f>
        <v/>
      </c>
      <c r="T386" s="341" t="str">
        <f>IF(R386="","",'Historique détail'!S386/$W386)</f>
        <v/>
      </c>
      <c r="U386" s="340" t="str">
        <f t="shared" si="2"/>
        <v/>
      </c>
      <c r="V386" s="14" t="str">
        <f>IF(A386="","",ARBITRAGES!M387)</f>
        <v/>
      </c>
      <c r="W386" s="343" t="str">
        <f>IF(V386="","",'Historique détail'!U386)</f>
        <v/>
      </c>
      <c r="X386" s="288"/>
      <c r="Y386" s="220"/>
      <c r="Z386" s="220"/>
      <c r="AA386" s="220"/>
      <c r="AB386" s="220"/>
      <c r="AC386" s="220"/>
      <c r="AD386" s="220"/>
      <c r="AE386" s="220"/>
      <c r="AF386" s="220"/>
      <c r="AG386" s="220"/>
      <c r="AH386" s="220"/>
      <c r="AI386" s="308"/>
      <c r="AJ386" s="220"/>
      <c r="AK386" s="220"/>
      <c r="AL386" s="220"/>
      <c r="AM386" s="220"/>
      <c r="AN386" s="220"/>
      <c r="AO386" s="220"/>
      <c r="AP386" s="220"/>
      <c r="AQ386" s="220"/>
      <c r="AR386" s="220"/>
      <c r="AS386" s="220"/>
      <c r="AT386" s="220"/>
      <c r="AU386" s="220"/>
      <c r="AV386" s="220"/>
      <c r="AW386" s="220"/>
      <c r="AX386" s="220"/>
      <c r="AY386" s="220"/>
      <c r="AZ386" s="220"/>
      <c r="BA386" s="220"/>
      <c r="BB386" s="220"/>
    </row>
    <row r="387">
      <c r="A387" s="240"/>
      <c r="B387" s="302" t="str">
        <f t="shared" si="1"/>
        <v/>
      </c>
      <c r="C387" s="341" t="str">
        <f>IF(A387="","",'Historique détail'!B387/$W387)</f>
        <v/>
      </c>
      <c r="D387" s="341" t="str">
        <f>IF(B387="","",'Historique détail'!C387/$W387)</f>
        <v/>
      </c>
      <c r="E387" s="341" t="str">
        <f>IF(C387="","",'Historique détail'!D387/$W387)</f>
        <v/>
      </c>
      <c r="F387" s="341" t="str">
        <f>IF(D387="","",'Historique détail'!E387/$W387)</f>
        <v/>
      </c>
      <c r="G387" s="341" t="str">
        <f>IF(E387="","",'Historique détail'!F387/$W387)</f>
        <v/>
      </c>
      <c r="H387" s="341" t="str">
        <f>IF(F387="","",'Historique détail'!G387/$W387)</f>
        <v/>
      </c>
      <c r="I387" s="341" t="str">
        <f>IF(G387="","",'Historique détail'!H387/$W387)</f>
        <v/>
      </c>
      <c r="J387" s="341" t="str">
        <f>IF(H387="","",'Historique détail'!I387/$W387)</f>
        <v/>
      </c>
      <c r="K387" s="341" t="str">
        <f>IF(I387="","",'Historique détail'!J387/$W387)</f>
        <v/>
      </c>
      <c r="L387" s="341" t="str">
        <f>IF(J387="","",'Historique détail'!K387/$W387)</f>
        <v/>
      </c>
      <c r="M387" s="341" t="str">
        <f>IF(K387="","",'Historique détail'!L387/$W387)</f>
        <v/>
      </c>
      <c r="N387" s="341" t="str">
        <f>IF(L387="","",'Historique détail'!M387/$W387)</f>
        <v/>
      </c>
      <c r="O387" s="341" t="str">
        <f>IF(M387="","",'Historique détail'!N387/$W387)</f>
        <v/>
      </c>
      <c r="P387" s="341" t="str">
        <f>IF(N387="","",'Historique détail'!O387/$W387)</f>
        <v/>
      </c>
      <c r="Q387" s="341" t="str">
        <f>IF(O387="","",'Historique détail'!P387/$W387)</f>
        <v/>
      </c>
      <c r="R387" s="341" t="str">
        <f>IF(P387="","",'Historique détail'!Q387/$W387)</f>
        <v/>
      </c>
      <c r="S387" s="341" t="str">
        <f>IF(Q387="","",'Historique détail'!R387/$W387)</f>
        <v/>
      </c>
      <c r="T387" s="341" t="str">
        <f>IF(R387="","",'Historique détail'!S387/$W387)</f>
        <v/>
      </c>
      <c r="U387" s="340" t="str">
        <f t="shared" si="2"/>
        <v/>
      </c>
      <c r="V387" s="14" t="str">
        <f>IF(A387="","",ARBITRAGES!M388)</f>
        <v/>
      </c>
      <c r="W387" s="343" t="str">
        <f>IF(V387="","",'Historique détail'!U387)</f>
        <v/>
      </c>
      <c r="X387" s="288"/>
      <c r="Y387" s="220"/>
      <c r="Z387" s="220"/>
      <c r="AA387" s="220"/>
      <c r="AB387" s="220"/>
      <c r="AC387" s="220"/>
      <c r="AD387" s="220"/>
      <c r="AE387" s="220"/>
      <c r="AF387" s="220"/>
      <c r="AG387" s="220"/>
      <c r="AH387" s="220"/>
      <c r="AI387" s="308"/>
      <c r="AJ387" s="220"/>
      <c r="AK387" s="220"/>
      <c r="AL387" s="220"/>
      <c r="AM387" s="220"/>
      <c r="AN387" s="220"/>
      <c r="AO387" s="220"/>
      <c r="AP387" s="220"/>
      <c r="AQ387" s="220"/>
      <c r="AR387" s="220"/>
      <c r="AS387" s="220"/>
      <c r="AT387" s="220"/>
      <c r="AU387" s="220"/>
      <c r="AV387" s="220"/>
      <c r="AW387" s="220"/>
      <c r="AX387" s="220"/>
      <c r="AY387" s="220"/>
      <c r="AZ387" s="220"/>
      <c r="BA387" s="220"/>
      <c r="BB387" s="220"/>
    </row>
    <row r="388">
      <c r="A388" s="240"/>
      <c r="B388" s="302" t="str">
        <f t="shared" si="1"/>
        <v/>
      </c>
      <c r="C388" s="341" t="str">
        <f>IF(A388="","",'Historique détail'!B388/$W388)</f>
        <v/>
      </c>
      <c r="D388" s="341" t="str">
        <f>IF(B388="","",'Historique détail'!C388/$W388)</f>
        <v/>
      </c>
      <c r="E388" s="341" t="str">
        <f>IF(C388="","",'Historique détail'!D388/$W388)</f>
        <v/>
      </c>
      <c r="F388" s="341" t="str">
        <f>IF(D388="","",'Historique détail'!E388/$W388)</f>
        <v/>
      </c>
      <c r="G388" s="341" t="str">
        <f>IF(E388="","",'Historique détail'!F388/$W388)</f>
        <v/>
      </c>
      <c r="H388" s="341" t="str">
        <f>IF(F388="","",'Historique détail'!G388/$W388)</f>
        <v/>
      </c>
      <c r="I388" s="341" t="str">
        <f>IF(G388="","",'Historique détail'!H388/$W388)</f>
        <v/>
      </c>
      <c r="J388" s="341" t="str">
        <f>IF(H388="","",'Historique détail'!I388/$W388)</f>
        <v/>
      </c>
      <c r="K388" s="341" t="str">
        <f>IF(I388="","",'Historique détail'!J388/$W388)</f>
        <v/>
      </c>
      <c r="L388" s="341" t="str">
        <f>IF(J388="","",'Historique détail'!K388/$W388)</f>
        <v/>
      </c>
      <c r="M388" s="341" t="str">
        <f>IF(K388="","",'Historique détail'!L388/$W388)</f>
        <v/>
      </c>
      <c r="N388" s="341" t="str">
        <f>IF(L388="","",'Historique détail'!M388/$W388)</f>
        <v/>
      </c>
      <c r="O388" s="341" t="str">
        <f>IF(M388="","",'Historique détail'!N388/$W388)</f>
        <v/>
      </c>
      <c r="P388" s="341" t="str">
        <f>IF(N388="","",'Historique détail'!O388/$W388)</f>
        <v/>
      </c>
      <c r="Q388" s="341" t="str">
        <f>IF(O388="","",'Historique détail'!P388/$W388)</f>
        <v/>
      </c>
      <c r="R388" s="341" t="str">
        <f>IF(P388="","",'Historique détail'!Q388/$W388)</f>
        <v/>
      </c>
      <c r="S388" s="341" t="str">
        <f>IF(Q388="","",'Historique détail'!R388/$W388)</f>
        <v/>
      </c>
      <c r="T388" s="341" t="str">
        <f>IF(R388="","",'Historique détail'!S388/$W388)</f>
        <v/>
      </c>
      <c r="U388" s="340" t="str">
        <f t="shared" si="2"/>
        <v/>
      </c>
      <c r="V388" s="14" t="str">
        <f>IF(A388="","",ARBITRAGES!M389)</f>
        <v/>
      </c>
      <c r="W388" s="343" t="str">
        <f>IF(V388="","",'Historique détail'!U388)</f>
        <v/>
      </c>
      <c r="X388" s="288"/>
      <c r="Y388" s="220"/>
      <c r="Z388" s="220"/>
      <c r="AA388" s="220"/>
      <c r="AB388" s="220"/>
      <c r="AC388" s="220"/>
      <c r="AD388" s="220"/>
      <c r="AE388" s="220"/>
      <c r="AF388" s="220"/>
      <c r="AG388" s="220"/>
      <c r="AH388" s="220"/>
      <c r="AI388" s="308"/>
      <c r="AJ388" s="220"/>
      <c r="AK388" s="220"/>
      <c r="AL388" s="220"/>
      <c r="AM388" s="220"/>
      <c r="AN388" s="220"/>
      <c r="AO388" s="220"/>
      <c r="AP388" s="220"/>
      <c r="AQ388" s="220"/>
      <c r="AR388" s="220"/>
      <c r="AS388" s="220"/>
      <c r="AT388" s="220"/>
      <c r="AU388" s="220"/>
      <c r="AV388" s="220"/>
      <c r="AW388" s="220"/>
      <c r="AX388" s="220"/>
      <c r="AY388" s="220"/>
      <c r="AZ388" s="220"/>
      <c r="BA388" s="220"/>
      <c r="BB388" s="220"/>
    </row>
    <row r="389">
      <c r="A389" s="240"/>
      <c r="B389" s="302" t="str">
        <f t="shared" si="1"/>
        <v/>
      </c>
      <c r="C389" s="341" t="str">
        <f>IF(A389="","",'Historique détail'!B389/$W389)</f>
        <v/>
      </c>
      <c r="D389" s="341" t="str">
        <f>IF(B389="","",'Historique détail'!C389/$W389)</f>
        <v/>
      </c>
      <c r="E389" s="341" t="str">
        <f>IF(C389="","",'Historique détail'!D389/$W389)</f>
        <v/>
      </c>
      <c r="F389" s="341" t="str">
        <f>IF(D389="","",'Historique détail'!E389/$W389)</f>
        <v/>
      </c>
      <c r="G389" s="341" t="str">
        <f>IF(E389="","",'Historique détail'!F389/$W389)</f>
        <v/>
      </c>
      <c r="H389" s="341" t="str">
        <f>IF(F389="","",'Historique détail'!G389/$W389)</f>
        <v/>
      </c>
      <c r="I389" s="341" t="str">
        <f>IF(G389="","",'Historique détail'!H389/$W389)</f>
        <v/>
      </c>
      <c r="J389" s="341" t="str">
        <f>IF(H389="","",'Historique détail'!I389/$W389)</f>
        <v/>
      </c>
      <c r="K389" s="341" t="str">
        <f>IF(I389="","",'Historique détail'!J389/$W389)</f>
        <v/>
      </c>
      <c r="L389" s="341" t="str">
        <f>IF(J389="","",'Historique détail'!K389/$W389)</f>
        <v/>
      </c>
      <c r="M389" s="341" t="str">
        <f>IF(K389="","",'Historique détail'!L389/$W389)</f>
        <v/>
      </c>
      <c r="N389" s="341" t="str">
        <f>IF(L389="","",'Historique détail'!M389/$W389)</f>
        <v/>
      </c>
      <c r="O389" s="341" t="str">
        <f>IF(M389="","",'Historique détail'!N389/$W389)</f>
        <v/>
      </c>
      <c r="P389" s="341" t="str">
        <f>IF(N389="","",'Historique détail'!O389/$W389)</f>
        <v/>
      </c>
      <c r="Q389" s="341" t="str">
        <f>IF(O389="","",'Historique détail'!P389/$W389)</f>
        <v/>
      </c>
      <c r="R389" s="341" t="str">
        <f>IF(P389="","",'Historique détail'!Q389/$W389)</f>
        <v/>
      </c>
      <c r="S389" s="341" t="str">
        <f>IF(Q389="","",'Historique détail'!R389/$W389)</f>
        <v/>
      </c>
      <c r="T389" s="341" t="str">
        <f>IF(R389="","",'Historique détail'!S389/$W389)</f>
        <v/>
      </c>
      <c r="U389" s="340" t="str">
        <f t="shared" si="2"/>
        <v/>
      </c>
      <c r="V389" s="14" t="str">
        <f>IF(A389="","",ARBITRAGES!M390)</f>
        <v/>
      </c>
      <c r="W389" s="343" t="str">
        <f>IF(V389="","",'Historique détail'!U389)</f>
        <v/>
      </c>
      <c r="X389" s="288"/>
      <c r="Y389" s="220"/>
      <c r="Z389" s="220"/>
      <c r="AA389" s="220"/>
      <c r="AB389" s="220"/>
      <c r="AC389" s="220"/>
      <c r="AD389" s="220"/>
      <c r="AE389" s="220"/>
      <c r="AF389" s="220"/>
      <c r="AG389" s="220"/>
      <c r="AH389" s="220"/>
      <c r="AI389" s="308"/>
      <c r="AJ389" s="220"/>
      <c r="AK389" s="220"/>
      <c r="AL389" s="220"/>
      <c r="AM389" s="220"/>
      <c r="AN389" s="220"/>
      <c r="AO389" s="220"/>
      <c r="AP389" s="220"/>
      <c r="AQ389" s="220"/>
      <c r="AR389" s="220"/>
      <c r="AS389" s="220"/>
      <c r="AT389" s="220"/>
      <c r="AU389" s="220"/>
      <c r="AV389" s="220"/>
      <c r="AW389" s="220"/>
      <c r="AX389" s="220"/>
      <c r="AY389" s="220"/>
      <c r="AZ389" s="220"/>
      <c r="BA389" s="220"/>
      <c r="BB389" s="220"/>
    </row>
    <row r="390">
      <c r="A390" s="240"/>
      <c r="B390" s="302" t="str">
        <f t="shared" si="1"/>
        <v/>
      </c>
      <c r="C390" s="341" t="str">
        <f>IF(A390="","",'Historique détail'!B390/$W390)</f>
        <v/>
      </c>
      <c r="D390" s="341" t="str">
        <f>IF(B390="","",'Historique détail'!C390/$W390)</f>
        <v/>
      </c>
      <c r="E390" s="341" t="str">
        <f>IF(C390="","",'Historique détail'!D390/$W390)</f>
        <v/>
      </c>
      <c r="F390" s="341" t="str">
        <f>IF(D390="","",'Historique détail'!E390/$W390)</f>
        <v/>
      </c>
      <c r="G390" s="341" t="str">
        <f>IF(E390="","",'Historique détail'!F390/$W390)</f>
        <v/>
      </c>
      <c r="H390" s="341" t="str">
        <f>IF(F390="","",'Historique détail'!G390/$W390)</f>
        <v/>
      </c>
      <c r="I390" s="341" t="str">
        <f>IF(G390="","",'Historique détail'!H390/$W390)</f>
        <v/>
      </c>
      <c r="J390" s="341" t="str">
        <f>IF(H390="","",'Historique détail'!I390/$W390)</f>
        <v/>
      </c>
      <c r="K390" s="341" t="str">
        <f>IF(I390="","",'Historique détail'!J390/$W390)</f>
        <v/>
      </c>
      <c r="L390" s="341" t="str">
        <f>IF(J390="","",'Historique détail'!K390/$W390)</f>
        <v/>
      </c>
      <c r="M390" s="341" t="str">
        <f>IF(K390="","",'Historique détail'!L390/$W390)</f>
        <v/>
      </c>
      <c r="N390" s="341" t="str">
        <f>IF(L390="","",'Historique détail'!M390/$W390)</f>
        <v/>
      </c>
      <c r="O390" s="341" t="str">
        <f>IF(M390="","",'Historique détail'!N390/$W390)</f>
        <v/>
      </c>
      <c r="P390" s="341" t="str">
        <f>IF(N390="","",'Historique détail'!O390/$W390)</f>
        <v/>
      </c>
      <c r="Q390" s="341" t="str">
        <f>IF(O390="","",'Historique détail'!P390/$W390)</f>
        <v/>
      </c>
      <c r="R390" s="341" t="str">
        <f>IF(P390="","",'Historique détail'!Q390/$W390)</f>
        <v/>
      </c>
      <c r="S390" s="341" t="str">
        <f>IF(Q390="","",'Historique détail'!R390/$W390)</f>
        <v/>
      </c>
      <c r="T390" s="341" t="str">
        <f>IF(R390="","",'Historique détail'!S390/$W390)</f>
        <v/>
      </c>
      <c r="U390" s="340" t="str">
        <f t="shared" si="2"/>
        <v/>
      </c>
      <c r="V390" s="14" t="str">
        <f>IF(A390="","",ARBITRAGES!M391)</f>
        <v/>
      </c>
      <c r="W390" s="343" t="str">
        <f>IF(V390="","",'Historique détail'!U390)</f>
        <v/>
      </c>
      <c r="X390" s="288"/>
      <c r="Y390" s="220"/>
      <c r="Z390" s="220"/>
      <c r="AA390" s="220"/>
      <c r="AB390" s="220"/>
      <c r="AC390" s="220"/>
      <c r="AD390" s="220"/>
      <c r="AE390" s="220"/>
      <c r="AF390" s="220"/>
      <c r="AG390" s="220"/>
      <c r="AH390" s="220"/>
      <c r="AI390" s="308"/>
      <c r="AJ390" s="220"/>
      <c r="AK390" s="220"/>
      <c r="AL390" s="220"/>
      <c r="AM390" s="220"/>
      <c r="AN390" s="220"/>
      <c r="AO390" s="220"/>
      <c r="AP390" s="220"/>
      <c r="AQ390" s="220"/>
      <c r="AR390" s="220"/>
      <c r="AS390" s="220"/>
      <c r="AT390" s="220"/>
      <c r="AU390" s="220"/>
      <c r="AV390" s="220"/>
      <c r="AW390" s="220"/>
      <c r="AX390" s="220"/>
      <c r="AY390" s="220"/>
      <c r="AZ390" s="220"/>
      <c r="BA390" s="220"/>
      <c r="BB390" s="220"/>
    </row>
    <row r="391">
      <c r="A391" s="240"/>
      <c r="B391" s="302" t="str">
        <f t="shared" si="1"/>
        <v/>
      </c>
      <c r="C391" s="341" t="str">
        <f>IF(A391="","",'Historique détail'!B391/$W391)</f>
        <v/>
      </c>
      <c r="D391" s="341" t="str">
        <f>IF(B391="","",'Historique détail'!C391/$W391)</f>
        <v/>
      </c>
      <c r="E391" s="341" t="str">
        <f>IF(C391="","",'Historique détail'!D391/$W391)</f>
        <v/>
      </c>
      <c r="F391" s="341" t="str">
        <f>IF(D391="","",'Historique détail'!E391/$W391)</f>
        <v/>
      </c>
      <c r="G391" s="341" t="str">
        <f>IF(E391="","",'Historique détail'!F391/$W391)</f>
        <v/>
      </c>
      <c r="H391" s="341" t="str">
        <f>IF(F391="","",'Historique détail'!G391/$W391)</f>
        <v/>
      </c>
      <c r="I391" s="341" t="str">
        <f>IF(G391="","",'Historique détail'!H391/$W391)</f>
        <v/>
      </c>
      <c r="J391" s="341" t="str">
        <f>IF(H391="","",'Historique détail'!I391/$W391)</f>
        <v/>
      </c>
      <c r="K391" s="341" t="str">
        <f>IF(I391="","",'Historique détail'!J391/$W391)</f>
        <v/>
      </c>
      <c r="L391" s="341" t="str">
        <f>IF(J391="","",'Historique détail'!K391/$W391)</f>
        <v/>
      </c>
      <c r="M391" s="341" t="str">
        <f>IF(K391="","",'Historique détail'!L391/$W391)</f>
        <v/>
      </c>
      <c r="N391" s="341" t="str">
        <f>IF(L391="","",'Historique détail'!M391/$W391)</f>
        <v/>
      </c>
      <c r="O391" s="341" t="str">
        <f>IF(M391="","",'Historique détail'!N391/$W391)</f>
        <v/>
      </c>
      <c r="P391" s="341" t="str">
        <f>IF(N391="","",'Historique détail'!O391/$W391)</f>
        <v/>
      </c>
      <c r="Q391" s="341" t="str">
        <f>IF(O391="","",'Historique détail'!P391/$W391)</f>
        <v/>
      </c>
      <c r="R391" s="341" t="str">
        <f>IF(P391="","",'Historique détail'!Q391/$W391)</f>
        <v/>
      </c>
      <c r="S391" s="341" t="str">
        <f>IF(Q391="","",'Historique détail'!R391/$W391)</f>
        <v/>
      </c>
      <c r="T391" s="341" t="str">
        <f>IF(R391="","",'Historique détail'!S391/$W391)</f>
        <v/>
      </c>
      <c r="U391" s="340" t="str">
        <f t="shared" si="2"/>
        <v/>
      </c>
      <c r="V391" s="14" t="str">
        <f>IF(A391="","",ARBITRAGES!M392)</f>
        <v/>
      </c>
      <c r="W391" s="343" t="str">
        <f>IF(V391="","",'Historique détail'!U391)</f>
        <v/>
      </c>
      <c r="X391" s="288"/>
      <c r="Y391" s="220"/>
      <c r="Z391" s="220"/>
      <c r="AA391" s="220"/>
      <c r="AB391" s="220"/>
      <c r="AC391" s="220"/>
      <c r="AD391" s="220"/>
      <c r="AE391" s="220"/>
      <c r="AF391" s="220"/>
      <c r="AG391" s="220"/>
      <c r="AH391" s="220"/>
      <c r="AI391" s="308"/>
      <c r="AJ391" s="220"/>
      <c r="AK391" s="220"/>
      <c r="AL391" s="220"/>
      <c r="AM391" s="220"/>
      <c r="AN391" s="220"/>
      <c r="AO391" s="220"/>
      <c r="AP391" s="220"/>
      <c r="AQ391" s="220"/>
      <c r="AR391" s="220"/>
      <c r="AS391" s="220"/>
      <c r="AT391" s="220"/>
      <c r="AU391" s="220"/>
      <c r="AV391" s="220"/>
      <c r="AW391" s="220"/>
      <c r="AX391" s="220"/>
      <c r="AY391" s="220"/>
      <c r="AZ391" s="220"/>
      <c r="BA391" s="220"/>
      <c r="BB391" s="220"/>
    </row>
    <row r="392">
      <c r="A392" s="240"/>
      <c r="B392" s="302" t="str">
        <f t="shared" si="1"/>
        <v/>
      </c>
      <c r="C392" s="341" t="str">
        <f>IF(A392="","",'Historique détail'!B392/$W392)</f>
        <v/>
      </c>
      <c r="D392" s="341" t="str">
        <f>IF(B392="","",'Historique détail'!C392/$W392)</f>
        <v/>
      </c>
      <c r="E392" s="341" t="str">
        <f>IF(C392="","",'Historique détail'!D392/$W392)</f>
        <v/>
      </c>
      <c r="F392" s="341" t="str">
        <f>IF(D392="","",'Historique détail'!E392/$W392)</f>
        <v/>
      </c>
      <c r="G392" s="341" t="str">
        <f>IF(E392="","",'Historique détail'!F392/$W392)</f>
        <v/>
      </c>
      <c r="H392" s="341" t="str">
        <f>IF(F392="","",'Historique détail'!G392/$W392)</f>
        <v/>
      </c>
      <c r="I392" s="341" t="str">
        <f>IF(G392="","",'Historique détail'!H392/$W392)</f>
        <v/>
      </c>
      <c r="J392" s="341" t="str">
        <f>IF(H392="","",'Historique détail'!I392/$W392)</f>
        <v/>
      </c>
      <c r="K392" s="341" t="str">
        <f>IF(I392="","",'Historique détail'!J392/$W392)</f>
        <v/>
      </c>
      <c r="L392" s="341" t="str">
        <f>IF(J392="","",'Historique détail'!K392/$W392)</f>
        <v/>
      </c>
      <c r="M392" s="341" t="str">
        <f>IF(K392="","",'Historique détail'!L392/$W392)</f>
        <v/>
      </c>
      <c r="N392" s="341" t="str">
        <f>IF(L392="","",'Historique détail'!M392/$W392)</f>
        <v/>
      </c>
      <c r="O392" s="341" t="str">
        <f>IF(M392="","",'Historique détail'!N392/$W392)</f>
        <v/>
      </c>
      <c r="P392" s="341" t="str">
        <f>IF(N392="","",'Historique détail'!O392/$W392)</f>
        <v/>
      </c>
      <c r="Q392" s="341" t="str">
        <f>IF(O392="","",'Historique détail'!P392/$W392)</f>
        <v/>
      </c>
      <c r="R392" s="341" t="str">
        <f>IF(P392="","",'Historique détail'!Q392/$W392)</f>
        <v/>
      </c>
      <c r="S392" s="341" t="str">
        <f>IF(Q392="","",'Historique détail'!R392/$W392)</f>
        <v/>
      </c>
      <c r="T392" s="341" t="str">
        <f>IF(R392="","",'Historique détail'!S392/$W392)</f>
        <v/>
      </c>
      <c r="U392" s="340" t="str">
        <f t="shared" si="2"/>
        <v/>
      </c>
      <c r="V392" s="14" t="str">
        <f>IF(A392="","",ARBITRAGES!M393)</f>
        <v/>
      </c>
      <c r="W392" s="343" t="str">
        <f>IF(V392="","",'Historique détail'!U392)</f>
        <v/>
      </c>
      <c r="X392" s="288"/>
      <c r="Y392" s="220"/>
      <c r="Z392" s="220"/>
      <c r="AA392" s="220"/>
      <c r="AB392" s="220"/>
      <c r="AC392" s="220"/>
      <c r="AD392" s="220"/>
      <c r="AE392" s="220"/>
      <c r="AF392" s="220"/>
      <c r="AG392" s="220"/>
      <c r="AH392" s="220"/>
      <c r="AI392" s="308"/>
      <c r="AJ392" s="220"/>
      <c r="AK392" s="220"/>
      <c r="AL392" s="220"/>
      <c r="AM392" s="220"/>
      <c r="AN392" s="220"/>
      <c r="AO392" s="220"/>
      <c r="AP392" s="220"/>
      <c r="AQ392" s="220"/>
      <c r="AR392" s="220"/>
      <c r="AS392" s="220"/>
      <c r="AT392" s="220"/>
      <c r="AU392" s="220"/>
      <c r="AV392" s="220"/>
      <c r="AW392" s="220"/>
      <c r="AX392" s="220"/>
      <c r="AY392" s="220"/>
      <c r="AZ392" s="220"/>
      <c r="BA392" s="220"/>
      <c r="BB392" s="220"/>
    </row>
    <row r="393">
      <c r="A393" s="240"/>
      <c r="B393" s="302" t="str">
        <f t="shared" si="1"/>
        <v/>
      </c>
      <c r="C393" s="341" t="str">
        <f>IF(A393="","",'Historique détail'!B393/$W393)</f>
        <v/>
      </c>
      <c r="D393" s="341" t="str">
        <f>IF(B393="","",'Historique détail'!C393/$W393)</f>
        <v/>
      </c>
      <c r="E393" s="341" t="str">
        <f>IF(C393="","",'Historique détail'!D393/$W393)</f>
        <v/>
      </c>
      <c r="F393" s="341" t="str">
        <f>IF(D393="","",'Historique détail'!E393/$W393)</f>
        <v/>
      </c>
      <c r="G393" s="341" t="str">
        <f>IF(E393="","",'Historique détail'!F393/$W393)</f>
        <v/>
      </c>
      <c r="H393" s="341" t="str">
        <f>IF(F393="","",'Historique détail'!G393/$W393)</f>
        <v/>
      </c>
      <c r="I393" s="341" t="str">
        <f>IF(G393="","",'Historique détail'!H393/$W393)</f>
        <v/>
      </c>
      <c r="J393" s="341" t="str">
        <f>IF(H393="","",'Historique détail'!I393/$W393)</f>
        <v/>
      </c>
      <c r="K393" s="341" t="str">
        <f>IF(I393="","",'Historique détail'!J393/$W393)</f>
        <v/>
      </c>
      <c r="L393" s="341" t="str">
        <f>IF(J393="","",'Historique détail'!K393/$W393)</f>
        <v/>
      </c>
      <c r="M393" s="341" t="str">
        <f>IF(K393="","",'Historique détail'!L393/$W393)</f>
        <v/>
      </c>
      <c r="N393" s="341" t="str">
        <f>IF(L393="","",'Historique détail'!M393/$W393)</f>
        <v/>
      </c>
      <c r="O393" s="341" t="str">
        <f>IF(M393="","",'Historique détail'!N393/$W393)</f>
        <v/>
      </c>
      <c r="P393" s="341" t="str">
        <f>IF(N393="","",'Historique détail'!O393/$W393)</f>
        <v/>
      </c>
      <c r="Q393" s="341" t="str">
        <f>IF(O393="","",'Historique détail'!P393/$W393)</f>
        <v/>
      </c>
      <c r="R393" s="341" t="str">
        <f>IF(P393="","",'Historique détail'!Q393/$W393)</f>
        <v/>
      </c>
      <c r="S393" s="341" t="str">
        <f>IF(Q393="","",'Historique détail'!R393/$W393)</f>
        <v/>
      </c>
      <c r="T393" s="341" t="str">
        <f>IF(R393="","",'Historique détail'!S393/$W393)</f>
        <v/>
      </c>
      <c r="U393" s="340" t="str">
        <f t="shared" si="2"/>
        <v/>
      </c>
      <c r="V393" s="14" t="str">
        <f>IF(A393="","",ARBITRAGES!M394)</f>
        <v/>
      </c>
      <c r="W393" s="343" t="str">
        <f>IF(V393="","",'Historique détail'!U393)</f>
        <v/>
      </c>
      <c r="X393" s="288"/>
      <c r="Y393" s="220"/>
      <c r="Z393" s="220"/>
      <c r="AA393" s="220"/>
      <c r="AB393" s="220"/>
      <c r="AC393" s="220"/>
      <c r="AD393" s="220"/>
      <c r="AE393" s="220"/>
      <c r="AF393" s="220"/>
      <c r="AG393" s="220"/>
      <c r="AH393" s="220"/>
      <c r="AI393" s="308"/>
      <c r="AJ393" s="220"/>
      <c r="AK393" s="220"/>
      <c r="AL393" s="220"/>
      <c r="AM393" s="220"/>
      <c r="AN393" s="220"/>
      <c r="AO393" s="220"/>
      <c r="AP393" s="220"/>
      <c r="AQ393" s="220"/>
      <c r="AR393" s="220"/>
      <c r="AS393" s="220"/>
      <c r="AT393" s="220"/>
      <c r="AU393" s="220"/>
      <c r="AV393" s="220"/>
      <c r="AW393" s="220"/>
      <c r="AX393" s="220"/>
      <c r="AY393" s="220"/>
      <c r="AZ393" s="220"/>
      <c r="BA393" s="220"/>
      <c r="BB393" s="220"/>
    </row>
    <row r="394">
      <c r="A394" s="240"/>
      <c r="B394" s="302" t="str">
        <f t="shared" si="1"/>
        <v/>
      </c>
      <c r="C394" s="341" t="str">
        <f>IF(A394="","",'Historique détail'!B394/$W394)</f>
        <v/>
      </c>
      <c r="D394" s="341" t="str">
        <f>IF(B394="","",'Historique détail'!C394/$W394)</f>
        <v/>
      </c>
      <c r="E394" s="341" t="str">
        <f>IF(C394="","",'Historique détail'!D394/$W394)</f>
        <v/>
      </c>
      <c r="F394" s="341" t="str">
        <f>IF(D394="","",'Historique détail'!E394/$W394)</f>
        <v/>
      </c>
      <c r="G394" s="341" t="str">
        <f>IF(E394="","",'Historique détail'!F394/$W394)</f>
        <v/>
      </c>
      <c r="H394" s="341" t="str">
        <f>IF(F394="","",'Historique détail'!G394/$W394)</f>
        <v/>
      </c>
      <c r="I394" s="341" t="str">
        <f>IF(G394="","",'Historique détail'!H394/$W394)</f>
        <v/>
      </c>
      <c r="J394" s="341" t="str">
        <f>IF(H394="","",'Historique détail'!I394/$W394)</f>
        <v/>
      </c>
      <c r="K394" s="341" t="str">
        <f>IF(I394="","",'Historique détail'!J394/$W394)</f>
        <v/>
      </c>
      <c r="L394" s="341" t="str">
        <f>IF(J394="","",'Historique détail'!K394/$W394)</f>
        <v/>
      </c>
      <c r="M394" s="341" t="str">
        <f>IF(K394="","",'Historique détail'!L394/$W394)</f>
        <v/>
      </c>
      <c r="N394" s="341" t="str">
        <f>IF(L394="","",'Historique détail'!M394/$W394)</f>
        <v/>
      </c>
      <c r="O394" s="341" t="str">
        <f>IF(M394="","",'Historique détail'!N394/$W394)</f>
        <v/>
      </c>
      <c r="P394" s="341" t="str">
        <f>IF(N394="","",'Historique détail'!O394/$W394)</f>
        <v/>
      </c>
      <c r="Q394" s="341" t="str">
        <f>IF(O394="","",'Historique détail'!P394/$W394)</f>
        <v/>
      </c>
      <c r="R394" s="341" t="str">
        <f>IF(P394="","",'Historique détail'!Q394/$W394)</f>
        <v/>
      </c>
      <c r="S394" s="341" t="str">
        <f>IF(Q394="","",'Historique détail'!R394/$W394)</f>
        <v/>
      </c>
      <c r="T394" s="341" t="str">
        <f>IF(R394="","",'Historique détail'!S394/$W394)</f>
        <v/>
      </c>
      <c r="U394" s="340" t="str">
        <f t="shared" si="2"/>
        <v/>
      </c>
      <c r="V394" s="14" t="str">
        <f>IF(A394="","",ARBITRAGES!M395)</f>
        <v/>
      </c>
      <c r="W394" s="343" t="str">
        <f>IF(V394="","",'Historique détail'!U394)</f>
        <v/>
      </c>
      <c r="X394" s="288"/>
      <c r="Y394" s="220"/>
      <c r="Z394" s="220"/>
      <c r="AA394" s="220"/>
      <c r="AB394" s="220"/>
      <c r="AC394" s="220"/>
      <c r="AD394" s="220"/>
      <c r="AE394" s="220"/>
      <c r="AF394" s="220"/>
      <c r="AG394" s="220"/>
      <c r="AH394" s="220"/>
      <c r="AI394" s="308"/>
      <c r="AJ394" s="220"/>
      <c r="AK394" s="220"/>
      <c r="AL394" s="220"/>
      <c r="AM394" s="220"/>
      <c r="AN394" s="220"/>
      <c r="AO394" s="220"/>
      <c r="AP394" s="220"/>
      <c r="AQ394" s="220"/>
      <c r="AR394" s="220"/>
      <c r="AS394" s="220"/>
      <c r="AT394" s="220"/>
      <c r="AU394" s="220"/>
      <c r="AV394" s="220"/>
      <c r="AW394" s="220"/>
      <c r="AX394" s="220"/>
      <c r="AY394" s="220"/>
      <c r="AZ394" s="220"/>
      <c r="BA394" s="220"/>
      <c r="BB394" s="220"/>
    </row>
    <row r="395">
      <c r="A395" s="240"/>
      <c r="B395" s="302" t="str">
        <f t="shared" si="1"/>
        <v/>
      </c>
      <c r="C395" s="341" t="str">
        <f>IF(A395="","",'Historique détail'!B395/$W395)</f>
        <v/>
      </c>
      <c r="D395" s="341" t="str">
        <f>IF(B395="","",'Historique détail'!C395/$W395)</f>
        <v/>
      </c>
      <c r="E395" s="341" t="str">
        <f>IF(C395="","",'Historique détail'!D395/$W395)</f>
        <v/>
      </c>
      <c r="F395" s="341" t="str">
        <f>IF(D395="","",'Historique détail'!E395/$W395)</f>
        <v/>
      </c>
      <c r="G395" s="341" t="str">
        <f>IF(E395="","",'Historique détail'!F395/$W395)</f>
        <v/>
      </c>
      <c r="H395" s="341" t="str">
        <f>IF(F395="","",'Historique détail'!G395/$W395)</f>
        <v/>
      </c>
      <c r="I395" s="341" t="str">
        <f>IF(G395="","",'Historique détail'!H395/$W395)</f>
        <v/>
      </c>
      <c r="J395" s="341" t="str">
        <f>IF(H395="","",'Historique détail'!I395/$W395)</f>
        <v/>
      </c>
      <c r="K395" s="341" t="str">
        <f>IF(I395="","",'Historique détail'!J395/$W395)</f>
        <v/>
      </c>
      <c r="L395" s="341" t="str">
        <f>IF(J395="","",'Historique détail'!K395/$W395)</f>
        <v/>
      </c>
      <c r="M395" s="341" t="str">
        <f>IF(K395="","",'Historique détail'!L395/$W395)</f>
        <v/>
      </c>
      <c r="N395" s="341" t="str">
        <f>IF(L395="","",'Historique détail'!M395/$W395)</f>
        <v/>
      </c>
      <c r="O395" s="341" t="str">
        <f>IF(M395="","",'Historique détail'!N395/$W395)</f>
        <v/>
      </c>
      <c r="P395" s="341" t="str">
        <f>IF(N395="","",'Historique détail'!O395/$W395)</f>
        <v/>
      </c>
      <c r="Q395" s="341" t="str">
        <f>IF(O395="","",'Historique détail'!P395/$W395)</f>
        <v/>
      </c>
      <c r="R395" s="341" t="str">
        <f>IF(P395="","",'Historique détail'!Q395/$W395)</f>
        <v/>
      </c>
      <c r="S395" s="341" t="str">
        <f>IF(Q395="","",'Historique détail'!R395/$W395)</f>
        <v/>
      </c>
      <c r="T395" s="341" t="str">
        <f>IF(R395="","",'Historique détail'!S395/$W395)</f>
        <v/>
      </c>
      <c r="U395" s="340" t="str">
        <f t="shared" si="2"/>
        <v/>
      </c>
      <c r="V395" s="14" t="str">
        <f>IF(A395="","",ARBITRAGES!M396)</f>
        <v/>
      </c>
      <c r="W395" s="343" t="str">
        <f>IF(V395="","",'Historique détail'!U395)</f>
        <v/>
      </c>
      <c r="X395" s="288"/>
      <c r="Y395" s="220"/>
      <c r="Z395" s="220"/>
      <c r="AA395" s="220"/>
      <c r="AB395" s="220"/>
      <c r="AC395" s="220"/>
      <c r="AD395" s="220"/>
      <c r="AE395" s="220"/>
      <c r="AF395" s="220"/>
      <c r="AG395" s="220"/>
      <c r="AH395" s="220"/>
      <c r="AI395" s="308"/>
      <c r="AJ395" s="220"/>
      <c r="AK395" s="220"/>
      <c r="AL395" s="220"/>
      <c r="AM395" s="220"/>
      <c r="AN395" s="220"/>
      <c r="AO395" s="220"/>
      <c r="AP395" s="220"/>
      <c r="AQ395" s="220"/>
      <c r="AR395" s="220"/>
      <c r="AS395" s="220"/>
      <c r="AT395" s="220"/>
      <c r="AU395" s="220"/>
      <c r="AV395" s="220"/>
      <c r="AW395" s="220"/>
      <c r="AX395" s="220"/>
      <c r="AY395" s="220"/>
      <c r="AZ395" s="220"/>
      <c r="BA395" s="220"/>
      <c r="BB395" s="220"/>
    </row>
    <row r="396">
      <c r="A396" s="240"/>
      <c r="B396" s="302" t="str">
        <f t="shared" si="1"/>
        <v/>
      </c>
      <c r="C396" s="341" t="str">
        <f>IF(A396="","",'Historique détail'!B396/$W396)</f>
        <v/>
      </c>
      <c r="D396" s="341" t="str">
        <f>IF(B396="","",'Historique détail'!C396/$W396)</f>
        <v/>
      </c>
      <c r="E396" s="341" t="str">
        <f>IF(C396="","",'Historique détail'!D396/$W396)</f>
        <v/>
      </c>
      <c r="F396" s="341" t="str">
        <f>IF(D396="","",'Historique détail'!E396/$W396)</f>
        <v/>
      </c>
      <c r="G396" s="341" t="str">
        <f>IF(E396="","",'Historique détail'!F396/$W396)</f>
        <v/>
      </c>
      <c r="H396" s="341" t="str">
        <f>IF(F396="","",'Historique détail'!G396/$W396)</f>
        <v/>
      </c>
      <c r="I396" s="341" t="str">
        <f>IF(G396="","",'Historique détail'!H396/$W396)</f>
        <v/>
      </c>
      <c r="J396" s="341" t="str">
        <f>IF(H396="","",'Historique détail'!I396/$W396)</f>
        <v/>
      </c>
      <c r="K396" s="341" t="str">
        <f>IF(I396="","",'Historique détail'!J396/$W396)</f>
        <v/>
      </c>
      <c r="L396" s="341" t="str">
        <f>IF(J396="","",'Historique détail'!K396/$W396)</f>
        <v/>
      </c>
      <c r="M396" s="341" t="str">
        <f>IF(K396="","",'Historique détail'!L396/$W396)</f>
        <v/>
      </c>
      <c r="N396" s="341" t="str">
        <f>IF(L396="","",'Historique détail'!M396/$W396)</f>
        <v/>
      </c>
      <c r="O396" s="341" t="str">
        <f>IF(M396="","",'Historique détail'!N396/$W396)</f>
        <v/>
      </c>
      <c r="P396" s="341" t="str">
        <f>IF(N396="","",'Historique détail'!O396/$W396)</f>
        <v/>
      </c>
      <c r="Q396" s="341" t="str">
        <f>IF(O396="","",'Historique détail'!P396/$W396)</f>
        <v/>
      </c>
      <c r="R396" s="341" t="str">
        <f>IF(P396="","",'Historique détail'!Q396/$W396)</f>
        <v/>
      </c>
      <c r="S396" s="341" t="str">
        <f>IF(Q396="","",'Historique détail'!R396/$W396)</f>
        <v/>
      </c>
      <c r="T396" s="341" t="str">
        <f>IF(R396="","",'Historique détail'!S396/$W396)</f>
        <v/>
      </c>
      <c r="U396" s="340" t="str">
        <f t="shared" si="2"/>
        <v/>
      </c>
      <c r="V396" s="14" t="str">
        <f>IF(A396="","",ARBITRAGES!M397)</f>
        <v/>
      </c>
      <c r="W396" s="343" t="str">
        <f>IF(V396="","",'Historique détail'!U396)</f>
        <v/>
      </c>
      <c r="X396" s="288"/>
      <c r="Y396" s="220"/>
      <c r="Z396" s="220"/>
      <c r="AA396" s="220"/>
      <c r="AB396" s="220"/>
      <c r="AC396" s="220"/>
      <c r="AD396" s="220"/>
      <c r="AE396" s="220"/>
      <c r="AF396" s="220"/>
      <c r="AG396" s="220"/>
      <c r="AH396" s="220"/>
      <c r="AI396" s="308"/>
      <c r="AJ396" s="220"/>
      <c r="AK396" s="220"/>
      <c r="AL396" s="220"/>
      <c r="AM396" s="220"/>
      <c r="AN396" s="220"/>
      <c r="AO396" s="220"/>
      <c r="AP396" s="220"/>
      <c r="AQ396" s="220"/>
      <c r="AR396" s="220"/>
      <c r="AS396" s="220"/>
      <c r="AT396" s="220"/>
      <c r="AU396" s="220"/>
      <c r="AV396" s="220"/>
      <c r="AW396" s="220"/>
      <c r="AX396" s="220"/>
      <c r="AY396" s="220"/>
      <c r="AZ396" s="220"/>
      <c r="BA396" s="220"/>
      <c r="BB396" s="220"/>
    </row>
    <row r="397">
      <c r="A397" s="240"/>
      <c r="B397" s="302" t="str">
        <f t="shared" si="1"/>
        <v/>
      </c>
      <c r="C397" s="341" t="str">
        <f>IF(A397="","",'Historique détail'!B397/$W397)</f>
        <v/>
      </c>
      <c r="D397" s="341" t="str">
        <f>IF(B397="","",'Historique détail'!C397/$W397)</f>
        <v/>
      </c>
      <c r="E397" s="341" t="str">
        <f>IF(C397="","",'Historique détail'!D397/$W397)</f>
        <v/>
      </c>
      <c r="F397" s="341" t="str">
        <f>IF(D397="","",'Historique détail'!E397/$W397)</f>
        <v/>
      </c>
      <c r="G397" s="341" t="str">
        <f>IF(E397="","",'Historique détail'!F397/$W397)</f>
        <v/>
      </c>
      <c r="H397" s="341" t="str">
        <f>IF(F397="","",'Historique détail'!G397/$W397)</f>
        <v/>
      </c>
      <c r="I397" s="341" t="str">
        <f>IF(G397="","",'Historique détail'!H397/$W397)</f>
        <v/>
      </c>
      <c r="J397" s="341" t="str">
        <f>IF(H397="","",'Historique détail'!I397/$W397)</f>
        <v/>
      </c>
      <c r="K397" s="341" t="str">
        <f>IF(I397="","",'Historique détail'!J397/$W397)</f>
        <v/>
      </c>
      <c r="L397" s="341" t="str">
        <f>IF(J397="","",'Historique détail'!K397/$W397)</f>
        <v/>
      </c>
      <c r="M397" s="341" t="str">
        <f>IF(K397="","",'Historique détail'!L397/$W397)</f>
        <v/>
      </c>
      <c r="N397" s="341" t="str">
        <f>IF(L397="","",'Historique détail'!M397/$W397)</f>
        <v/>
      </c>
      <c r="O397" s="341" t="str">
        <f>IF(M397="","",'Historique détail'!N397/$W397)</f>
        <v/>
      </c>
      <c r="P397" s="341" t="str">
        <f>IF(N397="","",'Historique détail'!O397/$W397)</f>
        <v/>
      </c>
      <c r="Q397" s="341" t="str">
        <f>IF(O397="","",'Historique détail'!P397/$W397)</f>
        <v/>
      </c>
      <c r="R397" s="341" t="str">
        <f>IF(P397="","",'Historique détail'!Q397/$W397)</f>
        <v/>
      </c>
      <c r="S397" s="341" t="str">
        <f>IF(Q397="","",'Historique détail'!R397/$W397)</f>
        <v/>
      </c>
      <c r="T397" s="341" t="str">
        <f>IF(R397="","",'Historique détail'!S397/$W397)</f>
        <v/>
      </c>
      <c r="U397" s="340" t="str">
        <f t="shared" si="2"/>
        <v/>
      </c>
      <c r="V397" s="14" t="str">
        <f>IF(A397="","",ARBITRAGES!M398)</f>
        <v/>
      </c>
      <c r="W397" s="343" t="str">
        <f>IF(V397="","",'Historique détail'!U397)</f>
        <v/>
      </c>
      <c r="X397" s="288"/>
      <c r="Y397" s="220"/>
      <c r="Z397" s="220"/>
      <c r="AA397" s="220"/>
      <c r="AB397" s="220"/>
      <c r="AC397" s="220"/>
      <c r="AD397" s="220"/>
      <c r="AE397" s="220"/>
      <c r="AF397" s="220"/>
      <c r="AG397" s="220"/>
      <c r="AH397" s="220"/>
      <c r="AI397" s="308"/>
      <c r="AJ397" s="220"/>
      <c r="AK397" s="220"/>
      <c r="AL397" s="220"/>
      <c r="AM397" s="220"/>
      <c r="AN397" s="220"/>
      <c r="AO397" s="220"/>
      <c r="AP397" s="220"/>
      <c r="AQ397" s="220"/>
      <c r="AR397" s="220"/>
      <c r="AS397" s="220"/>
      <c r="AT397" s="220"/>
      <c r="AU397" s="220"/>
      <c r="AV397" s="220"/>
      <c r="AW397" s="220"/>
      <c r="AX397" s="220"/>
      <c r="AY397" s="220"/>
      <c r="AZ397" s="220"/>
      <c r="BA397" s="220"/>
      <c r="BB397" s="220"/>
    </row>
    <row r="398">
      <c r="A398" s="240"/>
      <c r="B398" s="302" t="str">
        <f t="shared" si="1"/>
        <v/>
      </c>
      <c r="C398" s="341" t="str">
        <f>IF(A398="","",'Historique détail'!B398/$W398)</f>
        <v/>
      </c>
      <c r="D398" s="341" t="str">
        <f>IF(B398="","",'Historique détail'!C398/$W398)</f>
        <v/>
      </c>
      <c r="E398" s="341" t="str">
        <f>IF(C398="","",'Historique détail'!D398/$W398)</f>
        <v/>
      </c>
      <c r="F398" s="341" t="str">
        <f>IF(D398="","",'Historique détail'!E398/$W398)</f>
        <v/>
      </c>
      <c r="G398" s="341" t="str">
        <f>IF(E398="","",'Historique détail'!F398/$W398)</f>
        <v/>
      </c>
      <c r="H398" s="341" t="str">
        <f>IF(F398="","",'Historique détail'!G398/$W398)</f>
        <v/>
      </c>
      <c r="I398" s="341" t="str">
        <f>IF(G398="","",'Historique détail'!H398/$W398)</f>
        <v/>
      </c>
      <c r="J398" s="341" t="str">
        <f>IF(H398="","",'Historique détail'!I398/$W398)</f>
        <v/>
      </c>
      <c r="K398" s="341" t="str">
        <f>IF(I398="","",'Historique détail'!J398/$W398)</f>
        <v/>
      </c>
      <c r="L398" s="341" t="str">
        <f>IF(J398="","",'Historique détail'!K398/$W398)</f>
        <v/>
      </c>
      <c r="M398" s="341" t="str">
        <f>IF(K398="","",'Historique détail'!L398/$W398)</f>
        <v/>
      </c>
      <c r="N398" s="341" t="str">
        <f>IF(L398="","",'Historique détail'!M398/$W398)</f>
        <v/>
      </c>
      <c r="O398" s="341" t="str">
        <f>IF(M398="","",'Historique détail'!N398/$W398)</f>
        <v/>
      </c>
      <c r="P398" s="341" t="str">
        <f>IF(N398="","",'Historique détail'!O398/$W398)</f>
        <v/>
      </c>
      <c r="Q398" s="341" t="str">
        <f>IF(O398="","",'Historique détail'!P398/$W398)</f>
        <v/>
      </c>
      <c r="R398" s="341" t="str">
        <f>IF(P398="","",'Historique détail'!Q398/$W398)</f>
        <v/>
      </c>
      <c r="S398" s="341" t="str">
        <f>IF(Q398="","",'Historique détail'!R398/$W398)</f>
        <v/>
      </c>
      <c r="T398" s="341" t="str">
        <f>IF(R398="","",'Historique détail'!S398/$W398)</f>
        <v/>
      </c>
      <c r="U398" s="340" t="str">
        <f t="shared" si="2"/>
        <v/>
      </c>
      <c r="V398" s="14" t="str">
        <f>IF(A398="","",ARBITRAGES!M399)</f>
        <v/>
      </c>
      <c r="W398" s="343" t="str">
        <f>IF(V398="","",'Historique détail'!U398)</f>
        <v/>
      </c>
      <c r="X398" s="288"/>
      <c r="Y398" s="220"/>
      <c r="Z398" s="220"/>
      <c r="AA398" s="220"/>
      <c r="AB398" s="220"/>
      <c r="AC398" s="220"/>
      <c r="AD398" s="220"/>
      <c r="AE398" s="220"/>
      <c r="AF398" s="220"/>
      <c r="AG398" s="220"/>
      <c r="AH398" s="220"/>
      <c r="AI398" s="308"/>
      <c r="AJ398" s="220"/>
      <c r="AK398" s="220"/>
      <c r="AL398" s="220"/>
      <c r="AM398" s="220"/>
      <c r="AN398" s="220"/>
      <c r="AO398" s="220"/>
      <c r="AP398" s="220"/>
      <c r="AQ398" s="220"/>
      <c r="AR398" s="220"/>
      <c r="AS398" s="220"/>
      <c r="AT398" s="220"/>
      <c r="AU398" s="220"/>
      <c r="AV398" s="220"/>
      <c r="AW398" s="220"/>
      <c r="AX398" s="220"/>
      <c r="AY398" s="220"/>
      <c r="AZ398" s="220"/>
      <c r="BA398" s="220"/>
      <c r="BB398" s="220"/>
    </row>
    <row r="399">
      <c r="A399" s="240"/>
      <c r="B399" s="302" t="str">
        <f t="shared" si="1"/>
        <v/>
      </c>
      <c r="C399" s="341" t="str">
        <f>IF(A399="","",'Historique détail'!B399/$W399)</f>
        <v/>
      </c>
      <c r="D399" s="341" t="str">
        <f>IF(B399="","",'Historique détail'!C399/$W399)</f>
        <v/>
      </c>
      <c r="E399" s="341" t="str">
        <f>IF(C399="","",'Historique détail'!D399/$W399)</f>
        <v/>
      </c>
      <c r="F399" s="341" t="str">
        <f>IF(D399="","",'Historique détail'!E399/$W399)</f>
        <v/>
      </c>
      <c r="G399" s="341" t="str">
        <f>IF(E399="","",'Historique détail'!F399/$W399)</f>
        <v/>
      </c>
      <c r="H399" s="341" t="str">
        <f>IF(F399="","",'Historique détail'!G399/$W399)</f>
        <v/>
      </c>
      <c r="I399" s="341" t="str">
        <f>IF(G399="","",'Historique détail'!H399/$W399)</f>
        <v/>
      </c>
      <c r="J399" s="341" t="str">
        <f>IF(H399="","",'Historique détail'!I399/$W399)</f>
        <v/>
      </c>
      <c r="K399" s="341" t="str">
        <f>IF(I399="","",'Historique détail'!J399/$W399)</f>
        <v/>
      </c>
      <c r="L399" s="341" t="str">
        <f>IF(J399="","",'Historique détail'!K399/$W399)</f>
        <v/>
      </c>
      <c r="M399" s="341" t="str">
        <f>IF(K399="","",'Historique détail'!L399/$W399)</f>
        <v/>
      </c>
      <c r="N399" s="341" t="str">
        <f>IF(L399="","",'Historique détail'!M399/$W399)</f>
        <v/>
      </c>
      <c r="O399" s="341" t="str">
        <f>IF(M399="","",'Historique détail'!N399/$W399)</f>
        <v/>
      </c>
      <c r="P399" s="341" t="str">
        <f>IF(N399="","",'Historique détail'!O399/$W399)</f>
        <v/>
      </c>
      <c r="Q399" s="341" t="str">
        <f>IF(O399="","",'Historique détail'!P399/$W399)</f>
        <v/>
      </c>
      <c r="R399" s="341" t="str">
        <f>IF(P399="","",'Historique détail'!Q399/$W399)</f>
        <v/>
      </c>
      <c r="S399" s="341" t="str">
        <f>IF(Q399="","",'Historique détail'!R399/$W399)</f>
        <v/>
      </c>
      <c r="T399" s="341" t="str">
        <f>IF(R399="","",'Historique détail'!S399/$W399)</f>
        <v/>
      </c>
      <c r="U399" s="340" t="str">
        <f t="shared" si="2"/>
        <v/>
      </c>
      <c r="V399" s="14" t="str">
        <f>IF(A399="","",ARBITRAGES!M400)</f>
        <v/>
      </c>
      <c r="W399" s="343" t="str">
        <f>IF(V399="","",'Historique détail'!U399)</f>
        <v/>
      </c>
      <c r="X399" s="288"/>
      <c r="Y399" s="220"/>
      <c r="Z399" s="220"/>
      <c r="AA399" s="220"/>
      <c r="AB399" s="220"/>
      <c r="AC399" s="220"/>
      <c r="AD399" s="220"/>
      <c r="AE399" s="220"/>
      <c r="AF399" s="220"/>
      <c r="AG399" s="220"/>
      <c r="AH399" s="220"/>
      <c r="AI399" s="308"/>
      <c r="AJ399" s="220"/>
      <c r="AK399" s="220"/>
      <c r="AL399" s="220"/>
      <c r="AM399" s="220"/>
      <c r="AN399" s="220"/>
      <c r="AO399" s="220"/>
      <c r="AP399" s="220"/>
      <c r="AQ399" s="220"/>
      <c r="AR399" s="220"/>
      <c r="AS399" s="220"/>
      <c r="AT399" s="220"/>
      <c r="AU399" s="220"/>
      <c r="AV399" s="220"/>
      <c r="AW399" s="220"/>
      <c r="AX399" s="220"/>
      <c r="AY399" s="220"/>
      <c r="AZ399" s="220"/>
      <c r="BA399" s="220"/>
      <c r="BB399" s="220"/>
    </row>
    <row r="400">
      <c r="A400" s="240"/>
      <c r="B400" s="302" t="str">
        <f t="shared" si="1"/>
        <v/>
      </c>
      <c r="C400" s="341" t="str">
        <f>IF(A400="","",'Historique détail'!B400/$W400)</f>
        <v/>
      </c>
      <c r="D400" s="341" t="str">
        <f>IF(B400="","",'Historique détail'!C400/$W400)</f>
        <v/>
      </c>
      <c r="E400" s="341" t="str">
        <f>IF(C400="","",'Historique détail'!D400/$W400)</f>
        <v/>
      </c>
      <c r="F400" s="341" t="str">
        <f>IF(D400="","",'Historique détail'!E400/$W400)</f>
        <v/>
      </c>
      <c r="G400" s="341" t="str">
        <f>IF(E400="","",'Historique détail'!F400/$W400)</f>
        <v/>
      </c>
      <c r="H400" s="341" t="str">
        <f>IF(F400="","",'Historique détail'!G400/$W400)</f>
        <v/>
      </c>
      <c r="I400" s="341" t="str">
        <f>IF(G400="","",'Historique détail'!H400/$W400)</f>
        <v/>
      </c>
      <c r="J400" s="341" t="str">
        <f>IF(H400="","",'Historique détail'!I400/$W400)</f>
        <v/>
      </c>
      <c r="K400" s="341" t="str">
        <f>IF(I400="","",'Historique détail'!J400/$W400)</f>
        <v/>
      </c>
      <c r="L400" s="341" t="str">
        <f>IF(J400="","",'Historique détail'!K400/$W400)</f>
        <v/>
      </c>
      <c r="M400" s="341" t="str">
        <f>IF(K400="","",'Historique détail'!L400/$W400)</f>
        <v/>
      </c>
      <c r="N400" s="341" t="str">
        <f>IF(L400="","",'Historique détail'!M400/$W400)</f>
        <v/>
      </c>
      <c r="O400" s="341" t="str">
        <f>IF(M400="","",'Historique détail'!N400/$W400)</f>
        <v/>
      </c>
      <c r="P400" s="341" t="str">
        <f>IF(N400="","",'Historique détail'!O400/$W400)</f>
        <v/>
      </c>
      <c r="Q400" s="341" t="str">
        <f>IF(O400="","",'Historique détail'!P400/$W400)</f>
        <v/>
      </c>
      <c r="R400" s="341" t="str">
        <f>IF(P400="","",'Historique détail'!Q400/$W400)</f>
        <v/>
      </c>
      <c r="S400" s="341" t="str">
        <f>IF(Q400="","",'Historique détail'!R400/$W400)</f>
        <v/>
      </c>
      <c r="T400" s="341" t="str">
        <f>IF(R400="","",'Historique détail'!S400/$W400)</f>
        <v/>
      </c>
      <c r="U400" s="340" t="str">
        <f t="shared" si="2"/>
        <v/>
      </c>
      <c r="V400" s="14" t="str">
        <f>IF(A400="","",ARBITRAGES!M401)</f>
        <v/>
      </c>
      <c r="W400" s="343" t="str">
        <f>IF(V400="","",'Historique détail'!U400)</f>
        <v/>
      </c>
      <c r="X400" s="288"/>
      <c r="Y400" s="220"/>
      <c r="Z400" s="220"/>
      <c r="AA400" s="220"/>
      <c r="AB400" s="220"/>
      <c r="AC400" s="220"/>
      <c r="AD400" s="220"/>
      <c r="AE400" s="220"/>
      <c r="AF400" s="220"/>
      <c r="AG400" s="220"/>
      <c r="AH400" s="220"/>
      <c r="AI400" s="308"/>
      <c r="AJ400" s="220"/>
      <c r="AK400" s="220"/>
      <c r="AL400" s="220"/>
      <c r="AM400" s="220"/>
      <c r="AN400" s="220"/>
      <c r="AO400" s="220"/>
      <c r="AP400" s="220"/>
      <c r="AQ400" s="220"/>
      <c r="AR400" s="220"/>
      <c r="AS400" s="220"/>
      <c r="AT400" s="220"/>
      <c r="AU400" s="220"/>
      <c r="AV400" s="220"/>
      <c r="AW400" s="220"/>
      <c r="AX400" s="220"/>
      <c r="AY400" s="220"/>
      <c r="AZ400" s="220"/>
      <c r="BA400" s="220"/>
      <c r="BB400" s="220"/>
    </row>
    <row r="401">
      <c r="A401" s="240"/>
      <c r="B401" s="302" t="str">
        <f t="shared" si="1"/>
        <v/>
      </c>
      <c r="C401" s="341" t="str">
        <f>IF(A401="","",'Historique détail'!B401/$W401)</f>
        <v/>
      </c>
      <c r="D401" s="341" t="str">
        <f>IF(B401="","",'Historique détail'!C401/$W401)</f>
        <v/>
      </c>
      <c r="E401" s="341" t="str">
        <f>IF(C401="","",'Historique détail'!D401/$W401)</f>
        <v/>
      </c>
      <c r="F401" s="341" t="str">
        <f>IF(D401="","",'Historique détail'!E401/$W401)</f>
        <v/>
      </c>
      <c r="G401" s="341" t="str">
        <f>IF(E401="","",'Historique détail'!F401/$W401)</f>
        <v/>
      </c>
      <c r="H401" s="341" t="str">
        <f>IF(F401="","",'Historique détail'!G401/$W401)</f>
        <v/>
      </c>
      <c r="I401" s="341" t="str">
        <f>IF(G401="","",'Historique détail'!H401/$W401)</f>
        <v/>
      </c>
      <c r="J401" s="341" t="str">
        <f>IF(H401="","",'Historique détail'!I401/$W401)</f>
        <v/>
      </c>
      <c r="K401" s="341" t="str">
        <f>IF(I401="","",'Historique détail'!J401/$W401)</f>
        <v/>
      </c>
      <c r="L401" s="341" t="str">
        <f>IF(J401="","",'Historique détail'!K401/$W401)</f>
        <v/>
      </c>
      <c r="M401" s="341" t="str">
        <f>IF(K401="","",'Historique détail'!L401/$W401)</f>
        <v/>
      </c>
      <c r="N401" s="341" t="str">
        <f>IF(L401="","",'Historique détail'!M401/$W401)</f>
        <v/>
      </c>
      <c r="O401" s="341" t="str">
        <f>IF(M401="","",'Historique détail'!N401/$W401)</f>
        <v/>
      </c>
      <c r="P401" s="341" t="str">
        <f>IF(N401="","",'Historique détail'!O401/$W401)</f>
        <v/>
      </c>
      <c r="Q401" s="341" t="str">
        <f>IF(O401="","",'Historique détail'!P401/$W401)</f>
        <v/>
      </c>
      <c r="R401" s="341" t="str">
        <f>IF(P401="","",'Historique détail'!Q401/$W401)</f>
        <v/>
      </c>
      <c r="S401" s="341" t="str">
        <f>IF(Q401="","",'Historique détail'!R401/$W401)</f>
        <v/>
      </c>
      <c r="T401" s="341" t="str">
        <f>IF(R401="","",'Historique détail'!S401/$W401)</f>
        <v/>
      </c>
      <c r="U401" s="340" t="str">
        <f t="shared" si="2"/>
        <v/>
      </c>
      <c r="V401" s="14" t="str">
        <f>IF(A401="","",ARBITRAGES!M402)</f>
        <v/>
      </c>
      <c r="W401" s="343" t="str">
        <f>IF(V401="","",'Historique détail'!U401)</f>
        <v/>
      </c>
      <c r="X401" s="288"/>
      <c r="Y401" s="220"/>
      <c r="Z401" s="220"/>
      <c r="AA401" s="220"/>
      <c r="AB401" s="220"/>
      <c r="AC401" s="220"/>
      <c r="AD401" s="220"/>
      <c r="AE401" s="220"/>
      <c r="AF401" s="220"/>
      <c r="AG401" s="220"/>
      <c r="AH401" s="220"/>
      <c r="AI401" s="308"/>
      <c r="AJ401" s="220"/>
      <c r="AK401" s="220"/>
      <c r="AL401" s="220"/>
      <c r="AM401" s="220"/>
      <c r="AN401" s="220"/>
      <c r="AO401" s="220"/>
      <c r="AP401" s="220"/>
      <c r="AQ401" s="220"/>
      <c r="AR401" s="220"/>
      <c r="AS401" s="220"/>
      <c r="AT401" s="220"/>
      <c r="AU401" s="220"/>
      <c r="AV401" s="220"/>
      <c r="AW401" s="220"/>
      <c r="AX401" s="220"/>
      <c r="AY401" s="220"/>
      <c r="AZ401" s="220"/>
      <c r="BA401" s="220"/>
      <c r="BB401" s="220"/>
    </row>
    <row r="402">
      <c r="A402" s="240"/>
      <c r="B402" s="302" t="str">
        <f t="shared" si="1"/>
        <v/>
      </c>
      <c r="C402" s="341" t="str">
        <f>IF(A402="","",'Historique détail'!B402/$W402)</f>
        <v/>
      </c>
      <c r="D402" s="341" t="str">
        <f>IF(B402="","",'Historique détail'!C402/$W402)</f>
        <v/>
      </c>
      <c r="E402" s="341" t="str">
        <f>IF(C402="","",'Historique détail'!D402/$W402)</f>
        <v/>
      </c>
      <c r="F402" s="341" t="str">
        <f>IF(D402="","",'Historique détail'!E402/$W402)</f>
        <v/>
      </c>
      <c r="G402" s="341" t="str">
        <f>IF(E402="","",'Historique détail'!F402/$W402)</f>
        <v/>
      </c>
      <c r="H402" s="341" t="str">
        <f>IF(F402="","",'Historique détail'!G402/$W402)</f>
        <v/>
      </c>
      <c r="I402" s="341" t="str">
        <f>IF(G402="","",'Historique détail'!H402/$W402)</f>
        <v/>
      </c>
      <c r="J402" s="341" t="str">
        <f>IF(H402="","",'Historique détail'!I402/$W402)</f>
        <v/>
      </c>
      <c r="K402" s="341" t="str">
        <f>IF(I402="","",'Historique détail'!J402/$W402)</f>
        <v/>
      </c>
      <c r="L402" s="341" t="str">
        <f>IF(J402="","",'Historique détail'!K402/$W402)</f>
        <v/>
      </c>
      <c r="M402" s="341" t="str">
        <f>IF(K402="","",'Historique détail'!L402/$W402)</f>
        <v/>
      </c>
      <c r="N402" s="341" t="str">
        <f>IF(L402="","",'Historique détail'!M402/$W402)</f>
        <v/>
      </c>
      <c r="O402" s="341" t="str">
        <f>IF(M402="","",'Historique détail'!N402/$W402)</f>
        <v/>
      </c>
      <c r="P402" s="341" t="str">
        <f>IF(N402="","",'Historique détail'!O402/$W402)</f>
        <v/>
      </c>
      <c r="Q402" s="341" t="str">
        <f>IF(O402="","",'Historique détail'!P402/$W402)</f>
        <v/>
      </c>
      <c r="R402" s="341" t="str">
        <f>IF(P402="","",'Historique détail'!Q402/$W402)</f>
        <v/>
      </c>
      <c r="S402" s="341" t="str">
        <f>IF(Q402="","",'Historique détail'!R402/$W402)</f>
        <v/>
      </c>
      <c r="T402" s="341" t="str">
        <f>IF(R402="","",'Historique détail'!S402/$W402)</f>
        <v/>
      </c>
      <c r="U402" s="340" t="str">
        <f t="shared" si="2"/>
        <v/>
      </c>
      <c r="V402" s="14" t="str">
        <f>IF(A402="","",ARBITRAGES!M403)</f>
        <v/>
      </c>
      <c r="W402" s="343" t="str">
        <f>IF(V402="","",'Historique détail'!U402)</f>
        <v/>
      </c>
      <c r="X402" s="288"/>
      <c r="Y402" s="220"/>
      <c r="Z402" s="220"/>
      <c r="AA402" s="220"/>
      <c r="AB402" s="220"/>
      <c r="AC402" s="220"/>
      <c r="AD402" s="220"/>
      <c r="AE402" s="220"/>
      <c r="AF402" s="220"/>
      <c r="AG402" s="220"/>
      <c r="AH402" s="220"/>
      <c r="AI402" s="308"/>
      <c r="AJ402" s="220"/>
      <c r="AK402" s="220"/>
      <c r="AL402" s="220"/>
      <c r="AM402" s="220"/>
      <c r="AN402" s="220"/>
      <c r="AO402" s="220"/>
      <c r="AP402" s="220"/>
      <c r="AQ402" s="220"/>
      <c r="AR402" s="220"/>
      <c r="AS402" s="220"/>
      <c r="AT402" s="220"/>
      <c r="AU402" s="220"/>
      <c r="AV402" s="220"/>
      <c r="AW402" s="220"/>
      <c r="AX402" s="220"/>
      <c r="AY402" s="220"/>
      <c r="AZ402" s="220"/>
      <c r="BA402" s="220"/>
      <c r="BB402" s="220"/>
    </row>
    <row r="403">
      <c r="A403" s="240"/>
      <c r="B403" s="302" t="str">
        <f t="shared" si="1"/>
        <v/>
      </c>
      <c r="C403" s="341" t="str">
        <f>IF(A403="","",'Historique détail'!B403/$W403)</f>
        <v/>
      </c>
      <c r="D403" s="341" t="str">
        <f>IF(B403="","",'Historique détail'!C403/$W403)</f>
        <v/>
      </c>
      <c r="E403" s="341" t="str">
        <f>IF(C403="","",'Historique détail'!D403/$W403)</f>
        <v/>
      </c>
      <c r="F403" s="341" t="str">
        <f>IF(D403="","",'Historique détail'!E403/$W403)</f>
        <v/>
      </c>
      <c r="G403" s="341" t="str">
        <f>IF(E403="","",'Historique détail'!F403/$W403)</f>
        <v/>
      </c>
      <c r="H403" s="341" t="str">
        <f>IF(F403="","",'Historique détail'!G403/$W403)</f>
        <v/>
      </c>
      <c r="I403" s="341" t="str">
        <f>IF(G403="","",'Historique détail'!H403/$W403)</f>
        <v/>
      </c>
      <c r="J403" s="341" t="str">
        <f>IF(H403="","",'Historique détail'!I403/$W403)</f>
        <v/>
      </c>
      <c r="K403" s="341" t="str">
        <f>IF(I403="","",'Historique détail'!J403/$W403)</f>
        <v/>
      </c>
      <c r="L403" s="341" t="str">
        <f>IF(J403="","",'Historique détail'!K403/$W403)</f>
        <v/>
      </c>
      <c r="M403" s="341" t="str">
        <f>IF(K403="","",'Historique détail'!L403/$W403)</f>
        <v/>
      </c>
      <c r="N403" s="341" t="str">
        <f>IF(L403="","",'Historique détail'!M403/$W403)</f>
        <v/>
      </c>
      <c r="O403" s="341" t="str">
        <f>IF(M403="","",'Historique détail'!N403/$W403)</f>
        <v/>
      </c>
      <c r="P403" s="341" t="str">
        <f>IF(N403="","",'Historique détail'!O403/$W403)</f>
        <v/>
      </c>
      <c r="Q403" s="341" t="str">
        <f>IF(O403="","",'Historique détail'!P403/$W403)</f>
        <v/>
      </c>
      <c r="R403" s="341" t="str">
        <f>IF(P403="","",'Historique détail'!Q403/$W403)</f>
        <v/>
      </c>
      <c r="S403" s="341" t="str">
        <f>IF(Q403="","",'Historique détail'!R403/$W403)</f>
        <v/>
      </c>
      <c r="T403" s="341" t="str">
        <f>IF(R403="","",'Historique détail'!S403/$W403)</f>
        <v/>
      </c>
      <c r="U403" s="340" t="str">
        <f t="shared" si="2"/>
        <v/>
      </c>
      <c r="V403" s="14" t="str">
        <f>IF(A403="","",ARBITRAGES!M404)</f>
        <v/>
      </c>
      <c r="W403" s="343" t="str">
        <f>IF(V403="","",'Historique détail'!U403)</f>
        <v/>
      </c>
      <c r="X403" s="288"/>
      <c r="Y403" s="220"/>
      <c r="Z403" s="220"/>
      <c r="AA403" s="220"/>
      <c r="AB403" s="220"/>
      <c r="AC403" s="220"/>
      <c r="AD403" s="220"/>
      <c r="AE403" s="220"/>
      <c r="AF403" s="220"/>
      <c r="AG403" s="220"/>
      <c r="AH403" s="220"/>
      <c r="AI403" s="308"/>
      <c r="AJ403" s="220"/>
      <c r="AK403" s="220"/>
      <c r="AL403" s="220"/>
      <c r="AM403" s="220"/>
      <c r="AN403" s="220"/>
      <c r="AO403" s="220"/>
      <c r="AP403" s="220"/>
      <c r="AQ403" s="220"/>
      <c r="AR403" s="220"/>
      <c r="AS403" s="220"/>
      <c r="AT403" s="220"/>
      <c r="AU403" s="220"/>
      <c r="AV403" s="220"/>
      <c r="AW403" s="220"/>
      <c r="AX403" s="220"/>
      <c r="AY403" s="220"/>
      <c r="AZ403" s="220"/>
      <c r="BA403" s="220"/>
      <c r="BB403" s="220"/>
    </row>
    <row r="404">
      <c r="A404" s="240"/>
      <c r="B404" s="302" t="str">
        <f t="shared" si="1"/>
        <v/>
      </c>
      <c r="C404" s="341" t="str">
        <f>IF(A404="","",'Historique détail'!B404/$W404)</f>
        <v/>
      </c>
      <c r="D404" s="341" t="str">
        <f>IF(B404="","",'Historique détail'!C404/$W404)</f>
        <v/>
      </c>
      <c r="E404" s="341" t="str">
        <f>IF(C404="","",'Historique détail'!D404/$W404)</f>
        <v/>
      </c>
      <c r="F404" s="341" t="str">
        <f>IF(D404="","",'Historique détail'!E404/$W404)</f>
        <v/>
      </c>
      <c r="G404" s="341" t="str">
        <f>IF(E404="","",'Historique détail'!F404/$W404)</f>
        <v/>
      </c>
      <c r="H404" s="341" t="str">
        <f>IF(F404="","",'Historique détail'!G404/$W404)</f>
        <v/>
      </c>
      <c r="I404" s="341" t="str">
        <f>IF(G404="","",'Historique détail'!H404/$W404)</f>
        <v/>
      </c>
      <c r="J404" s="341" t="str">
        <f>IF(H404="","",'Historique détail'!I404/$W404)</f>
        <v/>
      </c>
      <c r="K404" s="341" t="str">
        <f>IF(I404="","",'Historique détail'!J404/$W404)</f>
        <v/>
      </c>
      <c r="L404" s="341" t="str">
        <f>IF(J404="","",'Historique détail'!K404/$W404)</f>
        <v/>
      </c>
      <c r="M404" s="341" t="str">
        <f>IF(K404="","",'Historique détail'!L404/$W404)</f>
        <v/>
      </c>
      <c r="N404" s="341" t="str">
        <f>IF(L404="","",'Historique détail'!M404/$W404)</f>
        <v/>
      </c>
      <c r="O404" s="341" t="str">
        <f>IF(M404="","",'Historique détail'!N404/$W404)</f>
        <v/>
      </c>
      <c r="P404" s="341" t="str">
        <f>IF(N404="","",'Historique détail'!O404/$W404)</f>
        <v/>
      </c>
      <c r="Q404" s="341" t="str">
        <f>IF(O404="","",'Historique détail'!P404/$W404)</f>
        <v/>
      </c>
      <c r="R404" s="341" t="str">
        <f>IF(P404="","",'Historique détail'!Q404/$W404)</f>
        <v/>
      </c>
      <c r="S404" s="341" t="str">
        <f>IF(Q404="","",'Historique détail'!R404/$W404)</f>
        <v/>
      </c>
      <c r="T404" s="341" t="str">
        <f>IF(R404="","",'Historique détail'!S404/$W404)</f>
        <v/>
      </c>
      <c r="U404" s="340" t="str">
        <f t="shared" si="2"/>
        <v/>
      </c>
      <c r="V404" s="14" t="str">
        <f>IF(A404="","",ARBITRAGES!M405)</f>
        <v/>
      </c>
      <c r="W404" s="343" t="str">
        <f>IF(V404="","",'Historique détail'!U404)</f>
        <v/>
      </c>
      <c r="X404" s="288"/>
      <c r="Y404" s="220"/>
      <c r="Z404" s="220"/>
      <c r="AA404" s="220"/>
      <c r="AB404" s="220"/>
      <c r="AC404" s="220"/>
      <c r="AD404" s="220"/>
      <c r="AE404" s="220"/>
      <c r="AF404" s="220"/>
      <c r="AG404" s="220"/>
      <c r="AH404" s="220"/>
      <c r="AI404" s="308"/>
      <c r="AJ404" s="220"/>
      <c r="AK404" s="220"/>
      <c r="AL404" s="220"/>
      <c r="AM404" s="220"/>
      <c r="AN404" s="220"/>
      <c r="AO404" s="220"/>
      <c r="AP404" s="220"/>
      <c r="AQ404" s="220"/>
      <c r="AR404" s="220"/>
      <c r="AS404" s="220"/>
      <c r="AT404" s="220"/>
      <c r="AU404" s="220"/>
      <c r="AV404" s="220"/>
      <c r="AW404" s="220"/>
      <c r="AX404" s="220"/>
      <c r="AY404" s="220"/>
      <c r="AZ404" s="220"/>
      <c r="BA404" s="220"/>
      <c r="BB404" s="220"/>
    </row>
    <row r="405">
      <c r="A405" s="240"/>
      <c r="B405" s="302" t="str">
        <f t="shared" si="1"/>
        <v/>
      </c>
      <c r="C405" s="341" t="str">
        <f>IF(A405="","",'Historique détail'!B405/$W405)</f>
        <v/>
      </c>
      <c r="D405" s="341" t="str">
        <f>IF(B405="","",'Historique détail'!C405/$W405)</f>
        <v/>
      </c>
      <c r="E405" s="341" t="str">
        <f>IF(C405="","",'Historique détail'!D405/$W405)</f>
        <v/>
      </c>
      <c r="F405" s="341" t="str">
        <f>IF(D405="","",'Historique détail'!E405/$W405)</f>
        <v/>
      </c>
      <c r="G405" s="341" t="str">
        <f>IF(E405="","",'Historique détail'!F405/$W405)</f>
        <v/>
      </c>
      <c r="H405" s="341" t="str">
        <f>IF(F405="","",'Historique détail'!G405/$W405)</f>
        <v/>
      </c>
      <c r="I405" s="341" t="str">
        <f>IF(G405="","",'Historique détail'!H405/$W405)</f>
        <v/>
      </c>
      <c r="J405" s="341" t="str">
        <f>IF(H405="","",'Historique détail'!I405/$W405)</f>
        <v/>
      </c>
      <c r="K405" s="341" t="str">
        <f>IF(I405="","",'Historique détail'!J405/$W405)</f>
        <v/>
      </c>
      <c r="L405" s="341" t="str">
        <f>IF(J405="","",'Historique détail'!K405/$W405)</f>
        <v/>
      </c>
      <c r="M405" s="341" t="str">
        <f>IF(K405="","",'Historique détail'!L405/$W405)</f>
        <v/>
      </c>
      <c r="N405" s="341" t="str">
        <f>IF(L405="","",'Historique détail'!M405/$W405)</f>
        <v/>
      </c>
      <c r="O405" s="341" t="str">
        <f>IF(M405="","",'Historique détail'!N405/$W405)</f>
        <v/>
      </c>
      <c r="P405" s="341" t="str">
        <f>IF(N405="","",'Historique détail'!O405/$W405)</f>
        <v/>
      </c>
      <c r="Q405" s="341" t="str">
        <f>IF(O405="","",'Historique détail'!P405/$W405)</f>
        <v/>
      </c>
      <c r="R405" s="341" t="str">
        <f>IF(P405="","",'Historique détail'!Q405/$W405)</f>
        <v/>
      </c>
      <c r="S405" s="341" t="str">
        <f>IF(Q405="","",'Historique détail'!R405/$W405)</f>
        <v/>
      </c>
      <c r="T405" s="341" t="str">
        <f>IF(R405="","",'Historique détail'!S405/$W405)</f>
        <v/>
      </c>
      <c r="U405" s="340" t="str">
        <f t="shared" si="2"/>
        <v/>
      </c>
      <c r="V405" s="14" t="str">
        <f>IF(A405="","",ARBITRAGES!M406)</f>
        <v/>
      </c>
      <c r="W405" s="343" t="str">
        <f>IF(V405="","",'Historique détail'!U405)</f>
        <v/>
      </c>
      <c r="X405" s="288"/>
      <c r="Y405" s="220"/>
      <c r="Z405" s="220"/>
      <c r="AA405" s="220"/>
      <c r="AB405" s="220"/>
      <c r="AC405" s="220"/>
      <c r="AD405" s="220"/>
      <c r="AE405" s="220"/>
      <c r="AF405" s="220"/>
      <c r="AG405" s="220"/>
      <c r="AH405" s="220"/>
      <c r="AI405" s="308"/>
      <c r="AJ405" s="220"/>
      <c r="AK405" s="220"/>
      <c r="AL405" s="220"/>
      <c r="AM405" s="220"/>
      <c r="AN405" s="220"/>
      <c r="AO405" s="220"/>
      <c r="AP405" s="220"/>
      <c r="AQ405" s="220"/>
      <c r="AR405" s="220"/>
      <c r="AS405" s="220"/>
      <c r="AT405" s="220"/>
      <c r="AU405" s="220"/>
      <c r="AV405" s="220"/>
      <c r="AW405" s="220"/>
      <c r="AX405" s="220"/>
      <c r="AY405" s="220"/>
      <c r="AZ405" s="220"/>
      <c r="BA405" s="220"/>
      <c r="BB405" s="220"/>
    </row>
    <row r="406">
      <c r="A406" s="240"/>
      <c r="B406" s="302" t="str">
        <f t="shared" si="1"/>
        <v/>
      </c>
      <c r="C406" s="341" t="str">
        <f>IF(A406="","",'Historique détail'!B406/$W406)</f>
        <v/>
      </c>
      <c r="D406" s="341" t="str">
        <f>IF(B406="","",'Historique détail'!C406/$W406)</f>
        <v/>
      </c>
      <c r="E406" s="341" t="str">
        <f>IF(C406="","",'Historique détail'!D406/$W406)</f>
        <v/>
      </c>
      <c r="F406" s="341" t="str">
        <f>IF(D406="","",'Historique détail'!E406/$W406)</f>
        <v/>
      </c>
      <c r="G406" s="341" t="str">
        <f>IF(E406="","",'Historique détail'!F406/$W406)</f>
        <v/>
      </c>
      <c r="H406" s="341" t="str">
        <f>IF(F406="","",'Historique détail'!G406/$W406)</f>
        <v/>
      </c>
      <c r="I406" s="341" t="str">
        <f>IF(G406="","",'Historique détail'!H406/$W406)</f>
        <v/>
      </c>
      <c r="J406" s="341" t="str">
        <f>IF(H406="","",'Historique détail'!I406/$W406)</f>
        <v/>
      </c>
      <c r="K406" s="341" t="str">
        <f>IF(I406="","",'Historique détail'!J406/$W406)</f>
        <v/>
      </c>
      <c r="L406" s="341" t="str">
        <f>IF(J406="","",'Historique détail'!K406/$W406)</f>
        <v/>
      </c>
      <c r="M406" s="341" t="str">
        <f>IF(K406="","",'Historique détail'!L406/$W406)</f>
        <v/>
      </c>
      <c r="N406" s="341" t="str">
        <f>IF(L406="","",'Historique détail'!M406/$W406)</f>
        <v/>
      </c>
      <c r="O406" s="341" t="str">
        <f>IF(M406="","",'Historique détail'!N406/$W406)</f>
        <v/>
      </c>
      <c r="P406" s="341" t="str">
        <f>IF(N406="","",'Historique détail'!O406/$W406)</f>
        <v/>
      </c>
      <c r="Q406" s="341" t="str">
        <f>IF(O406="","",'Historique détail'!P406/$W406)</f>
        <v/>
      </c>
      <c r="R406" s="341" t="str">
        <f>IF(P406="","",'Historique détail'!Q406/$W406)</f>
        <v/>
      </c>
      <c r="S406" s="341" t="str">
        <f>IF(Q406="","",'Historique détail'!R406/$W406)</f>
        <v/>
      </c>
      <c r="T406" s="341" t="str">
        <f>IF(R406="","",'Historique détail'!S406/$W406)</f>
        <v/>
      </c>
      <c r="U406" s="340" t="str">
        <f t="shared" si="2"/>
        <v/>
      </c>
      <c r="V406" s="14" t="str">
        <f>IF(A406="","",ARBITRAGES!M407)</f>
        <v/>
      </c>
      <c r="W406" s="343" t="str">
        <f>IF(V406="","",'Historique détail'!U406)</f>
        <v/>
      </c>
      <c r="X406" s="288"/>
      <c r="Y406" s="220"/>
      <c r="Z406" s="220"/>
      <c r="AA406" s="220"/>
      <c r="AB406" s="220"/>
      <c r="AC406" s="220"/>
      <c r="AD406" s="220"/>
      <c r="AE406" s="220"/>
      <c r="AF406" s="220"/>
      <c r="AG406" s="220"/>
      <c r="AH406" s="220"/>
      <c r="AI406" s="308"/>
      <c r="AJ406" s="220"/>
      <c r="AK406" s="220"/>
      <c r="AL406" s="220"/>
      <c r="AM406" s="220"/>
      <c r="AN406" s="220"/>
      <c r="AO406" s="220"/>
      <c r="AP406" s="220"/>
      <c r="AQ406" s="220"/>
      <c r="AR406" s="220"/>
      <c r="AS406" s="220"/>
      <c r="AT406" s="220"/>
      <c r="AU406" s="220"/>
      <c r="AV406" s="220"/>
      <c r="AW406" s="220"/>
      <c r="AX406" s="220"/>
      <c r="AY406" s="220"/>
      <c r="AZ406" s="220"/>
      <c r="BA406" s="220"/>
      <c r="BB406" s="220"/>
    </row>
    <row r="407">
      <c r="A407" s="240"/>
      <c r="B407" s="302" t="str">
        <f t="shared" si="1"/>
        <v/>
      </c>
      <c r="C407" s="341" t="str">
        <f>IF(A407="","",'Historique détail'!B407/$W407)</f>
        <v/>
      </c>
      <c r="D407" s="341" t="str">
        <f>IF(B407="","",'Historique détail'!C407/$W407)</f>
        <v/>
      </c>
      <c r="E407" s="341" t="str">
        <f>IF(C407="","",'Historique détail'!D407/$W407)</f>
        <v/>
      </c>
      <c r="F407" s="341" t="str">
        <f>IF(D407="","",'Historique détail'!E407/$W407)</f>
        <v/>
      </c>
      <c r="G407" s="341" t="str">
        <f>IF(E407="","",'Historique détail'!F407/$W407)</f>
        <v/>
      </c>
      <c r="H407" s="341" t="str">
        <f>IF(F407="","",'Historique détail'!G407/$W407)</f>
        <v/>
      </c>
      <c r="I407" s="341" t="str">
        <f>IF(G407="","",'Historique détail'!H407/$W407)</f>
        <v/>
      </c>
      <c r="J407" s="341" t="str">
        <f>IF(H407="","",'Historique détail'!I407/$W407)</f>
        <v/>
      </c>
      <c r="K407" s="341" t="str">
        <f>IF(I407="","",'Historique détail'!J407/$W407)</f>
        <v/>
      </c>
      <c r="L407" s="341" t="str">
        <f>IF(J407="","",'Historique détail'!K407/$W407)</f>
        <v/>
      </c>
      <c r="M407" s="341" t="str">
        <f>IF(K407="","",'Historique détail'!L407/$W407)</f>
        <v/>
      </c>
      <c r="N407" s="341" t="str">
        <f>IF(L407="","",'Historique détail'!M407/$W407)</f>
        <v/>
      </c>
      <c r="O407" s="341" t="str">
        <f>IF(M407="","",'Historique détail'!N407/$W407)</f>
        <v/>
      </c>
      <c r="P407" s="341" t="str">
        <f>IF(N407="","",'Historique détail'!O407/$W407)</f>
        <v/>
      </c>
      <c r="Q407" s="341" t="str">
        <f>IF(O407="","",'Historique détail'!P407/$W407)</f>
        <v/>
      </c>
      <c r="R407" s="341" t="str">
        <f>IF(P407="","",'Historique détail'!Q407/$W407)</f>
        <v/>
      </c>
      <c r="S407" s="341" t="str">
        <f>IF(Q407="","",'Historique détail'!R407/$W407)</f>
        <v/>
      </c>
      <c r="T407" s="341" t="str">
        <f>IF(R407="","",'Historique détail'!S407/$W407)</f>
        <v/>
      </c>
      <c r="U407" s="340" t="str">
        <f t="shared" si="2"/>
        <v/>
      </c>
      <c r="V407" s="14" t="str">
        <f>IF(A407="","",ARBITRAGES!M408)</f>
        <v/>
      </c>
      <c r="W407" s="343" t="str">
        <f>IF(V407="","",'Historique détail'!U407)</f>
        <v/>
      </c>
      <c r="X407" s="288"/>
      <c r="Y407" s="220"/>
      <c r="Z407" s="220"/>
      <c r="AA407" s="220"/>
      <c r="AB407" s="220"/>
      <c r="AC407" s="220"/>
      <c r="AD407" s="220"/>
      <c r="AE407" s="220"/>
      <c r="AF407" s="220"/>
      <c r="AG407" s="220"/>
      <c r="AH407" s="220"/>
      <c r="AI407" s="308"/>
      <c r="AJ407" s="220"/>
      <c r="AK407" s="220"/>
      <c r="AL407" s="220"/>
      <c r="AM407" s="220"/>
      <c r="AN407" s="220"/>
      <c r="AO407" s="220"/>
      <c r="AP407" s="220"/>
      <c r="AQ407" s="220"/>
      <c r="AR407" s="220"/>
      <c r="AS407" s="220"/>
      <c r="AT407" s="220"/>
      <c r="AU407" s="220"/>
      <c r="AV407" s="220"/>
      <c r="AW407" s="220"/>
      <c r="AX407" s="220"/>
      <c r="AY407" s="220"/>
      <c r="AZ407" s="220"/>
      <c r="BA407" s="220"/>
      <c r="BB407" s="220"/>
    </row>
    <row r="408">
      <c r="A408" s="240"/>
      <c r="B408" s="302" t="str">
        <f t="shared" si="1"/>
        <v/>
      </c>
      <c r="C408" s="341" t="str">
        <f>IF(A408="","",'Historique détail'!B408/$W408)</f>
        <v/>
      </c>
      <c r="D408" s="341" t="str">
        <f>IF(B408="","",'Historique détail'!C408/$W408)</f>
        <v/>
      </c>
      <c r="E408" s="341" t="str">
        <f>IF(C408="","",'Historique détail'!D408/$W408)</f>
        <v/>
      </c>
      <c r="F408" s="341" t="str">
        <f>IF(D408="","",'Historique détail'!E408/$W408)</f>
        <v/>
      </c>
      <c r="G408" s="341" t="str">
        <f>IF(E408="","",'Historique détail'!F408/$W408)</f>
        <v/>
      </c>
      <c r="H408" s="341" t="str">
        <f>IF(F408="","",'Historique détail'!G408/$W408)</f>
        <v/>
      </c>
      <c r="I408" s="341" t="str">
        <f>IF(G408="","",'Historique détail'!H408/$W408)</f>
        <v/>
      </c>
      <c r="J408" s="341" t="str">
        <f>IF(H408="","",'Historique détail'!I408/$W408)</f>
        <v/>
      </c>
      <c r="K408" s="341" t="str">
        <f>IF(I408="","",'Historique détail'!J408/$W408)</f>
        <v/>
      </c>
      <c r="L408" s="341" t="str">
        <f>IF(J408="","",'Historique détail'!K408/$W408)</f>
        <v/>
      </c>
      <c r="M408" s="341" t="str">
        <f>IF(K408="","",'Historique détail'!L408/$W408)</f>
        <v/>
      </c>
      <c r="N408" s="341" t="str">
        <f>IF(L408="","",'Historique détail'!M408/$W408)</f>
        <v/>
      </c>
      <c r="O408" s="341" t="str">
        <f>IF(M408="","",'Historique détail'!N408/$W408)</f>
        <v/>
      </c>
      <c r="P408" s="341" t="str">
        <f>IF(N408="","",'Historique détail'!O408/$W408)</f>
        <v/>
      </c>
      <c r="Q408" s="341" t="str">
        <f>IF(O408="","",'Historique détail'!P408/$W408)</f>
        <v/>
      </c>
      <c r="R408" s="341" t="str">
        <f>IF(P408="","",'Historique détail'!Q408/$W408)</f>
        <v/>
      </c>
      <c r="S408" s="341" t="str">
        <f>IF(Q408="","",'Historique détail'!R408/$W408)</f>
        <v/>
      </c>
      <c r="T408" s="341" t="str">
        <f>IF(R408="","",'Historique détail'!S408/$W408)</f>
        <v/>
      </c>
      <c r="U408" s="340" t="str">
        <f t="shared" si="2"/>
        <v/>
      </c>
      <c r="V408" s="14" t="str">
        <f>IF(A408="","",ARBITRAGES!M409)</f>
        <v/>
      </c>
      <c r="W408" s="343" t="str">
        <f>IF(V408="","",'Historique détail'!U408)</f>
        <v/>
      </c>
      <c r="X408" s="288"/>
      <c r="Y408" s="220"/>
      <c r="Z408" s="220"/>
      <c r="AA408" s="220"/>
      <c r="AB408" s="220"/>
      <c r="AC408" s="220"/>
      <c r="AD408" s="220"/>
      <c r="AE408" s="220"/>
      <c r="AF408" s="220"/>
      <c r="AG408" s="220"/>
      <c r="AH408" s="220"/>
      <c r="AI408" s="308"/>
      <c r="AJ408" s="220"/>
      <c r="AK408" s="220"/>
      <c r="AL408" s="220"/>
      <c r="AM408" s="220"/>
      <c r="AN408" s="220"/>
      <c r="AO408" s="220"/>
      <c r="AP408" s="220"/>
      <c r="AQ408" s="220"/>
      <c r="AR408" s="220"/>
      <c r="AS408" s="220"/>
      <c r="AT408" s="220"/>
      <c r="AU408" s="220"/>
      <c r="AV408" s="220"/>
      <c r="AW408" s="220"/>
      <c r="AX408" s="220"/>
      <c r="AY408" s="220"/>
      <c r="AZ408" s="220"/>
      <c r="BA408" s="220"/>
      <c r="BB408" s="220"/>
    </row>
    <row r="409">
      <c r="A409" s="240"/>
      <c r="B409" s="302" t="str">
        <f t="shared" si="1"/>
        <v/>
      </c>
      <c r="C409" s="341" t="str">
        <f>IF(A409="","",'Historique détail'!B409/$W409)</f>
        <v/>
      </c>
      <c r="D409" s="341" t="str">
        <f>IF(B409="","",'Historique détail'!C409/$W409)</f>
        <v/>
      </c>
      <c r="E409" s="341" t="str">
        <f>IF(C409="","",'Historique détail'!D409/$W409)</f>
        <v/>
      </c>
      <c r="F409" s="341" t="str">
        <f>IF(D409="","",'Historique détail'!E409/$W409)</f>
        <v/>
      </c>
      <c r="G409" s="341" t="str">
        <f>IF(E409="","",'Historique détail'!F409/$W409)</f>
        <v/>
      </c>
      <c r="H409" s="341" t="str">
        <f>IF(F409="","",'Historique détail'!G409/$W409)</f>
        <v/>
      </c>
      <c r="I409" s="341" t="str">
        <f>IF(G409="","",'Historique détail'!H409/$W409)</f>
        <v/>
      </c>
      <c r="J409" s="341" t="str">
        <f>IF(H409="","",'Historique détail'!I409/$W409)</f>
        <v/>
      </c>
      <c r="K409" s="341" t="str">
        <f>IF(I409="","",'Historique détail'!J409/$W409)</f>
        <v/>
      </c>
      <c r="L409" s="341" t="str">
        <f>IF(J409="","",'Historique détail'!K409/$W409)</f>
        <v/>
      </c>
      <c r="M409" s="341" t="str">
        <f>IF(K409="","",'Historique détail'!L409/$W409)</f>
        <v/>
      </c>
      <c r="N409" s="341" t="str">
        <f>IF(L409="","",'Historique détail'!M409/$W409)</f>
        <v/>
      </c>
      <c r="O409" s="341" t="str">
        <f>IF(M409="","",'Historique détail'!N409/$W409)</f>
        <v/>
      </c>
      <c r="P409" s="341" t="str">
        <f>IF(N409="","",'Historique détail'!O409/$W409)</f>
        <v/>
      </c>
      <c r="Q409" s="341" t="str">
        <f>IF(O409="","",'Historique détail'!P409/$W409)</f>
        <v/>
      </c>
      <c r="R409" s="341" t="str">
        <f>IF(P409="","",'Historique détail'!Q409/$W409)</f>
        <v/>
      </c>
      <c r="S409" s="341" t="str">
        <f>IF(Q409="","",'Historique détail'!R409/$W409)</f>
        <v/>
      </c>
      <c r="T409" s="341" t="str">
        <f>IF(R409="","",'Historique détail'!S409/$W409)</f>
        <v/>
      </c>
      <c r="U409" s="340" t="str">
        <f t="shared" si="2"/>
        <v/>
      </c>
      <c r="V409" s="14" t="str">
        <f>IF(A409="","",ARBITRAGES!M410)</f>
        <v/>
      </c>
      <c r="W409" s="343" t="str">
        <f>IF(V409="","",'Historique détail'!U409)</f>
        <v/>
      </c>
      <c r="X409" s="288"/>
      <c r="Y409" s="220"/>
      <c r="Z409" s="220"/>
      <c r="AA409" s="220"/>
      <c r="AB409" s="220"/>
      <c r="AC409" s="220"/>
      <c r="AD409" s="220"/>
      <c r="AE409" s="220"/>
      <c r="AF409" s="220"/>
      <c r="AG409" s="220"/>
      <c r="AH409" s="220"/>
      <c r="AI409" s="308"/>
      <c r="AJ409" s="220"/>
      <c r="AK409" s="220"/>
      <c r="AL409" s="220"/>
      <c r="AM409" s="220"/>
      <c r="AN409" s="220"/>
      <c r="AO409" s="220"/>
      <c r="AP409" s="220"/>
      <c r="AQ409" s="220"/>
      <c r="AR409" s="220"/>
      <c r="AS409" s="220"/>
      <c r="AT409" s="220"/>
      <c r="AU409" s="220"/>
      <c r="AV409" s="220"/>
      <c r="AW409" s="220"/>
      <c r="AX409" s="220"/>
      <c r="AY409" s="220"/>
      <c r="AZ409" s="220"/>
      <c r="BA409" s="220"/>
      <c r="BB409" s="220"/>
    </row>
    <row r="410">
      <c r="A410" s="240"/>
      <c r="B410" s="302" t="str">
        <f t="shared" si="1"/>
        <v/>
      </c>
      <c r="C410" s="341" t="str">
        <f>IF(A410="","",'Historique détail'!B410/$W410)</f>
        <v/>
      </c>
      <c r="D410" s="341" t="str">
        <f>IF(B410="","",'Historique détail'!C410/$W410)</f>
        <v/>
      </c>
      <c r="E410" s="341" t="str">
        <f>IF(C410="","",'Historique détail'!D410/$W410)</f>
        <v/>
      </c>
      <c r="F410" s="341" t="str">
        <f>IF(D410="","",'Historique détail'!E410/$W410)</f>
        <v/>
      </c>
      <c r="G410" s="341" t="str">
        <f>IF(E410="","",'Historique détail'!F410/$W410)</f>
        <v/>
      </c>
      <c r="H410" s="341" t="str">
        <f>IF(F410="","",'Historique détail'!G410/$W410)</f>
        <v/>
      </c>
      <c r="I410" s="341" t="str">
        <f>IF(G410="","",'Historique détail'!H410/$W410)</f>
        <v/>
      </c>
      <c r="J410" s="341" t="str">
        <f>IF(H410="","",'Historique détail'!I410/$W410)</f>
        <v/>
      </c>
      <c r="K410" s="341" t="str">
        <f>IF(I410="","",'Historique détail'!J410/$W410)</f>
        <v/>
      </c>
      <c r="L410" s="341" t="str">
        <f>IF(J410="","",'Historique détail'!K410/$W410)</f>
        <v/>
      </c>
      <c r="M410" s="341" t="str">
        <f>IF(K410="","",'Historique détail'!L410/$W410)</f>
        <v/>
      </c>
      <c r="N410" s="341" t="str">
        <f>IF(L410="","",'Historique détail'!M410/$W410)</f>
        <v/>
      </c>
      <c r="O410" s="341" t="str">
        <f>IF(M410="","",'Historique détail'!N410/$W410)</f>
        <v/>
      </c>
      <c r="P410" s="341" t="str">
        <f>IF(N410="","",'Historique détail'!O410/$W410)</f>
        <v/>
      </c>
      <c r="Q410" s="341" t="str">
        <f>IF(O410="","",'Historique détail'!P410/$W410)</f>
        <v/>
      </c>
      <c r="R410" s="341" t="str">
        <f>IF(P410="","",'Historique détail'!Q410/$W410)</f>
        <v/>
      </c>
      <c r="S410" s="341" t="str">
        <f>IF(Q410="","",'Historique détail'!R410/$W410)</f>
        <v/>
      </c>
      <c r="T410" s="341" t="str">
        <f>IF(R410="","",'Historique détail'!S410/$W410)</f>
        <v/>
      </c>
      <c r="U410" s="340" t="str">
        <f t="shared" si="2"/>
        <v/>
      </c>
      <c r="V410" s="14" t="str">
        <f>IF(A410="","",ARBITRAGES!M411)</f>
        <v/>
      </c>
      <c r="W410" s="343" t="str">
        <f>IF(V410="","",'Historique détail'!U410)</f>
        <v/>
      </c>
      <c r="X410" s="288"/>
      <c r="Y410" s="220"/>
      <c r="Z410" s="220"/>
      <c r="AA410" s="220"/>
      <c r="AB410" s="220"/>
      <c r="AC410" s="220"/>
      <c r="AD410" s="220"/>
      <c r="AE410" s="220"/>
      <c r="AF410" s="220"/>
      <c r="AG410" s="220"/>
      <c r="AH410" s="220"/>
      <c r="AI410" s="308"/>
      <c r="AJ410" s="220"/>
      <c r="AK410" s="220"/>
      <c r="AL410" s="220"/>
      <c r="AM410" s="220"/>
      <c r="AN410" s="220"/>
      <c r="AO410" s="220"/>
      <c r="AP410" s="220"/>
      <c r="AQ410" s="220"/>
      <c r="AR410" s="220"/>
      <c r="AS410" s="220"/>
      <c r="AT410" s="220"/>
      <c r="AU410" s="220"/>
      <c r="AV410" s="220"/>
      <c r="AW410" s="220"/>
      <c r="AX410" s="220"/>
      <c r="AY410" s="220"/>
      <c r="AZ410" s="220"/>
      <c r="BA410" s="220"/>
      <c r="BB410" s="220"/>
    </row>
    <row r="411">
      <c r="A411" s="240"/>
      <c r="B411" s="302" t="str">
        <f t="shared" si="1"/>
        <v/>
      </c>
      <c r="C411" s="341" t="str">
        <f>IF(A411="","",'Historique détail'!B411/$W411)</f>
        <v/>
      </c>
      <c r="D411" s="341" t="str">
        <f>IF(B411="","",'Historique détail'!C411/$W411)</f>
        <v/>
      </c>
      <c r="E411" s="341" t="str">
        <f>IF(C411="","",'Historique détail'!D411/$W411)</f>
        <v/>
      </c>
      <c r="F411" s="341" t="str">
        <f>IF(D411="","",'Historique détail'!E411/$W411)</f>
        <v/>
      </c>
      <c r="G411" s="341" t="str">
        <f>IF(E411="","",'Historique détail'!F411/$W411)</f>
        <v/>
      </c>
      <c r="H411" s="341" t="str">
        <f>IF(F411="","",'Historique détail'!G411/$W411)</f>
        <v/>
      </c>
      <c r="I411" s="341" t="str">
        <f>IF(G411="","",'Historique détail'!H411/$W411)</f>
        <v/>
      </c>
      <c r="J411" s="341" t="str">
        <f>IF(H411="","",'Historique détail'!I411/$W411)</f>
        <v/>
      </c>
      <c r="K411" s="341" t="str">
        <f>IF(I411="","",'Historique détail'!J411/$W411)</f>
        <v/>
      </c>
      <c r="L411" s="341" t="str">
        <f>IF(J411="","",'Historique détail'!K411/$W411)</f>
        <v/>
      </c>
      <c r="M411" s="341" t="str">
        <f>IF(K411="","",'Historique détail'!L411/$W411)</f>
        <v/>
      </c>
      <c r="N411" s="341" t="str">
        <f>IF(L411="","",'Historique détail'!M411/$W411)</f>
        <v/>
      </c>
      <c r="O411" s="341" t="str">
        <f>IF(M411="","",'Historique détail'!N411/$W411)</f>
        <v/>
      </c>
      <c r="P411" s="341" t="str">
        <f>IF(N411="","",'Historique détail'!O411/$W411)</f>
        <v/>
      </c>
      <c r="Q411" s="341" t="str">
        <f>IF(O411="","",'Historique détail'!P411/$W411)</f>
        <v/>
      </c>
      <c r="R411" s="341" t="str">
        <f>IF(P411="","",'Historique détail'!Q411/$W411)</f>
        <v/>
      </c>
      <c r="S411" s="341" t="str">
        <f>IF(Q411="","",'Historique détail'!R411/$W411)</f>
        <v/>
      </c>
      <c r="T411" s="341" t="str">
        <f>IF(R411="","",'Historique détail'!S411/$W411)</f>
        <v/>
      </c>
      <c r="U411" s="340" t="str">
        <f t="shared" si="2"/>
        <v/>
      </c>
      <c r="V411" s="14" t="str">
        <f>IF(A411="","",ARBITRAGES!M412)</f>
        <v/>
      </c>
      <c r="W411" s="343" t="str">
        <f>IF(V411="","",'Historique détail'!U411)</f>
        <v/>
      </c>
      <c r="X411" s="288"/>
      <c r="Y411" s="220"/>
      <c r="Z411" s="220"/>
      <c r="AA411" s="220"/>
      <c r="AB411" s="220"/>
      <c r="AC411" s="220"/>
      <c r="AD411" s="220"/>
      <c r="AE411" s="220"/>
      <c r="AF411" s="220"/>
      <c r="AG411" s="220"/>
      <c r="AH411" s="220"/>
      <c r="AI411" s="308"/>
      <c r="AJ411" s="220"/>
      <c r="AK411" s="220"/>
      <c r="AL411" s="220"/>
      <c r="AM411" s="220"/>
      <c r="AN411" s="220"/>
      <c r="AO411" s="220"/>
      <c r="AP411" s="220"/>
      <c r="AQ411" s="220"/>
      <c r="AR411" s="220"/>
      <c r="AS411" s="220"/>
      <c r="AT411" s="220"/>
      <c r="AU411" s="220"/>
      <c r="AV411" s="220"/>
      <c r="AW411" s="220"/>
      <c r="AX411" s="220"/>
      <c r="AY411" s="220"/>
      <c r="AZ411" s="220"/>
      <c r="BA411" s="220"/>
      <c r="BB411" s="220"/>
    </row>
    <row r="412">
      <c r="A412" s="240"/>
      <c r="B412" s="302" t="str">
        <f t="shared" si="1"/>
        <v/>
      </c>
      <c r="C412" s="341" t="str">
        <f>IF(A412="","",'Historique détail'!B412/$W412)</f>
        <v/>
      </c>
      <c r="D412" s="341" t="str">
        <f>IF(B412="","",'Historique détail'!C412/$W412)</f>
        <v/>
      </c>
      <c r="E412" s="341" t="str">
        <f>IF(C412="","",'Historique détail'!D412/$W412)</f>
        <v/>
      </c>
      <c r="F412" s="341" t="str">
        <f>IF(D412="","",'Historique détail'!E412/$W412)</f>
        <v/>
      </c>
      <c r="G412" s="341" t="str">
        <f>IF(E412="","",'Historique détail'!F412/$W412)</f>
        <v/>
      </c>
      <c r="H412" s="341" t="str">
        <f>IF(F412="","",'Historique détail'!G412/$W412)</f>
        <v/>
      </c>
      <c r="I412" s="341" t="str">
        <f>IF(G412="","",'Historique détail'!H412/$W412)</f>
        <v/>
      </c>
      <c r="J412" s="341" t="str">
        <f>IF(H412="","",'Historique détail'!I412/$W412)</f>
        <v/>
      </c>
      <c r="K412" s="341" t="str">
        <f>IF(I412="","",'Historique détail'!J412/$W412)</f>
        <v/>
      </c>
      <c r="L412" s="341" t="str">
        <f>IF(J412="","",'Historique détail'!K412/$W412)</f>
        <v/>
      </c>
      <c r="M412" s="341" t="str">
        <f>IF(K412="","",'Historique détail'!L412/$W412)</f>
        <v/>
      </c>
      <c r="N412" s="341" t="str">
        <f>IF(L412="","",'Historique détail'!M412/$W412)</f>
        <v/>
      </c>
      <c r="O412" s="341" t="str">
        <f>IF(M412="","",'Historique détail'!N412/$W412)</f>
        <v/>
      </c>
      <c r="P412" s="341" t="str">
        <f>IF(N412="","",'Historique détail'!O412/$W412)</f>
        <v/>
      </c>
      <c r="Q412" s="341" t="str">
        <f>IF(O412="","",'Historique détail'!P412/$W412)</f>
        <v/>
      </c>
      <c r="R412" s="341" t="str">
        <f>IF(P412="","",'Historique détail'!Q412/$W412)</f>
        <v/>
      </c>
      <c r="S412" s="341" t="str">
        <f>IF(Q412="","",'Historique détail'!R412/$W412)</f>
        <v/>
      </c>
      <c r="T412" s="341" t="str">
        <f>IF(R412="","",'Historique détail'!S412/$W412)</f>
        <v/>
      </c>
      <c r="U412" s="340" t="str">
        <f t="shared" si="2"/>
        <v/>
      </c>
      <c r="V412" s="14" t="str">
        <f>IF(A412="","",ARBITRAGES!M413)</f>
        <v/>
      </c>
      <c r="W412" s="343" t="str">
        <f>IF(V412="","",'Historique détail'!U412)</f>
        <v/>
      </c>
      <c r="X412" s="288"/>
      <c r="Y412" s="220"/>
      <c r="Z412" s="220"/>
      <c r="AA412" s="220"/>
      <c r="AB412" s="220"/>
      <c r="AC412" s="220"/>
      <c r="AD412" s="220"/>
      <c r="AE412" s="220"/>
      <c r="AF412" s="220"/>
      <c r="AG412" s="220"/>
      <c r="AH412" s="220"/>
      <c r="AI412" s="308"/>
      <c r="AJ412" s="220"/>
      <c r="AK412" s="220"/>
      <c r="AL412" s="220"/>
      <c r="AM412" s="220"/>
      <c r="AN412" s="220"/>
      <c r="AO412" s="220"/>
      <c r="AP412" s="220"/>
      <c r="AQ412" s="220"/>
      <c r="AR412" s="220"/>
      <c r="AS412" s="220"/>
      <c r="AT412" s="220"/>
      <c r="AU412" s="220"/>
      <c r="AV412" s="220"/>
      <c r="AW412" s="220"/>
      <c r="AX412" s="220"/>
      <c r="AY412" s="220"/>
      <c r="AZ412" s="220"/>
      <c r="BA412" s="220"/>
      <c r="BB412" s="220"/>
    </row>
    <row r="413">
      <c r="A413" s="240"/>
      <c r="B413" s="302" t="str">
        <f t="shared" si="1"/>
        <v/>
      </c>
      <c r="C413" s="341" t="str">
        <f>IF(A413="","",'Historique détail'!B413/$W413)</f>
        <v/>
      </c>
      <c r="D413" s="341" t="str">
        <f>IF(B413="","",'Historique détail'!C413/$W413)</f>
        <v/>
      </c>
      <c r="E413" s="341" t="str">
        <f>IF(C413="","",'Historique détail'!D413/$W413)</f>
        <v/>
      </c>
      <c r="F413" s="341" t="str">
        <f>IF(D413="","",'Historique détail'!E413/$W413)</f>
        <v/>
      </c>
      <c r="G413" s="341" t="str">
        <f>IF(E413="","",'Historique détail'!F413/$W413)</f>
        <v/>
      </c>
      <c r="H413" s="341" t="str">
        <f>IF(F413="","",'Historique détail'!G413/$W413)</f>
        <v/>
      </c>
      <c r="I413" s="341" t="str">
        <f>IF(G413="","",'Historique détail'!H413/$W413)</f>
        <v/>
      </c>
      <c r="J413" s="341" t="str">
        <f>IF(H413="","",'Historique détail'!I413/$W413)</f>
        <v/>
      </c>
      <c r="K413" s="341" t="str">
        <f>IF(I413="","",'Historique détail'!J413/$W413)</f>
        <v/>
      </c>
      <c r="L413" s="341" t="str">
        <f>IF(J413="","",'Historique détail'!K413/$W413)</f>
        <v/>
      </c>
      <c r="M413" s="341" t="str">
        <f>IF(K413="","",'Historique détail'!L413/$W413)</f>
        <v/>
      </c>
      <c r="N413" s="341" t="str">
        <f>IF(L413="","",'Historique détail'!M413/$W413)</f>
        <v/>
      </c>
      <c r="O413" s="341" t="str">
        <f>IF(M413="","",'Historique détail'!N413/$W413)</f>
        <v/>
      </c>
      <c r="P413" s="341" t="str">
        <f>IF(N413="","",'Historique détail'!O413/$W413)</f>
        <v/>
      </c>
      <c r="Q413" s="341" t="str">
        <f>IF(O413="","",'Historique détail'!P413/$W413)</f>
        <v/>
      </c>
      <c r="R413" s="341" t="str">
        <f>IF(P413="","",'Historique détail'!Q413/$W413)</f>
        <v/>
      </c>
      <c r="S413" s="341" t="str">
        <f>IF(Q413="","",'Historique détail'!R413/$W413)</f>
        <v/>
      </c>
      <c r="T413" s="341" t="str">
        <f>IF(R413="","",'Historique détail'!S413/$W413)</f>
        <v/>
      </c>
      <c r="U413" s="340" t="str">
        <f t="shared" si="2"/>
        <v/>
      </c>
      <c r="V413" s="14" t="str">
        <f>IF(A413="","",ARBITRAGES!M414)</f>
        <v/>
      </c>
      <c r="W413" s="343" t="str">
        <f>IF(V413="","",'Historique détail'!U413)</f>
        <v/>
      </c>
      <c r="X413" s="288"/>
      <c r="Y413" s="220"/>
      <c r="Z413" s="220"/>
      <c r="AA413" s="220"/>
      <c r="AB413" s="220"/>
      <c r="AC413" s="220"/>
      <c r="AD413" s="220"/>
      <c r="AE413" s="220"/>
      <c r="AF413" s="220"/>
      <c r="AG413" s="220"/>
      <c r="AH413" s="220"/>
      <c r="AI413" s="308"/>
      <c r="AJ413" s="220"/>
      <c r="AK413" s="220"/>
      <c r="AL413" s="220"/>
      <c r="AM413" s="220"/>
      <c r="AN413" s="220"/>
      <c r="AO413" s="220"/>
      <c r="AP413" s="220"/>
      <c r="AQ413" s="220"/>
      <c r="AR413" s="220"/>
      <c r="AS413" s="220"/>
      <c r="AT413" s="220"/>
      <c r="AU413" s="220"/>
      <c r="AV413" s="220"/>
      <c r="AW413" s="220"/>
      <c r="AX413" s="220"/>
      <c r="AY413" s="220"/>
      <c r="AZ413" s="220"/>
      <c r="BA413" s="220"/>
      <c r="BB413" s="220"/>
    </row>
    <row r="414">
      <c r="A414" s="240"/>
      <c r="B414" s="302" t="str">
        <f t="shared" si="1"/>
        <v/>
      </c>
      <c r="C414" s="341" t="str">
        <f>IF(A414="","",'Historique détail'!B414/$W414)</f>
        <v/>
      </c>
      <c r="D414" s="341" t="str">
        <f>IF(B414="","",'Historique détail'!C414/$W414)</f>
        <v/>
      </c>
      <c r="E414" s="341" t="str">
        <f>IF(C414="","",'Historique détail'!D414/$W414)</f>
        <v/>
      </c>
      <c r="F414" s="341" t="str">
        <f>IF(D414="","",'Historique détail'!E414/$W414)</f>
        <v/>
      </c>
      <c r="G414" s="341" t="str">
        <f>IF(E414="","",'Historique détail'!F414/$W414)</f>
        <v/>
      </c>
      <c r="H414" s="341" t="str">
        <f>IF(F414="","",'Historique détail'!G414/$W414)</f>
        <v/>
      </c>
      <c r="I414" s="341" t="str">
        <f>IF(G414="","",'Historique détail'!H414/$W414)</f>
        <v/>
      </c>
      <c r="J414" s="341" t="str">
        <f>IF(H414="","",'Historique détail'!I414/$W414)</f>
        <v/>
      </c>
      <c r="K414" s="341" t="str">
        <f>IF(I414="","",'Historique détail'!J414/$W414)</f>
        <v/>
      </c>
      <c r="L414" s="341" t="str">
        <f>IF(J414="","",'Historique détail'!K414/$W414)</f>
        <v/>
      </c>
      <c r="M414" s="341" t="str">
        <f>IF(K414="","",'Historique détail'!L414/$W414)</f>
        <v/>
      </c>
      <c r="N414" s="341" t="str">
        <f>IF(L414="","",'Historique détail'!M414/$W414)</f>
        <v/>
      </c>
      <c r="O414" s="341" t="str">
        <f>IF(M414="","",'Historique détail'!N414/$W414)</f>
        <v/>
      </c>
      <c r="P414" s="341" t="str">
        <f>IF(N414="","",'Historique détail'!O414/$W414)</f>
        <v/>
      </c>
      <c r="Q414" s="341" t="str">
        <f>IF(O414="","",'Historique détail'!P414/$W414)</f>
        <v/>
      </c>
      <c r="R414" s="341" t="str">
        <f>IF(P414="","",'Historique détail'!Q414/$W414)</f>
        <v/>
      </c>
      <c r="S414" s="341" t="str">
        <f>IF(Q414="","",'Historique détail'!R414/$W414)</f>
        <v/>
      </c>
      <c r="T414" s="341" t="str">
        <f>IF(R414="","",'Historique détail'!S414/$W414)</f>
        <v/>
      </c>
      <c r="U414" s="340" t="str">
        <f t="shared" si="2"/>
        <v/>
      </c>
      <c r="V414" s="14" t="str">
        <f>IF(A414="","",ARBITRAGES!M415)</f>
        <v/>
      </c>
      <c r="W414" s="343" t="str">
        <f>IF(V414="","",'Historique détail'!U414)</f>
        <v/>
      </c>
      <c r="X414" s="288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0"/>
      <c r="AI414" s="308"/>
      <c r="AJ414" s="220"/>
      <c r="AK414" s="220"/>
      <c r="AL414" s="220"/>
      <c r="AM414" s="220"/>
      <c r="AN414" s="220"/>
      <c r="AO414" s="220"/>
      <c r="AP414" s="220"/>
      <c r="AQ414" s="220"/>
      <c r="AR414" s="220"/>
      <c r="AS414" s="220"/>
      <c r="AT414" s="220"/>
      <c r="AU414" s="220"/>
      <c r="AV414" s="220"/>
      <c r="AW414" s="220"/>
      <c r="AX414" s="220"/>
      <c r="AY414" s="220"/>
      <c r="AZ414" s="220"/>
      <c r="BA414" s="220"/>
      <c r="BB414" s="220"/>
    </row>
    <row r="415">
      <c r="A415" s="240"/>
      <c r="B415" s="302" t="str">
        <f t="shared" si="1"/>
        <v/>
      </c>
      <c r="C415" s="341" t="str">
        <f>IF(A415="","",'Historique détail'!B415/$W415)</f>
        <v/>
      </c>
      <c r="D415" s="341" t="str">
        <f>IF(B415="","",'Historique détail'!C415/$W415)</f>
        <v/>
      </c>
      <c r="E415" s="341" t="str">
        <f>IF(C415="","",'Historique détail'!D415/$W415)</f>
        <v/>
      </c>
      <c r="F415" s="341" t="str">
        <f>IF(D415="","",'Historique détail'!E415/$W415)</f>
        <v/>
      </c>
      <c r="G415" s="341" t="str">
        <f>IF(E415="","",'Historique détail'!F415/$W415)</f>
        <v/>
      </c>
      <c r="H415" s="341" t="str">
        <f>IF(F415="","",'Historique détail'!G415/$W415)</f>
        <v/>
      </c>
      <c r="I415" s="341" t="str">
        <f>IF(G415="","",'Historique détail'!H415/$W415)</f>
        <v/>
      </c>
      <c r="J415" s="341" t="str">
        <f>IF(H415="","",'Historique détail'!I415/$W415)</f>
        <v/>
      </c>
      <c r="K415" s="341" t="str">
        <f>IF(I415="","",'Historique détail'!J415/$W415)</f>
        <v/>
      </c>
      <c r="L415" s="341" t="str">
        <f>IF(J415="","",'Historique détail'!K415/$W415)</f>
        <v/>
      </c>
      <c r="M415" s="341" t="str">
        <f>IF(K415="","",'Historique détail'!L415/$W415)</f>
        <v/>
      </c>
      <c r="N415" s="341" t="str">
        <f>IF(L415="","",'Historique détail'!M415/$W415)</f>
        <v/>
      </c>
      <c r="O415" s="341" t="str">
        <f>IF(M415="","",'Historique détail'!N415/$W415)</f>
        <v/>
      </c>
      <c r="P415" s="341" t="str">
        <f>IF(N415="","",'Historique détail'!O415/$W415)</f>
        <v/>
      </c>
      <c r="Q415" s="341" t="str">
        <f>IF(O415="","",'Historique détail'!P415/$W415)</f>
        <v/>
      </c>
      <c r="R415" s="341" t="str">
        <f>IF(P415="","",'Historique détail'!Q415/$W415)</f>
        <v/>
      </c>
      <c r="S415" s="341" t="str">
        <f>IF(Q415="","",'Historique détail'!R415/$W415)</f>
        <v/>
      </c>
      <c r="T415" s="341" t="str">
        <f>IF(R415="","",'Historique détail'!S415/$W415)</f>
        <v/>
      </c>
      <c r="U415" s="340" t="str">
        <f t="shared" si="2"/>
        <v/>
      </c>
      <c r="V415" s="14" t="str">
        <f>IF(A415="","",ARBITRAGES!M416)</f>
        <v/>
      </c>
      <c r="W415" s="343" t="str">
        <f>IF(V415="","",'Historique détail'!U415)</f>
        <v/>
      </c>
      <c r="X415" s="288"/>
      <c r="Y415" s="220"/>
      <c r="Z415" s="220"/>
      <c r="AA415" s="220"/>
      <c r="AB415" s="220"/>
      <c r="AC415" s="220"/>
      <c r="AD415" s="220"/>
      <c r="AE415" s="220"/>
      <c r="AF415" s="220"/>
      <c r="AG415" s="220"/>
      <c r="AH415" s="220"/>
      <c r="AI415" s="308"/>
      <c r="AJ415" s="220"/>
      <c r="AK415" s="220"/>
      <c r="AL415" s="220"/>
      <c r="AM415" s="220"/>
      <c r="AN415" s="220"/>
      <c r="AO415" s="220"/>
      <c r="AP415" s="220"/>
      <c r="AQ415" s="220"/>
      <c r="AR415" s="220"/>
      <c r="AS415" s="220"/>
      <c r="AT415" s="220"/>
      <c r="AU415" s="220"/>
      <c r="AV415" s="220"/>
      <c r="AW415" s="220"/>
      <c r="AX415" s="220"/>
      <c r="AY415" s="220"/>
      <c r="AZ415" s="220"/>
      <c r="BA415" s="220"/>
      <c r="BB415" s="220"/>
    </row>
    <row r="416">
      <c r="A416" s="240"/>
      <c r="B416" s="302" t="str">
        <f t="shared" si="1"/>
        <v/>
      </c>
      <c r="C416" s="341" t="str">
        <f>IF(A416="","",'Historique détail'!B416/$W416)</f>
        <v/>
      </c>
      <c r="D416" s="341" t="str">
        <f>IF(B416="","",'Historique détail'!C416/$W416)</f>
        <v/>
      </c>
      <c r="E416" s="341" t="str">
        <f>IF(C416="","",'Historique détail'!D416/$W416)</f>
        <v/>
      </c>
      <c r="F416" s="341" t="str">
        <f>IF(D416="","",'Historique détail'!E416/$W416)</f>
        <v/>
      </c>
      <c r="G416" s="341" t="str">
        <f>IF(E416="","",'Historique détail'!F416/$W416)</f>
        <v/>
      </c>
      <c r="H416" s="341" t="str">
        <f>IF(F416="","",'Historique détail'!G416/$W416)</f>
        <v/>
      </c>
      <c r="I416" s="341" t="str">
        <f>IF(G416="","",'Historique détail'!H416/$W416)</f>
        <v/>
      </c>
      <c r="J416" s="341" t="str">
        <f>IF(H416="","",'Historique détail'!I416/$W416)</f>
        <v/>
      </c>
      <c r="K416" s="341" t="str">
        <f>IF(I416="","",'Historique détail'!J416/$W416)</f>
        <v/>
      </c>
      <c r="L416" s="341" t="str">
        <f>IF(J416="","",'Historique détail'!K416/$W416)</f>
        <v/>
      </c>
      <c r="M416" s="341" t="str">
        <f>IF(K416="","",'Historique détail'!L416/$W416)</f>
        <v/>
      </c>
      <c r="N416" s="341" t="str">
        <f>IF(L416="","",'Historique détail'!M416/$W416)</f>
        <v/>
      </c>
      <c r="O416" s="341" t="str">
        <f>IF(M416="","",'Historique détail'!N416/$W416)</f>
        <v/>
      </c>
      <c r="P416" s="341" t="str">
        <f>IF(N416="","",'Historique détail'!O416/$W416)</f>
        <v/>
      </c>
      <c r="Q416" s="341" t="str">
        <f>IF(O416="","",'Historique détail'!P416/$W416)</f>
        <v/>
      </c>
      <c r="R416" s="341" t="str">
        <f>IF(P416="","",'Historique détail'!Q416/$W416)</f>
        <v/>
      </c>
      <c r="S416" s="341" t="str">
        <f>IF(Q416="","",'Historique détail'!R416/$W416)</f>
        <v/>
      </c>
      <c r="T416" s="341" t="str">
        <f>IF(R416="","",'Historique détail'!S416/$W416)</f>
        <v/>
      </c>
      <c r="U416" s="340" t="str">
        <f t="shared" si="2"/>
        <v/>
      </c>
      <c r="V416" s="14" t="str">
        <f>IF(A416="","",ARBITRAGES!M417)</f>
        <v/>
      </c>
      <c r="W416" s="343" t="str">
        <f>IF(V416="","",'Historique détail'!U416)</f>
        <v/>
      </c>
      <c r="X416" s="288"/>
      <c r="Y416" s="220"/>
      <c r="Z416" s="220"/>
      <c r="AA416" s="220"/>
      <c r="AB416" s="220"/>
      <c r="AC416" s="220"/>
      <c r="AD416" s="220"/>
      <c r="AE416" s="220"/>
      <c r="AF416" s="220"/>
      <c r="AG416" s="220"/>
      <c r="AH416" s="220"/>
      <c r="AI416" s="308"/>
      <c r="AJ416" s="220"/>
      <c r="AK416" s="220"/>
      <c r="AL416" s="220"/>
      <c r="AM416" s="220"/>
      <c r="AN416" s="220"/>
      <c r="AO416" s="220"/>
      <c r="AP416" s="220"/>
      <c r="AQ416" s="220"/>
      <c r="AR416" s="220"/>
      <c r="AS416" s="220"/>
      <c r="AT416" s="220"/>
      <c r="AU416" s="220"/>
      <c r="AV416" s="220"/>
      <c r="AW416" s="220"/>
      <c r="AX416" s="220"/>
      <c r="AY416" s="220"/>
      <c r="AZ416" s="220"/>
      <c r="BA416" s="220"/>
      <c r="BB416" s="220"/>
    </row>
    <row r="417">
      <c r="A417" s="240"/>
      <c r="B417" s="302" t="str">
        <f t="shared" si="1"/>
        <v/>
      </c>
      <c r="C417" s="341" t="str">
        <f>IF(A417="","",'Historique détail'!B417/$W417)</f>
        <v/>
      </c>
      <c r="D417" s="341" t="str">
        <f>IF(B417="","",'Historique détail'!C417/$W417)</f>
        <v/>
      </c>
      <c r="E417" s="341" t="str">
        <f>IF(C417="","",'Historique détail'!D417/$W417)</f>
        <v/>
      </c>
      <c r="F417" s="341" t="str">
        <f>IF(D417="","",'Historique détail'!E417/$W417)</f>
        <v/>
      </c>
      <c r="G417" s="341" t="str">
        <f>IF(E417="","",'Historique détail'!F417/$W417)</f>
        <v/>
      </c>
      <c r="H417" s="341" t="str">
        <f>IF(F417="","",'Historique détail'!G417/$W417)</f>
        <v/>
      </c>
      <c r="I417" s="341" t="str">
        <f>IF(G417="","",'Historique détail'!H417/$W417)</f>
        <v/>
      </c>
      <c r="J417" s="341" t="str">
        <f>IF(H417="","",'Historique détail'!I417/$W417)</f>
        <v/>
      </c>
      <c r="K417" s="341" t="str">
        <f>IF(I417="","",'Historique détail'!J417/$W417)</f>
        <v/>
      </c>
      <c r="L417" s="341" t="str">
        <f>IF(J417="","",'Historique détail'!K417/$W417)</f>
        <v/>
      </c>
      <c r="M417" s="341" t="str">
        <f>IF(K417="","",'Historique détail'!L417/$W417)</f>
        <v/>
      </c>
      <c r="N417" s="341" t="str">
        <f>IF(L417="","",'Historique détail'!M417/$W417)</f>
        <v/>
      </c>
      <c r="O417" s="341" t="str">
        <f>IF(M417="","",'Historique détail'!N417/$W417)</f>
        <v/>
      </c>
      <c r="P417" s="341" t="str">
        <f>IF(N417="","",'Historique détail'!O417/$W417)</f>
        <v/>
      </c>
      <c r="Q417" s="341" t="str">
        <f>IF(O417="","",'Historique détail'!P417/$W417)</f>
        <v/>
      </c>
      <c r="R417" s="341" t="str">
        <f>IF(P417="","",'Historique détail'!Q417/$W417)</f>
        <v/>
      </c>
      <c r="S417" s="341" t="str">
        <f>IF(Q417="","",'Historique détail'!R417/$W417)</f>
        <v/>
      </c>
      <c r="T417" s="341" t="str">
        <f>IF(R417="","",'Historique détail'!S417/$W417)</f>
        <v/>
      </c>
      <c r="U417" s="340" t="str">
        <f t="shared" si="2"/>
        <v/>
      </c>
      <c r="V417" s="14" t="str">
        <f>IF(A417="","",ARBITRAGES!M418)</f>
        <v/>
      </c>
      <c r="W417" s="343" t="str">
        <f>IF(V417="","",'Historique détail'!U417)</f>
        <v/>
      </c>
      <c r="X417" s="288"/>
      <c r="Y417" s="220"/>
      <c r="Z417" s="220"/>
      <c r="AA417" s="220"/>
      <c r="AB417" s="220"/>
      <c r="AC417" s="220"/>
      <c r="AD417" s="220"/>
      <c r="AE417" s="220"/>
      <c r="AF417" s="220"/>
      <c r="AG417" s="220"/>
      <c r="AH417" s="220"/>
      <c r="AI417" s="308"/>
      <c r="AJ417" s="220"/>
      <c r="AK417" s="220"/>
      <c r="AL417" s="220"/>
      <c r="AM417" s="220"/>
      <c r="AN417" s="220"/>
      <c r="AO417" s="220"/>
      <c r="AP417" s="220"/>
      <c r="AQ417" s="220"/>
      <c r="AR417" s="220"/>
      <c r="AS417" s="220"/>
      <c r="AT417" s="220"/>
      <c r="AU417" s="220"/>
      <c r="AV417" s="220"/>
      <c r="AW417" s="220"/>
      <c r="AX417" s="220"/>
      <c r="AY417" s="220"/>
      <c r="AZ417" s="220"/>
      <c r="BA417" s="220"/>
      <c r="BB417" s="220"/>
    </row>
    <row r="418">
      <c r="A418" s="240"/>
      <c r="B418" s="302" t="str">
        <f t="shared" si="1"/>
        <v/>
      </c>
      <c r="C418" s="341" t="str">
        <f>IF(A418="","",'Historique détail'!B418/$W418)</f>
        <v/>
      </c>
      <c r="D418" s="341" t="str">
        <f>IF(B418="","",'Historique détail'!C418/$W418)</f>
        <v/>
      </c>
      <c r="E418" s="341" t="str">
        <f>IF(C418="","",'Historique détail'!D418/$W418)</f>
        <v/>
      </c>
      <c r="F418" s="341" t="str">
        <f>IF(D418="","",'Historique détail'!E418/$W418)</f>
        <v/>
      </c>
      <c r="G418" s="341" t="str">
        <f>IF(E418="","",'Historique détail'!F418/$W418)</f>
        <v/>
      </c>
      <c r="H418" s="341" t="str">
        <f>IF(F418="","",'Historique détail'!G418/$W418)</f>
        <v/>
      </c>
      <c r="I418" s="341" t="str">
        <f>IF(G418="","",'Historique détail'!H418/$W418)</f>
        <v/>
      </c>
      <c r="J418" s="341" t="str">
        <f>IF(H418="","",'Historique détail'!I418/$W418)</f>
        <v/>
      </c>
      <c r="K418" s="341" t="str">
        <f>IF(I418="","",'Historique détail'!J418/$W418)</f>
        <v/>
      </c>
      <c r="L418" s="341" t="str">
        <f>IF(J418="","",'Historique détail'!K418/$W418)</f>
        <v/>
      </c>
      <c r="M418" s="341" t="str">
        <f>IF(K418="","",'Historique détail'!L418/$W418)</f>
        <v/>
      </c>
      <c r="N418" s="341" t="str">
        <f>IF(L418="","",'Historique détail'!M418/$W418)</f>
        <v/>
      </c>
      <c r="O418" s="341" t="str">
        <f>IF(M418="","",'Historique détail'!N418/$W418)</f>
        <v/>
      </c>
      <c r="P418" s="341" t="str">
        <f>IF(N418="","",'Historique détail'!O418/$W418)</f>
        <v/>
      </c>
      <c r="Q418" s="341" t="str">
        <f>IF(O418="","",'Historique détail'!P418/$W418)</f>
        <v/>
      </c>
      <c r="R418" s="341" t="str">
        <f>IF(P418="","",'Historique détail'!Q418/$W418)</f>
        <v/>
      </c>
      <c r="S418" s="341" t="str">
        <f>IF(Q418="","",'Historique détail'!R418/$W418)</f>
        <v/>
      </c>
      <c r="T418" s="341" t="str">
        <f>IF(R418="","",'Historique détail'!S418/$W418)</f>
        <v/>
      </c>
      <c r="U418" s="340" t="str">
        <f t="shared" si="2"/>
        <v/>
      </c>
      <c r="V418" s="14" t="str">
        <f>IF(A418="","",ARBITRAGES!M419)</f>
        <v/>
      </c>
      <c r="W418" s="343" t="str">
        <f>IF(V418="","",'Historique détail'!U418)</f>
        <v/>
      </c>
      <c r="X418" s="288"/>
      <c r="Y418" s="220"/>
      <c r="Z418" s="220"/>
      <c r="AA418" s="220"/>
      <c r="AB418" s="220"/>
      <c r="AC418" s="220"/>
      <c r="AD418" s="220"/>
      <c r="AE418" s="220"/>
      <c r="AF418" s="220"/>
      <c r="AG418" s="220"/>
      <c r="AH418" s="220"/>
      <c r="AI418" s="308"/>
      <c r="AJ418" s="220"/>
      <c r="AK418" s="220"/>
      <c r="AL418" s="220"/>
      <c r="AM418" s="220"/>
      <c r="AN418" s="220"/>
      <c r="AO418" s="220"/>
      <c r="AP418" s="220"/>
      <c r="AQ418" s="220"/>
      <c r="AR418" s="220"/>
      <c r="AS418" s="220"/>
      <c r="AT418" s="220"/>
      <c r="AU418" s="220"/>
      <c r="AV418" s="220"/>
      <c r="AW418" s="220"/>
      <c r="AX418" s="220"/>
      <c r="AY418" s="220"/>
      <c r="AZ418" s="220"/>
      <c r="BA418" s="220"/>
      <c r="BB418" s="220"/>
    </row>
    <row r="419">
      <c r="A419" s="240"/>
      <c r="B419" s="302" t="str">
        <f t="shared" si="1"/>
        <v/>
      </c>
      <c r="C419" s="341" t="str">
        <f>IF(A419="","",'Historique détail'!B419/$W419)</f>
        <v/>
      </c>
      <c r="D419" s="341" t="str">
        <f>IF(B419="","",'Historique détail'!C419/$W419)</f>
        <v/>
      </c>
      <c r="E419" s="341" t="str">
        <f>IF(C419="","",'Historique détail'!D419/$W419)</f>
        <v/>
      </c>
      <c r="F419" s="341" t="str">
        <f>IF(D419="","",'Historique détail'!E419/$W419)</f>
        <v/>
      </c>
      <c r="G419" s="341" t="str">
        <f>IF(E419="","",'Historique détail'!F419/$W419)</f>
        <v/>
      </c>
      <c r="H419" s="341" t="str">
        <f>IF(F419="","",'Historique détail'!G419/$W419)</f>
        <v/>
      </c>
      <c r="I419" s="341" t="str">
        <f>IF(G419="","",'Historique détail'!H419/$W419)</f>
        <v/>
      </c>
      <c r="J419" s="341" t="str">
        <f>IF(H419="","",'Historique détail'!I419/$W419)</f>
        <v/>
      </c>
      <c r="K419" s="341" t="str">
        <f>IF(I419="","",'Historique détail'!J419/$W419)</f>
        <v/>
      </c>
      <c r="L419" s="341" t="str">
        <f>IF(J419="","",'Historique détail'!K419/$W419)</f>
        <v/>
      </c>
      <c r="M419" s="341" t="str">
        <f>IF(K419="","",'Historique détail'!L419/$W419)</f>
        <v/>
      </c>
      <c r="N419" s="341" t="str">
        <f>IF(L419="","",'Historique détail'!M419/$W419)</f>
        <v/>
      </c>
      <c r="O419" s="341" t="str">
        <f>IF(M419="","",'Historique détail'!N419/$W419)</f>
        <v/>
      </c>
      <c r="P419" s="341" t="str">
        <f>IF(N419="","",'Historique détail'!O419/$W419)</f>
        <v/>
      </c>
      <c r="Q419" s="341" t="str">
        <f>IF(O419="","",'Historique détail'!P419/$W419)</f>
        <v/>
      </c>
      <c r="R419" s="341" t="str">
        <f>IF(P419="","",'Historique détail'!Q419/$W419)</f>
        <v/>
      </c>
      <c r="S419" s="341" t="str">
        <f>IF(Q419="","",'Historique détail'!R419/$W419)</f>
        <v/>
      </c>
      <c r="T419" s="341" t="str">
        <f>IF(R419="","",'Historique détail'!S419/$W419)</f>
        <v/>
      </c>
      <c r="U419" s="340" t="str">
        <f t="shared" si="2"/>
        <v/>
      </c>
      <c r="V419" s="14" t="str">
        <f>IF(A419="","",ARBITRAGES!M420)</f>
        <v/>
      </c>
      <c r="W419" s="343" t="str">
        <f>IF(V419="","",'Historique détail'!U419)</f>
        <v/>
      </c>
      <c r="X419" s="288"/>
      <c r="Y419" s="220"/>
      <c r="Z419" s="220"/>
      <c r="AA419" s="220"/>
      <c r="AB419" s="220"/>
      <c r="AC419" s="220"/>
      <c r="AD419" s="220"/>
      <c r="AE419" s="220"/>
      <c r="AF419" s="220"/>
      <c r="AG419" s="220"/>
      <c r="AH419" s="220"/>
      <c r="AI419" s="308"/>
      <c r="AJ419" s="220"/>
      <c r="AK419" s="220"/>
      <c r="AL419" s="220"/>
      <c r="AM419" s="220"/>
      <c r="AN419" s="220"/>
      <c r="AO419" s="220"/>
      <c r="AP419" s="220"/>
      <c r="AQ419" s="220"/>
      <c r="AR419" s="220"/>
      <c r="AS419" s="220"/>
      <c r="AT419" s="220"/>
      <c r="AU419" s="220"/>
      <c r="AV419" s="220"/>
      <c r="AW419" s="220"/>
      <c r="AX419" s="220"/>
      <c r="AY419" s="220"/>
      <c r="AZ419" s="220"/>
      <c r="BA419" s="220"/>
      <c r="BB419" s="220"/>
    </row>
    <row r="420">
      <c r="A420" s="240"/>
      <c r="B420" s="302" t="str">
        <f t="shared" si="1"/>
        <v/>
      </c>
      <c r="C420" s="341" t="str">
        <f>IF(A420="","",'Historique détail'!B420/$W420)</f>
        <v/>
      </c>
      <c r="D420" s="341" t="str">
        <f>IF(B420="","",'Historique détail'!C420/$W420)</f>
        <v/>
      </c>
      <c r="E420" s="341" t="str">
        <f>IF(C420="","",'Historique détail'!D420/$W420)</f>
        <v/>
      </c>
      <c r="F420" s="341" t="str">
        <f>IF(D420="","",'Historique détail'!E420/$W420)</f>
        <v/>
      </c>
      <c r="G420" s="341" t="str">
        <f>IF(E420="","",'Historique détail'!F420/$W420)</f>
        <v/>
      </c>
      <c r="H420" s="341" t="str">
        <f>IF(F420="","",'Historique détail'!G420/$W420)</f>
        <v/>
      </c>
      <c r="I420" s="341" t="str">
        <f>IF(G420="","",'Historique détail'!H420/$W420)</f>
        <v/>
      </c>
      <c r="J420" s="341" t="str">
        <f>IF(H420="","",'Historique détail'!I420/$W420)</f>
        <v/>
      </c>
      <c r="K420" s="341" t="str">
        <f>IF(I420="","",'Historique détail'!J420/$W420)</f>
        <v/>
      </c>
      <c r="L420" s="341" t="str">
        <f>IF(J420="","",'Historique détail'!K420/$W420)</f>
        <v/>
      </c>
      <c r="M420" s="341" t="str">
        <f>IF(K420="","",'Historique détail'!L420/$W420)</f>
        <v/>
      </c>
      <c r="N420" s="341" t="str">
        <f>IF(L420="","",'Historique détail'!M420/$W420)</f>
        <v/>
      </c>
      <c r="O420" s="341" t="str">
        <f>IF(M420="","",'Historique détail'!N420/$W420)</f>
        <v/>
      </c>
      <c r="P420" s="341" t="str">
        <f>IF(N420="","",'Historique détail'!O420/$W420)</f>
        <v/>
      </c>
      <c r="Q420" s="341" t="str">
        <f>IF(O420="","",'Historique détail'!P420/$W420)</f>
        <v/>
      </c>
      <c r="R420" s="341" t="str">
        <f>IF(P420="","",'Historique détail'!Q420/$W420)</f>
        <v/>
      </c>
      <c r="S420" s="341" t="str">
        <f>IF(Q420="","",'Historique détail'!R420/$W420)</f>
        <v/>
      </c>
      <c r="T420" s="341" t="str">
        <f>IF(R420="","",'Historique détail'!S420/$W420)</f>
        <v/>
      </c>
      <c r="U420" s="340" t="str">
        <f t="shared" si="2"/>
        <v/>
      </c>
      <c r="V420" s="14" t="str">
        <f>IF(A420="","",ARBITRAGES!M421)</f>
        <v/>
      </c>
      <c r="W420" s="343" t="str">
        <f>IF(V420="","",'Historique détail'!U420)</f>
        <v/>
      </c>
      <c r="X420" s="288"/>
      <c r="Y420" s="220"/>
      <c r="Z420" s="220"/>
      <c r="AA420" s="220"/>
      <c r="AB420" s="220"/>
      <c r="AC420" s="220"/>
      <c r="AD420" s="220"/>
      <c r="AE420" s="220"/>
      <c r="AF420" s="220"/>
      <c r="AG420" s="220"/>
      <c r="AH420" s="220"/>
      <c r="AI420" s="308"/>
      <c r="AJ420" s="220"/>
      <c r="AK420" s="220"/>
      <c r="AL420" s="220"/>
      <c r="AM420" s="220"/>
      <c r="AN420" s="220"/>
      <c r="AO420" s="220"/>
      <c r="AP420" s="220"/>
      <c r="AQ420" s="220"/>
      <c r="AR420" s="220"/>
      <c r="AS420" s="220"/>
      <c r="AT420" s="220"/>
      <c r="AU420" s="220"/>
      <c r="AV420" s="220"/>
      <c r="AW420" s="220"/>
      <c r="AX420" s="220"/>
      <c r="AY420" s="220"/>
      <c r="AZ420" s="220"/>
      <c r="BA420" s="220"/>
      <c r="BB420" s="220"/>
    </row>
    <row r="421">
      <c r="A421" s="240"/>
      <c r="B421" s="302" t="str">
        <f t="shared" si="1"/>
        <v/>
      </c>
      <c r="C421" s="341" t="str">
        <f>IF(A421="","",'Historique détail'!B421/$W421)</f>
        <v/>
      </c>
      <c r="D421" s="341" t="str">
        <f>IF(B421="","",'Historique détail'!C421/$W421)</f>
        <v/>
      </c>
      <c r="E421" s="341" t="str">
        <f>IF(C421="","",'Historique détail'!D421/$W421)</f>
        <v/>
      </c>
      <c r="F421" s="341" t="str">
        <f>IF(D421="","",'Historique détail'!E421/$W421)</f>
        <v/>
      </c>
      <c r="G421" s="341" t="str">
        <f>IF(E421="","",'Historique détail'!F421/$W421)</f>
        <v/>
      </c>
      <c r="H421" s="341" t="str">
        <f>IF(F421="","",'Historique détail'!G421/$W421)</f>
        <v/>
      </c>
      <c r="I421" s="341" t="str">
        <f>IF(G421="","",'Historique détail'!H421/$W421)</f>
        <v/>
      </c>
      <c r="J421" s="341" t="str">
        <f>IF(H421="","",'Historique détail'!I421/$W421)</f>
        <v/>
      </c>
      <c r="K421" s="341" t="str">
        <f>IF(I421="","",'Historique détail'!J421/$W421)</f>
        <v/>
      </c>
      <c r="L421" s="341" t="str">
        <f>IF(J421="","",'Historique détail'!K421/$W421)</f>
        <v/>
      </c>
      <c r="M421" s="341" t="str">
        <f>IF(K421="","",'Historique détail'!L421/$W421)</f>
        <v/>
      </c>
      <c r="N421" s="341" t="str">
        <f>IF(L421="","",'Historique détail'!M421/$W421)</f>
        <v/>
      </c>
      <c r="O421" s="341" t="str">
        <f>IF(M421="","",'Historique détail'!N421/$W421)</f>
        <v/>
      </c>
      <c r="P421" s="341" t="str">
        <f>IF(N421="","",'Historique détail'!O421/$W421)</f>
        <v/>
      </c>
      <c r="Q421" s="341" t="str">
        <f>IF(O421="","",'Historique détail'!P421/$W421)</f>
        <v/>
      </c>
      <c r="R421" s="341" t="str">
        <f>IF(P421="","",'Historique détail'!Q421/$W421)</f>
        <v/>
      </c>
      <c r="S421" s="341" t="str">
        <f>IF(Q421="","",'Historique détail'!R421/$W421)</f>
        <v/>
      </c>
      <c r="T421" s="341" t="str">
        <f>IF(R421="","",'Historique détail'!S421/$W421)</f>
        <v/>
      </c>
      <c r="U421" s="340" t="str">
        <f t="shared" si="2"/>
        <v/>
      </c>
      <c r="V421" s="14" t="str">
        <f>IF(A421="","",ARBITRAGES!M422)</f>
        <v/>
      </c>
      <c r="W421" s="343" t="str">
        <f>IF(V421="","",'Historique détail'!U421)</f>
        <v/>
      </c>
      <c r="X421" s="288"/>
      <c r="Y421" s="220"/>
      <c r="Z421" s="220"/>
      <c r="AA421" s="220"/>
      <c r="AB421" s="220"/>
      <c r="AC421" s="220"/>
      <c r="AD421" s="220"/>
      <c r="AE421" s="220"/>
      <c r="AF421" s="220"/>
      <c r="AG421" s="220"/>
      <c r="AH421" s="220"/>
      <c r="AI421" s="308"/>
      <c r="AJ421" s="220"/>
      <c r="AK421" s="220"/>
      <c r="AL421" s="220"/>
      <c r="AM421" s="220"/>
      <c r="AN421" s="220"/>
      <c r="AO421" s="220"/>
      <c r="AP421" s="220"/>
      <c r="AQ421" s="220"/>
      <c r="AR421" s="220"/>
      <c r="AS421" s="220"/>
      <c r="AT421" s="220"/>
      <c r="AU421" s="220"/>
      <c r="AV421" s="220"/>
      <c r="AW421" s="220"/>
      <c r="AX421" s="220"/>
      <c r="AY421" s="220"/>
      <c r="AZ421" s="220"/>
      <c r="BA421" s="220"/>
      <c r="BB421" s="220"/>
    </row>
    <row r="422">
      <c r="A422" s="240"/>
      <c r="B422" s="302" t="str">
        <f t="shared" si="1"/>
        <v/>
      </c>
      <c r="C422" s="341" t="str">
        <f>IF(A422="","",'Historique détail'!B422/$W422)</f>
        <v/>
      </c>
      <c r="D422" s="341" t="str">
        <f>IF(B422="","",'Historique détail'!C422/$W422)</f>
        <v/>
      </c>
      <c r="E422" s="341" t="str">
        <f>IF(C422="","",'Historique détail'!D422/$W422)</f>
        <v/>
      </c>
      <c r="F422" s="341" t="str">
        <f>IF(D422="","",'Historique détail'!E422/$W422)</f>
        <v/>
      </c>
      <c r="G422" s="341" t="str">
        <f>IF(E422="","",'Historique détail'!F422/$W422)</f>
        <v/>
      </c>
      <c r="H422" s="341" t="str">
        <f>IF(F422="","",'Historique détail'!G422/$W422)</f>
        <v/>
      </c>
      <c r="I422" s="341" t="str">
        <f>IF(G422="","",'Historique détail'!H422/$W422)</f>
        <v/>
      </c>
      <c r="J422" s="341" t="str">
        <f>IF(H422="","",'Historique détail'!I422/$W422)</f>
        <v/>
      </c>
      <c r="K422" s="341" t="str">
        <f>IF(I422="","",'Historique détail'!J422/$W422)</f>
        <v/>
      </c>
      <c r="L422" s="341" t="str">
        <f>IF(J422="","",'Historique détail'!K422/$W422)</f>
        <v/>
      </c>
      <c r="M422" s="341" t="str">
        <f>IF(K422="","",'Historique détail'!L422/$W422)</f>
        <v/>
      </c>
      <c r="N422" s="341" t="str">
        <f>IF(L422="","",'Historique détail'!M422/$W422)</f>
        <v/>
      </c>
      <c r="O422" s="341" t="str">
        <f>IF(M422="","",'Historique détail'!N422/$W422)</f>
        <v/>
      </c>
      <c r="P422" s="341" t="str">
        <f>IF(N422="","",'Historique détail'!O422/$W422)</f>
        <v/>
      </c>
      <c r="Q422" s="341" t="str">
        <f>IF(O422="","",'Historique détail'!P422/$W422)</f>
        <v/>
      </c>
      <c r="R422" s="341" t="str">
        <f>IF(P422="","",'Historique détail'!Q422/$W422)</f>
        <v/>
      </c>
      <c r="S422" s="341" t="str">
        <f>IF(Q422="","",'Historique détail'!R422/$W422)</f>
        <v/>
      </c>
      <c r="T422" s="341" t="str">
        <f>IF(R422="","",'Historique détail'!S422/$W422)</f>
        <v/>
      </c>
      <c r="U422" s="340" t="str">
        <f t="shared" si="2"/>
        <v/>
      </c>
      <c r="V422" s="14" t="str">
        <f>IF(A422="","",ARBITRAGES!M423)</f>
        <v/>
      </c>
      <c r="W422" s="343" t="str">
        <f>IF(V422="","",'Historique détail'!U422)</f>
        <v/>
      </c>
      <c r="X422" s="288"/>
      <c r="Y422" s="220"/>
      <c r="Z422" s="220"/>
      <c r="AA422" s="220"/>
      <c r="AB422" s="220"/>
      <c r="AC422" s="220"/>
      <c r="AD422" s="220"/>
      <c r="AE422" s="220"/>
      <c r="AF422" s="220"/>
      <c r="AG422" s="220"/>
      <c r="AH422" s="220"/>
      <c r="AI422" s="308"/>
      <c r="AJ422" s="220"/>
      <c r="AK422" s="220"/>
      <c r="AL422" s="220"/>
      <c r="AM422" s="220"/>
      <c r="AN422" s="220"/>
      <c r="AO422" s="220"/>
      <c r="AP422" s="220"/>
      <c r="AQ422" s="220"/>
      <c r="AR422" s="220"/>
      <c r="AS422" s="220"/>
      <c r="AT422" s="220"/>
      <c r="AU422" s="220"/>
      <c r="AV422" s="220"/>
      <c r="AW422" s="220"/>
      <c r="AX422" s="220"/>
      <c r="AY422" s="220"/>
      <c r="AZ422" s="220"/>
      <c r="BA422" s="220"/>
      <c r="BB422" s="220"/>
    </row>
    <row r="423">
      <c r="A423" s="240"/>
      <c r="B423" s="302" t="str">
        <f t="shared" si="1"/>
        <v/>
      </c>
      <c r="C423" s="341" t="str">
        <f>IF(A423="","",'Historique détail'!B423/$W423)</f>
        <v/>
      </c>
      <c r="D423" s="341" t="str">
        <f>IF(B423="","",'Historique détail'!C423/$W423)</f>
        <v/>
      </c>
      <c r="E423" s="341" t="str">
        <f>IF(C423="","",'Historique détail'!D423/$W423)</f>
        <v/>
      </c>
      <c r="F423" s="341" t="str">
        <f>IF(D423="","",'Historique détail'!E423/$W423)</f>
        <v/>
      </c>
      <c r="G423" s="341" t="str">
        <f>IF(E423="","",'Historique détail'!F423/$W423)</f>
        <v/>
      </c>
      <c r="H423" s="341" t="str">
        <f>IF(F423="","",'Historique détail'!G423/$W423)</f>
        <v/>
      </c>
      <c r="I423" s="341" t="str">
        <f>IF(G423="","",'Historique détail'!H423/$W423)</f>
        <v/>
      </c>
      <c r="J423" s="341" t="str">
        <f>IF(H423="","",'Historique détail'!I423/$W423)</f>
        <v/>
      </c>
      <c r="K423" s="341" t="str">
        <f>IF(I423="","",'Historique détail'!J423/$W423)</f>
        <v/>
      </c>
      <c r="L423" s="341" t="str">
        <f>IF(J423="","",'Historique détail'!K423/$W423)</f>
        <v/>
      </c>
      <c r="M423" s="341" t="str">
        <f>IF(K423="","",'Historique détail'!L423/$W423)</f>
        <v/>
      </c>
      <c r="N423" s="341" t="str">
        <f>IF(L423="","",'Historique détail'!M423/$W423)</f>
        <v/>
      </c>
      <c r="O423" s="341" t="str">
        <f>IF(M423="","",'Historique détail'!N423/$W423)</f>
        <v/>
      </c>
      <c r="P423" s="341" t="str">
        <f>IF(N423="","",'Historique détail'!O423/$W423)</f>
        <v/>
      </c>
      <c r="Q423" s="341" t="str">
        <f>IF(O423="","",'Historique détail'!P423/$W423)</f>
        <v/>
      </c>
      <c r="R423" s="341" t="str">
        <f>IF(P423="","",'Historique détail'!Q423/$W423)</f>
        <v/>
      </c>
      <c r="S423" s="341" t="str">
        <f>IF(Q423="","",'Historique détail'!R423/$W423)</f>
        <v/>
      </c>
      <c r="T423" s="341" t="str">
        <f>IF(R423="","",'Historique détail'!S423/$W423)</f>
        <v/>
      </c>
      <c r="U423" s="340" t="str">
        <f t="shared" si="2"/>
        <v/>
      </c>
      <c r="V423" s="14" t="str">
        <f>IF(A423="","",ARBITRAGES!M424)</f>
        <v/>
      </c>
      <c r="W423" s="343" t="str">
        <f>IF(V423="","",'Historique détail'!U423)</f>
        <v/>
      </c>
      <c r="X423" s="288"/>
      <c r="Y423" s="220"/>
      <c r="Z423" s="220"/>
      <c r="AA423" s="220"/>
      <c r="AB423" s="220"/>
      <c r="AC423" s="220"/>
      <c r="AD423" s="220"/>
      <c r="AE423" s="220"/>
      <c r="AF423" s="220"/>
      <c r="AG423" s="220"/>
      <c r="AH423" s="220"/>
      <c r="AI423" s="308"/>
      <c r="AJ423" s="220"/>
      <c r="AK423" s="220"/>
      <c r="AL423" s="220"/>
      <c r="AM423" s="220"/>
      <c r="AN423" s="220"/>
      <c r="AO423" s="220"/>
      <c r="AP423" s="220"/>
      <c r="AQ423" s="220"/>
      <c r="AR423" s="220"/>
      <c r="AS423" s="220"/>
      <c r="AT423" s="220"/>
      <c r="AU423" s="220"/>
      <c r="AV423" s="220"/>
      <c r="AW423" s="220"/>
      <c r="AX423" s="220"/>
      <c r="AY423" s="220"/>
      <c r="AZ423" s="220"/>
      <c r="BA423" s="220"/>
      <c r="BB423" s="220"/>
    </row>
    <row r="424">
      <c r="A424" s="240"/>
      <c r="B424" s="302" t="str">
        <f t="shared" si="1"/>
        <v/>
      </c>
      <c r="C424" s="341" t="str">
        <f>IF(A424="","",'Historique détail'!B424/$W424)</f>
        <v/>
      </c>
      <c r="D424" s="341" t="str">
        <f>IF(B424="","",'Historique détail'!C424/$W424)</f>
        <v/>
      </c>
      <c r="E424" s="341" t="str">
        <f>IF(C424="","",'Historique détail'!D424/$W424)</f>
        <v/>
      </c>
      <c r="F424" s="341" t="str">
        <f>IF(D424="","",'Historique détail'!E424/$W424)</f>
        <v/>
      </c>
      <c r="G424" s="341" t="str">
        <f>IF(E424="","",'Historique détail'!F424/$W424)</f>
        <v/>
      </c>
      <c r="H424" s="341" t="str">
        <f>IF(F424="","",'Historique détail'!G424/$W424)</f>
        <v/>
      </c>
      <c r="I424" s="341" t="str">
        <f>IF(G424="","",'Historique détail'!H424/$W424)</f>
        <v/>
      </c>
      <c r="J424" s="341" t="str">
        <f>IF(H424="","",'Historique détail'!I424/$W424)</f>
        <v/>
      </c>
      <c r="K424" s="341" t="str">
        <f>IF(I424="","",'Historique détail'!J424/$W424)</f>
        <v/>
      </c>
      <c r="L424" s="341" t="str">
        <f>IF(J424="","",'Historique détail'!K424/$W424)</f>
        <v/>
      </c>
      <c r="M424" s="341" t="str">
        <f>IF(K424="","",'Historique détail'!L424/$W424)</f>
        <v/>
      </c>
      <c r="N424" s="341" t="str">
        <f>IF(L424="","",'Historique détail'!M424/$W424)</f>
        <v/>
      </c>
      <c r="O424" s="341" t="str">
        <f>IF(M424="","",'Historique détail'!N424/$W424)</f>
        <v/>
      </c>
      <c r="P424" s="341" t="str">
        <f>IF(N424="","",'Historique détail'!O424/$W424)</f>
        <v/>
      </c>
      <c r="Q424" s="341" t="str">
        <f>IF(O424="","",'Historique détail'!P424/$W424)</f>
        <v/>
      </c>
      <c r="R424" s="341" t="str">
        <f>IF(P424="","",'Historique détail'!Q424/$W424)</f>
        <v/>
      </c>
      <c r="S424" s="341" t="str">
        <f>IF(Q424="","",'Historique détail'!R424/$W424)</f>
        <v/>
      </c>
      <c r="T424" s="341" t="str">
        <f>IF(R424="","",'Historique détail'!S424/$W424)</f>
        <v/>
      </c>
      <c r="U424" s="340" t="str">
        <f t="shared" si="2"/>
        <v/>
      </c>
      <c r="V424" s="14" t="str">
        <f>IF(A424="","",ARBITRAGES!M425)</f>
        <v/>
      </c>
      <c r="W424" s="343" t="str">
        <f>IF(V424="","",'Historique détail'!U424)</f>
        <v/>
      </c>
      <c r="X424" s="288"/>
      <c r="Y424" s="220"/>
      <c r="Z424" s="220"/>
      <c r="AA424" s="220"/>
      <c r="AB424" s="220"/>
      <c r="AC424" s="220"/>
      <c r="AD424" s="220"/>
      <c r="AE424" s="220"/>
      <c r="AF424" s="220"/>
      <c r="AG424" s="220"/>
      <c r="AH424" s="220"/>
      <c r="AI424" s="308"/>
      <c r="AJ424" s="220"/>
      <c r="AK424" s="220"/>
      <c r="AL424" s="220"/>
      <c r="AM424" s="220"/>
      <c r="AN424" s="220"/>
      <c r="AO424" s="220"/>
      <c r="AP424" s="220"/>
      <c r="AQ424" s="220"/>
      <c r="AR424" s="220"/>
      <c r="AS424" s="220"/>
      <c r="AT424" s="220"/>
      <c r="AU424" s="220"/>
      <c r="AV424" s="220"/>
      <c r="AW424" s="220"/>
      <c r="AX424" s="220"/>
      <c r="AY424" s="220"/>
      <c r="AZ424" s="220"/>
      <c r="BA424" s="220"/>
      <c r="BB424" s="220"/>
    </row>
    <row r="425">
      <c r="A425" s="240"/>
      <c r="B425" s="302" t="str">
        <f t="shared" si="1"/>
        <v/>
      </c>
      <c r="C425" s="341" t="str">
        <f>IF(A425="","",'Historique détail'!B425/$W425)</f>
        <v/>
      </c>
      <c r="D425" s="341" t="str">
        <f>IF(B425="","",'Historique détail'!C425/$W425)</f>
        <v/>
      </c>
      <c r="E425" s="341" t="str">
        <f>IF(C425="","",'Historique détail'!D425/$W425)</f>
        <v/>
      </c>
      <c r="F425" s="341" t="str">
        <f>IF(D425="","",'Historique détail'!E425/$W425)</f>
        <v/>
      </c>
      <c r="G425" s="341" t="str">
        <f>IF(E425="","",'Historique détail'!F425/$W425)</f>
        <v/>
      </c>
      <c r="H425" s="341" t="str">
        <f>IF(F425="","",'Historique détail'!G425/$W425)</f>
        <v/>
      </c>
      <c r="I425" s="341" t="str">
        <f>IF(G425="","",'Historique détail'!H425/$W425)</f>
        <v/>
      </c>
      <c r="J425" s="341" t="str">
        <f>IF(H425="","",'Historique détail'!I425/$W425)</f>
        <v/>
      </c>
      <c r="K425" s="341" t="str">
        <f>IF(I425="","",'Historique détail'!J425/$W425)</f>
        <v/>
      </c>
      <c r="L425" s="341" t="str">
        <f>IF(J425="","",'Historique détail'!K425/$W425)</f>
        <v/>
      </c>
      <c r="M425" s="341" t="str">
        <f>IF(K425="","",'Historique détail'!L425/$W425)</f>
        <v/>
      </c>
      <c r="N425" s="341" t="str">
        <f>IF(L425="","",'Historique détail'!M425/$W425)</f>
        <v/>
      </c>
      <c r="O425" s="341" t="str">
        <f>IF(M425="","",'Historique détail'!N425/$W425)</f>
        <v/>
      </c>
      <c r="P425" s="341" t="str">
        <f>IF(N425="","",'Historique détail'!O425/$W425)</f>
        <v/>
      </c>
      <c r="Q425" s="341" t="str">
        <f>IF(O425="","",'Historique détail'!P425/$W425)</f>
        <v/>
      </c>
      <c r="R425" s="341" t="str">
        <f>IF(P425="","",'Historique détail'!Q425/$W425)</f>
        <v/>
      </c>
      <c r="S425" s="341" t="str">
        <f>IF(Q425="","",'Historique détail'!R425/$W425)</f>
        <v/>
      </c>
      <c r="T425" s="341" t="str">
        <f>IF(R425="","",'Historique détail'!S425/$W425)</f>
        <v/>
      </c>
      <c r="U425" s="340" t="str">
        <f t="shared" si="2"/>
        <v/>
      </c>
      <c r="V425" s="14" t="str">
        <f>IF(A425="","",ARBITRAGES!M426)</f>
        <v/>
      </c>
      <c r="W425" s="343" t="str">
        <f>IF(V425="","",'Historique détail'!U425)</f>
        <v/>
      </c>
      <c r="X425" s="288"/>
      <c r="Y425" s="220"/>
      <c r="Z425" s="220"/>
      <c r="AA425" s="220"/>
      <c r="AB425" s="220"/>
      <c r="AC425" s="220"/>
      <c r="AD425" s="220"/>
      <c r="AE425" s="220"/>
      <c r="AF425" s="220"/>
      <c r="AG425" s="220"/>
      <c r="AH425" s="220"/>
      <c r="AI425" s="308"/>
      <c r="AJ425" s="220"/>
      <c r="AK425" s="220"/>
      <c r="AL425" s="220"/>
      <c r="AM425" s="220"/>
      <c r="AN425" s="220"/>
      <c r="AO425" s="220"/>
      <c r="AP425" s="220"/>
      <c r="AQ425" s="220"/>
      <c r="AR425" s="220"/>
      <c r="AS425" s="220"/>
      <c r="AT425" s="220"/>
      <c r="AU425" s="220"/>
      <c r="AV425" s="220"/>
      <c r="AW425" s="220"/>
      <c r="AX425" s="220"/>
      <c r="AY425" s="220"/>
      <c r="AZ425" s="220"/>
      <c r="BA425" s="220"/>
      <c r="BB425" s="220"/>
    </row>
    <row r="426">
      <c r="A426" s="240"/>
      <c r="B426" s="302" t="str">
        <f t="shared" si="1"/>
        <v/>
      </c>
      <c r="C426" s="341" t="str">
        <f>IF(A426="","",'Historique détail'!B426/$W426)</f>
        <v/>
      </c>
      <c r="D426" s="341" t="str">
        <f>IF(B426="","",'Historique détail'!C426/$W426)</f>
        <v/>
      </c>
      <c r="E426" s="341" t="str">
        <f>IF(C426="","",'Historique détail'!D426/$W426)</f>
        <v/>
      </c>
      <c r="F426" s="341" t="str">
        <f>IF(D426="","",'Historique détail'!E426/$W426)</f>
        <v/>
      </c>
      <c r="G426" s="341" t="str">
        <f>IF(E426="","",'Historique détail'!F426/$W426)</f>
        <v/>
      </c>
      <c r="H426" s="341" t="str">
        <f>IF(F426="","",'Historique détail'!G426/$W426)</f>
        <v/>
      </c>
      <c r="I426" s="341" t="str">
        <f>IF(G426="","",'Historique détail'!H426/$W426)</f>
        <v/>
      </c>
      <c r="J426" s="341" t="str">
        <f>IF(H426="","",'Historique détail'!I426/$W426)</f>
        <v/>
      </c>
      <c r="K426" s="341" t="str">
        <f>IF(I426="","",'Historique détail'!J426/$W426)</f>
        <v/>
      </c>
      <c r="L426" s="341" t="str">
        <f>IF(J426="","",'Historique détail'!K426/$W426)</f>
        <v/>
      </c>
      <c r="M426" s="341" t="str">
        <f>IF(K426="","",'Historique détail'!L426/$W426)</f>
        <v/>
      </c>
      <c r="N426" s="341" t="str">
        <f>IF(L426="","",'Historique détail'!M426/$W426)</f>
        <v/>
      </c>
      <c r="O426" s="341" t="str">
        <f>IF(M426="","",'Historique détail'!N426/$W426)</f>
        <v/>
      </c>
      <c r="P426" s="341" t="str">
        <f>IF(N426="","",'Historique détail'!O426/$W426)</f>
        <v/>
      </c>
      <c r="Q426" s="341" t="str">
        <f>IF(O426="","",'Historique détail'!P426/$W426)</f>
        <v/>
      </c>
      <c r="R426" s="341" t="str">
        <f>IF(P426="","",'Historique détail'!Q426/$W426)</f>
        <v/>
      </c>
      <c r="S426" s="341" t="str">
        <f>IF(Q426="","",'Historique détail'!R426/$W426)</f>
        <v/>
      </c>
      <c r="T426" s="341" t="str">
        <f>IF(R426="","",'Historique détail'!S426/$W426)</f>
        <v/>
      </c>
      <c r="U426" s="340" t="str">
        <f t="shared" si="2"/>
        <v/>
      </c>
      <c r="V426" s="14" t="str">
        <f>IF(A426="","",ARBITRAGES!M427)</f>
        <v/>
      </c>
      <c r="W426" s="343" t="str">
        <f>IF(V426="","",'Historique détail'!U426)</f>
        <v/>
      </c>
      <c r="X426" s="288"/>
      <c r="Y426" s="220"/>
      <c r="Z426" s="220"/>
      <c r="AA426" s="220"/>
      <c r="AB426" s="220"/>
      <c r="AC426" s="220"/>
      <c r="AD426" s="220"/>
      <c r="AE426" s="220"/>
      <c r="AF426" s="220"/>
      <c r="AG426" s="220"/>
      <c r="AH426" s="220"/>
      <c r="AI426" s="308"/>
      <c r="AJ426" s="220"/>
      <c r="AK426" s="220"/>
      <c r="AL426" s="220"/>
      <c r="AM426" s="220"/>
      <c r="AN426" s="220"/>
      <c r="AO426" s="220"/>
      <c r="AP426" s="220"/>
      <c r="AQ426" s="220"/>
      <c r="AR426" s="220"/>
      <c r="AS426" s="220"/>
      <c r="AT426" s="220"/>
      <c r="AU426" s="220"/>
      <c r="AV426" s="220"/>
      <c r="AW426" s="220"/>
      <c r="AX426" s="220"/>
      <c r="AY426" s="220"/>
      <c r="AZ426" s="220"/>
      <c r="BA426" s="220"/>
      <c r="BB426" s="220"/>
    </row>
    <row r="427">
      <c r="A427" s="240"/>
      <c r="B427" s="302" t="str">
        <f t="shared" si="1"/>
        <v/>
      </c>
      <c r="C427" s="341" t="str">
        <f>IF(A427="","",'Historique détail'!B427/$W427)</f>
        <v/>
      </c>
      <c r="D427" s="341" t="str">
        <f>IF(B427="","",'Historique détail'!C427/$W427)</f>
        <v/>
      </c>
      <c r="E427" s="341" t="str">
        <f>IF(C427="","",'Historique détail'!D427/$W427)</f>
        <v/>
      </c>
      <c r="F427" s="341" t="str">
        <f>IF(D427="","",'Historique détail'!E427/$W427)</f>
        <v/>
      </c>
      <c r="G427" s="341" t="str">
        <f>IF(E427="","",'Historique détail'!F427/$W427)</f>
        <v/>
      </c>
      <c r="H427" s="341" t="str">
        <f>IF(F427="","",'Historique détail'!G427/$W427)</f>
        <v/>
      </c>
      <c r="I427" s="341" t="str">
        <f>IF(G427="","",'Historique détail'!H427/$W427)</f>
        <v/>
      </c>
      <c r="J427" s="341" t="str">
        <f>IF(H427="","",'Historique détail'!I427/$W427)</f>
        <v/>
      </c>
      <c r="K427" s="341" t="str">
        <f>IF(I427="","",'Historique détail'!J427/$W427)</f>
        <v/>
      </c>
      <c r="L427" s="341" t="str">
        <f>IF(J427="","",'Historique détail'!K427/$W427)</f>
        <v/>
      </c>
      <c r="M427" s="341" t="str">
        <f>IF(K427="","",'Historique détail'!L427/$W427)</f>
        <v/>
      </c>
      <c r="N427" s="341" t="str">
        <f>IF(L427="","",'Historique détail'!M427/$W427)</f>
        <v/>
      </c>
      <c r="O427" s="341" t="str">
        <f>IF(M427="","",'Historique détail'!N427/$W427)</f>
        <v/>
      </c>
      <c r="P427" s="341" t="str">
        <f>IF(N427="","",'Historique détail'!O427/$W427)</f>
        <v/>
      </c>
      <c r="Q427" s="341" t="str">
        <f>IF(O427="","",'Historique détail'!P427/$W427)</f>
        <v/>
      </c>
      <c r="R427" s="341" t="str">
        <f>IF(P427="","",'Historique détail'!Q427/$W427)</f>
        <v/>
      </c>
      <c r="S427" s="341" t="str">
        <f>IF(Q427="","",'Historique détail'!R427/$W427)</f>
        <v/>
      </c>
      <c r="T427" s="341" t="str">
        <f>IF(R427="","",'Historique détail'!S427/$W427)</f>
        <v/>
      </c>
      <c r="U427" s="340" t="str">
        <f t="shared" si="2"/>
        <v/>
      </c>
      <c r="V427" s="14" t="str">
        <f>IF(A427="","",ARBITRAGES!M428)</f>
        <v/>
      </c>
      <c r="W427" s="343" t="str">
        <f>IF(V427="","",'Historique détail'!U427)</f>
        <v/>
      </c>
      <c r="X427" s="288"/>
      <c r="Y427" s="220"/>
      <c r="Z427" s="220"/>
      <c r="AA427" s="220"/>
      <c r="AB427" s="220"/>
      <c r="AC427" s="220"/>
      <c r="AD427" s="220"/>
      <c r="AE427" s="220"/>
      <c r="AF427" s="220"/>
      <c r="AG427" s="220"/>
      <c r="AH427" s="220"/>
      <c r="AI427" s="308"/>
      <c r="AJ427" s="220"/>
      <c r="AK427" s="220"/>
      <c r="AL427" s="220"/>
      <c r="AM427" s="220"/>
      <c r="AN427" s="220"/>
      <c r="AO427" s="220"/>
      <c r="AP427" s="220"/>
      <c r="AQ427" s="220"/>
      <c r="AR427" s="220"/>
      <c r="AS427" s="220"/>
      <c r="AT427" s="220"/>
      <c r="AU427" s="220"/>
      <c r="AV427" s="220"/>
      <c r="AW427" s="220"/>
      <c r="AX427" s="220"/>
      <c r="AY427" s="220"/>
      <c r="AZ427" s="220"/>
      <c r="BA427" s="220"/>
      <c r="BB427" s="220"/>
    </row>
    <row r="428">
      <c r="A428" s="240"/>
      <c r="B428" s="302" t="str">
        <f t="shared" si="1"/>
        <v/>
      </c>
      <c r="C428" s="341" t="str">
        <f>IF(A428="","",'Historique détail'!B428/$W428)</f>
        <v/>
      </c>
      <c r="D428" s="341" t="str">
        <f>IF(B428="","",'Historique détail'!C428/$W428)</f>
        <v/>
      </c>
      <c r="E428" s="341" t="str">
        <f>IF(C428="","",'Historique détail'!D428/$W428)</f>
        <v/>
      </c>
      <c r="F428" s="341" t="str">
        <f>IF(D428="","",'Historique détail'!E428/$W428)</f>
        <v/>
      </c>
      <c r="G428" s="341" t="str">
        <f>IF(E428="","",'Historique détail'!F428/$W428)</f>
        <v/>
      </c>
      <c r="H428" s="341" t="str">
        <f>IF(F428="","",'Historique détail'!G428/$W428)</f>
        <v/>
      </c>
      <c r="I428" s="341" t="str">
        <f>IF(G428="","",'Historique détail'!H428/$W428)</f>
        <v/>
      </c>
      <c r="J428" s="341" t="str">
        <f>IF(H428="","",'Historique détail'!I428/$W428)</f>
        <v/>
      </c>
      <c r="K428" s="341" t="str">
        <f>IF(I428="","",'Historique détail'!J428/$W428)</f>
        <v/>
      </c>
      <c r="L428" s="341" t="str">
        <f>IF(J428="","",'Historique détail'!K428/$W428)</f>
        <v/>
      </c>
      <c r="M428" s="341" t="str">
        <f>IF(K428="","",'Historique détail'!L428/$W428)</f>
        <v/>
      </c>
      <c r="N428" s="341" t="str">
        <f>IF(L428="","",'Historique détail'!M428/$W428)</f>
        <v/>
      </c>
      <c r="O428" s="341" t="str">
        <f>IF(M428="","",'Historique détail'!N428/$W428)</f>
        <v/>
      </c>
      <c r="P428" s="341" t="str">
        <f>IF(N428="","",'Historique détail'!O428/$W428)</f>
        <v/>
      </c>
      <c r="Q428" s="341" t="str">
        <f>IF(O428="","",'Historique détail'!P428/$W428)</f>
        <v/>
      </c>
      <c r="R428" s="341" t="str">
        <f>IF(P428="","",'Historique détail'!Q428/$W428)</f>
        <v/>
      </c>
      <c r="S428" s="341" t="str">
        <f>IF(Q428="","",'Historique détail'!R428/$W428)</f>
        <v/>
      </c>
      <c r="T428" s="341" t="str">
        <f>IF(R428="","",'Historique détail'!S428/$W428)</f>
        <v/>
      </c>
      <c r="U428" s="340" t="str">
        <f t="shared" si="2"/>
        <v/>
      </c>
      <c r="V428" s="14" t="str">
        <f>IF(A428="","",ARBITRAGES!M429)</f>
        <v/>
      </c>
      <c r="W428" s="343" t="str">
        <f>IF(V428="","",'Historique détail'!U428)</f>
        <v/>
      </c>
      <c r="X428" s="288"/>
      <c r="Y428" s="220"/>
      <c r="Z428" s="220"/>
      <c r="AA428" s="220"/>
      <c r="AB428" s="220"/>
      <c r="AC428" s="220"/>
      <c r="AD428" s="220"/>
      <c r="AE428" s="220"/>
      <c r="AF428" s="220"/>
      <c r="AG428" s="220"/>
      <c r="AH428" s="220"/>
      <c r="AI428" s="308"/>
      <c r="AJ428" s="220"/>
      <c r="AK428" s="220"/>
      <c r="AL428" s="220"/>
      <c r="AM428" s="220"/>
      <c r="AN428" s="220"/>
      <c r="AO428" s="220"/>
      <c r="AP428" s="220"/>
      <c r="AQ428" s="220"/>
      <c r="AR428" s="220"/>
      <c r="AS428" s="220"/>
      <c r="AT428" s="220"/>
      <c r="AU428" s="220"/>
      <c r="AV428" s="220"/>
      <c r="AW428" s="220"/>
      <c r="AX428" s="220"/>
      <c r="AY428" s="220"/>
      <c r="AZ428" s="220"/>
      <c r="BA428" s="220"/>
      <c r="BB428" s="220"/>
    </row>
    <row r="429">
      <c r="A429" s="240"/>
      <c r="B429" s="302" t="str">
        <f t="shared" si="1"/>
        <v/>
      </c>
      <c r="C429" s="341" t="str">
        <f>IF(A429="","",'Historique détail'!B429/$W429)</f>
        <v/>
      </c>
      <c r="D429" s="341" t="str">
        <f>IF(B429="","",'Historique détail'!C429/$W429)</f>
        <v/>
      </c>
      <c r="E429" s="341" t="str">
        <f>IF(C429="","",'Historique détail'!D429/$W429)</f>
        <v/>
      </c>
      <c r="F429" s="341" t="str">
        <f>IF(D429="","",'Historique détail'!E429/$W429)</f>
        <v/>
      </c>
      <c r="G429" s="341" t="str">
        <f>IF(E429="","",'Historique détail'!F429/$W429)</f>
        <v/>
      </c>
      <c r="H429" s="341" t="str">
        <f>IF(F429="","",'Historique détail'!G429/$W429)</f>
        <v/>
      </c>
      <c r="I429" s="341" t="str">
        <f>IF(G429="","",'Historique détail'!H429/$W429)</f>
        <v/>
      </c>
      <c r="J429" s="341" t="str">
        <f>IF(H429="","",'Historique détail'!I429/$W429)</f>
        <v/>
      </c>
      <c r="K429" s="341" t="str">
        <f>IF(I429="","",'Historique détail'!J429/$W429)</f>
        <v/>
      </c>
      <c r="L429" s="341" t="str">
        <f>IF(J429="","",'Historique détail'!K429/$W429)</f>
        <v/>
      </c>
      <c r="M429" s="341" t="str">
        <f>IF(K429="","",'Historique détail'!L429/$W429)</f>
        <v/>
      </c>
      <c r="N429" s="341" t="str">
        <f>IF(L429="","",'Historique détail'!M429/$W429)</f>
        <v/>
      </c>
      <c r="O429" s="341" t="str">
        <f>IF(M429="","",'Historique détail'!N429/$W429)</f>
        <v/>
      </c>
      <c r="P429" s="341" t="str">
        <f>IF(N429="","",'Historique détail'!O429/$W429)</f>
        <v/>
      </c>
      <c r="Q429" s="341" t="str">
        <f>IF(O429="","",'Historique détail'!P429/$W429)</f>
        <v/>
      </c>
      <c r="R429" s="341" t="str">
        <f>IF(P429="","",'Historique détail'!Q429/$W429)</f>
        <v/>
      </c>
      <c r="S429" s="341" t="str">
        <f>IF(Q429="","",'Historique détail'!R429/$W429)</f>
        <v/>
      </c>
      <c r="T429" s="341" t="str">
        <f>IF(R429="","",'Historique détail'!S429/$W429)</f>
        <v/>
      </c>
      <c r="U429" s="340" t="str">
        <f t="shared" si="2"/>
        <v/>
      </c>
      <c r="V429" s="14" t="str">
        <f>IF(A429="","",ARBITRAGES!M430)</f>
        <v/>
      </c>
      <c r="W429" s="343" t="str">
        <f>IF(V429="","",'Historique détail'!U429)</f>
        <v/>
      </c>
      <c r="X429" s="288"/>
      <c r="Y429" s="220"/>
      <c r="Z429" s="220"/>
      <c r="AA429" s="220"/>
      <c r="AB429" s="220"/>
      <c r="AC429" s="220"/>
      <c r="AD429" s="220"/>
      <c r="AE429" s="220"/>
      <c r="AF429" s="220"/>
      <c r="AG429" s="220"/>
      <c r="AH429" s="220"/>
      <c r="AI429" s="308"/>
      <c r="AJ429" s="220"/>
      <c r="AK429" s="220"/>
      <c r="AL429" s="220"/>
      <c r="AM429" s="220"/>
      <c r="AN429" s="220"/>
      <c r="AO429" s="220"/>
      <c r="AP429" s="220"/>
      <c r="AQ429" s="220"/>
      <c r="AR429" s="220"/>
      <c r="AS429" s="220"/>
      <c r="AT429" s="220"/>
      <c r="AU429" s="220"/>
      <c r="AV429" s="220"/>
      <c r="AW429" s="220"/>
      <c r="AX429" s="220"/>
      <c r="AY429" s="220"/>
      <c r="AZ429" s="220"/>
      <c r="BA429" s="220"/>
      <c r="BB429" s="220"/>
    </row>
    <row r="430">
      <c r="A430" s="240"/>
      <c r="B430" s="302" t="str">
        <f t="shared" si="1"/>
        <v/>
      </c>
      <c r="C430" s="341" t="str">
        <f>IF(A430="","",'Historique détail'!B430/$W430)</f>
        <v/>
      </c>
      <c r="D430" s="341" t="str">
        <f>IF(B430="","",'Historique détail'!C430/$W430)</f>
        <v/>
      </c>
      <c r="E430" s="341" t="str">
        <f>IF(C430="","",'Historique détail'!D430/$W430)</f>
        <v/>
      </c>
      <c r="F430" s="341" t="str">
        <f>IF(D430="","",'Historique détail'!E430/$W430)</f>
        <v/>
      </c>
      <c r="G430" s="341" t="str">
        <f>IF(E430="","",'Historique détail'!F430/$W430)</f>
        <v/>
      </c>
      <c r="H430" s="341" t="str">
        <f>IF(F430="","",'Historique détail'!G430/$W430)</f>
        <v/>
      </c>
      <c r="I430" s="341" t="str">
        <f>IF(G430="","",'Historique détail'!H430/$W430)</f>
        <v/>
      </c>
      <c r="J430" s="341" t="str">
        <f>IF(H430="","",'Historique détail'!I430/$W430)</f>
        <v/>
      </c>
      <c r="K430" s="341" t="str">
        <f>IF(I430="","",'Historique détail'!J430/$W430)</f>
        <v/>
      </c>
      <c r="L430" s="341" t="str">
        <f>IF(J430="","",'Historique détail'!K430/$W430)</f>
        <v/>
      </c>
      <c r="M430" s="341" t="str">
        <f>IF(K430="","",'Historique détail'!L430/$W430)</f>
        <v/>
      </c>
      <c r="N430" s="341" t="str">
        <f>IF(L430="","",'Historique détail'!M430/$W430)</f>
        <v/>
      </c>
      <c r="O430" s="341" t="str">
        <f>IF(M430="","",'Historique détail'!N430/$W430)</f>
        <v/>
      </c>
      <c r="P430" s="341" t="str">
        <f>IF(N430="","",'Historique détail'!O430/$W430)</f>
        <v/>
      </c>
      <c r="Q430" s="341" t="str">
        <f>IF(O430="","",'Historique détail'!P430/$W430)</f>
        <v/>
      </c>
      <c r="R430" s="341" t="str">
        <f>IF(P430="","",'Historique détail'!Q430/$W430)</f>
        <v/>
      </c>
      <c r="S430" s="341" t="str">
        <f>IF(Q430="","",'Historique détail'!R430/$W430)</f>
        <v/>
      </c>
      <c r="T430" s="341" t="str">
        <f>IF(R430="","",'Historique détail'!S430/$W430)</f>
        <v/>
      </c>
      <c r="U430" s="340" t="str">
        <f t="shared" si="2"/>
        <v/>
      </c>
      <c r="V430" s="14" t="str">
        <f>IF(A430="","",ARBITRAGES!M431)</f>
        <v/>
      </c>
      <c r="W430" s="343" t="str">
        <f>IF(V430="","",'Historique détail'!U430)</f>
        <v/>
      </c>
      <c r="X430" s="288"/>
      <c r="Y430" s="220"/>
      <c r="Z430" s="220"/>
      <c r="AA430" s="220"/>
      <c r="AB430" s="220"/>
      <c r="AC430" s="220"/>
      <c r="AD430" s="220"/>
      <c r="AE430" s="220"/>
      <c r="AF430" s="220"/>
      <c r="AG430" s="220"/>
      <c r="AH430" s="220"/>
      <c r="AI430" s="308"/>
      <c r="AJ430" s="220"/>
      <c r="AK430" s="220"/>
      <c r="AL430" s="220"/>
      <c r="AM430" s="220"/>
      <c r="AN430" s="220"/>
      <c r="AO430" s="220"/>
      <c r="AP430" s="220"/>
      <c r="AQ430" s="220"/>
      <c r="AR430" s="220"/>
      <c r="AS430" s="220"/>
      <c r="AT430" s="220"/>
      <c r="AU430" s="220"/>
      <c r="AV430" s="220"/>
      <c r="AW430" s="220"/>
      <c r="AX430" s="220"/>
      <c r="AY430" s="220"/>
      <c r="AZ430" s="220"/>
      <c r="BA430" s="220"/>
      <c r="BB430" s="220"/>
    </row>
    <row r="431">
      <c r="A431" s="240"/>
      <c r="B431" s="302" t="str">
        <f t="shared" si="1"/>
        <v/>
      </c>
      <c r="C431" s="341" t="str">
        <f>IF(A431="","",'Historique détail'!B431/$W431)</f>
        <v/>
      </c>
      <c r="D431" s="341" t="str">
        <f>IF(B431="","",'Historique détail'!C431/$W431)</f>
        <v/>
      </c>
      <c r="E431" s="341" t="str">
        <f>IF(C431="","",'Historique détail'!D431/$W431)</f>
        <v/>
      </c>
      <c r="F431" s="341" t="str">
        <f>IF(D431="","",'Historique détail'!E431/$W431)</f>
        <v/>
      </c>
      <c r="G431" s="341" t="str">
        <f>IF(E431="","",'Historique détail'!F431/$W431)</f>
        <v/>
      </c>
      <c r="H431" s="341" t="str">
        <f>IF(F431="","",'Historique détail'!G431/$W431)</f>
        <v/>
      </c>
      <c r="I431" s="341" t="str">
        <f>IF(G431="","",'Historique détail'!H431/$W431)</f>
        <v/>
      </c>
      <c r="J431" s="341" t="str">
        <f>IF(H431="","",'Historique détail'!I431/$W431)</f>
        <v/>
      </c>
      <c r="K431" s="341" t="str">
        <f>IF(I431="","",'Historique détail'!J431/$W431)</f>
        <v/>
      </c>
      <c r="L431" s="341" t="str">
        <f>IF(J431="","",'Historique détail'!K431/$W431)</f>
        <v/>
      </c>
      <c r="M431" s="341" t="str">
        <f>IF(K431="","",'Historique détail'!L431/$W431)</f>
        <v/>
      </c>
      <c r="N431" s="341" t="str">
        <f>IF(L431="","",'Historique détail'!M431/$W431)</f>
        <v/>
      </c>
      <c r="O431" s="341" t="str">
        <f>IF(M431="","",'Historique détail'!N431/$W431)</f>
        <v/>
      </c>
      <c r="P431" s="341" t="str">
        <f>IF(N431="","",'Historique détail'!O431/$W431)</f>
        <v/>
      </c>
      <c r="Q431" s="341" t="str">
        <f>IF(O431="","",'Historique détail'!P431/$W431)</f>
        <v/>
      </c>
      <c r="R431" s="341" t="str">
        <f>IF(P431="","",'Historique détail'!Q431/$W431)</f>
        <v/>
      </c>
      <c r="S431" s="341" t="str">
        <f>IF(Q431="","",'Historique détail'!R431/$W431)</f>
        <v/>
      </c>
      <c r="T431" s="341" t="str">
        <f>IF(R431="","",'Historique détail'!S431/$W431)</f>
        <v/>
      </c>
      <c r="U431" s="340" t="str">
        <f t="shared" si="2"/>
        <v/>
      </c>
      <c r="V431" s="14" t="str">
        <f>IF(A431="","",ARBITRAGES!M432)</f>
        <v/>
      </c>
      <c r="W431" s="343" t="str">
        <f>IF(V431="","",'Historique détail'!U431)</f>
        <v/>
      </c>
      <c r="X431" s="288"/>
      <c r="Y431" s="220"/>
      <c r="Z431" s="220"/>
      <c r="AA431" s="220"/>
      <c r="AB431" s="220"/>
      <c r="AC431" s="220"/>
      <c r="AD431" s="220"/>
      <c r="AE431" s="220"/>
      <c r="AF431" s="220"/>
      <c r="AG431" s="220"/>
      <c r="AH431" s="220"/>
      <c r="AI431" s="308"/>
      <c r="AJ431" s="220"/>
      <c r="AK431" s="220"/>
      <c r="AL431" s="220"/>
      <c r="AM431" s="220"/>
      <c r="AN431" s="220"/>
      <c r="AO431" s="220"/>
      <c r="AP431" s="220"/>
      <c r="AQ431" s="220"/>
      <c r="AR431" s="220"/>
      <c r="AS431" s="220"/>
      <c r="AT431" s="220"/>
      <c r="AU431" s="220"/>
      <c r="AV431" s="220"/>
      <c r="AW431" s="220"/>
      <c r="AX431" s="220"/>
      <c r="AY431" s="220"/>
      <c r="AZ431" s="220"/>
      <c r="BA431" s="220"/>
      <c r="BB431" s="220"/>
    </row>
    <row r="432">
      <c r="A432" s="240"/>
      <c r="B432" s="302" t="str">
        <f t="shared" si="1"/>
        <v/>
      </c>
      <c r="C432" s="341" t="str">
        <f>IF(A432="","",'Historique détail'!B432/$W432)</f>
        <v/>
      </c>
      <c r="D432" s="341" t="str">
        <f>IF(B432="","",'Historique détail'!C432/$W432)</f>
        <v/>
      </c>
      <c r="E432" s="341" t="str">
        <f>IF(C432="","",'Historique détail'!D432/$W432)</f>
        <v/>
      </c>
      <c r="F432" s="341" t="str">
        <f>IF(D432="","",'Historique détail'!E432/$W432)</f>
        <v/>
      </c>
      <c r="G432" s="341" t="str">
        <f>IF(E432="","",'Historique détail'!F432/$W432)</f>
        <v/>
      </c>
      <c r="H432" s="341" t="str">
        <f>IF(F432="","",'Historique détail'!G432/$W432)</f>
        <v/>
      </c>
      <c r="I432" s="341" t="str">
        <f>IF(G432="","",'Historique détail'!H432/$W432)</f>
        <v/>
      </c>
      <c r="J432" s="341" t="str">
        <f>IF(H432="","",'Historique détail'!I432/$W432)</f>
        <v/>
      </c>
      <c r="K432" s="341" t="str">
        <f>IF(I432="","",'Historique détail'!J432/$W432)</f>
        <v/>
      </c>
      <c r="L432" s="341" t="str">
        <f>IF(J432="","",'Historique détail'!K432/$W432)</f>
        <v/>
      </c>
      <c r="M432" s="341" t="str">
        <f>IF(K432="","",'Historique détail'!L432/$W432)</f>
        <v/>
      </c>
      <c r="N432" s="341" t="str">
        <f>IF(L432="","",'Historique détail'!M432/$W432)</f>
        <v/>
      </c>
      <c r="O432" s="341" t="str">
        <f>IF(M432="","",'Historique détail'!N432/$W432)</f>
        <v/>
      </c>
      <c r="P432" s="341" t="str">
        <f>IF(N432="","",'Historique détail'!O432/$W432)</f>
        <v/>
      </c>
      <c r="Q432" s="341" t="str">
        <f>IF(O432="","",'Historique détail'!P432/$W432)</f>
        <v/>
      </c>
      <c r="R432" s="341" t="str">
        <f>IF(P432="","",'Historique détail'!Q432/$W432)</f>
        <v/>
      </c>
      <c r="S432" s="341" t="str">
        <f>IF(Q432="","",'Historique détail'!R432/$W432)</f>
        <v/>
      </c>
      <c r="T432" s="341" t="str">
        <f>IF(R432="","",'Historique détail'!S432/$W432)</f>
        <v/>
      </c>
      <c r="U432" s="340" t="str">
        <f t="shared" si="2"/>
        <v/>
      </c>
      <c r="V432" s="14" t="str">
        <f>IF(A432="","",ARBITRAGES!M433)</f>
        <v/>
      </c>
      <c r="W432" s="343" t="str">
        <f>IF(V432="","",'Historique détail'!U432)</f>
        <v/>
      </c>
      <c r="X432" s="288"/>
      <c r="Y432" s="220"/>
      <c r="Z432" s="220"/>
      <c r="AA432" s="220"/>
      <c r="AB432" s="220"/>
      <c r="AC432" s="220"/>
      <c r="AD432" s="220"/>
      <c r="AE432" s="220"/>
      <c r="AF432" s="220"/>
      <c r="AG432" s="220"/>
      <c r="AH432" s="220"/>
      <c r="AI432" s="308"/>
      <c r="AJ432" s="220"/>
      <c r="AK432" s="220"/>
      <c r="AL432" s="220"/>
      <c r="AM432" s="220"/>
      <c r="AN432" s="220"/>
      <c r="AO432" s="220"/>
      <c r="AP432" s="220"/>
      <c r="AQ432" s="220"/>
      <c r="AR432" s="220"/>
      <c r="AS432" s="220"/>
      <c r="AT432" s="220"/>
      <c r="AU432" s="220"/>
      <c r="AV432" s="220"/>
      <c r="AW432" s="220"/>
      <c r="AX432" s="220"/>
      <c r="AY432" s="220"/>
      <c r="AZ432" s="220"/>
      <c r="BA432" s="220"/>
      <c r="BB432" s="220"/>
    </row>
    <row r="433">
      <c r="A433" s="240"/>
      <c r="B433" s="302" t="str">
        <f t="shared" si="1"/>
        <v/>
      </c>
      <c r="C433" s="341" t="str">
        <f>IF(A433="","",'Historique détail'!B433/$W433)</f>
        <v/>
      </c>
      <c r="D433" s="341" t="str">
        <f>IF(B433="","",'Historique détail'!C433/$W433)</f>
        <v/>
      </c>
      <c r="E433" s="341" t="str">
        <f>IF(C433="","",'Historique détail'!D433/$W433)</f>
        <v/>
      </c>
      <c r="F433" s="341" t="str">
        <f>IF(D433="","",'Historique détail'!E433/$W433)</f>
        <v/>
      </c>
      <c r="G433" s="341" t="str">
        <f>IF(E433="","",'Historique détail'!F433/$W433)</f>
        <v/>
      </c>
      <c r="H433" s="341" t="str">
        <f>IF(F433="","",'Historique détail'!G433/$W433)</f>
        <v/>
      </c>
      <c r="I433" s="341" t="str">
        <f>IF(G433="","",'Historique détail'!H433/$W433)</f>
        <v/>
      </c>
      <c r="J433" s="341" t="str">
        <f>IF(H433="","",'Historique détail'!I433/$W433)</f>
        <v/>
      </c>
      <c r="K433" s="341" t="str">
        <f>IF(I433="","",'Historique détail'!J433/$W433)</f>
        <v/>
      </c>
      <c r="L433" s="341" t="str">
        <f>IF(J433="","",'Historique détail'!K433/$W433)</f>
        <v/>
      </c>
      <c r="M433" s="341" t="str">
        <f>IF(K433="","",'Historique détail'!L433/$W433)</f>
        <v/>
      </c>
      <c r="N433" s="341" t="str">
        <f>IF(L433="","",'Historique détail'!M433/$W433)</f>
        <v/>
      </c>
      <c r="O433" s="341" t="str">
        <f>IF(M433="","",'Historique détail'!N433/$W433)</f>
        <v/>
      </c>
      <c r="P433" s="341" t="str">
        <f>IF(N433="","",'Historique détail'!O433/$W433)</f>
        <v/>
      </c>
      <c r="Q433" s="341" t="str">
        <f>IF(O433="","",'Historique détail'!P433/$W433)</f>
        <v/>
      </c>
      <c r="R433" s="341" t="str">
        <f>IF(P433="","",'Historique détail'!Q433/$W433)</f>
        <v/>
      </c>
      <c r="S433" s="341" t="str">
        <f>IF(Q433="","",'Historique détail'!R433/$W433)</f>
        <v/>
      </c>
      <c r="T433" s="341" t="str">
        <f>IF(R433="","",'Historique détail'!S433/$W433)</f>
        <v/>
      </c>
      <c r="U433" s="340" t="str">
        <f t="shared" si="2"/>
        <v/>
      </c>
      <c r="V433" s="14" t="str">
        <f>IF(A433="","",ARBITRAGES!M434)</f>
        <v/>
      </c>
      <c r="W433" s="343" t="str">
        <f>IF(V433="","",'Historique détail'!U433)</f>
        <v/>
      </c>
      <c r="X433" s="288"/>
      <c r="Y433" s="220"/>
      <c r="Z433" s="220"/>
      <c r="AA433" s="220"/>
      <c r="AB433" s="220"/>
      <c r="AC433" s="220"/>
      <c r="AD433" s="220"/>
      <c r="AE433" s="220"/>
      <c r="AF433" s="220"/>
      <c r="AG433" s="220"/>
      <c r="AH433" s="220"/>
      <c r="AI433" s="308"/>
      <c r="AJ433" s="220"/>
      <c r="AK433" s="220"/>
      <c r="AL433" s="220"/>
      <c r="AM433" s="220"/>
      <c r="AN433" s="220"/>
      <c r="AO433" s="220"/>
      <c r="AP433" s="220"/>
      <c r="AQ433" s="220"/>
      <c r="AR433" s="220"/>
      <c r="AS433" s="220"/>
      <c r="AT433" s="220"/>
      <c r="AU433" s="220"/>
      <c r="AV433" s="220"/>
      <c r="AW433" s="220"/>
      <c r="AX433" s="220"/>
      <c r="AY433" s="220"/>
      <c r="AZ433" s="220"/>
      <c r="BA433" s="220"/>
      <c r="BB433" s="220"/>
    </row>
    <row r="434">
      <c r="A434" s="240"/>
      <c r="B434" s="302" t="str">
        <f t="shared" si="1"/>
        <v/>
      </c>
      <c r="C434" s="341" t="str">
        <f>IF(A434="","",'Historique détail'!B434/$W434)</f>
        <v/>
      </c>
      <c r="D434" s="341" t="str">
        <f>IF(B434="","",'Historique détail'!C434/$W434)</f>
        <v/>
      </c>
      <c r="E434" s="341" t="str">
        <f>IF(C434="","",'Historique détail'!D434/$W434)</f>
        <v/>
      </c>
      <c r="F434" s="341" t="str">
        <f>IF(D434="","",'Historique détail'!E434/$W434)</f>
        <v/>
      </c>
      <c r="G434" s="341" t="str">
        <f>IF(E434="","",'Historique détail'!F434/$W434)</f>
        <v/>
      </c>
      <c r="H434" s="341" t="str">
        <f>IF(F434="","",'Historique détail'!G434/$W434)</f>
        <v/>
      </c>
      <c r="I434" s="341" t="str">
        <f>IF(G434="","",'Historique détail'!H434/$W434)</f>
        <v/>
      </c>
      <c r="J434" s="341" t="str">
        <f>IF(H434="","",'Historique détail'!I434/$W434)</f>
        <v/>
      </c>
      <c r="K434" s="341" t="str">
        <f>IF(I434="","",'Historique détail'!J434/$W434)</f>
        <v/>
      </c>
      <c r="L434" s="341" t="str">
        <f>IF(J434="","",'Historique détail'!K434/$W434)</f>
        <v/>
      </c>
      <c r="M434" s="341" t="str">
        <f>IF(K434="","",'Historique détail'!L434/$W434)</f>
        <v/>
      </c>
      <c r="N434" s="341" t="str">
        <f>IF(L434="","",'Historique détail'!M434/$W434)</f>
        <v/>
      </c>
      <c r="O434" s="341" t="str">
        <f>IF(M434="","",'Historique détail'!N434/$W434)</f>
        <v/>
      </c>
      <c r="P434" s="341" t="str">
        <f>IF(N434="","",'Historique détail'!O434/$W434)</f>
        <v/>
      </c>
      <c r="Q434" s="341" t="str">
        <f>IF(O434="","",'Historique détail'!P434/$W434)</f>
        <v/>
      </c>
      <c r="R434" s="341" t="str">
        <f>IF(P434="","",'Historique détail'!Q434/$W434)</f>
        <v/>
      </c>
      <c r="S434" s="341" t="str">
        <f>IF(Q434="","",'Historique détail'!R434/$W434)</f>
        <v/>
      </c>
      <c r="T434" s="341" t="str">
        <f>IF(R434="","",'Historique détail'!S434/$W434)</f>
        <v/>
      </c>
      <c r="U434" s="340" t="str">
        <f t="shared" si="2"/>
        <v/>
      </c>
      <c r="V434" s="14" t="str">
        <f>IF(A434="","",ARBITRAGES!M435)</f>
        <v/>
      </c>
      <c r="W434" s="343" t="str">
        <f>IF(V434="","",'Historique détail'!U434)</f>
        <v/>
      </c>
      <c r="X434" s="288"/>
      <c r="Y434" s="220"/>
      <c r="Z434" s="220"/>
      <c r="AA434" s="220"/>
      <c r="AB434" s="220"/>
      <c r="AC434" s="220"/>
      <c r="AD434" s="220"/>
      <c r="AE434" s="220"/>
      <c r="AF434" s="220"/>
      <c r="AG434" s="220"/>
      <c r="AH434" s="220"/>
      <c r="AI434" s="308"/>
      <c r="AJ434" s="220"/>
      <c r="AK434" s="220"/>
      <c r="AL434" s="220"/>
      <c r="AM434" s="220"/>
      <c r="AN434" s="220"/>
      <c r="AO434" s="220"/>
      <c r="AP434" s="220"/>
      <c r="AQ434" s="220"/>
      <c r="AR434" s="220"/>
      <c r="AS434" s="220"/>
      <c r="AT434" s="220"/>
      <c r="AU434" s="220"/>
      <c r="AV434" s="220"/>
      <c r="AW434" s="220"/>
      <c r="AX434" s="220"/>
      <c r="AY434" s="220"/>
      <c r="AZ434" s="220"/>
      <c r="BA434" s="220"/>
      <c r="BB434" s="220"/>
    </row>
    <row r="435">
      <c r="A435" s="240"/>
      <c r="B435" s="302" t="str">
        <f t="shared" si="1"/>
        <v/>
      </c>
      <c r="C435" s="341" t="str">
        <f>IF(A435="","",'Historique détail'!B435/$W435)</f>
        <v/>
      </c>
      <c r="D435" s="341" t="str">
        <f>IF(B435="","",'Historique détail'!C435/$W435)</f>
        <v/>
      </c>
      <c r="E435" s="341" t="str">
        <f>IF(C435="","",'Historique détail'!D435/$W435)</f>
        <v/>
      </c>
      <c r="F435" s="341" t="str">
        <f>IF(D435="","",'Historique détail'!E435/$W435)</f>
        <v/>
      </c>
      <c r="G435" s="341" t="str">
        <f>IF(E435="","",'Historique détail'!F435/$W435)</f>
        <v/>
      </c>
      <c r="H435" s="341" t="str">
        <f>IF(F435="","",'Historique détail'!G435/$W435)</f>
        <v/>
      </c>
      <c r="I435" s="341" t="str">
        <f>IF(G435="","",'Historique détail'!H435/$W435)</f>
        <v/>
      </c>
      <c r="J435" s="341" t="str">
        <f>IF(H435="","",'Historique détail'!I435/$W435)</f>
        <v/>
      </c>
      <c r="K435" s="341" t="str">
        <f>IF(I435="","",'Historique détail'!J435/$W435)</f>
        <v/>
      </c>
      <c r="L435" s="341" t="str">
        <f>IF(J435="","",'Historique détail'!K435/$W435)</f>
        <v/>
      </c>
      <c r="M435" s="341" t="str">
        <f>IF(K435="","",'Historique détail'!L435/$W435)</f>
        <v/>
      </c>
      <c r="N435" s="341" t="str">
        <f>IF(L435="","",'Historique détail'!M435/$W435)</f>
        <v/>
      </c>
      <c r="O435" s="341" t="str">
        <f>IF(M435="","",'Historique détail'!N435/$W435)</f>
        <v/>
      </c>
      <c r="P435" s="341" t="str">
        <f>IF(N435="","",'Historique détail'!O435/$W435)</f>
        <v/>
      </c>
      <c r="Q435" s="341" t="str">
        <f>IF(O435="","",'Historique détail'!P435/$W435)</f>
        <v/>
      </c>
      <c r="R435" s="341" t="str">
        <f>IF(P435="","",'Historique détail'!Q435/$W435)</f>
        <v/>
      </c>
      <c r="S435" s="341" t="str">
        <f>IF(Q435="","",'Historique détail'!R435/$W435)</f>
        <v/>
      </c>
      <c r="T435" s="341" t="str">
        <f>IF(R435="","",'Historique détail'!S435/$W435)</f>
        <v/>
      </c>
      <c r="U435" s="340" t="str">
        <f t="shared" si="2"/>
        <v/>
      </c>
      <c r="V435" s="14" t="str">
        <f>IF(A435="","",ARBITRAGES!M436)</f>
        <v/>
      </c>
      <c r="W435" s="343" t="str">
        <f>IF(V435="","",'Historique détail'!U435)</f>
        <v/>
      </c>
      <c r="X435" s="288"/>
      <c r="Y435" s="220"/>
      <c r="Z435" s="220"/>
      <c r="AA435" s="220"/>
      <c r="AB435" s="220"/>
      <c r="AC435" s="220"/>
      <c r="AD435" s="220"/>
      <c r="AE435" s="220"/>
      <c r="AF435" s="220"/>
      <c r="AG435" s="220"/>
      <c r="AH435" s="220"/>
      <c r="AI435" s="308"/>
      <c r="AJ435" s="220"/>
      <c r="AK435" s="220"/>
      <c r="AL435" s="220"/>
      <c r="AM435" s="220"/>
      <c r="AN435" s="220"/>
      <c r="AO435" s="220"/>
      <c r="AP435" s="220"/>
      <c r="AQ435" s="220"/>
      <c r="AR435" s="220"/>
      <c r="AS435" s="220"/>
      <c r="AT435" s="220"/>
      <c r="AU435" s="220"/>
      <c r="AV435" s="220"/>
      <c r="AW435" s="220"/>
      <c r="AX435" s="220"/>
      <c r="AY435" s="220"/>
      <c r="AZ435" s="220"/>
      <c r="BA435" s="220"/>
      <c r="BB435" s="220"/>
    </row>
    <row r="436">
      <c r="A436" s="240"/>
      <c r="B436" s="302" t="str">
        <f t="shared" si="1"/>
        <v/>
      </c>
      <c r="C436" s="341" t="str">
        <f>IF(A436="","",'Historique détail'!B436/$W436)</f>
        <v/>
      </c>
      <c r="D436" s="341" t="str">
        <f>IF(B436="","",'Historique détail'!C436/$W436)</f>
        <v/>
      </c>
      <c r="E436" s="341" t="str">
        <f>IF(C436="","",'Historique détail'!D436/$W436)</f>
        <v/>
      </c>
      <c r="F436" s="341" t="str">
        <f>IF(D436="","",'Historique détail'!E436/$W436)</f>
        <v/>
      </c>
      <c r="G436" s="341" t="str">
        <f>IF(E436="","",'Historique détail'!F436/$W436)</f>
        <v/>
      </c>
      <c r="H436" s="341" t="str">
        <f>IF(F436="","",'Historique détail'!G436/$W436)</f>
        <v/>
      </c>
      <c r="I436" s="341" t="str">
        <f>IF(G436="","",'Historique détail'!H436/$W436)</f>
        <v/>
      </c>
      <c r="J436" s="341" t="str">
        <f>IF(H436="","",'Historique détail'!I436/$W436)</f>
        <v/>
      </c>
      <c r="K436" s="341" t="str">
        <f>IF(I436="","",'Historique détail'!J436/$W436)</f>
        <v/>
      </c>
      <c r="L436" s="341" t="str">
        <f>IF(J436="","",'Historique détail'!K436/$W436)</f>
        <v/>
      </c>
      <c r="M436" s="341" t="str">
        <f>IF(K436="","",'Historique détail'!L436/$W436)</f>
        <v/>
      </c>
      <c r="N436" s="341" t="str">
        <f>IF(L436="","",'Historique détail'!M436/$W436)</f>
        <v/>
      </c>
      <c r="O436" s="341" t="str">
        <f>IF(M436="","",'Historique détail'!N436/$W436)</f>
        <v/>
      </c>
      <c r="P436" s="341" t="str">
        <f>IF(N436="","",'Historique détail'!O436/$W436)</f>
        <v/>
      </c>
      <c r="Q436" s="341" t="str">
        <f>IF(O436="","",'Historique détail'!P436/$W436)</f>
        <v/>
      </c>
      <c r="R436" s="341" t="str">
        <f>IF(P436="","",'Historique détail'!Q436/$W436)</f>
        <v/>
      </c>
      <c r="S436" s="341" t="str">
        <f>IF(Q436="","",'Historique détail'!R436/$W436)</f>
        <v/>
      </c>
      <c r="T436" s="341" t="str">
        <f>IF(R436="","",'Historique détail'!S436/$W436)</f>
        <v/>
      </c>
      <c r="U436" s="340" t="str">
        <f t="shared" si="2"/>
        <v/>
      </c>
      <c r="V436" s="14" t="str">
        <f>IF(A436="","",ARBITRAGES!M437)</f>
        <v/>
      </c>
      <c r="W436" s="343" t="str">
        <f>IF(V436="","",'Historique détail'!U436)</f>
        <v/>
      </c>
      <c r="X436" s="288"/>
      <c r="Y436" s="220"/>
      <c r="Z436" s="220"/>
      <c r="AA436" s="220"/>
      <c r="AB436" s="220"/>
      <c r="AC436" s="220"/>
      <c r="AD436" s="220"/>
      <c r="AE436" s="220"/>
      <c r="AF436" s="220"/>
      <c r="AG436" s="220"/>
      <c r="AH436" s="220"/>
      <c r="AI436" s="308"/>
      <c r="AJ436" s="220"/>
      <c r="AK436" s="220"/>
      <c r="AL436" s="220"/>
      <c r="AM436" s="220"/>
      <c r="AN436" s="220"/>
      <c r="AO436" s="220"/>
      <c r="AP436" s="220"/>
      <c r="AQ436" s="220"/>
      <c r="AR436" s="220"/>
      <c r="AS436" s="220"/>
      <c r="AT436" s="220"/>
      <c r="AU436" s="220"/>
      <c r="AV436" s="220"/>
      <c r="AW436" s="220"/>
      <c r="AX436" s="220"/>
      <c r="AY436" s="220"/>
      <c r="AZ436" s="220"/>
      <c r="BA436" s="220"/>
      <c r="BB436" s="220"/>
    </row>
    <row r="437">
      <c r="A437" s="240"/>
      <c r="B437" s="302" t="str">
        <f t="shared" si="1"/>
        <v/>
      </c>
      <c r="C437" s="341" t="str">
        <f>IF(A437="","",'Historique détail'!B437/$W437)</f>
        <v/>
      </c>
      <c r="D437" s="341" t="str">
        <f>IF(B437="","",'Historique détail'!C437/$W437)</f>
        <v/>
      </c>
      <c r="E437" s="341" t="str">
        <f>IF(C437="","",'Historique détail'!D437/$W437)</f>
        <v/>
      </c>
      <c r="F437" s="341" t="str">
        <f>IF(D437="","",'Historique détail'!E437/$W437)</f>
        <v/>
      </c>
      <c r="G437" s="341" t="str">
        <f>IF(E437="","",'Historique détail'!F437/$W437)</f>
        <v/>
      </c>
      <c r="H437" s="341" t="str">
        <f>IF(F437="","",'Historique détail'!G437/$W437)</f>
        <v/>
      </c>
      <c r="I437" s="341" t="str">
        <f>IF(G437="","",'Historique détail'!H437/$W437)</f>
        <v/>
      </c>
      <c r="J437" s="341" t="str">
        <f>IF(H437="","",'Historique détail'!I437/$W437)</f>
        <v/>
      </c>
      <c r="K437" s="341" t="str">
        <f>IF(I437="","",'Historique détail'!J437/$W437)</f>
        <v/>
      </c>
      <c r="L437" s="341" t="str">
        <f>IF(J437="","",'Historique détail'!K437/$W437)</f>
        <v/>
      </c>
      <c r="M437" s="341" t="str">
        <f>IF(K437="","",'Historique détail'!L437/$W437)</f>
        <v/>
      </c>
      <c r="N437" s="341" t="str">
        <f>IF(L437="","",'Historique détail'!M437/$W437)</f>
        <v/>
      </c>
      <c r="O437" s="341" t="str">
        <f>IF(M437="","",'Historique détail'!N437/$W437)</f>
        <v/>
      </c>
      <c r="P437" s="341" t="str">
        <f>IF(N437="","",'Historique détail'!O437/$W437)</f>
        <v/>
      </c>
      <c r="Q437" s="341" t="str">
        <f>IF(O437="","",'Historique détail'!P437/$W437)</f>
        <v/>
      </c>
      <c r="R437" s="341" t="str">
        <f>IF(P437="","",'Historique détail'!Q437/$W437)</f>
        <v/>
      </c>
      <c r="S437" s="341" t="str">
        <f>IF(Q437="","",'Historique détail'!R437/$W437)</f>
        <v/>
      </c>
      <c r="T437" s="341" t="str">
        <f>IF(R437="","",'Historique détail'!S437/$W437)</f>
        <v/>
      </c>
      <c r="U437" s="340" t="str">
        <f t="shared" si="2"/>
        <v/>
      </c>
      <c r="V437" s="14" t="str">
        <f>IF(A437="","",ARBITRAGES!M438)</f>
        <v/>
      </c>
      <c r="W437" s="343" t="str">
        <f>IF(V437="","",'Historique détail'!U437)</f>
        <v/>
      </c>
      <c r="X437" s="288"/>
      <c r="Y437" s="220"/>
      <c r="Z437" s="220"/>
      <c r="AA437" s="220"/>
      <c r="AB437" s="220"/>
      <c r="AC437" s="220"/>
      <c r="AD437" s="220"/>
      <c r="AE437" s="220"/>
      <c r="AF437" s="220"/>
      <c r="AG437" s="220"/>
      <c r="AH437" s="220"/>
      <c r="AI437" s="308"/>
      <c r="AJ437" s="220"/>
      <c r="AK437" s="220"/>
      <c r="AL437" s="220"/>
      <c r="AM437" s="220"/>
      <c r="AN437" s="220"/>
      <c r="AO437" s="220"/>
      <c r="AP437" s="220"/>
      <c r="AQ437" s="220"/>
      <c r="AR437" s="220"/>
      <c r="AS437" s="220"/>
      <c r="AT437" s="220"/>
      <c r="AU437" s="220"/>
      <c r="AV437" s="220"/>
      <c r="AW437" s="220"/>
      <c r="AX437" s="220"/>
      <c r="AY437" s="220"/>
      <c r="AZ437" s="220"/>
      <c r="BA437" s="220"/>
      <c r="BB437" s="220"/>
    </row>
    <row r="438">
      <c r="A438" s="240"/>
      <c r="B438" s="302" t="str">
        <f t="shared" si="1"/>
        <v/>
      </c>
      <c r="C438" s="341" t="str">
        <f>IF(A438="","",'Historique détail'!B438/$W438)</f>
        <v/>
      </c>
      <c r="D438" s="341" t="str">
        <f>IF(B438="","",'Historique détail'!C438/$W438)</f>
        <v/>
      </c>
      <c r="E438" s="341" t="str">
        <f>IF(C438="","",'Historique détail'!D438/$W438)</f>
        <v/>
      </c>
      <c r="F438" s="341" t="str">
        <f>IF(D438="","",'Historique détail'!E438/$W438)</f>
        <v/>
      </c>
      <c r="G438" s="341" t="str">
        <f>IF(E438="","",'Historique détail'!F438/$W438)</f>
        <v/>
      </c>
      <c r="H438" s="341" t="str">
        <f>IF(F438="","",'Historique détail'!G438/$W438)</f>
        <v/>
      </c>
      <c r="I438" s="341" t="str">
        <f>IF(G438="","",'Historique détail'!H438/$W438)</f>
        <v/>
      </c>
      <c r="J438" s="341" t="str">
        <f>IF(H438="","",'Historique détail'!I438/$W438)</f>
        <v/>
      </c>
      <c r="K438" s="341" t="str">
        <f>IF(I438="","",'Historique détail'!J438/$W438)</f>
        <v/>
      </c>
      <c r="L438" s="341" t="str">
        <f>IF(J438="","",'Historique détail'!K438/$W438)</f>
        <v/>
      </c>
      <c r="M438" s="341" t="str">
        <f>IF(K438="","",'Historique détail'!L438/$W438)</f>
        <v/>
      </c>
      <c r="N438" s="341" t="str">
        <f>IF(L438="","",'Historique détail'!M438/$W438)</f>
        <v/>
      </c>
      <c r="O438" s="341" t="str">
        <f>IF(M438="","",'Historique détail'!N438/$W438)</f>
        <v/>
      </c>
      <c r="P438" s="341" t="str">
        <f>IF(N438="","",'Historique détail'!O438/$W438)</f>
        <v/>
      </c>
      <c r="Q438" s="341" t="str">
        <f>IF(O438="","",'Historique détail'!P438/$W438)</f>
        <v/>
      </c>
      <c r="R438" s="341" t="str">
        <f>IF(P438="","",'Historique détail'!Q438/$W438)</f>
        <v/>
      </c>
      <c r="S438" s="341" t="str">
        <f>IF(Q438="","",'Historique détail'!R438/$W438)</f>
        <v/>
      </c>
      <c r="T438" s="341" t="str">
        <f>IF(R438="","",'Historique détail'!S438/$W438)</f>
        <v/>
      </c>
      <c r="U438" s="340" t="str">
        <f t="shared" si="2"/>
        <v/>
      </c>
      <c r="V438" s="14" t="str">
        <f>IF(A438="","",ARBITRAGES!M439)</f>
        <v/>
      </c>
      <c r="W438" s="343" t="str">
        <f>IF(V438="","",'Historique détail'!U438)</f>
        <v/>
      </c>
      <c r="X438" s="288"/>
      <c r="Y438" s="220"/>
      <c r="Z438" s="220"/>
      <c r="AA438" s="220"/>
      <c r="AB438" s="220"/>
      <c r="AC438" s="220"/>
      <c r="AD438" s="220"/>
      <c r="AE438" s="220"/>
      <c r="AF438" s="220"/>
      <c r="AG438" s="220"/>
      <c r="AH438" s="220"/>
      <c r="AI438" s="308"/>
      <c r="AJ438" s="220"/>
      <c r="AK438" s="220"/>
      <c r="AL438" s="220"/>
      <c r="AM438" s="220"/>
      <c r="AN438" s="220"/>
      <c r="AO438" s="220"/>
      <c r="AP438" s="220"/>
      <c r="AQ438" s="220"/>
      <c r="AR438" s="220"/>
      <c r="AS438" s="220"/>
      <c r="AT438" s="220"/>
      <c r="AU438" s="220"/>
      <c r="AV438" s="220"/>
      <c r="AW438" s="220"/>
      <c r="AX438" s="220"/>
      <c r="AY438" s="220"/>
      <c r="AZ438" s="220"/>
      <c r="BA438" s="220"/>
      <c r="BB438" s="220"/>
    </row>
    <row r="439">
      <c r="A439" s="240"/>
      <c r="B439" s="302" t="str">
        <f t="shared" si="1"/>
        <v/>
      </c>
      <c r="C439" s="341" t="str">
        <f>IF(A439="","",'Historique détail'!B439/$W439)</f>
        <v/>
      </c>
      <c r="D439" s="341" t="str">
        <f>IF(B439="","",'Historique détail'!C439/$W439)</f>
        <v/>
      </c>
      <c r="E439" s="341" t="str">
        <f>IF(C439="","",'Historique détail'!D439/$W439)</f>
        <v/>
      </c>
      <c r="F439" s="341" t="str">
        <f>IF(D439="","",'Historique détail'!E439/$W439)</f>
        <v/>
      </c>
      <c r="G439" s="341" t="str">
        <f>IF(E439="","",'Historique détail'!F439/$W439)</f>
        <v/>
      </c>
      <c r="H439" s="341" t="str">
        <f>IF(F439="","",'Historique détail'!G439/$W439)</f>
        <v/>
      </c>
      <c r="I439" s="341" t="str">
        <f>IF(G439="","",'Historique détail'!H439/$W439)</f>
        <v/>
      </c>
      <c r="J439" s="341" t="str">
        <f>IF(H439="","",'Historique détail'!I439/$W439)</f>
        <v/>
      </c>
      <c r="K439" s="341" t="str">
        <f>IF(I439="","",'Historique détail'!J439/$W439)</f>
        <v/>
      </c>
      <c r="L439" s="341" t="str">
        <f>IF(J439="","",'Historique détail'!K439/$W439)</f>
        <v/>
      </c>
      <c r="M439" s="341" t="str">
        <f>IF(K439="","",'Historique détail'!L439/$W439)</f>
        <v/>
      </c>
      <c r="N439" s="341" t="str">
        <f>IF(L439="","",'Historique détail'!M439/$W439)</f>
        <v/>
      </c>
      <c r="O439" s="341" t="str">
        <f>IF(M439="","",'Historique détail'!N439/$W439)</f>
        <v/>
      </c>
      <c r="P439" s="341" t="str">
        <f>IF(N439="","",'Historique détail'!O439/$W439)</f>
        <v/>
      </c>
      <c r="Q439" s="341" t="str">
        <f>IF(O439="","",'Historique détail'!P439/$W439)</f>
        <v/>
      </c>
      <c r="R439" s="341" t="str">
        <f>IF(P439="","",'Historique détail'!Q439/$W439)</f>
        <v/>
      </c>
      <c r="S439" s="341" t="str">
        <f>IF(Q439="","",'Historique détail'!R439/$W439)</f>
        <v/>
      </c>
      <c r="T439" s="341" t="str">
        <f>IF(R439="","",'Historique détail'!S439/$W439)</f>
        <v/>
      </c>
      <c r="U439" s="340" t="str">
        <f t="shared" si="2"/>
        <v/>
      </c>
      <c r="V439" s="14" t="str">
        <f>IF(A439="","",ARBITRAGES!M440)</f>
        <v/>
      </c>
      <c r="W439" s="343" t="str">
        <f>IF(V439="","",'Historique détail'!U439)</f>
        <v/>
      </c>
      <c r="X439" s="288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0"/>
      <c r="AI439" s="308"/>
      <c r="AJ439" s="220"/>
      <c r="AK439" s="220"/>
      <c r="AL439" s="220"/>
      <c r="AM439" s="220"/>
      <c r="AN439" s="220"/>
      <c r="AO439" s="220"/>
      <c r="AP439" s="220"/>
      <c r="AQ439" s="220"/>
      <c r="AR439" s="220"/>
      <c r="AS439" s="220"/>
      <c r="AT439" s="220"/>
      <c r="AU439" s="220"/>
      <c r="AV439" s="220"/>
      <c r="AW439" s="220"/>
      <c r="AX439" s="220"/>
      <c r="AY439" s="220"/>
      <c r="AZ439" s="220"/>
      <c r="BA439" s="220"/>
      <c r="BB439" s="220"/>
    </row>
    <row r="440">
      <c r="A440" s="240"/>
      <c r="B440" s="302" t="str">
        <f t="shared" si="1"/>
        <v/>
      </c>
      <c r="C440" s="341" t="str">
        <f>IF(A440="","",'Historique détail'!B440/$W440)</f>
        <v/>
      </c>
      <c r="D440" s="341" t="str">
        <f>IF(B440="","",'Historique détail'!C440/$W440)</f>
        <v/>
      </c>
      <c r="E440" s="341" t="str">
        <f>IF(C440="","",'Historique détail'!D440/$W440)</f>
        <v/>
      </c>
      <c r="F440" s="341" t="str">
        <f>IF(D440="","",'Historique détail'!E440/$W440)</f>
        <v/>
      </c>
      <c r="G440" s="341" t="str">
        <f>IF(E440="","",'Historique détail'!F440/$W440)</f>
        <v/>
      </c>
      <c r="H440" s="341" t="str">
        <f>IF(F440="","",'Historique détail'!G440/$W440)</f>
        <v/>
      </c>
      <c r="I440" s="341" t="str">
        <f>IF(G440="","",'Historique détail'!H440/$W440)</f>
        <v/>
      </c>
      <c r="J440" s="341" t="str">
        <f>IF(H440="","",'Historique détail'!I440/$W440)</f>
        <v/>
      </c>
      <c r="K440" s="341" t="str">
        <f>IF(I440="","",'Historique détail'!J440/$W440)</f>
        <v/>
      </c>
      <c r="L440" s="341" t="str">
        <f>IF(J440="","",'Historique détail'!K440/$W440)</f>
        <v/>
      </c>
      <c r="M440" s="341" t="str">
        <f>IF(K440="","",'Historique détail'!L440/$W440)</f>
        <v/>
      </c>
      <c r="N440" s="341" t="str">
        <f>IF(L440="","",'Historique détail'!M440/$W440)</f>
        <v/>
      </c>
      <c r="O440" s="341" t="str">
        <f>IF(M440="","",'Historique détail'!N440/$W440)</f>
        <v/>
      </c>
      <c r="P440" s="341" t="str">
        <f>IF(N440="","",'Historique détail'!O440/$W440)</f>
        <v/>
      </c>
      <c r="Q440" s="341" t="str">
        <f>IF(O440="","",'Historique détail'!P440/$W440)</f>
        <v/>
      </c>
      <c r="R440" s="341" t="str">
        <f>IF(P440="","",'Historique détail'!Q440/$W440)</f>
        <v/>
      </c>
      <c r="S440" s="341" t="str">
        <f>IF(Q440="","",'Historique détail'!R440/$W440)</f>
        <v/>
      </c>
      <c r="T440" s="341" t="str">
        <f>IF(R440="","",'Historique détail'!S440/$W440)</f>
        <v/>
      </c>
      <c r="U440" s="340" t="str">
        <f t="shared" si="2"/>
        <v/>
      </c>
      <c r="V440" s="14" t="str">
        <f>IF(A440="","",ARBITRAGES!M441)</f>
        <v/>
      </c>
      <c r="W440" s="343" t="str">
        <f>IF(V440="","",'Historique détail'!U440)</f>
        <v/>
      </c>
      <c r="X440" s="288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0"/>
      <c r="AI440" s="308"/>
      <c r="AJ440" s="220"/>
      <c r="AK440" s="220"/>
      <c r="AL440" s="220"/>
      <c r="AM440" s="220"/>
      <c r="AN440" s="220"/>
      <c r="AO440" s="220"/>
      <c r="AP440" s="220"/>
      <c r="AQ440" s="220"/>
      <c r="AR440" s="220"/>
      <c r="AS440" s="220"/>
      <c r="AT440" s="220"/>
      <c r="AU440" s="220"/>
      <c r="AV440" s="220"/>
      <c r="AW440" s="220"/>
      <c r="AX440" s="220"/>
      <c r="AY440" s="220"/>
      <c r="AZ440" s="220"/>
      <c r="BA440" s="220"/>
      <c r="BB440" s="220"/>
    </row>
    <row r="441">
      <c r="A441" s="240"/>
      <c r="B441" s="302" t="str">
        <f t="shared" si="1"/>
        <v/>
      </c>
      <c r="C441" s="341" t="str">
        <f>IF(A441="","",'Historique détail'!B441/$W441)</f>
        <v/>
      </c>
      <c r="D441" s="341" t="str">
        <f>IF(B441="","",'Historique détail'!C441/$W441)</f>
        <v/>
      </c>
      <c r="E441" s="341" t="str">
        <f>IF(C441="","",'Historique détail'!D441/$W441)</f>
        <v/>
      </c>
      <c r="F441" s="341" t="str">
        <f>IF(D441="","",'Historique détail'!E441/$W441)</f>
        <v/>
      </c>
      <c r="G441" s="341" t="str">
        <f>IF(E441="","",'Historique détail'!F441/$W441)</f>
        <v/>
      </c>
      <c r="H441" s="341" t="str">
        <f>IF(F441="","",'Historique détail'!G441/$W441)</f>
        <v/>
      </c>
      <c r="I441" s="341" t="str">
        <f>IF(G441="","",'Historique détail'!H441/$W441)</f>
        <v/>
      </c>
      <c r="J441" s="341" t="str">
        <f>IF(H441="","",'Historique détail'!I441/$W441)</f>
        <v/>
      </c>
      <c r="K441" s="341" t="str">
        <f>IF(I441="","",'Historique détail'!J441/$W441)</f>
        <v/>
      </c>
      <c r="L441" s="341" t="str">
        <f>IF(J441="","",'Historique détail'!K441/$W441)</f>
        <v/>
      </c>
      <c r="M441" s="341" t="str">
        <f>IF(K441="","",'Historique détail'!L441/$W441)</f>
        <v/>
      </c>
      <c r="N441" s="341" t="str">
        <f>IF(L441="","",'Historique détail'!M441/$W441)</f>
        <v/>
      </c>
      <c r="O441" s="341" t="str">
        <f>IF(M441="","",'Historique détail'!N441/$W441)</f>
        <v/>
      </c>
      <c r="P441" s="341" t="str">
        <f>IF(N441="","",'Historique détail'!O441/$W441)</f>
        <v/>
      </c>
      <c r="Q441" s="341" t="str">
        <f>IF(O441="","",'Historique détail'!P441/$W441)</f>
        <v/>
      </c>
      <c r="R441" s="341" t="str">
        <f>IF(P441="","",'Historique détail'!Q441/$W441)</f>
        <v/>
      </c>
      <c r="S441" s="341" t="str">
        <f>IF(Q441="","",'Historique détail'!R441/$W441)</f>
        <v/>
      </c>
      <c r="T441" s="341" t="str">
        <f>IF(R441="","",'Historique détail'!S441/$W441)</f>
        <v/>
      </c>
      <c r="U441" s="340" t="str">
        <f t="shared" si="2"/>
        <v/>
      </c>
      <c r="V441" s="14" t="str">
        <f>IF(A441="","",ARBITRAGES!M442)</f>
        <v/>
      </c>
      <c r="W441" s="343" t="str">
        <f>IF(V441="","",'Historique détail'!U441)</f>
        <v/>
      </c>
      <c r="X441" s="288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0"/>
      <c r="AI441" s="308"/>
      <c r="AJ441" s="220"/>
      <c r="AK441" s="220"/>
      <c r="AL441" s="220"/>
      <c r="AM441" s="220"/>
      <c r="AN441" s="220"/>
      <c r="AO441" s="220"/>
      <c r="AP441" s="220"/>
      <c r="AQ441" s="220"/>
      <c r="AR441" s="220"/>
      <c r="AS441" s="220"/>
      <c r="AT441" s="220"/>
      <c r="AU441" s="220"/>
      <c r="AV441" s="220"/>
      <c r="AW441" s="220"/>
      <c r="AX441" s="220"/>
      <c r="AY441" s="220"/>
      <c r="AZ441" s="220"/>
      <c r="BA441" s="220"/>
      <c r="BB441" s="220"/>
    </row>
    <row r="442">
      <c r="A442" s="240"/>
      <c r="B442" s="302" t="str">
        <f t="shared" si="1"/>
        <v/>
      </c>
      <c r="C442" s="341" t="str">
        <f>IF(A442="","",'Historique détail'!B442/$W442)</f>
        <v/>
      </c>
      <c r="D442" s="341" t="str">
        <f>IF(B442="","",'Historique détail'!C442/$W442)</f>
        <v/>
      </c>
      <c r="E442" s="341" t="str">
        <f>IF(C442="","",'Historique détail'!D442/$W442)</f>
        <v/>
      </c>
      <c r="F442" s="341" t="str">
        <f>IF(D442="","",'Historique détail'!E442/$W442)</f>
        <v/>
      </c>
      <c r="G442" s="341" t="str">
        <f>IF(E442="","",'Historique détail'!F442/$W442)</f>
        <v/>
      </c>
      <c r="H442" s="341" t="str">
        <f>IF(F442="","",'Historique détail'!G442/$W442)</f>
        <v/>
      </c>
      <c r="I442" s="341" t="str">
        <f>IF(G442="","",'Historique détail'!H442/$W442)</f>
        <v/>
      </c>
      <c r="J442" s="341" t="str">
        <f>IF(H442="","",'Historique détail'!I442/$W442)</f>
        <v/>
      </c>
      <c r="K442" s="341" t="str">
        <f>IF(I442="","",'Historique détail'!J442/$W442)</f>
        <v/>
      </c>
      <c r="L442" s="341" t="str">
        <f>IF(J442="","",'Historique détail'!K442/$W442)</f>
        <v/>
      </c>
      <c r="M442" s="341" t="str">
        <f>IF(K442="","",'Historique détail'!L442/$W442)</f>
        <v/>
      </c>
      <c r="N442" s="341" t="str">
        <f>IF(L442="","",'Historique détail'!M442/$W442)</f>
        <v/>
      </c>
      <c r="O442" s="341" t="str">
        <f>IF(M442="","",'Historique détail'!N442/$W442)</f>
        <v/>
      </c>
      <c r="P442" s="341" t="str">
        <f>IF(N442="","",'Historique détail'!O442/$W442)</f>
        <v/>
      </c>
      <c r="Q442" s="341" t="str">
        <f>IF(O442="","",'Historique détail'!P442/$W442)</f>
        <v/>
      </c>
      <c r="R442" s="341" t="str">
        <f>IF(P442="","",'Historique détail'!Q442/$W442)</f>
        <v/>
      </c>
      <c r="S442" s="341" t="str">
        <f>IF(Q442="","",'Historique détail'!R442/$W442)</f>
        <v/>
      </c>
      <c r="T442" s="341" t="str">
        <f>IF(R442="","",'Historique détail'!S442/$W442)</f>
        <v/>
      </c>
      <c r="U442" s="340" t="str">
        <f t="shared" si="2"/>
        <v/>
      </c>
      <c r="V442" s="14" t="str">
        <f>IF(A442="","",ARBITRAGES!M443)</f>
        <v/>
      </c>
      <c r="W442" s="343" t="str">
        <f>IF(V442="","",'Historique détail'!U442)</f>
        <v/>
      </c>
      <c r="X442" s="288"/>
      <c r="Y442" s="220"/>
      <c r="Z442" s="220"/>
      <c r="AA442" s="220"/>
      <c r="AB442" s="220"/>
      <c r="AC442" s="220"/>
      <c r="AD442" s="220"/>
      <c r="AE442" s="220"/>
      <c r="AF442" s="220"/>
      <c r="AG442" s="220"/>
      <c r="AH442" s="220"/>
      <c r="AI442" s="308"/>
      <c r="AJ442" s="220"/>
      <c r="AK442" s="220"/>
      <c r="AL442" s="220"/>
      <c r="AM442" s="220"/>
      <c r="AN442" s="220"/>
      <c r="AO442" s="220"/>
      <c r="AP442" s="220"/>
      <c r="AQ442" s="220"/>
      <c r="AR442" s="220"/>
      <c r="AS442" s="220"/>
      <c r="AT442" s="220"/>
      <c r="AU442" s="220"/>
      <c r="AV442" s="220"/>
      <c r="AW442" s="220"/>
      <c r="AX442" s="220"/>
      <c r="AY442" s="220"/>
      <c r="AZ442" s="220"/>
      <c r="BA442" s="220"/>
      <c r="BB442" s="220"/>
    </row>
    <row r="443">
      <c r="A443" s="240"/>
      <c r="B443" s="302" t="str">
        <f t="shared" si="1"/>
        <v/>
      </c>
      <c r="C443" s="341" t="str">
        <f>IF(A443="","",'Historique détail'!B443/$W443)</f>
        <v/>
      </c>
      <c r="D443" s="341" t="str">
        <f>IF(B443="","",'Historique détail'!C443/$W443)</f>
        <v/>
      </c>
      <c r="E443" s="341" t="str">
        <f>IF(C443="","",'Historique détail'!D443/$W443)</f>
        <v/>
      </c>
      <c r="F443" s="341" t="str">
        <f>IF(D443="","",'Historique détail'!E443/$W443)</f>
        <v/>
      </c>
      <c r="G443" s="341" t="str">
        <f>IF(E443="","",'Historique détail'!F443/$W443)</f>
        <v/>
      </c>
      <c r="H443" s="341" t="str">
        <f>IF(F443="","",'Historique détail'!G443/$W443)</f>
        <v/>
      </c>
      <c r="I443" s="341" t="str">
        <f>IF(G443="","",'Historique détail'!H443/$W443)</f>
        <v/>
      </c>
      <c r="J443" s="341" t="str">
        <f>IF(H443="","",'Historique détail'!I443/$W443)</f>
        <v/>
      </c>
      <c r="K443" s="341" t="str">
        <f>IF(I443="","",'Historique détail'!J443/$W443)</f>
        <v/>
      </c>
      <c r="L443" s="341" t="str">
        <f>IF(J443="","",'Historique détail'!K443/$W443)</f>
        <v/>
      </c>
      <c r="M443" s="341" t="str">
        <f>IF(K443="","",'Historique détail'!L443/$W443)</f>
        <v/>
      </c>
      <c r="N443" s="341" t="str">
        <f>IF(L443="","",'Historique détail'!M443/$W443)</f>
        <v/>
      </c>
      <c r="O443" s="341" t="str">
        <f>IF(M443="","",'Historique détail'!N443/$W443)</f>
        <v/>
      </c>
      <c r="P443" s="341" t="str">
        <f>IF(N443="","",'Historique détail'!O443/$W443)</f>
        <v/>
      </c>
      <c r="Q443" s="341" t="str">
        <f>IF(O443="","",'Historique détail'!P443/$W443)</f>
        <v/>
      </c>
      <c r="R443" s="341" t="str">
        <f>IF(P443="","",'Historique détail'!Q443/$W443)</f>
        <v/>
      </c>
      <c r="S443" s="341" t="str">
        <f>IF(Q443="","",'Historique détail'!R443/$W443)</f>
        <v/>
      </c>
      <c r="T443" s="341" t="str">
        <f>IF(R443="","",'Historique détail'!S443/$W443)</f>
        <v/>
      </c>
      <c r="U443" s="340" t="str">
        <f t="shared" si="2"/>
        <v/>
      </c>
      <c r="V443" s="14" t="str">
        <f>IF(A443="","",ARBITRAGES!M444)</f>
        <v/>
      </c>
      <c r="W443" s="343" t="str">
        <f>IF(V443="","",'Historique détail'!U443)</f>
        <v/>
      </c>
      <c r="X443" s="288"/>
      <c r="Y443" s="220"/>
      <c r="Z443" s="220"/>
      <c r="AA443" s="220"/>
      <c r="AB443" s="220"/>
      <c r="AC443" s="220"/>
      <c r="AD443" s="220"/>
      <c r="AE443" s="220"/>
      <c r="AF443" s="220"/>
      <c r="AG443" s="220"/>
      <c r="AH443" s="220"/>
      <c r="AI443" s="308"/>
      <c r="AJ443" s="220"/>
      <c r="AK443" s="220"/>
      <c r="AL443" s="220"/>
      <c r="AM443" s="220"/>
      <c r="AN443" s="220"/>
      <c r="AO443" s="220"/>
      <c r="AP443" s="220"/>
      <c r="AQ443" s="220"/>
      <c r="AR443" s="220"/>
      <c r="AS443" s="220"/>
      <c r="AT443" s="220"/>
      <c r="AU443" s="220"/>
      <c r="AV443" s="220"/>
      <c r="AW443" s="220"/>
      <c r="AX443" s="220"/>
      <c r="AY443" s="220"/>
      <c r="AZ443" s="220"/>
      <c r="BA443" s="220"/>
      <c r="BB443" s="220"/>
    </row>
    <row r="444">
      <c r="A444" s="240"/>
      <c r="B444" s="302" t="str">
        <f t="shared" si="1"/>
        <v/>
      </c>
      <c r="C444" s="341" t="str">
        <f>IF(A444="","",'Historique détail'!B444/$W444)</f>
        <v/>
      </c>
      <c r="D444" s="341" t="str">
        <f>IF(B444="","",'Historique détail'!C444/$W444)</f>
        <v/>
      </c>
      <c r="E444" s="341" t="str">
        <f>IF(C444="","",'Historique détail'!D444/$W444)</f>
        <v/>
      </c>
      <c r="F444" s="341" t="str">
        <f>IF(D444="","",'Historique détail'!E444/$W444)</f>
        <v/>
      </c>
      <c r="G444" s="341" t="str">
        <f>IF(E444="","",'Historique détail'!F444/$W444)</f>
        <v/>
      </c>
      <c r="H444" s="341" t="str">
        <f>IF(F444="","",'Historique détail'!G444/$W444)</f>
        <v/>
      </c>
      <c r="I444" s="341" t="str">
        <f>IF(G444="","",'Historique détail'!H444/$W444)</f>
        <v/>
      </c>
      <c r="J444" s="341" t="str">
        <f>IF(H444="","",'Historique détail'!I444/$W444)</f>
        <v/>
      </c>
      <c r="K444" s="341" t="str">
        <f>IF(I444="","",'Historique détail'!J444/$W444)</f>
        <v/>
      </c>
      <c r="L444" s="341" t="str">
        <f>IF(J444="","",'Historique détail'!K444/$W444)</f>
        <v/>
      </c>
      <c r="M444" s="341" t="str">
        <f>IF(K444="","",'Historique détail'!L444/$W444)</f>
        <v/>
      </c>
      <c r="N444" s="341" t="str">
        <f>IF(L444="","",'Historique détail'!M444/$W444)</f>
        <v/>
      </c>
      <c r="O444" s="341" t="str">
        <f>IF(M444="","",'Historique détail'!N444/$W444)</f>
        <v/>
      </c>
      <c r="P444" s="341" t="str">
        <f>IF(N444="","",'Historique détail'!O444/$W444)</f>
        <v/>
      </c>
      <c r="Q444" s="341" t="str">
        <f>IF(O444="","",'Historique détail'!P444/$W444)</f>
        <v/>
      </c>
      <c r="R444" s="341" t="str">
        <f>IF(P444="","",'Historique détail'!Q444/$W444)</f>
        <v/>
      </c>
      <c r="S444" s="341" t="str">
        <f>IF(Q444="","",'Historique détail'!R444/$W444)</f>
        <v/>
      </c>
      <c r="T444" s="341" t="str">
        <f>IF(R444="","",'Historique détail'!S444/$W444)</f>
        <v/>
      </c>
      <c r="U444" s="340" t="str">
        <f t="shared" si="2"/>
        <v/>
      </c>
      <c r="V444" s="14" t="str">
        <f>IF(A444="","",ARBITRAGES!M445)</f>
        <v/>
      </c>
      <c r="W444" s="343" t="str">
        <f>IF(V444="","",'Historique détail'!U444)</f>
        <v/>
      </c>
      <c r="X444" s="288"/>
      <c r="Y444" s="220"/>
      <c r="Z444" s="220"/>
      <c r="AA444" s="220"/>
      <c r="AB444" s="220"/>
      <c r="AC444" s="220"/>
      <c r="AD444" s="220"/>
      <c r="AE444" s="220"/>
      <c r="AF444" s="220"/>
      <c r="AG444" s="220"/>
      <c r="AH444" s="220"/>
      <c r="AI444" s="308"/>
      <c r="AJ444" s="220"/>
      <c r="AK444" s="220"/>
      <c r="AL444" s="220"/>
      <c r="AM444" s="220"/>
      <c r="AN444" s="220"/>
      <c r="AO444" s="220"/>
      <c r="AP444" s="220"/>
      <c r="AQ444" s="220"/>
      <c r="AR444" s="220"/>
      <c r="AS444" s="220"/>
      <c r="AT444" s="220"/>
      <c r="AU444" s="220"/>
      <c r="AV444" s="220"/>
      <c r="AW444" s="220"/>
      <c r="AX444" s="220"/>
      <c r="AY444" s="220"/>
      <c r="AZ444" s="220"/>
      <c r="BA444" s="220"/>
      <c r="BB444" s="220"/>
    </row>
    <row r="445">
      <c r="A445" s="240"/>
      <c r="B445" s="302" t="str">
        <f t="shared" si="1"/>
        <v/>
      </c>
      <c r="C445" s="341" t="str">
        <f>IF(A445="","",'Historique détail'!B445/$W445)</f>
        <v/>
      </c>
      <c r="D445" s="341" t="str">
        <f>IF(B445="","",'Historique détail'!C445/$W445)</f>
        <v/>
      </c>
      <c r="E445" s="341" t="str">
        <f>IF(C445="","",'Historique détail'!D445/$W445)</f>
        <v/>
      </c>
      <c r="F445" s="341" t="str">
        <f>IF(D445="","",'Historique détail'!E445/$W445)</f>
        <v/>
      </c>
      <c r="G445" s="341" t="str">
        <f>IF(E445="","",'Historique détail'!F445/$W445)</f>
        <v/>
      </c>
      <c r="H445" s="341" t="str">
        <f>IF(F445="","",'Historique détail'!G445/$W445)</f>
        <v/>
      </c>
      <c r="I445" s="341" t="str">
        <f>IF(G445="","",'Historique détail'!H445/$W445)</f>
        <v/>
      </c>
      <c r="J445" s="341" t="str">
        <f>IF(H445="","",'Historique détail'!I445/$W445)</f>
        <v/>
      </c>
      <c r="K445" s="341" t="str">
        <f>IF(I445="","",'Historique détail'!J445/$W445)</f>
        <v/>
      </c>
      <c r="L445" s="341" t="str">
        <f>IF(J445="","",'Historique détail'!K445/$W445)</f>
        <v/>
      </c>
      <c r="M445" s="341" t="str">
        <f>IF(K445="","",'Historique détail'!L445/$W445)</f>
        <v/>
      </c>
      <c r="N445" s="341" t="str">
        <f>IF(L445="","",'Historique détail'!M445/$W445)</f>
        <v/>
      </c>
      <c r="O445" s="341" t="str">
        <f>IF(M445="","",'Historique détail'!N445/$W445)</f>
        <v/>
      </c>
      <c r="P445" s="341" t="str">
        <f>IF(N445="","",'Historique détail'!O445/$W445)</f>
        <v/>
      </c>
      <c r="Q445" s="341" t="str">
        <f>IF(O445="","",'Historique détail'!P445/$W445)</f>
        <v/>
      </c>
      <c r="R445" s="341" t="str">
        <f>IF(P445="","",'Historique détail'!Q445/$W445)</f>
        <v/>
      </c>
      <c r="S445" s="341" t="str">
        <f>IF(Q445="","",'Historique détail'!R445/$W445)</f>
        <v/>
      </c>
      <c r="T445" s="341" t="str">
        <f>IF(R445="","",'Historique détail'!S445/$W445)</f>
        <v/>
      </c>
      <c r="U445" s="340" t="str">
        <f t="shared" si="2"/>
        <v/>
      </c>
      <c r="V445" s="14" t="str">
        <f>IF(A445="","",ARBITRAGES!M446)</f>
        <v/>
      </c>
      <c r="W445" s="343" t="str">
        <f>IF(V445="","",'Historique détail'!U445)</f>
        <v/>
      </c>
      <c r="X445" s="288"/>
      <c r="Y445" s="220"/>
      <c r="Z445" s="220"/>
      <c r="AA445" s="220"/>
      <c r="AB445" s="220"/>
      <c r="AC445" s="220"/>
      <c r="AD445" s="220"/>
      <c r="AE445" s="220"/>
      <c r="AF445" s="220"/>
      <c r="AG445" s="220"/>
      <c r="AH445" s="220"/>
      <c r="AI445" s="308"/>
      <c r="AJ445" s="220"/>
      <c r="AK445" s="220"/>
      <c r="AL445" s="220"/>
      <c r="AM445" s="220"/>
      <c r="AN445" s="220"/>
      <c r="AO445" s="220"/>
      <c r="AP445" s="220"/>
      <c r="AQ445" s="220"/>
      <c r="AR445" s="220"/>
      <c r="AS445" s="220"/>
      <c r="AT445" s="220"/>
      <c r="AU445" s="220"/>
      <c r="AV445" s="220"/>
      <c r="AW445" s="220"/>
      <c r="AX445" s="220"/>
      <c r="AY445" s="220"/>
      <c r="AZ445" s="220"/>
      <c r="BA445" s="220"/>
      <c r="BB445" s="220"/>
    </row>
    <row r="446">
      <c r="A446" s="240"/>
      <c r="B446" s="302" t="str">
        <f t="shared" si="1"/>
        <v/>
      </c>
      <c r="C446" s="341" t="str">
        <f>IF(A446="","",'Historique détail'!B446/$W446)</f>
        <v/>
      </c>
      <c r="D446" s="341" t="str">
        <f>IF(B446="","",'Historique détail'!C446/$W446)</f>
        <v/>
      </c>
      <c r="E446" s="341" t="str">
        <f>IF(C446="","",'Historique détail'!D446/$W446)</f>
        <v/>
      </c>
      <c r="F446" s="341" t="str">
        <f>IF(D446="","",'Historique détail'!E446/$W446)</f>
        <v/>
      </c>
      <c r="G446" s="341" t="str">
        <f>IF(E446="","",'Historique détail'!F446/$W446)</f>
        <v/>
      </c>
      <c r="H446" s="341" t="str">
        <f>IF(F446="","",'Historique détail'!G446/$W446)</f>
        <v/>
      </c>
      <c r="I446" s="341" t="str">
        <f>IF(G446="","",'Historique détail'!H446/$W446)</f>
        <v/>
      </c>
      <c r="J446" s="341" t="str">
        <f>IF(H446="","",'Historique détail'!I446/$W446)</f>
        <v/>
      </c>
      <c r="K446" s="341" t="str">
        <f>IF(I446="","",'Historique détail'!J446/$W446)</f>
        <v/>
      </c>
      <c r="L446" s="341" t="str">
        <f>IF(J446="","",'Historique détail'!K446/$W446)</f>
        <v/>
      </c>
      <c r="M446" s="341" t="str">
        <f>IF(K446="","",'Historique détail'!L446/$W446)</f>
        <v/>
      </c>
      <c r="N446" s="341" t="str">
        <f>IF(L446="","",'Historique détail'!M446/$W446)</f>
        <v/>
      </c>
      <c r="O446" s="341" t="str">
        <f>IF(M446="","",'Historique détail'!N446/$W446)</f>
        <v/>
      </c>
      <c r="P446" s="341" t="str">
        <f>IF(N446="","",'Historique détail'!O446/$W446)</f>
        <v/>
      </c>
      <c r="Q446" s="341" t="str">
        <f>IF(O446="","",'Historique détail'!P446/$W446)</f>
        <v/>
      </c>
      <c r="R446" s="341" t="str">
        <f>IF(P446="","",'Historique détail'!Q446/$W446)</f>
        <v/>
      </c>
      <c r="S446" s="341" t="str">
        <f>IF(Q446="","",'Historique détail'!R446/$W446)</f>
        <v/>
      </c>
      <c r="T446" s="341" t="str">
        <f>IF(R446="","",'Historique détail'!S446/$W446)</f>
        <v/>
      </c>
      <c r="U446" s="340" t="str">
        <f t="shared" si="2"/>
        <v/>
      </c>
      <c r="V446" s="14" t="str">
        <f>IF(A446="","",ARBITRAGES!M447)</f>
        <v/>
      </c>
      <c r="W446" s="343" t="str">
        <f>IF(V446="","",'Historique détail'!U446)</f>
        <v/>
      </c>
      <c r="X446" s="288"/>
      <c r="Y446" s="220"/>
      <c r="Z446" s="220"/>
      <c r="AA446" s="220"/>
      <c r="AB446" s="220"/>
      <c r="AC446" s="220"/>
      <c r="AD446" s="220"/>
      <c r="AE446" s="220"/>
      <c r="AF446" s="220"/>
      <c r="AG446" s="220"/>
      <c r="AH446" s="220"/>
      <c r="AI446" s="308"/>
      <c r="AJ446" s="220"/>
      <c r="AK446" s="220"/>
      <c r="AL446" s="220"/>
      <c r="AM446" s="220"/>
      <c r="AN446" s="220"/>
      <c r="AO446" s="220"/>
      <c r="AP446" s="220"/>
      <c r="AQ446" s="220"/>
      <c r="AR446" s="220"/>
      <c r="AS446" s="220"/>
      <c r="AT446" s="220"/>
      <c r="AU446" s="220"/>
      <c r="AV446" s="220"/>
      <c r="AW446" s="220"/>
      <c r="AX446" s="220"/>
      <c r="AY446" s="220"/>
      <c r="AZ446" s="220"/>
      <c r="BA446" s="220"/>
      <c r="BB446" s="220"/>
    </row>
    <row r="447">
      <c r="A447" s="240"/>
      <c r="B447" s="302" t="str">
        <f t="shared" si="1"/>
        <v/>
      </c>
      <c r="C447" s="341" t="str">
        <f>IF(A447="","",'Historique détail'!B447/$W447)</f>
        <v/>
      </c>
      <c r="D447" s="341" t="str">
        <f>IF(B447="","",'Historique détail'!C447/$W447)</f>
        <v/>
      </c>
      <c r="E447" s="341" t="str">
        <f>IF(C447="","",'Historique détail'!D447/$W447)</f>
        <v/>
      </c>
      <c r="F447" s="341" t="str">
        <f>IF(D447="","",'Historique détail'!E447/$W447)</f>
        <v/>
      </c>
      <c r="G447" s="341" t="str">
        <f>IF(E447="","",'Historique détail'!F447/$W447)</f>
        <v/>
      </c>
      <c r="H447" s="341" t="str">
        <f>IF(F447="","",'Historique détail'!G447/$W447)</f>
        <v/>
      </c>
      <c r="I447" s="341" t="str">
        <f>IF(G447="","",'Historique détail'!H447/$W447)</f>
        <v/>
      </c>
      <c r="J447" s="341" t="str">
        <f>IF(H447="","",'Historique détail'!I447/$W447)</f>
        <v/>
      </c>
      <c r="K447" s="341" t="str">
        <f>IF(I447="","",'Historique détail'!J447/$W447)</f>
        <v/>
      </c>
      <c r="L447" s="341" t="str">
        <f>IF(J447="","",'Historique détail'!K447/$W447)</f>
        <v/>
      </c>
      <c r="M447" s="341" t="str">
        <f>IF(K447="","",'Historique détail'!L447/$W447)</f>
        <v/>
      </c>
      <c r="N447" s="341" t="str">
        <f>IF(L447="","",'Historique détail'!M447/$W447)</f>
        <v/>
      </c>
      <c r="O447" s="341" t="str">
        <f>IF(M447="","",'Historique détail'!N447/$W447)</f>
        <v/>
      </c>
      <c r="P447" s="341" t="str">
        <f>IF(N447="","",'Historique détail'!O447/$W447)</f>
        <v/>
      </c>
      <c r="Q447" s="341" t="str">
        <f>IF(O447="","",'Historique détail'!P447/$W447)</f>
        <v/>
      </c>
      <c r="R447" s="341" t="str">
        <f>IF(P447="","",'Historique détail'!Q447/$W447)</f>
        <v/>
      </c>
      <c r="S447" s="341" t="str">
        <f>IF(Q447="","",'Historique détail'!R447/$W447)</f>
        <v/>
      </c>
      <c r="T447" s="341" t="str">
        <f>IF(R447="","",'Historique détail'!S447/$W447)</f>
        <v/>
      </c>
      <c r="U447" s="340" t="str">
        <f t="shared" si="2"/>
        <v/>
      </c>
      <c r="V447" s="14" t="str">
        <f>IF(A447="","",ARBITRAGES!M448)</f>
        <v/>
      </c>
      <c r="W447" s="343" t="str">
        <f>IF(V447="","",'Historique détail'!U447)</f>
        <v/>
      </c>
      <c r="X447" s="288"/>
      <c r="Y447" s="220"/>
      <c r="Z447" s="220"/>
      <c r="AA447" s="220"/>
      <c r="AB447" s="220"/>
      <c r="AC447" s="220"/>
      <c r="AD447" s="220"/>
      <c r="AE447" s="220"/>
      <c r="AF447" s="220"/>
      <c r="AG447" s="220"/>
      <c r="AH447" s="220"/>
      <c r="AI447" s="308"/>
      <c r="AJ447" s="220"/>
      <c r="AK447" s="220"/>
      <c r="AL447" s="220"/>
      <c r="AM447" s="220"/>
      <c r="AN447" s="220"/>
      <c r="AO447" s="220"/>
      <c r="AP447" s="220"/>
      <c r="AQ447" s="220"/>
      <c r="AR447" s="220"/>
      <c r="AS447" s="220"/>
      <c r="AT447" s="220"/>
      <c r="AU447" s="220"/>
      <c r="AV447" s="220"/>
      <c r="AW447" s="220"/>
      <c r="AX447" s="220"/>
      <c r="AY447" s="220"/>
      <c r="AZ447" s="220"/>
      <c r="BA447" s="220"/>
      <c r="BB447" s="220"/>
    </row>
    <row r="448">
      <c r="A448" s="240"/>
      <c r="B448" s="302" t="str">
        <f t="shared" si="1"/>
        <v/>
      </c>
      <c r="C448" s="341" t="str">
        <f>IF(A448="","",'Historique détail'!B448/$W448)</f>
        <v/>
      </c>
      <c r="D448" s="341" t="str">
        <f>IF(B448="","",'Historique détail'!C448/$W448)</f>
        <v/>
      </c>
      <c r="E448" s="341" t="str">
        <f>IF(C448="","",'Historique détail'!D448/$W448)</f>
        <v/>
      </c>
      <c r="F448" s="341" t="str">
        <f>IF(D448="","",'Historique détail'!E448/$W448)</f>
        <v/>
      </c>
      <c r="G448" s="341" t="str">
        <f>IF(E448="","",'Historique détail'!F448/$W448)</f>
        <v/>
      </c>
      <c r="H448" s="341" t="str">
        <f>IF(F448="","",'Historique détail'!G448/$W448)</f>
        <v/>
      </c>
      <c r="I448" s="341" t="str">
        <f>IF(G448="","",'Historique détail'!H448/$W448)</f>
        <v/>
      </c>
      <c r="J448" s="341" t="str">
        <f>IF(H448="","",'Historique détail'!I448/$W448)</f>
        <v/>
      </c>
      <c r="K448" s="341" t="str">
        <f>IF(I448="","",'Historique détail'!J448/$W448)</f>
        <v/>
      </c>
      <c r="L448" s="341" t="str">
        <f>IF(J448="","",'Historique détail'!K448/$W448)</f>
        <v/>
      </c>
      <c r="M448" s="341" t="str">
        <f>IF(K448="","",'Historique détail'!L448/$W448)</f>
        <v/>
      </c>
      <c r="N448" s="341" t="str">
        <f>IF(L448="","",'Historique détail'!M448/$W448)</f>
        <v/>
      </c>
      <c r="O448" s="341" t="str">
        <f>IF(M448="","",'Historique détail'!N448/$W448)</f>
        <v/>
      </c>
      <c r="P448" s="341" t="str">
        <f>IF(N448="","",'Historique détail'!O448/$W448)</f>
        <v/>
      </c>
      <c r="Q448" s="341" t="str">
        <f>IF(O448="","",'Historique détail'!P448/$W448)</f>
        <v/>
      </c>
      <c r="R448" s="341" t="str">
        <f>IF(P448="","",'Historique détail'!Q448/$W448)</f>
        <v/>
      </c>
      <c r="S448" s="341" t="str">
        <f>IF(Q448="","",'Historique détail'!R448/$W448)</f>
        <v/>
      </c>
      <c r="T448" s="341" t="str">
        <f>IF(R448="","",'Historique détail'!S448/$W448)</f>
        <v/>
      </c>
      <c r="U448" s="340" t="str">
        <f t="shared" si="2"/>
        <v/>
      </c>
      <c r="V448" s="14" t="str">
        <f>IF(A448="","",ARBITRAGES!M449)</f>
        <v/>
      </c>
      <c r="W448" s="343" t="str">
        <f>IF(V448="","",'Historique détail'!U448)</f>
        <v/>
      </c>
      <c r="X448" s="288"/>
      <c r="Y448" s="220"/>
      <c r="Z448" s="220"/>
      <c r="AA448" s="220"/>
      <c r="AB448" s="220"/>
      <c r="AC448" s="220"/>
      <c r="AD448" s="220"/>
      <c r="AE448" s="220"/>
      <c r="AF448" s="220"/>
      <c r="AG448" s="220"/>
      <c r="AH448" s="220"/>
      <c r="AI448" s="308"/>
      <c r="AJ448" s="220"/>
      <c r="AK448" s="220"/>
      <c r="AL448" s="220"/>
      <c r="AM448" s="220"/>
      <c r="AN448" s="220"/>
      <c r="AO448" s="220"/>
      <c r="AP448" s="220"/>
      <c r="AQ448" s="220"/>
      <c r="AR448" s="220"/>
      <c r="AS448" s="220"/>
      <c r="AT448" s="220"/>
      <c r="AU448" s="220"/>
      <c r="AV448" s="220"/>
      <c r="AW448" s="220"/>
      <c r="AX448" s="220"/>
      <c r="AY448" s="220"/>
      <c r="AZ448" s="220"/>
      <c r="BA448" s="220"/>
      <c r="BB448" s="220"/>
    </row>
    <row r="449">
      <c r="A449" s="240"/>
      <c r="B449" s="302" t="str">
        <f t="shared" si="1"/>
        <v/>
      </c>
      <c r="C449" s="341" t="str">
        <f>IF(A449="","",'Historique détail'!B449/$W449)</f>
        <v/>
      </c>
      <c r="D449" s="341" t="str">
        <f>IF(B449="","",'Historique détail'!C449/$W449)</f>
        <v/>
      </c>
      <c r="E449" s="341" t="str">
        <f>IF(C449="","",'Historique détail'!D449/$W449)</f>
        <v/>
      </c>
      <c r="F449" s="341" t="str">
        <f>IF(D449="","",'Historique détail'!E449/$W449)</f>
        <v/>
      </c>
      <c r="G449" s="341" t="str">
        <f>IF(E449="","",'Historique détail'!F449/$W449)</f>
        <v/>
      </c>
      <c r="H449" s="341" t="str">
        <f>IF(F449="","",'Historique détail'!G449/$W449)</f>
        <v/>
      </c>
      <c r="I449" s="341" t="str">
        <f>IF(G449="","",'Historique détail'!H449/$W449)</f>
        <v/>
      </c>
      <c r="J449" s="341" t="str">
        <f>IF(H449="","",'Historique détail'!I449/$W449)</f>
        <v/>
      </c>
      <c r="K449" s="341" t="str">
        <f>IF(I449="","",'Historique détail'!J449/$W449)</f>
        <v/>
      </c>
      <c r="L449" s="341" t="str">
        <f>IF(J449="","",'Historique détail'!K449/$W449)</f>
        <v/>
      </c>
      <c r="M449" s="341" t="str">
        <f>IF(K449="","",'Historique détail'!L449/$W449)</f>
        <v/>
      </c>
      <c r="N449" s="341" t="str">
        <f>IF(L449="","",'Historique détail'!M449/$W449)</f>
        <v/>
      </c>
      <c r="O449" s="341" t="str">
        <f>IF(M449="","",'Historique détail'!N449/$W449)</f>
        <v/>
      </c>
      <c r="P449" s="341" t="str">
        <f>IF(N449="","",'Historique détail'!O449/$W449)</f>
        <v/>
      </c>
      <c r="Q449" s="341" t="str">
        <f>IF(O449="","",'Historique détail'!P449/$W449)</f>
        <v/>
      </c>
      <c r="R449" s="341" t="str">
        <f>IF(P449="","",'Historique détail'!Q449/$W449)</f>
        <v/>
      </c>
      <c r="S449" s="341" t="str">
        <f>IF(Q449="","",'Historique détail'!R449/$W449)</f>
        <v/>
      </c>
      <c r="T449" s="341" t="str">
        <f>IF(R449="","",'Historique détail'!S449/$W449)</f>
        <v/>
      </c>
      <c r="U449" s="340" t="str">
        <f t="shared" si="2"/>
        <v/>
      </c>
      <c r="V449" s="14" t="str">
        <f>IF(A449="","",ARBITRAGES!M450)</f>
        <v/>
      </c>
      <c r="W449" s="343" t="str">
        <f>IF(V449="","",'Historique détail'!U449)</f>
        <v/>
      </c>
      <c r="X449" s="288"/>
      <c r="Y449" s="220"/>
      <c r="Z449" s="220"/>
      <c r="AA449" s="220"/>
      <c r="AB449" s="220"/>
      <c r="AC449" s="220"/>
      <c r="AD449" s="220"/>
      <c r="AE449" s="220"/>
      <c r="AF449" s="220"/>
      <c r="AG449" s="220"/>
      <c r="AH449" s="220"/>
      <c r="AI449" s="308"/>
      <c r="AJ449" s="220"/>
      <c r="AK449" s="220"/>
      <c r="AL449" s="220"/>
      <c r="AM449" s="220"/>
      <c r="AN449" s="220"/>
      <c r="AO449" s="220"/>
      <c r="AP449" s="220"/>
      <c r="AQ449" s="220"/>
      <c r="AR449" s="220"/>
      <c r="AS449" s="220"/>
      <c r="AT449" s="220"/>
      <c r="AU449" s="220"/>
      <c r="AV449" s="220"/>
      <c r="AW449" s="220"/>
      <c r="AX449" s="220"/>
      <c r="AY449" s="220"/>
      <c r="AZ449" s="220"/>
      <c r="BA449" s="220"/>
      <c r="BB449" s="220"/>
    </row>
    <row r="450">
      <c r="A450" s="240"/>
      <c r="B450" s="302" t="str">
        <f t="shared" si="1"/>
        <v/>
      </c>
      <c r="C450" s="341" t="str">
        <f>IF(A450="","",'Historique détail'!B450/$W450)</f>
        <v/>
      </c>
      <c r="D450" s="341" t="str">
        <f>IF(B450="","",'Historique détail'!C450/$W450)</f>
        <v/>
      </c>
      <c r="E450" s="341" t="str">
        <f>IF(C450="","",'Historique détail'!D450/$W450)</f>
        <v/>
      </c>
      <c r="F450" s="341" t="str">
        <f>IF(D450="","",'Historique détail'!E450/$W450)</f>
        <v/>
      </c>
      <c r="G450" s="341" t="str">
        <f>IF(E450="","",'Historique détail'!F450/$W450)</f>
        <v/>
      </c>
      <c r="H450" s="341" t="str">
        <f>IF(F450="","",'Historique détail'!G450/$W450)</f>
        <v/>
      </c>
      <c r="I450" s="341" t="str">
        <f>IF(G450="","",'Historique détail'!H450/$W450)</f>
        <v/>
      </c>
      <c r="J450" s="341" t="str">
        <f>IF(H450="","",'Historique détail'!I450/$W450)</f>
        <v/>
      </c>
      <c r="K450" s="341" t="str">
        <f>IF(I450="","",'Historique détail'!J450/$W450)</f>
        <v/>
      </c>
      <c r="L450" s="341" t="str">
        <f>IF(J450="","",'Historique détail'!K450/$W450)</f>
        <v/>
      </c>
      <c r="M450" s="341" t="str">
        <f>IF(K450="","",'Historique détail'!L450/$W450)</f>
        <v/>
      </c>
      <c r="N450" s="341" t="str">
        <f>IF(L450="","",'Historique détail'!M450/$W450)</f>
        <v/>
      </c>
      <c r="O450" s="341" t="str">
        <f>IF(M450="","",'Historique détail'!N450/$W450)</f>
        <v/>
      </c>
      <c r="P450" s="341" t="str">
        <f>IF(N450="","",'Historique détail'!O450/$W450)</f>
        <v/>
      </c>
      <c r="Q450" s="341" t="str">
        <f>IF(O450="","",'Historique détail'!P450/$W450)</f>
        <v/>
      </c>
      <c r="R450" s="341" t="str">
        <f>IF(P450="","",'Historique détail'!Q450/$W450)</f>
        <v/>
      </c>
      <c r="S450" s="341" t="str">
        <f>IF(Q450="","",'Historique détail'!R450/$W450)</f>
        <v/>
      </c>
      <c r="T450" s="341" t="str">
        <f>IF(R450="","",'Historique détail'!S450/$W450)</f>
        <v/>
      </c>
      <c r="U450" s="340" t="str">
        <f t="shared" si="2"/>
        <v/>
      </c>
      <c r="V450" s="14" t="str">
        <f>IF(A450="","",ARBITRAGES!M451)</f>
        <v/>
      </c>
      <c r="W450" s="343" t="str">
        <f>IF(V450="","",'Historique détail'!U450)</f>
        <v/>
      </c>
      <c r="X450" s="288"/>
      <c r="Y450" s="220"/>
      <c r="Z450" s="220"/>
      <c r="AA450" s="220"/>
      <c r="AB450" s="220"/>
      <c r="AC450" s="220"/>
      <c r="AD450" s="220"/>
      <c r="AE450" s="220"/>
      <c r="AF450" s="220"/>
      <c r="AG450" s="220"/>
      <c r="AH450" s="220"/>
      <c r="AI450" s="308"/>
      <c r="AJ450" s="220"/>
      <c r="AK450" s="220"/>
      <c r="AL450" s="220"/>
      <c r="AM450" s="220"/>
      <c r="AN450" s="220"/>
      <c r="AO450" s="220"/>
      <c r="AP450" s="220"/>
      <c r="AQ450" s="220"/>
      <c r="AR450" s="220"/>
      <c r="AS450" s="220"/>
      <c r="AT450" s="220"/>
      <c r="AU450" s="220"/>
      <c r="AV450" s="220"/>
      <c r="AW450" s="220"/>
      <c r="AX450" s="220"/>
      <c r="AY450" s="220"/>
      <c r="AZ450" s="220"/>
      <c r="BA450" s="220"/>
      <c r="BB450" s="220"/>
    </row>
    <row r="451">
      <c r="A451" s="240"/>
      <c r="B451" s="302" t="str">
        <f t="shared" si="1"/>
        <v/>
      </c>
      <c r="C451" s="341" t="str">
        <f>IF(A451="","",'Historique détail'!B451/$W451)</f>
        <v/>
      </c>
      <c r="D451" s="341" t="str">
        <f>IF(B451="","",'Historique détail'!C451/$W451)</f>
        <v/>
      </c>
      <c r="E451" s="341" t="str">
        <f>IF(C451="","",'Historique détail'!D451/$W451)</f>
        <v/>
      </c>
      <c r="F451" s="341" t="str">
        <f>IF(D451="","",'Historique détail'!E451/$W451)</f>
        <v/>
      </c>
      <c r="G451" s="341" t="str">
        <f>IF(E451="","",'Historique détail'!F451/$W451)</f>
        <v/>
      </c>
      <c r="H451" s="341" t="str">
        <f>IF(F451="","",'Historique détail'!G451/$W451)</f>
        <v/>
      </c>
      <c r="I451" s="341" t="str">
        <f>IF(G451="","",'Historique détail'!H451/$W451)</f>
        <v/>
      </c>
      <c r="J451" s="341" t="str">
        <f>IF(H451="","",'Historique détail'!I451/$W451)</f>
        <v/>
      </c>
      <c r="K451" s="341" t="str">
        <f>IF(I451="","",'Historique détail'!J451/$W451)</f>
        <v/>
      </c>
      <c r="L451" s="341" t="str">
        <f>IF(J451="","",'Historique détail'!K451/$W451)</f>
        <v/>
      </c>
      <c r="M451" s="341" t="str">
        <f>IF(K451="","",'Historique détail'!L451/$W451)</f>
        <v/>
      </c>
      <c r="N451" s="341" t="str">
        <f>IF(L451="","",'Historique détail'!M451/$W451)</f>
        <v/>
      </c>
      <c r="O451" s="341" t="str">
        <f>IF(M451="","",'Historique détail'!N451/$W451)</f>
        <v/>
      </c>
      <c r="P451" s="341" t="str">
        <f>IF(N451="","",'Historique détail'!O451/$W451)</f>
        <v/>
      </c>
      <c r="Q451" s="341" t="str">
        <f>IF(O451="","",'Historique détail'!P451/$W451)</f>
        <v/>
      </c>
      <c r="R451" s="341" t="str">
        <f>IF(P451="","",'Historique détail'!Q451/$W451)</f>
        <v/>
      </c>
      <c r="S451" s="341" t="str">
        <f>IF(Q451="","",'Historique détail'!R451/$W451)</f>
        <v/>
      </c>
      <c r="T451" s="341" t="str">
        <f>IF(R451="","",'Historique détail'!S451/$W451)</f>
        <v/>
      </c>
      <c r="U451" s="340" t="str">
        <f t="shared" si="2"/>
        <v/>
      </c>
      <c r="V451" s="14" t="str">
        <f>IF(A451="","",ARBITRAGES!M452)</f>
        <v/>
      </c>
      <c r="W451" s="343" t="str">
        <f>IF(V451="","",'Historique détail'!U451)</f>
        <v/>
      </c>
      <c r="X451" s="288"/>
      <c r="Y451" s="220"/>
      <c r="Z451" s="220"/>
      <c r="AA451" s="220"/>
      <c r="AB451" s="220"/>
      <c r="AC451" s="220"/>
      <c r="AD451" s="220"/>
      <c r="AE451" s="220"/>
      <c r="AF451" s="220"/>
      <c r="AG451" s="220"/>
      <c r="AH451" s="220"/>
      <c r="AI451" s="308"/>
      <c r="AJ451" s="220"/>
      <c r="AK451" s="220"/>
      <c r="AL451" s="220"/>
      <c r="AM451" s="220"/>
      <c r="AN451" s="220"/>
      <c r="AO451" s="220"/>
      <c r="AP451" s="220"/>
      <c r="AQ451" s="220"/>
      <c r="AR451" s="220"/>
      <c r="AS451" s="220"/>
      <c r="AT451" s="220"/>
      <c r="AU451" s="220"/>
      <c r="AV451" s="220"/>
      <c r="AW451" s="220"/>
      <c r="AX451" s="220"/>
      <c r="AY451" s="220"/>
      <c r="AZ451" s="220"/>
      <c r="BA451" s="220"/>
      <c r="BB451" s="220"/>
    </row>
    <row r="452">
      <c r="A452" s="240"/>
      <c r="B452" s="302" t="str">
        <f t="shared" si="1"/>
        <v/>
      </c>
      <c r="C452" s="341" t="str">
        <f>IF(A452="","",'Historique détail'!B452/$W452)</f>
        <v/>
      </c>
      <c r="D452" s="341" t="str">
        <f>IF(B452="","",'Historique détail'!C452/$W452)</f>
        <v/>
      </c>
      <c r="E452" s="341" t="str">
        <f>IF(C452="","",'Historique détail'!D452/$W452)</f>
        <v/>
      </c>
      <c r="F452" s="341" t="str">
        <f>IF(D452="","",'Historique détail'!E452/$W452)</f>
        <v/>
      </c>
      <c r="G452" s="341" t="str">
        <f>IF(E452="","",'Historique détail'!F452/$W452)</f>
        <v/>
      </c>
      <c r="H452" s="341" t="str">
        <f>IF(F452="","",'Historique détail'!G452/$W452)</f>
        <v/>
      </c>
      <c r="I452" s="341" t="str">
        <f>IF(G452="","",'Historique détail'!H452/$W452)</f>
        <v/>
      </c>
      <c r="J452" s="341" t="str">
        <f>IF(H452="","",'Historique détail'!I452/$W452)</f>
        <v/>
      </c>
      <c r="K452" s="341" t="str">
        <f>IF(I452="","",'Historique détail'!J452/$W452)</f>
        <v/>
      </c>
      <c r="L452" s="341" t="str">
        <f>IF(J452="","",'Historique détail'!K452/$W452)</f>
        <v/>
      </c>
      <c r="M452" s="341" t="str">
        <f>IF(K452="","",'Historique détail'!L452/$W452)</f>
        <v/>
      </c>
      <c r="N452" s="341" t="str">
        <f>IF(L452="","",'Historique détail'!M452/$W452)</f>
        <v/>
      </c>
      <c r="O452" s="341" t="str">
        <f>IF(M452="","",'Historique détail'!N452/$W452)</f>
        <v/>
      </c>
      <c r="P452" s="341" t="str">
        <f>IF(N452="","",'Historique détail'!O452/$W452)</f>
        <v/>
      </c>
      <c r="Q452" s="341" t="str">
        <f>IF(O452="","",'Historique détail'!P452/$W452)</f>
        <v/>
      </c>
      <c r="R452" s="341" t="str">
        <f>IF(P452="","",'Historique détail'!Q452/$W452)</f>
        <v/>
      </c>
      <c r="S452" s="341" t="str">
        <f>IF(Q452="","",'Historique détail'!R452/$W452)</f>
        <v/>
      </c>
      <c r="T452" s="341" t="str">
        <f>IF(R452="","",'Historique détail'!S452/$W452)</f>
        <v/>
      </c>
      <c r="U452" s="340" t="str">
        <f t="shared" si="2"/>
        <v/>
      </c>
      <c r="V452" s="14" t="str">
        <f>IF(A452="","",ARBITRAGES!M453)</f>
        <v/>
      </c>
      <c r="W452" s="343" t="str">
        <f>IF(V452="","",'Historique détail'!U452)</f>
        <v/>
      </c>
      <c r="X452" s="288"/>
      <c r="Y452" s="220"/>
      <c r="Z452" s="220"/>
      <c r="AA452" s="220"/>
      <c r="AB452" s="220"/>
      <c r="AC452" s="220"/>
      <c r="AD452" s="220"/>
      <c r="AE452" s="220"/>
      <c r="AF452" s="220"/>
      <c r="AG452" s="220"/>
      <c r="AH452" s="220"/>
      <c r="AI452" s="308"/>
      <c r="AJ452" s="220"/>
      <c r="AK452" s="220"/>
      <c r="AL452" s="220"/>
      <c r="AM452" s="220"/>
      <c r="AN452" s="220"/>
      <c r="AO452" s="220"/>
      <c r="AP452" s="220"/>
      <c r="AQ452" s="220"/>
      <c r="AR452" s="220"/>
      <c r="AS452" s="220"/>
      <c r="AT452" s="220"/>
      <c r="AU452" s="220"/>
      <c r="AV452" s="220"/>
      <c r="AW452" s="220"/>
      <c r="AX452" s="220"/>
      <c r="AY452" s="220"/>
      <c r="AZ452" s="220"/>
      <c r="BA452" s="220"/>
      <c r="BB452" s="220"/>
    </row>
    <row r="453">
      <c r="A453" s="240"/>
      <c r="B453" s="302" t="str">
        <f t="shared" si="1"/>
        <v/>
      </c>
      <c r="C453" s="341" t="str">
        <f>IF(A453="","",'Historique détail'!B453/$W453)</f>
        <v/>
      </c>
      <c r="D453" s="341" t="str">
        <f>IF(B453="","",'Historique détail'!C453/$W453)</f>
        <v/>
      </c>
      <c r="E453" s="341" t="str">
        <f>IF(C453="","",'Historique détail'!D453/$W453)</f>
        <v/>
      </c>
      <c r="F453" s="341" t="str">
        <f>IF(D453="","",'Historique détail'!E453/$W453)</f>
        <v/>
      </c>
      <c r="G453" s="341" t="str">
        <f>IF(E453="","",'Historique détail'!F453/$W453)</f>
        <v/>
      </c>
      <c r="H453" s="341" t="str">
        <f>IF(F453="","",'Historique détail'!G453/$W453)</f>
        <v/>
      </c>
      <c r="I453" s="341" t="str">
        <f>IF(G453="","",'Historique détail'!H453/$W453)</f>
        <v/>
      </c>
      <c r="J453" s="341" t="str">
        <f>IF(H453="","",'Historique détail'!I453/$W453)</f>
        <v/>
      </c>
      <c r="K453" s="341" t="str">
        <f>IF(I453="","",'Historique détail'!J453/$W453)</f>
        <v/>
      </c>
      <c r="L453" s="341" t="str">
        <f>IF(J453="","",'Historique détail'!K453/$W453)</f>
        <v/>
      </c>
      <c r="M453" s="341" t="str">
        <f>IF(K453="","",'Historique détail'!L453/$W453)</f>
        <v/>
      </c>
      <c r="N453" s="341" t="str">
        <f>IF(L453="","",'Historique détail'!M453/$W453)</f>
        <v/>
      </c>
      <c r="O453" s="341" t="str">
        <f>IF(M453="","",'Historique détail'!N453/$W453)</f>
        <v/>
      </c>
      <c r="P453" s="341" t="str">
        <f>IF(N453="","",'Historique détail'!O453/$W453)</f>
        <v/>
      </c>
      <c r="Q453" s="341" t="str">
        <f>IF(O453="","",'Historique détail'!P453/$W453)</f>
        <v/>
      </c>
      <c r="R453" s="341" t="str">
        <f>IF(P453="","",'Historique détail'!Q453/$W453)</f>
        <v/>
      </c>
      <c r="S453" s="341" t="str">
        <f>IF(Q453="","",'Historique détail'!R453/$W453)</f>
        <v/>
      </c>
      <c r="T453" s="341" t="str">
        <f>IF(R453="","",'Historique détail'!S453/$W453)</f>
        <v/>
      </c>
      <c r="U453" s="340" t="str">
        <f t="shared" si="2"/>
        <v/>
      </c>
      <c r="V453" s="14" t="str">
        <f>IF(A453="","",ARBITRAGES!M454)</f>
        <v/>
      </c>
      <c r="W453" s="343" t="str">
        <f>IF(V453="","",'Historique détail'!U453)</f>
        <v/>
      </c>
      <c r="X453" s="288"/>
      <c r="Y453" s="220"/>
      <c r="Z453" s="220"/>
      <c r="AA453" s="220"/>
      <c r="AB453" s="220"/>
      <c r="AC453" s="220"/>
      <c r="AD453" s="220"/>
      <c r="AE453" s="220"/>
      <c r="AF453" s="220"/>
      <c r="AG453" s="220"/>
      <c r="AH453" s="220"/>
      <c r="AI453" s="308"/>
      <c r="AJ453" s="220"/>
      <c r="AK453" s="220"/>
      <c r="AL453" s="220"/>
      <c r="AM453" s="220"/>
      <c r="AN453" s="220"/>
      <c r="AO453" s="220"/>
      <c r="AP453" s="220"/>
      <c r="AQ453" s="220"/>
      <c r="AR453" s="220"/>
      <c r="AS453" s="220"/>
      <c r="AT453" s="220"/>
      <c r="AU453" s="220"/>
      <c r="AV453" s="220"/>
      <c r="AW453" s="220"/>
      <c r="AX453" s="220"/>
      <c r="AY453" s="220"/>
      <c r="AZ453" s="220"/>
      <c r="BA453" s="220"/>
      <c r="BB453" s="220"/>
    </row>
    <row r="454">
      <c r="A454" s="240"/>
      <c r="B454" s="302" t="str">
        <f t="shared" si="1"/>
        <v/>
      </c>
      <c r="C454" s="341" t="str">
        <f>IF(A454="","",'Historique détail'!B454/$W454)</f>
        <v/>
      </c>
      <c r="D454" s="341" t="str">
        <f>IF(B454="","",'Historique détail'!C454/$W454)</f>
        <v/>
      </c>
      <c r="E454" s="341" t="str">
        <f>IF(C454="","",'Historique détail'!D454/$W454)</f>
        <v/>
      </c>
      <c r="F454" s="341" t="str">
        <f>IF(D454="","",'Historique détail'!E454/$W454)</f>
        <v/>
      </c>
      <c r="G454" s="341" t="str">
        <f>IF(E454="","",'Historique détail'!F454/$W454)</f>
        <v/>
      </c>
      <c r="H454" s="341" t="str">
        <f>IF(F454="","",'Historique détail'!G454/$W454)</f>
        <v/>
      </c>
      <c r="I454" s="341" t="str">
        <f>IF(G454="","",'Historique détail'!H454/$W454)</f>
        <v/>
      </c>
      <c r="J454" s="341" t="str">
        <f>IF(H454="","",'Historique détail'!I454/$W454)</f>
        <v/>
      </c>
      <c r="K454" s="341" t="str">
        <f>IF(I454="","",'Historique détail'!J454/$W454)</f>
        <v/>
      </c>
      <c r="L454" s="341" t="str">
        <f>IF(J454="","",'Historique détail'!K454/$W454)</f>
        <v/>
      </c>
      <c r="M454" s="341" t="str">
        <f>IF(K454="","",'Historique détail'!L454/$W454)</f>
        <v/>
      </c>
      <c r="N454" s="341" t="str">
        <f>IF(L454="","",'Historique détail'!M454/$W454)</f>
        <v/>
      </c>
      <c r="O454" s="341" t="str">
        <f>IF(M454="","",'Historique détail'!N454/$W454)</f>
        <v/>
      </c>
      <c r="P454" s="341" t="str">
        <f>IF(N454="","",'Historique détail'!O454/$W454)</f>
        <v/>
      </c>
      <c r="Q454" s="341" t="str">
        <f>IF(O454="","",'Historique détail'!P454/$W454)</f>
        <v/>
      </c>
      <c r="R454" s="341" t="str">
        <f>IF(P454="","",'Historique détail'!Q454/$W454)</f>
        <v/>
      </c>
      <c r="S454" s="341" t="str">
        <f>IF(Q454="","",'Historique détail'!R454/$W454)</f>
        <v/>
      </c>
      <c r="T454" s="341" t="str">
        <f>IF(R454="","",'Historique détail'!S454/$W454)</f>
        <v/>
      </c>
      <c r="U454" s="340" t="str">
        <f t="shared" si="2"/>
        <v/>
      </c>
      <c r="V454" s="14" t="str">
        <f>IF(A454="","",ARBITRAGES!M455)</f>
        <v/>
      </c>
      <c r="W454" s="343" t="str">
        <f>IF(V454="","",'Historique détail'!U454)</f>
        <v/>
      </c>
      <c r="X454" s="288"/>
      <c r="Y454" s="220"/>
      <c r="Z454" s="220"/>
      <c r="AA454" s="220"/>
      <c r="AB454" s="220"/>
      <c r="AC454" s="220"/>
      <c r="AD454" s="220"/>
      <c r="AE454" s="220"/>
      <c r="AF454" s="220"/>
      <c r="AG454" s="220"/>
      <c r="AH454" s="220"/>
      <c r="AI454" s="308"/>
      <c r="AJ454" s="220"/>
      <c r="AK454" s="220"/>
      <c r="AL454" s="220"/>
      <c r="AM454" s="220"/>
      <c r="AN454" s="220"/>
      <c r="AO454" s="220"/>
      <c r="AP454" s="220"/>
      <c r="AQ454" s="220"/>
      <c r="AR454" s="220"/>
      <c r="AS454" s="220"/>
      <c r="AT454" s="220"/>
      <c r="AU454" s="220"/>
      <c r="AV454" s="220"/>
      <c r="AW454" s="220"/>
      <c r="AX454" s="220"/>
      <c r="AY454" s="220"/>
      <c r="AZ454" s="220"/>
      <c r="BA454" s="220"/>
      <c r="BB454" s="220"/>
    </row>
    <row r="455">
      <c r="A455" s="240"/>
      <c r="B455" s="302" t="str">
        <f t="shared" si="1"/>
        <v/>
      </c>
      <c r="C455" s="341" t="str">
        <f>IF(A455="","",'Historique détail'!B455/$W455)</f>
        <v/>
      </c>
      <c r="D455" s="341" t="str">
        <f>IF(B455="","",'Historique détail'!C455/$W455)</f>
        <v/>
      </c>
      <c r="E455" s="341" t="str">
        <f>IF(C455="","",'Historique détail'!D455/$W455)</f>
        <v/>
      </c>
      <c r="F455" s="341" t="str">
        <f>IF(D455="","",'Historique détail'!E455/$W455)</f>
        <v/>
      </c>
      <c r="G455" s="341" t="str">
        <f>IF(E455="","",'Historique détail'!F455/$W455)</f>
        <v/>
      </c>
      <c r="H455" s="341" t="str">
        <f>IF(F455="","",'Historique détail'!G455/$W455)</f>
        <v/>
      </c>
      <c r="I455" s="341" t="str">
        <f>IF(G455="","",'Historique détail'!H455/$W455)</f>
        <v/>
      </c>
      <c r="J455" s="341" t="str">
        <f>IF(H455="","",'Historique détail'!I455/$W455)</f>
        <v/>
      </c>
      <c r="K455" s="341" t="str">
        <f>IF(I455="","",'Historique détail'!J455/$W455)</f>
        <v/>
      </c>
      <c r="L455" s="341" t="str">
        <f>IF(J455="","",'Historique détail'!K455/$W455)</f>
        <v/>
      </c>
      <c r="M455" s="341" t="str">
        <f>IF(K455="","",'Historique détail'!L455/$W455)</f>
        <v/>
      </c>
      <c r="N455" s="341" t="str">
        <f>IF(L455="","",'Historique détail'!M455/$W455)</f>
        <v/>
      </c>
      <c r="O455" s="341" t="str">
        <f>IF(M455="","",'Historique détail'!N455/$W455)</f>
        <v/>
      </c>
      <c r="P455" s="341" t="str">
        <f>IF(N455="","",'Historique détail'!O455/$W455)</f>
        <v/>
      </c>
      <c r="Q455" s="341" t="str">
        <f>IF(O455="","",'Historique détail'!P455/$W455)</f>
        <v/>
      </c>
      <c r="R455" s="341" t="str">
        <f>IF(P455="","",'Historique détail'!Q455/$W455)</f>
        <v/>
      </c>
      <c r="S455" s="341" t="str">
        <f>IF(Q455="","",'Historique détail'!R455/$W455)</f>
        <v/>
      </c>
      <c r="T455" s="341" t="str">
        <f>IF(R455="","",'Historique détail'!S455/$W455)</f>
        <v/>
      </c>
      <c r="U455" s="340" t="str">
        <f t="shared" si="2"/>
        <v/>
      </c>
      <c r="V455" s="14" t="str">
        <f>IF(A455="","",ARBITRAGES!M456)</f>
        <v/>
      </c>
      <c r="W455" s="343" t="str">
        <f>IF(V455="","",'Historique détail'!U455)</f>
        <v/>
      </c>
      <c r="X455" s="288"/>
      <c r="Y455" s="220"/>
      <c r="Z455" s="220"/>
      <c r="AA455" s="220"/>
      <c r="AB455" s="220"/>
      <c r="AC455" s="220"/>
      <c r="AD455" s="220"/>
      <c r="AE455" s="220"/>
      <c r="AF455" s="220"/>
      <c r="AG455" s="220"/>
      <c r="AH455" s="220"/>
      <c r="AI455" s="308"/>
      <c r="AJ455" s="220"/>
      <c r="AK455" s="220"/>
      <c r="AL455" s="220"/>
      <c r="AM455" s="220"/>
      <c r="AN455" s="220"/>
      <c r="AO455" s="220"/>
      <c r="AP455" s="220"/>
      <c r="AQ455" s="220"/>
      <c r="AR455" s="220"/>
      <c r="AS455" s="220"/>
      <c r="AT455" s="220"/>
      <c r="AU455" s="220"/>
      <c r="AV455" s="220"/>
      <c r="AW455" s="220"/>
      <c r="AX455" s="220"/>
      <c r="AY455" s="220"/>
      <c r="AZ455" s="220"/>
      <c r="BA455" s="220"/>
      <c r="BB455" s="220"/>
    </row>
    <row r="456">
      <c r="A456" s="240"/>
      <c r="B456" s="302" t="str">
        <f t="shared" si="1"/>
        <v/>
      </c>
      <c r="C456" s="341" t="str">
        <f>IF(A456="","",'Historique détail'!B456/$W456)</f>
        <v/>
      </c>
      <c r="D456" s="341" t="str">
        <f>IF(B456="","",'Historique détail'!C456/$W456)</f>
        <v/>
      </c>
      <c r="E456" s="341" t="str">
        <f>IF(C456="","",'Historique détail'!D456/$W456)</f>
        <v/>
      </c>
      <c r="F456" s="341" t="str">
        <f>IF(D456="","",'Historique détail'!E456/$W456)</f>
        <v/>
      </c>
      <c r="G456" s="341" t="str">
        <f>IF(E456="","",'Historique détail'!F456/$W456)</f>
        <v/>
      </c>
      <c r="H456" s="341" t="str">
        <f>IF(F456="","",'Historique détail'!G456/$W456)</f>
        <v/>
      </c>
      <c r="I456" s="341" t="str">
        <f>IF(G456="","",'Historique détail'!H456/$W456)</f>
        <v/>
      </c>
      <c r="J456" s="341" t="str">
        <f>IF(H456="","",'Historique détail'!I456/$W456)</f>
        <v/>
      </c>
      <c r="K456" s="341" t="str">
        <f>IF(I456="","",'Historique détail'!J456/$W456)</f>
        <v/>
      </c>
      <c r="L456" s="341" t="str">
        <f>IF(J456="","",'Historique détail'!K456/$W456)</f>
        <v/>
      </c>
      <c r="M456" s="341" t="str">
        <f>IF(K456="","",'Historique détail'!L456/$W456)</f>
        <v/>
      </c>
      <c r="N456" s="341" t="str">
        <f>IF(L456="","",'Historique détail'!M456/$W456)</f>
        <v/>
      </c>
      <c r="O456" s="341" t="str">
        <f>IF(M456="","",'Historique détail'!N456/$W456)</f>
        <v/>
      </c>
      <c r="P456" s="341" t="str">
        <f>IF(N456="","",'Historique détail'!O456/$W456)</f>
        <v/>
      </c>
      <c r="Q456" s="341" t="str">
        <f>IF(O456="","",'Historique détail'!P456/$W456)</f>
        <v/>
      </c>
      <c r="R456" s="341" t="str">
        <f>IF(P456="","",'Historique détail'!Q456/$W456)</f>
        <v/>
      </c>
      <c r="S456" s="341" t="str">
        <f>IF(Q456="","",'Historique détail'!R456/$W456)</f>
        <v/>
      </c>
      <c r="T456" s="341" t="str">
        <f>IF(R456="","",'Historique détail'!S456/$W456)</f>
        <v/>
      </c>
      <c r="U456" s="340" t="str">
        <f t="shared" si="2"/>
        <v/>
      </c>
      <c r="V456" s="14" t="str">
        <f>IF(A456="","",ARBITRAGES!M457)</f>
        <v/>
      </c>
      <c r="W456" s="343" t="str">
        <f>IF(V456="","",'Historique détail'!U456)</f>
        <v/>
      </c>
      <c r="X456" s="288"/>
      <c r="Y456" s="220"/>
      <c r="Z456" s="220"/>
      <c r="AA456" s="220"/>
      <c r="AB456" s="220"/>
      <c r="AC456" s="220"/>
      <c r="AD456" s="220"/>
      <c r="AE456" s="220"/>
      <c r="AF456" s="220"/>
      <c r="AG456" s="220"/>
      <c r="AH456" s="220"/>
      <c r="AI456" s="308"/>
      <c r="AJ456" s="220"/>
      <c r="AK456" s="220"/>
      <c r="AL456" s="220"/>
      <c r="AM456" s="220"/>
      <c r="AN456" s="220"/>
      <c r="AO456" s="220"/>
      <c r="AP456" s="220"/>
      <c r="AQ456" s="220"/>
      <c r="AR456" s="220"/>
      <c r="AS456" s="220"/>
      <c r="AT456" s="220"/>
      <c r="AU456" s="220"/>
      <c r="AV456" s="220"/>
      <c r="AW456" s="220"/>
      <c r="AX456" s="220"/>
      <c r="AY456" s="220"/>
      <c r="AZ456" s="220"/>
      <c r="BA456" s="220"/>
      <c r="BB456" s="220"/>
    </row>
    <row r="457">
      <c r="A457" s="240"/>
      <c r="B457" s="302" t="str">
        <f t="shared" si="1"/>
        <v/>
      </c>
      <c r="C457" s="341" t="str">
        <f>IF(A457="","",'Historique détail'!B457/$W457)</f>
        <v/>
      </c>
      <c r="D457" s="341" t="str">
        <f>IF(B457="","",'Historique détail'!C457/$W457)</f>
        <v/>
      </c>
      <c r="E457" s="341" t="str">
        <f>IF(C457="","",'Historique détail'!D457/$W457)</f>
        <v/>
      </c>
      <c r="F457" s="341" t="str">
        <f>IF(D457="","",'Historique détail'!E457/$W457)</f>
        <v/>
      </c>
      <c r="G457" s="341" t="str">
        <f>IF(E457="","",'Historique détail'!F457/$W457)</f>
        <v/>
      </c>
      <c r="H457" s="341" t="str">
        <f>IF(F457="","",'Historique détail'!G457/$W457)</f>
        <v/>
      </c>
      <c r="I457" s="341" t="str">
        <f>IF(G457="","",'Historique détail'!H457/$W457)</f>
        <v/>
      </c>
      <c r="J457" s="341" t="str">
        <f>IF(H457="","",'Historique détail'!I457/$W457)</f>
        <v/>
      </c>
      <c r="K457" s="341" t="str">
        <f>IF(I457="","",'Historique détail'!J457/$W457)</f>
        <v/>
      </c>
      <c r="L457" s="341" t="str">
        <f>IF(J457="","",'Historique détail'!K457/$W457)</f>
        <v/>
      </c>
      <c r="M457" s="341" t="str">
        <f>IF(K457="","",'Historique détail'!L457/$W457)</f>
        <v/>
      </c>
      <c r="N457" s="341" t="str">
        <f>IF(L457="","",'Historique détail'!M457/$W457)</f>
        <v/>
      </c>
      <c r="O457" s="341" t="str">
        <f>IF(M457="","",'Historique détail'!N457/$W457)</f>
        <v/>
      </c>
      <c r="P457" s="341" t="str">
        <f>IF(N457="","",'Historique détail'!O457/$W457)</f>
        <v/>
      </c>
      <c r="Q457" s="341" t="str">
        <f>IF(O457="","",'Historique détail'!P457/$W457)</f>
        <v/>
      </c>
      <c r="R457" s="341" t="str">
        <f>IF(P457="","",'Historique détail'!Q457/$W457)</f>
        <v/>
      </c>
      <c r="S457" s="341" t="str">
        <f>IF(Q457="","",'Historique détail'!R457/$W457)</f>
        <v/>
      </c>
      <c r="T457" s="341" t="str">
        <f>IF(R457="","",'Historique détail'!S457/$W457)</f>
        <v/>
      </c>
      <c r="U457" s="340" t="str">
        <f t="shared" si="2"/>
        <v/>
      </c>
      <c r="V457" s="14" t="str">
        <f>IF(A457="","",ARBITRAGES!M458)</f>
        <v/>
      </c>
      <c r="W457" s="343" t="str">
        <f>IF(V457="","",'Historique détail'!U457)</f>
        <v/>
      </c>
      <c r="X457" s="288"/>
      <c r="Y457" s="220"/>
      <c r="Z457" s="220"/>
      <c r="AA457" s="220"/>
      <c r="AB457" s="220"/>
      <c r="AC457" s="220"/>
      <c r="AD457" s="220"/>
      <c r="AE457" s="220"/>
      <c r="AF457" s="220"/>
      <c r="AG457" s="220"/>
      <c r="AH457" s="220"/>
      <c r="AI457" s="308"/>
      <c r="AJ457" s="220"/>
      <c r="AK457" s="220"/>
      <c r="AL457" s="220"/>
      <c r="AM457" s="220"/>
      <c r="AN457" s="220"/>
      <c r="AO457" s="220"/>
      <c r="AP457" s="220"/>
      <c r="AQ457" s="220"/>
      <c r="AR457" s="220"/>
      <c r="AS457" s="220"/>
      <c r="AT457" s="220"/>
      <c r="AU457" s="220"/>
      <c r="AV457" s="220"/>
      <c r="AW457" s="220"/>
      <c r="AX457" s="220"/>
      <c r="AY457" s="220"/>
      <c r="AZ457" s="220"/>
      <c r="BA457" s="220"/>
      <c r="BB457" s="220"/>
    </row>
    <row r="458">
      <c r="A458" s="240"/>
      <c r="B458" s="302" t="str">
        <f t="shared" si="1"/>
        <v/>
      </c>
      <c r="C458" s="341" t="str">
        <f>IF(A458="","",'Historique détail'!B458/$W458)</f>
        <v/>
      </c>
      <c r="D458" s="341" t="str">
        <f>IF(B458="","",'Historique détail'!C458/$W458)</f>
        <v/>
      </c>
      <c r="E458" s="341" t="str">
        <f>IF(C458="","",'Historique détail'!D458/$W458)</f>
        <v/>
      </c>
      <c r="F458" s="341" t="str">
        <f>IF(D458="","",'Historique détail'!E458/$W458)</f>
        <v/>
      </c>
      <c r="G458" s="341" t="str">
        <f>IF(E458="","",'Historique détail'!F458/$W458)</f>
        <v/>
      </c>
      <c r="H458" s="341" t="str">
        <f>IF(F458="","",'Historique détail'!G458/$W458)</f>
        <v/>
      </c>
      <c r="I458" s="341" t="str">
        <f>IF(G458="","",'Historique détail'!H458/$W458)</f>
        <v/>
      </c>
      <c r="J458" s="341" t="str">
        <f>IF(H458="","",'Historique détail'!I458/$W458)</f>
        <v/>
      </c>
      <c r="K458" s="341" t="str">
        <f>IF(I458="","",'Historique détail'!J458/$W458)</f>
        <v/>
      </c>
      <c r="L458" s="341" t="str">
        <f>IF(J458="","",'Historique détail'!K458/$W458)</f>
        <v/>
      </c>
      <c r="M458" s="341" t="str">
        <f>IF(K458="","",'Historique détail'!L458/$W458)</f>
        <v/>
      </c>
      <c r="N458" s="341" t="str">
        <f>IF(L458="","",'Historique détail'!M458/$W458)</f>
        <v/>
      </c>
      <c r="O458" s="341" t="str">
        <f>IF(M458="","",'Historique détail'!N458/$W458)</f>
        <v/>
      </c>
      <c r="P458" s="341" t="str">
        <f>IF(N458="","",'Historique détail'!O458/$W458)</f>
        <v/>
      </c>
      <c r="Q458" s="341" t="str">
        <f>IF(O458="","",'Historique détail'!P458/$W458)</f>
        <v/>
      </c>
      <c r="R458" s="341" t="str">
        <f>IF(P458="","",'Historique détail'!Q458/$W458)</f>
        <v/>
      </c>
      <c r="S458" s="341" t="str">
        <f>IF(Q458="","",'Historique détail'!R458/$W458)</f>
        <v/>
      </c>
      <c r="T458" s="341" t="str">
        <f>IF(R458="","",'Historique détail'!S458/$W458)</f>
        <v/>
      </c>
      <c r="U458" s="340" t="str">
        <f t="shared" si="2"/>
        <v/>
      </c>
      <c r="V458" s="14" t="str">
        <f>IF(A458="","",ARBITRAGES!M459)</f>
        <v/>
      </c>
      <c r="W458" s="343" t="str">
        <f>IF(V458="","",'Historique détail'!U458)</f>
        <v/>
      </c>
      <c r="X458" s="288"/>
      <c r="Y458" s="220"/>
      <c r="Z458" s="220"/>
      <c r="AA458" s="220"/>
      <c r="AB458" s="220"/>
      <c r="AC458" s="220"/>
      <c r="AD458" s="220"/>
      <c r="AE458" s="220"/>
      <c r="AF458" s="220"/>
      <c r="AG458" s="220"/>
      <c r="AH458" s="220"/>
      <c r="AI458" s="308"/>
      <c r="AJ458" s="220"/>
      <c r="AK458" s="220"/>
      <c r="AL458" s="220"/>
      <c r="AM458" s="220"/>
      <c r="AN458" s="220"/>
      <c r="AO458" s="220"/>
      <c r="AP458" s="220"/>
      <c r="AQ458" s="220"/>
      <c r="AR458" s="220"/>
      <c r="AS458" s="220"/>
      <c r="AT458" s="220"/>
      <c r="AU458" s="220"/>
      <c r="AV458" s="220"/>
      <c r="AW458" s="220"/>
      <c r="AX458" s="220"/>
      <c r="AY458" s="220"/>
      <c r="AZ458" s="220"/>
      <c r="BA458" s="220"/>
      <c r="BB458" s="220"/>
    </row>
    <row r="459">
      <c r="A459" s="240"/>
      <c r="B459" s="302" t="str">
        <f t="shared" si="1"/>
        <v/>
      </c>
      <c r="C459" s="341" t="str">
        <f>IF(A459="","",'Historique détail'!B459/$W459)</f>
        <v/>
      </c>
      <c r="D459" s="341" t="str">
        <f>IF(B459="","",'Historique détail'!C459/$W459)</f>
        <v/>
      </c>
      <c r="E459" s="341" t="str">
        <f>IF(C459="","",'Historique détail'!D459/$W459)</f>
        <v/>
      </c>
      <c r="F459" s="341" t="str">
        <f>IF(D459="","",'Historique détail'!E459/$W459)</f>
        <v/>
      </c>
      <c r="G459" s="341" t="str">
        <f>IF(E459="","",'Historique détail'!F459/$W459)</f>
        <v/>
      </c>
      <c r="H459" s="341" t="str">
        <f>IF(F459="","",'Historique détail'!G459/$W459)</f>
        <v/>
      </c>
      <c r="I459" s="341" t="str">
        <f>IF(G459="","",'Historique détail'!H459/$W459)</f>
        <v/>
      </c>
      <c r="J459" s="341" t="str">
        <f>IF(H459="","",'Historique détail'!I459/$W459)</f>
        <v/>
      </c>
      <c r="K459" s="341" t="str">
        <f>IF(I459="","",'Historique détail'!J459/$W459)</f>
        <v/>
      </c>
      <c r="L459" s="341" t="str">
        <f>IF(J459="","",'Historique détail'!K459/$W459)</f>
        <v/>
      </c>
      <c r="M459" s="341" t="str">
        <f>IF(K459="","",'Historique détail'!L459/$W459)</f>
        <v/>
      </c>
      <c r="N459" s="341" t="str">
        <f>IF(L459="","",'Historique détail'!M459/$W459)</f>
        <v/>
      </c>
      <c r="O459" s="341" t="str">
        <f>IF(M459="","",'Historique détail'!N459/$W459)</f>
        <v/>
      </c>
      <c r="P459" s="341" t="str">
        <f>IF(N459="","",'Historique détail'!O459/$W459)</f>
        <v/>
      </c>
      <c r="Q459" s="341" t="str">
        <f>IF(O459="","",'Historique détail'!P459/$W459)</f>
        <v/>
      </c>
      <c r="R459" s="341" t="str">
        <f>IF(P459="","",'Historique détail'!Q459/$W459)</f>
        <v/>
      </c>
      <c r="S459" s="341" t="str">
        <f>IF(Q459="","",'Historique détail'!R459/$W459)</f>
        <v/>
      </c>
      <c r="T459" s="341" t="str">
        <f>IF(R459="","",'Historique détail'!S459/$W459)</f>
        <v/>
      </c>
      <c r="U459" s="340" t="str">
        <f t="shared" si="2"/>
        <v/>
      </c>
      <c r="V459" s="14" t="str">
        <f>IF(A459="","",ARBITRAGES!M460)</f>
        <v/>
      </c>
      <c r="W459" s="343" t="str">
        <f>IF(V459="","",'Historique détail'!U459)</f>
        <v/>
      </c>
      <c r="X459" s="288"/>
      <c r="Y459" s="220"/>
      <c r="Z459" s="220"/>
      <c r="AA459" s="220"/>
      <c r="AB459" s="220"/>
      <c r="AC459" s="220"/>
      <c r="AD459" s="220"/>
      <c r="AE459" s="220"/>
      <c r="AF459" s="220"/>
      <c r="AG459" s="220"/>
      <c r="AH459" s="220"/>
      <c r="AI459" s="308"/>
      <c r="AJ459" s="220"/>
      <c r="AK459" s="220"/>
      <c r="AL459" s="220"/>
      <c r="AM459" s="220"/>
      <c r="AN459" s="220"/>
      <c r="AO459" s="220"/>
      <c r="AP459" s="220"/>
      <c r="AQ459" s="220"/>
      <c r="AR459" s="220"/>
      <c r="AS459" s="220"/>
      <c r="AT459" s="220"/>
      <c r="AU459" s="220"/>
      <c r="AV459" s="220"/>
      <c r="AW459" s="220"/>
      <c r="AX459" s="220"/>
      <c r="AY459" s="220"/>
      <c r="AZ459" s="220"/>
      <c r="BA459" s="220"/>
      <c r="BB459" s="220"/>
    </row>
    <row r="460">
      <c r="A460" s="240"/>
      <c r="B460" s="302" t="str">
        <f t="shared" si="1"/>
        <v/>
      </c>
      <c r="C460" s="341" t="str">
        <f>IF(A460="","",'Historique détail'!B460/$W460)</f>
        <v/>
      </c>
      <c r="D460" s="341" t="str">
        <f>IF(B460="","",'Historique détail'!C460/$W460)</f>
        <v/>
      </c>
      <c r="E460" s="341" t="str">
        <f>IF(C460="","",'Historique détail'!D460/$W460)</f>
        <v/>
      </c>
      <c r="F460" s="341" t="str">
        <f>IF(D460="","",'Historique détail'!E460/$W460)</f>
        <v/>
      </c>
      <c r="G460" s="341" t="str">
        <f>IF(E460="","",'Historique détail'!F460/$W460)</f>
        <v/>
      </c>
      <c r="H460" s="341" t="str">
        <f>IF(F460="","",'Historique détail'!G460/$W460)</f>
        <v/>
      </c>
      <c r="I460" s="341" t="str">
        <f>IF(G460="","",'Historique détail'!H460/$W460)</f>
        <v/>
      </c>
      <c r="J460" s="341" t="str">
        <f>IF(H460="","",'Historique détail'!I460/$W460)</f>
        <v/>
      </c>
      <c r="K460" s="341" t="str">
        <f>IF(I460="","",'Historique détail'!J460/$W460)</f>
        <v/>
      </c>
      <c r="L460" s="341" t="str">
        <f>IF(J460="","",'Historique détail'!K460/$W460)</f>
        <v/>
      </c>
      <c r="M460" s="341" t="str">
        <f>IF(K460="","",'Historique détail'!L460/$W460)</f>
        <v/>
      </c>
      <c r="N460" s="341" t="str">
        <f>IF(L460="","",'Historique détail'!M460/$W460)</f>
        <v/>
      </c>
      <c r="O460" s="341" t="str">
        <f>IF(M460="","",'Historique détail'!N460/$W460)</f>
        <v/>
      </c>
      <c r="P460" s="341" t="str">
        <f>IF(N460="","",'Historique détail'!O460/$W460)</f>
        <v/>
      </c>
      <c r="Q460" s="341" t="str">
        <f>IF(O460="","",'Historique détail'!P460/$W460)</f>
        <v/>
      </c>
      <c r="R460" s="341" t="str">
        <f>IF(P460="","",'Historique détail'!Q460/$W460)</f>
        <v/>
      </c>
      <c r="S460" s="341" t="str">
        <f>IF(Q460="","",'Historique détail'!R460/$W460)</f>
        <v/>
      </c>
      <c r="T460" s="341" t="str">
        <f>IF(R460="","",'Historique détail'!S460/$W460)</f>
        <v/>
      </c>
      <c r="U460" s="340" t="str">
        <f t="shared" si="2"/>
        <v/>
      </c>
      <c r="V460" s="14" t="str">
        <f>IF(A460="","",ARBITRAGES!M461)</f>
        <v/>
      </c>
      <c r="W460" s="343" t="str">
        <f>IF(V460="","",'Historique détail'!U460)</f>
        <v/>
      </c>
      <c r="X460" s="288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0"/>
      <c r="AI460" s="308"/>
      <c r="AJ460" s="220"/>
      <c r="AK460" s="220"/>
      <c r="AL460" s="220"/>
      <c r="AM460" s="220"/>
      <c r="AN460" s="220"/>
      <c r="AO460" s="220"/>
      <c r="AP460" s="220"/>
      <c r="AQ460" s="220"/>
      <c r="AR460" s="220"/>
      <c r="AS460" s="220"/>
      <c r="AT460" s="220"/>
      <c r="AU460" s="220"/>
      <c r="AV460" s="220"/>
      <c r="AW460" s="220"/>
      <c r="AX460" s="220"/>
      <c r="AY460" s="220"/>
      <c r="AZ460" s="220"/>
      <c r="BA460" s="220"/>
      <c r="BB460" s="220"/>
    </row>
    <row r="461">
      <c r="A461" s="240"/>
      <c r="B461" s="302" t="str">
        <f t="shared" si="1"/>
        <v/>
      </c>
      <c r="C461" s="341" t="str">
        <f>IF(A461="","",'Historique détail'!B461/$W461)</f>
        <v/>
      </c>
      <c r="D461" s="341" t="str">
        <f>IF(B461="","",'Historique détail'!C461/$W461)</f>
        <v/>
      </c>
      <c r="E461" s="341" t="str">
        <f>IF(C461="","",'Historique détail'!D461/$W461)</f>
        <v/>
      </c>
      <c r="F461" s="341" t="str">
        <f>IF(D461="","",'Historique détail'!E461/$W461)</f>
        <v/>
      </c>
      <c r="G461" s="341" t="str">
        <f>IF(E461="","",'Historique détail'!F461/$W461)</f>
        <v/>
      </c>
      <c r="H461" s="341" t="str">
        <f>IF(F461="","",'Historique détail'!G461/$W461)</f>
        <v/>
      </c>
      <c r="I461" s="341" t="str">
        <f>IF(G461="","",'Historique détail'!H461/$W461)</f>
        <v/>
      </c>
      <c r="J461" s="341" t="str">
        <f>IF(H461="","",'Historique détail'!I461/$W461)</f>
        <v/>
      </c>
      <c r="K461" s="341" t="str">
        <f>IF(I461="","",'Historique détail'!J461/$W461)</f>
        <v/>
      </c>
      <c r="L461" s="341" t="str">
        <f>IF(J461="","",'Historique détail'!K461/$W461)</f>
        <v/>
      </c>
      <c r="M461" s="341" t="str">
        <f>IF(K461="","",'Historique détail'!L461/$W461)</f>
        <v/>
      </c>
      <c r="N461" s="341" t="str">
        <f>IF(L461="","",'Historique détail'!M461/$W461)</f>
        <v/>
      </c>
      <c r="O461" s="341" t="str">
        <f>IF(M461="","",'Historique détail'!N461/$W461)</f>
        <v/>
      </c>
      <c r="P461" s="341" t="str">
        <f>IF(N461="","",'Historique détail'!O461/$W461)</f>
        <v/>
      </c>
      <c r="Q461" s="341" t="str">
        <f>IF(O461="","",'Historique détail'!P461/$W461)</f>
        <v/>
      </c>
      <c r="R461" s="341" t="str">
        <f>IF(P461="","",'Historique détail'!Q461/$W461)</f>
        <v/>
      </c>
      <c r="S461" s="341" t="str">
        <f>IF(Q461="","",'Historique détail'!R461/$W461)</f>
        <v/>
      </c>
      <c r="T461" s="341" t="str">
        <f>IF(R461="","",'Historique détail'!S461/$W461)</f>
        <v/>
      </c>
      <c r="U461" s="340" t="str">
        <f t="shared" si="2"/>
        <v/>
      </c>
      <c r="V461" s="14" t="str">
        <f>IF(A461="","",ARBITRAGES!M462)</f>
        <v/>
      </c>
      <c r="W461" s="343" t="str">
        <f>IF(V461="","",'Historique détail'!U461)</f>
        <v/>
      </c>
      <c r="X461" s="288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0"/>
      <c r="AI461" s="308"/>
      <c r="AJ461" s="220"/>
      <c r="AK461" s="220"/>
      <c r="AL461" s="220"/>
      <c r="AM461" s="220"/>
      <c r="AN461" s="220"/>
      <c r="AO461" s="220"/>
      <c r="AP461" s="220"/>
      <c r="AQ461" s="220"/>
      <c r="AR461" s="220"/>
      <c r="AS461" s="220"/>
      <c r="AT461" s="220"/>
      <c r="AU461" s="220"/>
      <c r="AV461" s="220"/>
      <c r="AW461" s="220"/>
      <c r="AX461" s="220"/>
      <c r="AY461" s="220"/>
      <c r="AZ461" s="220"/>
      <c r="BA461" s="220"/>
      <c r="BB461" s="220"/>
    </row>
    <row r="462">
      <c r="A462" s="240"/>
      <c r="B462" s="302" t="str">
        <f t="shared" si="1"/>
        <v/>
      </c>
      <c r="C462" s="341" t="str">
        <f>IF(A462="","",'Historique détail'!B462/$W462)</f>
        <v/>
      </c>
      <c r="D462" s="341" t="str">
        <f>IF(B462="","",'Historique détail'!C462/$W462)</f>
        <v/>
      </c>
      <c r="E462" s="341" t="str">
        <f>IF(C462="","",'Historique détail'!D462/$W462)</f>
        <v/>
      </c>
      <c r="F462" s="341" t="str">
        <f>IF(D462="","",'Historique détail'!E462/$W462)</f>
        <v/>
      </c>
      <c r="G462" s="341" t="str">
        <f>IF(E462="","",'Historique détail'!F462/$W462)</f>
        <v/>
      </c>
      <c r="H462" s="341" t="str">
        <f>IF(F462="","",'Historique détail'!G462/$W462)</f>
        <v/>
      </c>
      <c r="I462" s="341" t="str">
        <f>IF(G462="","",'Historique détail'!H462/$W462)</f>
        <v/>
      </c>
      <c r="J462" s="341" t="str">
        <f>IF(H462="","",'Historique détail'!I462/$W462)</f>
        <v/>
      </c>
      <c r="K462" s="341" t="str">
        <f>IF(I462="","",'Historique détail'!J462/$W462)</f>
        <v/>
      </c>
      <c r="L462" s="341" t="str">
        <f>IF(J462="","",'Historique détail'!K462/$W462)</f>
        <v/>
      </c>
      <c r="M462" s="341" t="str">
        <f>IF(K462="","",'Historique détail'!L462/$W462)</f>
        <v/>
      </c>
      <c r="N462" s="341" t="str">
        <f>IF(L462="","",'Historique détail'!M462/$W462)</f>
        <v/>
      </c>
      <c r="O462" s="341" t="str">
        <f>IF(M462="","",'Historique détail'!N462/$W462)</f>
        <v/>
      </c>
      <c r="P462" s="341" t="str">
        <f>IF(N462="","",'Historique détail'!O462/$W462)</f>
        <v/>
      </c>
      <c r="Q462" s="341" t="str">
        <f>IF(O462="","",'Historique détail'!P462/$W462)</f>
        <v/>
      </c>
      <c r="R462" s="341" t="str">
        <f>IF(P462="","",'Historique détail'!Q462/$W462)</f>
        <v/>
      </c>
      <c r="S462" s="341" t="str">
        <f>IF(Q462="","",'Historique détail'!R462/$W462)</f>
        <v/>
      </c>
      <c r="T462" s="341" t="str">
        <f>IF(R462="","",'Historique détail'!S462/$W462)</f>
        <v/>
      </c>
      <c r="U462" s="340" t="str">
        <f t="shared" si="2"/>
        <v/>
      </c>
      <c r="V462" s="14" t="str">
        <f>IF(A462="","",ARBITRAGES!M463)</f>
        <v/>
      </c>
      <c r="W462" s="343" t="str">
        <f>IF(V462="","",'Historique détail'!U462)</f>
        <v/>
      </c>
      <c r="X462" s="288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0"/>
      <c r="AI462" s="308"/>
      <c r="AJ462" s="220"/>
      <c r="AK462" s="220"/>
      <c r="AL462" s="220"/>
      <c r="AM462" s="220"/>
      <c r="AN462" s="220"/>
      <c r="AO462" s="220"/>
      <c r="AP462" s="220"/>
      <c r="AQ462" s="220"/>
      <c r="AR462" s="220"/>
      <c r="AS462" s="220"/>
      <c r="AT462" s="220"/>
      <c r="AU462" s="220"/>
      <c r="AV462" s="220"/>
      <c r="AW462" s="220"/>
      <c r="AX462" s="220"/>
      <c r="AY462" s="220"/>
      <c r="AZ462" s="220"/>
      <c r="BA462" s="220"/>
      <c r="BB462" s="220"/>
    </row>
    <row r="463">
      <c r="A463" s="240"/>
      <c r="B463" s="302" t="str">
        <f t="shared" si="1"/>
        <v/>
      </c>
      <c r="C463" s="341" t="str">
        <f>IF(A463="","",'Historique détail'!B463/$W463)</f>
        <v/>
      </c>
      <c r="D463" s="341" t="str">
        <f>IF(B463="","",'Historique détail'!C463/$W463)</f>
        <v/>
      </c>
      <c r="E463" s="341" t="str">
        <f>IF(C463="","",'Historique détail'!D463/$W463)</f>
        <v/>
      </c>
      <c r="F463" s="341" t="str">
        <f>IF(D463="","",'Historique détail'!E463/$W463)</f>
        <v/>
      </c>
      <c r="G463" s="341" t="str">
        <f>IF(E463="","",'Historique détail'!F463/$W463)</f>
        <v/>
      </c>
      <c r="H463" s="341" t="str">
        <f>IF(F463="","",'Historique détail'!G463/$W463)</f>
        <v/>
      </c>
      <c r="I463" s="341" t="str">
        <f>IF(G463="","",'Historique détail'!H463/$W463)</f>
        <v/>
      </c>
      <c r="J463" s="341" t="str">
        <f>IF(H463="","",'Historique détail'!I463/$W463)</f>
        <v/>
      </c>
      <c r="K463" s="341" t="str">
        <f>IF(I463="","",'Historique détail'!J463/$W463)</f>
        <v/>
      </c>
      <c r="L463" s="341" t="str">
        <f>IF(J463="","",'Historique détail'!K463/$W463)</f>
        <v/>
      </c>
      <c r="M463" s="341" t="str">
        <f>IF(K463="","",'Historique détail'!L463/$W463)</f>
        <v/>
      </c>
      <c r="N463" s="341" t="str">
        <f>IF(L463="","",'Historique détail'!M463/$W463)</f>
        <v/>
      </c>
      <c r="O463" s="341" t="str">
        <f>IF(M463="","",'Historique détail'!N463/$W463)</f>
        <v/>
      </c>
      <c r="P463" s="341" t="str">
        <f>IF(N463="","",'Historique détail'!O463/$W463)</f>
        <v/>
      </c>
      <c r="Q463" s="341" t="str">
        <f>IF(O463="","",'Historique détail'!P463/$W463)</f>
        <v/>
      </c>
      <c r="R463" s="341" t="str">
        <f>IF(P463="","",'Historique détail'!Q463/$W463)</f>
        <v/>
      </c>
      <c r="S463" s="341" t="str">
        <f>IF(Q463="","",'Historique détail'!R463/$W463)</f>
        <v/>
      </c>
      <c r="T463" s="341" t="str">
        <f>IF(R463="","",'Historique détail'!S463/$W463)</f>
        <v/>
      </c>
      <c r="U463" s="340" t="str">
        <f t="shared" si="2"/>
        <v/>
      </c>
      <c r="V463" s="14" t="str">
        <f>IF(A463="","",ARBITRAGES!M464)</f>
        <v/>
      </c>
      <c r="W463" s="343" t="str">
        <f>IF(V463="","",'Historique détail'!U463)</f>
        <v/>
      </c>
      <c r="X463" s="288"/>
      <c r="Y463" s="220"/>
      <c r="Z463" s="220"/>
      <c r="AA463" s="220"/>
      <c r="AB463" s="220"/>
      <c r="AC463" s="220"/>
      <c r="AD463" s="220"/>
      <c r="AE463" s="220"/>
      <c r="AF463" s="220"/>
      <c r="AG463" s="220"/>
      <c r="AH463" s="220"/>
      <c r="AI463" s="308"/>
      <c r="AJ463" s="220"/>
      <c r="AK463" s="220"/>
      <c r="AL463" s="220"/>
      <c r="AM463" s="220"/>
      <c r="AN463" s="220"/>
      <c r="AO463" s="220"/>
      <c r="AP463" s="220"/>
      <c r="AQ463" s="220"/>
      <c r="AR463" s="220"/>
      <c r="AS463" s="220"/>
      <c r="AT463" s="220"/>
      <c r="AU463" s="220"/>
      <c r="AV463" s="220"/>
      <c r="AW463" s="220"/>
      <c r="AX463" s="220"/>
      <c r="AY463" s="220"/>
      <c r="AZ463" s="220"/>
      <c r="BA463" s="220"/>
      <c r="BB463" s="220"/>
    </row>
    <row r="464">
      <c r="A464" s="240"/>
      <c r="B464" s="302" t="str">
        <f t="shared" si="1"/>
        <v/>
      </c>
      <c r="C464" s="341" t="str">
        <f>IF(A464="","",'Historique détail'!B464/$W464)</f>
        <v/>
      </c>
      <c r="D464" s="341" t="str">
        <f>IF(B464="","",'Historique détail'!C464/$W464)</f>
        <v/>
      </c>
      <c r="E464" s="341" t="str">
        <f>IF(C464="","",'Historique détail'!D464/$W464)</f>
        <v/>
      </c>
      <c r="F464" s="341" t="str">
        <f>IF(D464="","",'Historique détail'!E464/$W464)</f>
        <v/>
      </c>
      <c r="G464" s="341" t="str">
        <f>IF(E464="","",'Historique détail'!F464/$W464)</f>
        <v/>
      </c>
      <c r="H464" s="341" t="str">
        <f>IF(F464="","",'Historique détail'!G464/$W464)</f>
        <v/>
      </c>
      <c r="I464" s="341" t="str">
        <f>IF(G464="","",'Historique détail'!H464/$W464)</f>
        <v/>
      </c>
      <c r="J464" s="341" t="str">
        <f>IF(H464="","",'Historique détail'!I464/$W464)</f>
        <v/>
      </c>
      <c r="K464" s="341" t="str">
        <f>IF(I464="","",'Historique détail'!J464/$W464)</f>
        <v/>
      </c>
      <c r="L464" s="341" t="str">
        <f>IF(J464="","",'Historique détail'!K464/$W464)</f>
        <v/>
      </c>
      <c r="M464" s="341" t="str">
        <f>IF(K464="","",'Historique détail'!L464/$W464)</f>
        <v/>
      </c>
      <c r="N464" s="341" t="str">
        <f>IF(L464="","",'Historique détail'!M464/$W464)</f>
        <v/>
      </c>
      <c r="O464" s="341" t="str">
        <f>IF(M464="","",'Historique détail'!N464/$W464)</f>
        <v/>
      </c>
      <c r="P464" s="341" t="str">
        <f>IF(N464="","",'Historique détail'!O464/$W464)</f>
        <v/>
      </c>
      <c r="Q464" s="341" t="str">
        <f>IF(O464="","",'Historique détail'!P464/$W464)</f>
        <v/>
      </c>
      <c r="R464" s="341" t="str">
        <f>IF(P464="","",'Historique détail'!Q464/$W464)</f>
        <v/>
      </c>
      <c r="S464" s="341" t="str">
        <f>IF(Q464="","",'Historique détail'!R464/$W464)</f>
        <v/>
      </c>
      <c r="T464" s="341" t="str">
        <f>IF(R464="","",'Historique détail'!S464/$W464)</f>
        <v/>
      </c>
      <c r="U464" s="340" t="str">
        <f t="shared" si="2"/>
        <v/>
      </c>
      <c r="V464" s="14" t="str">
        <f>IF(A464="","",ARBITRAGES!M465)</f>
        <v/>
      </c>
      <c r="W464" s="343" t="str">
        <f>IF(V464="","",'Historique détail'!U464)</f>
        <v/>
      </c>
      <c r="X464" s="288"/>
      <c r="Y464" s="220"/>
      <c r="Z464" s="220"/>
      <c r="AA464" s="220"/>
      <c r="AB464" s="220"/>
      <c r="AC464" s="220"/>
      <c r="AD464" s="220"/>
      <c r="AE464" s="220"/>
      <c r="AF464" s="220"/>
      <c r="AG464" s="220"/>
      <c r="AH464" s="220"/>
      <c r="AI464" s="308"/>
      <c r="AJ464" s="220"/>
      <c r="AK464" s="220"/>
      <c r="AL464" s="220"/>
      <c r="AM464" s="220"/>
      <c r="AN464" s="220"/>
      <c r="AO464" s="220"/>
      <c r="AP464" s="220"/>
      <c r="AQ464" s="220"/>
      <c r="AR464" s="220"/>
      <c r="AS464" s="220"/>
      <c r="AT464" s="220"/>
      <c r="AU464" s="220"/>
      <c r="AV464" s="220"/>
      <c r="AW464" s="220"/>
      <c r="AX464" s="220"/>
      <c r="AY464" s="220"/>
      <c r="AZ464" s="220"/>
      <c r="BA464" s="220"/>
      <c r="BB464" s="220"/>
    </row>
    <row r="465">
      <c r="A465" s="240"/>
      <c r="B465" s="302" t="str">
        <f t="shared" si="1"/>
        <v/>
      </c>
      <c r="C465" s="341" t="str">
        <f>IF(A465="","",'Historique détail'!B465/$W465)</f>
        <v/>
      </c>
      <c r="D465" s="341" t="str">
        <f>IF(B465="","",'Historique détail'!C465/$W465)</f>
        <v/>
      </c>
      <c r="E465" s="341" t="str">
        <f>IF(C465="","",'Historique détail'!D465/$W465)</f>
        <v/>
      </c>
      <c r="F465" s="341" t="str">
        <f>IF(D465="","",'Historique détail'!E465/$W465)</f>
        <v/>
      </c>
      <c r="G465" s="341" t="str">
        <f>IF(E465="","",'Historique détail'!F465/$W465)</f>
        <v/>
      </c>
      <c r="H465" s="341" t="str">
        <f>IF(F465="","",'Historique détail'!G465/$W465)</f>
        <v/>
      </c>
      <c r="I465" s="341" t="str">
        <f>IF(G465="","",'Historique détail'!H465/$W465)</f>
        <v/>
      </c>
      <c r="J465" s="341" t="str">
        <f>IF(H465="","",'Historique détail'!I465/$W465)</f>
        <v/>
      </c>
      <c r="K465" s="341" t="str">
        <f>IF(I465="","",'Historique détail'!J465/$W465)</f>
        <v/>
      </c>
      <c r="L465" s="341" t="str">
        <f>IF(J465="","",'Historique détail'!K465/$W465)</f>
        <v/>
      </c>
      <c r="M465" s="341" t="str">
        <f>IF(K465="","",'Historique détail'!L465/$W465)</f>
        <v/>
      </c>
      <c r="N465" s="341" t="str">
        <f>IF(L465="","",'Historique détail'!M465/$W465)</f>
        <v/>
      </c>
      <c r="O465" s="341" t="str">
        <f>IF(M465="","",'Historique détail'!N465/$W465)</f>
        <v/>
      </c>
      <c r="P465" s="341" t="str">
        <f>IF(N465="","",'Historique détail'!O465/$W465)</f>
        <v/>
      </c>
      <c r="Q465" s="341" t="str">
        <f>IF(O465="","",'Historique détail'!P465/$W465)</f>
        <v/>
      </c>
      <c r="R465" s="341" t="str">
        <f>IF(P465="","",'Historique détail'!Q465/$W465)</f>
        <v/>
      </c>
      <c r="S465" s="341" t="str">
        <f>IF(Q465="","",'Historique détail'!R465/$W465)</f>
        <v/>
      </c>
      <c r="T465" s="341" t="str">
        <f>IF(R465="","",'Historique détail'!S465/$W465)</f>
        <v/>
      </c>
      <c r="U465" s="340" t="str">
        <f t="shared" si="2"/>
        <v/>
      </c>
      <c r="V465" s="14" t="str">
        <f>IF(A465="","",ARBITRAGES!M466)</f>
        <v/>
      </c>
      <c r="W465" s="343" t="str">
        <f>IF(V465="","",'Historique détail'!U465)</f>
        <v/>
      </c>
      <c r="X465" s="288"/>
      <c r="Y465" s="220"/>
      <c r="Z465" s="220"/>
      <c r="AA465" s="220"/>
      <c r="AB465" s="220"/>
      <c r="AC465" s="220"/>
      <c r="AD465" s="220"/>
      <c r="AE465" s="220"/>
      <c r="AF465" s="220"/>
      <c r="AG465" s="220"/>
      <c r="AH465" s="220"/>
      <c r="AI465" s="308"/>
      <c r="AJ465" s="220"/>
      <c r="AK465" s="220"/>
      <c r="AL465" s="220"/>
      <c r="AM465" s="220"/>
      <c r="AN465" s="220"/>
      <c r="AO465" s="220"/>
      <c r="AP465" s="220"/>
      <c r="AQ465" s="220"/>
      <c r="AR465" s="220"/>
      <c r="AS465" s="220"/>
      <c r="AT465" s="220"/>
      <c r="AU465" s="220"/>
      <c r="AV465" s="220"/>
      <c r="AW465" s="220"/>
      <c r="AX465" s="220"/>
      <c r="AY465" s="220"/>
      <c r="AZ465" s="220"/>
      <c r="BA465" s="220"/>
      <c r="BB465" s="220"/>
    </row>
    <row r="466">
      <c r="A466" s="240"/>
      <c r="B466" s="302" t="str">
        <f t="shared" si="1"/>
        <v/>
      </c>
      <c r="C466" s="341" t="str">
        <f>IF(A466="","",'Historique détail'!B466/$W466)</f>
        <v/>
      </c>
      <c r="D466" s="341" t="str">
        <f>IF(B466="","",'Historique détail'!C466/$W466)</f>
        <v/>
      </c>
      <c r="E466" s="341" t="str">
        <f>IF(C466="","",'Historique détail'!D466/$W466)</f>
        <v/>
      </c>
      <c r="F466" s="341" t="str">
        <f>IF(D466="","",'Historique détail'!E466/$W466)</f>
        <v/>
      </c>
      <c r="G466" s="341" t="str">
        <f>IF(E466="","",'Historique détail'!F466/$W466)</f>
        <v/>
      </c>
      <c r="H466" s="341" t="str">
        <f>IF(F466="","",'Historique détail'!G466/$W466)</f>
        <v/>
      </c>
      <c r="I466" s="341" t="str">
        <f>IF(G466="","",'Historique détail'!H466/$W466)</f>
        <v/>
      </c>
      <c r="J466" s="341" t="str">
        <f>IF(H466="","",'Historique détail'!I466/$W466)</f>
        <v/>
      </c>
      <c r="K466" s="341" t="str">
        <f>IF(I466="","",'Historique détail'!J466/$W466)</f>
        <v/>
      </c>
      <c r="L466" s="341" t="str">
        <f>IF(J466="","",'Historique détail'!K466/$W466)</f>
        <v/>
      </c>
      <c r="M466" s="341" t="str">
        <f>IF(K466="","",'Historique détail'!L466/$W466)</f>
        <v/>
      </c>
      <c r="N466" s="341" t="str">
        <f>IF(L466="","",'Historique détail'!M466/$W466)</f>
        <v/>
      </c>
      <c r="O466" s="341" t="str">
        <f>IF(M466="","",'Historique détail'!N466/$W466)</f>
        <v/>
      </c>
      <c r="P466" s="341" t="str">
        <f>IF(N466="","",'Historique détail'!O466/$W466)</f>
        <v/>
      </c>
      <c r="Q466" s="341" t="str">
        <f>IF(O466="","",'Historique détail'!P466/$W466)</f>
        <v/>
      </c>
      <c r="R466" s="341" t="str">
        <f>IF(P466="","",'Historique détail'!Q466/$W466)</f>
        <v/>
      </c>
      <c r="S466" s="341" t="str">
        <f>IF(Q466="","",'Historique détail'!R466/$W466)</f>
        <v/>
      </c>
      <c r="T466" s="341" t="str">
        <f>IF(R466="","",'Historique détail'!S466/$W466)</f>
        <v/>
      </c>
      <c r="U466" s="340" t="str">
        <f t="shared" si="2"/>
        <v/>
      </c>
      <c r="V466" s="14" t="str">
        <f>IF(A466="","",ARBITRAGES!M467)</f>
        <v/>
      </c>
      <c r="W466" s="343" t="str">
        <f>IF(V466="","",'Historique détail'!U466)</f>
        <v/>
      </c>
      <c r="X466" s="288"/>
      <c r="Y466" s="220"/>
      <c r="Z466" s="220"/>
      <c r="AA466" s="220"/>
      <c r="AB466" s="220"/>
      <c r="AC466" s="220"/>
      <c r="AD466" s="220"/>
      <c r="AE466" s="220"/>
      <c r="AF466" s="220"/>
      <c r="AG466" s="220"/>
      <c r="AH466" s="220"/>
      <c r="AI466" s="308"/>
      <c r="AJ466" s="220"/>
      <c r="AK466" s="220"/>
      <c r="AL466" s="220"/>
      <c r="AM466" s="220"/>
      <c r="AN466" s="220"/>
      <c r="AO466" s="220"/>
      <c r="AP466" s="220"/>
      <c r="AQ466" s="220"/>
      <c r="AR466" s="220"/>
      <c r="AS466" s="220"/>
      <c r="AT466" s="220"/>
      <c r="AU466" s="220"/>
      <c r="AV466" s="220"/>
      <c r="AW466" s="220"/>
      <c r="AX466" s="220"/>
      <c r="AY466" s="220"/>
      <c r="AZ466" s="220"/>
      <c r="BA466" s="220"/>
      <c r="BB466" s="220"/>
    </row>
    <row r="467">
      <c r="A467" s="240"/>
      <c r="B467" s="302" t="str">
        <f t="shared" si="1"/>
        <v/>
      </c>
      <c r="C467" s="341" t="str">
        <f>IF(A467="","",'Historique détail'!B467/$W467)</f>
        <v/>
      </c>
      <c r="D467" s="341" t="str">
        <f>IF(B467="","",'Historique détail'!C467/$W467)</f>
        <v/>
      </c>
      <c r="E467" s="341" t="str">
        <f>IF(C467="","",'Historique détail'!D467/$W467)</f>
        <v/>
      </c>
      <c r="F467" s="341" t="str">
        <f>IF(D467="","",'Historique détail'!E467/$W467)</f>
        <v/>
      </c>
      <c r="G467" s="341" t="str">
        <f>IF(E467="","",'Historique détail'!F467/$W467)</f>
        <v/>
      </c>
      <c r="H467" s="341" t="str">
        <f>IF(F467="","",'Historique détail'!G467/$W467)</f>
        <v/>
      </c>
      <c r="I467" s="341" t="str">
        <f>IF(G467="","",'Historique détail'!H467/$W467)</f>
        <v/>
      </c>
      <c r="J467" s="341" t="str">
        <f>IF(H467="","",'Historique détail'!I467/$W467)</f>
        <v/>
      </c>
      <c r="K467" s="341" t="str">
        <f>IF(I467="","",'Historique détail'!J467/$W467)</f>
        <v/>
      </c>
      <c r="L467" s="341" t="str">
        <f>IF(J467="","",'Historique détail'!K467/$W467)</f>
        <v/>
      </c>
      <c r="M467" s="341" t="str">
        <f>IF(K467="","",'Historique détail'!L467/$W467)</f>
        <v/>
      </c>
      <c r="N467" s="341" t="str">
        <f>IF(L467="","",'Historique détail'!M467/$W467)</f>
        <v/>
      </c>
      <c r="O467" s="341" t="str">
        <f>IF(M467="","",'Historique détail'!N467/$W467)</f>
        <v/>
      </c>
      <c r="P467" s="341" t="str">
        <f>IF(N467="","",'Historique détail'!O467/$W467)</f>
        <v/>
      </c>
      <c r="Q467" s="341" t="str">
        <f>IF(O467="","",'Historique détail'!P467/$W467)</f>
        <v/>
      </c>
      <c r="R467" s="341" t="str">
        <f>IF(P467="","",'Historique détail'!Q467/$W467)</f>
        <v/>
      </c>
      <c r="S467" s="341" t="str">
        <f>IF(Q467="","",'Historique détail'!R467/$W467)</f>
        <v/>
      </c>
      <c r="T467" s="341" t="str">
        <f>IF(R467="","",'Historique détail'!S467/$W467)</f>
        <v/>
      </c>
      <c r="U467" s="340" t="str">
        <f t="shared" si="2"/>
        <v/>
      </c>
      <c r="V467" s="14" t="str">
        <f>IF(A467="","",ARBITRAGES!M468)</f>
        <v/>
      </c>
      <c r="W467" s="343" t="str">
        <f>IF(V467="","",'Historique détail'!U467)</f>
        <v/>
      </c>
      <c r="X467" s="288"/>
      <c r="Y467" s="220"/>
      <c r="Z467" s="220"/>
      <c r="AA467" s="220"/>
      <c r="AB467" s="220"/>
      <c r="AC467" s="220"/>
      <c r="AD467" s="220"/>
      <c r="AE467" s="220"/>
      <c r="AF467" s="220"/>
      <c r="AG467" s="220"/>
      <c r="AH467" s="220"/>
      <c r="AI467" s="308"/>
      <c r="AJ467" s="220"/>
      <c r="AK467" s="220"/>
      <c r="AL467" s="220"/>
      <c r="AM467" s="220"/>
      <c r="AN467" s="220"/>
      <c r="AO467" s="220"/>
      <c r="AP467" s="220"/>
      <c r="AQ467" s="220"/>
      <c r="AR467" s="220"/>
      <c r="AS467" s="220"/>
      <c r="AT467" s="220"/>
      <c r="AU467" s="220"/>
      <c r="AV467" s="220"/>
      <c r="AW467" s="220"/>
      <c r="AX467" s="220"/>
      <c r="AY467" s="220"/>
      <c r="AZ467" s="220"/>
      <c r="BA467" s="220"/>
      <c r="BB467" s="220"/>
    </row>
    <row r="468">
      <c r="A468" s="240"/>
      <c r="B468" s="302" t="str">
        <f t="shared" si="1"/>
        <v/>
      </c>
      <c r="C468" s="341" t="str">
        <f>IF(A468="","",'Historique détail'!B468/$W468)</f>
        <v/>
      </c>
      <c r="D468" s="341" t="str">
        <f>IF(B468="","",'Historique détail'!C468/$W468)</f>
        <v/>
      </c>
      <c r="E468" s="341" t="str">
        <f>IF(C468="","",'Historique détail'!D468/$W468)</f>
        <v/>
      </c>
      <c r="F468" s="341" t="str">
        <f>IF(D468="","",'Historique détail'!E468/$W468)</f>
        <v/>
      </c>
      <c r="G468" s="341" t="str">
        <f>IF(E468="","",'Historique détail'!F468/$W468)</f>
        <v/>
      </c>
      <c r="H468" s="341" t="str">
        <f>IF(F468="","",'Historique détail'!G468/$W468)</f>
        <v/>
      </c>
      <c r="I468" s="341" t="str">
        <f>IF(G468="","",'Historique détail'!H468/$W468)</f>
        <v/>
      </c>
      <c r="J468" s="341" t="str">
        <f>IF(H468="","",'Historique détail'!I468/$W468)</f>
        <v/>
      </c>
      <c r="K468" s="341" t="str">
        <f>IF(I468="","",'Historique détail'!J468/$W468)</f>
        <v/>
      </c>
      <c r="L468" s="341" t="str">
        <f>IF(J468="","",'Historique détail'!K468/$W468)</f>
        <v/>
      </c>
      <c r="M468" s="341" t="str">
        <f>IF(K468="","",'Historique détail'!L468/$W468)</f>
        <v/>
      </c>
      <c r="N468" s="341" t="str">
        <f>IF(L468="","",'Historique détail'!M468/$W468)</f>
        <v/>
      </c>
      <c r="O468" s="341" t="str">
        <f>IF(M468="","",'Historique détail'!N468/$W468)</f>
        <v/>
      </c>
      <c r="P468" s="341" t="str">
        <f>IF(N468="","",'Historique détail'!O468/$W468)</f>
        <v/>
      </c>
      <c r="Q468" s="341" t="str">
        <f>IF(O468="","",'Historique détail'!P468/$W468)</f>
        <v/>
      </c>
      <c r="R468" s="341" t="str">
        <f>IF(P468="","",'Historique détail'!Q468/$W468)</f>
        <v/>
      </c>
      <c r="S468" s="341" t="str">
        <f>IF(Q468="","",'Historique détail'!R468/$W468)</f>
        <v/>
      </c>
      <c r="T468" s="341" t="str">
        <f>IF(R468="","",'Historique détail'!S468/$W468)</f>
        <v/>
      </c>
      <c r="U468" s="340" t="str">
        <f t="shared" si="2"/>
        <v/>
      </c>
      <c r="V468" s="14" t="str">
        <f>IF(A468="","",ARBITRAGES!M469)</f>
        <v/>
      </c>
      <c r="W468" s="343" t="str">
        <f>IF(V468="","",'Historique détail'!U468)</f>
        <v/>
      </c>
      <c r="X468" s="288"/>
      <c r="Y468" s="220"/>
      <c r="Z468" s="220"/>
      <c r="AA468" s="220"/>
      <c r="AB468" s="220"/>
      <c r="AC468" s="220"/>
      <c r="AD468" s="220"/>
      <c r="AE468" s="220"/>
      <c r="AF468" s="220"/>
      <c r="AG468" s="220"/>
      <c r="AH468" s="220"/>
      <c r="AI468" s="308"/>
      <c r="AJ468" s="220"/>
      <c r="AK468" s="220"/>
      <c r="AL468" s="220"/>
      <c r="AM468" s="220"/>
      <c r="AN468" s="220"/>
      <c r="AO468" s="220"/>
      <c r="AP468" s="220"/>
      <c r="AQ468" s="220"/>
      <c r="AR468" s="220"/>
      <c r="AS468" s="220"/>
      <c r="AT468" s="220"/>
      <c r="AU468" s="220"/>
      <c r="AV468" s="220"/>
      <c r="AW468" s="220"/>
      <c r="AX468" s="220"/>
      <c r="AY468" s="220"/>
      <c r="AZ468" s="220"/>
      <c r="BA468" s="220"/>
      <c r="BB468" s="220"/>
    </row>
    <row r="469">
      <c r="A469" s="240"/>
      <c r="B469" s="302" t="str">
        <f t="shared" si="1"/>
        <v/>
      </c>
      <c r="C469" s="341" t="str">
        <f>IF(A469="","",'Historique détail'!B469/$W469)</f>
        <v/>
      </c>
      <c r="D469" s="341" t="str">
        <f>IF(B469="","",'Historique détail'!C469/$W469)</f>
        <v/>
      </c>
      <c r="E469" s="341" t="str">
        <f>IF(C469="","",'Historique détail'!D469/$W469)</f>
        <v/>
      </c>
      <c r="F469" s="341" t="str">
        <f>IF(D469="","",'Historique détail'!E469/$W469)</f>
        <v/>
      </c>
      <c r="G469" s="341" t="str">
        <f>IF(E469="","",'Historique détail'!F469/$W469)</f>
        <v/>
      </c>
      <c r="H469" s="341" t="str">
        <f>IF(F469="","",'Historique détail'!G469/$W469)</f>
        <v/>
      </c>
      <c r="I469" s="341" t="str">
        <f>IF(G469="","",'Historique détail'!H469/$W469)</f>
        <v/>
      </c>
      <c r="J469" s="341" t="str">
        <f>IF(H469="","",'Historique détail'!I469/$W469)</f>
        <v/>
      </c>
      <c r="K469" s="341" t="str">
        <f>IF(I469="","",'Historique détail'!J469/$W469)</f>
        <v/>
      </c>
      <c r="L469" s="341" t="str">
        <f>IF(J469="","",'Historique détail'!K469/$W469)</f>
        <v/>
      </c>
      <c r="M469" s="341" t="str">
        <f>IF(K469="","",'Historique détail'!L469/$W469)</f>
        <v/>
      </c>
      <c r="N469" s="341" t="str">
        <f>IF(L469="","",'Historique détail'!M469/$W469)</f>
        <v/>
      </c>
      <c r="O469" s="341" t="str">
        <f>IF(M469="","",'Historique détail'!N469/$W469)</f>
        <v/>
      </c>
      <c r="P469" s="341" t="str">
        <f>IF(N469="","",'Historique détail'!O469/$W469)</f>
        <v/>
      </c>
      <c r="Q469" s="341" t="str">
        <f>IF(O469="","",'Historique détail'!P469/$W469)</f>
        <v/>
      </c>
      <c r="R469" s="341" t="str">
        <f>IF(P469="","",'Historique détail'!Q469/$W469)</f>
        <v/>
      </c>
      <c r="S469" s="341" t="str">
        <f>IF(Q469="","",'Historique détail'!R469/$W469)</f>
        <v/>
      </c>
      <c r="T469" s="341" t="str">
        <f>IF(R469="","",'Historique détail'!S469/$W469)</f>
        <v/>
      </c>
      <c r="U469" s="340" t="str">
        <f t="shared" si="2"/>
        <v/>
      </c>
      <c r="V469" s="14" t="str">
        <f>IF(A469="","",ARBITRAGES!M470)</f>
        <v/>
      </c>
      <c r="W469" s="343" t="str">
        <f>IF(V469="","",'Historique détail'!U469)</f>
        <v/>
      </c>
      <c r="X469" s="288"/>
      <c r="Y469" s="220"/>
      <c r="Z469" s="220"/>
      <c r="AA469" s="220"/>
      <c r="AB469" s="220"/>
      <c r="AC469" s="220"/>
      <c r="AD469" s="220"/>
      <c r="AE469" s="220"/>
      <c r="AF469" s="220"/>
      <c r="AG469" s="220"/>
      <c r="AH469" s="220"/>
      <c r="AI469" s="308"/>
      <c r="AJ469" s="220"/>
      <c r="AK469" s="220"/>
      <c r="AL469" s="220"/>
      <c r="AM469" s="220"/>
      <c r="AN469" s="220"/>
      <c r="AO469" s="220"/>
      <c r="AP469" s="220"/>
      <c r="AQ469" s="220"/>
      <c r="AR469" s="220"/>
      <c r="AS469" s="220"/>
      <c r="AT469" s="220"/>
      <c r="AU469" s="220"/>
      <c r="AV469" s="220"/>
      <c r="AW469" s="220"/>
      <c r="AX469" s="220"/>
      <c r="AY469" s="220"/>
      <c r="AZ469" s="220"/>
      <c r="BA469" s="220"/>
      <c r="BB469" s="220"/>
    </row>
    <row r="470">
      <c r="A470" s="240"/>
      <c r="B470" s="302" t="str">
        <f t="shared" si="1"/>
        <v/>
      </c>
      <c r="C470" s="341" t="str">
        <f>IF(A470="","",'Historique détail'!B470/$W470)</f>
        <v/>
      </c>
      <c r="D470" s="341" t="str">
        <f>IF(B470="","",'Historique détail'!C470/$W470)</f>
        <v/>
      </c>
      <c r="E470" s="341" t="str">
        <f>IF(C470="","",'Historique détail'!D470/$W470)</f>
        <v/>
      </c>
      <c r="F470" s="341" t="str">
        <f>IF(D470="","",'Historique détail'!E470/$W470)</f>
        <v/>
      </c>
      <c r="G470" s="341" t="str">
        <f>IF(E470="","",'Historique détail'!F470/$W470)</f>
        <v/>
      </c>
      <c r="H470" s="341" t="str">
        <f>IF(F470="","",'Historique détail'!G470/$W470)</f>
        <v/>
      </c>
      <c r="I470" s="341" t="str">
        <f>IF(G470="","",'Historique détail'!H470/$W470)</f>
        <v/>
      </c>
      <c r="J470" s="341" t="str">
        <f>IF(H470="","",'Historique détail'!I470/$W470)</f>
        <v/>
      </c>
      <c r="K470" s="341" t="str">
        <f>IF(I470="","",'Historique détail'!J470/$W470)</f>
        <v/>
      </c>
      <c r="L470" s="341" t="str">
        <f>IF(J470="","",'Historique détail'!K470/$W470)</f>
        <v/>
      </c>
      <c r="M470" s="341" t="str">
        <f>IF(K470="","",'Historique détail'!L470/$W470)</f>
        <v/>
      </c>
      <c r="N470" s="341" t="str">
        <f>IF(L470="","",'Historique détail'!M470/$W470)</f>
        <v/>
      </c>
      <c r="O470" s="341" t="str">
        <f>IF(M470="","",'Historique détail'!N470/$W470)</f>
        <v/>
      </c>
      <c r="P470" s="341" t="str">
        <f>IF(N470="","",'Historique détail'!O470/$W470)</f>
        <v/>
      </c>
      <c r="Q470" s="341" t="str">
        <f>IF(O470="","",'Historique détail'!P470/$W470)</f>
        <v/>
      </c>
      <c r="R470" s="341" t="str">
        <f>IF(P470="","",'Historique détail'!Q470/$W470)</f>
        <v/>
      </c>
      <c r="S470" s="341" t="str">
        <f>IF(Q470="","",'Historique détail'!R470/$W470)</f>
        <v/>
      </c>
      <c r="T470" s="341" t="str">
        <f>IF(R470="","",'Historique détail'!S470/$W470)</f>
        <v/>
      </c>
      <c r="U470" s="340" t="str">
        <f t="shared" si="2"/>
        <v/>
      </c>
      <c r="V470" s="14" t="str">
        <f>IF(A470="","",ARBITRAGES!M471)</f>
        <v/>
      </c>
      <c r="W470" s="343" t="str">
        <f>IF(V470="","",'Historique détail'!U470)</f>
        <v/>
      </c>
      <c r="X470" s="288"/>
      <c r="Y470" s="220"/>
      <c r="Z470" s="220"/>
      <c r="AA470" s="220"/>
      <c r="AB470" s="220"/>
      <c r="AC470" s="220"/>
      <c r="AD470" s="220"/>
      <c r="AE470" s="220"/>
      <c r="AF470" s="220"/>
      <c r="AG470" s="220"/>
      <c r="AH470" s="220"/>
      <c r="AI470" s="308"/>
      <c r="AJ470" s="220"/>
      <c r="AK470" s="220"/>
      <c r="AL470" s="220"/>
      <c r="AM470" s="220"/>
      <c r="AN470" s="220"/>
      <c r="AO470" s="220"/>
      <c r="AP470" s="220"/>
      <c r="AQ470" s="220"/>
      <c r="AR470" s="220"/>
      <c r="AS470" s="220"/>
      <c r="AT470" s="220"/>
      <c r="AU470" s="220"/>
      <c r="AV470" s="220"/>
      <c r="AW470" s="220"/>
      <c r="AX470" s="220"/>
      <c r="AY470" s="220"/>
      <c r="AZ470" s="220"/>
      <c r="BA470" s="220"/>
      <c r="BB470" s="220"/>
    </row>
    <row r="471">
      <c r="A471" s="240"/>
      <c r="B471" s="302" t="str">
        <f t="shared" si="1"/>
        <v/>
      </c>
      <c r="C471" s="341" t="str">
        <f>IF(A471="","",'Historique détail'!B471/$W471)</f>
        <v/>
      </c>
      <c r="D471" s="341" t="str">
        <f>IF(B471="","",'Historique détail'!C471/$W471)</f>
        <v/>
      </c>
      <c r="E471" s="341" t="str">
        <f>IF(C471="","",'Historique détail'!D471/$W471)</f>
        <v/>
      </c>
      <c r="F471" s="341" t="str">
        <f>IF(D471="","",'Historique détail'!E471/$W471)</f>
        <v/>
      </c>
      <c r="G471" s="341" t="str">
        <f>IF(E471="","",'Historique détail'!F471/$W471)</f>
        <v/>
      </c>
      <c r="H471" s="341" t="str">
        <f>IF(F471="","",'Historique détail'!G471/$W471)</f>
        <v/>
      </c>
      <c r="I471" s="341" t="str">
        <f>IF(G471="","",'Historique détail'!H471/$W471)</f>
        <v/>
      </c>
      <c r="J471" s="341" t="str">
        <f>IF(H471="","",'Historique détail'!I471/$W471)</f>
        <v/>
      </c>
      <c r="K471" s="341" t="str">
        <f>IF(I471="","",'Historique détail'!J471/$W471)</f>
        <v/>
      </c>
      <c r="L471" s="341" t="str">
        <f>IF(J471="","",'Historique détail'!K471/$W471)</f>
        <v/>
      </c>
      <c r="M471" s="341" t="str">
        <f>IF(K471="","",'Historique détail'!L471/$W471)</f>
        <v/>
      </c>
      <c r="N471" s="341" t="str">
        <f>IF(L471="","",'Historique détail'!M471/$W471)</f>
        <v/>
      </c>
      <c r="O471" s="341" t="str">
        <f>IF(M471="","",'Historique détail'!N471/$W471)</f>
        <v/>
      </c>
      <c r="P471" s="341" t="str">
        <f>IF(N471="","",'Historique détail'!O471/$W471)</f>
        <v/>
      </c>
      <c r="Q471" s="341" t="str">
        <f>IF(O471="","",'Historique détail'!P471/$W471)</f>
        <v/>
      </c>
      <c r="R471" s="341" t="str">
        <f>IF(P471="","",'Historique détail'!Q471/$W471)</f>
        <v/>
      </c>
      <c r="S471" s="341" t="str">
        <f>IF(Q471="","",'Historique détail'!R471/$W471)</f>
        <v/>
      </c>
      <c r="T471" s="341" t="str">
        <f>IF(R471="","",'Historique détail'!S471/$W471)</f>
        <v/>
      </c>
      <c r="U471" s="340" t="str">
        <f t="shared" si="2"/>
        <v/>
      </c>
      <c r="V471" s="14" t="str">
        <f>IF(A471="","",ARBITRAGES!M472)</f>
        <v/>
      </c>
      <c r="W471" s="343" t="str">
        <f>IF(V471="","",'Historique détail'!U471)</f>
        <v/>
      </c>
      <c r="X471" s="288"/>
      <c r="Y471" s="220"/>
      <c r="Z471" s="220"/>
      <c r="AA471" s="220"/>
      <c r="AB471" s="220"/>
      <c r="AC471" s="220"/>
      <c r="AD471" s="220"/>
      <c r="AE471" s="220"/>
      <c r="AF471" s="220"/>
      <c r="AG471" s="220"/>
      <c r="AH471" s="220"/>
      <c r="AI471" s="308"/>
      <c r="AJ471" s="220"/>
      <c r="AK471" s="220"/>
      <c r="AL471" s="220"/>
      <c r="AM471" s="220"/>
      <c r="AN471" s="220"/>
      <c r="AO471" s="220"/>
      <c r="AP471" s="220"/>
      <c r="AQ471" s="220"/>
      <c r="AR471" s="220"/>
      <c r="AS471" s="220"/>
      <c r="AT471" s="220"/>
      <c r="AU471" s="220"/>
      <c r="AV471" s="220"/>
      <c r="AW471" s="220"/>
      <c r="AX471" s="220"/>
      <c r="AY471" s="220"/>
      <c r="AZ471" s="220"/>
      <c r="BA471" s="220"/>
      <c r="BB471" s="220"/>
    </row>
    <row r="472">
      <c r="A472" s="240"/>
      <c r="B472" s="302" t="str">
        <f t="shared" si="1"/>
        <v/>
      </c>
      <c r="C472" s="341" t="str">
        <f>IF(A472="","",'Historique détail'!B472/$W472)</f>
        <v/>
      </c>
      <c r="D472" s="341" t="str">
        <f>IF(B472="","",'Historique détail'!C472/$W472)</f>
        <v/>
      </c>
      <c r="E472" s="341" t="str">
        <f>IF(C472="","",'Historique détail'!D472/$W472)</f>
        <v/>
      </c>
      <c r="F472" s="341" t="str">
        <f>IF(D472="","",'Historique détail'!E472/$W472)</f>
        <v/>
      </c>
      <c r="G472" s="341" t="str">
        <f>IF(E472="","",'Historique détail'!F472/$W472)</f>
        <v/>
      </c>
      <c r="H472" s="341" t="str">
        <f>IF(F472="","",'Historique détail'!G472/$W472)</f>
        <v/>
      </c>
      <c r="I472" s="341" t="str">
        <f>IF(G472="","",'Historique détail'!H472/$W472)</f>
        <v/>
      </c>
      <c r="J472" s="341" t="str">
        <f>IF(H472="","",'Historique détail'!I472/$W472)</f>
        <v/>
      </c>
      <c r="K472" s="341" t="str">
        <f>IF(I472="","",'Historique détail'!J472/$W472)</f>
        <v/>
      </c>
      <c r="L472" s="341" t="str">
        <f>IF(J472="","",'Historique détail'!K472/$W472)</f>
        <v/>
      </c>
      <c r="M472" s="341" t="str">
        <f>IF(K472="","",'Historique détail'!L472/$W472)</f>
        <v/>
      </c>
      <c r="N472" s="341" t="str">
        <f>IF(L472="","",'Historique détail'!M472/$W472)</f>
        <v/>
      </c>
      <c r="O472" s="341" t="str">
        <f>IF(M472="","",'Historique détail'!N472/$W472)</f>
        <v/>
      </c>
      <c r="P472" s="341" t="str">
        <f>IF(N472="","",'Historique détail'!O472/$W472)</f>
        <v/>
      </c>
      <c r="Q472" s="341" t="str">
        <f>IF(O472="","",'Historique détail'!P472/$W472)</f>
        <v/>
      </c>
      <c r="R472" s="341" t="str">
        <f>IF(P472="","",'Historique détail'!Q472/$W472)</f>
        <v/>
      </c>
      <c r="S472" s="341" t="str">
        <f>IF(Q472="","",'Historique détail'!R472/$W472)</f>
        <v/>
      </c>
      <c r="T472" s="341" t="str">
        <f>IF(R472="","",'Historique détail'!S472/$W472)</f>
        <v/>
      </c>
      <c r="U472" s="340" t="str">
        <f t="shared" si="2"/>
        <v/>
      </c>
      <c r="V472" s="14" t="str">
        <f>IF(A472="","",ARBITRAGES!M473)</f>
        <v/>
      </c>
      <c r="W472" s="343" t="str">
        <f>IF(V472="","",'Historique détail'!U472)</f>
        <v/>
      </c>
      <c r="X472" s="288"/>
      <c r="Y472" s="220"/>
      <c r="Z472" s="220"/>
      <c r="AA472" s="220"/>
      <c r="AB472" s="220"/>
      <c r="AC472" s="220"/>
      <c r="AD472" s="220"/>
      <c r="AE472" s="220"/>
      <c r="AF472" s="220"/>
      <c r="AG472" s="220"/>
      <c r="AH472" s="220"/>
      <c r="AI472" s="308"/>
      <c r="AJ472" s="220"/>
      <c r="AK472" s="220"/>
      <c r="AL472" s="220"/>
      <c r="AM472" s="220"/>
      <c r="AN472" s="220"/>
      <c r="AO472" s="220"/>
      <c r="AP472" s="220"/>
      <c r="AQ472" s="220"/>
      <c r="AR472" s="220"/>
      <c r="AS472" s="220"/>
      <c r="AT472" s="220"/>
      <c r="AU472" s="220"/>
      <c r="AV472" s="220"/>
      <c r="AW472" s="220"/>
      <c r="AX472" s="220"/>
      <c r="AY472" s="220"/>
      <c r="AZ472" s="220"/>
      <c r="BA472" s="220"/>
      <c r="BB472" s="220"/>
    </row>
    <row r="473">
      <c r="A473" s="240"/>
      <c r="B473" s="302" t="str">
        <f t="shared" si="1"/>
        <v/>
      </c>
      <c r="C473" s="341" t="str">
        <f>IF(A473="","",'Historique détail'!B473/$W473)</f>
        <v/>
      </c>
      <c r="D473" s="341" t="str">
        <f>IF(B473="","",'Historique détail'!C473/$W473)</f>
        <v/>
      </c>
      <c r="E473" s="341" t="str">
        <f>IF(C473="","",'Historique détail'!D473/$W473)</f>
        <v/>
      </c>
      <c r="F473" s="341" t="str">
        <f>IF(D473="","",'Historique détail'!E473/$W473)</f>
        <v/>
      </c>
      <c r="G473" s="341" t="str">
        <f>IF(E473="","",'Historique détail'!F473/$W473)</f>
        <v/>
      </c>
      <c r="H473" s="341" t="str">
        <f>IF(F473="","",'Historique détail'!G473/$W473)</f>
        <v/>
      </c>
      <c r="I473" s="341" t="str">
        <f>IF(G473="","",'Historique détail'!H473/$W473)</f>
        <v/>
      </c>
      <c r="J473" s="341" t="str">
        <f>IF(H473="","",'Historique détail'!I473/$W473)</f>
        <v/>
      </c>
      <c r="K473" s="341" t="str">
        <f>IF(I473="","",'Historique détail'!J473/$W473)</f>
        <v/>
      </c>
      <c r="L473" s="341" t="str">
        <f>IF(J473="","",'Historique détail'!K473/$W473)</f>
        <v/>
      </c>
      <c r="M473" s="341" t="str">
        <f>IF(K473="","",'Historique détail'!L473/$W473)</f>
        <v/>
      </c>
      <c r="N473" s="341" t="str">
        <f>IF(L473="","",'Historique détail'!M473/$W473)</f>
        <v/>
      </c>
      <c r="O473" s="341" t="str">
        <f>IF(M473="","",'Historique détail'!N473/$W473)</f>
        <v/>
      </c>
      <c r="P473" s="341" t="str">
        <f>IF(N473="","",'Historique détail'!O473/$W473)</f>
        <v/>
      </c>
      <c r="Q473" s="341" t="str">
        <f>IF(O473="","",'Historique détail'!P473/$W473)</f>
        <v/>
      </c>
      <c r="R473" s="341" t="str">
        <f>IF(P473="","",'Historique détail'!Q473/$W473)</f>
        <v/>
      </c>
      <c r="S473" s="341" t="str">
        <f>IF(Q473="","",'Historique détail'!R473/$W473)</f>
        <v/>
      </c>
      <c r="T473" s="341" t="str">
        <f>IF(R473="","",'Historique détail'!S473/$W473)</f>
        <v/>
      </c>
      <c r="U473" s="340" t="str">
        <f t="shared" si="2"/>
        <v/>
      </c>
      <c r="V473" s="14" t="str">
        <f>IF(A473="","",ARBITRAGES!M474)</f>
        <v/>
      </c>
      <c r="W473" s="343" t="str">
        <f>IF(V473="","",'Historique détail'!U473)</f>
        <v/>
      </c>
      <c r="X473" s="288"/>
      <c r="Y473" s="220"/>
      <c r="Z473" s="220"/>
      <c r="AA473" s="220"/>
      <c r="AB473" s="220"/>
      <c r="AC473" s="220"/>
      <c r="AD473" s="220"/>
      <c r="AE473" s="220"/>
      <c r="AF473" s="220"/>
      <c r="AG473" s="220"/>
      <c r="AH473" s="220"/>
      <c r="AI473" s="308"/>
      <c r="AJ473" s="220"/>
      <c r="AK473" s="220"/>
      <c r="AL473" s="220"/>
      <c r="AM473" s="220"/>
      <c r="AN473" s="220"/>
      <c r="AO473" s="220"/>
      <c r="AP473" s="220"/>
      <c r="AQ473" s="220"/>
      <c r="AR473" s="220"/>
      <c r="AS473" s="220"/>
      <c r="AT473" s="220"/>
      <c r="AU473" s="220"/>
      <c r="AV473" s="220"/>
      <c r="AW473" s="220"/>
      <c r="AX473" s="220"/>
      <c r="AY473" s="220"/>
      <c r="AZ473" s="220"/>
      <c r="BA473" s="220"/>
      <c r="BB473" s="220"/>
    </row>
    <row r="474">
      <c r="A474" s="240"/>
      <c r="B474" s="302" t="str">
        <f t="shared" si="1"/>
        <v/>
      </c>
      <c r="C474" s="341" t="str">
        <f>IF(A474="","",'Historique détail'!B474/$W474)</f>
        <v/>
      </c>
      <c r="D474" s="341" t="str">
        <f>IF(B474="","",'Historique détail'!C474/$W474)</f>
        <v/>
      </c>
      <c r="E474" s="341" t="str">
        <f>IF(C474="","",'Historique détail'!D474/$W474)</f>
        <v/>
      </c>
      <c r="F474" s="341" t="str">
        <f>IF(D474="","",'Historique détail'!E474/$W474)</f>
        <v/>
      </c>
      <c r="G474" s="341" t="str">
        <f>IF(E474="","",'Historique détail'!F474/$W474)</f>
        <v/>
      </c>
      <c r="H474" s="341" t="str">
        <f>IF(F474="","",'Historique détail'!G474/$W474)</f>
        <v/>
      </c>
      <c r="I474" s="341" t="str">
        <f>IF(G474="","",'Historique détail'!H474/$W474)</f>
        <v/>
      </c>
      <c r="J474" s="341" t="str">
        <f>IF(H474="","",'Historique détail'!I474/$W474)</f>
        <v/>
      </c>
      <c r="K474" s="341" t="str">
        <f>IF(I474="","",'Historique détail'!J474/$W474)</f>
        <v/>
      </c>
      <c r="L474" s="341" t="str">
        <f>IF(J474="","",'Historique détail'!K474/$W474)</f>
        <v/>
      </c>
      <c r="M474" s="341" t="str">
        <f>IF(K474="","",'Historique détail'!L474/$W474)</f>
        <v/>
      </c>
      <c r="N474" s="341" t="str">
        <f>IF(L474="","",'Historique détail'!M474/$W474)</f>
        <v/>
      </c>
      <c r="O474" s="341" t="str">
        <f>IF(M474="","",'Historique détail'!N474/$W474)</f>
        <v/>
      </c>
      <c r="P474" s="341" t="str">
        <f>IF(N474="","",'Historique détail'!O474/$W474)</f>
        <v/>
      </c>
      <c r="Q474" s="341" t="str">
        <f>IF(O474="","",'Historique détail'!P474/$W474)</f>
        <v/>
      </c>
      <c r="R474" s="341" t="str">
        <f>IF(P474="","",'Historique détail'!Q474/$W474)</f>
        <v/>
      </c>
      <c r="S474" s="341" t="str">
        <f>IF(Q474="","",'Historique détail'!R474/$W474)</f>
        <v/>
      </c>
      <c r="T474" s="341" t="str">
        <f>IF(R474="","",'Historique détail'!S474/$W474)</f>
        <v/>
      </c>
      <c r="U474" s="340" t="str">
        <f t="shared" si="2"/>
        <v/>
      </c>
      <c r="V474" s="14" t="str">
        <f>IF(A474="","",ARBITRAGES!M475)</f>
        <v/>
      </c>
      <c r="W474" s="343" t="str">
        <f>IF(V474="","",'Historique détail'!U474)</f>
        <v/>
      </c>
      <c r="X474" s="288"/>
      <c r="Y474" s="220"/>
      <c r="Z474" s="220"/>
      <c r="AA474" s="220"/>
      <c r="AB474" s="220"/>
      <c r="AC474" s="220"/>
      <c r="AD474" s="220"/>
      <c r="AE474" s="220"/>
      <c r="AF474" s="220"/>
      <c r="AG474" s="220"/>
      <c r="AH474" s="220"/>
      <c r="AI474" s="308"/>
      <c r="AJ474" s="220"/>
      <c r="AK474" s="220"/>
      <c r="AL474" s="220"/>
      <c r="AM474" s="220"/>
      <c r="AN474" s="220"/>
      <c r="AO474" s="220"/>
      <c r="AP474" s="220"/>
      <c r="AQ474" s="220"/>
      <c r="AR474" s="220"/>
      <c r="AS474" s="220"/>
      <c r="AT474" s="220"/>
      <c r="AU474" s="220"/>
      <c r="AV474" s="220"/>
      <c r="AW474" s="220"/>
      <c r="AX474" s="220"/>
      <c r="AY474" s="220"/>
      <c r="AZ474" s="220"/>
      <c r="BA474" s="220"/>
      <c r="BB474" s="220"/>
    </row>
    <row r="475">
      <c r="A475" s="240"/>
      <c r="B475" s="302" t="str">
        <f t="shared" si="1"/>
        <v/>
      </c>
      <c r="C475" s="341" t="str">
        <f>IF(A475="","",'Historique détail'!B475/$W475)</f>
        <v/>
      </c>
      <c r="D475" s="341" t="str">
        <f>IF(B475="","",'Historique détail'!C475/$W475)</f>
        <v/>
      </c>
      <c r="E475" s="341" t="str">
        <f>IF(C475="","",'Historique détail'!D475/$W475)</f>
        <v/>
      </c>
      <c r="F475" s="341" t="str">
        <f>IF(D475="","",'Historique détail'!E475/$W475)</f>
        <v/>
      </c>
      <c r="G475" s="341" t="str">
        <f>IF(E475="","",'Historique détail'!F475/$W475)</f>
        <v/>
      </c>
      <c r="H475" s="341" t="str">
        <f>IF(F475="","",'Historique détail'!G475/$W475)</f>
        <v/>
      </c>
      <c r="I475" s="341" t="str">
        <f>IF(G475="","",'Historique détail'!H475/$W475)</f>
        <v/>
      </c>
      <c r="J475" s="341" t="str">
        <f>IF(H475="","",'Historique détail'!I475/$W475)</f>
        <v/>
      </c>
      <c r="K475" s="341" t="str">
        <f>IF(I475="","",'Historique détail'!J475/$W475)</f>
        <v/>
      </c>
      <c r="L475" s="341" t="str">
        <f>IF(J475="","",'Historique détail'!K475/$W475)</f>
        <v/>
      </c>
      <c r="M475" s="341" t="str">
        <f>IF(K475="","",'Historique détail'!L475/$W475)</f>
        <v/>
      </c>
      <c r="N475" s="341" t="str">
        <f>IF(L475="","",'Historique détail'!M475/$W475)</f>
        <v/>
      </c>
      <c r="O475" s="341" t="str">
        <f>IF(M475="","",'Historique détail'!N475/$W475)</f>
        <v/>
      </c>
      <c r="P475" s="341" t="str">
        <f>IF(N475="","",'Historique détail'!O475/$W475)</f>
        <v/>
      </c>
      <c r="Q475" s="341" t="str">
        <f>IF(O475="","",'Historique détail'!P475/$W475)</f>
        <v/>
      </c>
      <c r="R475" s="341" t="str">
        <f>IF(P475="","",'Historique détail'!Q475/$W475)</f>
        <v/>
      </c>
      <c r="S475" s="341" t="str">
        <f>IF(Q475="","",'Historique détail'!R475/$W475)</f>
        <v/>
      </c>
      <c r="T475" s="341" t="str">
        <f>IF(R475="","",'Historique détail'!S475/$W475)</f>
        <v/>
      </c>
      <c r="U475" s="340" t="str">
        <f t="shared" si="2"/>
        <v/>
      </c>
      <c r="V475" s="14" t="str">
        <f>IF(A475="","",ARBITRAGES!M476)</f>
        <v/>
      </c>
      <c r="W475" s="343" t="str">
        <f>IF(V475="","",'Historique détail'!U475)</f>
        <v/>
      </c>
      <c r="X475" s="288"/>
      <c r="Y475" s="220"/>
      <c r="Z475" s="220"/>
      <c r="AA475" s="220"/>
      <c r="AB475" s="220"/>
      <c r="AC475" s="220"/>
      <c r="AD475" s="220"/>
      <c r="AE475" s="220"/>
      <c r="AF475" s="220"/>
      <c r="AG475" s="220"/>
      <c r="AH475" s="220"/>
      <c r="AI475" s="308"/>
      <c r="AJ475" s="220"/>
      <c r="AK475" s="220"/>
      <c r="AL475" s="220"/>
      <c r="AM475" s="220"/>
      <c r="AN475" s="220"/>
      <c r="AO475" s="220"/>
      <c r="AP475" s="220"/>
      <c r="AQ475" s="220"/>
      <c r="AR475" s="220"/>
      <c r="AS475" s="220"/>
      <c r="AT475" s="220"/>
      <c r="AU475" s="220"/>
      <c r="AV475" s="220"/>
      <c r="AW475" s="220"/>
      <c r="AX475" s="220"/>
      <c r="AY475" s="220"/>
      <c r="AZ475" s="220"/>
      <c r="BA475" s="220"/>
      <c r="BB475" s="220"/>
    </row>
    <row r="476">
      <c r="A476" s="240"/>
      <c r="B476" s="302" t="str">
        <f t="shared" si="1"/>
        <v/>
      </c>
      <c r="C476" s="341" t="str">
        <f>IF(A476="","",'Historique détail'!B476/$W476)</f>
        <v/>
      </c>
      <c r="D476" s="341" t="str">
        <f>IF(B476="","",'Historique détail'!C476/$W476)</f>
        <v/>
      </c>
      <c r="E476" s="341" t="str">
        <f>IF(C476="","",'Historique détail'!D476/$W476)</f>
        <v/>
      </c>
      <c r="F476" s="341" t="str">
        <f>IF(D476="","",'Historique détail'!E476/$W476)</f>
        <v/>
      </c>
      <c r="G476" s="341" t="str">
        <f>IF(E476="","",'Historique détail'!F476/$W476)</f>
        <v/>
      </c>
      <c r="H476" s="341" t="str">
        <f>IF(F476="","",'Historique détail'!G476/$W476)</f>
        <v/>
      </c>
      <c r="I476" s="341" t="str">
        <f>IF(G476="","",'Historique détail'!H476/$W476)</f>
        <v/>
      </c>
      <c r="J476" s="341" t="str">
        <f>IF(H476="","",'Historique détail'!I476/$W476)</f>
        <v/>
      </c>
      <c r="K476" s="341" t="str">
        <f>IF(I476="","",'Historique détail'!J476/$W476)</f>
        <v/>
      </c>
      <c r="L476" s="341" t="str">
        <f>IF(J476="","",'Historique détail'!K476/$W476)</f>
        <v/>
      </c>
      <c r="M476" s="341" t="str">
        <f>IF(K476="","",'Historique détail'!L476/$W476)</f>
        <v/>
      </c>
      <c r="N476" s="341" t="str">
        <f>IF(L476="","",'Historique détail'!M476/$W476)</f>
        <v/>
      </c>
      <c r="O476" s="341" t="str">
        <f>IF(M476="","",'Historique détail'!N476/$W476)</f>
        <v/>
      </c>
      <c r="P476" s="341" t="str">
        <f>IF(N476="","",'Historique détail'!O476/$W476)</f>
        <v/>
      </c>
      <c r="Q476" s="341" t="str">
        <f>IF(O476="","",'Historique détail'!P476/$W476)</f>
        <v/>
      </c>
      <c r="R476" s="341" t="str">
        <f>IF(P476="","",'Historique détail'!Q476/$W476)</f>
        <v/>
      </c>
      <c r="S476" s="341" t="str">
        <f>IF(Q476="","",'Historique détail'!R476/$W476)</f>
        <v/>
      </c>
      <c r="T476" s="341" t="str">
        <f>IF(R476="","",'Historique détail'!S476/$W476)</f>
        <v/>
      </c>
      <c r="U476" s="340" t="str">
        <f t="shared" si="2"/>
        <v/>
      </c>
      <c r="V476" s="14" t="str">
        <f>IF(A476="","",ARBITRAGES!M477)</f>
        <v/>
      </c>
      <c r="W476" s="343" t="str">
        <f>IF(V476="","",'Historique détail'!U476)</f>
        <v/>
      </c>
      <c r="X476" s="288"/>
      <c r="Y476" s="220"/>
      <c r="Z476" s="220"/>
      <c r="AA476" s="220"/>
      <c r="AB476" s="220"/>
      <c r="AC476" s="220"/>
      <c r="AD476" s="220"/>
      <c r="AE476" s="220"/>
      <c r="AF476" s="220"/>
      <c r="AG476" s="220"/>
      <c r="AH476" s="220"/>
      <c r="AI476" s="308"/>
      <c r="AJ476" s="220"/>
      <c r="AK476" s="220"/>
      <c r="AL476" s="220"/>
      <c r="AM476" s="220"/>
      <c r="AN476" s="220"/>
      <c r="AO476" s="220"/>
      <c r="AP476" s="220"/>
      <c r="AQ476" s="220"/>
      <c r="AR476" s="220"/>
      <c r="AS476" s="220"/>
      <c r="AT476" s="220"/>
      <c r="AU476" s="220"/>
      <c r="AV476" s="220"/>
      <c r="AW476" s="220"/>
      <c r="AX476" s="220"/>
      <c r="AY476" s="220"/>
      <c r="AZ476" s="220"/>
      <c r="BA476" s="220"/>
      <c r="BB476" s="220"/>
    </row>
    <row r="477">
      <c r="A477" s="240"/>
      <c r="B477" s="302" t="str">
        <f t="shared" si="1"/>
        <v/>
      </c>
      <c r="C477" s="341" t="str">
        <f>IF(A477="","",'Historique détail'!B477/$W477)</f>
        <v/>
      </c>
      <c r="D477" s="341" t="str">
        <f>IF(B477="","",'Historique détail'!C477/$W477)</f>
        <v/>
      </c>
      <c r="E477" s="341" t="str">
        <f>IF(C477="","",'Historique détail'!D477/$W477)</f>
        <v/>
      </c>
      <c r="F477" s="341" t="str">
        <f>IF(D477="","",'Historique détail'!E477/$W477)</f>
        <v/>
      </c>
      <c r="G477" s="341" t="str">
        <f>IF(E477="","",'Historique détail'!F477/$W477)</f>
        <v/>
      </c>
      <c r="H477" s="341" t="str">
        <f>IF(F477="","",'Historique détail'!G477/$W477)</f>
        <v/>
      </c>
      <c r="I477" s="341" t="str">
        <f>IF(G477="","",'Historique détail'!H477/$W477)</f>
        <v/>
      </c>
      <c r="J477" s="341" t="str">
        <f>IF(H477="","",'Historique détail'!I477/$W477)</f>
        <v/>
      </c>
      <c r="K477" s="341" t="str">
        <f>IF(I477="","",'Historique détail'!J477/$W477)</f>
        <v/>
      </c>
      <c r="L477" s="341" t="str">
        <f>IF(J477="","",'Historique détail'!K477/$W477)</f>
        <v/>
      </c>
      <c r="M477" s="341" t="str">
        <f>IF(K477="","",'Historique détail'!L477/$W477)</f>
        <v/>
      </c>
      <c r="N477" s="341" t="str">
        <f>IF(L477="","",'Historique détail'!M477/$W477)</f>
        <v/>
      </c>
      <c r="O477" s="341" t="str">
        <f>IF(M477="","",'Historique détail'!N477/$W477)</f>
        <v/>
      </c>
      <c r="P477" s="341" t="str">
        <f>IF(N477="","",'Historique détail'!O477/$W477)</f>
        <v/>
      </c>
      <c r="Q477" s="341" t="str">
        <f>IF(O477="","",'Historique détail'!P477/$W477)</f>
        <v/>
      </c>
      <c r="R477" s="341" t="str">
        <f>IF(P477="","",'Historique détail'!Q477/$W477)</f>
        <v/>
      </c>
      <c r="S477" s="341" t="str">
        <f>IF(Q477="","",'Historique détail'!R477/$W477)</f>
        <v/>
      </c>
      <c r="T477" s="341" t="str">
        <f>IF(R477="","",'Historique détail'!S477/$W477)</f>
        <v/>
      </c>
      <c r="U477" s="340" t="str">
        <f t="shared" si="2"/>
        <v/>
      </c>
      <c r="V477" s="14" t="str">
        <f>IF(A477="","",ARBITRAGES!M478)</f>
        <v/>
      </c>
      <c r="W477" s="343" t="str">
        <f>IF(V477="","",'Historique détail'!U477)</f>
        <v/>
      </c>
      <c r="X477" s="288"/>
      <c r="Y477" s="220"/>
      <c r="Z477" s="220"/>
      <c r="AA477" s="220"/>
      <c r="AB477" s="220"/>
      <c r="AC477" s="220"/>
      <c r="AD477" s="220"/>
      <c r="AE477" s="220"/>
      <c r="AF477" s="220"/>
      <c r="AG477" s="220"/>
      <c r="AH477" s="220"/>
      <c r="AI477" s="308"/>
      <c r="AJ477" s="220"/>
      <c r="AK477" s="220"/>
      <c r="AL477" s="220"/>
      <c r="AM477" s="220"/>
      <c r="AN477" s="220"/>
      <c r="AO477" s="220"/>
      <c r="AP477" s="220"/>
      <c r="AQ477" s="220"/>
      <c r="AR477" s="220"/>
      <c r="AS477" s="220"/>
      <c r="AT477" s="220"/>
      <c r="AU477" s="220"/>
      <c r="AV477" s="220"/>
      <c r="AW477" s="220"/>
      <c r="AX477" s="220"/>
      <c r="AY477" s="220"/>
      <c r="AZ477" s="220"/>
      <c r="BA477" s="220"/>
      <c r="BB477" s="220"/>
    </row>
    <row r="478">
      <c r="A478" s="240"/>
      <c r="B478" s="302" t="str">
        <f t="shared" si="1"/>
        <v/>
      </c>
      <c r="C478" s="341" t="str">
        <f>IF(A478="","",'Historique détail'!B478/$W478)</f>
        <v/>
      </c>
      <c r="D478" s="341" t="str">
        <f>IF(B478="","",'Historique détail'!C478/$W478)</f>
        <v/>
      </c>
      <c r="E478" s="341" t="str">
        <f>IF(C478="","",'Historique détail'!D478/$W478)</f>
        <v/>
      </c>
      <c r="F478" s="341" t="str">
        <f>IF(D478="","",'Historique détail'!E478/$W478)</f>
        <v/>
      </c>
      <c r="G478" s="341" t="str">
        <f>IF(E478="","",'Historique détail'!F478/$W478)</f>
        <v/>
      </c>
      <c r="H478" s="341" t="str">
        <f>IF(F478="","",'Historique détail'!G478/$W478)</f>
        <v/>
      </c>
      <c r="I478" s="341" t="str">
        <f>IF(G478="","",'Historique détail'!H478/$W478)</f>
        <v/>
      </c>
      <c r="J478" s="341" t="str">
        <f>IF(H478="","",'Historique détail'!I478/$W478)</f>
        <v/>
      </c>
      <c r="K478" s="341" t="str">
        <f>IF(I478="","",'Historique détail'!J478/$W478)</f>
        <v/>
      </c>
      <c r="L478" s="341" t="str">
        <f>IF(J478="","",'Historique détail'!K478/$W478)</f>
        <v/>
      </c>
      <c r="M478" s="341" t="str">
        <f>IF(K478="","",'Historique détail'!L478/$W478)</f>
        <v/>
      </c>
      <c r="N478" s="341" t="str">
        <f>IF(L478="","",'Historique détail'!M478/$W478)</f>
        <v/>
      </c>
      <c r="O478" s="341" t="str">
        <f>IF(M478="","",'Historique détail'!N478/$W478)</f>
        <v/>
      </c>
      <c r="P478" s="341" t="str">
        <f>IF(N478="","",'Historique détail'!O478/$W478)</f>
        <v/>
      </c>
      <c r="Q478" s="341" t="str">
        <f>IF(O478="","",'Historique détail'!P478/$W478)</f>
        <v/>
      </c>
      <c r="R478" s="341" t="str">
        <f>IF(P478="","",'Historique détail'!Q478/$W478)</f>
        <v/>
      </c>
      <c r="S478" s="341" t="str">
        <f>IF(Q478="","",'Historique détail'!R478/$W478)</f>
        <v/>
      </c>
      <c r="T478" s="341" t="str">
        <f>IF(R478="","",'Historique détail'!S478/$W478)</f>
        <v/>
      </c>
      <c r="U478" s="340" t="str">
        <f t="shared" si="2"/>
        <v/>
      </c>
      <c r="V478" s="14" t="str">
        <f>IF(A478="","",ARBITRAGES!M479)</f>
        <v/>
      </c>
      <c r="W478" s="343" t="str">
        <f>IF(V478="","",'Historique détail'!U478)</f>
        <v/>
      </c>
      <c r="X478" s="288"/>
      <c r="Y478" s="220"/>
      <c r="Z478" s="220"/>
      <c r="AA478" s="220"/>
      <c r="AB478" s="220"/>
      <c r="AC478" s="220"/>
      <c r="AD478" s="220"/>
      <c r="AE478" s="220"/>
      <c r="AF478" s="220"/>
      <c r="AG478" s="220"/>
      <c r="AH478" s="220"/>
      <c r="AI478" s="308"/>
      <c r="AJ478" s="220"/>
      <c r="AK478" s="220"/>
      <c r="AL478" s="220"/>
      <c r="AM478" s="220"/>
      <c r="AN478" s="220"/>
      <c r="AO478" s="220"/>
      <c r="AP478" s="220"/>
      <c r="AQ478" s="220"/>
      <c r="AR478" s="220"/>
      <c r="AS478" s="220"/>
      <c r="AT478" s="220"/>
      <c r="AU478" s="220"/>
      <c r="AV478" s="220"/>
      <c r="AW478" s="220"/>
      <c r="AX478" s="220"/>
      <c r="AY478" s="220"/>
      <c r="AZ478" s="220"/>
      <c r="BA478" s="220"/>
      <c r="BB478" s="220"/>
    </row>
    <row r="479">
      <c r="A479" s="240"/>
      <c r="B479" s="319"/>
      <c r="C479" s="341" t="str">
        <f>IF(A479="","",'Historique détail'!B479/$W479)</f>
        <v/>
      </c>
      <c r="D479" s="341" t="str">
        <f>IF(B479="","",'Historique détail'!C479/$W479)</f>
        <v/>
      </c>
      <c r="E479" s="341" t="str">
        <f>IF(C479="","",'Historique détail'!D479/$W479)</f>
        <v/>
      </c>
      <c r="F479" s="341" t="str">
        <f>IF(D479="","",'Historique détail'!E479/$W479)</f>
        <v/>
      </c>
      <c r="G479" s="341" t="str">
        <f>IF(E479="","",'Historique détail'!F479/$W479)</f>
        <v/>
      </c>
      <c r="H479" s="341" t="str">
        <f>IF(F479="","",'Historique détail'!G479/$W479)</f>
        <v/>
      </c>
      <c r="I479" s="341" t="str">
        <f>IF(G479="","",'Historique détail'!H479/$W479)</f>
        <v/>
      </c>
      <c r="J479" s="341" t="str">
        <f>IF(H479="","",'Historique détail'!I479/$W479)</f>
        <v/>
      </c>
      <c r="K479" s="341" t="str">
        <f>IF(I479="","",'Historique détail'!J479/$W479)</f>
        <v/>
      </c>
      <c r="L479" s="341" t="str">
        <f>IF(J479="","",'Historique détail'!K479/$W479)</f>
        <v/>
      </c>
      <c r="M479" s="341" t="str">
        <f>IF(K479="","",'Historique détail'!L479/$W479)</f>
        <v/>
      </c>
      <c r="N479" s="341" t="str">
        <f>IF(L479="","",'Historique détail'!M479/$W479)</f>
        <v/>
      </c>
      <c r="O479" s="341" t="str">
        <f>IF(M479="","",'Historique détail'!N479/$W479)</f>
        <v/>
      </c>
      <c r="P479" s="341" t="str">
        <f>IF(N479="","",'Historique détail'!O479/$W479)</f>
        <v/>
      </c>
      <c r="Q479" s="341" t="str">
        <f>IF(O479="","",'Historique détail'!P479/$W479)</f>
        <v/>
      </c>
      <c r="R479" s="341" t="str">
        <f>IF(P479="","",'Historique détail'!Q479/$W479)</f>
        <v/>
      </c>
      <c r="S479" s="341" t="str">
        <f>IF(Q479="","",'Historique détail'!R479/$W479)</f>
        <v/>
      </c>
      <c r="T479" s="341" t="str">
        <f>IF(R479="","",'Historique détail'!S479/$W479)</f>
        <v/>
      </c>
      <c r="U479" s="345"/>
      <c r="V479" s="317"/>
      <c r="W479" s="318"/>
      <c r="X479" s="288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0"/>
      <c r="AI479" s="308"/>
      <c r="AJ479" s="220"/>
      <c r="AK479" s="220"/>
      <c r="AL479" s="220"/>
      <c r="AM479" s="220"/>
      <c r="AN479" s="220"/>
      <c r="AO479" s="220"/>
      <c r="AP479" s="220"/>
      <c r="AQ479" s="220"/>
      <c r="AR479" s="220"/>
      <c r="AS479" s="220"/>
      <c r="AT479" s="220"/>
      <c r="AU479" s="220"/>
      <c r="AV479" s="220"/>
      <c r="AW479" s="220"/>
      <c r="AX479" s="220"/>
      <c r="AY479" s="220"/>
      <c r="AZ479" s="220"/>
      <c r="BA479" s="220"/>
      <c r="BB479" s="220"/>
    </row>
    <row r="480">
      <c r="A480" s="240"/>
      <c r="B480" s="319"/>
      <c r="C480" s="341" t="str">
        <f>IF(A480="","",'Historique détail'!B480/$W480)</f>
        <v/>
      </c>
      <c r="D480" s="341" t="str">
        <f>IF(B480="","",'Historique détail'!C480/$W480)</f>
        <v/>
      </c>
      <c r="E480" s="341" t="str">
        <f>IF(C480="","",'Historique détail'!D480/$W480)</f>
        <v/>
      </c>
      <c r="F480" s="341" t="str">
        <f>IF(D480="","",'Historique détail'!E480/$W480)</f>
        <v/>
      </c>
      <c r="G480" s="341" t="str">
        <f>IF(E480="","",'Historique détail'!F480/$W480)</f>
        <v/>
      </c>
      <c r="H480" s="341" t="str">
        <f>IF(F480="","",'Historique détail'!G480/$W480)</f>
        <v/>
      </c>
      <c r="I480" s="341" t="str">
        <f>IF(G480="","",'Historique détail'!H480/$W480)</f>
        <v/>
      </c>
      <c r="J480" s="341" t="str">
        <f>IF(H480="","",'Historique détail'!I480/$W480)</f>
        <v/>
      </c>
      <c r="K480" s="341" t="str">
        <f>IF(I480="","",'Historique détail'!J480/$W480)</f>
        <v/>
      </c>
      <c r="L480" s="341" t="str">
        <f>IF(J480="","",'Historique détail'!K480/$W480)</f>
        <v/>
      </c>
      <c r="M480" s="341" t="str">
        <f>IF(K480="","",'Historique détail'!L480/$W480)</f>
        <v/>
      </c>
      <c r="N480" s="341" t="str">
        <f>IF(L480="","",'Historique détail'!M480/$W480)</f>
        <v/>
      </c>
      <c r="O480" s="341" t="str">
        <f>IF(M480="","",'Historique détail'!N480/$W480)</f>
        <v/>
      </c>
      <c r="P480" s="341" t="str">
        <f>IF(N480="","",'Historique détail'!O480/$W480)</f>
        <v/>
      </c>
      <c r="Q480" s="341" t="str">
        <f>IF(O480="","",'Historique détail'!P480/$W480)</f>
        <v/>
      </c>
      <c r="R480" s="341" t="str">
        <f>IF(P480="","",'Historique détail'!Q480/$W480)</f>
        <v/>
      </c>
      <c r="S480" s="341" t="str">
        <f>IF(Q480="","",'Historique détail'!R480/$W480)</f>
        <v/>
      </c>
      <c r="T480" s="341" t="str">
        <f>IF(R480="","",'Historique détail'!S480/$W480)</f>
        <v/>
      </c>
      <c r="U480" s="345"/>
      <c r="V480" s="317"/>
      <c r="W480" s="318"/>
      <c r="X480" s="288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0"/>
      <c r="AI480" s="308"/>
      <c r="AJ480" s="220"/>
      <c r="AK480" s="220"/>
      <c r="AL480" s="220"/>
      <c r="AM480" s="220"/>
      <c r="AN480" s="220"/>
      <c r="AO480" s="220"/>
      <c r="AP480" s="220"/>
      <c r="AQ480" s="220"/>
      <c r="AR480" s="220"/>
      <c r="AS480" s="220"/>
      <c r="AT480" s="220"/>
      <c r="AU480" s="220"/>
      <c r="AV480" s="220"/>
      <c r="AW480" s="220"/>
      <c r="AX480" s="220"/>
      <c r="AY480" s="220"/>
      <c r="AZ480" s="220"/>
      <c r="BA480" s="220"/>
      <c r="BB480" s="220"/>
    </row>
    <row r="481">
      <c r="A481" s="240"/>
      <c r="B481" s="319"/>
      <c r="C481" s="341" t="str">
        <f>IF(A481="","",'Historique détail'!B481/$W481)</f>
        <v/>
      </c>
      <c r="D481" s="341" t="str">
        <f>IF(B481="","",'Historique détail'!C481/$W481)</f>
        <v/>
      </c>
      <c r="E481" s="341" t="str">
        <f>IF(C481="","",'Historique détail'!D481/$W481)</f>
        <v/>
      </c>
      <c r="F481" s="341" t="str">
        <f>IF(D481="","",'Historique détail'!E481/$W481)</f>
        <v/>
      </c>
      <c r="G481" s="341" t="str">
        <f>IF(E481="","",'Historique détail'!F481/$W481)</f>
        <v/>
      </c>
      <c r="H481" s="341" t="str">
        <f>IF(F481="","",'Historique détail'!G481/$W481)</f>
        <v/>
      </c>
      <c r="I481" s="341" t="str">
        <f>IF(G481="","",'Historique détail'!H481/$W481)</f>
        <v/>
      </c>
      <c r="J481" s="341" t="str">
        <f>IF(H481="","",'Historique détail'!I481/$W481)</f>
        <v/>
      </c>
      <c r="K481" s="341" t="str">
        <f>IF(I481="","",'Historique détail'!J481/$W481)</f>
        <v/>
      </c>
      <c r="L481" s="341" t="str">
        <f>IF(J481="","",'Historique détail'!K481/$W481)</f>
        <v/>
      </c>
      <c r="M481" s="341" t="str">
        <f>IF(K481="","",'Historique détail'!L481/$W481)</f>
        <v/>
      </c>
      <c r="N481" s="341" t="str">
        <f>IF(L481="","",'Historique détail'!M481/$W481)</f>
        <v/>
      </c>
      <c r="O481" s="341" t="str">
        <f>IF(M481="","",'Historique détail'!N481/$W481)</f>
        <v/>
      </c>
      <c r="P481" s="341" t="str">
        <f>IF(N481="","",'Historique détail'!O481/$W481)</f>
        <v/>
      </c>
      <c r="Q481" s="341" t="str">
        <f>IF(O481="","",'Historique détail'!P481/$W481)</f>
        <v/>
      </c>
      <c r="R481" s="341" t="str">
        <f>IF(P481="","",'Historique détail'!Q481/$W481)</f>
        <v/>
      </c>
      <c r="S481" s="341" t="str">
        <f>IF(Q481="","",'Historique détail'!R481/$W481)</f>
        <v/>
      </c>
      <c r="T481" s="341" t="str">
        <f>IF(R481="","",'Historique détail'!S481/$W481)</f>
        <v/>
      </c>
      <c r="U481" s="345"/>
      <c r="V481" s="317"/>
      <c r="W481" s="318"/>
      <c r="X481" s="288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0"/>
      <c r="AI481" s="308"/>
      <c r="AJ481" s="220"/>
      <c r="AK481" s="220"/>
      <c r="AL481" s="220"/>
      <c r="AM481" s="220"/>
      <c r="AN481" s="220"/>
      <c r="AO481" s="220"/>
      <c r="AP481" s="220"/>
      <c r="AQ481" s="220"/>
      <c r="AR481" s="220"/>
      <c r="AS481" s="220"/>
      <c r="AT481" s="220"/>
      <c r="AU481" s="220"/>
      <c r="AV481" s="220"/>
      <c r="AW481" s="220"/>
      <c r="AX481" s="220"/>
      <c r="AY481" s="220"/>
      <c r="AZ481" s="220"/>
      <c r="BA481" s="220"/>
      <c r="BB481" s="220"/>
    </row>
    <row r="482">
      <c r="A482" s="240"/>
      <c r="B482" s="319"/>
      <c r="C482" s="341" t="str">
        <f>IF(A482="","",'Historique détail'!B482/$W482)</f>
        <v/>
      </c>
      <c r="D482" s="341" t="str">
        <f>IF(B482="","",'Historique détail'!C482/$W482)</f>
        <v/>
      </c>
      <c r="E482" s="341" t="str">
        <f>IF(C482="","",'Historique détail'!D482/$W482)</f>
        <v/>
      </c>
      <c r="F482" s="341" t="str">
        <f>IF(D482="","",'Historique détail'!E482/$W482)</f>
        <v/>
      </c>
      <c r="G482" s="341" t="str">
        <f>IF(E482="","",'Historique détail'!F482/$W482)</f>
        <v/>
      </c>
      <c r="H482" s="341" t="str">
        <f>IF(F482="","",'Historique détail'!G482/$W482)</f>
        <v/>
      </c>
      <c r="I482" s="341" t="str">
        <f>IF(G482="","",'Historique détail'!H482/$W482)</f>
        <v/>
      </c>
      <c r="J482" s="341" t="str">
        <f>IF(H482="","",'Historique détail'!I482/$W482)</f>
        <v/>
      </c>
      <c r="K482" s="341" t="str">
        <f>IF(I482="","",'Historique détail'!J482/$W482)</f>
        <v/>
      </c>
      <c r="L482" s="341" t="str">
        <f>IF(J482="","",'Historique détail'!K482/$W482)</f>
        <v/>
      </c>
      <c r="M482" s="341" t="str">
        <f>IF(K482="","",'Historique détail'!L482/$W482)</f>
        <v/>
      </c>
      <c r="N482" s="341" t="str">
        <f>IF(L482="","",'Historique détail'!M482/$W482)</f>
        <v/>
      </c>
      <c r="O482" s="341" t="str">
        <f>IF(M482="","",'Historique détail'!N482/$W482)</f>
        <v/>
      </c>
      <c r="P482" s="341" t="str">
        <f>IF(N482="","",'Historique détail'!O482/$W482)</f>
        <v/>
      </c>
      <c r="Q482" s="341" t="str">
        <f>IF(O482="","",'Historique détail'!P482/$W482)</f>
        <v/>
      </c>
      <c r="R482" s="341" t="str">
        <f>IF(P482="","",'Historique détail'!Q482/$W482)</f>
        <v/>
      </c>
      <c r="S482" s="341" t="str">
        <f>IF(Q482="","",'Historique détail'!R482/$W482)</f>
        <v/>
      </c>
      <c r="T482" s="341" t="str">
        <f>IF(R482="","",'Historique détail'!S482/$W482)</f>
        <v/>
      </c>
      <c r="U482" s="345"/>
      <c r="V482" s="317"/>
      <c r="W482" s="318"/>
      <c r="X482" s="288"/>
      <c r="Y482" s="220"/>
      <c r="Z482" s="220"/>
      <c r="AA482" s="220"/>
      <c r="AB482" s="220"/>
      <c r="AC482" s="220"/>
      <c r="AD482" s="220"/>
      <c r="AE482" s="220"/>
      <c r="AF482" s="220"/>
      <c r="AG482" s="220"/>
      <c r="AH482" s="220"/>
      <c r="AI482" s="308"/>
      <c r="AJ482" s="220"/>
      <c r="AK482" s="220"/>
      <c r="AL482" s="220"/>
      <c r="AM482" s="220"/>
      <c r="AN482" s="220"/>
      <c r="AO482" s="220"/>
      <c r="AP482" s="220"/>
      <c r="AQ482" s="220"/>
      <c r="AR482" s="220"/>
      <c r="AS482" s="220"/>
      <c r="AT482" s="220"/>
      <c r="AU482" s="220"/>
      <c r="AV482" s="220"/>
      <c r="AW482" s="220"/>
      <c r="AX482" s="220"/>
      <c r="AY482" s="220"/>
      <c r="AZ482" s="220"/>
      <c r="BA482" s="220"/>
      <c r="BB482" s="220"/>
    </row>
    <row r="483">
      <c r="A483" s="240"/>
      <c r="B483" s="319"/>
      <c r="C483" s="341" t="str">
        <f>IF(A483="","",'Historique détail'!B483/$W483)</f>
        <v/>
      </c>
      <c r="D483" s="341" t="str">
        <f>IF(B483="","",'Historique détail'!C483/$W483)</f>
        <v/>
      </c>
      <c r="E483" s="341" t="str">
        <f>IF(C483="","",'Historique détail'!D483/$W483)</f>
        <v/>
      </c>
      <c r="F483" s="341" t="str">
        <f>IF(D483="","",'Historique détail'!E483/$W483)</f>
        <v/>
      </c>
      <c r="G483" s="341" t="str">
        <f>IF(E483="","",'Historique détail'!F483/$W483)</f>
        <v/>
      </c>
      <c r="H483" s="341" t="str">
        <f>IF(F483="","",'Historique détail'!G483/$W483)</f>
        <v/>
      </c>
      <c r="I483" s="341" t="str">
        <f>IF(G483="","",'Historique détail'!H483/$W483)</f>
        <v/>
      </c>
      <c r="J483" s="341" t="str">
        <f>IF(H483="","",'Historique détail'!I483/$W483)</f>
        <v/>
      </c>
      <c r="K483" s="341" t="str">
        <f>IF(I483="","",'Historique détail'!J483/$W483)</f>
        <v/>
      </c>
      <c r="L483" s="341" t="str">
        <f>IF(J483="","",'Historique détail'!K483/$W483)</f>
        <v/>
      </c>
      <c r="M483" s="341" t="str">
        <f>IF(K483="","",'Historique détail'!L483/$W483)</f>
        <v/>
      </c>
      <c r="N483" s="341" t="str">
        <f>IF(L483="","",'Historique détail'!M483/$W483)</f>
        <v/>
      </c>
      <c r="O483" s="341" t="str">
        <f>IF(M483="","",'Historique détail'!N483/$W483)</f>
        <v/>
      </c>
      <c r="P483" s="341" t="str">
        <f>IF(N483="","",'Historique détail'!O483/$W483)</f>
        <v/>
      </c>
      <c r="Q483" s="341" t="str">
        <f>IF(O483="","",'Historique détail'!P483/$W483)</f>
        <v/>
      </c>
      <c r="R483" s="341" t="str">
        <f>IF(P483="","",'Historique détail'!Q483/$W483)</f>
        <v/>
      </c>
      <c r="S483" s="341" t="str">
        <f>IF(Q483="","",'Historique détail'!R483/$W483)</f>
        <v/>
      </c>
      <c r="T483" s="341" t="str">
        <f>IF(R483="","",'Historique détail'!S483/$W483)</f>
        <v/>
      </c>
      <c r="U483" s="345"/>
      <c r="V483" s="317"/>
      <c r="W483" s="318"/>
      <c r="X483" s="288"/>
      <c r="Y483" s="220"/>
      <c r="Z483" s="220"/>
      <c r="AA483" s="220"/>
      <c r="AB483" s="220"/>
      <c r="AC483" s="220"/>
      <c r="AD483" s="220"/>
      <c r="AE483" s="220"/>
      <c r="AF483" s="220"/>
      <c r="AG483" s="220"/>
      <c r="AH483" s="220"/>
      <c r="AI483" s="308"/>
      <c r="AJ483" s="220"/>
      <c r="AK483" s="220"/>
      <c r="AL483" s="220"/>
      <c r="AM483" s="220"/>
      <c r="AN483" s="220"/>
      <c r="AO483" s="220"/>
      <c r="AP483" s="220"/>
      <c r="AQ483" s="220"/>
      <c r="AR483" s="220"/>
      <c r="AS483" s="220"/>
      <c r="AT483" s="220"/>
      <c r="AU483" s="220"/>
      <c r="AV483" s="220"/>
      <c r="AW483" s="220"/>
      <c r="AX483" s="220"/>
      <c r="AY483" s="220"/>
      <c r="AZ483" s="220"/>
      <c r="BA483" s="220"/>
      <c r="BB483" s="220"/>
    </row>
    <row r="484">
      <c r="A484" s="240"/>
      <c r="B484" s="319"/>
      <c r="C484" s="341" t="str">
        <f>IF(A484="","",'Historique détail'!B484/$W484)</f>
        <v/>
      </c>
      <c r="D484" s="341" t="str">
        <f>IF(B484="","",'Historique détail'!C484/$W484)</f>
        <v/>
      </c>
      <c r="E484" s="341" t="str">
        <f>IF(C484="","",'Historique détail'!D484/$W484)</f>
        <v/>
      </c>
      <c r="F484" s="341" t="str">
        <f>IF(D484="","",'Historique détail'!E484/$W484)</f>
        <v/>
      </c>
      <c r="G484" s="341" t="str">
        <f>IF(E484="","",'Historique détail'!F484/$W484)</f>
        <v/>
      </c>
      <c r="H484" s="341" t="str">
        <f>IF(F484="","",'Historique détail'!G484/$W484)</f>
        <v/>
      </c>
      <c r="I484" s="341" t="str">
        <f>IF(G484="","",'Historique détail'!H484/$W484)</f>
        <v/>
      </c>
      <c r="J484" s="341" t="str">
        <f>IF(H484="","",'Historique détail'!I484/$W484)</f>
        <v/>
      </c>
      <c r="K484" s="341" t="str">
        <f>IF(I484="","",'Historique détail'!J484/$W484)</f>
        <v/>
      </c>
      <c r="L484" s="341" t="str">
        <f>IF(J484="","",'Historique détail'!K484/$W484)</f>
        <v/>
      </c>
      <c r="M484" s="341" t="str">
        <f>IF(K484="","",'Historique détail'!L484/$W484)</f>
        <v/>
      </c>
      <c r="N484" s="341" t="str">
        <f>IF(L484="","",'Historique détail'!M484/$W484)</f>
        <v/>
      </c>
      <c r="O484" s="341" t="str">
        <f>IF(M484="","",'Historique détail'!N484/$W484)</f>
        <v/>
      </c>
      <c r="P484" s="341" t="str">
        <f>IF(N484="","",'Historique détail'!O484/$W484)</f>
        <v/>
      </c>
      <c r="Q484" s="341" t="str">
        <f>IF(O484="","",'Historique détail'!P484/$W484)</f>
        <v/>
      </c>
      <c r="R484" s="341" t="str">
        <f>IF(P484="","",'Historique détail'!Q484/$W484)</f>
        <v/>
      </c>
      <c r="S484" s="341" t="str">
        <f>IF(Q484="","",'Historique détail'!R484/$W484)</f>
        <v/>
      </c>
      <c r="T484" s="341" t="str">
        <f>IF(R484="","",'Historique détail'!S484/$W484)</f>
        <v/>
      </c>
      <c r="U484" s="345"/>
      <c r="V484" s="317"/>
      <c r="W484" s="318"/>
      <c r="X484" s="288"/>
      <c r="Y484" s="220"/>
      <c r="Z484" s="220"/>
      <c r="AA484" s="220"/>
      <c r="AB484" s="220"/>
      <c r="AC484" s="220"/>
      <c r="AD484" s="220"/>
      <c r="AE484" s="220"/>
      <c r="AF484" s="220"/>
      <c r="AG484" s="220"/>
      <c r="AH484" s="220"/>
      <c r="AI484" s="308"/>
      <c r="AJ484" s="220"/>
      <c r="AK484" s="220"/>
      <c r="AL484" s="220"/>
      <c r="AM484" s="220"/>
      <c r="AN484" s="220"/>
      <c r="AO484" s="220"/>
      <c r="AP484" s="220"/>
      <c r="AQ484" s="220"/>
      <c r="AR484" s="220"/>
      <c r="AS484" s="220"/>
      <c r="AT484" s="220"/>
      <c r="AU484" s="220"/>
      <c r="AV484" s="220"/>
      <c r="AW484" s="220"/>
      <c r="AX484" s="220"/>
      <c r="AY484" s="220"/>
      <c r="AZ484" s="220"/>
      <c r="BA484" s="220"/>
      <c r="BB484" s="220"/>
    </row>
    <row r="485">
      <c r="A485" s="240"/>
      <c r="B485" s="319"/>
      <c r="C485" s="341" t="str">
        <f>IF(A485="","",'Historique détail'!B485/$W485)</f>
        <v/>
      </c>
      <c r="D485" s="341" t="str">
        <f>IF(B485="","",'Historique détail'!C485/$W485)</f>
        <v/>
      </c>
      <c r="E485" s="341" t="str">
        <f>IF(C485="","",'Historique détail'!D485/$W485)</f>
        <v/>
      </c>
      <c r="F485" s="341" t="str">
        <f>IF(D485="","",'Historique détail'!E485/$W485)</f>
        <v/>
      </c>
      <c r="G485" s="341" t="str">
        <f>IF(E485="","",'Historique détail'!F485/$W485)</f>
        <v/>
      </c>
      <c r="H485" s="341" t="str">
        <f>IF(F485="","",'Historique détail'!G485/$W485)</f>
        <v/>
      </c>
      <c r="I485" s="341" t="str">
        <f>IF(G485="","",'Historique détail'!H485/$W485)</f>
        <v/>
      </c>
      <c r="J485" s="341" t="str">
        <f>IF(H485="","",'Historique détail'!I485/$W485)</f>
        <v/>
      </c>
      <c r="K485" s="341" t="str">
        <f>IF(I485="","",'Historique détail'!J485/$W485)</f>
        <v/>
      </c>
      <c r="L485" s="341" t="str">
        <f>IF(J485="","",'Historique détail'!K485/$W485)</f>
        <v/>
      </c>
      <c r="M485" s="341" t="str">
        <f>IF(K485="","",'Historique détail'!L485/$W485)</f>
        <v/>
      </c>
      <c r="N485" s="341" t="str">
        <f>IF(L485="","",'Historique détail'!M485/$W485)</f>
        <v/>
      </c>
      <c r="O485" s="341" t="str">
        <f>IF(M485="","",'Historique détail'!N485/$W485)</f>
        <v/>
      </c>
      <c r="P485" s="341" t="str">
        <f>IF(N485="","",'Historique détail'!O485/$W485)</f>
        <v/>
      </c>
      <c r="Q485" s="341" t="str">
        <f>IF(O485="","",'Historique détail'!P485/$W485)</f>
        <v/>
      </c>
      <c r="R485" s="341" t="str">
        <f>IF(P485="","",'Historique détail'!Q485/$W485)</f>
        <v/>
      </c>
      <c r="S485" s="341" t="str">
        <f>IF(Q485="","",'Historique détail'!R485/$W485)</f>
        <v/>
      </c>
      <c r="T485" s="341" t="str">
        <f>IF(R485="","",'Historique détail'!S485/$W485)</f>
        <v/>
      </c>
      <c r="U485" s="345"/>
      <c r="V485" s="317"/>
      <c r="W485" s="318"/>
      <c r="X485" s="288"/>
      <c r="Y485" s="220"/>
      <c r="Z485" s="220"/>
      <c r="AA485" s="220"/>
      <c r="AB485" s="220"/>
      <c r="AC485" s="220"/>
      <c r="AD485" s="220"/>
      <c r="AE485" s="220"/>
      <c r="AF485" s="220"/>
      <c r="AG485" s="220"/>
      <c r="AH485" s="220"/>
      <c r="AI485" s="308"/>
      <c r="AJ485" s="220"/>
      <c r="AK485" s="220"/>
      <c r="AL485" s="220"/>
      <c r="AM485" s="220"/>
      <c r="AN485" s="220"/>
      <c r="AO485" s="220"/>
      <c r="AP485" s="220"/>
      <c r="AQ485" s="220"/>
      <c r="AR485" s="220"/>
      <c r="AS485" s="220"/>
      <c r="AT485" s="220"/>
      <c r="AU485" s="220"/>
      <c r="AV485" s="220"/>
      <c r="AW485" s="220"/>
      <c r="AX485" s="220"/>
      <c r="AY485" s="220"/>
      <c r="AZ485" s="220"/>
      <c r="BA485" s="220"/>
      <c r="BB485" s="220"/>
    </row>
    <row r="486">
      <c r="A486" s="240"/>
      <c r="B486" s="319"/>
      <c r="C486" s="341" t="str">
        <f>IF(A486="","",'Historique détail'!B486/$W486)</f>
        <v/>
      </c>
      <c r="D486" s="341" t="str">
        <f>IF(B486="","",'Historique détail'!C486/$W486)</f>
        <v/>
      </c>
      <c r="E486" s="341" t="str">
        <f>IF(C486="","",'Historique détail'!D486/$W486)</f>
        <v/>
      </c>
      <c r="F486" s="341" t="str">
        <f>IF(D486="","",'Historique détail'!E486/$W486)</f>
        <v/>
      </c>
      <c r="G486" s="341" t="str">
        <f>IF(E486="","",'Historique détail'!F486/$W486)</f>
        <v/>
      </c>
      <c r="H486" s="341" t="str">
        <f>IF(F486="","",'Historique détail'!G486/$W486)</f>
        <v/>
      </c>
      <c r="I486" s="341" t="str">
        <f>IF(G486="","",'Historique détail'!H486/$W486)</f>
        <v/>
      </c>
      <c r="J486" s="341" t="str">
        <f>IF(H486="","",'Historique détail'!I486/$W486)</f>
        <v/>
      </c>
      <c r="K486" s="341" t="str">
        <f>IF(I486="","",'Historique détail'!J486/$W486)</f>
        <v/>
      </c>
      <c r="L486" s="341" t="str">
        <f>IF(J486="","",'Historique détail'!K486/$W486)</f>
        <v/>
      </c>
      <c r="M486" s="341" t="str">
        <f>IF(K486="","",'Historique détail'!L486/$W486)</f>
        <v/>
      </c>
      <c r="N486" s="341" t="str">
        <f>IF(L486="","",'Historique détail'!M486/$W486)</f>
        <v/>
      </c>
      <c r="O486" s="341" t="str">
        <f>IF(M486="","",'Historique détail'!N486/$W486)</f>
        <v/>
      </c>
      <c r="P486" s="341" t="str">
        <f>IF(N486="","",'Historique détail'!O486/$W486)</f>
        <v/>
      </c>
      <c r="Q486" s="341" t="str">
        <f>IF(O486="","",'Historique détail'!P486/$W486)</f>
        <v/>
      </c>
      <c r="R486" s="341" t="str">
        <f>IF(P486="","",'Historique détail'!Q486/$W486)</f>
        <v/>
      </c>
      <c r="S486" s="341" t="str">
        <f>IF(Q486="","",'Historique détail'!R486/$W486)</f>
        <v/>
      </c>
      <c r="T486" s="341" t="str">
        <f>IF(R486="","",'Historique détail'!S486/$W486)</f>
        <v/>
      </c>
      <c r="U486" s="345"/>
      <c r="V486" s="317"/>
      <c r="W486" s="318"/>
      <c r="X486" s="288"/>
      <c r="Y486" s="220"/>
      <c r="Z486" s="220"/>
      <c r="AA486" s="220"/>
      <c r="AB486" s="220"/>
      <c r="AC486" s="220"/>
      <c r="AD486" s="220"/>
      <c r="AE486" s="220"/>
      <c r="AF486" s="220"/>
      <c r="AG486" s="220"/>
      <c r="AH486" s="220"/>
      <c r="AI486" s="308"/>
      <c r="AJ486" s="220"/>
      <c r="AK486" s="220"/>
      <c r="AL486" s="220"/>
      <c r="AM486" s="220"/>
      <c r="AN486" s="220"/>
      <c r="AO486" s="220"/>
      <c r="AP486" s="220"/>
      <c r="AQ486" s="220"/>
      <c r="AR486" s="220"/>
      <c r="AS486" s="220"/>
      <c r="AT486" s="220"/>
      <c r="AU486" s="220"/>
      <c r="AV486" s="220"/>
      <c r="AW486" s="220"/>
      <c r="AX486" s="220"/>
      <c r="AY486" s="220"/>
      <c r="AZ486" s="220"/>
      <c r="BA486" s="220"/>
      <c r="BB486" s="220"/>
    </row>
    <row r="487">
      <c r="A487" s="240"/>
      <c r="B487" s="319"/>
      <c r="C487" s="341" t="str">
        <f>IF(A487="","",'Historique détail'!B487/$W487)</f>
        <v/>
      </c>
      <c r="D487" s="341" t="str">
        <f>IF(B487="","",'Historique détail'!C487/$W487)</f>
        <v/>
      </c>
      <c r="E487" s="341" t="str">
        <f>IF(C487="","",'Historique détail'!D487/$W487)</f>
        <v/>
      </c>
      <c r="F487" s="341" t="str">
        <f>IF(D487="","",'Historique détail'!E487/$W487)</f>
        <v/>
      </c>
      <c r="G487" s="341" t="str">
        <f>IF(E487="","",'Historique détail'!F487/$W487)</f>
        <v/>
      </c>
      <c r="H487" s="341" t="str">
        <f>IF(F487="","",'Historique détail'!G487/$W487)</f>
        <v/>
      </c>
      <c r="I487" s="341" t="str">
        <f>IF(G487="","",'Historique détail'!H487/$W487)</f>
        <v/>
      </c>
      <c r="J487" s="341" t="str">
        <f>IF(H487="","",'Historique détail'!I487/$W487)</f>
        <v/>
      </c>
      <c r="K487" s="341" t="str">
        <f>IF(I487="","",'Historique détail'!J487/$W487)</f>
        <v/>
      </c>
      <c r="L487" s="341" t="str">
        <f>IF(J487="","",'Historique détail'!K487/$W487)</f>
        <v/>
      </c>
      <c r="M487" s="341" t="str">
        <f>IF(K487="","",'Historique détail'!L487/$W487)</f>
        <v/>
      </c>
      <c r="N487" s="341" t="str">
        <f>IF(L487="","",'Historique détail'!M487/$W487)</f>
        <v/>
      </c>
      <c r="O487" s="341" t="str">
        <f>IF(M487="","",'Historique détail'!N487/$W487)</f>
        <v/>
      </c>
      <c r="P487" s="341" t="str">
        <f>IF(N487="","",'Historique détail'!O487/$W487)</f>
        <v/>
      </c>
      <c r="Q487" s="341" t="str">
        <f>IF(O487="","",'Historique détail'!P487/$W487)</f>
        <v/>
      </c>
      <c r="R487" s="341" t="str">
        <f>IF(P487="","",'Historique détail'!Q487/$W487)</f>
        <v/>
      </c>
      <c r="S487" s="341" t="str">
        <f>IF(Q487="","",'Historique détail'!R487/$W487)</f>
        <v/>
      </c>
      <c r="T487" s="341" t="str">
        <f>IF(R487="","",'Historique détail'!S487/$W487)</f>
        <v/>
      </c>
      <c r="U487" s="345"/>
      <c r="V487" s="317"/>
      <c r="W487" s="318"/>
      <c r="X487" s="288"/>
      <c r="Y487" s="220"/>
      <c r="Z487" s="220"/>
      <c r="AA487" s="220"/>
      <c r="AB487" s="220"/>
      <c r="AC487" s="220"/>
      <c r="AD487" s="220"/>
      <c r="AE487" s="220"/>
      <c r="AF487" s="220"/>
      <c r="AG487" s="220"/>
      <c r="AH487" s="220"/>
      <c r="AI487" s="308"/>
      <c r="AJ487" s="220"/>
      <c r="AK487" s="220"/>
      <c r="AL487" s="220"/>
      <c r="AM487" s="220"/>
      <c r="AN487" s="220"/>
      <c r="AO487" s="220"/>
      <c r="AP487" s="220"/>
      <c r="AQ487" s="220"/>
      <c r="AR487" s="220"/>
      <c r="AS487" s="220"/>
      <c r="AT487" s="220"/>
      <c r="AU487" s="220"/>
      <c r="AV487" s="220"/>
      <c r="AW487" s="220"/>
      <c r="AX487" s="220"/>
      <c r="AY487" s="220"/>
      <c r="AZ487" s="220"/>
      <c r="BA487" s="220"/>
      <c r="BB487" s="220"/>
    </row>
    <row r="488">
      <c r="A488" s="240"/>
      <c r="B488" s="319"/>
      <c r="C488" s="341" t="str">
        <f>IF(A488="","",'Historique détail'!B488/$W488)</f>
        <v/>
      </c>
      <c r="D488" s="341" t="str">
        <f>IF(B488="","",'Historique détail'!C488/$W488)</f>
        <v/>
      </c>
      <c r="E488" s="341" t="str">
        <f>IF(C488="","",'Historique détail'!D488/$W488)</f>
        <v/>
      </c>
      <c r="F488" s="341" t="str">
        <f>IF(D488="","",'Historique détail'!E488/$W488)</f>
        <v/>
      </c>
      <c r="G488" s="341" t="str">
        <f>IF(E488="","",'Historique détail'!F488/$W488)</f>
        <v/>
      </c>
      <c r="H488" s="341" t="str">
        <f>IF(F488="","",'Historique détail'!G488/$W488)</f>
        <v/>
      </c>
      <c r="I488" s="341" t="str">
        <f>IF(G488="","",'Historique détail'!H488/$W488)</f>
        <v/>
      </c>
      <c r="J488" s="341" t="str">
        <f>IF(H488="","",'Historique détail'!I488/$W488)</f>
        <v/>
      </c>
      <c r="K488" s="341" t="str">
        <f>IF(I488="","",'Historique détail'!J488/$W488)</f>
        <v/>
      </c>
      <c r="L488" s="341" t="str">
        <f>IF(J488="","",'Historique détail'!K488/$W488)</f>
        <v/>
      </c>
      <c r="M488" s="341" t="str">
        <f>IF(K488="","",'Historique détail'!L488/$W488)</f>
        <v/>
      </c>
      <c r="N488" s="341" t="str">
        <f>IF(L488="","",'Historique détail'!M488/$W488)</f>
        <v/>
      </c>
      <c r="O488" s="341" t="str">
        <f>IF(M488="","",'Historique détail'!N488/$W488)</f>
        <v/>
      </c>
      <c r="P488" s="341" t="str">
        <f>IF(N488="","",'Historique détail'!O488/$W488)</f>
        <v/>
      </c>
      <c r="Q488" s="341" t="str">
        <f>IF(O488="","",'Historique détail'!P488/$W488)</f>
        <v/>
      </c>
      <c r="R488" s="341" t="str">
        <f>IF(P488="","",'Historique détail'!Q488/$W488)</f>
        <v/>
      </c>
      <c r="S488" s="341" t="str">
        <f>IF(Q488="","",'Historique détail'!R488/$W488)</f>
        <v/>
      </c>
      <c r="T488" s="341" t="str">
        <f>IF(R488="","",'Historique détail'!S488/$W488)</f>
        <v/>
      </c>
      <c r="U488" s="345"/>
      <c r="V488" s="317"/>
      <c r="W488" s="318"/>
      <c r="X488" s="288"/>
      <c r="Y488" s="220"/>
      <c r="Z488" s="220"/>
      <c r="AA488" s="220"/>
      <c r="AB488" s="220"/>
      <c r="AC488" s="220"/>
      <c r="AD488" s="220"/>
      <c r="AE488" s="220"/>
      <c r="AF488" s="220"/>
      <c r="AG488" s="220"/>
      <c r="AH488" s="220"/>
      <c r="AI488" s="308"/>
      <c r="AJ488" s="220"/>
      <c r="AK488" s="220"/>
      <c r="AL488" s="220"/>
      <c r="AM488" s="220"/>
      <c r="AN488" s="220"/>
      <c r="AO488" s="220"/>
      <c r="AP488" s="220"/>
      <c r="AQ488" s="220"/>
      <c r="AR488" s="220"/>
      <c r="AS488" s="220"/>
      <c r="AT488" s="220"/>
      <c r="AU488" s="220"/>
      <c r="AV488" s="220"/>
      <c r="AW488" s="220"/>
      <c r="AX488" s="220"/>
      <c r="AY488" s="220"/>
      <c r="AZ488" s="220"/>
      <c r="BA488" s="220"/>
      <c r="BB488" s="220"/>
    </row>
    <row r="489">
      <c r="A489" s="240"/>
      <c r="B489" s="319"/>
      <c r="C489" s="341" t="str">
        <f>IF(A489="","",'Historique détail'!B489/$W489)</f>
        <v/>
      </c>
      <c r="D489" s="341" t="str">
        <f>IF(B489="","",'Historique détail'!C489/$W489)</f>
        <v/>
      </c>
      <c r="E489" s="341" t="str">
        <f>IF(C489="","",'Historique détail'!D489/$W489)</f>
        <v/>
      </c>
      <c r="F489" s="341" t="str">
        <f>IF(D489="","",'Historique détail'!E489/$W489)</f>
        <v/>
      </c>
      <c r="G489" s="341" t="str">
        <f>IF(E489="","",'Historique détail'!F489/$W489)</f>
        <v/>
      </c>
      <c r="H489" s="341" t="str">
        <f>IF(F489="","",'Historique détail'!G489/$W489)</f>
        <v/>
      </c>
      <c r="I489" s="341" t="str">
        <f>IF(G489="","",'Historique détail'!H489/$W489)</f>
        <v/>
      </c>
      <c r="J489" s="341" t="str">
        <f>IF(H489="","",'Historique détail'!I489/$W489)</f>
        <v/>
      </c>
      <c r="K489" s="341" t="str">
        <f>IF(I489="","",'Historique détail'!J489/$W489)</f>
        <v/>
      </c>
      <c r="L489" s="341" t="str">
        <f>IF(J489="","",'Historique détail'!K489/$W489)</f>
        <v/>
      </c>
      <c r="M489" s="341" t="str">
        <f>IF(K489="","",'Historique détail'!L489/$W489)</f>
        <v/>
      </c>
      <c r="N489" s="341" t="str">
        <f>IF(L489="","",'Historique détail'!M489/$W489)</f>
        <v/>
      </c>
      <c r="O489" s="341" t="str">
        <f>IF(M489="","",'Historique détail'!N489/$W489)</f>
        <v/>
      </c>
      <c r="P489" s="341" t="str">
        <f>IF(N489="","",'Historique détail'!O489/$W489)</f>
        <v/>
      </c>
      <c r="Q489" s="341" t="str">
        <f>IF(O489="","",'Historique détail'!P489/$W489)</f>
        <v/>
      </c>
      <c r="R489" s="341" t="str">
        <f>IF(P489="","",'Historique détail'!Q489/$W489)</f>
        <v/>
      </c>
      <c r="S489" s="341" t="str">
        <f>IF(Q489="","",'Historique détail'!R489/$W489)</f>
        <v/>
      </c>
      <c r="T489" s="341" t="str">
        <f>IF(R489="","",'Historique détail'!S489/$W489)</f>
        <v/>
      </c>
      <c r="U489" s="345"/>
      <c r="V489" s="317"/>
      <c r="W489" s="318"/>
      <c r="X489" s="288"/>
      <c r="Y489" s="220"/>
      <c r="Z489" s="220"/>
      <c r="AA489" s="220"/>
      <c r="AB489" s="220"/>
      <c r="AC489" s="220"/>
      <c r="AD489" s="220"/>
      <c r="AE489" s="220"/>
      <c r="AF489" s="220"/>
      <c r="AG489" s="220"/>
      <c r="AH489" s="220"/>
      <c r="AI489" s="308"/>
      <c r="AJ489" s="220"/>
      <c r="AK489" s="220"/>
      <c r="AL489" s="220"/>
      <c r="AM489" s="220"/>
      <c r="AN489" s="220"/>
      <c r="AO489" s="220"/>
      <c r="AP489" s="220"/>
      <c r="AQ489" s="220"/>
      <c r="AR489" s="220"/>
      <c r="AS489" s="220"/>
      <c r="AT489" s="220"/>
      <c r="AU489" s="220"/>
      <c r="AV489" s="220"/>
      <c r="AW489" s="220"/>
      <c r="AX489" s="220"/>
      <c r="AY489" s="220"/>
      <c r="AZ489" s="220"/>
      <c r="BA489" s="220"/>
      <c r="BB489" s="220"/>
    </row>
    <row r="490">
      <c r="A490" s="240"/>
      <c r="B490" s="319"/>
      <c r="C490" s="341" t="str">
        <f>IF(A490="","",'Historique détail'!B490/$W490)</f>
        <v/>
      </c>
      <c r="D490" s="341" t="str">
        <f>IF(B490="","",'Historique détail'!C490/$W490)</f>
        <v/>
      </c>
      <c r="E490" s="341" t="str">
        <f>IF(C490="","",'Historique détail'!D490/$W490)</f>
        <v/>
      </c>
      <c r="F490" s="341" t="str">
        <f>IF(D490="","",'Historique détail'!E490/$W490)</f>
        <v/>
      </c>
      <c r="G490" s="341" t="str">
        <f>IF(E490="","",'Historique détail'!F490/$W490)</f>
        <v/>
      </c>
      <c r="H490" s="341" t="str">
        <f>IF(F490="","",'Historique détail'!G490/$W490)</f>
        <v/>
      </c>
      <c r="I490" s="341" t="str">
        <f>IF(G490="","",'Historique détail'!H490/$W490)</f>
        <v/>
      </c>
      <c r="J490" s="341" t="str">
        <f>IF(H490="","",'Historique détail'!I490/$W490)</f>
        <v/>
      </c>
      <c r="K490" s="341" t="str">
        <f>IF(I490="","",'Historique détail'!J490/$W490)</f>
        <v/>
      </c>
      <c r="L490" s="341" t="str">
        <f>IF(J490="","",'Historique détail'!K490/$W490)</f>
        <v/>
      </c>
      <c r="M490" s="341" t="str">
        <f>IF(K490="","",'Historique détail'!L490/$W490)</f>
        <v/>
      </c>
      <c r="N490" s="341" t="str">
        <f>IF(L490="","",'Historique détail'!M490/$W490)</f>
        <v/>
      </c>
      <c r="O490" s="341" t="str">
        <f>IF(M490="","",'Historique détail'!N490/$W490)</f>
        <v/>
      </c>
      <c r="P490" s="341" t="str">
        <f>IF(N490="","",'Historique détail'!O490/$W490)</f>
        <v/>
      </c>
      <c r="Q490" s="341" t="str">
        <f>IF(O490="","",'Historique détail'!P490/$W490)</f>
        <v/>
      </c>
      <c r="R490" s="341" t="str">
        <f>IF(P490="","",'Historique détail'!Q490/$W490)</f>
        <v/>
      </c>
      <c r="S490" s="341" t="str">
        <f>IF(Q490="","",'Historique détail'!R490/$W490)</f>
        <v/>
      </c>
      <c r="T490" s="341" t="str">
        <f>IF(R490="","",'Historique détail'!S490/$W490)</f>
        <v/>
      </c>
      <c r="U490" s="345"/>
      <c r="V490" s="317"/>
      <c r="W490" s="318"/>
      <c r="X490" s="288"/>
      <c r="Y490" s="220"/>
      <c r="Z490" s="220"/>
      <c r="AA490" s="220"/>
      <c r="AB490" s="220"/>
      <c r="AC490" s="220"/>
      <c r="AD490" s="220"/>
      <c r="AE490" s="220"/>
      <c r="AF490" s="220"/>
      <c r="AG490" s="220"/>
      <c r="AH490" s="220"/>
      <c r="AI490" s="308"/>
      <c r="AJ490" s="220"/>
      <c r="AK490" s="220"/>
      <c r="AL490" s="220"/>
      <c r="AM490" s="220"/>
      <c r="AN490" s="220"/>
      <c r="AO490" s="220"/>
      <c r="AP490" s="220"/>
      <c r="AQ490" s="220"/>
      <c r="AR490" s="220"/>
      <c r="AS490" s="220"/>
      <c r="AT490" s="220"/>
      <c r="AU490" s="220"/>
      <c r="AV490" s="220"/>
      <c r="AW490" s="220"/>
      <c r="AX490" s="220"/>
      <c r="AY490" s="220"/>
      <c r="AZ490" s="220"/>
      <c r="BA490" s="220"/>
      <c r="BB490" s="220"/>
    </row>
    <row r="491">
      <c r="A491" s="240"/>
      <c r="B491" s="319"/>
      <c r="C491" s="341" t="str">
        <f>IF(A491="","",'Historique détail'!B491/$W491)</f>
        <v/>
      </c>
      <c r="D491" s="341" t="str">
        <f>IF(B491="","",'Historique détail'!C491/$W491)</f>
        <v/>
      </c>
      <c r="E491" s="341" t="str">
        <f>IF(C491="","",'Historique détail'!D491/$W491)</f>
        <v/>
      </c>
      <c r="F491" s="341" t="str">
        <f>IF(D491="","",'Historique détail'!E491/$W491)</f>
        <v/>
      </c>
      <c r="G491" s="341" t="str">
        <f>IF(E491="","",'Historique détail'!F491/$W491)</f>
        <v/>
      </c>
      <c r="H491" s="341" t="str">
        <f>IF(F491="","",'Historique détail'!G491/$W491)</f>
        <v/>
      </c>
      <c r="I491" s="341" t="str">
        <f>IF(G491="","",'Historique détail'!H491/$W491)</f>
        <v/>
      </c>
      <c r="J491" s="341" t="str">
        <f>IF(H491="","",'Historique détail'!I491/$W491)</f>
        <v/>
      </c>
      <c r="K491" s="341" t="str">
        <f>IF(I491="","",'Historique détail'!J491/$W491)</f>
        <v/>
      </c>
      <c r="L491" s="341" t="str">
        <f>IF(J491="","",'Historique détail'!K491/$W491)</f>
        <v/>
      </c>
      <c r="M491" s="341" t="str">
        <f>IF(K491="","",'Historique détail'!L491/$W491)</f>
        <v/>
      </c>
      <c r="N491" s="341" t="str">
        <f>IF(L491="","",'Historique détail'!M491/$W491)</f>
        <v/>
      </c>
      <c r="O491" s="341" t="str">
        <f>IF(M491="","",'Historique détail'!N491/$W491)</f>
        <v/>
      </c>
      <c r="P491" s="341" t="str">
        <f>IF(N491="","",'Historique détail'!O491/$W491)</f>
        <v/>
      </c>
      <c r="Q491" s="341" t="str">
        <f>IF(O491="","",'Historique détail'!P491/$W491)</f>
        <v/>
      </c>
      <c r="R491" s="341" t="str">
        <f>IF(P491="","",'Historique détail'!Q491/$W491)</f>
        <v/>
      </c>
      <c r="S491" s="341" t="str">
        <f>IF(Q491="","",'Historique détail'!R491/$W491)</f>
        <v/>
      </c>
      <c r="T491" s="341" t="str">
        <f>IF(R491="","",'Historique détail'!S491/$W491)</f>
        <v/>
      </c>
      <c r="U491" s="345"/>
      <c r="V491" s="317"/>
      <c r="W491" s="318"/>
      <c r="X491" s="288"/>
      <c r="Y491" s="220"/>
      <c r="Z491" s="220"/>
      <c r="AA491" s="220"/>
      <c r="AB491" s="220"/>
      <c r="AC491" s="220"/>
      <c r="AD491" s="220"/>
      <c r="AE491" s="220"/>
      <c r="AF491" s="220"/>
      <c r="AG491" s="220"/>
      <c r="AH491" s="220"/>
      <c r="AI491" s="308"/>
      <c r="AJ491" s="220"/>
      <c r="AK491" s="220"/>
      <c r="AL491" s="220"/>
      <c r="AM491" s="220"/>
      <c r="AN491" s="220"/>
      <c r="AO491" s="220"/>
      <c r="AP491" s="220"/>
      <c r="AQ491" s="220"/>
      <c r="AR491" s="220"/>
      <c r="AS491" s="220"/>
      <c r="AT491" s="220"/>
      <c r="AU491" s="220"/>
      <c r="AV491" s="220"/>
      <c r="AW491" s="220"/>
      <c r="AX491" s="220"/>
      <c r="AY491" s="220"/>
      <c r="AZ491" s="220"/>
      <c r="BA491" s="220"/>
      <c r="BB491" s="220"/>
    </row>
    <row r="492">
      <c r="A492" s="240"/>
      <c r="B492" s="319"/>
      <c r="C492" s="341" t="str">
        <f>IF(A492="","",'Historique détail'!B492/$W492)</f>
        <v/>
      </c>
      <c r="D492" s="341" t="str">
        <f>IF(B492="","",'Historique détail'!C492/$W492)</f>
        <v/>
      </c>
      <c r="E492" s="341" t="str">
        <f>IF(C492="","",'Historique détail'!D492/$W492)</f>
        <v/>
      </c>
      <c r="F492" s="341" t="str">
        <f>IF(D492="","",'Historique détail'!E492/$W492)</f>
        <v/>
      </c>
      <c r="G492" s="341" t="str">
        <f>IF(E492="","",'Historique détail'!F492/$W492)</f>
        <v/>
      </c>
      <c r="H492" s="341" t="str">
        <f>IF(F492="","",'Historique détail'!G492/$W492)</f>
        <v/>
      </c>
      <c r="I492" s="341" t="str">
        <f>IF(G492="","",'Historique détail'!H492/$W492)</f>
        <v/>
      </c>
      <c r="J492" s="341" t="str">
        <f>IF(H492="","",'Historique détail'!I492/$W492)</f>
        <v/>
      </c>
      <c r="K492" s="341" t="str">
        <f>IF(I492="","",'Historique détail'!J492/$W492)</f>
        <v/>
      </c>
      <c r="L492" s="341" t="str">
        <f>IF(J492="","",'Historique détail'!K492/$W492)</f>
        <v/>
      </c>
      <c r="M492" s="341" t="str">
        <f>IF(K492="","",'Historique détail'!L492/$W492)</f>
        <v/>
      </c>
      <c r="N492" s="341" t="str">
        <f>IF(L492="","",'Historique détail'!M492/$W492)</f>
        <v/>
      </c>
      <c r="O492" s="341" t="str">
        <f>IF(M492="","",'Historique détail'!N492/$W492)</f>
        <v/>
      </c>
      <c r="P492" s="341" t="str">
        <f>IF(N492="","",'Historique détail'!O492/$W492)</f>
        <v/>
      </c>
      <c r="Q492" s="341" t="str">
        <f>IF(O492="","",'Historique détail'!P492/$W492)</f>
        <v/>
      </c>
      <c r="R492" s="341" t="str">
        <f>IF(P492="","",'Historique détail'!Q492/$W492)</f>
        <v/>
      </c>
      <c r="S492" s="341" t="str">
        <f>IF(Q492="","",'Historique détail'!R492/$W492)</f>
        <v/>
      </c>
      <c r="T492" s="341" t="str">
        <f>IF(R492="","",'Historique détail'!S492/$W492)</f>
        <v/>
      </c>
      <c r="U492" s="345"/>
      <c r="V492" s="317"/>
      <c r="W492" s="318"/>
      <c r="X492" s="288"/>
      <c r="Y492" s="220"/>
      <c r="Z492" s="220"/>
      <c r="AA492" s="220"/>
      <c r="AB492" s="220"/>
      <c r="AC492" s="220"/>
      <c r="AD492" s="220"/>
      <c r="AE492" s="220"/>
      <c r="AF492" s="220"/>
      <c r="AG492" s="220"/>
      <c r="AH492" s="220"/>
      <c r="AI492" s="308"/>
      <c r="AJ492" s="220"/>
      <c r="AK492" s="220"/>
      <c r="AL492" s="220"/>
      <c r="AM492" s="220"/>
      <c r="AN492" s="220"/>
      <c r="AO492" s="220"/>
      <c r="AP492" s="220"/>
      <c r="AQ492" s="220"/>
      <c r="AR492" s="220"/>
      <c r="AS492" s="220"/>
      <c r="AT492" s="220"/>
      <c r="AU492" s="220"/>
      <c r="AV492" s="220"/>
      <c r="AW492" s="220"/>
      <c r="AX492" s="220"/>
      <c r="AY492" s="220"/>
      <c r="AZ492" s="220"/>
      <c r="BA492" s="220"/>
      <c r="BB492" s="220"/>
    </row>
    <row r="493">
      <c r="A493" s="240"/>
      <c r="B493" s="319"/>
      <c r="C493" s="341" t="str">
        <f>IF(A493="","",'Historique détail'!B493/$W493)</f>
        <v/>
      </c>
      <c r="D493" s="341" t="str">
        <f>IF(B493="","",'Historique détail'!C493/$W493)</f>
        <v/>
      </c>
      <c r="E493" s="341" t="str">
        <f>IF(C493="","",'Historique détail'!D493/$W493)</f>
        <v/>
      </c>
      <c r="F493" s="341" t="str">
        <f>IF(D493="","",'Historique détail'!E493/$W493)</f>
        <v/>
      </c>
      <c r="G493" s="341" t="str">
        <f>IF(E493="","",'Historique détail'!F493/$W493)</f>
        <v/>
      </c>
      <c r="H493" s="341" t="str">
        <f>IF(F493="","",'Historique détail'!G493/$W493)</f>
        <v/>
      </c>
      <c r="I493" s="341" t="str">
        <f>IF(G493="","",'Historique détail'!H493/$W493)</f>
        <v/>
      </c>
      <c r="J493" s="341" t="str">
        <f>IF(H493="","",'Historique détail'!I493/$W493)</f>
        <v/>
      </c>
      <c r="K493" s="341" t="str">
        <f>IF(I493="","",'Historique détail'!J493/$W493)</f>
        <v/>
      </c>
      <c r="L493" s="341" t="str">
        <f>IF(J493="","",'Historique détail'!K493/$W493)</f>
        <v/>
      </c>
      <c r="M493" s="341" t="str">
        <f>IF(K493="","",'Historique détail'!L493/$W493)</f>
        <v/>
      </c>
      <c r="N493" s="341" t="str">
        <f>IF(L493="","",'Historique détail'!M493/$W493)</f>
        <v/>
      </c>
      <c r="O493" s="341" t="str">
        <f>IF(M493="","",'Historique détail'!N493/$W493)</f>
        <v/>
      </c>
      <c r="P493" s="341" t="str">
        <f>IF(N493="","",'Historique détail'!O493/$W493)</f>
        <v/>
      </c>
      <c r="Q493" s="341" t="str">
        <f>IF(O493="","",'Historique détail'!P493/$W493)</f>
        <v/>
      </c>
      <c r="R493" s="341" t="str">
        <f>IF(P493="","",'Historique détail'!Q493/$W493)</f>
        <v/>
      </c>
      <c r="S493" s="341" t="str">
        <f>IF(Q493="","",'Historique détail'!R493/$W493)</f>
        <v/>
      </c>
      <c r="T493" s="341" t="str">
        <f>IF(R493="","",'Historique détail'!S493/$W493)</f>
        <v/>
      </c>
      <c r="U493" s="345"/>
      <c r="V493" s="317"/>
      <c r="W493" s="318"/>
      <c r="X493" s="288"/>
      <c r="Y493" s="220"/>
      <c r="Z493" s="220"/>
      <c r="AA493" s="220"/>
      <c r="AB493" s="220"/>
      <c r="AC493" s="220"/>
      <c r="AD493" s="220"/>
      <c r="AE493" s="220"/>
      <c r="AF493" s="220"/>
      <c r="AG493" s="220"/>
      <c r="AH493" s="220"/>
      <c r="AI493" s="308"/>
      <c r="AJ493" s="220"/>
      <c r="AK493" s="220"/>
      <c r="AL493" s="220"/>
      <c r="AM493" s="220"/>
      <c r="AN493" s="220"/>
      <c r="AO493" s="220"/>
      <c r="AP493" s="220"/>
      <c r="AQ493" s="220"/>
      <c r="AR493" s="220"/>
      <c r="AS493" s="220"/>
      <c r="AT493" s="220"/>
      <c r="AU493" s="220"/>
      <c r="AV493" s="220"/>
      <c r="AW493" s="220"/>
      <c r="AX493" s="220"/>
      <c r="AY493" s="220"/>
      <c r="AZ493" s="220"/>
      <c r="BA493" s="220"/>
      <c r="BB493" s="220"/>
    </row>
    <row r="494">
      <c r="A494" s="240"/>
      <c r="B494" s="319"/>
      <c r="C494" s="341" t="str">
        <f>IF(A494="","",'Historique détail'!B494/$W494)</f>
        <v/>
      </c>
      <c r="D494" s="341" t="str">
        <f>IF(B494="","",'Historique détail'!C494/$W494)</f>
        <v/>
      </c>
      <c r="E494" s="341" t="str">
        <f>IF(C494="","",'Historique détail'!D494/$W494)</f>
        <v/>
      </c>
      <c r="F494" s="341" t="str">
        <f>IF(D494="","",'Historique détail'!E494/$W494)</f>
        <v/>
      </c>
      <c r="G494" s="341" t="str">
        <f>IF(E494="","",'Historique détail'!F494/$W494)</f>
        <v/>
      </c>
      <c r="H494" s="341" t="str">
        <f>IF(F494="","",'Historique détail'!G494/$W494)</f>
        <v/>
      </c>
      <c r="I494" s="341" t="str">
        <f>IF(G494="","",'Historique détail'!H494/$W494)</f>
        <v/>
      </c>
      <c r="J494" s="341" t="str">
        <f>IF(H494="","",'Historique détail'!I494/$W494)</f>
        <v/>
      </c>
      <c r="K494" s="341" t="str">
        <f>IF(I494="","",'Historique détail'!J494/$W494)</f>
        <v/>
      </c>
      <c r="L494" s="341" t="str">
        <f>IF(J494="","",'Historique détail'!K494/$W494)</f>
        <v/>
      </c>
      <c r="M494" s="341" t="str">
        <f>IF(K494="","",'Historique détail'!L494/$W494)</f>
        <v/>
      </c>
      <c r="N494" s="341" t="str">
        <f>IF(L494="","",'Historique détail'!M494/$W494)</f>
        <v/>
      </c>
      <c r="O494" s="341" t="str">
        <f>IF(M494="","",'Historique détail'!N494/$W494)</f>
        <v/>
      </c>
      <c r="P494" s="341" t="str">
        <f>IF(N494="","",'Historique détail'!O494/$W494)</f>
        <v/>
      </c>
      <c r="Q494" s="341" t="str">
        <f>IF(O494="","",'Historique détail'!P494/$W494)</f>
        <v/>
      </c>
      <c r="R494" s="341" t="str">
        <f>IF(P494="","",'Historique détail'!Q494/$W494)</f>
        <v/>
      </c>
      <c r="S494" s="341" t="str">
        <f>IF(Q494="","",'Historique détail'!R494/$W494)</f>
        <v/>
      </c>
      <c r="T494" s="341" t="str">
        <f>IF(R494="","",'Historique détail'!S494/$W494)</f>
        <v/>
      </c>
      <c r="U494" s="345"/>
      <c r="V494" s="317"/>
      <c r="W494" s="318"/>
      <c r="X494" s="288"/>
      <c r="Y494" s="220"/>
      <c r="Z494" s="220"/>
      <c r="AA494" s="220"/>
      <c r="AB494" s="220"/>
      <c r="AC494" s="220"/>
      <c r="AD494" s="220"/>
      <c r="AE494" s="220"/>
      <c r="AF494" s="220"/>
      <c r="AG494" s="220"/>
      <c r="AH494" s="220"/>
      <c r="AI494" s="308"/>
      <c r="AJ494" s="220"/>
      <c r="AK494" s="220"/>
      <c r="AL494" s="220"/>
      <c r="AM494" s="220"/>
      <c r="AN494" s="220"/>
      <c r="AO494" s="220"/>
      <c r="AP494" s="220"/>
      <c r="AQ494" s="220"/>
      <c r="AR494" s="220"/>
      <c r="AS494" s="220"/>
      <c r="AT494" s="220"/>
      <c r="AU494" s="220"/>
      <c r="AV494" s="220"/>
      <c r="AW494" s="220"/>
      <c r="AX494" s="220"/>
      <c r="AY494" s="220"/>
      <c r="AZ494" s="220"/>
      <c r="BA494" s="220"/>
      <c r="BB494" s="220"/>
    </row>
    <row r="495">
      <c r="A495" s="240"/>
      <c r="B495" s="319"/>
      <c r="C495" s="341" t="str">
        <f>IF(A495="","",'Historique détail'!B495/$W495)</f>
        <v/>
      </c>
      <c r="D495" s="341" t="str">
        <f>IF(B495="","",'Historique détail'!C495/$W495)</f>
        <v/>
      </c>
      <c r="E495" s="341" t="str">
        <f>IF(C495="","",'Historique détail'!D495/$W495)</f>
        <v/>
      </c>
      <c r="F495" s="341" t="str">
        <f>IF(D495="","",'Historique détail'!E495/$W495)</f>
        <v/>
      </c>
      <c r="G495" s="341" t="str">
        <f>IF(E495="","",'Historique détail'!F495/$W495)</f>
        <v/>
      </c>
      <c r="H495" s="341" t="str">
        <f>IF(F495="","",'Historique détail'!G495/$W495)</f>
        <v/>
      </c>
      <c r="I495" s="341" t="str">
        <f>IF(G495="","",'Historique détail'!H495/$W495)</f>
        <v/>
      </c>
      <c r="J495" s="341" t="str">
        <f>IF(H495="","",'Historique détail'!I495/$W495)</f>
        <v/>
      </c>
      <c r="K495" s="341" t="str">
        <f>IF(I495="","",'Historique détail'!J495/$W495)</f>
        <v/>
      </c>
      <c r="L495" s="341" t="str">
        <f>IF(J495="","",'Historique détail'!K495/$W495)</f>
        <v/>
      </c>
      <c r="M495" s="341" t="str">
        <f>IF(K495="","",'Historique détail'!L495/$W495)</f>
        <v/>
      </c>
      <c r="N495" s="341" t="str">
        <f>IF(L495="","",'Historique détail'!M495/$W495)</f>
        <v/>
      </c>
      <c r="O495" s="341" t="str">
        <f>IF(M495="","",'Historique détail'!N495/$W495)</f>
        <v/>
      </c>
      <c r="P495" s="341" t="str">
        <f>IF(N495="","",'Historique détail'!O495/$W495)</f>
        <v/>
      </c>
      <c r="Q495" s="341" t="str">
        <f>IF(O495="","",'Historique détail'!P495/$W495)</f>
        <v/>
      </c>
      <c r="R495" s="341" t="str">
        <f>IF(P495="","",'Historique détail'!Q495/$W495)</f>
        <v/>
      </c>
      <c r="S495" s="341" t="str">
        <f>IF(Q495="","",'Historique détail'!R495/$W495)</f>
        <v/>
      </c>
      <c r="T495" s="341" t="str">
        <f>IF(R495="","",'Historique détail'!S495/$W495)</f>
        <v/>
      </c>
      <c r="U495" s="345"/>
      <c r="V495" s="317"/>
      <c r="W495" s="318"/>
      <c r="X495" s="288"/>
      <c r="Y495" s="220"/>
      <c r="Z495" s="220"/>
      <c r="AA495" s="220"/>
      <c r="AB495" s="220"/>
      <c r="AC495" s="220"/>
      <c r="AD495" s="220"/>
      <c r="AE495" s="220"/>
      <c r="AF495" s="220"/>
      <c r="AG495" s="220"/>
      <c r="AH495" s="220"/>
      <c r="AI495" s="308"/>
      <c r="AJ495" s="220"/>
      <c r="AK495" s="220"/>
      <c r="AL495" s="220"/>
      <c r="AM495" s="220"/>
      <c r="AN495" s="220"/>
      <c r="AO495" s="220"/>
      <c r="AP495" s="220"/>
      <c r="AQ495" s="220"/>
      <c r="AR495" s="220"/>
      <c r="AS495" s="220"/>
      <c r="AT495" s="220"/>
      <c r="AU495" s="220"/>
      <c r="AV495" s="220"/>
      <c r="AW495" s="220"/>
      <c r="AX495" s="220"/>
      <c r="AY495" s="220"/>
      <c r="AZ495" s="220"/>
      <c r="BA495" s="220"/>
      <c r="BB495" s="220"/>
    </row>
    <row r="496">
      <c r="A496" s="240"/>
      <c r="B496" s="319"/>
      <c r="C496" s="341" t="str">
        <f>IF(A496="","",'Historique détail'!B496/$W496)</f>
        <v/>
      </c>
      <c r="D496" s="341" t="str">
        <f>IF(B496="","",'Historique détail'!C496/$W496)</f>
        <v/>
      </c>
      <c r="E496" s="341" t="str">
        <f>IF(C496="","",'Historique détail'!D496/$W496)</f>
        <v/>
      </c>
      <c r="F496" s="341" t="str">
        <f>IF(D496="","",'Historique détail'!E496/$W496)</f>
        <v/>
      </c>
      <c r="G496" s="341" t="str">
        <f>IF(E496="","",'Historique détail'!F496/$W496)</f>
        <v/>
      </c>
      <c r="H496" s="341" t="str">
        <f>IF(F496="","",'Historique détail'!G496/$W496)</f>
        <v/>
      </c>
      <c r="I496" s="341" t="str">
        <f>IF(G496="","",'Historique détail'!H496/$W496)</f>
        <v/>
      </c>
      <c r="J496" s="341" t="str">
        <f>IF(H496="","",'Historique détail'!I496/$W496)</f>
        <v/>
      </c>
      <c r="K496" s="341" t="str">
        <f>IF(I496="","",'Historique détail'!J496/$W496)</f>
        <v/>
      </c>
      <c r="L496" s="341" t="str">
        <f>IF(J496="","",'Historique détail'!K496/$W496)</f>
        <v/>
      </c>
      <c r="M496" s="341" t="str">
        <f>IF(K496="","",'Historique détail'!L496/$W496)</f>
        <v/>
      </c>
      <c r="N496" s="341" t="str">
        <f>IF(L496="","",'Historique détail'!M496/$W496)</f>
        <v/>
      </c>
      <c r="O496" s="341" t="str">
        <f>IF(M496="","",'Historique détail'!N496/$W496)</f>
        <v/>
      </c>
      <c r="P496" s="341" t="str">
        <f>IF(N496="","",'Historique détail'!O496/$W496)</f>
        <v/>
      </c>
      <c r="Q496" s="341" t="str">
        <f>IF(O496="","",'Historique détail'!P496/$W496)</f>
        <v/>
      </c>
      <c r="R496" s="341" t="str">
        <f>IF(P496="","",'Historique détail'!Q496/$W496)</f>
        <v/>
      </c>
      <c r="S496" s="341" t="str">
        <f>IF(Q496="","",'Historique détail'!R496/$W496)</f>
        <v/>
      </c>
      <c r="T496" s="341" t="str">
        <f>IF(R496="","",'Historique détail'!S496/$W496)</f>
        <v/>
      </c>
      <c r="U496" s="345"/>
      <c r="V496" s="317"/>
      <c r="W496" s="318"/>
      <c r="X496" s="288"/>
      <c r="Y496" s="220"/>
      <c r="Z496" s="220"/>
      <c r="AA496" s="220"/>
      <c r="AB496" s="220"/>
      <c r="AC496" s="220"/>
      <c r="AD496" s="220"/>
      <c r="AE496" s="220"/>
      <c r="AF496" s="220"/>
      <c r="AG496" s="220"/>
      <c r="AH496" s="220"/>
      <c r="AI496" s="308"/>
      <c r="AJ496" s="220"/>
      <c r="AK496" s="220"/>
      <c r="AL496" s="220"/>
      <c r="AM496" s="220"/>
      <c r="AN496" s="220"/>
      <c r="AO496" s="220"/>
      <c r="AP496" s="220"/>
      <c r="AQ496" s="220"/>
      <c r="AR496" s="220"/>
      <c r="AS496" s="220"/>
      <c r="AT496" s="220"/>
      <c r="AU496" s="220"/>
      <c r="AV496" s="220"/>
      <c r="AW496" s="220"/>
      <c r="AX496" s="220"/>
      <c r="AY496" s="220"/>
      <c r="AZ496" s="220"/>
      <c r="BA496" s="220"/>
      <c r="BB496" s="220"/>
    </row>
    <row r="497">
      <c r="A497" s="240"/>
      <c r="B497" s="319"/>
      <c r="C497" s="341" t="str">
        <f>IF(A497="","",'Historique détail'!B497/$W497)</f>
        <v/>
      </c>
      <c r="D497" s="341" t="str">
        <f>IF(B497="","",'Historique détail'!C497/$W497)</f>
        <v/>
      </c>
      <c r="E497" s="341" t="str">
        <f>IF(C497="","",'Historique détail'!D497/$W497)</f>
        <v/>
      </c>
      <c r="F497" s="341" t="str">
        <f>IF(D497="","",'Historique détail'!E497/$W497)</f>
        <v/>
      </c>
      <c r="G497" s="341" t="str">
        <f>IF(E497="","",'Historique détail'!F497/$W497)</f>
        <v/>
      </c>
      <c r="H497" s="341" t="str">
        <f>IF(F497="","",'Historique détail'!G497/$W497)</f>
        <v/>
      </c>
      <c r="I497" s="341" t="str">
        <f>IF(G497="","",'Historique détail'!H497/$W497)</f>
        <v/>
      </c>
      <c r="J497" s="341" t="str">
        <f>IF(H497="","",'Historique détail'!I497/$W497)</f>
        <v/>
      </c>
      <c r="K497" s="341" t="str">
        <f>IF(I497="","",'Historique détail'!J497/$W497)</f>
        <v/>
      </c>
      <c r="L497" s="341" t="str">
        <f>IF(J497="","",'Historique détail'!K497/$W497)</f>
        <v/>
      </c>
      <c r="M497" s="341" t="str">
        <f>IF(K497="","",'Historique détail'!L497/$W497)</f>
        <v/>
      </c>
      <c r="N497" s="341" t="str">
        <f>IF(L497="","",'Historique détail'!M497/$W497)</f>
        <v/>
      </c>
      <c r="O497" s="341" t="str">
        <f>IF(M497="","",'Historique détail'!N497/$W497)</f>
        <v/>
      </c>
      <c r="P497" s="341" t="str">
        <f>IF(N497="","",'Historique détail'!O497/$W497)</f>
        <v/>
      </c>
      <c r="Q497" s="341" t="str">
        <f>IF(O497="","",'Historique détail'!P497/$W497)</f>
        <v/>
      </c>
      <c r="R497" s="341" t="str">
        <f>IF(P497="","",'Historique détail'!Q497/$W497)</f>
        <v/>
      </c>
      <c r="S497" s="341" t="str">
        <f>IF(Q497="","",'Historique détail'!R497/$W497)</f>
        <v/>
      </c>
      <c r="T497" s="341" t="str">
        <f>IF(R497="","",'Historique détail'!S497/$W497)</f>
        <v/>
      </c>
      <c r="U497" s="345"/>
      <c r="V497" s="317"/>
      <c r="W497" s="318"/>
      <c r="X497" s="288"/>
      <c r="Y497" s="220"/>
      <c r="Z497" s="220"/>
      <c r="AA497" s="220"/>
      <c r="AB497" s="220"/>
      <c r="AC497" s="220"/>
      <c r="AD497" s="220"/>
      <c r="AE497" s="220"/>
      <c r="AF497" s="220"/>
      <c r="AG497" s="220"/>
      <c r="AH497" s="220"/>
      <c r="AI497" s="308"/>
      <c r="AJ497" s="220"/>
      <c r="AK497" s="220"/>
      <c r="AL497" s="220"/>
      <c r="AM497" s="220"/>
      <c r="AN497" s="220"/>
      <c r="AO497" s="220"/>
      <c r="AP497" s="220"/>
      <c r="AQ497" s="220"/>
      <c r="AR497" s="220"/>
      <c r="AS497" s="220"/>
      <c r="AT497" s="220"/>
      <c r="AU497" s="220"/>
      <c r="AV497" s="220"/>
      <c r="AW497" s="220"/>
      <c r="AX497" s="220"/>
      <c r="AY497" s="220"/>
      <c r="AZ497" s="220"/>
      <c r="BA497" s="220"/>
      <c r="BB497" s="220"/>
    </row>
    <row r="498">
      <c r="A498" s="240"/>
      <c r="B498" s="319"/>
      <c r="C498" s="341" t="str">
        <f>IF(A498="","",'Historique détail'!B498/$W498)</f>
        <v/>
      </c>
      <c r="D498" s="341" t="str">
        <f>IF(B498="","",'Historique détail'!C498/$W498)</f>
        <v/>
      </c>
      <c r="E498" s="341" t="str">
        <f>IF(C498="","",'Historique détail'!D498/$W498)</f>
        <v/>
      </c>
      <c r="F498" s="341" t="str">
        <f>IF(D498="","",'Historique détail'!E498/$W498)</f>
        <v/>
      </c>
      <c r="G498" s="341" t="str">
        <f>IF(E498="","",'Historique détail'!F498/$W498)</f>
        <v/>
      </c>
      <c r="H498" s="341" t="str">
        <f>IF(F498="","",'Historique détail'!G498/$W498)</f>
        <v/>
      </c>
      <c r="I498" s="341" t="str">
        <f>IF(G498="","",'Historique détail'!H498/$W498)</f>
        <v/>
      </c>
      <c r="J498" s="341" t="str">
        <f>IF(H498="","",'Historique détail'!I498/$W498)</f>
        <v/>
      </c>
      <c r="K498" s="341" t="str">
        <f>IF(I498="","",'Historique détail'!J498/$W498)</f>
        <v/>
      </c>
      <c r="L498" s="341" t="str">
        <f>IF(J498="","",'Historique détail'!K498/$W498)</f>
        <v/>
      </c>
      <c r="M498" s="341" t="str">
        <f>IF(K498="","",'Historique détail'!L498/$W498)</f>
        <v/>
      </c>
      <c r="N498" s="341" t="str">
        <f>IF(L498="","",'Historique détail'!M498/$W498)</f>
        <v/>
      </c>
      <c r="O498" s="341" t="str">
        <f>IF(M498="","",'Historique détail'!N498/$W498)</f>
        <v/>
      </c>
      <c r="P498" s="341" t="str">
        <f>IF(N498="","",'Historique détail'!O498/$W498)</f>
        <v/>
      </c>
      <c r="Q498" s="341" t="str">
        <f>IF(O498="","",'Historique détail'!P498/$W498)</f>
        <v/>
      </c>
      <c r="R498" s="341" t="str">
        <f>IF(P498="","",'Historique détail'!Q498/$W498)</f>
        <v/>
      </c>
      <c r="S498" s="341" t="str">
        <f>IF(Q498="","",'Historique détail'!R498/$W498)</f>
        <v/>
      </c>
      <c r="T498" s="341" t="str">
        <f>IF(R498="","",'Historique détail'!S498/$W498)</f>
        <v/>
      </c>
      <c r="U498" s="345"/>
      <c r="V498" s="317"/>
      <c r="W498" s="318"/>
      <c r="X498" s="288"/>
      <c r="Y498" s="220"/>
      <c r="Z498" s="220"/>
      <c r="AA498" s="220"/>
      <c r="AB498" s="220"/>
      <c r="AC498" s="220"/>
      <c r="AD498" s="220"/>
      <c r="AE498" s="220"/>
      <c r="AF498" s="220"/>
      <c r="AG498" s="220"/>
      <c r="AH498" s="220"/>
      <c r="AI498" s="308"/>
      <c r="AJ498" s="220"/>
      <c r="AK498" s="220"/>
      <c r="AL498" s="220"/>
      <c r="AM498" s="220"/>
      <c r="AN498" s="220"/>
      <c r="AO498" s="220"/>
      <c r="AP498" s="220"/>
      <c r="AQ498" s="220"/>
      <c r="AR498" s="220"/>
      <c r="AS498" s="220"/>
      <c r="AT498" s="220"/>
      <c r="AU498" s="220"/>
      <c r="AV498" s="220"/>
      <c r="AW498" s="220"/>
      <c r="AX498" s="220"/>
      <c r="AY498" s="220"/>
      <c r="AZ498" s="220"/>
      <c r="BA498" s="220"/>
      <c r="BB498" s="220"/>
    </row>
    <row r="499">
      <c r="A499" s="240"/>
      <c r="B499" s="319"/>
      <c r="C499" s="341" t="str">
        <f>IF(A499="","",'Historique détail'!B499/$W499)</f>
        <v/>
      </c>
      <c r="D499" s="341" t="str">
        <f>IF(B499="","",'Historique détail'!C499/$W499)</f>
        <v/>
      </c>
      <c r="E499" s="341" t="str">
        <f>IF(C499="","",'Historique détail'!D499/$W499)</f>
        <v/>
      </c>
      <c r="F499" s="341" t="str">
        <f>IF(D499="","",'Historique détail'!E499/$W499)</f>
        <v/>
      </c>
      <c r="G499" s="341" t="str">
        <f>IF(E499="","",'Historique détail'!F499/$W499)</f>
        <v/>
      </c>
      <c r="H499" s="341" t="str">
        <f>IF(F499="","",'Historique détail'!G499/$W499)</f>
        <v/>
      </c>
      <c r="I499" s="341" t="str">
        <f>IF(G499="","",'Historique détail'!H499/$W499)</f>
        <v/>
      </c>
      <c r="J499" s="341" t="str">
        <f>IF(H499="","",'Historique détail'!I499/$W499)</f>
        <v/>
      </c>
      <c r="K499" s="341" t="str">
        <f>IF(I499="","",'Historique détail'!J499/$W499)</f>
        <v/>
      </c>
      <c r="L499" s="341" t="str">
        <f>IF(J499="","",'Historique détail'!K499/$W499)</f>
        <v/>
      </c>
      <c r="M499" s="341" t="str">
        <f>IF(K499="","",'Historique détail'!L499/$W499)</f>
        <v/>
      </c>
      <c r="N499" s="341" t="str">
        <f>IF(L499="","",'Historique détail'!M499/$W499)</f>
        <v/>
      </c>
      <c r="O499" s="341" t="str">
        <f>IF(M499="","",'Historique détail'!N499/$W499)</f>
        <v/>
      </c>
      <c r="P499" s="341" t="str">
        <f>IF(N499="","",'Historique détail'!O499/$W499)</f>
        <v/>
      </c>
      <c r="Q499" s="341" t="str">
        <f>IF(O499="","",'Historique détail'!P499/$W499)</f>
        <v/>
      </c>
      <c r="R499" s="341" t="str">
        <f>IF(P499="","",'Historique détail'!Q499/$W499)</f>
        <v/>
      </c>
      <c r="S499" s="341" t="str">
        <f>IF(Q499="","",'Historique détail'!R499/$W499)</f>
        <v/>
      </c>
      <c r="T499" s="341" t="str">
        <f>IF(R499="","",'Historique détail'!S499/$W499)</f>
        <v/>
      </c>
      <c r="U499" s="345"/>
      <c r="V499" s="317"/>
      <c r="W499" s="318"/>
      <c r="X499" s="288"/>
      <c r="Y499" s="220"/>
      <c r="Z499" s="220"/>
      <c r="AA499" s="220"/>
      <c r="AB499" s="220"/>
      <c r="AC499" s="220"/>
      <c r="AD499" s="220"/>
      <c r="AE499" s="220"/>
      <c r="AF499" s="220"/>
      <c r="AG499" s="220"/>
      <c r="AH499" s="220"/>
      <c r="AI499" s="308"/>
      <c r="AJ499" s="220"/>
      <c r="AK499" s="220"/>
      <c r="AL499" s="220"/>
      <c r="AM499" s="220"/>
      <c r="AN499" s="220"/>
      <c r="AO499" s="220"/>
      <c r="AP499" s="220"/>
      <c r="AQ499" s="220"/>
      <c r="AR499" s="220"/>
      <c r="AS499" s="220"/>
      <c r="AT499" s="220"/>
      <c r="AU499" s="220"/>
      <c r="AV499" s="220"/>
      <c r="AW499" s="220"/>
      <c r="AX499" s="220"/>
      <c r="AY499" s="220"/>
      <c r="AZ499" s="220"/>
      <c r="BA499" s="220"/>
      <c r="BB499" s="220"/>
    </row>
    <row r="500">
      <c r="A500" s="240"/>
      <c r="B500" s="319"/>
      <c r="C500" s="341" t="str">
        <f>IF(A500="","",'Historique détail'!B500/$W500)</f>
        <v/>
      </c>
      <c r="D500" s="341" t="str">
        <f>IF(B500="","",'Historique détail'!C500/$W500)</f>
        <v/>
      </c>
      <c r="E500" s="341" t="str">
        <f>IF(C500="","",'Historique détail'!D500/$W500)</f>
        <v/>
      </c>
      <c r="F500" s="341" t="str">
        <f>IF(D500="","",'Historique détail'!E500/$W500)</f>
        <v/>
      </c>
      <c r="G500" s="341" t="str">
        <f>IF(E500="","",'Historique détail'!F500/$W500)</f>
        <v/>
      </c>
      <c r="H500" s="341" t="str">
        <f>IF(F500="","",'Historique détail'!G500/$W500)</f>
        <v/>
      </c>
      <c r="I500" s="341" t="str">
        <f>IF(G500="","",'Historique détail'!H500/$W500)</f>
        <v/>
      </c>
      <c r="J500" s="341" t="str">
        <f>IF(H500="","",'Historique détail'!I500/$W500)</f>
        <v/>
      </c>
      <c r="K500" s="341" t="str">
        <f>IF(I500="","",'Historique détail'!J500/$W500)</f>
        <v/>
      </c>
      <c r="L500" s="341" t="str">
        <f>IF(J500="","",'Historique détail'!K500/$W500)</f>
        <v/>
      </c>
      <c r="M500" s="341" t="str">
        <f>IF(K500="","",'Historique détail'!L500/$W500)</f>
        <v/>
      </c>
      <c r="N500" s="341" t="str">
        <f>IF(L500="","",'Historique détail'!M500/$W500)</f>
        <v/>
      </c>
      <c r="O500" s="341" t="str">
        <f>IF(M500="","",'Historique détail'!N500/$W500)</f>
        <v/>
      </c>
      <c r="P500" s="341" t="str">
        <f>IF(N500="","",'Historique détail'!O500/$W500)</f>
        <v/>
      </c>
      <c r="Q500" s="341" t="str">
        <f>IF(O500="","",'Historique détail'!P500/$W500)</f>
        <v/>
      </c>
      <c r="R500" s="341" t="str">
        <f>IF(P500="","",'Historique détail'!Q500/$W500)</f>
        <v/>
      </c>
      <c r="S500" s="341" t="str">
        <f>IF(Q500="","",'Historique détail'!R500/$W500)</f>
        <v/>
      </c>
      <c r="T500" s="341" t="str">
        <f>IF(R500="","",'Historique détail'!S500/$W500)</f>
        <v/>
      </c>
      <c r="U500" s="345"/>
      <c r="V500" s="317"/>
      <c r="W500" s="318"/>
      <c r="X500" s="288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0"/>
      <c r="AI500" s="308"/>
      <c r="AJ500" s="220"/>
      <c r="AK500" s="220"/>
      <c r="AL500" s="220"/>
      <c r="AM500" s="220"/>
      <c r="AN500" s="220"/>
      <c r="AO500" s="220"/>
      <c r="AP500" s="220"/>
      <c r="AQ500" s="220"/>
      <c r="AR500" s="220"/>
      <c r="AS500" s="220"/>
      <c r="AT500" s="220"/>
      <c r="AU500" s="220"/>
      <c r="AV500" s="220"/>
      <c r="AW500" s="220"/>
      <c r="AX500" s="220"/>
      <c r="AY500" s="220"/>
      <c r="AZ500" s="220"/>
      <c r="BA500" s="220"/>
      <c r="BB500" s="220"/>
    </row>
    <row r="501">
      <c r="A501" s="240"/>
      <c r="B501" s="319"/>
      <c r="C501" s="341" t="str">
        <f>IF(A501="","",'Historique détail'!B501/$W501)</f>
        <v/>
      </c>
      <c r="D501" s="341" t="str">
        <f>IF(B501="","",'Historique détail'!C501/$W501)</f>
        <v/>
      </c>
      <c r="E501" s="341" t="str">
        <f>IF(C501="","",'Historique détail'!D501/$W501)</f>
        <v/>
      </c>
      <c r="F501" s="341" t="str">
        <f>IF(D501="","",'Historique détail'!E501/$W501)</f>
        <v/>
      </c>
      <c r="G501" s="341" t="str">
        <f>IF(E501="","",'Historique détail'!F501/$W501)</f>
        <v/>
      </c>
      <c r="H501" s="341" t="str">
        <f>IF(F501="","",'Historique détail'!G501/$W501)</f>
        <v/>
      </c>
      <c r="I501" s="341" t="str">
        <f>IF(G501="","",'Historique détail'!H501/$W501)</f>
        <v/>
      </c>
      <c r="J501" s="341" t="str">
        <f>IF(H501="","",'Historique détail'!I501/$W501)</f>
        <v/>
      </c>
      <c r="K501" s="341" t="str">
        <f>IF(I501="","",'Historique détail'!J501/$W501)</f>
        <v/>
      </c>
      <c r="L501" s="341" t="str">
        <f>IF(J501="","",'Historique détail'!K501/$W501)</f>
        <v/>
      </c>
      <c r="M501" s="341" t="str">
        <f>IF(K501="","",'Historique détail'!L501/$W501)</f>
        <v/>
      </c>
      <c r="N501" s="341" t="str">
        <f>IF(L501="","",'Historique détail'!M501/$W501)</f>
        <v/>
      </c>
      <c r="O501" s="341" t="str">
        <f>IF(M501="","",'Historique détail'!N501/$W501)</f>
        <v/>
      </c>
      <c r="P501" s="341" t="str">
        <f>IF(N501="","",'Historique détail'!O501/$W501)</f>
        <v/>
      </c>
      <c r="Q501" s="341" t="str">
        <f>IF(O501="","",'Historique détail'!P501/$W501)</f>
        <v/>
      </c>
      <c r="R501" s="341" t="str">
        <f>IF(P501="","",'Historique détail'!Q501/$W501)</f>
        <v/>
      </c>
      <c r="S501" s="341" t="str">
        <f>IF(Q501="","",'Historique détail'!R501/$W501)</f>
        <v/>
      </c>
      <c r="T501" s="341" t="str">
        <f>IF(R501="","",'Historique détail'!S501/$W501)</f>
        <v/>
      </c>
      <c r="U501" s="345"/>
      <c r="V501" s="317"/>
      <c r="W501" s="318"/>
      <c r="X501" s="288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0"/>
      <c r="AI501" s="308"/>
      <c r="AJ501" s="220"/>
      <c r="AK501" s="220"/>
      <c r="AL501" s="220"/>
      <c r="AM501" s="220"/>
      <c r="AN501" s="220"/>
      <c r="AO501" s="220"/>
      <c r="AP501" s="220"/>
      <c r="AQ501" s="220"/>
      <c r="AR501" s="220"/>
      <c r="AS501" s="220"/>
      <c r="AT501" s="220"/>
      <c r="AU501" s="220"/>
      <c r="AV501" s="220"/>
      <c r="AW501" s="220"/>
      <c r="AX501" s="220"/>
      <c r="AY501" s="220"/>
      <c r="AZ501" s="220"/>
      <c r="BA501" s="220"/>
      <c r="BB501" s="220"/>
    </row>
    <row r="502">
      <c r="A502" s="240"/>
      <c r="B502" s="319"/>
      <c r="C502" s="341" t="str">
        <f>IF(A502="","",'Historique détail'!B502/$W502)</f>
        <v/>
      </c>
      <c r="D502" s="341" t="str">
        <f>IF(B502="","",'Historique détail'!C502/$W502)</f>
        <v/>
      </c>
      <c r="E502" s="341" t="str">
        <f>IF(C502="","",'Historique détail'!D502/$W502)</f>
        <v/>
      </c>
      <c r="F502" s="341" t="str">
        <f>IF(D502="","",'Historique détail'!E502/$W502)</f>
        <v/>
      </c>
      <c r="G502" s="341" t="str">
        <f>IF(E502="","",'Historique détail'!F502/$W502)</f>
        <v/>
      </c>
      <c r="H502" s="341" t="str">
        <f>IF(F502="","",'Historique détail'!G502/$W502)</f>
        <v/>
      </c>
      <c r="I502" s="341" t="str">
        <f>IF(G502="","",'Historique détail'!H502/$W502)</f>
        <v/>
      </c>
      <c r="J502" s="341" t="str">
        <f>IF(H502="","",'Historique détail'!I502/$W502)</f>
        <v/>
      </c>
      <c r="K502" s="341" t="str">
        <f>IF(I502="","",'Historique détail'!J502/$W502)</f>
        <v/>
      </c>
      <c r="L502" s="341" t="str">
        <f>IF(J502="","",'Historique détail'!K502/$W502)</f>
        <v/>
      </c>
      <c r="M502" s="341" t="str">
        <f>IF(K502="","",'Historique détail'!L502/$W502)</f>
        <v/>
      </c>
      <c r="N502" s="341" t="str">
        <f>IF(L502="","",'Historique détail'!M502/$W502)</f>
        <v/>
      </c>
      <c r="O502" s="341" t="str">
        <f>IF(M502="","",'Historique détail'!N502/$W502)</f>
        <v/>
      </c>
      <c r="P502" s="341" t="str">
        <f>IF(N502="","",'Historique détail'!O502/$W502)</f>
        <v/>
      </c>
      <c r="Q502" s="341" t="str">
        <f>IF(O502="","",'Historique détail'!P502/$W502)</f>
        <v/>
      </c>
      <c r="R502" s="341" t="str">
        <f>IF(P502="","",'Historique détail'!Q502/$W502)</f>
        <v/>
      </c>
      <c r="S502" s="341" t="str">
        <f>IF(Q502="","",'Historique détail'!R502/$W502)</f>
        <v/>
      </c>
      <c r="T502" s="341" t="str">
        <f>IF(R502="","",'Historique détail'!S502/$W502)</f>
        <v/>
      </c>
      <c r="U502" s="345"/>
      <c r="V502" s="317"/>
      <c r="W502" s="318"/>
      <c r="X502" s="288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0"/>
      <c r="AI502" s="308"/>
      <c r="AJ502" s="220"/>
      <c r="AK502" s="220"/>
      <c r="AL502" s="220"/>
      <c r="AM502" s="220"/>
      <c r="AN502" s="220"/>
      <c r="AO502" s="220"/>
      <c r="AP502" s="220"/>
      <c r="AQ502" s="220"/>
      <c r="AR502" s="220"/>
      <c r="AS502" s="220"/>
      <c r="AT502" s="220"/>
      <c r="AU502" s="220"/>
      <c r="AV502" s="220"/>
      <c r="AW502" s="220"/>
      <c r="AX502" s="220"/>
      <c r="AY502" s="220"/>
      <c r="AZ502" s="220"/>
      <c r="BA502" s="220"/>
      <c r="BB502" s="220"/>
    </row>
    <row r="503">
      <c r="A503" s="240"/>
      <c r="B503" s="319"/>
      <c r="C503" s="341" t="str">
        <f>IF(A503="","",'Historique détail'!B503/$W503)</f>
        <v/>
      </c>
      <c r="D503" s="341" t="str">
        <f>IF(B503="","",'Historique détail'!C503/$W503)</f>
        <v/>
      </c>
      <c r="E503" s="341" t="str">
        <f>IF(C503="","",'Historique détail'!D503/$W503)</f>
        <v/>
      </c>
      <c r="F503" s="341" t="str">
        <f>IF(D503="","",'Historique détail'!E503/$W503)</f>
        <v/>
      </c>
      <c r="G503" s="341" t="str">
        <f>IF(E503="","",'Historique détail'!F503/$W503)</f>
        <v/>
      </c>
      <c r="H503" s="341" t="str">
        <f>IF(F503="","",'Historique détail'!G503/$W503)</f>
        <v/>
      </c>
      <c r="I503" s="341" t="str">
        <f>IF(G503="","",'Historique détail'!H503/$W503)</f>
        <v/>
      </c>
      <c r="J503" s="341" t="str">
        <f>IF(H503="","",'Historique détail'!I503/$W503)</f>
        <v/>
      </c>
      <c r="K503" s="341" t="str">
        <f>IF(I503="","",'Historique détail'!J503/$W503)</f>
        <v/>
      </c>
      <c r="L503" s="341" t="str">
        <f>IF(J503="","",'Historique détail'!K503/$W503)</f>
        <v/>
      </c>
      <c r="M503" s="341" t="str">
        <f>IF(K503="","",'Historique détail'!L503/$W503)</f>
        <v/>
      </c>
      <c r="N503" s="341" t="str">
        <f>IF(L503="","",'Historique détail'!M503/$W503)</f>
        <v/>
      </c>
      <c r="O503" s="341" t="str">
        <f>IF(M503="","",'Historique détail'!N503/$W503)</f>
        <v/>
      </c>
      <c r="P503" s="341" t="str">
        <f>IF(N503="","",'Historique détail'!O503/$W503)</f>
        <v/>
      </c>
      <c r="Q503" s="341" t="str">
        <f>IF(O503="","",'Historique détail'!P503/$W503)</f>
        <v/>
      </c>
      <c r="R503" s="341" t="str">
        <f>IF(P503="","",'Historique détail'!Q503/$W503)</f>
        <v/>
      </c>
      <c r="S503" s="341" t="str">
        <f>IF(Q503="","",'Historique détail'!R503/$W503)</f>
        <v/>
      </c>
      <c r="T503" s="341" t="str">
        <f>IF(R503="","",'Historique détail'!S503/$W503)</f>
        <v/>
      </c>
      <c r="U503" s="345"/>
      <c r="V503" s="317"/>
      <c r="W503" s="318"/>
      <c r="X503" s="288"/>
      <c r="Y503" s="220"/>
      <c r="Z503" s="220"/>
      <c r="AA503" s="220"/>
      <c r="AB503" s="220"/>
      <c r="AC503" s="220"/>
      <c r="AD503" s="220"/>
      <c r="AE503" s="220"/>
      <c r="AF503" s="220"/>
      <c r="AG503" s="220"/>
      <c r="AH503" s="220"/>
      <c r="AI503" s="308"/>
      <c r="AJ503" s="220"/>
      <c r="AK503" s="220"/>
      <c r="AL503" s="220"/>
      <c r="AM503" s="220"/>
      <c r="AN503" s="220"/>
      <c r="AO503" s="220"/>
      <c r="AP503" s="220"/>
      <c r="AQ503" s="220"/>
      <c r="AR503" s="220"/>
      <c r="AS503" s="220"/>
      <c r="AT503" s="220"/>
      <c r="AU503" s="220"/>
      <c r="AV503" s="220"/>
      <c r="AW503" s="220"/>
      <c r="AX503" s="220"/>
      <c r="AY503" s="220"/>
      <c r="AZ503" s="220"/>
      <c r="BA503" s="220"/>
      <c r="BB503" s="220"/>
    </row>
    <row r="504">
      <c r="A504" s="240"/>
      <c r="B504" s="319"/>
      <c r="C504" s="341" t="str">
        <f>IF(A504="","",'Historique détail'!B504/$W504)</f>
        <v/>
      </c>
      <c r="D504" s="341" t="str">
        <f>IF(B504="","",'Historique détail'!C504/$W504)</f>
        <v/>
      </c>
      <c r="E504" s="341" t="str">
        <f>IF(C504="","",'Historique détail'!D504/$W504)</f>
        <v/>
      </c>
      <c r="F504" s="341" t="str">
        <f>IF(D504="","",'Historique détail'!E504/$W504)</f>
        <v/>
      </c>
      <c r="G504" s="341" t="str">
        <f>IF(E504="","",'Historique détail'!F504/$W504)</f>
        <v/>
      </c>
      <c r="H504" s="341" t="str">
        <f>IF(F504="","",'Historique détail'!G504/$W504)</f>
        <v/>
      </c>
      <c r="I504" s="341" t="str">
        <f>IF(G504="","",'Historique détail'!H504/$W504)</f>
        <v/>
      </c>
      <c r="J504" s="341" t="str">
        <f>IF(H504="","",'Historique détail'!I504/$W504)</f>
        <v/>
      </c>
      <c r="K504" s="341" t="str">
        <f>IF(I504="","",'Historique détail'!J504/$W504)</f>
        <v/>
      </c>
      <c r="L504" s="341" t="str">
        <f>IF(J504="","",'Historique détail'!K504/$W504)</f>
        <v/>
      </c>
      <c r="M504" s="341" t="str">
        <f>IF(K504="","",'Historique détail'!L504/$W504)</f>
        <v/>
      </c>
      <c r="N504" s="341" t="str">
        <f>IF(L504="","",'Historique détail'!M504/$W504)</f>
        <v/>
      </c>
      <c r="O504" s="341" t="str">
        <f>IF(M504="","",'Historique détail'!N504/$W504)</f>
        <v/>
      </c>
      <c r="P504" s="341" t="str">
        <f>IF(N504="","",'Historique détail'!O504/$W504)</f>
        <v/>
      </c>
      <c r="Q504" s="341" t="str">
        <f>IF(O504="","",'Historique détail'!P504/$W504)</f>
        <v/>
      </c>
      <c r="R504" s="341" t="str">
        <f>IF(P504="","",'Historique détail'!Q504/$W504)</f>
        <v/>
      </c>
      <c r="S504" s="341" t="str">
        <f>IF(Q504="","",'Historique détail'!R504/$W504)</f>
        <v/>
      </c>
      <c r="T504" s="341" t="str">
        <f>IF(R504="","",'Historique détail'!S504/$W504)</f>
        <v/>
      </c>
      <c r="U504" s="345"/>
      <c r="V504" s="317"/>
      <c r="W504" s="318"/>
      <c r="X504" s="288"/>
      <c r="Y504" s="220"/>
      <c r="Z504" s="220"/>
      <c r="AA504" s="220"/>
      <c r="AB504" s="220"/>
      <c r="AC504" s="220"/>
      <c r="AD504" s="220"/>
      <c r="AE504" s="220"/>
      <c r="AF504" s="220"/>
      <c r="AG504" s="220"/>
      <c r="AH504" s="220"/>
      <c r="AI504" s="308"/>
      <c r="AJ504" s="220"/>
      <c r="AK504" s="220"/>
      <c r="AL504" s="220"/>
      <c r="AM504" s="220"/>
      <c r="AN504" s="220"/>
      <c r="AO504" s="220"/>
      <c r="AP504" s="220"/>
      <c r="AQ504" s="220"/>
      <c r="AR504" s="220"/>
      <c r="AS504" s="220"/>
      <c r="AT504" s="220"/>
      <c r="AU504" s="220"/>
      <c r="AV504" s="220"/>
      <c r="AW504" s="220"/>
      <c r="AX504" s="220"/>
      <c r="AY504" s="220"/>
      <c r="AZ504" s="220"/>
      <c r="BA504" s="220"/>
      <c r="BB504" s="220"/>
    </row>
    <row r="505">
      <c r="A505" s="240"/>
      <c r="B505" s="319"/>
      <c r="C505" s="346"/>
      <c r="D505" s="346"/>
      <c r="E505" s="346"/>
      <c r="F505" s="346"/>
      <c r="G505" s="346"/>
      <c r="H505" s="346"/>
      <c r="I505" s="346"/>
      <c r="J505" s="346"/>
      <c r="K505" s="346"/>
      <c r="L505" s="346"/>
      <c r="M505" s="346"/>
      <c r="N505" s="346"/>
      <c r="O505" s="346"/>
      <c r="P505" s="346"/>
      <c r="Q505" s="346"/>
      <c r="R505" s="346"/>
      <c r="S505" s="346"/>
      <c r="T505" s="347"/>
      <c r="U505" s="345"/>
      <c r="V505" s="317"/>
      <c r="W505" s="318"/>
      <c r="X505" s="288"/>
      <c r="Y505" s="220"/>
      <c r="Z505" s="220"/>
      <c r="AA505" s="220"/>
      <c r="AB505" s="220"/>
      <c r="AC505" s="220"/>
      <c r="AD505" s="220"/>
      <c r="AE505" s="220"/>
      <c r="AF505" s="220"/>
      <c r="AG505" s="220"/>
      <c r="AH505" s="220"/>
      <c r="AI505" s="308"/>
      <c r="AJ505" s="220"/>
      <c r="AK505" s="220"/>
      <c r="AL505" s="220"/>
      <c r="AM505" s="220"/>
      <c r="AN505" s="220"/>
      <c r="AO505" s="220"/>
      <c r="AP505" s="220"/>
      <c r="AQ505" s="220"/>
      <c r="AR505" s="220"/>
      <c r="AS505" s="220"/>
      <c r="AT505" s="220"/>
      <c r="AU505" s="220"/>
      <c r="AV505" s="220"/>
      <c r="AW505" s="220"/>
      <c r="AX505" s="220"/>
      <c r="AY505" s="220"/>
      <c r="AZ505" s="220"/>
      <c r="BA505" s="220"/>
      <c r="BB505" s="220"/>
    </row>
    <row r="506">
      <c r="A506" s="240"/>
      <c r="B506" s="319"/>
      <c r="C506" s="346"/>
      <c r="D506" s="346"/>
      <c r="E506" s="346"/>
      <c r="F506" s="346"/>
      <c r="G506" s="346"/>
      <c r="H506" s="346"/>
      <c r="I506" s="346"/>
      <c r="J506" s="346"/>
      <c r="K506" s="346"/>
      <c r="L506" s="346"/>
      <c r="M506" s="346"/>
      <c r="N506" s="346"/>
      <c r="O506" s="346"/>
      <c r="P506" s="346"/>
      <c r="Q506" s="346"/>
      <c r="R506" s="346"/>
      <c r="S506" s="346"/>
      <c r="T506" s="347"/>
      <c r="U506" s="345"/>
      <c r="V506" s="317"/>
      <c r="W506" s="318"/>
      <c r="X506" s="288"/>
      <c r="Y506" s="220"/>
      <c r="Z506" s="220"/>
      <c r="AA506" s="220"/>
      <c r="AB506" s="220"/>
      <c r="AC506" s="220"/>
      <c r="AD506" s="220"/>
      <c r="AE506" s="220"/>
      <c r="AF506" s="220"/>
      <c r="AG506" s="220"/>
      <c r="AH506" s="220"/>
      <c r="AI506" s="308"/>
      <c r="AJ506" s="220"/>
      <c r="AK506" s="220"/>
      <c r="AL506" s="220"/>
      <c r="AM506" s="220"/>
      <c r="AN506" s="220"/>
      <c r="AO506" s="220"/>
      <c r="AP506" s="220"/>
      <c r="AQ506" s="220"/>
      <c r="AR506" s="220"/>
      <c r="AS506" s="220"/>
      <c r="AT506" s="220"/>
      <c r="AU506" s="220"/>
      <c r="AV506" s="220"/>
      <c r="AW506" s="220"/>
      <c r="AX506" s="220"/>
      <c r="AY506" s="220"/>
      <c r="AZ506" s="220"/>
      <c r="BA506" s="220"/>
      <c r="BB506" s="220"/>
    </row>
    <row r="507">
      <c r="A507" s="240"/>
      <c r="B507" s="319"/>
      <c r="C507" s="346"/>
      <c r="D507" s="346"/>
      <c r="E507" s="346"/>
      <c r="F507" s="346"/>
      <c r="G507" s="346"/>
      <c r="H507" s="346"/>
      <c r="I507" s="346"/>
      <c r="J507" s="346"/>
      <c r="K507" s="346"/>
      <c r="L507" s="346"/>
      <c r="M507" s="346"/>
      <c r="N507" s="346"/>
      <c r="O507" s="346"/>
      <c r="P507" s="346"/>
      <c r="Q507" s="346"/>
      <c r="R507" s="346"/>
      <c r="S507" s="346"/>
      <c r="T507" s="347"/>
      <c r="U507" s="345"/>
      <c r="V507" s="317"/>
      <c r="W507" s="318"/>
      <c r="X507" s="288"/>
      <c r="Y507" s="220"/>
      <c r="Z507" s="220"/>
      <c r="AA507" s="220"/>
      <c r="AB507" s="220"/>
      <c r="AC507" s="220"/>
      <c r="AD507" s="220"/>
      <c r="AE507" s="220"/>
      <c r="AF507" s="220"/>
      <c r="AG507" s="220"/>
      <c r="AH507" s="220"/>
      <c r="AI507" s="308"/>
      <c r="AJ507" s="220"/>
      <c r="AK507" s="220"/>
      <c r="AL507" s="220"/>
      <c r="AM507" s="220"/>
      <c r="AN507" s="220"/>
      <c r="AO507" s="220"/>
      <c r="AP507" s="220"/>
      <c r="AQ507" s="220"/>
      <c r="AR507" s="220"/>
      <c r="AS507" s="220"/>
      <c r="AT507" s="220"/>
      <c r="AU507" s="220"/>
      <c r="AV507" s="220"/>
      <c r="AW507" s="220"/>
      <c r="AX507" s="220"/>
      <c r="AY507" s="220"/>
      <c r="AZ507" s="220"/>
      <c r="BA507" s="220"/>
      <c r="BB507" s="220"/>
    </row>
    <row r="508">
      <c r="A508" s="240"/>
      <c r="B508" s="319"/>
      <c r="C508" s="346"/>
      <c r="D508" s="346"/>
      <c r="E508" s="346"/>
      <c r="F508" s="346"/>
      <c r="G508" s="346"/>
      <c r="H508" s="346"/>
      <c r="I508" s="346"/>
      <c r="J508" s="346"/>
      <c r="K508" s="346"/>
      <c r="L508" s="346"/>
      <c r="M508" s="346"/>
      <c r="N508" s="346"/>
      <c r="O508" s="346"/>
      <c r="P508" s="346"/>
      <c r="Q508" s="346"/>
      <c r="R508" s="346"/>
      <c r="S508" s="346"/>
      <c r="T508" s="347"/>
      <c r="U508" s="345"/>
      <c r="V508" s="317"/>
      <c r="W508" s="318"/>
      <c r="X508" s="288"/>
      <c r="Y508" s="220"/>
      <c r="Z508" s="220"/>
      <c r="AA508" s="220"/>
      <c r="AB508" s="220"/>
      <c r="AC508" s="220"/>
      <c r="AD508" s="220"/>
      <c r="AE508" s="220"/>
      <c r="AF508" s="220"/>
      <c r="AG508" s="220"/>
      <c r="AH508" s="220"/>
      <c r="AI508" s="308"/>
      <c r="AJ508" s="220"/>
      <c r="AK508" s="220"/>
      <c r="AL508" s="220"/>
      <c r="AM508" s="220"/>
      <c r="AN508" s="220"/>
      <c r="AO508" s="220"/>
      <c r="AP508" s="220"/>
      <c r="AQ508" s="220"/>
      <c r="AR508" s="220"/>
      <c r="AS508" s="220"/>
      <c r="AT508" s="220"/>
      <c r="AU508" s="220"/>
      <c r="AV508" s="220"/>
      <c r="AW508" s="220"/>
      <c r="AX508" s="220"/>
      <c r="AY508" s="220"/>
      <c r="AZ508" s="220"/>
      <c r="BA508" s="220"/>
      <c r="BB508" s="220"/>
    </row>
    <row r="509">
      <c r="A509" s="240"/>
      <c r="B509" s="319"/>
      <c r="C509" s="346"/>
      <c r="D509" s="346"/>
      <c r="E509" s="346"/>
      <c r="F509" s="346"/>
      <c r="G509" s="346"/>
      <c r="H509" s="346"/>
      <c r="I509" s="346"/>
      <c r="J509" s="346"/>
      <c r="K509" s="346"/>
      <c r="L509" s="346"/>
      <c r="M509" s="346"/>
      <c r="N509" s="346"/>
      <c r="O509" s="346"/>
      <c r="P509" s="346"/>
      <c r="Q509" s="346"/>
      <c r="R509" s="346"/>
      <c r="S509" s="346"/>
      <c r="T509" s="347"/>
      <c r="U509" s="345"/>
      <c r="V509" s="317"/>
      <c r="W509" s="318"/>
      <c r="X509" s="288"/>
      <c r="Y509" s="220"/>
      <c r="Z509" s="220"/>
      <c r="AA509" s="220"/>
      <c r="AB509" s="220"/>
      <c r="AC509" s="220"/>
      <c r="AD509" s="220"/>
      <c r="AE509" s="220"/>
      <c r="AF509" s="220"/>
      <c r="AG509" s="220"/>
      <c r="AH509" s="220"/>
      <c r="AI509" s="308"/>
      <c r="AJ509" s="220"/>
      <c r="AK509" s="220"/>
      <c r="AL509" s="220"/>
      <c r="AM509" s="220"/>
      <c r="AN509" s="220"/>
      <c r="AO509" s="220"/>
      <c r="AP509" s="220"/>
      <c r="AQ509" s="220"/>
      <c r="AR509" s="220"/>
      <c r="AS509" s="220"/>
      <c r="AT509" s="220"/>
      <c r="AU509" s="220"/>
      <c r="AV509" s="220"/>
      <c r="AW509" s="220"/>
      <c r="AX509" s="220"/>
      <c r="AY509" s="220"/>
      <c r="AZ509" s="220"/>
      <c r="BA509" s="220"/>
      <c r="BB509" s="220"/>
    </row>
    <row r="510">
      <c r="A510" s="240"/>
      <c r="B510" s="319"/>
      <c r="C510" s="346"/>
      <c r="D510" s="346"/>
      <c r="E510" s="346"/>
      <c r="F510" s="346"/>
      <c r="G510" s="346"/>
      <c r="H510" s="346"/>
      <c r="I510" s="346"/>
      <c r="J510" s="346"/>
      <c r="K510" s="346"/>
      <c r="L510" s="346"/>
      <c r="M510" s="346"/>
      <c r="N510" s="346"/>
      <c r="O510" s="346"/>
      <c r="P510" s="346"/>
      <c r="Q510" s="346"/>
      <c r="R510" s="346"/>
      <c r="S510" s="346"/>
      <c r="T510" s="347"/>
      <c r="U510" s="345"/>
      <c r="V510" s="317"/>
      <c r="W510" s="318"/>
      <c r="X510" s="288"/>
      <c r="Y510" s="220"/>
      <c r="Z510" s="220"/>
      <c r="AA510" s="220"/>
      <c r="AB510" s="220"/>
      <c r="AC510" s="220"/>
      <c r="AD510" s="220"/>
      <c r="AE510" s="220"/>
      <c r="AF510" s="220"/>
      <c r="AG510" s="220"/>
      <c r="AH510" s="220"/>
      <c r="AI510" s="308"/>
      <c r="AJ510" s="220"/>
      <c r="AK510" s="220"/>
      <c r="AL510" s="220"/>
      <c r="AM510" s="220"/>
      <c r="AN510" s="220"/>
      <c r="AO510" s="220"/>
      <c r="AP510" s="220"/>
      <c r="AQ510" s="220"/>
      <c r="AR510" s="220"/>
      <c r="AS510" s="220"/>
      <c r="AT510" s="220"/>
      <c r="AU510" s="220"/>
      <c r="AV510" s="220"/>
      <c r="AW510" s="220"/>
      <c r="AX510" s="220"/>
      <c r="AY510" s="220"/>
      <c r="AZ510" s="220"/>
      <c r="BA510" s="220"/>
      <c r="BB510" s="220"/>
    </row>
    <row r="511">
      <c r="A511" s="240"/>
      <c r="B511" s="319"/>
      <c r="C511" s="346"/>
      <c r="D511" s="346"/>
      <c r="E511" s="346"/>
      <c r="F511" s="346"/>
      <c r="G511" s="346"/>
      <c r="H511" s="346"/>
      <c r="I511" s="346"/>
      <c r="J511" s="346"/>
      <c r="K511" s="346"/>
      <c r="L511" s="346"/>
      <c r="M511" s="346"/>
      <c r="N511" s="346"/>
      <c r="O511" s="346"/>
      <c r="P511" s="346"/>
      <c r="Q511" s="346"/>
      <c r="R511" s="346"/>
      <c r="S511" s="346"/>
      <c r="T511" s="347"/>
      <c r="U511" s="345"/>
      <c r="V511" s="317"/>
      <c r="W511" s="318"/>
      <c r="X511" s="288"/>
      <c r="Y511" s="220"/>
      <c r="Z511" s="220"/>
      <c r="AA511" s="220"/>
      <c r="AB511" s="220"/>
      <c r="AC511" s="220"/>
      <c r="AD511" s="220"/>
      <c r="AE511" s="220"/>
      <c r="AF511" s="220"/>
      <c r="AG511" s="220"/>
      <c r="AH511" s="220"/>
      <c r="AI511" s="308"/>
      <c r="AJ511" s="220"/>
      <c r="AK511" s="220"/>
      <c r="AL511" s="220"/>
      <c r="AM511" s="220"/>
      <c r="AN511" s="220"/>
      <c r="AO511" s="220"/>
      <c r="AP511" s="220"/>
      <c r="AQ511" s="220"/>
      <c r="AR511" s="220"/>
      <c r="AS511" s="220"/>
      <c r="AT511" s="220"/>
      <c r="AU511" s="220"/>
      <c r="AV511" s="220"/>
      <c r="AW511" s="220"/>
      <c r="AX511" s="220"/>
      <c r="AY511" s="220"/>
      <c r="AZ511" s="220"/>
      <c r="BA511" s="220"/>
      <c r="BB511" s="220"/>
    </row>
    <row r="512">
      <c r="A512" s="240"/>
      <c r="B512" s="319"/>
      <c r="C512" s="346"/>
      <c r="D512" s="346"/>
      <c r="E512" s="346"/>
      <c r="F512" s="346"/>
      <c r="G512" s="346"/>
      <c r="H512" s="346"/>
      <c r="I512" s="346"/>
      <c r="J512" s="346"/>
      <c r="K512" s="346"/>
      <c r="L512" s="346"/>
      <c r="M512" s="346"/>
      <c r="N512" s="346"/>
      <c r="O512" s="346"/>
      <c r="P512" s="346"/>
      <c r="Q512" s="346"/>
      <c r="R512" s="346"/>
      <c r="S512" s="346"/>
      <c r="T512" s="347"/>
      <c r="U512" s="345"/>
      <c r="V512" s="317"/>
      <c r="W512" s="318"/>
      <c r="X512" s="288"/>
      <c r="Y512" s="220"/>
      <c r="Z512" s="220"/>
      <c r="AA512" s="220"/>
      <c r="AB512" s="220"/>
      <c r="AC512" s="220"/>
      <c r="AD512" s="220"/>
      <c r="AE512" s="220"/>
      <c r="AF512" s="220"/>
      <c r="AG512" s="220"/>
      <c r="AH512" s="220"/>
      <c r="AI512" s="308"/>
      <c r="AJ512" s="220"/>
      <c r="AK512" s="220"/>
      <c r="AL512" s="220"/>
      <c r="AM512" s="220"/>
      <c r="AN512" s="220"/>
      <c r="AO512" s="220"/>
      <c r="AP512" s="220"/>
      <c r="AQ512" s="220"/>
      <c r="AR512" s="220"/>
      <c r="AS512" s="220"/>
      <c r="AT512" s="220"/>
      <c r="AU512" s="220"/>
      <c r="AV512" s="220"/>
      <c r="AW512" s="220"/>
      <c r="AX512" s="220"/>
      <c r="AY512" s="220"/>
      <c r="AZ512" s="220"/>
      <c r="BA512" s="220"/>
      <c r="BB512" s="220"/>
    </row>
    <row r="513">
      <c r="A513" s="240"/>
      <c r="B513" s="319"/>
      <c r="C513" s="346"/>
      <c r="D513" s="346"/>
      <c r="E513" s="346"/>
      <c r="F513" s="346"/>
      <c r="G513" s="346"/>
      <c r="H513" s="346"/>
      <c r="I513" s="346"/>
      <c r="J513" s="346"/>
      <c r="K513" s="346"/>
      <c r="L513" s="346"/>
      <c r="M513" s="346"/>
      <c r="N513" s="346"/>
      <c r="O513" s="346"/>
      <c r="P513" s="346"/>
      <c r="Q513" s="346"/>
      <c r="R513" s="346"/>
      <c r="S513" s="346"/>
      <c r="T513" s="347"/>
      <c r="U513" s="345"/>
      <c r="V513" s="317"/>
      <c r="W513" s="318"/>
      <c r="X513" s="288"/>
      <c r="Y513" s="220"/>
      <c r="Z513" s="220"/>
      <c r="AA513" s="220"/>
      <c r="AB513" s="220"/>
      <c r="AC513" s="220"/>
      <c r="AD513" s="220"/>
      <c r="AE513" s="220"/>
      <c r="AF513" s="220"/>
      <c r="AG513" s="220"/>
      <c r="AH513" s="220"/>
      <c r="AI513" s="308"/>
      <c r="AJ513" s="220"/>
      <c r="AK513" s="220"/>
      <c r="AL513" s="220"/>
      <c r="AM513" s="220"/>
      <c r="AN513" s="220"/>
      <c r="AO513" s="220"/>
      <c r="AP513" s="220"/>
      <c r="AQ513" s="220"/>
      <c r="AR513" s="220"/>
      <c r="AS513" s="220"/>
      <c r="AT513" s="220"/>
      <c r="AU513" s="220"/>
      <c r="AV513" s="220"/>
      <c r="AW513" s="220"/>
      <c r="AX513" s="220"/>
      <c r="AY513" s="220"/>
      <c r="AZ513" s="220"/>
      <c r="BA513" s="220"/>
      <c r="BB513" s="220"/>
    </row>
    <row r="514">
      <c r="A514" s="240"/>
      <c r="B514" s="319"/>
      <c r="C514" s="346"/>
      <c r="D514" s="346"/>
      <c r="E514" s="346"/>
      <c r="F514" s="346"/>
      <c r="G514" s="346"/>
      <c r="H514" s="346"/>
      <c r="I514" s="346"/>
      <c r="J514" s="346"/>
      <c r="K514" s="346"/>
      <c r="L514" s="346"/>
      <c r="M514" s="346"/>
      <c r="N514" s="346"/>
      <c r="O514" s="346"/>
      <c r="P514" s="346"/>
      <c r="Q514" s="346"/>
      <c r="R514" s="346"/>
      <c r="S514" s="346"/>
      <c r="T514" s="347"/>
      <c r="U514" s="345"/>
      <c r="V514" s="317"/>
      <c r="W514" s="318"/>
      <c r="X514" s="288"/>
      <c r="Y514" s="220"/>
      <c r="Z514" s="220"/>
      <c r="AA514" s="220"/>
      <c r="AB514" s="220"/>
      <c r="AC514" s="220"/>
      <c r="AD514" s="220"/>
      <c r="AE514" s="220"/>
      <c r="AF514" s="220"/>
      <c r="AG514" s="220"/>
      <c r="AH514" s="220"/>
      <c r="AI514" s="308"/>
      <c r="AJ514" s="220"/>
      <c r="AK514" s="220"/>
      <c r="AL514" s="220"/>
      <c r="AM514" s="220"/>
      <c r="AN514" s="220"/>
      <c r="AO514" s="220"/>
      <c r="AP514" s="220"/>
      <c r="AQ514" s="220"/>
      <c r="AR514" s="220"/>
      <c r="AS514" s="220"/>
      <c r="AT514" s="220"/>
      <c r="AU514" s="220"/>
      <c r="AV514" s="220"/>
      <c r="AW514" s="220"/>
      <c r="AX514" s="220"/>
      <c r="AY514" s="220"/>
      <c r="AZ514" s="220"/>
      <c r="BA514" s="220"/>
      <c r="BB514" s="220"/>
    </row>
    <row r="515">
      <c r="A515" s="240"/>
      <c r="B515" s="319"/>
      <c r="C515" s="346"/>
      <c r="D515" s="346"/>
      <c r="E515" s="346"/>
      <c r="F515" s="346"/>
      <c r="G515" s="346"/>
      <c r="H515" s="346"/>
      <c r="I515" s="346"/>
      <c r="J515" s="346"/>
      <c r="K515" s="346"/>
      <c r="L515" s="346"/>
      <c r="M515" s="346"/>
      <c r="N515" s="346"/>
      <c r="O515" s="346"/>
      <c r="P515" s="346"/>
      <c r="Q515" s="346"/>
      <c r="R515" s="346"/>
      <c r="S515" s="346"/>
      <c r="T515" s="347"/>
      <c r="U515" s="345"/>
      <c r="V515" s="317"/>
      <c r="W515" s="318"/>
      <c r="X515" s="288"/>
      <c r="Y515" s="220"/>
      <c r="Z515" s="220"/>
      <c r="AA515" s="220"/>
      <c r="AB515" s="220"/>
      <c r="AC515" s="220"/>
      <c r="AD515" s="220"/>
      <c r="AE515" s="220"/>
      <c r="AF515" s="220"/>
      <c r="AG515" s="220"/>
      <c r="AH515" s="220"/>
      <c r="AI515" s="308"/>
      <c r="AJ515" s="220"/>
      <c r="AK515" s="220"/>
      <c r="AL515" s="220"/>
      <c r="AM515" s="220"/>
      <c r="AN515" s="220"/>
      <c r="AO515" s="220"/>
      <c r="AP515" s="220"/>
      <c r="AQ515" s="220"/>
      <c r="AR515" s="220"/>
      <c r="AS515" s="220"/>
      <c r="AT515" s="220"/>
      <c r="AU515" s="220"/>
      <c r="AV515" s="220"/>
      <c r="AW515" s="220"/>
      <c r="AX515" s="220"/>
      <c r="AY515" s="220"/>
      <c r="AZ515" s="220"/>
      <c r="BA515" s="220"/>
      <c r="BB515" s="220"/>
    </row>
    <row r="516">
      <c r="A516" s="240"/>
      <c r="B516" s="319"/>
      <c r="C516" s="346"/>
      <c r="D516" s="346"/>
      <c r="E516" s="346"/>
      <c r="F516" s="346"/>
      <c r="G516" s="346"/>
      <c r="H516" s="346"/>
      <c r="I516" s="346"/>
      <c r="J516" s="346"/>
      <c r="K516" s="346"/>
      <c r="L516" s="346"/>
      <c r="M516" s="346"/>
      <c r="N516" s="346"/>
      <c r="O516" s="346"/>
      <c r="P516" s="346"/>
      <c r="Q516" s="346"/>
      <c r="R516" s="346"/>
      <c r="S516" s="346"/>
      <c r="T516" s="347"/>
      <c r="U516" s="345"/>
      <c r="V516" s="317"/>
      <c r="W516" s="318"/>
      <c r="X516" s="288"/>
      <c r="Y516" s="220"/>
      <c r="Z516" s="220"/>
      <c r="AA516" s="220"/>
      <c r="AB516" s="220"/>
      <c r="AC516" s="220"/>
      <c r="AD516" s="220"/>
      <c r="AE516" s="220"/>
      <c r="AF516" s="220"/>
      <c r="AG516" s="220"/>
      <c r="AH516" s="220"/>
      <c r="AI516" s="308"/>
      <c r="AJ516" s="220"/>
      <c r="AK516" s="220"/>
      <c r="AL516" s="220"/>
      <c r="AM516" s="220"/>
      <c r="AN516" s="220"/>
      <c r="AO516" s="220"/>
      <c r="AP516" s="220"/>
      <c r="AQ516" s="220"/>
      <c r="AR516" s="220"/>
      <c r="AS516" s="220"/>
      <c r="AT516" s="220"/>
      <c r="AU516" s="220"/>
      <c r="AV516" s="220"/>
      <c r="AW516" s="220"/>
      <c r="AX516" s="220"/>
      <c r="AY516" s="220"/>
      <c r="AZ516" s="220"/>
      <c r="BA516" s="220"/>
      <c r="BB516" s="220"/>
    </row>
    <row r="517">
      <c r="A517" s="240"/>
      <c r="B517" s="319"/>
      <c r="C517" s="346"/>
      <c r="D517" s="346"/>
      <c r="E517" s="346"/>
      <c r="F517" s="346"/>
      <c r="G517" s="346"/>
      <c r="H517" s="346"/>
      <c r="I517" s="346"/>
      <c r="J517" s="346"/>
      <c r="K517" s="346"/>
      <c r="L517" s="346"/>
      <c r="M517" s="346"/>
      <c r="N517" s="346"/>
      <c r="O517" s="346"/>
      <c r="P517" s="346"/>
      <c r="Q517" s="346"/>
      <c r="R517" s="346"/>
      <c r="S517" s="346"/>
      <c r="T517" s="347"/>
      <c r="U517" s="345"/>
      <c r="V517" s="317"/>
      <c r="W517" s="318"/>
      <c r="X517" s="288"/>
      <c r="Y517" s="220"/>
      <c r="Z517" s="220"/>
      <c r="AA517" s="220"/>
      <c r="AB517" s="220"/>
      <c r="AC517" s="220"/>
      <c r="AD517" s="220"/>
      <c r="AE517" s="220"/>
      <c r="AF517" s="220"/>
      <c r="AG517" s="220"/>
      <c r="AH517" s="220"/>
      <c r="AI517" s="308"/>
      <c r="AJ517" s="220"/>
      <c r="AK517" s="220"/>
      <c r="AL517" s="220"/>
      <c r="AM517" s="220"/>
      <c r="AN517" s="220"/>
      <c r="AO517" s="220"/>
      <c r="AP517" s="220"/>
      <c r="AQ517" s="220"/>
      <c r="AR517" s="220"/>
      <c r="AS517" s="220"/>
      <c r="AT517" s="220"/>
      <c r="AU517" s="220"/>
      <c r="AV517" s="220"/>
      <c r="AW517" s="220"/>
      <c r="AX517" s="220"/>
      <c r="AY517" s="220"/>
      <c r="AZ517" s="220"/>
      <c r="BA517" s="220"/>
      <c r="BB517" s="220"/>
    </row>
    <row r="518">
      <c r="A518" s="240"/>
      <c r="B518" s="319"/>
      <c r="C518" s="346"/>
      <c r="D518" s="346"/>
      <c r="E518" s="346"/>
      <c r="F518" s="346"/>
      <c r="G518" s="346"/>
      <c r="H518" s="346"/>
      <c r="I518" s="346"/>
      <c r="J518" s="346"/>
      <c r="K518" s="346"/>
      <c r="L518" s="346"/>
      <c r="M518" s="346"/>
      <c r="N518" s="346"/>
      <c r="O518" s="346"/>
      <c r="P518" s="346"/>
      <c r="Q518" s="346"/>
      <c r="R518" s="346"/>
      <c r="S518" s="346"/>
      <c r="T518" s="347"/>
      <c r="U518" s="345"/>
      <c r="V518" s="317"/>
      <c r="W518" s="318"/>
      <c r="X518" s="288"/>
      <c r="Y518" s="220"/>
      <c r="Z518" s="220"/>
      <c r="AA518" s="220"/>
      <c r="AB518" s="220"/>
      <c r="AC518" s="220"/>
      <c r="AD518" s="220"/>
      <c r="AE518" s="220"/>
      <c r="AF518" s="220"/>
      <c r="AG518" s="220"/>
      <c r="AH518" s="220"/>
      <c r="AI518" s="308"/>
      <c r="AJ518" s="220"/>
      <c r="AK518" s="220"/>
      <c r="AL518" s="220"/>
      <c r="AM518" s="220"/>
      <c r="AN518" s="220"/>
      <c r="AO518" s="220"/>
      <c r="AP518" s="220"/>
      <c r="AQ518" s="220"/>
      <c r="AR518" s="220"/>
      <c r="AS518" s="220"/>
      <c r="AT518" s="220"/>
      <c r="AU518" s="220"/>
      <c r="AV518" s="220"/>
      <c r="AW518" s="220"/>
      <c r="AX518" s="220"/>
      <c r="AY518" s="220"/>
      <c r="AZ518" s="220"/>
      <c r="BA518" s="220"/>
      <c r="BB518" s="220"/>
    </row>
    <row r="519">
      <c r="A519" s="240"/>
      <c r="B519" s="319"/>
      <c r="C519" s="346"/>
      <c r="D519" s="346"/>
      <c r="E519" s="346"/>
      <c r="F519" s="346"/>
      <c r="G519" s="346"/>
      <c r="H519" s="346"/>
      <c r="I519" s="346"/>
      <c r="J519" s="346"/>
      <c r="K519" s="346"/>
      <c r="L519" s="346"/>
      <c r="M519" s="346"/>
      <c r="N519" s="346"/>
      <c r="O519" s="346"/>
      <c r="P519" s="346"/>
      <c r="Q519" s="346"/>
      <c r="R519" s="346"/>
      <c r="S519" s="346"/>
      <c r="T519" s="347"/>
      <c r="U519" s="345"/>
      <c r="V519" s="317"/>
      <c r="W519" s="318"/>
      <c r="X519" s="288"/>
      <c r="Y519" s="220"/>
      <c r="Z519" s="220"/>
      <c r="AA519" s="220"/>
      <c r="AB519" s="220"/>
      <c r="AC519" s="220"/>
      <c r="AD519" s="220"/>
      <c r="AE519" s="220"/>
      <c r="AF519" s="220"/>
      <c r="AG519" s="220"/>
      <c r="AH519" s="220"/>
      <c r="AI519" s="308"/>
      <c r="AJ519" s="220"/>
      <c r="AK519" s="220"/>
      <c r="AL519" s="220"/>
      <c r="AM519" s="220"/>
      <c r="AN519" s="220"/>
      <c r="AO519" s="220"/>
      <c r="AP519" s="220"/>
      <c r="AQ519" s="220"/>
      <c r="AR519" s="220"/>
      <c r="AS519" s="220"/>
      <c r="AT519" s="220"/>
      <c r="AU519" s="220"/>
      <c r="AV519" s="220"/>
      <c r="AW519" s="220"/>
      <c r="AX519" s="220"/>
      <c r="AY519" s="220"/>
      <c r="AZ519" s="220"/>
      <c r="BA519" s="220"/>
      <c r="BB519" s="220"/>
    </row>
    <row r="520">
      <c r="A520" s="240"/>
      <c r="B520" s="319"/>
      <c r="C520" s="346"/>
      <c r="D520" s="346"/>
      <c r="E520" s="346"/>
      <c r="F520" s="346"/>
      <c r="G520" s="346"/>
      <c r="H520" s="346"/>
      <c r="I520" s="346"/>
      <c r="J520" s="346"/>
      <c r="K520" s="346"/>
      <c r="L520" s="346"/>
      <c r="M520" s="346"/>
      <c r="N520" s="346"/>
      <c r="O520" s="346"/>
      <c r="P520" s="346"/>
      <c r="Q520" s="346"/>
      <c r="R520" s="346"/>
      <c r="S520" s="346"/>
      <c r="T520" s="347"/>
      <c r="U520" s="345"/>
      <c r="V520" s="317"/>
      <c r="W520" s="318"/>
      <c r="X520" s="288"/>
      <c r="Y520" s="220"/>
      <c r="Z520" s="220"/>
      <c r="AA520" s="220"/>
      <c r="AB520" s="220"/>
      <c r="AC520" s="220"/>
      <c r="AD520" s="220"/>
      <c r="AE520" s="220"/>
      <c r="AF520" s="220"/>
      <c r="AG520" s="220"/>
      <c r="AH520" s="220"/>
      <c r="AI520" s="308"/>
      <c r="AJ520" s="220"/>
      <c r="AK520" s="220"/>
      <c r="AL520" s="220"/>
      <c r="AM520" s="220"/>
      <c r="AN520" s="220"/>
      <c r="AO520" s="220"/>
      <c r="AP520" s="220"/>
      <c r="AQ520" s="220"/>
      <c r="AR520" s="220"/>
      <c r="AS520" s="220"/>
      <c r="AT520" s="220"/>
      <c r="AU520" s="220"/>
      <c r="AV520" s="220"/>
      <c r="AW520" s="220"/>
      <c r="AX520" s="220"/>
      <c r="AY520" s="220"/>
      <c r="AZ520" s="220"/>
      <c r="BA520" s="220"/>
      <c r="BB520" s="220"/>
    </row>
    <row r="521">
      <c r="A521" s="240"/>
      <c r="B521" s="319"/>
      <c r="C521" s="346"/>
      <c r="D521" s="346"/>
      <c r="E521" s="346"/>
      <c r="F521" s="346"/>
      <c r="G521" s="346"/>
      <c r="H521" s="346"/>
      <c r="I521" s="346"/>
      <c r="J521" s="346"/>
      <c r="K521" s="346"/>
      <c r="L521" s="346"/>
      <c r="M521" s="346"/>
      <c r="N521" s="346"/>
      <c r="O521" s="346"/>
      <c r="P521" s="346"/>
      <c r="Q521" s="346"/>
      <c r="R521" s="346"/>
      <c r="S521" s="346"/>
      <c r="T521" s="347"/>
      <c r="U521" s="345"/>
      <c r="V521" s="317"/>
      <c r="W521" s="318"/>
      <c r="X521" s="288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0"/>
      <c r="AI521" s="308"/>
      <c r="AJ521" s="220"/>
      <c r="AK521" s="220"/>
      <c r="AL521" s="220"/>
      <c r="AM521" s="220"/>
      <c r="AN521" s="220"/>
      <c r="AO521" s="220"/>
      <c r="AP521" s="220"/>
      <c r="AQ521" s="220"/>
      <c r="AR521" s="220"/>
      <c r="AS521" s="220"/>
      <c r="AT521" s="220"/>
      <c r="AU521" s="220"/>
      <c r="AV521" s="220"/>
      <c r="AW521" s="220"/>
      <c r="AX521" s="220"/>
      <c r="AY521" s="220"/>
      <c r="AZ521" s="220"/>
      <c r="BA521" s="220"/>
      <c r="BB521" s="220"/>
    </row>
    <row r="522">
      <c r="A522" s="240"/>
      <c r="B522" s="319"/>
      <c r="C522" s="346"/>
      <c r="D522" s="346"/>
      <c r="E522" s="346"/>
      <c r="F522" s="346"/>
      <c r="G522" s="346"/>
      <c r="H522" s="346"/>
      <c r="I522" s="346"/>
      <c r="J522" s="346"/>
      <c r="K522" s="346"/>
      <c r="L522" s="346"/>
      <c r="M522" s="346"/>
      <c r="N522" s="346"/>
      <c r="O522" s="346"/>
      <c r="P522" s="346"/>
      <c r="Q522" s="346"/>
      <c r="R522" s="346"/>
      <c r="S522" s="346"/>
      <c r="T522" s="347"/>
      <c r="U522" s="345"/>
      <c r="V522" s="317"/>
      <c r="W522" s="318"/>
      <c r="X522" s="288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0"/>
      <c r="AI522" s="308"/>
      <c r="AJ522" s="220"/>
      <c r="AK522" s="220"/>
      <c r="AL522" s="220"/>
      <c r="AM522" s="220"/>
      <c r="AN522" s="220"/>
      <c r="AO522" s="220"/>
      <c r="AP522" s="220"/>
      <c r="AQ522" s="220"/>
      <c r="AR522" s="220"/>
      <c r="AS522" s="220"/>
      <c r="AT522" s="220"/>
      <c r="AU522" s="220"/>
      <c r="AV522" s="220"/>
      <c r="AW522" s="220"/>
      <c r="AX522" s="220"/>
      <c r="AY522" s="220"/>
      <c r="AZ522" s="220"/>
      <c r="BA522" s="220"/>
      <c r="BB522" s="220"/>
    </row>
    <row r="523">
      <c r="A523" s="240"/>
      <c r="B523" s="319"/>
      <c r="C523" s="346"/>
      <c r="D523" s="346"/>
      <c r="E523" s="346"/>
      <c r="F523" s="346"/>
      <c r="G523" s="346"/>
      <c r="H523" s="346"/>
      <c r="I523" s="346"/>
      <c r="J523" s="346"/>
      <c r="K523" s="346"/>
      <c r="L523" s="346"/>
      <c r="M523" s="346"/>
      <c r="N523" s="346"/>
      <c r="O523" s="346"/>
      <c r="P523" s="346"/>
      <c r="Q523" s="346"/>
      <c r="R523" s="346"/>
      <c r="S523" s="346"/>
      <c r="T523" s="347"/>
      <c r="U523" s="345"/>
      <c r="V523" s="317"/>
      <c r="W523" s="318"/>
      <c r="X523" s="288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0"/>
      <c r="AI523" s="308"/>
      <c r="AJ523" s="220"/>
      <c r="AK523" s="220"/>
      <c r="AL523" s="220"/>
      <c r="AM523" s="220"/>
      <c r="AN523" s="220"/>
      <c r="AO523" s="220"/>
      <c r="AP523" s="220"/>
      <c r="AQ523" s="220"/>
      <c r="AR523" s="220"/>
      <c r="AS523" s="220"/>
      <c r="AT523" s="220"/>
      <c r="AU523" s="220"/>
      <c r="AV523" s="220"/>
      <c r="AW523" s="220"/>
      <c r="AX523" s="220"/>
      <c r="AY523" s="220"/>
      <c r="AZ523" s="220"/>
      <c r="BA523" s="220"/>
      <c r="BB523" s="220"/>
    </row>
    <row r="524">
      <c r="A524" s="240"/>
      <c r="B524" s="319"/>
      <c r="C524" s="346"/>
      <c r="D524" s="346"/>
      <c r="E524" s="346"/>
      <c r="F524" s="346"/>
      <c r="G524" s="346"/>
      <c r="H524" s="346"/>
      <c r="I524" s="346"/>
      <c r="J524" s="346"/>
      <c r="K524" s="346"/>
      <c r="L524" s="346"/>
      <c r="M524" s="346"/>
      <c r="N524" s="346"/>
      <c r="O524" s="346"/>
      <c r="P524" s="346"/>
      <c r="Q524" s="346"/>
      <c r="R524" s="346"/>
      <c r="S524" s="346"/>
      <c r="T524" s="347"/>
      <c r="U524" s="345"/>
      <c r="V524" s="317"/>
      <c r="W524" s="318"/>
      <c r="X524" s="288"/>
      <c r="Y524" s="220"/>
      <c r="Z524" s="220"/>
      <c r="AA524" s="220"/>
      <c r="AB524" s="220"/>
      <c r="AC524" s="220"/>
      <c r="AD524" s="220"/>
      <c r="AE524" s="220"/>
      <c r="AF524" s="220"/>
      <c r="AG524" s="220"/>
      <c r="AH524" s="220"/>
      <c r="AI524" s="308"/>
      <c r="AJ524" s="220"/>
      <c r="AK524" s="220"/>
      <c r="AL524" s="220"/>
      <c r="AM524" s="220"/>
      <c r="AN524" s="220"/>
      <c r="AO524" s="220"/>
      <c r="AP524" s="220"/>
      <c r="AQ524" s="220"/>
      <c r="AR524" s="220"/>
      <c r="AS524" s="220"/>
      <c r="AT524" s="220"/>
      <c r="AU524" s="220"/>
      <c r="AV524" s="220"/>
      <c r="AW524" s="220"/>
      <c r="AX524" s="220"/>
      <c r="AY524" s="220"/>
      <c r="AZ524" s="220"/>
      <c r="BA524" s="220"/>
      <c r="BB524" s="220"/>
    </row>
    <row r="525">
      <c r="A525" s="240"/>
      <c r="B525" s="319"/>
      <c r="C525" s="346"/>
      <c r="D525" s="346"/>
      <c r="E525" s="346"/>
      <c r="F525" s="346"/>
      <c r="G525" s="346"/>
      <c r="H525" s="346"/>
      <c r="I525" s="346"/>
      <c r="J525" s="346"/>
      <c r="K525" s="346"/>
      <c r="L525" s="346"/>
      <c r="M525" s="346"/>
      <c r="N525" s="346"/>
      <c r="O525" s="346"/>
      <c r="P525" s="346"/>
      <c r="Q525" s="346"/>
      <c r="R525" s="346"/>
      <c r="S525" s="346"/>
      <c r="T525" s="347"/>
      <c r="U525" s="345"/>
      <c r="V525" s="317"/>
      <c r="W525" s="318"/>
      <c r="X525" s="288"/>
      <c r="Y525" s="220"/>
      <c r="Z525" s="220"/>
      <c r="AA525" s="220"/>
      <c r="AB525" s="220"/>
      <c r="AC525" s="220"/>
      <c r="AD525" s="220"/>
      <c r="AE525" s="220"/>
      <c r="AF525" s="220"/>
      <c r="AG525" s="220"/>
      <c r="AH525" s="220"/>
      <c r="AI525" s="308"/>
      <c r="AJ525" s="220"/>
      <c r="AK525" s="220"/>
      <c r="AL525" s="220"/>
      <c r="AM525" s="220"/>
      <c r="AN525" s="220"/>
      <c r="AO525" s="220"/>
      <c r="AP525" s="220"/>
      <c r="AQ525" s="220"/>
      <c r="AR525" s="220"/>
      <c r="AS525" s="220"/>
      <c r="AT525" s="220"/>
      <c r="AU525" s="220"/>
      <c r="AV525" s="220"/>
      <c r="AW525" s="220"/>
      <c r="AX525" s="220"/>
      <c r="AY525" s="220"/>
      <c r="AZ525" s="220"/>
      <c r="BA525" s="220"/>
      <c r="BB525" s="220"/>
    </row>
    <row r="526">
      <c r="A526" s="240"/>
      <c r="B526" s="319"/>
      <c r="C526" s="346"/>
      <c r="D526" s="346"/>
      <c r="E526" s="346"/>
      <c r="F526" s="346"/>
      <c r="G526" s="346"/>
      <c r="H526" s="346"/>
      <c r="I526" s="346"/>
      <c r="J526" s="346"/>
      <c r="K526" s="346"/>
      <c r="L526" s="346"/>
      <c r="M526" s="346"/>
      <c r="N526" s="346"/>
      <c r="O526" s="346"/>
      <c r="P526" s="346"/>
      <c r="Q526" s="346"/>
      <c r="R526" s="346"/>
      <c r="S526" s="346"/>
      <c r="T526" s="347"/>
      <c r="U526" s="345"/>
      <c r="V526" s="317"/>
      <c r="W526" s="318"/>
      <c r="X526" s="288"/>
      <c r="Y526" s="220"/>
      <c r="Z526" s="220"/>
      <c r="AA526" s="220"/>
      <c r="AB526" s="220"/>
      <c r="AC526" s="220"/>
      <c r="AD526" s="220"/>
      <c r="AE526" s="220"/>
      <c r="AF526" s="220"/>
      <c r="AG526" s="220"/>
      <c r="AH526" s="220"/>
      <c r="AI526" s="308"/>
      <c r="AJ526" s="220"/>
      <c r="AK526" s="220"/>
      <c r="AL526" s="220"/>
      <c r="AM526" s="220"/>
      <c r="AN526" s="220"/>
      <c r="AO526" s="220"/>
      <c r="AP526" s="220"/>
      <c r="AQ526" s="220"/>
      <c r="AR526" s="220"/>
      <c r="AS526" s="220"/>
      <c r="AT526" s="220"/>
      <c r="AU526" s="220"/>
      <c r="AV526" s="220"/>
      <c r="AW526" s="220"/>
      <c r="AX526" s="220"/>
      <c r="AY526" s="220"/>
      <c r="AZ526" s="220"/>
      <c r="BA526" s="220"/>
      <c r="BB526" s="220"/>
    </row>
    <row r="527">
      <c r="A527" s="240"/>
      <c r="B527" s="319"/>
      <c r="C527" s="346"/>
      <c r="D527" s="346"/>
      <c r="E527" s="346"/>
      <c r="F527" s="346"/>
      <c r="G527" s="346"/>
      <c r="H527" s="346"/>
      <c r="I527" s="346"/>
      <c r="J527" s="346"/>
      <c r="K527" s="346"/>
      <c r="L527" s="346"/>
      <c r="M527" s="346"/>
      <c r="N527" s="346"/>
      <c r="O527" s="346"/>
      <c r="P527" s="346"/>
      <c r="Q527" s="346"/>
      <c r="R527" s="346"/>
      <c r="S527" s="346"/>
      <c r="T527" s="347"/>
      <c r="U527" s="345"/>
      <c r="V527" s="317"/>
      <c r="W527" s="318"/>
      <c r="X527" s="288"/>
      <c r="Y527" s="220"/>
      <c r="Z527" s="220"/>
      <c r="AA527" s="220"/>
      <c r="AB527" s="220"/>
      <c r="AC527" s="220"/>
      <c r="AD527" s="220"/>
      <c r="AE527" s="220"/>
      <c r="AF527" s="220"/>
      <c r="AG527" s="220"/>
      <c r="AH527" s="220"/>
      <c r="AI527" s="308"/>
      <c r="AJ527" s="220"/>
      <c r="AK527" s="220"/>
      <c r="AL527" s="220"/>
      <c r="AM527" s="220"/>
      <c r="AN527" s="220"/>
      <c r="AO527" s="220"/>
      <c r="AP527" s="220"/>
      <c r="AQ527" s="220"/>
      <c r="AR527" s="220"/>
      <c r="AS527" s="220"/>
      <c r="AT527" s="220"/>
      <c r="AU527" s="220"/>
      <c r="AV527" s="220"/>
      <c r="AW527" s="220"/>
      <c r="AX527" s="220"/>
      <c r="AY527" s="220"/>
      <c r="AZ527" s="220"/>
      <c r="BA527" s="220"/>
      <c r="BB527" s="220"/>
    </row>
    <row r="528">
      <c r="A528" s="240"/>
      <c r="B528" s="319"/>
      <c r="C528" s="346"/>
      <c r="D528" s="346"/>
      <c r="E528" s="346"/>
      <c r="F528" s="346"/>
      <c r="G528" s="346"/>
      <c r="H528" s="346"/>
      <c r="I528" s="346"/>
      <c r="J528" s="346"/>
      <c r="K528" s="346"/>
      <c r="L528" s="346"/>
      <c r="M528" s="346"/>
      <c r="N528" s="346"/>
      <c r="O528" s="346"/>
      <c r="P528" s="346"/>
      <c r="Q528" s="346"/>
      <c r="R528" s="346"/>
      <c r="S528" s="346"/>
      <c r="T528" s="347"/>
      <c r="U528" s="345"/>
      <c r="V528" s="317"/>
      <c r="W528" s="318"/>
      <c r="X528" s="288"/>
      <c r="Y528" s="220"/>
      <c r="Z528" s="220"/>
      <c r="AA528" s="220"/>
      <c r="AB528" s="220"/>
      <c r="AC528" s="220"/>
      <c r="AD528" s="220"/>
      <c r="AE528" s="220"/>
      <c r="AF528" s="220"/>
      <c r="AG528" s="220"/>
      <c r="AH528" s="220"/>
      <c r="AI528" s="308"/>
      <c r="AJ528" s="220"/>
      <c r="AK528" s="220"/>
      <c r="AL528" s="220"/>
      <c r="AM528" s="220"/>
      <c r="AN528" s="220"/>
      <c r="AO528" s="220"/>
      <c r="AP528" s="220"/>
      <c r="AQ528" s="220"/>
      <c r="AR528" s="220"/>
      <c r="AS528" s="220"/>
      <c r="AT528" s="220"/>
      <c r="AU528" s="220"/>
      <c r="AV528" s="220"/>
      <c r="AW528" s="220"/>
      <c r="AX528" s="220"/>
      <c r="AY528" s="220"/>
      <c r="AZ528" s="220"/>
      <c r="BA528" s="220"/>
      <c r="BB528" s="220"/>
    </row>
    <row r="529">
      <c r="A529" s="240"/>
      <c r="B529" s="319"/>
      <c r="C529" s="346"/>
      <c r="D529" s="346"/>
      <c r="E529" s="346"/>
      <c r="F529" s="346"/>
      <c r="G529" s="346"/>
      <c r="H529" s="346"/>
      <c r="I529" s="346"/>
      <c r="J529" s="346"/>
      <c r="K529" s="346"/>
      <c r="L529" s="346"/>
      <c r="M529" s="346"/>
      <c r="N529" s="346"/>
      <c r="O529" s="346"/>
      <c r="P529" s="346"/>
      <c r="Q529" s="346"/>
      <c r="R529" s="346"/>
      <c r="S529" s="346"/>
      <c r="T529" s="347"/>
      <c r="U529" s="345"/>
      <c r="V529" s="317"/>
      <c r="W529" s="318"/>
      <c r="X529" s="288"/>
      <c r="Y529" s="220"/>
      <c r="Z529" s="220"/>
      <c r="AA529" s="220"/>
      <c r="AB529" s="220"/>
      <c r="AC529" s="220"/>
      <c r="AD529" s="220"/>
      <c r="AE529" s="220"/>
      <c r="AF529" s="220"/>
      <c r="AG529" s="220"/>
      <c r="AH529" s="220"/>
      <c r="AI529" s="308"/>
      <c r="AJ529" s="220"/>
      <c r="AK529" s="220"/>
      <c r="AL529" s="220"/>
      <c r="AM529" s="220"/>
      <c r="AN529" s="220"/>
      <c r="AO529" s="220"/>
      <c r="AP529" s="220"/>
      <c r="AQ529" s="220"/>
      <c r="AR529" s="220"/>
      <c r="AS529" s="220"/>
      <c r="AT529" s="220"/>
      <c r="AU529" s="220"/>
      <c r="AV529" s="220"/>
      <c r="AW529" s="220"/>
      <c r="AX529" s="220"/>
      <c r="AY529" s="220"/>
      <c r="AZ529" s="220"/>
      <c r="BA529" s="220"/>
      <c r="BB529" s="220"/>
    </row>
    <row r="530">
      <c r="A530" s="240"/>
      <c r="B530" s="319"/>
      <c r="C530" s="346"/>
      <c r="D530" s="346"/>
      <c r="E530" s="346"/>
      <c r="F530" s="346"/>
      <c r="G530" s="346"/>
      <c r="H530" s="346"/>
      <c r="I530" s="346"/>
      <c r="J530" s="346"/>
      <c r="K530" s="346"/>
      <c r="L530" s="346"/>
      <c r="M530" s="346"/>
      <c r="N530" s="346"/>
      <c r="O530" s="346"/>
      <c r="P530" s="346"/>
      <c r="Q530" s="346"/>
      <c r="R530" s="346"/>
      <c r="S530" s="346"/>
      <c r="T530" s="347"/>
      <c r="U530" s="345"/>
      <c r="V530" s="317"/>
      <c r="W530" s="318"/>
      <c r="X530" s="288"/>
      <c r="Y530" s="220"/>
      <c r="Z530" s="220"/>
      <c r="AA530" s="220"/>
      <c r="AB530" s="220"/>
      <c r="AC530" s="220"/>
      <c r="AD530" s="220"/>
      <c r="AE530" s="220"/>
      <c r="AF530" s="220"/>
      <c r="AG530" s="220"/>
      <c r="AH530" s="220"/>
      <c r="AI530" s="308"/>
      <c r="AJ530" s="220"/>
      <c r="AK530" s="220"/>
      <c r="AL530" s="220"/>
      <c r="AM530" s="220"/>
      <c r="AN530" s="220"/>
      <c r="AO530" s="220"/>
      <c r="AP530" s="220"/>
      <c r="AQ530" s="220"/>
      <c r="AR530" s="220"/>
      <c r="AS530" s="220"/>
      <c r="AT530" s="220"/>
      <c r="AU530" s="220"/>
      <c r="AV530" s="220"/>
      <c r="AW530" s="220"/>
      <c r="AX530" s="220"/>
      <c r="AY530" s="220"/>
      <c r="AZ530" s="220"/>
      <c r="BA530" s="220"/>
      <c r="BB530" s="220"/>
    </row>
    <row r="531">
      <c r="A531" s="240"/>
      <c r="B531" s="319"/>
      <c r="C531" s="346"/>
      <c r="D531" s="346"/>
      <c r="E531" s="346"/>
      <c r="F531" s="346"/>
      <c r="G531" s="346"/>
      <c r="H531" s="346"/>
      <c r="I531" s="346"/>
      <c r="J531" s="346"/>
      <c r="K531" s="346"/>
      <c r="L531" s="346"/>
      <c r="M531" s="346"/>
      <c r="N531" s="346"/>
      <c r="O531" s="346"/>
      <c r="P531" s="346"/>
      <c r="Q531" s="346"/>
      <c r="R531" s="346"/>
      <c r="S531" s="346"/>
      <c r="T531" s="347"/>
      <c r="U531" s="345"/>
      <c r="V531" s="317"/>
      <c r="W531" s="318"/>
      <c r="X531" s="288"/>
      <c r="Y531" s="220"/>
      <c r="Z531" s="220"/>
      <c r="AA531" s="220"/>
      <c r="AB531" s="220"/>
      <c r="AC531" s="220"/>
      <c r="AD531" s="220"/>
      <c r="AE531" s="220"/>
      <c r="AF531" s="220"/>
      <c r="AG531" s="220"/>
      <c r="AH531" s="220"/>
      <c r="AI531" s="308"/>
      <c r="AJ531" s="220"/>
      <c r="AK531" s="220"/>
      <c r="AL531" s="220"/>
      <c r="AM531" s="220"/>
      <c r="AN531" s="220"/>
      <c r="AO531" s="220"/>
      <c r="AP531" s="220"/>
      <c r="AQ531" s="220"/>
      <c r="AR531" s="220"/>
      <c r="AS531" s="220"/>
      <c r="AT531" s="220"/>
      <c r="AU531" s="220"/>
      <c r="AV531" s="220"/>
      <c r="AW531" s="220"/>
      <c r="AX531" s="220"/>
      <c r="AY531" s="220"/>
      <c r="AZ531" s="220"/>
      <c r="BA531" s="220"/>
      <c r="BB531" s="220"/>
    </row>
    <row r="532">
      <c r="A532" s="240"/>
      <c r="B532" s="319"/>
      <c r="C532" s="346"/>
      <c r="D532" s="346"/>
      <c r="E532" s="346"/>
      <c r="F532" s="346"/>
      <c r="G532" s="346"/>
      <c r="H532" s="346"/>
      <c r="I532" s="346"/>
      <c r="J532" s="346"/>
      <c r="K532" s="346"/>
      <c r="L532" s="346"/>
      <c r="M532" s="346"/>
      <c r="N532" s="346"/>
      <c r="O532" s="346"/>
      <c r="P532" s="346"/>
      <c r="Q532" s="346"/>
      <c r="R532" s="346"/>
      <c r="S532" s="346"/>
      <c r="T532" s="347"/>
      <c r="U532" s="345"/>
      <c r="V532" s="317"/>
      <c r="W532" s="318"/>
      <c r="X532" s="288"/>
      <c r="Y532" s="220"/>
      <c r="Z532" s="220"/>
      <c r="AA532" s="220"/>
      <c r="AB532" s="220"/>
      <c r="AC532" s="220"/>
      <c r="AD532" s="220"/>
      <c r="AE532" s="220"/>
      <c r="AF532" s="220"/>
      <c r="AG532" s="220"/>
      <c r="AH532" s="220"/>
      <c r="AI532" s="308"/>
      <c r="AJ532" s="220"/>
      <c r="AK532" s="220"/>
      <c r="AL532" s="220"/>
      <c r="AM532" s="220"/>
      <c r="AN532" s="220"/>
      <c r="AO532" s="220"/>
      <c r="AP532" s="220"/>
      <c r="AQ532" s="220"/>
      <c r="AR532" s="220"/>
      <c r="AS532" s="220"/>
      <c r="AT532" s="220"/>
      <c r="AU532" s="220"/>
      <c r="AV532" s="220"/>
      <c r="AW532" s="220"/>
      <c r="AX532" s="220"/>
      <c r="AY532" s="220"/>
      <c r="AZ532" s="220"/>
      <c r="BA532" s="220"/>
      <c r="BB532" s="220"/>
    </row>
    <row r="533">
      <c r="A533" s="240"/>
      <c r="B533" s="319"/>
      <c r="C533" s="346"/>
      <c r="D533" s="346"/>
      <c r="E533" s="346"/>
      <c r="F533" s="346"/>
      <c r="G533" s="346"/>
      <c r="H533" s="346"/>
      <c r="I533" s="346"/>
      <c r="J533" s="346"/>
      <c r="K533" s="346"/>
      <c r="L533" s="346"/>
      <c r="M533" s="346"/>
      <c r="N533" s="346"/>
      <c r="O533" s="346"/>
      <c r="P533" s="346"/>
      <c r="Q533" s="346"/>
      <c r="R533" s="346"/>
      <c r="S533" s="346"/>
      <c r="T533" s="347"/>
      <c r="U533" s="345"/>
      <c r="V533" s="317"/>
      <c r="W533" s="318"/>
      <c r="X533" s="288"/>
      <c r="Y533" s="220"/>
      <c r="Z533" s="220"/>
      <c r="AA533" s="220"/>
      <c r="AB533" s="220"/>
      <c r="AC533" s="220"/>
      <c r="AD533" s="220"/>
      <c r="AE533" s="220"/>
      <c r="AF533" s="220"/>
      <c r="AG533" s="220"/>
      <c r="AH533" s="220"/>
      <c r="AI533" s="308"/>
      <c r="AJ533" s="220"/>
      <c r="AK533" s="220"/>
      <c r="AL533" s="220"/>
      <c r="AM533" s="220"/>
      <c r="AN533" s="220"/>
      <c r="AO533" s="220"/>
      <c r="AP533" s="220"/>
      <c r="AQ533" s="220"/>
      <c r="AR533" s="220"/>
      <c r="AS533" s="220"/>
      <c r="AT533" s="220"/>
      <c r="AU533" s="220"/>
      <c r="AV533" s="220"/>
      <c r="AW533" s="220"/>
      <c r="AX533" s="220"/>
      <c r="AY533" s="220"/>
      <c r="AZ533" s="220"/>
      <c r="BA533" s="220"/>
      <c r="BB533" s="220"/>
    </row>
    <row r="534">
      <c r="A534" s="240"/>
      <c r="B534" s="319"/>
      <c r="C534" s="346"/>
      <c r="D534" s="346"/>
      <c r="E534" s="346"/>
      <c r="F534" s="346"/>
      <c r="G534" s="346"/>
      <c r="H534" s="346"/>
      <c r="I534" s="346"/>
      <c r="J534" s="346"/>
      <c r="K534" s="346"/>
      <c r="L534" s="346"/>
      <c r="M534" s="346"/>
      <c r="N534" s="346"/>
      <c r="O534" s="346"/>
      <c r="P534" s="346"/>
      <c r="Q534" s="346"/>
      <c r="R534" s="346"/>
      <c r="S534" s="346"/>
      <c r="T534" s="347"/>
      <c r="U534" s="345"/>
      <c r="V534" s="317"/>
      <c r="W534" s="318"/>
      <c r="X534" s="288"/>
      <c r="Y534" s="220"/>
      <c r="Z534" s="220"/>
      <c r="AA534" s="220"/>
      <c r="AB534" s="220"/>
      <c r="AC534" s="220"/>
      <c r="AD534" s="220"/>
      <c r="AE534" s="220"/>
      <c r="AF534" s="220"/>
      <c r="AG534" s="220"/>
      <c r="AH534" s="220"/>
      <c r="AI534" s="308"/>
      <c r="AJ534" s="220"/>
      <c r="AK534" s="220"/>
      <c r="AL534" s="220"/>
      <c r="AM534" s="220"/>
      <c r="AN534" s="220"/>
      <c r="AO534" s="220"/>
      <c r="AP534" s="220"/>
      <c r="AQ534" s="220"/>
      <c r="AR534" s="220"/>
      <c r="AS534" s="220"/>
      <c r="AT534" s="220"/>
      <c r="AU534" s="220"/>
      <c r="AV534" s="220"/>
      <c r="AW534" s="220"/>
      <c r="AX534" s="220"/>
      <c r="AY534" s="220"/>
      <c r="AZ534" s="220"/>
      <c r="BA534" s="220"/>
      <c r="BB534" s="220"/>
    </row>
    <row r="535">
      <c r="A535" s="240"/>
      <c r="B535" s="319"/>
      <c r="C535" s="346"/>
      <c r="D535" s="346"/>
      <c r="E535" s="346"/>
      <c r="F535" s="346"/>
      <c r="G535" s="346"/>
      <c r="H535" s="346"/>
      <c r="I535" s="346"/>
      <c r="J535" s="346"/>
      <c r="K535" s="346"/>
      <c r="L535" s="346"/>
      <c r="M535" s="346"/>
      <c r="N535" s="346"/>
      <c r="O535" s="346"/>
      <c r="P535" s="346"/>
      <c r="Q535" s="346"/>
      <c r="R535" s="346"/>
      <c r="S535" s="346"/>
      <c r="T535" s="347"/>
      <c r="U535" s="345"/>
      <c r="V535" s="317"/>
      <c r="W535" s="318"/>
      <c r="X535" s="288"/>
      <c r="Y535" s="220"/>
      <c r="Z535" s="220"/>
      <c r="AA535" s="220"/>
      <c r="AB535" s="220"/>
      <c r="AC535" s="220"/>
      <c r="AD535" s="220"/>
      <c r="AE535" s="220"/>
      <c r="AF535" s="220"/>
      <c r="AG535" s="220"/>
      <c r="AH535" s="220"/>
      <c r="AI535" s="308"/>
      <c r="AJ535" s="220"/>
      <c r="AK535" s="220"/>
      <c r="AL535" s="220"/>
      <c r="AM535" s="220"/>
      <c r="AN535" s="220"/>
      <c r="AO535" s="220"/>
      <c r="AP535" s="220"/>
      <c r="AQ535" s="220"/>
      <c r="AR535" s="220"/>
      <c r="AS535" s="220"/>
      <c r="AT535" s="220"/>
      <c r="AU535" s="220"/>
      <c r="AV535" s="220"/>
      <c r="AW535" s="220"/>
      <c r="AX535" s="220"/>
      <c r="AY535" s="220"/>
      <c r="AZ535" s="220"/>
      <c r="BA535" s="220"/>
      <c r="BB535" s="220"/>
    </row>
    <row r="536">
      <c r="A536" s="240"/>
      <c r="B536" s="319"/>
      <c r="C536" s="346"/>
      <c r="D536" s="346"/>
      <c r="E536" s="346"/>
      <c r="F536" s="346"/>
      <c r="G536" s="346"/>
      <c r="H536" s="346"/>
      <c r="I536" s="346"/>
      <c r="J536" s="346"/>
      <c r="K536" s="346"/>
      <c r="L536" s="346"/>
      <c r="M536" s="346"/>
      <c r="N536" s="346"/>
      <c r="O536" s="346"/>
      <c r="P536" s="346"/>
      <c r="Q536" s="346"/>
      <c r="R536" s="346"/>
      <c r="S536" s="346"/>
      <c r="T536" s="347"/>
      <c r="U536" s="345"/>
      <c r="V536" s="317"/>
      <c r="W536" s="318"/>
      <c r="X536" s="288"/>
      <c r="Y536" s="220"/>
      <c r="Z536" s="220"/>
      <c r="AA536" s="220"/>
      <c r="AB536" s="220"/>
      <c r="AC536" s="220"/>
      <c r="AD536" s="220"/>
      <c r="AE536" s="220"/>
      <c r="AF536" s="220"/>
      <c r="AG536" s="220"/>
      <c r="AH536" s="220"/>
      <c r="AI536" s="308"/>
      <c r="AJ536" s="220"/>
      <c r="AK536" s="220"/>
      <c r="AL536" s="220"/>
      <c r="AM536" s="220"/>
      <c r="AN536" s="220"/>
      <c r="AO536" s="220"/>
      <c r="AP536" s="220"/>
      <c r="AQ536" s="220"/>
      <c r="AR536" s="220"/>
      <c r="AS536" s="220"/>
      <c r="AT536" s="220"/>
      <c r="AU536" s="220"/>
      <c r="AV536" s="220"/>
      <c r="AW536" s="220"/>
      <c r="AX536" s="220"/>
      <c r="AY536" s="220"/>
      <c r="AZ536" s="220"/>
      <c r="BA536" s="220"/>
      <c r="BB536" s="220"/>
    </row>
    <row r="537">
      <c r="A537" s="240"/>
      <c r="B537" s="319"/>
      <c r="C537" s="346"/>
      <c r="D537" s="346"/>
      <c r="E537" s="346"/>
      <c r="F537" s="346"/>
      <c r="G537" s="346"/>
      <c r="H537" s="346"/>
      <c r="I537" s="346"/>
      <c r="J537" s="346"/>
      <c r="K537" s="346"/>
      <c r="L537" s="346"/>
      <c r="M537" s="346"/>
      <c r="N537" s="346"/>
      <c r="O537" s="346"/>
      <c r="P537" s="346"/>
      <c r="Q537" s="346"/>
      <c r="R537" s="346"/>
      <c r="S537" s="346"/>
      <c r="T537" s="347"/>
      <c r="U537" s="345"/>
      <c r="V537" s="317"/>
      <c r="W537" s="318"/>
      <c r="X537" s="288"/>
      <c r="Y537" s="220"/>
      <c r="Z537" s="220"/>
      <c r="AA537" s="220"/>
      <c r="AB537" s="220"/>
      <c r="AC537" s="220"/>
      <c r="AD537" s="220"/>
      <c r="AE537" s="220"/>
      <c r="AF537" s="220"/>
      <c r="AG537" s="220"/>
      <c r="AH537" s="220"/>
      <c r="AI537" s="308"/>
      <c r="AJ537" s="220"/>
      <c r="AK537" s="220"/>
      <c r="AL537" s="220"/>
      <c r="AM537" s="220"/>
      <c r="AN537" s="220"/>
      <c r="AO537" s="220"/>
      <c r="AP537" s="220"/>
      <c r="AQ537" s="220"/>
      <c r="AR537" s="220"/>
      <c r="AS537" s="220"/>
      <c r="AT537" s="220"/>
      <c r="AU537" s="220"/>
      <c r="AV537" s="220"/>
      <c r="AW537" s="220"/>
      <c r="AX537" s="220"/>
      <c r="AY537" s="220"/>
      <c r="AZ537" s="220"/>
      <c r="BA537" s="220"/>
      <c r="BB537" s="220"/>
    </row>
    <row r="538">
      <c r="A538" s="240"/>
      <c r="B538" s="319"/>
      <c r="C538" s="346"/>
      <c r="D538" s="346"/>
      <c r="E538" s="346"/>
      <c r="F538" s="346"/>
      <c r="G538" s="346"/>
      <c r="H538" s="346"/>
      <c r="I538" s="346"/>
      <c r="J538" s="346"/>
      <c r="K538" s="346"/>
      <c r="L538" s="346"/>
      <c r="M538" s="346"/>
      <c r="N538" s="346"/>
      <c r="O538" s="346"/>
      <c r="P538" s="346"/>
      <c r="Q538" s="346"/>
      <c r="R538" s="346"/>
      <c r="S538" s="346"/>
      <c r="T538" s="347"/>
      <c r="U538" s="345"/>
      <c r="V538" s="317"/>
      <c r="W538" s="318"/>
      <c r="X538" s="288"/>
      <c r="Y538" s="220"/>
      <c r="Z538" s="220"/>
      <c r="AA538" s="220"/>
      <c r="AB538" s="220"/>
      <c r="AC538" s="220"/>
      <c r="AD538" s="220"/>
      <c r="AE538" s="220"/>
      <c r="AF538" s="220"/>
      <c r="AG538" s="220"/>
      <c r="AH538" s="220"/>
      <c r="AI538" s="308"/>
      <c r="AJ538" s="220"/>
      <c r="AK538" s="220"/>
      <c r="AL538" s="220"/>
      <c r="AM538" s="220"/>
      <c r="AN538" s="220"/>
      <c r="AO538" s="220"/>
      <c r="AP538" s="220"/>
      <c r="AQ538" s="220"/>
      <c r="AR538" s="220"/>
      <c r="AS538" s="220"/>
      <c r="AT538" s="220"/>
      <c r="AU538" s="220"/>
      <c r="AV538" s="220"/>
      <c r="AW538" s="220"/>
      <c r="AX538" s="220"/>
      <c r="AY538" s="220"/>
      <c r="AZ538" s="220"/>
      <c r="BA538" s="220"/>
      <c r="BB538" s="220"/>
    </row>
    <row r="539">
      <c r="A539" s="240"/>
      <c r="B539" s="319"/>
      <c r="C539" s="346"/>
      <c r="D539" s="346"/>
      <c r="E539" s="346"/>
      <c r="F539" s="346"/>
      <c r="G539" s="346"/>
      <c r="H539" s="346"/>
      <c r="I539" s="346"/>
      <c r="J539" s="346"/>
      <c r="K539" s="346"/>
      <c r="L539" s="346"/>
      <c r="M539" s="346"/>
      <c r="N539" s="346"/>
      <c r="O539" s="346"/>
      <c r="P539" s="346"/>
      <c r="Q539" s="346"/>
      <c r="R539" s="346"/>
      <c r="S539" s="346"/>
      <c r="T539" s="347"/>
      <c r="U539" s="345"/>
      <c r="V539" s="317"/>
      <c r="W539" s="318"/>
      <c r="X539" s="288"/>
      <c r="Y539" s="220"/>
      <c r="Z539" s="220"/>
      <c r="AA539" s="220"/>
      <c r="AB539" s="220"/>
      <c r="AC539" s="220"/>
      <c r="AD539" s="220"/>
      <c r="AE539" s="220"/>
      <c r="AF539" s="220"/>
      <c r="AG539" s="220"/>
      <c r="AH539" s="220"/>
      <c r="AI539" s="308"/>
      <c r="AJ539" s="220"/>
      <c r="AK539" s="220"/>
      <c r="AL539" s="220"/>
      <c r="AM539" s="220"/>
      <c r="AN539" s="220"/>
      <c r="AO539" s="220"/>
      <c r="AP539" s="220"/>
      <c r="AQ539" s="220"/>
      <c r="AR539" s="220"/>
      <c r="AS539" s="220"/>
      <c r="AT539" s="220"/>
      <c r="AU539" s="220"/>
      <c r="AV539" s="220"/>
      <c r="AW539" s="220"/>
      <c r="AX539" s="220"/>
      <c r="AY539" s="220"/>
      <c r="AZ539" s="220"/>
      <c r="BA539" s="220"/>
      <c r="BB539" s="220"/>
    </row>
    <row r="540">
      <c r="A540" s="240"/>
      <c r="B540" s="319"/>
      <c r="C540" s="346"/>
      <c r="D540" s="346"/>
      <c r="E540" s="346"/>
      <c r="F540" s="346"/>
      <c r="G540" s="346"/>
      <c r="H540" s="346"/>
      <c r="I540" s="346"/>
      <c r="J540" s="346"/>
      <c r="K540" s="346"/>
      <c r="L540" s="346"/>
      <c r="M540" s="346"/>
      <c r="N540" s="346"/>
      <c r="O540" s="346"/>
      <c r="P540" s="346"/>
      <c r="Q540" s="346"/>
      <c r="R540" s="346"/>
      <c r="S540" s="346"/>
      <c r="T540" s="347"/>
      <c r="U540" s="345"/>
      <c r="V540" s="317"/>
      <c r="W540" s="318"/>
      <c r="X540" s="288"/>
      <c r="Y540" s="220"/>
      <c r="Z540" s="220"/>
      <c r="AA540" s="220"/>
      <c r="AB540" s="220"/>
      <c r="AC540" s="220"/>
      <c r="AD540" s="220"/>
      <c r="AE540" s="220"/>
      <c r="AF540" s="220"/>
      <c r="AG540" s="220"/>
      <c r="AH540" s="220"/>
      <c r="AI540" s="308"/>
      <c r="AJ540" s="220"/>
      <c r="AK540" s="220"/>
      <c r="AL540" s="220"/>
      <c r="AM540" s="220"/>
      <c r="AN540" s="220"/>
      <c r="AO540" s="220"/>
      <c r="AP540" s="220"/>
      <c r="AQ540" s="220"/>
      <c r="AR540" s="220"/>
      <c r="AS540" s="220"/>
      <c r="AT540" s="220"/>
      <c r="AU540" s="220"/>
      <c r="AV540" s="220"/>
      <c r="AW540" s="220"/>
      <c r="AX540" s="220"/>
      <c r="AY540" s="220"/>
      <c r="AZ540" s="220"/>
      <c r="BA540" s="220"/>
      <c r="BB540" s="220"/>
    </row>
    <row r="541">
      <c r="A541" s="240"/>
      <c r="B541" s="319"/>
      <c r="C541" s="346"/>
      <c r="D541" s="346"/>
      <c r="E541" s="346"/>
      <c r="F541" s="346"/>
      <c r="G541" s="346"/>
      <c r="H541" s="346"/>
      <c r="I541" s="346"/>
      <c r="J541" s="346"/>
      <c r="K541" s="346"/>
      <c r="L541" s="346"/>
      <c r="M541" s="346"/>
      <c r="N541" s="346"/>
      <c r="O541" s="346"/>
      <c r="P541" s="346"/>
      <c r="Q541" s="346"/>
      <c r="R541" s="346"/>
      <c r="S541" s="346"/>
      <c r="T541" s="347"/>
      <c r="U541" s="345"/>
      <c r="V541" s="317"/>
      <c r="W541" s="318"/>
      <c r="X541" s="288"/>
      <c r="Y541" s="220"/>
      <c r="Z541" s="220"/>
      <c r="AA541" s="220"/>
      <c r="AB541" s="220"/>
      <c r="AC541" s="220"/>
      <c r="AD541" s="220"/>
      <c r="AE541" s="220"/>
      <c r="AF541" s="220"/>
      <c r="AG541" s="220"/>
      <c r="AH541" s="220"/>
      <c r="AI541" s="308"/>
      <c r="AJ541" s="220"/>
      <c r="AK541" s="220"/>
      <c r="AL541" s="220"/>
      <c r="AM541" s="220"/>
      <c r="AN541" s="220"/>
      <c r="AO541" s="220"/>
      <c r="AP541" s="220"/>
      <c r="AQ541" s="220"/>
      <c r="AR541" s="220"/>
      <c r="AS541" s="220"/>
      <c r="AT541" s="220"/>
      <c r="AU541" s="220"/>
      <c r="AV541" s="220"/>
      <c r="AW541" s="220"/>
      <c r="AX541" s="220"/>
      <c r="AY541" s="220"/>
      <c r="AZ541" s="220"/>
      <c r="BA541" s="220"/>
      <c r="BB541" s="220"/>
    </row>
    <row r="542">
      <c r="A542" s="240"/>
      <c r="B542" s="319"/>
      <c r="C542" s="346"/>
      <c r="D542" s="346"/>
      <c r="E542" s="346"/>
      <c r="F542" s="346"/>
      <c r="G542" s="346"/>
      <c r="H542" s="346"/>
      <c r="I542" s="346"/>
      <c r="J542" s="346"/>
      <c r="K542" s="346"/>
      <c r="L542" s="346"/>
      <c r="M542" s="346"/>
      <c r="N542" s="346"/>
      <c r="O542" s="346"/>
      <c r="P542" s="346"/>
      <c r="Q542" s="346"/>
      <c r="R542" s="346"/>
      <c r="S542" s="346"/>
      <c r="T542" s="347"/>
      <c r="U542" s="345"/>
      <c r="V542" s="317"/>
      <c r="W542" s="318"/>
      <c r="X542" s="288"/>
      <c r="Y542" s="220"/>
      <c r="Z542" s="220"/>
      <c r="AA542" s="220"/>
      <c r="AB542" s="220"/>
      <c r="AC542" s="220"/>
      <c r="AD542" s="220"/>
      <c r="AE542" s="220"/>
      <c r="AF542" s="220"/>
      <c r="AG542" s="220"/>
      <c r="AH542" s="220"/>
      <c r="AI542" s="308"/>
      <c r="AJ542" s="220"/>
      <c r="AK542" s="220"/>
      <c r="AL542" s="220"/>
      <c r="AM542" s="220"/>
      <c r="AN542" s="220"/>
      <c r="AO542" s="220"/>
      <c r="AP542" s="220"/>
      <c r="AQ542" s="220"/>
      <c r="AR542" s="220"/>
      <c r="AS542" s="220"/>
      <c r="AT542" s="220"/>
      <c r="AU542" s="220"/>
      <c r="AV542" s="220"/>
      <c r="AW542" s="220"/>
      <c r="AX542" s="220"/>
      <c r="AY542" s="220"/>
      <c r="AZ542" s="220"/>
      <c r="BA542" s="220"/>
      <c r="BB542" s="220"/>
    </row>
    <row r="543">
      <c r="A543" s="240"/>
      <c r="B543" s="319"/>
      <c r="C543" s="346"/>
      <c r="D543" s="346"/>
      <c r="E543" s="346"/>
      <c r="F543" s="346"/>
      <c r="G543" s="346"/>
      <c r="H543" s="346"/>
      <c r="I543" s="346"/>
      <c r="J543" s="346"/>
      <c r="K543" s="346"/>
      <c r="L543" s="346"/>
      <c r="M543" s="346"/>
      <c r="N543" s="346"/>
      <c r="O543" s="346"/>
      <c r="P543" s="346"/>
      <c r="Q543" s="346"/>
      <c r="R543" s="346"/>
      <c r="S543" s="346"/>
      <c r="T543" s="347"/>
      <c r="U543" s="345"/>
      <c r="V543" s="317"/>
      <c r="W543" s="318"/>
      <c r="X543" s="288"/>
      <c r="Y543" s="220"/>
      <c r="Z543" s="220"/>
      <c r="AA543" s="220"/>
      <c r="AB543" s="220"/>
      <c r="AC543" s="220"/>
      <c r="AD543" s="220"/>
      <c r="AE543" s="220"/>
      <c r="AF543" s="220"/>
      <c r="AG543" s="220"/>
      <c r="AH543" s="220"/>
      <c r="AI543" s="308"/>
      <c r="AJ543" s="220"/>
      <c r="AK543" s="220"/>
      <c r="AL543" s="220"/>
      <c r="AM543" s="220"/>
      <c r="AN543" s="220"/>
      <c r="AO543" s="220"/>
      <c r="AP543" s="220"/>
      <c r="AQ543" s="220"/>
      <c r="AR543" s="220"/>
      <c r="AS543" s="220"/>
      <c r="AT543" s="220"/>
      <c r="AU543" s="220"/>
      <c r="AV543" s="220"/>
      <c r="AW543" s="220"/>
      <c r="AX543" s="220"/>
      <c r="AY543" s="220"/>
      <c r="AZ543" s="220"/>
      <c r="BA543" s="220"/>
      <c r="BB543" s="220"/>
    </row>
    <row r="544">
      <c r="A544" s="240"/>
      <c r="B544" s="319"/>
      <c r="C544" s="346"/>
      <c r="D544" s="346"/>
      <c r="E544" s="346"/>
      <c r="F544" s="346"/>
      <c r="G544" s="346"/>
      <c r="H544" s="346"/>
      <c r="I544" s="346"/>
      <c r="J544" s="346"/>
      <c r="K544" s="346"/>
      <c r="L544" s="346"/>
      <c r="M544" s="346"/>
      <c r="N544" s="346"/>
      <c r="O544" s="346"/>
      <c r="P544" s="346"/>
      <c r="Q544" s="346"/>
      <c r="R544" s="346"/>
      <c r="S544" s="346"/>
      <c r="T544" s="347"/>
      <c r="U544" s="345"/>
      <c r="V544" s="317"/>
      <c r="W544" s="318"/>
      <c r="X544" s="288"/>
      <c r="Y544" s="220"/>
      <c r="Z544" s="220"/>
      <c r="AA544" s="220"/>
      <c r="AB544" s="220"/>
      <c r="AC544" s="220"/>
      <c r="AD544" s="220"/>
      <c r="AE544" s="220"/>
      <c r="AF544" s="220"/>
      <c r="AG544" s="220"/>
      <c r="AH544" s="220"/>
      <c r="AI544" s="308"/>
      <c r="AJ544" s="220"/>
      <c r="AK544" s="220"/>
      <c r="AL544" s="220"/>
      <c r="AM544" s="220"/>
      <c r="AN544" s="220"/>
      <c r="AO544" s="220"/>
      <c r="AP544" s="220"/>
      <c r="AQ544" s="220"/>
      <c r="AR544" s="220"/>
      <c r="AS544" s="220"/>
      <c r="AT544" s="220"/>
      <c r="AU544" s="220"/>
      <c r="AV544" s="220"/>
      <c r="AW544" s="220"/>
      <c r="AX544" s="220"/>
      <c r="AY544" s="220"/>
      <c r="AZ544" s="220"/>
      <c r="BA544" s="220"/>
      <c r="BB544" s="220"/>
    </row>
    <row r="545">
      <c r="A545" s="240"/>
      <c r="B545" s="319"/>
      <c r="C545" s="346"/>
      <c r="D545" s="346"/>
      <c r="E545" s="346"/>
      <c r="F545" s="346"/>
      <c r="G545" s="346"/>
      <c r="H545" s="346"/>
      <c r="I545" s="346"/>
      <c r="J545" s="346"/>
      <c r="K545" s="346"/>
      <c r="L545" s="346"/>
      <c r="M545" s="346"/>
      <c r="N545" s="346"/>
      <c r="O545" s="346"/>
      <c r="P545" s="346"/>
      <c r="Q545" s="346"/>
      <c r="R545" s="346"/>
      <c r="S545" s="346"/>
      <c r="T545" s="347"/>
      <c r="U545" s="345"/>
      <c r="V545" s="317"/>
      <c r="W545" s="318"/>
      <c r="X545" s="288"/>
      <c r="Y545" s="220"/>
      <c r="Z545" s="220"/>
      <c r="AA545" s="220"/>
      <c r="AB545" s="220"/>
      <c r="AC545" s="220"/>
      <c r="AD545" s="220"/>
      <c r="AE545" s="220"/>
      <c r="AF545" s="220"/>
      <c r="AG545" s="220"/>
      <c r="AH545" s="220"/>
      <c r="AI545" s="308"/>
      <c r="AJ545" s="220"/>
      <c r="AK545" s="220"/>
      <c r="AL545" s="220"/>
      <c r="AM545" s="220"/>
      <c r="AN545" s="220"/>
      <c r="AO545" s="220"/>
      <c r="AP545" s="220"/>
      <c r="AQ545" s="220"/>
      <c r="AR545" s="220"/>
      <c r="AS545" s="220"/>
      <c r="AT545" s="220"/>
      <c r="AU545" s="220"/>
      <c r="AV545" s="220"/>
      <c r="AW545" s="220"/>
      <c r="AX545" s="220"/>
      <c r="AY545" s="220"/>
      <c r="AZ545" s="220"/>
      <c r="BA545" s="220"/>
      <c r="BB545" s="220"/>
    </row>
    <row r="546">
      <c r="A546" s="240"/>
      <c r="B546" s="319"/>
      <c r="C546" s="346"/>
      <c r="D546" s="346"/>
      <c r="E546" s="346"/>
      <c r="F546" s="346"/>
      <c r="G546" s="346"/>
      <c r="H546" s="346"/>
      <c r="I546" s="346"/>
      <c r="J546" s="346"/>
      <c r="K546" s="346"/>
      <c r="L546" s="346"/>
      <c r="M546" s="346"/>
      <c r="N546" s="346"/>
      <c r="O546" s="346"/>
      <c r="P546" s="346"/>
      <c r="Q546" s="346"/>
      <c r="R546" s="346"/>
      <c r="S546" s="346"/>
      <c r="T546" s="347"/>
      <c r="U546" s="345"/>
      <c r="V546" s="317"/>
      <c r="W546" s="318"/>
      <c r="X546" s="288"/>
      <c r="Y546" s="220"/>
      <c r="Z546" s="220"/>
      <c r="AA546" s="220"/>
      <c r="AB546" s="220"/>
      <c r="AC546" s="220"/>
      <c r="AD546" s="220"/>
      <c r="AE546" s="220"/>
      <c r="AF546" s="220"/>
      <c r="AG546" s="220"/>
      <c r="AH546" s="220"/>
      <c r="AI546" s="308"/>
      <c r="AJ546" s="220"/>
      <c r="AK546" s="220"/>
      <c r="AL546" s="220"/>
      <c r="AM546" s="220"/>
      <c r="AN546" s="220"/>
      <c r="AO546" s="220"/>
      <c r="AP546" s="220"/>
      <c r="AQ546" s="220"/>
      <c r="AR546" s="220"/>
      <c r="AS546" s="220"/>
      <c r="AT546" s="220"/>
      <c r="AU546" s="220"/>
      <c r="AV546" s="220"/>
      <c r="AW546" s="220"/>
      <c r="AX546" s="220"/>
      <c r="AY546" s="220"/>
      <c r="AZ546" s="220"/>
      <c r="BA546" s="220"/>
      <c r="BB546" s="220"/>
    </row>
    <row r="547">
      <c r="A547" s="240"/>
      <c r="B547" s="319"/>
      <c r="C547" s="346"/>
      <c r="D547" s="346"/>
      <c r="E547" s="346"/>
      <c r="F547" s="346"/>
      <c r="G547" s="346"/>
      <c r="H547" s="346"/>
      <c r="I547" s="346"/>
      <c r="J547" s="346"/>
      <c r="K547" s="346"/>
      <c r="L547" s="346"/>
      <c r="M547" s="346"/>
      <c r="N547" s="346"/>
      <c r="O547" s="346"/>
      <c r="P547" s="346"/>
      <c r="Q547" s="346"/>
      <c r="R547" s="346"/>
      <c r="S547" s="346"/>
      <c r="T547" s="347"/>
      <c r="U547" s="345"/>
      <c r="V547" s="317"/>
      <c r="W547" s="318"/>
      <c r="X547" s="288"/>
      <c r="Y547" s="220"/>
      <c r="Z547" s="220"/>
      <c r="AA547" s="220"/>
      <c r="AB547" s="220"/>
      <c r="AC547" s="220"/>
      <c r="AD547" s="220"/>
      <c r="AE547" s="220"/>
      <c r="AF547" s="220"/>
      <c r="AG547" s="220"/>
      <c r="AH547" s="220"/>
      <c r="AI547" s="308"/>
      <c r="AJ547" s="220"/>
      <c r="AK547" s="220"/>
      <c r="AL547" s="220"/>
      <c r="AM547" s="220"/>
      <c r="AN547" s="220"/>
      <c r="AO547" s="220"/>
      <c r="AP547" s="220"/>
      <c r="AQ547" s="220"/>
      <c r="AR547" s="220"/>
      <c r="AS547" s="220"/>
      <c r="AT547" s="220"/>
      <c r="AU547" s="220"/>
      <c r="AV547" s="220"/>
      <c r="AW547" s="220"/>
      <c r="AX547" s="220"/>
      <c r="AY547" s="220"/>
      <c r="AZ547" s="220"/>
      <c r="BA547" s="220"/>
      <c r="BB547" s="220"/>
    </row>
    <row r="548">
      <c r="A548" s="240"/>
      <c r="B548" s="319"/>
      <c r="C548" s="346"/>
      <c r="D548" s="346"/>
      <c r="E548" s="346"/>
      <c r="F548" s="346"/>
      <c r="G548" s="346"/>
      <c r="H548" s="346"/>
      <c r="I548" s="346"/>
      <c r="J548" s="346"/>
      <c r="K548" s="346"/>
      <c r="L548" s="346"/>
      <c r="M548" s="346"/>
      <c r="N548" s="346"/>
      <c r="O548" s="346"/>
      <c r="P548" s="346"/>
      <c r="Q548" s="346"/>
      <c r="R548" s="346"/>
      <c r="S548" s="346"/>
      <c r="T548" s="347"/>
      <c r="U548" s="345"/>
      <c r="V548" s="317"/>
      <c r="W548" s="318"/>
      <c r="X548" s="288"/>
      <c r="Y548" s="220"/>
      <c r="Z548" s="220"/>
      <c r="AA548" s="220"/>
      <c r="AB548" s="220"/>
      <c r="AC548" s="220"/>
      <c r="AD548" s="220"/>
      <c r="AE548" s="220"/>
      <c r="AF548" s="220"/>
      <c r="AG548" s="220"/>
      <c r="AH548" s="220"/>
      <c r="AI548" s="308"/>
      <c r="AJ548" s="220"/>
      <c r="AK548" s="220"/>
      <c r="AL548" s="220"/>
      <c r="AM548" s="220"/>
      <c r="AN548" s="220"/>
      <c r="AO548" s="220"/>
      <c r="AP548" s="220"/>
      <c r="AQ548" s="220"/>
      <c r="AR548" s="220"/>
      <c r="AS548" s="220"/>
      <c r="AT548" s="220"/>
      <c r="AU548" s="220"/>
      <c r="AV548" s="220"/>
      <c r="AW548" s="220"/>
      <c r="AX548" s="220"/>
      <c r="AY548" s="220"/>
      <c r="AZ548" s="220"/>
      <c r="BA548" s="220"/>
      <c r="BB548" s="220"/>
    </row>
    <row r="549">
      <c r="A549" s="240"/>
      <c r="B549" s="319"/>
      <c r="C549" s="346"/>
      <c r="D549" s="346"/>
      <c r="E549" s="346"/>
      <c r="F549" s="346"/>
      <c r="G549" s="346"/>
      <c r="H549" s="346"/>
      <c r="I549" s="346"/>
      <c r="J549" s="346"/>
      <c r="K549" s="346"/>
      <c r="L549" s="346"/>
      <c r="M549" s="346"/>
      <c r="N549" s="346"/>
      <c r="O549" s="346"/>
      <c r="P549" s="346"/>
      <c r="Q549" s="346"/>
      <c r="R549" s="346"/>
      <c r="S549" s="346"/>
      <c r="T549" s="347"/>
      <c r="U549" s="345"/>
      <c r="V549" s="317"/>
      <c r="W549" s="318"/>
      <c r="X549" s="288"/>
      <c r="Y549" s="220"/>
      <c r="Z549" s="220"/>
      <c r="AA549" s="220"/>
      <c r="AB549" s="220"/>
      <c r="AC549" s="220"/>
      <c r="AD549" s="220"/>
      <c r="AE549" s="220"/>
      <c r="AF549" s="220"/>
      <c r="AG549" s="220"/>
      <c r="AH549" s="220"/>
      <c r="AI549" s="308"/>
      <c r="AJ549" s="220"/>
      <c r="AK549" s="220"/>
      <c r="AL549" s="220"/>
      <c r="AM549" s="220"/>
      <c r="AN549" s="220"/>
      <c r="AO549" s="220"/>
      <c r="AP549" s="220"/>
      <c r="AQ549" s="220"/>
      <c r="AR549" s="220"/>
      <c r="AS549" s="220"/>
      <c r="AT549" s="220"/>
      <c r="AU549" s="220"/>
      <c r="AV549" s="220"/>
      <c r="AW549" s="220"/>
      <c r="AX549" s="220"/>
      <c r="AY549" s="220"/>
      <c r="AZ549" s="220"/>
      <c r="BA549" s="220"/>
      <c r="BB549" s="220"/>
    </row>
    <row r="550">
      <c r="A550" s="240"/>
      <c r="B550" s="319"/>
      <c r="C550" s="346"/>
      <c r="D550" s="346"/>
      <c r="E550" s="346"/>
      <c r="F550" s="346"/>
      <c r="G550" s="346"/>
      <c r="H550" s="346"/>
      <c r="I550" s="346"/>
      <c r="J550" s="346"/>
      <c r="K550" s="346"/>
      <c r="L550" s="346"/>
      <c r="M550" s="346"/>
      <c r="N550" s="346"/>
      <c r="O550" s="346"/>
      <c r="P550" s="346"/>
      <c r="Q550" s="346"/>
      <c r="R550" s="346"/>
      <c r="S550" s="346"/>
      <c r="T550" s="347"/>
      <c r="U550" s="345"/>
      <c r="V550" s="317"/>
      <c r="W550" s="318"/>
      <c r="X550" s="288"/>
      <c r="Y550" s="220"/>
      <c r="Z550" s="220"/>
      <c r="AA550" s="220"/>
      <c r="AB550" s="220"/>
      <c r="AC550" s="220"/>
      <c r="AD550" s="220"/>
      <c r="AE550" s="220"/>
      <c r="AF550" s="220"/>
      <c r="AG550" s="220"/>
      <c r="AH550" s="220"/>
      <c r="AI550" s="308"/>
      <c r="AJ550" s="220"/>
      <c r="AK550" s="220"/>
      <c r="AL550" s="220"/>
      <c r="AM550" s="220"/>
      <c r="AN550" s="220"/>
      <c r="AO550" s="220"/>
      <c r="AP550" s="220"/>
      <c r="AQ550" s="220"/>
      <c r="AR550" s="220"/>
      <c r="AS550" s="220"/>
      <c r="AT550" s="220"/>
      <c r="AU550" s="220"/>
      <c r="AV550" s="220"/>
      <c r="AW550" s="220"/>
      <c r="AX550" s="220"/>
      <c r="AY550" s="220"/>
      <c r="AZ550" s="220"/>
      <c r="BA550" s="220"/>
      <c r="BB550" s="220"/>
    </row>
    <row r="551">
      <c r="A551" s="240"/>
      <c r="B551" s="319"/>
      <c r="C551" s="346"/>
      <c r="D551" s="346"/>
      <c r="E551" s="346"/>
      <c r="F551" s="346"/>
      <c r="G551" s="346"/>
      <c r="H551" s="346"/>
      <c r="I551" s="346"/>
      <c r="J551" s="346"/>
      <c r="K551" s="346"/>
      <c r="L551" s="346"/>
      <c r="M551" s="346"/>
      <c r="N551" s="346"/>
      <c r="O551" s="346"/>
      <c r="P551" s="346"/>
      <c r="Q551" s="346"/>
      <c r="R551" s="346"/>
      <c r="S551" s="346"/>
      <c r="T551" s="347"/>
      <c r="U551" s="345"/>
      <c r="V551" s="317"/>
      <c r="W551" s="318"/>
      <c r="X551" s="288"/>
      <c r="Y551" s="220"/>
      <c r="Z551" s="220"/>
      <c r="AA551" s="220"/>
      <c r="AB551" s="220"/>
      <c r="AC551" s="220"/>
      <c r="AD551" s="220"/>
      <c r="AE551" s="220"/>
      <c r="AF551" s="220"/>
      <c r="AG551" s="220"/>
      <c r="AH551" s="220"/>
      <c r="AI551" s="308"/>
      <c r="AJ551" s="220"/>
      <c r="AK551" s="220"/>
      <c r="AL551" s="220"/>
      <c r="AM551" s="220"/>
      <c r="AN551" s="220"/>
      <c r="AO551" s="220"/>
      <c r="AP551" s="220"/>
      <c r="AQ551" s="220"/>
      <c r="AR551" s="220"/>
      <c r="AS551" s="220"/>
      <c r="AT551" s="220"/>
      <c r="AU551" s="220"/>
      <c r="AV551" s="220"/>
      <c r="AW551" s="220"/>
      <c r="AX551" s="220"/>
      <c r="AY551" s="220"/>
      <c r="AZ551" s="220"/>
      <c r="BA551" s="220"/>
      <c r="BB551" s="220"/>
    </row>
    <row r="552">
      <c r="A552" s="240"/>
      <c r="B552" s="319"/>
      <c r="C552" s="346"/>
      <c r="D552" s="346"/>
      <c r="E552" s="346"/>
      <c r="F552" s="346"/>
      <c r="G552" s="346"/>
      <c r="H552" s="346"/>
      <c r="I552" s="346"/>
      <c r="J552" s="346"/>
      <c r="K552" s="346"/>
      <c r="L552" s="346"/>
      <c r="M552" s="346"/>
      <c r="N552" s="346"/>
      <c r="O552" s="346"/>
      <c r="P552" s="346"/>
      <c r="Q552" s="346"/>
      <c r="R552" s="346"/>
      <c r="S552" s="346"/>
      <c r="T552" s="347"/>
      <c r="U552" s="345"/>
      <c r="V552" s="317"/>
      <c r="W552" s="318"/>
      <c r="X552" s="288"/>
      <c r="Y552" s="220"/>
      <c r="Z552" s="220"/>
      <c r="AA552" s="220"/>
      <c r="AB552" s="220"/>
      <c r="AC552" s="220"/>
      <c r="AD552" s="220"/>
      <c r="AE552" s="220"/>
      <c r="AF552" s="220"/>
      <c r="AG552" s="220"/>
      <c r="AH552" s="220"/>
      <c r="AI552" s="308"/>
      <c r="AJ552" s="220"/>
      <c r="AK552" s="220"/>
      <c r="AL552" s="220"/>
      <c r="AM552" s="220"/>
      <c r="AN552" s="220"/>
      <c r="AO552" s="220"/>
      <c r="AP552" s="220"/>
      <c r="AQ552" s="220"/>
      <c r="AR552" s="220"/>
      <c r="AS552" s="220"/>
      <c r="AT552" s="220"/>
      <c r="AU552" s="220"/>
      <c r="AV552" s="220"/>
      <c r="AW552" s="220"/>
      <c r="AX552" s="220"/>
      <c r="AY552" s="220"/>
      <c r="AZ552" s="220"/>
      <c r="BA552" s="220"/>
      <c r="BB552" s="220"/>
    </row>
    <row r="553">
      <c r="A553" s="240"/>
      <c r="B553" s="319"/>
      <c r="C553" s="346"/>
      <c r="D553" s="346"/>
      <c r="E553" s="346"/>
      <c r="F553" s="346"/>
      <c r="G553" s="346"/>
      <c r="H553" s="346"/>
      <c r="I553" s="346"/>
      <c r="J553" s="346"/>
      <c r="K553" s="346"/>
      <c r="L553" s="346"/>
      <c r="M553" s="346"/>
      <c r="N553" s="346"/>
      <c r="O553" s="346"/>
      <c r="P553" s="346"/>
      <c r="Q553" s="346"/>
      <c r="R553" s="346"/>
      <c r="S553" s="346"/>
      <c r="T553" s="347"/>
      <c r="U553" s="345"/>
      <c r="V553" s="317"/>
      <c r="W553" s="318"/>
      <c r="X553" s="288"/>
      <c r="Y553" s="220"/>
      <c r="Z553" s="220"/>
      <c r="AA553" s="220"/>
      <c r="AB553" s="220"/>
      <c r="AC553" s="220"/>
      <c r="AD553" s="220"/>
      <c r="AE553" s="220"/>
      <c r="AF553" s="220"/>
      <c r="AG553" s="220"/>
      <c r="AH553" s="220"/>
      <c r="AI553" s="308"/>
      <c r="AJ553" s="220"/>
      <c r="AK553" s="220"/>
      <c r="AL553" s="220"/>
      <c r="AM553" s="220"/>
      <c r="AN553" s="220"/>
      <c r="AO553" s="220"/>
      <c r="AP553" s="220"/>
      <c r="AQ553" s="220"/>
      <c r="AR553" s="220"/>
      <c r="AS553" s="220"/>
      <c r="AT553" s="220"/>
      <c r="AU553" s="220"/>
      <c r="AV553" s="220"/>
      <c r="AW553" s="220"/>
      <c r="AX553" s="220"/>
      <c r="AY553" s="220"/>
      <c r="AZ553" s="220"/>
      <c r="BA553" s="220"/>
      <c r="BB553" s="220"/>
    </row>
    <row r="554">
      <c r="A554" s="240"/>
      <c r="B554" s="319"/>
      <c r="C554" s="346"/>
      <c r="D554" s="346"/>
      <c r="E554" s="346"/>
      <c r="F554" s="346"/>
      <c r="G554" s="346"/>
      <c r="H554" s="346"/>
      <c r="I554" s="346"/>
      <c r="J554" s="346"/>
      <c r="K554" s="346"/>
      <c r="L554" s="346"/>
      <c r="M554" s="346"/>
      <c r="N554" s="346"/>
      <c r="O554" s="346"/>
      <c r="P554" s="346"/>
      <c r="Q554" s="346"/>
      <c r="R554" s="346"/>
      <c r="S554" s="346"/>
      <c r="T554" s="347"/>
      <c r="U554" s="345"/>
      <c r="V554" s="317"/>
      <c r="W554" s="318"/>
      <c r="X554" s="288"/>
      <c r="Y554" s="220"/>
      <c r="Z554" s="220"/>
      <c r="AA554" s="220"/>
      <c r="AB554" s="220"/>
      <c r="AC554" s="220"/>
      <c r="AD554" s="220"/>
      <c r="AE554" s="220"/>
      <c r="AF554" s="220"/>
      <c r="AG554" s="220"/>
      <c r="AH554" s="220"/>
      <c r="AI554" s="308"/>
      <c r="AJ554" s="220"/>
      <c r="AK554" s="220"/>
      <c r="AL554" s="220"/>
      <c r="AM554" s="220"/>
      <c r="AN554" s="220"/>
      <c r="AO554" s="220"/>
      <c r="AP554" s="220"/>
      <c r="AQ554" s="220"/>
      <c r="AR554" s="220"/>
      <c r="AS554" s="220"/>
      <c r="AT554" s="220"/>
      <c r="AU554" s="220"/>
      <c r="AV554" s="220"/>
      <c r="AW554" s="220"/>
      <c r="AX554" s="220"/>
      <c r="AY554" s="220"/>
      <c r="AZ554" s="220"/>
      <c r="BA554" s="220"/>
      <c r="BB554" s="220"/>
    </row>
    <row r="555">
      <c r="A555" s="240"/>
      <c r="B555" s="319"/>
      <c r="C555" s="346"/>
      <c r="D555" s="346"/>
      <c r="E555" s="346"/>
      <c r="F555" s="346"/>
      <c r="G555" s="346"/>
      <c r="H555" s="346"/>
      <c r="I555" s="346"/>
      <c r="J555" s="346"/>
      <c r="K555" s="346"/>
      <c r="L555" s="346"/>
      <c r="M555" s="346"/>
      <c r="N555" s="346"/>
      <c r="O555" s="346"/>
      <c r="P555" s="346"/>
      <c r="Q555" s="346"/>
      <c r="R555" s="346"/>
      <c r="S555" s="346"/>
      <c r="T555" s="347"/>
      <c r="U555" s="345"/>
      <c r="V555" s="317"/>
      <c r="W555" s="318"/>
      <c r="X555" s="288"/>
      <c r="Y555" s="220"/>
      <c r="Z555" s="220"/>
      <c r="AA555" s="220"/>
      <c r="AB555" s="220"/>
      <c r="AC555" s="220"/>
      <c r="AD555" s="220"/>
      <c r="AE555" s="220"/>
      <c r="AF555" s="220"/>
      <c r="AG555" s="220"/>
      <c r="AH555" s="220"/>
      <c r="AI555" s="308"/>
      <c r="AJ555" s="220"/>
      <c r="AK555" s="220"/>
      <c r="AL555" s="220"/>
      <c r="AM555" s="220"/>
      <c r="AN555" s="220"/>
      <c r="AO555" s="220"/>
      <c r="AP555" s="220"/>
      <c r="AQ555" s="220"/>
      <c r="AR555" s="220"/>
      <c r="AS555" s="220"/>
      <c r="AT555" s="220"/>
      <c r="AU555" s="220"/>
      <c r="AV555" s="220"/>
      <c r="AW555" s="220"/>
      <c r="AX555" s="220"/>
      <c r="AY555" s="220"/>
      <c r="AZ555" s="220"/>
      <c r="BA555" s="220"/>
      <c r="BB555" s="220"/>
    </row>
    <row r="556">
      <c r="A556" s="240"/>
      <c r="B556" s="319"/>
      <c r="C556" s="346"/>
      <c r="D556" s="346"/>
      <c r="E556" s="346"/>
      <c r="F556" s="346"/>
      <c r="G556" s="346"/>
      <c r="H556" s="346"/>
      <c r="I556" s="346"/>
      <c r="J556" s="346"/>
      <c r="K556" s="346"/>
      <c r="L556" s="346"/>
      <c r="M556" s="346"/>
      <c r="N556" s="346"/>
      <c r="O556" s="346"/>
      <c r="P556" s="346"/>
      <c r="Q556" s="346"/>
      <c r="R556" s="346"/>
      <c r="S556" s="346"/>
      <c r="T556" s="347"/>
      <c r="U556" s="345"/>
      <c r="V556" s="317"/>
      <c r="W556" s="318"/>
      <c r="X556" s="288"/>
      <c r="Y556" s="220"/>
      <c r="Z556" s="220"/>
      <c r="AA556" s="220"/>
      <c r="AB556" s="220"/>
      <c r="AC556" s="220"/>
      <c r="AD556" s="220"/>
      <c r="AE556" s="220"/>
      <c r="AF556" s="220"/>
      <c r="AG556" s="220"/>
      <c r="AH556" s="220"/>
      <c r="AI556" s="308"/>
      <c r="AJ556" s="220"/>
      <c r="AK556" s="220"/>
      <c r="AL556" s="220"/>
      <c r="AM556" s="220"/>
      <c r="AN556" s="220"/>
      <c r="AO556" s="220"/>
      <c r="AP556" s="220"/>
      <c r="AQ556" s="220"/>
      <c r="AR556" s="220"/>
      <c r="AS556" s="220"/>
      <c r="AT556" s="220"/>
      <c r="AU556" s="220"/>
      <c r="AV556" s="220"/>
      <c r="AW556" s="220"/>
      <c r="AX556" s="220"/>
      <c r="AY556" s="220"/>
      <c r="AZ556" s="220"/>
      <c r="BA556" s="220"/>
      <c r="BB556" s="220"/>
    </row>
    <row r="557">
      <c r="A557" s="240"/>
      <c r="B557" s="319"/>
      <c r="C557" s="346"/>
      <c r="D557" s="346"/>
      <c r="E557" s="346"/>
      <c r="F557" s="346"/>
      <c r="G557" s="346"/>
      <c r="H557" s="346"/>
      <c r="I557" s="346"/>
      <c r="J557" s="346"/>
      <c r="K557" s="346"/>
      <c r="L557" s="346"/>
      <c r="M557" s="346"/>
      <c r="N557" s="346"/>
      <c r="O557" s="346"/>
      <c r="P557" s="346"/>
      <c r="Q557" s="346"/>
      <c r="R557" s="346"/>
      <c r="S557" s="346"/>
      <c r="T557" s="347"/>
      <c r="U557" s="345"/>
      <c r="V557" s="317"/>
      <c r="W557" s="318"/>
      <c r="X557" s="288"/>
      <c r="Y557" s="220"/>
      <c r="Z557" s="220"/>
      <c r="AA557" s="220"/>
      <c r="AB557" s="220"/>
      <c r="AC557" s="220"/>
      <c r="AD557" s="220"/>
      <c r="AE557" s="220"/>
      <c r="AF557" s="220"/>
      <c r="AG557" s="220"/>
      <c r="AH557" s="220"/>
      <c r="AI557" s="308"/>
      <c r="AJ557" s="220"/>
      <c r="AK557" s="220"/>
      <c r="AL557" s="220"/>
      <c r="AM557" s="220"/>
      <c r="AN557" s="220"/>
      <c r="AO557" s="220"/>
      <c r="AP557" s="220"/>
      <c r="AQ557" s="220"/>
      <c r="AR557" s="220"/>
      <c r="AS557" s="220"/>
      <c r="AT557" s="220"/>
      <c r="AU557" s="220"/>
      <c r="AV557" s="220"/>
      <c r="AW557" s="220"/>
      <c r="AX557" s="220"/>
      <c r="AY557" s="220"/>
      <c r="AZ557" s="220"/>
      <c r="BA557" s="220"/>
      <c r="BB557" s="220"/>
    </row>
    <row r="558">
      <c r="A558" s="240"/>
      <c r="B558" s="319"/>
      <c r="C558" s="346"/>
      <c r="D558" s="346"/>
      <c r="E558" s="346"/>
      <c r="F558" s="346"/>
      <c r="G558" s="346"/>
      <c r="H558" s="346"/>
      <c r="I558" s="346"/>
      <c r="J558" s="346"/>
      <c r="K558" s="346"/>
      <c r="L558" s="346"/>
      <c r="M558" s="346"/>
      <c r="N558" s="346"/>
      <c r="O558" s="346"/>
      <c r="P558" s="346"/>
      <c r="Q558" s="346"/>
      <c r="R558" s="346"/>
      <c r="S558" s="346"/>
      <c r="T558" s="347"/>
      <c r="U558" s="345"/>
      <c r="V558" s="317"/>
      <c r="W558" s="318"/>
      <c r="X558" s="288"/>
      <c r="Y558" s="220"/>
      <c r="Z558" s="220"/>
      <c r="AA558" s="220"/>
      <c r="AB558" s="220"/>
      <c r="AC558" s="220"/>
      <c r="AD558" s="220"/>
      <c r="AE558" s="220"/>
      <c r="AF558" s="220"/>
      <c r="AG558" s="220"/>
      <c r="AH558" s="220"/>
      <c r="AI558" s="308"/>
      <c r="AJ558" s="220"/>
      <c r="AK558" s="220"/>
      <c r="AL558" s="220"/>
      <c r="AM558" s="220"/>
      <c r="AN558" s="220"/>
      <c r="AO558" s="220"/>
      <c r="AP558" s="220"/>
      <c r="AQ558" s="220"/>
      <c r="AR558" s="220"/>
      <c r="AS558" s="220"/>
      <c r="AT558" s="220"/>
      <c r="AU558" s="220"/>
      <c r="AV558" s="220"/>
      <c r="AW558" s="220"/>
      <c r="AX558" s="220"/>
      <c r="AY558" s="220"/>
      <c r="AZ558" s="220"/>
      <c r="BA558" s="220"/>
      <c r="BB558" s="220"/>
    </row>
    <row r="559">
      <c r="A559" s="240"/>
      <c r="B559" s="319"/>
      <c r="C559" s="346"/>
      <c r="D559" s="346"/>
      <c r="E559" s="346"/>
      <c r="F559" s="346"/>
      <c r="G559" s="346"/>
      <c r="H559" s="346"/>
      <c r="I559" s="346"/>
      <c r="J559" s="346"/>
      <c r="K559" s="346"/>
      <c r="L559" s="346"/>
      <c r="M559" s="346"/>
      <c r="N559" s="346"/>
      <c r="O559" s="346"/>
      <c r="P559" s="346"/>
      <c r="Q559" s="346"/>
      <c r="R559" s="346"/>
      <c r="S559" s="346"/>
      <c r="T559" s="347"/>
      <c r="U559" s="345"/>
      <c r="V559" s="317"/>
      <c r="W559" s="318"/>
      <c r="X559" s="288"/>
      <c r="Y559" s="220"/>
      <c r="Z559" s="220"/>
      <c r="AA559" s="220"/>
      <c r="AB559" s="220"/>
      <c r="AC559" s="220"/>
      <c r="AD559" s="220"/>
      <c r="AE559" s="220"/>
      <c r="AF559" s="220"/>
      <c r="AG559" s="220"/>
      <c r="AH559" s="220"/>
      <c r="AI559" s="308"/>
      <c r="AJ559" s="220"/>
      <c r="AK559" s="220"/>
      <c r="AL559" s="220"/>
      <c r="AM559" s="220"/>
      <c r="AN559" s="220"/>
      <c r="AO559" s="220"/>
      <c r="AP559" s="220"/>
      <c r="AQ559" s="220"/>
      <c r="AR559" s="220"/>
      <c r="AS559" s="220"/>
      <c r="AT559" s="220"/>
      <c r="AU559" s="220"/>
      <c r="AV559" s="220"/>
      <c r="AW559" s="220"/>
      <c r="AX559" s="220"/>
      <c r="AY559" s="220"/>
      <c r="AZ559" s="220"/>
      <c r="BA559" s="220"/>
      <c r="BB559" s="220"/>
    </row>
    <row r="560">
      <c r="A560" s="240"/>
      <c r="B560" s="319"/>
      <c r="C560" s="346"/>
      <c r="D560" s="346"/>
      <c r="E560" s="346"/>
      <c r="F560" s="346"/>
      <c r="G560" s="346"/>
      <c r="H560" s="346"/>
      <c r="I560" s="346"/>
      <c r="J560" s="346"/>
      <c r="K560" s="346"/>
      <c r="L560" s="346"/>
      <c r="M560" s="346"/>
      <c r="N560" s="346"/>
      <c r="O560" s="346"/>
      <c r="P560" s="346"/>
      <c r="Q560" s="346"/>
      <c r="R560" s="346"/>
      <c r="S560" s="346"/>
      <c r="T560" s="347"/>
      <c r="U560" s="345"/>
      <c r="V560" s="317"/>
      <c r="W560" s="318"/>
      <c r="X560" s="288"/>
      <c r="Y560" s="220"/>
      <c r="Z560" s="220"/>
      <c r="AA560" s="220"/>
      <c r="AB560" s="220"/>
      <c r="AC560" s="220"/>
      <c r="AD560" s="220"/>
      <c r="AE560" s="220"/>
      <c r="AF560" s="220"/>
      <c r="AG560" s="220"/>
      <c r="AH560" s="220"/>
      <c r="AI560" s="308"/>
      <c r="AJ560" s="220"/>
      <c r="AK560" s="220"/>
      <c r="AL560" s="220"/>
      <c r="AM560" s="220"/>
      <c r="AN560" s="220"/>
      <c r="AO560" s="220"/>
      <c r="AP560" s="220"/>
      <c r="AQ560" s="220"/>
      <c r="AR560" s="220"/>
      <c r="AS560" s="220"/>
      <c r="AT560" s="220"/>
      <c r="AU560" s="220"/>
      <c r="AV560" s="220"/>
      <c r="AW560" s="220"/>
      <c r="AX560" s="220"/>
      <c r="AY560" s="220"/>
      <c r="AZ560" s="220"/>
      <c r="BA560" s="220"/>
      <c r="BB560" s="220"/>
    </row>
    <row r="561">
      <c r="A561" s="240"/>
      <c r="B561" s="319"/>
      <c r="C561" s="346"/>
      <c r="D561" s="346"/>
      <c r="E561" s="346"/>
      <c r="F561" s="346"/>
      <c r="G561" s="346"/>
      <c r="H561" s="346"/>
      <c r="I561" s="346"/>
      <c r="J561" s="346"/>
      <c r="K561" s="346"/>
      <c r="L561" s="346"/>
      <c r="M561" s="346"/>
      <c r="N561" s="346"/>
      <c r="O561" s="346"/>
      <c r="P561" s="346"/>
      <c r="Q561" s="346"/>
      <c r="R561" s="346"/>
      <c r="S561" s="346"/>
      <c r="T561" s="347"/>
      <c r="U561" s="345"/>
      <c r="V561" s="317"/>
      <c r="W561" s="318"/>
      <c r="X561" s="288"/>
      <c r="Y561" s="220"/>
      <c r="Z561" s="220"/>
      <c r="AA561" s="220"/>
      <c r="AB561" s="220"/>
      <c r="AC561" s="220"/>
      <c r="AD561" s="220"/>
      <c r="AE561" s="220"/>
      <c r="AF561" s="220"/>
      <c r="AG561" s="220"/>
      <c r="AH561" s="220"/>
      <c r="AI561" s="308"/>
      <c r="AJ561" s="220"/>
      <c r="AK561" s="220"/>
      <c r="AL561" s="220"/>
      <c r="AM561" s="220"/>
      <c r="AN561" s="220"/>
      <c r="AO561" s="220"/>
      <c r="AP561" s="220"/>
      <c r="AQ561" s="220"/>
      <c r="AR561" s="220"/>
      <c r="AS561" s="220"/>
      <c r="AT561" s="220"/>
      <c r="AU561" s="220"/>
      <c r="AV561" s="220"/>
      <c r="AW561" s="220"/>
      <c r="AX561" s="220"/>
      <c r="AY561" s="220"/>
      <c r="AZ561" s="220"/>
      <c r="BA561" s="220"/>
      <c r="BB561" s="220"/>
    </row>
    <row r="562">
      <c r="A562" s="240"/>
      <c r="B562" s="319"/>
      <c r="C562" s="346"/>
      <c r="D562" s="346"/>
      <c r="E562" s="346"/>
      <c r="F562" s="346"/>
      <c r="G562" s="346"/>
      <c r="H562" s="346"/>
      <c r="I562" s="346"/>
      <c r="J562" s="346"/>
      <c r="K562" s="346"/>
      <c r="L562" s="346"/>
      <c r="M562" s="346"/>
      <c r="N562" s="346"/>
      <c r="O562" s="346"/>
      <c r="P562" s="346"/>
      <c r="Q562" s="346"/>
      <c r="R562" s="346"/>
      <c r="S562" s="346"/>
      <c r="T562" s="347"/>
      <c r="U562" s="345"/>
      <c r="V562" s="317"/>
      <c r="W562" s="318"/>
      <c r="X562" s="288"/>
      <c r="Y562" s="220"/>
      <c r="Z562" s="220"/>
      <c r="AA562" s="220"/>
      <c r="AB562" s="220"/>
      <c r="AC562" s="220"/>
      <c r="AD562" s="220"/>
      <c r="AE562" s="220"/>
      <c r="AF562" s="220"/>
      <c r="AG562" s="220"/>
      <c r="AH562" s="220"/>
      <c r="AI562" s="308"/>
      <c r="AJ562" s="220"/>
      <c r="AK562" s="220"/>
      <c r="AL562" s="220"/>
      <c r="AM562" s="220"/>
      <c r="AN562" s="220"/>
      <c r="AO562" s="220"/>
      <c r="AP562" s="220"/>
      <c r="AQ562" s="220"/>
      <c r="AR562" s="220"/>
      <c r="AS562" s="220"/>
      <c r="AT562" s="220"/>
      <c r="AU562" s="220"/>
      <c r="AV562" s="220"/>
      <c r="AW562" s="220"/>
      <c r="AX562" s="220"/>
      <c r="AY562" s="220"/>
      <c r="AZ562" s="220"/>
      <c r="BA562" s="220"/>
      <c r="BB562" s="220"/>
    </row>
    <row r="563">
      <c r="A563" s="240"/>
      <c r="B563" s="319"/>
      <c r="C563" s="346"/>
      <c r="D563" s="346"/>
      <c r="E563" s="346"/>
      <c r="F563" s="346"/>
      <c r="G563" s="346"/>
      <c r="H563" s="346"/>
      <c r="I563" s="346"/>
      <c r="J563" s="346"/>
      <c r="K563" s="346"/>
      <c r="L563" s="346"/>
      <c r="M563" s="346"/>
      <c r="N563" s="346"/>
      <c r="O563" s="346"/>
      <c r="P563" s="346"/>
      <c r="Q563" s="346"/>
      <c r="R563" s="346"/>
      <c r="S563" s="346"/>
      <c r="T563" s="347"/>
      <c r="U563" s="345"/>
      <c r="V563" s="317"/>
      <c r="W563" s="318"/>
      <c r="X563" s="288"/>
      <c r="Y563" s="220"/>
      <c r="Z563" s="220"/>
      <c r="AA563" s="220"/>
      <c r="AB563" s="220"/>
      <c r="AC563" s="220"/>
      <c r="AD563" s="220"/>
      <c r="AE563" s="220"/>
      <c r="AF563" s="220"/>
      <c r="AG563" s="220"/>
      <c r="AH563" s="220"/>
      <c r="AI563" s="308"/>
      <c r="AJ563" s="220"/>
      <c r="AK563" s="220"/>
      <c r="AL563" s="220"/>
      <c r="AM563" s="220"/>
      <c r="AN563" s="220"/>
      <c r="AO563" s="220"/>
      <c r="AP563" s="220"/>
      <c r="AQ563" s="220"/>
      <c r="AR563" s="220"/>
      <c r="AS563" s="220"/>
      <c r="AT563" s="220"/>
      <c r="AU563" s="220"/>
      <c r="AV563" s="220"/>
      <c r="AW563" s="220"/>
      <c r="AX563" s="220"/>
      <c r="AY563" s="220"/>
      <c r="AZ563" s="220"/>
      <c r="BA563" s="220"/>
      <c r="BB563" s="220"/>
    </row>
    <row r="564">
      <c r="A564" s="240"/>
      <c r="B564" s="319"/>
      <c r="C564" s="346"/>
      <c r="D564" s="346"/>
      <c r="E564" s="346"/>
      <c r="F564" s="346"/>
      <c r="G564" s="346"/>
      <c r="H564" s="346"/>
      <c r="I564" s="346"/>
      <c r="J564" s="346"/>
      <c r="K564" s="346"/>
      <c r="L564" s="346"/>
      <c r="M564" s="346"/>
      <c r="N564" s="346"/>
      <c r="O564" s="346"/>
      <c r="P564" s="346"/>
      <c r="Q564" s="346"/>
      <c r="R564" s="346"/>
      <c r="S564" s="346"/>
      <c r="T564" s="347"/>
      <c r="U564" s="345"/>
      <c r="V564" s="317"/>
      <c r="W564" s="318"/>
      <c r="X564" s="288"/>
      <c r="Y564" s="220"/>
      <c r="Z564" s="220"/>
      <c r="AA564" s="220"/>
      <c r="AB564" s="220"/>
      <c r="AC564" s="220"/>
      <c r="AD564" s="220"/>
      <c r="AE564" s="220"/>
      <c r="AF564" s="220"/>
      <c r="AG564" s="220"/>
      <c r="AH564" s="220"/>
      <c r="AI564" s="308"/>
      <c r="AJ564" s="220"/>
      <c r="AK564" s="220"/>
      <c r="AL564" s="220"/>
      <c r="AM564" s="220"/>
      <c r="AN564" s="220"/>
      <c r="AO564" s="220"/>
      <c r="AP564" s="220"/>
      <c r="AQ564" s="220"/>
      <c r="AR564" s="220"/>
      <c r="AS564" s="220"/>
      <c r="AT564" s="220"/>
      <c r="AU564" s="220"/>
      <c r="AV564" s="220"/>
      <c r="AW564" s="220"/>
      <c r="AX564" s="220"/>
      <c r="AY564" s="220"/>
      <c r="AZ564" s="220"/>
      <c r="BA564" s="220"/>
      <c r="BB564" s="220"/>
    </row>
    <row r="565">
      <c r="A565" s="240"/>
      <c r="B565" s="319"/>
      <c r="C565" s="346"/>
      <c r="D565" s="346"/>
      <c r="E565" s="346"/>
      <c r="F565" s="346"/>
      <c r="G565" s="346"/>
      <c r="H565" s="346"/>
      <c r="I565" s="346"/>
      <c r="J565" s="346"/>
      <c r="K565" s="346"/>
      <c r="L565" s="346"/>
      <c r="M565" s="346"/>
      <c r="N565" s="346"/>
      <c r="O565" s="346"/>
      <c r="P565" s="346"/>
      <c r="Q565" s="346"/>
      <c r="R565" s="346"/>
      <c r="S565" s="346"/>
      <c r="T565" s="347"/>
      <c r="U565" s="345"/>
      <c r="V565" s="317"/>
      <c r="W565" s="318"/>
      <c r="X565" s="288"/>
      <c r="Y565" s="220"/>
      <c r="Z565" s="220"/>
      <c r="AA565" s="220"/>
      <c r="AB565" s="220"/>
      <c r="AC565" s="220"/>
      <c r="AD565" s="220"/>
      <c r="AE565" s="220"/>
      <c r="AF565" s="220"/>
      <c r="AG565" s="220"/>
      <c r="AH565" s="220"/>
      <c r="AI565" s="308"/>
      <c r="AJ565" s="220"/>
      <c r="AK565" s="220"/>
      <c r="AL565" s="220"/>
      <c r="AM565" s="220"/>
      <c r="AN565" s="220"/>
      <c r="AO565" s="220"/>
      <c r="AP565" s="220"/>
      <c r="AQ565" s="220"/>
      <c r="AR565" s="220"/>
      <c r="AS565" s="220"/>
      <c r="AT565" s="220"/>
      <c r="AU565" s="220"/>
      <c r="AV565" s="220"/>
      <c r="AW565" s="220"/>
      <c r="AX565" s="220"/>
      <c r="AY565" s="220"/>
      <c r="AZ565" s="220"/>
      <c r="BA565" s="220"/>
      <c r="BB565" s="220"/>
    </row>
    <row r="566">
      <c r="A566" s="240"/>
      <c r="B566" s="319"/>
      <c r="C566" s="346"/>
      <c r="D566" s="346"/>
      <c r="E566" s="346"/>
      <c r="F566" s="346"/>
      <c r="G566" s="346"/>
      <c r="H566" s="346"/>
      <c r="I566" s="346"/>
      <c r="J566" s="346"/>
      <c r="K566" s="346"/>
      <c r="L566" s="346"/>
      <c r="M566" s="346"/>
      <c r="N566" s="346"/>
      <c r="O566" s="346"/>
      <c r="P566" s="346"/>
      <c r="Q566" s="346"/>
      <c r="R566" s="346"/>
      <c r="S566" s="346"/>
      <c r="T566" s="347"/>
      <c r="U566" s="345"/>
      <c r="V566" s="317"/>
      <c r="W566" s="318"/>
      <c r="X566" s="288"/>
      <c r="Y566" s="220"/>
      <c r="Z566" s="220"/>
      <c r="AA566" s="220"/>
      <c r="AB566" s="220"/>
      <c r="AC566" s="220"/>
      <c r="AD566" s="220"/>
      <c r="AE566" s="220"/>
      <c r="AF566" s="220"/>
      <c r="AG566" s="220"/>
      <c r="AH566" s="220"/>
      <c r="AI566" s="308"/>
      <c r="AJ566" s="220"/>
      <c r="AK566" s="220"/>
      <c r="AL566" s="220"/>
      <c r="AM566" s="220"/>
      <c r="AN566" s="220"/>
      <c r="AO566" s="220"/>
      <c r="AP566" s="220"/>
      <c r="AQ566" s="220"/>
      <c r="AR566" s="220"/>
      <c r="AS566" s="220"/>
      <c r="AT566" s="220"/>
      <c r="AU566" s="220"/>
      <c r="AV566" s="220"/>
      <c r="AW566" s="220"/>
      <c r="AX566" s="220"/>
      <c r="AY566" s="220"/>
      <c r="AZ566" s="220"/>
      <c r="BA566" s="220"/>
      <c r="BB566" s="220"/>
    </row>
    <row r="567">
      <c r="A567" s="240"/>
      <c r="B567" s="319"/>
      <c r="C567" s="346"/>
      <c r="D567" s="346"/>
      <c r="E567" s="346"/>
      <c r="F567" s="346"/>
      <c r="G567" s="346"/>
      <c r="H567" s="346"/>
      <c r="I567" s="346"/>
      <c r="J567" s="346"/>
      <c r="K567" s="346"/>
      <c r="L567" s="346"/>
      <c r="M567" s="346"/>
      <c r="N567" s="346"/>
      <c r="O567" s="346"/>
      <c r="P567" s="346"/>
      <c r="Q567" s="346"/>
      <c r="R567" s="346"/>
      <c r="S567" s="346"/>
      <c r="T567" s="347"/>
      <c r="U567" s="345"/>
      <c r="V567" s="317"/>
      <c r="W567" s="318"/>
      <c r="X567" s="288"/>
      <c r="Y567" s="220"/>
      <c r="Z567" s="220"/>
      <c r="AA567" s="220"/>
      <c r="AB567" s="220"/>
      <c r="AC567" s="220"/>
      <c r="AD567" s="220"/>
      <c r="AE567" s="220"/>
      <c r="AF567" s="220"/>
      <c r="AG567" s="220"/>
      <c r="AH567" s="220"/>
      <c r="AI567" s="308"/>
      <c r="AJ567" s="220"/>
      <c r="AK567" s="220"/>
      <c r="AL567" s="220"/>
      <c r="AM567" s="220"/>
      <c r="AN567" s="220"/>
      <c r="AO567" s="220"/>
      <c r="AP567" s="220"/>
      <c r="AQ567" s="220"/>
      <c r="AR567" s="220"/>
      <c r="AS567" s="220"/>
      <c r="AT567" s="220"/>
      <c r="AU567" s="220"/>
      <c r="AV567" s="220"/>
      <c r="AW567" s="220"/>
      <c r="AX567" s="220"/>
      <c r="AY567" s="220"/>
      <c r="AZ567" s="220"/>
      <c r="BA567" s="220"/>
      <c r="BB567" s="220"/>
    </row>
    <row r="568">
      <c r="A568" s="240"/>
      <c r="B568" s="319"/>
      <c r="C568" s="346"/>
      <c r="D568" s="346"/>
      <c r="E568" s="346"/>
      <c r="F568" s="346"/>
      <c r="G568" s="346"/>
      <c r="H568" s="346"/>
      <c r="I568" s="346"/>
      <c r="J568" s="346"/>
      <c r="K568" s="346"/>
      <c r="L568" s="346"/>
      <c r="M568" s="346"/>
      <c r="N568" s="346"/>
      <c r="O568" s="346"/>
      <c r="P568" s="346"/>
      <c r="Q568" s="346"/>
      <c r="R568" s="346"/>
      <c r="S568" s="346"/>
      <c r="T568" s="347"/>
      <c r="U568" s="345"/>
      <c r="V568" s="317"/>
      <c r="W568" s="318"/>
      <c r="X568" s="288"/>
      <c r="Y568" s="220"/>
      <c r="Z568" s="220"/>
      <c r="AA568" s="220"/>
      <c r="AB568" s="220"/>
      <c r="AC568" s="220"/>
      <c r="AD568" s="220"/>
      <c r="AE568" s="220"/>
      <c r="AF568" s="220"/>
      <c r="AG568" s="220"/>
      <c r="AH568" s="220"/>
      <c r="AI568" s="308"/>
      <c r="AJ568" s="220"/>
      <c r="AK568" s="220"/>
      <c r="AL568" s="220"/>
      <c r="AM568" s="220"/>
      <c r="AN568" s="220"/>
      <c r="AO568" s="220"/>
      <c r="AP568" s="220"/>
      <c r="AQ568" s="220"/>
      <c r="AR568" s="220"/>
      <c r="AS568" s="220"/>
      <c r="AT568" s="220"/>
      <c r="AU568" s="220"/>
      <c r="AV568" s="220"/>
      <c r="AW568" s="220"/>
      <c r="AX568" s="220"/>
      <c r="AY568" s="220"/>
      <c r="AZ568" s="220"/>
      <c r="BA568" s="220"/>
      <c r="BB568" s="220"/>
    </row>
    <row r="569">
      <c r="A569" s="240"/>
      <c r="B569" s="319"/>
      <c r="C569" s="346"/>
      <c r="D569" s="346"/>
      <c r="E569" s="346"/>
      <c r="F569" s="346"/>
      <c r="G569" s="346"/>
      <c r="H569" s="346"/>
      <c r="I569" s="346"/>
      <c r="J569" s="346"/>
      <c r="K569" s="346"/>
      <c r="L569" s="346"/>
      <c r="M569" s="346"/>
      <c r="N569" s="346"/>
      <c r="O569" s="346"/>
      <c r="P569" s="346"/>
      <c r="Q569" s="346"/>
      <c r="R569" s="346"/>
      <c r="S569" s="346"/>
      <c r="T569" s="347"/>
      <c r="U569" s="345"/>
      <c r="V569" s="317"/>
      <c r="W569" s="318"/>
      <c r="X569" s="288"/>
      <c r="Y569" s="220"/>
      <c r="Z569" s="220"/>
      <c r="AA569" s="220"/>
      <c r="AB569" s="220"/>
      <c r="AC569" s="220"/>
      <c r="AD569" s="220"/>
      <c r="AE569" s="220"/>
      <c r="AF569" s="220"/>
      <c r="AG569" s="220"/>
      <c r="AH569" s="220"/>
      <c r="AI569" s="308"/>
      <c r="AJ569" s="220"/>
      <c r="AK569" s="220"/>
      <c r="AL569" s="220"/>
      <c r="AM569" s="220"/>
      <c r="AN569" s="220"/>
      <c r="AO569" s="220"/>
      <c r="AP569" s="220"/>
      <c r="AQ569" s="220"/>
      <c r="AR569" s="220"/>
      <c r="AS569" s="220"/>
      <c r="AT569" s="220"/>
      <c r="AU569" s="220"/>
      <c r="AV569" s="220"/>
      <c r="AW569" s="220"/>
      <c r="AX569" s="220"/>
      <c r="AY569" s="220"/>
      <c r="AZ569" s="220"/>
      <c r="BA569" s="220"/>
      <c r="BB569" s="220"/>
    </row>
    <row r="570">
      <c r="A570" s="240"/>
      <c r="B570" s="319"/>
      <c r="C570" s="346"/>
      <c r="D570" s="346"/>
      <c r="E570" s="346"/>
      <c r="F570" s="346"/>
      <c r="G570" s="346"/>
      <c r="H570" s="346"/>
      <c r="I570" s="346"/>
      <c r="J570" s="346"/>
      <c r="K570" s="346"/>
      <c r="L570" s="346"/>
      <c r="M570" s="346"/>
      <c r="N570" s="346"/>
      <c r="O570" s="346"/>
      <c r="P570" s="346"/>
      <c r="Q570" s="346"/>
      <c r="R570" s="346"/>
      <c r="S570" s="346"/>
      <c r="T570" s="347"/>
      <c r="U570" s="345"/>
      <c r="V570" s="317"/>
      <c r="W570" s="318"/>
      <c r="X570" s="288"/>
      <c r="Y570" s="220"/>
      <c r="Z570" s="220"/>
      <c r="AA570" s="220"/>
      <c r="AB570" s="220"/>
      <c r="AC570" s="220"/>
      <c r="AD570" s="220"/>
      <c r="AE570" s="220"/>
      <c r="AF570" s="220"/>
      <c r="AG570" s="220"/>
      <c r="AH570" s="220"/>
      <c r="AI570" s="308"/>
      <c r="AJ570" s="220"/>
      <c r="AK570" s="220"/>
      <c r="AL570" s="220"/>
      <c r="AM570" s="220"/>
      <c r="AN570" s="220"/>
      <c r="AO570" s="220"/>
      <c r="AP570" s="220"/>
      <c r="AQ570" s="220"/>
      <c r="AR570" s="220"/>
      <c r="AS570" s="220"/>
      <c r="AT570" s="220"/>
      <c r="AU570" s="220"/>
      <c r="AV570" s="220"/>
      <c r="AW570" s="220"/>
      <c r="AX570" s="220"/>
      <c r="AY570" s="220"/>
      <c r="AZ570" s="220"/>
      <c r="BA570" s="220"/>
      <c r="BB570" s="220"/>
    </row>
    <row r="571">
      <c r="A571" s="240"/>
      <c r="B571" s="319"/>
      <c r="C571" s="346"/>
      <c r="D571" s="346"/>
      <c r="E571" s="346"/>
      <c r="F571" s="346"/>
      <c r="G571" s="346"/>
      <c r="H571" s="346"/>
      <c r="I571" s="346"/>
      <c r="J571" s="346"/>
      <c r="K571" s="346"/>
      <c r="L571" s="346"/>
      <c r="M571" s="346"/>
      <c r="N571" s="346"/>
      <c r="O571" s="346"/>
      <c r="P571" s="346"/>
      <c r="Q571" s="346"/>
      <c r="R571" s="346"/>
      <c r="S571" s="346"/>
      <c r="T571" s="347"/>
      <c r="U571" s="345"/>
      <c r="V571" s="317"/>
      <c r="W571" s="318"/>
      <c r="X571" s="288"/>
      <c r="Y571" s="220"/>
      <c r="Z571" s="220"/>
      <c r="AA571" s="220"/>
      <c r="AB571" s="220"/>
      <c r="AC571" s="220"/>
      <c r="AD571" s="220"/>
      <c r="AE571" s="220"/>
      <c r="AF571" s="220"/>
      <c r="AG571" s="220"/>
      <c r="AH571" s="220"/>
      <c r="AI571" s="308"/>
      <c r="AJ571" s="220"/>
      <c r="AK571" s="220"/>
      <c r="AL571" s="220"/>
      <c r="AM571" s="220"/>
      <c r="AN571" s="220"/>
      <c r="AO571" s="220"/>
      <c r="AP571" s="220"/>
      <c r="AQ571" s="220"/>
      <c r="AR571" s="220"/>
      <c r="AS571" s="220"/>
      <c r="AT571" s="220"/>
      <c r="AU571" s="220"/>
      <c r="AV571" s="220"/>
      <c r="AW571" s="220"/>
      <c r="AX571" s="220"/>
      <c r="AY571" s="220"/>
      <c r="AZ571" s="220"/>
      <c r="BA571" s="220"/>
      <c r="BB571" s="220"/>
    </row>
    <row r="572">
      <c r="A572" s="240"/>
      <c r="B572" s="319"/>
      <c r="C572" s="346"/>
      <c r="D572" s="346"/>
      <c r="E572" s="346"/>
      <c r="F572" s="346"/>
      <c r="G572" s="346"/>
      <c r="H572" s="346"/>
      <c r="I572" s="346"/>
      <c r="J572" s="346"/>
      <c r="K572" s="346"/>
      <c r="L572" s="346"/>
      <c r="M572" s="346"/>
      <c r="N572" s="346"/>
      <c r="O572" s="346"/>
      <c r="P572" s="346"/>
      <c r="Q572" s="346"/>
      <c r="R572" s="346"/>
      <c r="S572" s="346"/>
      <c r="T572" s="347"/>
      <c r="U572" s="345"/>
      <c r="V572" s="317"/>
      <c r="W572" s="318"/>
      <c r="X572" s="288"/>
      <c r="Y572" s="220"/>
      <c r="Z572" s="220"/>
      <c r="AA572" s="220"/>
      <c r="AB572" s="220"/>
      <c r="AC572" s="220"/>
      <c r="AD572" s="220"/>
      <c r="AE572" s="220"/>
      <c r="AF572" s="220"/>
      <c r="AG572" s="220"/>
      <c r="AH572" s="220"/>
      <c r="AI572" s="308"/>
      <c r="AJ572" s="220"/>
      <c r="AK572" s="220"/>
      <c r="AL572" s="220"/>
      <c r="AM572" s="220"/>
      <c r="AN572" s="220"/>
      <c r="AO572" s="220"/>
      <c r="AP572" s="220"/>
      <c r="AQ572" s="220"/>
      <c r="AR572" s="220"/>
      <c r="AS572" s="220"/>
      <c r="AT572" s="220"/>
      <c r="AU572" s="220"/>
      <c r="AV572" s="220"/>
      <c r="AW572" s="220"/>
      <c r="AX572" s="220"/>
      <c r="AY572" s="220"/>
      <c r="AZ572" s="220"/>
      <c r="BA572" s="220"/>
      <c r="BB572" s="220"/>
    </row>
    <row r="573">
      <c r="A573" s="240"/>
      <c r="B573" s="319"/>
      <c r="C573" s="346"/>
      <c r="D573" s="346"/>
      <c r="E573" s="346"/>
      <c r="F573" s="346"/>
      <c r="G573" s="346"/>
      <c r="H573" s="346"/>
      <c r="I573" s="346"/>
      <c r="J573" s="346"/>
      <c r="K573" s="346"/>
      <c r="L573" s="346"/>
      <c r="M573" s="346"/>
      <c r="N573" s="346"/>
      <c r="O573" s="346"/>
      <c r="P573" s="346"/>
      <c r="Q573" s="346"/>
      <c r="R573" s="346"/>
      <c r="S573" s="346"/>
      <c r="T573" s="347"/>
      <c r="U573" s="345"/>
      <c r="V573" s="317"/>
      <c r="W573" s="318"/>
      <c r="X573" s="288"/>
      <c r="Y573" s="220"/>
      <c r="Z573" s="220"/>
      <c r="AA573" s="220"/>
      <c r="AB573" s="220"/>
      <c r="AC573" s="220"/>
      <c r="AD573" s="220"/>
      <c r="AE573" s="220"/>
      <c r="AF573" s="220"/>
      <c r="AG573" s="220"/>
      <c r="AH573" s="220"/>
      <c r="AI573" s="308"/>
      <c r="AJ573" s="220"/>
      <c r="AK573" s="220"/>
      <c r="AL573" s="220"/>
      <c r="AM573" s="220"/>
      <c r="AN573" s="220"/>
      <c r="AO573" s="220"/>
      <c r="AP573" s="220"/>
      <c r="AQ573" s="220"/>
      <c r="AR573" s="220"/>
      <c r="AS573" s="220"/>
      <c r="AT573" s="220"/>
      <c r="AU573" s="220"/>
      <c r="AV573" s="220"/>
      <c r="AW573" s="220"/>
      <c r="AX573" s="220"/>
      <c r="AY573" s="220"/>
      <c r="AZ573" s="220"/>
      <c r="BA573" s="220"/>
      <c r="BB573" s="220"/>
    </row>
    <row r="574">
      <c r="A574" s="240"/>
      <c r="B574" s="319"/>
      <c r="C574" s="346"/>
      <c r="D574" s="346"/>
      <c r="E574" s="346"/>
      <c r="F574" s="346"/>
      <c r="G574" s="346"/>
      <c r="H574" s="346"/>
      <c r="I574" s="346"/>
      <c r="J574" s="346"/>
      <c r="K574" s="346"/>
      <c r="L574" s="346"/>
      <c r="M574" s="346"/>
      <c r="N574" s="346"/>
      <c r="O574" s="346"/>
      <c r="P574" s="346"/>
      <c r="Q574" s="346"/>
      <c r="R574" s="346"/>
      <c r="S574" s="346"/>
      <c r="T574" s="347"/>
      <c r="U574" s="345"/>
      <c r="V574" s="317"/>
      <c r="W574" s="318"/>
      <c r="X574" s="288"/>
      <c r="Y574" s="220"/>
      <c r="Z574" s="220"/>
      <c r="AA574" s="220"/>
      <c r="AB574" s="220"/>
      <c r="AC574" s="220"/>
      <c r="AD574" s="220"/>
      <c r="AE574" s="220"/>
      <c r="AF574" s="220"/>
      <c r="AG574" s="220"/>
      <c r="AH574" s="220"/>
      <c r="AI574" s="308"/>
      <c r="AJ574" s="220"/>
      <c r="AK574" s="220"/>
      <c r="AL574" s="220"/>
      <c r="AM574" s="220"/>
      <c r="AN574" s="220"/>
      <c r="AO574" s="220"/>
      <c r="AP574" s="220"/>
      <c r="AQ574" s="220"/>
      <c r="AR574" s="220"/>
      <c r="AS574" s="220"/>
      <c r="AT574" s="220"/>
      <c r="AU574" s="220"/>
      <c r="AV574" s="220"/>
      <c r="AW574" s="220"/>
      <c r="AX574" s="220"/>
      <c r="AY574" s="220"/>
      <c r="AZ574" s="220"/>
      <c r="BA574" s="220"/>
      <c r="BB574" s="220"/>
    </row>
    <row r="575">
      <c r="A575" s="240"/>
      <c r="B575" s="319"/>
      <c r="C575" s="346"/>
      <c r="D575" s="346"/>
      <c r="E575" s="346"/>
      <c r="F575" s="346"/>
      <c r="G575" s="346"/>
      <c r="H575" s="346"/>
      <c r="I575" s="346"/>
      <c r="J575" s="346"/>
      <c r="K575" s="346"/>
      <c r="L575" s="346"/>
      <c r="M575" s="346"/>
      <c r="N575" s="346"/>
      <c r="O575" s="346"/>
      <c r="P575" s="346"/>
      <c r="Q575" s="346"/>
      <c r="R575" s="346"/>
      <c r="S575" s="346"/>
      <c r="T575" s="347"/>
      <c r="U575" s="345"/>
      <c r="V575" s="317"/>
      <c r="W575" s="318"/>
      <c r="X575" s="288"/>
      <c r="Y575" s="220"/>
      <c r="Z575" s="220"/>
      <c r="AA575" s="220"/>
      <c r="AB575" s="220"/>
      <c r="AC575" s="220"/>
      <c r="AD575" s="220"/>
      <c r="AE575" s="220"/>
      <c r="AF575" s="220"/>
      <c r="AG575" s="220"/>
      <c r="AH575" s="220"/>
      <c r="AI575" s="308"/>
      <c r="AJ575" s="220"/>
      <c r="AK575" s="220"/>
      <c r="AL575" s="220"/>
      <c r="AM575" s="220"/>
      <c r="AN575" s="220"/>
      <c r="AO575" s="220"/>
      <c r="AP575" s="220"/>
      <c r="AQ575" s="220"/>
      <c r="AR575" s="220"/>
      <c r="AS575" s="220"/>
      <c r="AT575" s="220"/>
      <c r="AU575" s="220"/>
      <c r="AV575" s="220"/>
      <c r="AW575" s="220"/>
      <c r="AX575" s="220"/>
      <c r="AY575" s="220"/>
      <c r="AZ575" s="220"/>
      <c r="BA575" s="220"/>
      <c r="BB575" s="220"/>
    </row>
    <row r="576">
      <c r="A576" s="240"/>
      <c r="B576" s="319"/>
      <c r="C576" s="346"/>
      <c r="D576" s="346"/>
      <c r="E576" s="346"/>
      <c r="F576" s="346"/>
      <c r="G576" s="346"/>
      <c r="H576" s="346"/>
      <c r="I576" s="346"/>
      <c r="J576" s="346"/>
      <c r="K576" s="346"/>
      <c r="L576" s="346"/>
      <c r="M576" s="346"/>
      <c r="N576" s="346"/>
      <c r="O576" s="346"/>
      <c r="P576" s="346"/>
      <c r="Q576" s="346"/>
      <c r="R576" s="346"/>
      <c r="S576" s="346"/>
      <c r="T576" s="347"/>
      <c r="U576" s="345"/>
      <c r="V576" s="317"/>
      <c r="W576" s="318"/>
      <c r="X576" s="288"/>
      <c r="Y576" s="220"/>
      <c r="Z576" s="220"/>
      <c r="AA576" s="220"/>
      <c r="AB576" s="220"/>
      <c r="AC576" s="220"/>
      <c r="AD576" s="220"/>
      <c r="AE576" s="220"/>
      <c r="AF576" s="220"/>
      <c r="AG576" s="220"/>
      <c r="AH576" s="220"/>
      <c r="AI576" s="308"/>
      <c r="AJ576" s="220"/>
      <c r="AK576" s="220"/>
      <c r="AL576" s="220"/>
      <c r="AM576" s="220"/>
      <c r="AN576" s="220"/>
      <c r="AO576" s="220"/>
      <c r="AP576" s="220"/>
      <c r="AQ576" s="220"/>
      <c r="AR576" s="220"/>
      <c r="AS576" s="220"/>
      <c r="AT576" s="220"/>
      <c r="AU576" s="220"/>
      <c r="AV576" s="220"/>
      <c r="AW576" s="220"/>
      <c r="AX576" s="220"/>
      <c r="AY576" s="220"/>
      <c r="AZ576" s="220"/>
      <c r="BA576" s="220"/>
      <c r="BB576" s="220"/>
    </row>
    <row r="577">
      <c r="A577" s="240"/>
      <c r="B577" s="319"/>
      <c r="C577" s="346"/>
      <c r="D577" s="346"/>
      <c r="E577" s="346"/>
      <c r="F577" s="346"/>
      <c r="G577" s="346"/>
      <c r="H577" s="346"/>
      <c r="I577" s="346"/>
      <c r="J577" s="346"/>
      <c r="K577" s="346"/>
      <c r="L577" s="346"/>
      <c r="M577" s="346"/>
      <c r="N577" s="346"/>
      <c r="O577" s="346"/>
      <c r="P577" s="346"/>
      <c r="Q577" s="346"/>
      <c r="R577" s="346"/>
      <c r="S577" s="346"/>
      <c r="T577" s="347"/>
      <c r="U577" s="345"/>
      <c r="V577" s="317"/>
      <c r="W577" s="318"/>
      <c r="X577" s="288"/>
      <c r="Y577" s="220"/>
      <c r="Z577" s="220"/>
      <c r="AA577" s="220"/>
      <c r="AB577" s="220"/>
      <c r="AC577" s="220"/>
      <c r="AD577" s="220"/>
      <c r="AE577" s="220"/>
      <c r="AF577" s="220"/>
      <c r="AG577" s="220"/>
      <c r="AH577" s="220"/>
      <c r="AI577" s="308"/>
      <c r="AJ577" s="220"/>
      <c r="AK577" s="220"/>
      <c r="AL577" s="220"/>
      <c r="AM577" s="220"/>
      <c r="AN577" s="220"/>
      <c r="AO577" s="220"/>
      <c r="AP577" s="220"/>
      <c r="AQ577" s="220"/>
      <c r="AR577" s="220"/>
      <c r="AS577" s="220"/>
      <c r="AT577" s="220"/>
      <c r="AU577" s="220"/>
      <c r="AV577" s="220"/>
      <c r="AW577" s="220"/>
      <c r="AX577" s="220"/>
      <c r="AY577" s="220"/>
      <c r="AZ577" s="220"/>
      <c r="BA577" s="220"/>
      <c r="BB577" s="220"/>
    </row>
    <row r="578">
      <c r="A578" s="240"/>
      <c r="B578" s="319"/>
      <c r="C578" s="346"/>
      <c r="D578" s="346"/>
      <c r="E578" s="346"/>
      <c r="F578" s="346"/>
      <c r="G578" s="346"/>
      <c r="H578" s="346"/>
      <c r="I578" s="346"/>
      <c r="J578" s="346"/>
      <c r="K578" s="346"/>
      <c r="L578" s="346"/>
      <c r="M578" s="346"/>
      <c r="N578" s="346"/>
      <c r="O578" s="346"/>
      <c r="P578" s="346"/>
      <c r="Q578" s="346"/>
      <c r="R578" s="346"/>
      <c r="S578" s="346"/>
      <c r="T578" s="347"/>
      <c r="U578" s="345"/>
      <c r="V578" s="317"/>
      <c r="W578" s="318"/>
      <c r="X578" s="288"/>
      <c r="Y578" s="220"/>
      <c r="Z578" s="220"/>
      <c r="AA578" s="220"/>
      <c r="AB578" s="220"/>
      <c r="AC578" s="220"/>
      <c r="AD578" s="220"/>
      <c r="AE578" s="220"/>
      <c r="AF578" s="220"/>
      <c r="AG578" s="220"/>
      <c r="AH578" s="220"/>
      <c r="AI578" s="308"/>
      <c r="AJ578" s="220"/>
      <c r="AK578" s="220"/>
      <c r="AL578" s="220"/>
      <c r="AM578" s="220"/>
      <c r="AN578" s="220"/>
      <c r="AO578" s="220"/>
      <c r="AP578" s="220"/>
      <c r="AQ578" s="220"/>
      <c r="AR578" s="220"/>
      <c r="AS578" s="220"/>
      <c r="AT578" s="220"/>
      <c r="AU578" s="220"/>
      <c r="AV578" s="220"/>
      <c r="AW578" s="220"/>
      <c r="AX578" s="220"/>
      <c r="AY578" s="220"/>
      <c r="AZ578" s="220"/>
      <c r="BA578" s="220"/>
      <c r="BB578" s="220"/>
    </row>
    <row r="579">
      <c r="A579" s="240"/>
      <c r="B579" s="319"/>
      <c r="C579" s="346"/>
      <c r="D579" s="346"/>
      <c r="E579" s="346"/>
      <c r="F579" s="346"/>
      <c r="G579" s="346"/>
      <c r="H579" s="346"/>
      <c r="I579" s="346"/>
      <c r="J579" s="346"/>
      <c r="K579" s="346"/>
      <c r="L579" s="346"/>
      <c r="M579" s="346"/>
      <c r="N579" s="346"/>
      <c r="O579" s="346"/>
      <c r="P579" s="346"/>
      <c r="Q579" s="346"/>
      <c r="R579" s="346"/>
      <c r="S579" s="346"/>
      <c r="T579" s="347"/>
      <c r="U579" s="345"/>
      <c r="V579" s="317"/>
      <c r="W579" s="318"/>
      <c r="X579" s="288"/>
      <c r="Y579" s="220"/>
      <c r="Z579" s="220"/>
      <c r="AA579" s="220"/>
      <c r="AB579" s="220"/>
      <c r="AC579" s="220"/>
      <c r="AD579" s="220"/>
      <c r="AE579" s="220"/>
      <c r="AF579" s="220"/>
      <c r="AG579" s="220"/>
      <c r="AH579" s="220"/>
      <c r="AI579" s="308"/>
      <c r="AJ579" s="220"/>
      <c r="AK579" s="220"/>
      <c r="AL579" s="220"/>
      <c r="AM579" s="220"/>
      <c r="AN579" s="220"/>
      <c r="AO579" s="220"/>
      <c r="AP579" s="220"/>
      <c r="AQ579" s="220"/>
      <c r="AR579" s="220"/>
      <c r="AS579" s="220"/>
      <c r="AT579" s="220"/>
      <c r="AU579" s="220"/>
      <c r="AV579" s="220"/>
      <c r="AW579" s="220"/>
      <c r="AX579" s="220"/>
      <c r="AY579" s="220"/>
      <c r="AZ579" s="220"/>
      <c r="BA579" s="220"/>
      <c r="BB579" s="220"/>
    </row>
    <row r="580">
      <c r="A580" s="240"/>
      <c r="B580" s="319"/>
      <c r="C580" s="346"/>
      <c r="D580" s="346"/>
      <c r="E580" s="346"/>
      <c r="F580" s="346"/>
      <c r="G580" s="346"/>
      <c r="H580" s="346"/>
      <c r="I580" s="346"/>
      <c r="J580" s="346"/>
      <c r="K580" s="346"/>
      <c r="L580" s="346"/>
      <c r="M580" s="346"/>
      <c r="N580" s="346"/>
      <c r="O580" s="346"/>
      <c r="P580" s="346"/>
      <c r="Q580" s="346"/>
      <c r="R580" s="346"/>
      <c r="S580" s="346"/>
      <c r="T580" s="347"/>
      <c r="U580" s="345"/>
      <c r="V580" s="317"/>
      <c r="W580" s="318"/>
      <c r="X580" s="288"/>
      <c r="Y580" s="220"/>
      <c r="Z580" s="220"/>
      <c r="AA580" s="220"/>
      <c r="AB580" s="220"/>
      <c r="AC580" s="220"/>
      <c r="AD580" s="220"/>
      <c r="AE580" s="220"/>
      <c r="AF580" s="220"/>
      <c r="AG580" s="220"/>
      <c r="AH580" s="220"/>
      <c r="AI580" s="308"/>
      <c r="AJ580" s="220"/>
      <c r="AK580" s="220"/>
      <c r="AL580" s="220"/>
      <c r="AM580" s="220"/>
      <c r="AN580" s="220"/>
      <c r="AO580" s="220"/>
      <c r="AP580" s="220"/>
      <c r="AQ580" s="220"/>
      <c r="AR580" s="220"/>
      <c r="AS580" s="220"/>
      <c r="AT580" s="220"/>
      <c r="AU580" s="220"/>
      <c r="AV580" s="220"/>
      <c r="AW580" s="220"/>
      <c r="AX580" s="220"/>
      <c r="AY580" s="220"/>
      <c r="AZ580" s="220"/>
      <c r="BA580" s="220"/>
      <c r="BB580" s="220"/>
    </row>
    <row r="581">
      <c r="A581" s="240"/>
      <c r="B581" s="319"/>
      <c r="C581" s="346"/>
      <c r="D581" s="346"/>
      <c r="E581" s="346"/>
      <c r="F581" s="346"/>
      <c r="G581" s="346"/>
      <c r="H581" s="346"/>
      <c r="I581" s="346"/>
      <c r="J581" s="346"/>
      <c r="K581" s="346"/>
      <c r="L581" s="346"/>
      <c r="M581" s="346"/>
      <c r="N581" s="346"/>
      <c r="O581" s="346"/>
      <c r="P581" s="346"/>
      <c r="Q581" s="346"/>
      <c r="R581" s="346"/>
      <c r="S581" s="346"/>
      <c r="T581" s="347"/>
      <c r="U581" s="345"/>
      <c r="V581" s="317"/>
      <c r="W581" s="318"/>
      <c r="X581" s="288"/>
      <c r="Y581" s="220"/>
      <c r="Z581" s="220"/>
      <c r="AA581" s="220"/>
      <c r="AB581" s="220"/>
      <c r="AC581" s="220"/>
      <c r="AD581" s="220"/>
      <c r="AE581" s="220"/>
      <c r="AF581" s="220"/>
      <c r="AG581" s="220"/>
      <c r="AH581" s="220"/>
      <c r="AI581" s="308"/>
      <c r="AJ581" s="220"/>
      <c r="AK581" s="220"/>
      <c r="AL581" s="220"/>
      <c r="AM581" s="220"/>
      <c r="AN581" s="220"/>
      <c r="AO581" s="220"/>
      <c r="AP581" s="220"/>
      <c r="AQ581" s="220"/>
      <c r="AR581" s="220"/>
      <c r="AS581" s="220"/>
      <c r="AT581" s="220"/>
      <c r="AU581" s="220"/>
      <c r="AV581" s="220"/>
      <c r="AW581" s="220"/>
      <c r="AX581" s="220"/>
      <c r="AY581" s="220"/>
      <c r="AZ581" s="220"/>
      <c r="BA581" s="220"/>
      <c r="BB581" s="220"/>
    </row>
    <row r="582">
      <c r="A582" s="240"/>
      <c r="B582" s="319"/>
      <c r="C582" s="346"/>
      <c r="D582" s="346"/>
      <c r="E582" s="346"/>
      <c r="F582" s="346"/>
      <c r="G582" s="346"/>
      <c r="H582" s="346"/>
      <c r="I582" s="346"/>
      <c r="J582" s="346"/>
      <c r="K582" s="346"/>
      <c r="L582" s="346"/>
      <c r="M582" s="346"/>
      <c r="N582" s="346"/>
      <c r="O582" s="346"/>
      <c r="P582" s="346"/>
      <c r="Q582" s="346"/>
      <c r="R582" s="346"/>
      <c r="S582" s="346"/>
      <c r="T582" s="347"/>
      <c r="U582" s="345"/>
      <c r="V582" s="317"/>
      <c r="W582" s="318"/>
      <c r="X582" s="288"/>
      <c r="Y582" s="220"/>
      <c r="Z582" s="220"/>
      <c r="AA582" s="220"/>
      <c r="AB582" s="220"/>
      <c r="AC582" s="220"/>
      <c r="AD582" s="220"/>
      <c r="AE582" s="220"/>
      <c r="AF582" s="220"/>
      <c r="AG582" s="220"/>
      <c r="AH582" s="220"/>
      <c r="AI582" s="308"/>
      <c r="AJ582" s="220"/>
      <c r="AK582" s="220"/>
      <c r="AL582" s="220"/>
      <c r="AM582" s="220"/>
      <c r="AN582" s="220"/>
      <c r="AO582" s="220"/>
      <c r="AP582" s="220"/>
      <c r="AQ582" s="220"/>
      <c r="AR582" s="220"/>
      <c r="AS582" s="220"/>
      <c r="AT582" s="220"/>
      <c r="AU582" s="220"/>
      <c r="AV582" s="220"/>
      <c r="AW582" s="220"/>
      <c r="AX582" s="220"/>
      <c r="AY582" s="220"/>
      <c r="AZ582" s="220"/>
      <c r="BA582" s="220"/>
      <c r="BB582" s="220"/>
    </row>
    <row r="583">
      <c r="A583" s="240"/>
      <c r="B583" s="319"/>
      <c r="C583" s="346"/>
      <c r="D583" s="346"/>
      <c r="E583" s="346"/>
      <c r="F583" s="346"/>
      <c r="G583" s="346"/>
      <c r="H583" s="346"/>
      <c r="I583" s="346"/>
      <c r="J583" s="346"/>
      <c r="K583" s="346"/>
      <c r="L583" s="346"/>
      <c r="M583" s="346"/>
      <c r="N583" s="346"/>
      <c r="O583" s="346"/>
      <c r="P583" s="346"/>
      <c r="Q583" s="346"/>
      <c r="R583" s="346"/>
      <c r="S583" s="346"/>
      <c r="T583" s="347"/>
      <c r="U583" s="345"/>
      <c r="V583" s="317"/>
      <c r="W583" s="318"/>
      <c r="X583" s="288"/>
      <c r="Y583" s="220"/>
      <c r="Z583" s="220"/>
      <c r="AA583" s="220"/>
      <c r="AB583" s="220"/>
      <c r="AC583" s="220"/>
      <c r="AD583" s="220"/>
      <c r="AE583" s="220"/>
      <c r="AF583" s="220"/>
      <c r="AG583" s="220"/>
      <c r="AH583" s="220"/>
      <c r="AI583" s="308"/>
      <c r="AJ583" s="220"/>
      <c r="AK583" s="220"/>
      <c r="AL583" s="220"/>
      <c r="AM583" s="220"/>
      <c r="AN583" s="220"/>
      <c r="AO583" s="220"/>
      <c r="AP583" s="220"/>
      <c r="AQ583" s="220"/>
      <c r="AR583" s="220"/>
      <c r="AS583" s="220"/>
      <c r="AT583" s="220"/>
      <c r="AU583" s="220"/>
      <c r="AV583" s="220"/>
      <c r="AW583" s="220"/>
      <c r="AX583" s="220"/>
      <c r="AY583" s="220"/>
      <c r="AZ583" s="220"/>
      <c r="BA583" s="220"/>
      <c r="BB583" s="220"/>
    </row>
    <row r="584">
      <c r="A584" s="240"/>
      <c r="B584" s="319"/>
      <c r="C584" s="346"/>
      <c r="D584" s="346"/>
      <c r="E584" s="346"/>
      <c r="F584" s="346"/>
      <c r="G584" s="346"/>
      <c r="H584" s="346"/>
      <c r="I584" s="346"/>
      <c r="J584" s="346"/>
      <c r="K584" s="346"/>
      <c r="L584" s="346"/>
      <c r="M584" s="346"/>
      <c r="N584" s="346"/>
      <c r="O584" s="346"/>
      <c r="P584" s="346"/>
      <c r="Q584" s="346"/>
      <c r="R584" s="346"/>
      <c r="S584" s="346"/>
      <c r="T584" s="347"/>
      <c r="U584" s="345"/>
      <c r="V584" s="317"/>
      <c r="W584" s="318"/>
      <c r="X584" s="288"/>
      <c r="Y584" s="220"/>
      <c r="Z584" s="220"/>
      <c r="AA584" s="220"/>
      <c r="AB584" s="220"/>
      <c r="AC584" s="220"/>
      <c r="AD584" s="220"/>
      <c r="AE584" s="220"/>
      <c r="AF584" s="220"/>
      <c r="AG584" s="220"/>
      <c r="AH584" s="220"/>
      <c r="AI584" s="308"/>
      <c r="AJ584" s="220"/>
      <c r="AK584" s="220"/>
      <c r="AL584" s="220"/>
      <c r="AM584" s="220"/>
      <c r="AN584" s="220"/>
      <c r="AO584" s="220"/>
      <c r="AP584" s="220"/>
      <c r="AQ584" s="220"/>
      <c r="AR584" s="220"/>
      <c r="AS584" s="220"/>
      <c r="AT584" s="220"/>
      <c r="AU584" s="220"/>
      <c r="AV584" s="220"/>
      <c r="AW584" s="220"/>
      <c r="AX584" s="220"/>
      <c r="AY584" s="220"/>
      <c r="AZ584" s="220"/>
      <c r="BA584" s="220"/>
      <c r="BB584" s="220"/>
    </row>
    <row r="585">
      <c r="A585" s="240"/>
      <c r="B585" s="319"/>
      <c r="C585" s="346"/>
      <c r="D585" s="346"/>
      <c r="E585" s="346"/>
      <c r="F585" s="346"/>
      <c r="G585" s="346"/>
      <c r="H585" s="346"/>
      <c r="I585" s="346"/>
      <c r="J585" s="346"/>
      <c r="K585" s="346"/>
      <c r="L585" s="346"/>
      <c r="M585" s="346"/>
      <c r="N585" s="346"/>
      <c r="O585" s="346"/>
      <c r="P585" s="346"/>
      <c r="Q585" s="346"/>
      <c r="R585" s="346"/>
      <c r="S585" s="346"/>
      <c r="T585" s="347"/>
      <c r="U585" s="345"/>
      <c r="V585" s="317"/>
      <c r="W585" s="318"/>
      <c r="X585" s="288"/>
      <c r="Y585" s="220"/>
      <c r="Z585" s="220"/>
      <c r="AA585" s="220"/>
      <c r="AB585" s="220"/>
      <c r="AC585" s="220"/>
      <c r="AD585" s="220"/>
      <c r="AE585" s="220"/>
      <c r="AF585" s="220"/>
      <c r="AG585" s="220"/>
      <c r="AH585" s="220"/>
      <c r="AI585" s="308"/>
      <c r="AJ585" s="220"/>
      <c r="AK585" s="220"/>
      <c r="AL585" s="220"/>
      <c r="AM585" s="220"/>
      <c r="AN585" s="220"/>
      <c r="AO585" s="220"/>
      <c r="AP585" s="220"/>
      <c r="AQ585" s="220"/>
      <c r="AR585" s="220"/>
      <c r="AS585" s="220"/>
      <c r="AT585" s="220"/>
      <c r="AU585" s="220"/>
      <c r="AV585" s="220"/>
      <c r="AW585" s="220"/>
      <c r="AX585" s="220"/>
      <c r="AY585" s="220"/>
      <c r="AZ585" s="220"/>
      <c r="BA585" s="220"/>
      <c r="BB585" s="220"/>
    </row>
    <row r="586">
      <c r="A586" s="240"/>
      <c r="B586" s="319"/>
      <c r="C586" s="346"/>
      <c r="D586" s="346"/>
      <c r="E586" s="346"/>
      <c r="F586" s="346"/>
      <c r="G586" s="346"/>
      <c r="H586" s="346"/>
      <c r="I586" s="346"/>
      <c r="J586" s="346"/>
      <c r="K586" s="346"/>
      <c r="L586" s="346"/>
      <c r="M586" s="346"/>
      <c r="N586" s="346"/>
      <c r="O586" s="346"/>
      <c r="P586" s="346"/>
      <c r="Q586" s="346"/>
      <c r="R586" s="346"/>
      <c r="S586" s="346"/>
      <c r="T586" s="347"/>
      <c r="U586" s="345"/>
      <c r="V586" s="317"/>
      <c r="W586" s="318"/>
      <c r="X586" s="288"/>
      <c r="Y586" s="220"/>
      <c r="Z586" s="220"/>
      <c r="AA586" s="220"/>
      <c r="AB586" s="220"/>
      <c r="AC586" s="220"/>
      <c r="AD586" s="220"/>
      <c r="AE586" s="220"/>
      <c r="AF586" s="220"/>
      <c r="AG586" s="220"/>
      <c r="AH586" s="220"/>
      <c r="AI586" s="308"/>
      <c r="AJ586" s="220"/>
      <c r="AK586" s="220"/>
      <c r="AL586" s="220"/>
      <c r="AM586" s="220"/>
      <c r="AN586" s="220"/>
      <c r="AO586" s="220"/>
      <c r="AP586" s="220"/>
      <c r="AQ586" s="220"/>
      <c r="AR586" s="220"/>
      <c r="AS586" s="220"/>
      <c r="AT586" s="220"/>
      <c r="AU586" s="220"/>
      <c r="AV586" s="220"/>
      <c r="AW586" s="220"/>
      <c r="AX586" s="220"/>
      <c r="AY586" s="220"/>
      <c r="AZ586" s="220"/>
      <c r="BA586" s="220"/>
      <c r="BB586" s="220"/>
    </row>
    <row r="587">
      <c r="A587" s="240"/>
      <c r="B587" s="319"/>
      <c r="C587" s="346"/>
      <c r="D587" s="346"/>
      <c r="E587" s="346"/>
      <c r="F587" s="346"/>
      <c r="G587" s="346"/>
      <c r="H587" s="346"/>
      <c r="I587" s="346"/>
      <c r="J587" s="346"/>
      <c r="K587" s="346"/>
      <c r="L587" s="346"/>
      <c r="M587" s="346"/>
      <c r="N587" s="346"/>
      <c r="O587" s="346"/>
      <c r="P587" s="346"/>
      <c r="Q587" s="346"/>
      <c r="R587" s="346"/>
      <c r="S587" s="346"/>
      <c r="T587" s="347"/>
      <c r="U587" s="345"/>
      <c r="V587" s="317"/>
      <c r="W587" s="318"/>
      <c r="X587" s="288"/>
      <c r="Y587" s="220"/>
      <c r="Z587" s="220"/>
      <c r="AA587" s="220"/>
      <c r="AB587" s="220"/>
      <c r="AC587" s="220"/>
      <c r="AD587" s="220"/>
      <c r="AE587" s="220"/>
      <c r="AF587" s="220"/>
      <c r="AG587" s="220"/>
      <c r="AH587" s="220"/>
      <c r="AI587" s="308"/>
      <c r="AJ587" s="220"/>
      <c r="AK587" s="220"/>
      <c r="AL587" s="220"/>
      <c r="AM587" s="220"/>
      <c r="AN587" s="220"/>
      <c r="AO587" s="220"/>
      <c r="AP587" s="220"/>
      <c r="AQ587" s="220"/>
      <c r="AR587" s="220"/>
      <c r="AS587" s="220"/>
      <c r="AT587" s="220"/>
      <c r="AU587" s="220"/>
      <c r="AV587" s="220"/>
      <c r="AW587" s="220"/>
      <c r="AX587" s="220"/>
      <c r="AY587" s="220"/>
      <c r="AZ587" s="220"/>
      <c r="BA587" s="220"/>
      <c r="BB587" s="220"/>
    </row>
    <row r="588">
      <c r="A588" s="240"/>
      <c r="B588" s="319"/>
      <c r="C588" s="346"/>
      <c r="D588" s="346"/>
      <c r="E588" s="346"/>
      <c r="F588" s="346"/>
      <c r="G588" s="346"/>
      <c r="H588" s="346"/>
      <c r="I588" s="346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47"/>
      <c r="U588" s="345"/>
      <c r="V588" s="317"/>
      <c r="W588" s="318"/>
      <c r="X588" s="288"/>
      <c r="Y588" s="220"/>
      <c r="Z588" s="220"/>
      <c r="AA588" s="220"/>
      <c r="AB588" s="220"/>
      <c r="AC588" s="220"/>
      <c r="AD588" s="220"/>
      <c r="AE588" s="220"/>
      <c r="AF588" s="220"/>
      <c r="AG588" s="220"/>
      <c r="AH588" s="220"/>
      <c r="AI588" s="308"/>
      <c r="AJ588" s="220"/>
      <c r="AK588" s="220"/>
      <c r="AL588" s="220"/>
      <c r="AM588" s="220"/>
      <c r="AN588" s="220"/>
      <c r="AO588" s="220"/>
      <c r="AP588" s="220"/>
      <c r="AQ588" s="220"/>
      <c r="AR588" s="220"/>
      <c r="AS588" s="220"/>
      <c r="AT588" s="220"/>
      <c r="AU588" s="220"/>
      <c r="AV588" s="220"/>
      <c r="AW588" s="220"/>
      <c r="AX588" s="220"/>
      <c r="AY588" s="220"/>
      <c r="AZ588" s="220"/>
      <c r="BA588" s="220"/>
      <c r="BB588" s="220"/>
    </row>
    <row r="589">
      <c r="A589" s="240"/>
      <c r="B589" s="319"/>
      <c r="C589" s="346"/>
      <c r="D589" s="346"/>
      <c r="E589" s="346"/>
      <c r="F589" s="346"/>
      <c r="G589" s="346"/>
      <c r="H589" s="346"/>
      <c r="I589" s="346"/>
      <c r="J589" s="346"/>
      <c r="K589" s="346"/>
      <c r="L589" s="346"/>
      <c r="M589" s="346"/>
      <c r="N589" s="346"/>
      <c r="O589" s="346"/>
      <c r="P589" s="346"/>
      <c r="Q589" s="346"/>
      <c r="R589" s="346"/>
      <c r="S589" s="346"/>
      <c r="T589" s="347"/>
      <c r="U589" s="345"/>
      <c r="V589" s="317"/>
      <c r="W589" s="318"/>
      <c r="X589" s="288"/>
      <c r="Y589" s="220"/>
      <c r="Z589" s="220"/>
      <c r="AA589" s="220"/>
      <c r="AB589" s="220"/>
      <c r="AC589" s="220"/>
      <c r="AD589" s="220"/>
      <c r="AE589" s="220"/>
      <c r="AF589" s="220"/>
      <c r="AG589" s="220"/>
      <c r="AH589" s="220"/>
      <c r="AI589" s="308"/>
      <c r="AJ589" s="220"/>
      <c r="AK589" s="220"/>
      <c r="AL589" s="220"/>
      <c r="AM589" s="220"/>
      <c r="AN589" s="220"/>
      <c r="AO589" s="220"/>
      <c r="AP589" s="220"/>
      <c r="AQ589" s="220"/>
      <c r="AR589" s="220"/>
      <c r="AS589" s="220"/>
      <c r="AT589" s="220"/>
      <c r="AU589" s="220"/>
      <c r="AV589" s="220"/>
      <c r="AW589" s="220"/>
      <c r="AX589" s="220"/>
      <c r="AY589" s="220"/>
      <c r="AZ589" s="220"/>
      <c r="BA589" s="220"/>
      <c r="BB589" s="220"/>
    </row>
    <row r="590">
      <c r="A590" s="240"/>
      <c r="B590" s="319"/>
      <c r="C590" s="346"/>
      <c r="D590" s="346"/>
      <c r="E590" s="346"/>
      <c r="F590" s="346"/>
      <c r="G590" s="346"/>
      <c r="H590" s="346"/>
      <c r="I590" s="346"/>
      <c r="J590" s="346"/>
      <c r="K590" s="346"/>
      <c r="L590" s="346"/>
      <c r="M590" s="346"/>
      <c r="N590" s="346"/>
      <c r="O590" s="346"/>
      <c r="P590" s="346"/>
      <c r="Q590" s="346"/>
      <c r="R590" s="346"/>
      <c r="S590" s="346"/>
      <c r="T590" s="347"/>
      <c r="U590" s="345"/>
      <c r="V590" s="317"/>
      <c r="W590" s="318"/>
      <c r="X590" s="288"/>
      <c r="Y590" s="220"/>
      <c r="Z590" s="220"/>
      <c r="AA590" s="220"/>
      <c r="AB590" s="220"/>
      <c r="AC590" s="220"/>
      <c r="AD590" s="220"/>
      <c r="AE590" s="220"/>
      <c r="AF590" s="220"/>
      <c r="AG590" s="220"/>
      <c r="AH590" s="220"/>
      <c r="AI590" s="308"/>
      <c r="AJ590" s="220"/>
      <c r="AK590" s="220"/>
      <c r="AL590" s="220"/>
      <c r="AM590" s="220"/>
      <c r="AN590" s="220"/>
      <c r="AO590" s="220"/>
      <c r="AP590" s="220"/>
      <c r="AQ590" s="220"/>
      <c r="AR590" s="220"/>
      <c r="AS590" s="220"/>
      <c r="AT590" s="220"/>
      <c r="AU590" s="220"/>
      <c r="AV590" s="220"/>
      <c r="AW590" s="220"/>
      <c r="AX590" s="220"/>
      <c r="AY590" s="220"/>
      <c r="AZ590" s="220"/>
      <c r="BA590" s="220"/>
      <c r="BB590" s="220"/>
    </row>
    <row r="591">
      <c r="A591" s="240"/>
      <c r="B591" s="319"/>
      <c r="C591" s="346"/>
      <c r="D591" s="346"/>
      <c r="E591" s="346"/>
      <c r="F591" s="346"/>
      <c r="G591" s="346"/>
      <c r="H591" s="346"/>
      <c r="I591" s="346"/>
      <c r="J591" s="346"/>
      <c r="K591" s="346"/>
      <c r="L591" s="346"/>
      <c r="M591" s="346"/>
      <c r="N591" s="346"/>
      <c r="O591" s="346"/>
      <c r="P591" s="346"/>
      <c r="Q591" s="346"/>
      <c r="R591" s="346"/>
      <c r="S591" s="346"/>
      <c r="T591" s="347"/>
      <c r="U591" s="345"/>
      <c r="V591" s="317"/>
      <c r="W591" s="318"/>
      <c r="X591" s="288"/>
      <c r="Y591" s="220"/>
      <c r="Z591" s="220"/>
      <c r="AA591" s="220"/>
      <c r="AB591" s="220"/>
      <c r="AC591" s="220"/>
      <c r="AD591" s="220"/>
      <c r="AE591" s="220"/>
      <c r="AF591" s="220"/>
      <c r="AG591" s="220"/>
      <c r="AH591" s="220"/>
      <c r="AI591" s="308"/>
      <c r="AJ591" s="220"/>
      <c r="AK591" s="220"/>
      <c r="AL591" s="220"/>
      <c r="AM591" s="220"/>
      <c r="AN591" s="220"/>
      <c r="AO591" s="220"/>
      <c r="AP591" s="220"/>
      <c r="AQ591" s="220"/>
      <c r="AR591" s="220"/>
      <c r="AS591" s="220"/>
      <c r="AT591" s="220"/>
      <c r="AU591" s="220"/>
      <c r="AV591" s="220"/>
      <c r="AW591" s="220"/>
      <c r="AX591" s="220"/>
      <c r="AY591" s="220"/>
      <c r="AZ591" s="220"/>
      <c r="BA591" s="220"/>
      <c r="BB591" s="220"/>
    </row>
    <row r="592">
      <c r="A592" s="240"/>
      <c r="B592" s="319"/>
      <c r="C592" s="346"/>
      <c r="D592" s="346"/>
      <c r="E592" s="346"/>
      <c r="F592" s="346"/>
      <c r="G592" s="346"/>
      <c r="H592" s="346"/>
      <c r="I592" s="346"/>
      <c r="J592" s="346"/>
      <c r="K592" s="346"/>
      <c r="L592" s="346"/>
      <c r="M592" s="346"/>
      <c r="N592" s="346"/>
      <c r="O592" s="346"/>
      <c r="P592" s="346"/>
      <c r="Q592" s="346"/>
      <c r="R592" s="346"/>
      <c r="S592" s="346"/>
      <c r="T592" s="347"/>
      <c r="U592" s="345"/>
      <c r="V592" s="317"/>
      <c r="W592" s="318"/>
      <c r="X592" s="288"/>
      <c r="Y592" s="220"/>
      <c r="Z592" s="220"/>
      <c r="AA592" s="220"/>
      <c r="AB592" s="220"/>
      <c r="AC592" s="220"/>
      <c r="AD592" s="220"/>
      <c r="AE592" s="220"/>
      <c r="AF592" s="220"/>
      <c r="AG592" s="220"/>
      <c r="AH592" s="220"/>
      <c r="AI592" s="308"/>
      <c r="AJ592" s="220"/>
      <c r="AK592" s="220"/>
      <c r="AL592" s="220"/>
      <c r="AM592" s="220"/>
      <c r="AN592" s="220"/>
      <c r="AO592" s="220"/>
      <c r="AP592" s="220"/>
      <c r="AQ592" s="220"/>
      <c r="AR592" s="220"/>
      <c r="AS592" s="220"/>
      <c r="AT592" s="220"/>
      <c r="AU592" s="220"/>
      <c r="AV592" s="220"/>
      <c r="AW592" s="220"/>
      <c r="AX592" s="220"/>
      <c r="AY592" s="220"/>
      <c r="AZ592" s="220"/>
      <c r="BA592" s="220"/>
      <c r="BB592" s="220"/>
    </row>
    <row r="593">
      <c r="A593" s="240"/>
      <c r="B593" s="319"/>
      <c r="C593" s="346"/>
      <c r="D593" s="346"/>
      <c r="E593" s="346"/>
      <c r="F593" s="346"/>
      <c r="G593" s="346"/>
      <c r="H593" s="346"/>
      <c r="I593" s="346"/>
      <c r="J593" s="346"/>
      <c r="K593" s="346"/>
      <c r="L593" s="346"/>
      <c r="M593" s="346"/>
      <c r="N593" s="346"/>
      <c r="O593" s="346"/>
      <c r="P593" s="346"/>
      <c r="Q593" s="346"/>
      <c r="R593" s="346"/>
      <c r="S593" s="346"/>
      <c r="T593" s="347"/>
      <c r="U593" s="345"/>
      <c r="V593" s="317"/>
      <c r="W593" s="318"/>
      <c r="X593" s="288"/>
      <c r="Y593" s="220"/>
      <c r="Z593" s="220"/>
      <c r="AA593" s="220"/>
      <c r="AB593" s="220"/>
      <c r="AC593" s="220"/>
      <c r="AD593" s="220"/>
      <c r="AE593" s="220"/>
      <c r="AF593" s="220"/>
      <c r="AG593" s="220"/>
      <c r="AH593" s="220"/>
      <c r="AI593" s="308"/>
      <c r="AJ593" s="220"/>
      <c r="AK593" s="220"/>
      <c r="AL593" s="220"/>
      <c r="AM593" s="220"/>
      <c r="AN593" s="220"/>
      <c r="AO593" s="220"/>
      <c r="AP593" s="220"/>
      <c r="AQ593" s="220"/>
      <c r="AR593" s="220"/>
      <c r="AS593" s="220"/>
      <c r="AT593" s="220"/>
      <c r="AU593" s="220"/>
      <c r="AV593" s="220"/>
      <c r="AW593" s="220"/>
      <c r="AX593" s="220"/>
      <c r="AY593" s="220"/>
      <c r="AZ593" s="220"/>
      <c r="BA593" s="220"/>
      <c r="BB593" s="220"/>
    </row>
    <row r="594">
      <c r="A594" s="240"/>
      <c r="B594" s="319"/>
      <c r="C594" s="346"/>
      <c r="D594" s="346"/>
      <c r="E594" s="346"/>
      <c r="F594" s="346"/>
      <c r="G594" s="346"/>
      <c r="H594" s="346"/>
      <c r="I594" s="346"/>
      <c r="J594" s="346"/>
      <c r="K594" s="346"/>
      <c r="L594" s="346"/>
      <c r="M594" s="346"/>
      <c r="N594" s="346"/>
      <c r="O594" s="346"/>
      <c r="P594" s="346"/>
      <c r="Q594" s="346"/>
      <c r="R594" s="346"/>
      <c r="S594" s="346"/>
      <c r="T594" s="347"/>
      <c r="U594" s="345"/>
      <c r="V594" s="317"/>
      <c r="W594" s="318"/>
      <c r="X594" s="288"/>
      <c r="Y594" s="220"/>
      <c r="Z594" s="220"/>
      <c r="AA594" s="220"/>
      <c r="AB594" s="220"/>
      <c r="AC594" s="220"/>
      <c r="AD594" s="220"/>
      <c r="AE594" s="220"/>
      <c r="AF594" s="220"/>
      <c r="AG594" s="220"/>
      <c r="AH594" s="220"/>
      <c r="AI594" s="308"/>
      <c r="AJ594" s="220"/>
      <c r="AK594" s="220"/>
      <c r="AL594" s="220"/>
      <c r="AM594" s="220"/>
      <c r="AN594" s="220"/>
      <c r="AO594" s="220"/>
      <c r="AP594" s="220"/>
      <c r="AQ594" s="220"/>
      <c r="AR594" s="220"/>
      <c r="AS594" s="220"/>
      <c r="AT594" s="220"/>
      <c r="AU594" s="220"/>
      <c r="AV594" s="220"/>
      <c r="AW594" s="220"/>
      <c r="AX594" s="220"/>
      <c r="AY594" s="220"/>
      <c r="AZ594" s="220"/>
      <c r="BA594" s="220"/>
      <c r="BB594" s="220"/>
    </row>
    <row r="595">
      <c r="A595" s="240"/>
      <c r="B595" s="319"/>
      <c r="C595" s="346"/>
      <c r="D595" s="346"/>
      <c r="E595" s="346"/>
      <c r="F595" s="346"/>
      <c r="G595" s="346"/>
      <c r="H595" s="346"/>
      <c r="I595" s="346"/>
      <c r="J595" s="346"/>
      <c r="K595" s="346"/>
      <c r="L595" s="346"/>
      <c r="M595" s="346"/>
      <c r="N595" s="346"/>
      <c r="O595" s="346"/>
      <c r="P595" s="346"/>
      <c r="Q595" s="346"/>
      <c r="R595" s="346"/>
      <c r="S595" s="346"/>
      <c r="T595" s="347"/>
      <c r="U595" s="345"/>
      <c r="V595" s="317"/>
      <c r="W595" s="318"/>
      <c r="X595" s="288"/>
      <c r="Y595" s="220"/>
      <c r="Z595" s="220"/>
      <c r="AA595" s="220"/>
      <c r="AB595" s="220"/>
      <c r="AC595" s="220"/>
      <c r="AD595" s="220"/>
      <c r="AE595" s="220"/>
      <c r="AF595" s="220"/>
      <c r="AG595" s="220"/>
      <c r="AH595" s="220"/>
      <c r="AI595" s="308"/>
      <c r="AJ595" s="220"/>
      <c r="AK595" s="220"/>
      <c r="AL595" s="220"/>
      <c r="AM595" s="220"/>
      <c r="AN595" s="220"/>
      <c r="AO595" s="220"/>
      <c r="AP595" s="220"/>
      <c r="AQ595" s="220"/>
      <c r="AR595" s="220"/>
      <c r="AS595" s="220"/>
      <c r="AT595" s="220"/>
      <c r="AU595" s="220"/>
      <c r="AV595" s="220"/>
      <c r="AW595" s="220"/>
      <c r="AX595" s="220"/>
      <c r="AY595" s="220"/>
      <c r="AZ595" s="220"/>
      <c r="BA595" s="220"/>
      <c r="BB595" s="220"/>
    </row>
    <row r="596">
      <c r="A596" s="240"/>
      <c r="B596" s="319"/>
      <c r="C596" s="346"/>
      <c r="D596" s="346"/>
      <c r="E596" s="346"/>
      <c r="F596" s="346"/>
      <c r="G596" s="346"/>
      <c r="H596" s="346"/>
      <c r="I596" s="346"/>
      <c r="J596" s="346"/>
      <c r="K596" s="346"/>
      <c r="L596" s="346"/>
      <c r="M596" s="346"/>
      <c r="N596" s="346"/>
      <c r="O596" s="346"/>
      <c r="P596" s="346"/>
      <c r="Q596" s="346"/>
      <c r="R596" s="346"/>
      <c r="S596" s="346"/>
      <c r="T596" s="347"/>
      <c r="U596" s="345"/>
      <c r="V596" s="317"/>
      <c r="W596" s="318"/>
      <c r="X596" s="288"/>
      <c r="Y596" s="220"/>
      <c r="Z596" s="220"/>
      <c r="AA596" s="220"/>
      <c r="AB596" s="220"/>
      <c r="AC596" s="220"/>
      <c r="AD596" s="220"/>
      <c r="AE596" s="220"/>
      <c r="AF596" s="220"/>
      <c r="AG596" s="220"/>
      <c r="AH596" s="220"/>
      <c r="AI596" s="308"/>
      <c r="AJ596" s="220"/>
      <c r="AK596" s="220"/>
      <c r="AL596" s="220"/>
      <c r="AM596" s="220"/>
      <c r="AN596" s="220"/>
      <c r="AO596" s="220"/>
      <c r="AP596" s="220"/>
      <c r="AQ596" s="220"/>
      <c r="AR596" s="220"/>
      <c r="AS596" s="220"/>
      <c r="AT596" s="220"/>
      <c r="AU596" s="220"/>
      <c r="AV596" s="220"/>
      <c r="AW596" s="220"/>
      <c r="AX596" s="220"/>
      <c r="AY596" s="220"/>
      <c r="AZ596" s="220"/>
      <c r="BA596" s="220"/>
      <c r="BB596" s="220"/>
    </row>
    <row r="597">
      <c r="A597" s="240"/>
      <c r="B597" s="319"/>
      <c r="C597" s="346"/>
      <c r="D597" s="346"/>
      <c r="E597" s="346"/>
      <c r="F597" s="346"/>
      <c r="G597" s="346"/>
      <c r="H597" s="346"/>
      <c r="I597" s="346"/>
      <c r="J597" s="346"/>
      <c r="K597" s="346"/>
      <c r="L597" s="346"/>
      <c r="M597" s="346"/>
      <c r="N597" s="346"/>
      <c r="O597" s="346"/>
      <c r="P597" s="346"/>
      <c r="Q597" s="346"/>
      <c r="R597" s="346"/>
      <c r="S597" s="346"/>
      <c r="T597" s="347"/>
      <c r="U597" s="345"/>
      <c r="V597" s="317"/>
      <c r="W597" s="318"/>
      <c r="X597" s="288"/>
      <c r="Y597" s="220"/>
      <c r="Z597" s="220"/>
      <c r="AA597" s="220"/>
      <c r="AB597" s="220"/>
      <c r="AC597" s="220"/>
      <c r="AD597" s="220"/>
      <c r="AE597" s="220"/>
      <c r="AF597" s="220"/>
      <c r="AG597" s="220"/>
      <c r="AH597" s="220"/>
      <c r="AI597" s="308"/>
      <c r="AJ597" s="220"/>
      <c r="AK597" s="220"/>
      <c r="AL597" s="220"/>
      <c r="AM597" s="220"/>
      <c r="AN597" s="220"/>
      <c r="AO597" s="220"/>
      <c r="AP597" s="220"/>
      <c r="AQ597" s="220"/>
      <c r="AR597" s="220"/>
      <c r="AS597" s="220"/>
      <c r="AT597" s="220"/>
      <c r="AU597" s="220"/>
      <c r="AV597" s="220"/>
      <c r="AW597" s="220"/>
      <c r="AX597" s="220"/>
      <c r="AY597" s="220"/>
      <c r="AZ597" s="220"/>
      <c r="BA597" s="220"/>
      <c r="BB597" s="220"/>
    </row>
    <row r="598">
      <c r="A598" s="240"/>
      <c r="B598" s="319"/>
      <c r="C598" s="346"/>
      <c r="D598" s="346"/>
      <c r="E598" s="346"/>
      <c r="F598" s="346"/>
      <c r="G598" s="346"/>
      <c r="H598" s="346"/>
      <c r="I598" s="346"/>
      <c r="J598" s="346"/>
      <c r="K598" s="346"/>
      <c r="L598" s="346"/>
      <c r="M598" s="346"/>
      <c r="N598" s="346"/>
      <c r="O598" s="346"/>
      <c r="P598" s="346"/>
      <c r="Q598" s="346"/>
      <c r="R598" s="346"/>
      <c r="S598" s="346"/>
      <c r="T598" s="347"/>
      <c r="U598" s="345"/>
      <c r="V598" s="317"/>
      <c r="W598" s="318"/>
      <c r="X598" s="288"/>
      <c r="Y598" s="220"/>
      <c r="Z598" s="220"/>
      <c r="AA598" s="220"/>
      <c r="AB598" s="220"/>
      <c r="AC598" s="220"/>
      <c r="AD598" s="220"/>
      <c r="AE598" s="220"/>
      <c r="AF598" s="220"/>
      <c r="AG598" s="220"/>
      <c r="AH598" s="220"/>
      <c r="AI598" s="308"/>
      <c r="AJ598" s="220"/>
      <c r="AK598" s="220"/>
      <c r="AL598" s="220"/>
      <c r="AM598" s="220"/>
      <c r="AN598" s="220"/>
      <c r="AO598" s="220"/>
      <c r="AP598" s="220"/>
      <c r="AQ598" s="220"/>
      <c r="AR598" s="220"/>
      <c r="AS598" s="220"/>
      <c r="AT598" s="220"/>
      <c r="AU598" s="220"/>
      <c r="AV598" s="220"/>
      <c r="AW598" s="220"/>
      <c r="AX598" s="220"/>
      <c r="AY598" s="220"/>
      <c r="AZ598" s="220"/>
      <c r="BA598" s="220"/>
      <c r="BB598" s="220"/>
    </row>
    <row r="599">
      <c r="A599" s="240"/>
      <c r="B599" s="319"/>
      <c r="C599" s="346"/>
      <c r="D599" s="346"/>
      <c r="E599" s="346"/>
      <c r="F599" s="346"/>
      <c r="G599" s="346"/>
      <c r="H599" s="346"/>
      <c r="I599" s="346"/>
      <c r="J599" s="346"/>
      <c r="K599" s="346"/>
      <c r="L599" s="346"/>
      <c r="M599" s="346"/>
      <c r="N599" s="346"/>
      <c r="O599" s="346"/>
      <c r="P599" s="346"/>
      <c r="Q599" s="346"/>
      <c r="R599" s="346"/>
      <c r="S599" s="346"/>
      <c r="T599" s="347"/>
      <c r="U599" s="345"/>
      <c r="V599" s="317"/>
      <c r="W599" s="318"/>
      <c r="X599" s="288"/>
      <c r="Y599" s="220"/>
      <c r="Z599" s="220"/>
      <c r="AA599" s="220"/>
      <c r="AB599" s="220"/>
      <c r="AC599" s="220"/>
      <c r="AD599" s="220"/>
      <c r="AE599" s="220"/>
      <c r="AF599" s="220"/>
      <c r="AG599" s="220"/>
      <c r="AH599" s="220"/>
      <c r="AI599" s="308"/>
      <c r="AJ599" s="220"/>
      <c r="AK599" s="220"/>
      <c r="AL599" s="220"/>
      <c r="AM599" s="220"/>
      <c r="AN599" s="220"/>
      <c r="AO599" s="220"/>
      <c r="AP599" s="220"/>
      <c r="AQ599" s="220"/>
      <c r="AR599" s="220"/>
      <c r="AS599" s="220"/>
      <c r="AT599" s="220"/>
      <c r="AU599" s="220"/>
      <c r="AV599" s="220"/>
      <c r="AW599" s="220"/>
      <c r="AX599" s="220"/>
      <c r="AY599" s="220"/>
      <c r="AZ599" s="220"/>
      <c r="BA599" s="220"/>
      <c r="BB599" s="220"/>
    </row>
    <row r="600">
      <c r="A600" s="240"/>
      <c r="B600" s="319"/>
      <c r="C600" s="346"/>
      <c r="D600" s="346"/>
      <c r="E600" s="346"/>
      <c r="F600" s="346"/>
      <c r="G600" s="346"/>
      <c r="H600" s="346"/>
      <c r="I600" s="346"/>
      <c r="J600" s="346"/>
      <c r="K600" s="346"/>
      <c r="L600" s="346"/>
      <c r="M600" s="346"/>
      <c r="N600" s="346"/>
      <c r="O600" s="346"/>
      <c r="P600" s="346"/>
      <c r="Q600" s="346"/>
      <c r="R600" s="346"/>
      <c r="S600" s="346"/>
      <c r="T600" s="347"/>
      <c r="U600" s="345"/>
      <c r="V600" s="317"/>
      <c r="W600" s="318"/>
      <c r="X600" s="288"/>
      <c r="Y600" s="220"/>
      <c r="Z600" s="220"/>
      <c r="AA600" s="220"/>
      <c r="AB600" s="220"/>
      <c r="AC600" s="220"/>
      <c r="AD600" s="220"/>
      <c r="AE600" s="220"/>
      <c r="AF600" s="220"/>
      <c r="AG600" s="220"/>
      <c r="AH600" s="220"/>
      <c r="AI600" s="308"/>
      <c r="AJ600" s="220"/>
      <c r="AK600" s="220"/>
      <c r="AL600" s="220"/>
      <c r="AM600" s="220"/>
      <c r="AN600" s="220"/>
      <c r="AO600" s="220"/>
      <c r="AP600" s="220"/>
      <c r="AQ600" s="220"/>
      <c r="AR600" s="220"/>
      <c r="AS600" s="220"/>
      <c r="AT600" s="220"/>
      <c r="AU600" s="220"/>
      <c r="AV600" s="220"/>
      <c r="AW600" s="220"/>
      <c r="AX600" s="220"/>
      <c r="AY600" s="220"/>
      <c r="AZ600" s="220"/>
      <c r="BA600" s="220"/>
      <c r="BB600" s="220"/>
    </row>
    <row r="601">
      <c r="A601" s="240"/>
      <c r="B601" s="319"/>
      <c r="C601" s="346"/>
      <c r="D601" s="346"/>
      <c r="E601" s="346"/>
      <c r="F601" s="346"/>
      <c r="G601" s="346"/>
      <c r="H601" s="346"/>
      <c r="I601" s="346"/>
      <c r="J601" s="346"/>
      <c r="K601" s="346"/>
      <c r="L601" s="346"/>
      <c r="M601" s="346"/>
      <c r="N601" s="346"/>
      <c r="O601" s="346"/>
      <c r="P601" s="346"/>
      <c r="Q601" s="346"/>
      <c r="R601" s="346"/>
      <c r="S601" s="346"/>
      <c r="T601" s="347"/>
      <c r="U601" s="345"/>
      <c r="V601" s="317"/>
      <c r="W601" s="318"/>
      <c r="X601" s="288"/>
      <c r="Y601" s="220"/>
      <c r="Z601" s="220"/>
      <c r="AA601" s="220"/>
      <c r="AB601" s="220"/>
      <c r="AC601" s="220"/>
      <c r="AD601" s="220"/>
      <c r="AE601" s="220"/>
      <c r="AF601" s="220"/>
      <c r="AG601" s="220"/>
      <c r="AH601" s="220"/>
      <c r="AI601" s="308"/>
      <c r="AJ601" s="220"/>
      <c r="AK601" s="220"/>
      <c r="AL601" s="220"/>
      <c r="AM601" s="220"/>
      <c r="AN601" s="220"/>
      <c r="AO601" s="220"/>
      <c r="AP601" s="220"/>
      <c r="AQ601" s="220"/>
      <c r="AR601" s="220"/>
      <c r="AS601" s="220"/>
      <c r="AT601" s="220"/>
      <c r="AU601" s="220"/>
      <c r="AV601" s="220"/>
      <c r="AW601" s="220"/>
      <c r="AX601" s="220"/>
      <c r="AY601" s="220"/>
      <c r="AZ601" s="220"/>
      <c r="BA601" s="220"/>
      <c r="BB601" s="220"/>
    </row>
    <row r="602">
      <c r="A602" s="240"/>
      <c r="B602" s="319"/>
      <c r="C602" s="346"/>
      <c r="D602" s="346"/>
      <c r="E602" s="346"/>
      <c r="F602" s="346"/>
      <c r="G602" s="346"/>
      <c r="H602" s="346"/>
      <c r="I602" s="346"/>
      <c r="J602" s="346"/>
      <c r="K602" s="346"/>
      <c r="L602" s="346"/>
      <c r="M602" s="346"/>
      <c r="N602" s="346"/>
      <c r="O602" s="346"/>
      <c r="P602" s="346"/>
      <c r="Q602" s="346"/>
      <c r="R602" s="346"/>
      <c r="S602" s="346"/>
      <c r="T602" s="347"/>
      <c r="U602" s="345"/>
      <c r="V602" s="317"/>
      <c r="W602" s="318"/>
      <c r="X602" s="288"/>
      <c r="Y602" s="220"/>
      <c r="Z602" s="220"/>
      <c r="AA602" s="220"/>
      <c r="AB602" s="220"/>
      <c r="AC602" s="220"/>
      <c r="AD602" s="220"/>
      <c r="AE602" s="220"/>
      <c r="AF602" s="220"/>
      <c r="AG602" s="220"/>
      <c r="AH602" s="220"/>
      <c r="AI602" s="308"/>
      <c r="AJ602" s="220"/>
      <c r="AK602" s="220"/>
      <c r="AL602" s="220"/>
      <c r="AM602" s="220"/>
      <c r="AN602" s="220"/>
      <c r="AO602" s="220"/>
      <c r="AP602" s="220"/>
      <c r="AQ602" s="220"/>
      <c r="AR602" s="220"/>
      <c r="AS602" s="220"/>
      <c r="AT602" s="220"/>
      <c r="AU602" s="220"/>
      <c r="AV602" s="220"/>
      <c r="AW602" s="220"/>
      <c r="AX602" s="220"/>
      <c r="AY602" s="220"/>
      <c r="AZ602" s="220"/>
      <c r="BA602" s="220"/>
      <c r="BB602" s="220"/>
    </row>
    <row r="603">
      <c r="A603" s="240"/>
      <c r="B603" s="319"/>
      <c r="C603" s="346"/>
      <c r="D603" s="346"/>
      <c r="E603" s="346"/>
      <c r="F603" s="346"/>
      <c r="G603" s="346"/>
      <c r="H603" s="346"/>
      <c r="I603" s="346"/>
      <c r="J603" s="346"/>
      <c r="K603" s="346"/>
      <c r="L603" s="346"/>
      <c r="M603" s="346"/>
      <c r="N603" s="346"/>
      <c r="O603" s="346"/>
      <c r="P603" s="346"/>
      <c r="Q603" s="346"/>
      <c r="R603" s="346"/>
      <c r="S603" s="346"/>
      <c r="T603" s="347"/>
      <c r="U603" s="345"/>
      <c r="V603" s="317"/>
      <c r="W603" s="318"/>
      <c r="X603" s="288"/>
      <c r="Y603" s="220"/>
      <c r="Z603" s="220"/>
      <c r="AA603" s="220"/>
      <c r="AB603" s="220"/>
      <c r="AC603" s="220"/>
      <c r="AD603" s="220"/>
      <c r="AE603" s="220"/>
      <c r="AF603" s="220"/>
      <c r="AG603" s="220"/>
      <c r="AH603" s="220"/>
      <c r="AI603" s="308"/>
      <c r="AJ603" s="220"/>
      <c r="AK603" s="220"/>
      <c r="AL603" s="220"/>
      <c r="AM603" s="220"/>
      <c r="AN603" s="220"/>
      <c r="AO603" s="220"/>
      <c r="AP603" s="220"/>
      <c r="AQ603" s="220"/>
      <c r="AR603" s="220"/>
      <c r="AS603" s="220"/>
      <c r="AT603" s="220"/>
      <c r="AU603" s="220"/>
      <c r="AV603" s="220"/>
      <c r="AW603" s="220"/>
      <c r="AX603" s="220"/>
      <c r="AY603" s="220"/>
      <c r="AZ603" s="220"/>
      <c r="BA603" s="220"/>
      <c r="BB603" s="220"/>
    </row>
    <row r="604">
      <c r="A604" s="240"/>
      <c r="B604" s="319"/>
      <c r="C604" s="346"/>
      <c r="D604" s="346"/>
      <c r="E604" s="346"/>
      <c r="F604" s="346"/>
      <c r="G604" s="346"/>
      <c r="H604" s="346"/>
      <c r="I604" s="346"/>
      <c r="J604" s="346"/>
      <c r="K604" s="346"/>
      <c r="L604" s="346"/>
      <c r="M604" s="346"/>
      <c r="N604" s="346"/>
      <c r="O604" s="346"/>
      <c r="P604" s="346"/>
      <c r="Q604" s="346"/>
      <c r="R604" s="346"/>
      <c r="S604" s="346"/>
      <c r="T604" s="347"/>
      <c r="U604" s="345"/>
      <c r="V604" s="317"/>
      <c r="W604" s="318"/>
      <c r="X604" s="288"/>
      <c r="Y604" s="220"/>
      <c r="Z604" s="220"/>
      <c r="AA604" s="220"/>
      <c r="AB604" s="220"/>
      <c r="AC604" s="220"/>
      <c r="AD604" s="220"/>
      <c r="AE604" s="220"/>
      <c r="AF604" s="220"/>
      <c r="AG604" s="220"/>
      <c r="AH604" s="220"/>
      <c r="AI604" s="308"/>
      <c r="AJ604" s="220"/>
      <c r="AK604" s="220"/>
      <c r="AL604" s="220"/>
      <c r="AM604" s="220"/>
      <c r="AN604" s="220"/>
      <c r="AO604" s="220"/>
      <c r="AP604" s="220"/>
      <c r="AQ604" s="220"/>
      <c r="AR604" s="220"/>
      <c r="AS604" s="220"/>
      <c r="AT604" s="220"/>
      <c r="AU604" s="220"/>
      <c r="AV604" s="220"/>
      <c r="AW604" s="220"/>
      <c r="AX604" s="220"/>
      <c r="AY604" s="220"/>
      <c r="AZ604" s="220"/>
      <c r="BA604" s="220"/>
      <c r="BB604" s="220"/>
    </row>
    <row r="605">
      <c r="A605" s="240"/>
      <c r="B605" s="319"/>
      <c r="C605" s="346"/>
      <c r="D605" s="346"/>
      <c r="E605" s="346"/>
      <c r="F605" s="346"/>
      <c r="G605" s="346"/>
      <c r="H605" s="346"/>
      <c r="I605" s="346"/>
      <c r="J605" s="346"/>
      <c r="K605" s="346"/>
      <c r="L605" s="346"/>
      <c r="M605" s="346"/>
      <c r="N605" s="346"/>
      <c r="O605" s="346"/>
      <c r="P605" s="346"/>
      <c r="Q605" s="346"/>
      <c r="R605" s="346"/>
      <c r="S605" s="346"/>
      <c r="T605" s="347"/>
      <c r="U605" s="345"/>
      <c r="V605" s="317"/>
      <c r="W605" s="318"/>
      <c r="X605" s="288"/>
      <c r="Y605" s="220"/>
      <c r="Z605" s="220"/>
      <c r="AA605" s="220"/>
      <c r="AB605" s="220"/>
      <c r="AC605" s="220"/>
      <c r="AD605" s="220"/>
      <c r="AE605" s="220"/>
      <c r="AF605" s="220"/>
      <c r="AG605" s="220"/>
      <c r="AH605" s="220"/>
      <c r="AI605" s="308"/>
      <c r="AJ605" s="220"/>
      <c r="AK605" s="220"/>
      <c r="AL605" s="220"/>
      <c r="AM605" s="220"/>
      <c r="AN605" s="220"/>
      <c r="AO605" s="220"/>
      <c r="AP605" s="220"/>
      <c r="AQ605" s="220"/>
      <c r="AR605" s="220"/>
      <c r="AS605" s="220"/>
      <c r="AT605" s="220"/>
      <c r="AU605" s="220"/>
      <c r="AV605" s="220"/>
      <c r="AW605" s="220"/>
      <c r="AX605" s="220"/>
      <c r="AY605" s="220"/>
      <c r="AZ605" s="220"/>
      <c r="BA605" s="220"/>
      <c r="BB605" s="220"/>
    </row>
    <row r="606">
      <c r="A606" s="240"/>
      <c r="B606" s="319"/>
      <c r="C606" s="346"/>
      <c r="D606" s="346"/>
      <c r="E606" s="346"/>
      <c r="F606" s="346"/>
      <c r="G606" s="346"/>
      <c r="H606" s="346"/>
      <c r="I606" s="346"/>
      <c r="J606" s="346"/>
      <c r="K606" s="346"/>
      <c r="L606" s="346"/>
      <c r="M606" s="346"/>
      <c r="N606" s="346"/>
      <c r="O606" s="346"/>
      <c r="P606" s="346"/>
      <c r="Q606" s="346"/>
      <c r="R606" s="346"/>
      <c r="S606" s="346"/>
      <c r="T606" s="347"/>
      <c r="U606" s="345"/>
      <c r="V606" s="317"/>
      <c r="W606" s="318"/>
      <c r="X606" s="288"/>
      <c r="Y606" s="220"/>
      <c r="Z606" s="220"/>
      <c r="AA606" s="220"/>
      <c r="AB606" s="220"/>
      <c r="AC606" s="220"/>
      <c r="AD606" s="220"/>
      <c r="AE606" s="220"/>
      <c r="AF606" s="220"/>
      <c r="AG606" s="220"/>
      <c r="AH606" s="220"/>
      <c r="AI606" s="308"/>
      <c r="AJ606" s="220"/>
      <c r="AK606" s="220"/>
      <c r="AL606" s="220"/>
      <c r="AM606" s="220"/>
      <c r="AN606" s="220"/>
      <c r="AO606" s="220"/>
      <c r="AP606" s="220"/>
      <c r="AQ606" s="220"/>
      <c r="AR606" s="220"/>
      <c r="AS606" s="220"/>
      <c r="AT606" s="220"/>
      <c r="AU606" s="220"/>
      <c r="AV606" s="220"/>
      <c r="AW606" s="220"/>
      <c r="AX606" s="220"/>
      <c r="AY606" s="220"/>
      <c r="AZ606" s="220"/>
      <c r="BA606" s="220"/>
      <c r="BB606" s="220"/>
    </row>
    <row r="607">
      <c r="A607" s="240"/>
      <c r="B607" s="319"/>
      <c r="C607" s="346"/>
      <c r="D607" s="346"/>
      <c r="E607" s="346"/>
      <c r="F607" s="346"/>
      <c r="G607" s="346"/>
      <c r="H607" s="346"/>
      <c r="I607" s="346"/>
      <c r="J607" s="346"/>
      <c r="K607" s="346"/>
      <c r="L607" s="346"/>
      <c r="M607" s="346"/>
      <c r="N607" s="346"/>
      <c r="O607" s="346"/>
      <c r="P607" s="346"/>
      <c r="Q607" s="346"/>
      <c r="R607" s="346"/>
      <c r="S607" s="346"/>
      <c r="T607" s="347"/>
      <c r="U607" s="345"/>
      <c r="V607" s="317"/>
      <c r="W607" s="318"/>
      <c r="X607" s="288"/>
      <c r="Y607" s="220"/>
      <c r="Z607" s="220"/>
      <c r="AA607" s="220"/>
      <c r="AB607" s="220"/>
      <c r="AC607" s="220"/>
      <c r="AD607" s="220"/>
      <c r="AE607" s="220"/>
      <c r="AF607" s="220"/>
      <c r="AG607" s="220"/>
      <c r="AH607" s="220"/>
      <c r="AI607" s="308"/>
      <c r="AJ607" s="220"/>
      <c r="AK607" s="220"/>
      <c r="AL607" s="220"/>
      <c r="AM607" s="220"/>
      <c r="AN607" s="220"/>
      <c r="AO607" s="220"/>
      <c r="AP607" s="220"/>
      <c r="AQ607" s="220"/>
      <c r="AR607" s="220"/>
      <c r="AS607" s="220"/>
      <c r="AT607" s="220"/>
      <c r="AU607" s="220"/>
      <c r="AV607" s="220"/>
      <c r="AW607" s="220"/>
      <c r="AX607" s="220"/>
      <c r="AY607" s="220"/>
      <c r="AZ607" s="220"/>
      <c r="BA607" s="220"/>
      <c r="BB607" s="220"/>
    </row>
    <row r="608">
      <c r="A608" s="240"/>
      <c r="B608" s="319"/>
      <c r="C608" s="346"/>
      <c r="D608" s="346"/>
      <c r="E608" s="346"/>
      <c r="F608" s="346"/>
      <c r="G608" s="346"/>
      <c r="H608" s="346"/>
      <c r="I608" s="346"/>
      <c r="J608" s="346"/>
      <c r="K608" s="346"/>
      <c r="L608" s="346"/>
      <c r="M608" s="346"/>
      <c r="N608" s="346"/>
      <c r="O608" s="346"/>
      <c r="P608" s="346"/>
      <c r="Q608" s="346"/>
      <c r="R608" s="346"/>
      <c r="S608" s="346"/>
      <c r="T608" s="347"/>
      <c r="U608" s="345"/>
      <c r="V608" s="317"/>
      <c r="W608" s="318"/>
      <c r="X608" s="288"/>
      <c r="Y608" s="220"/>
      <c r="Z608" s="220"/>
      <c r="AA608" s="220"/>
      <c r="AB608" s="220"/>
      <c r="AC608" s="220"/>
      <c r="AD608" s="220"/>
      <c r="AE608" s="220"/>
      <c r="AF608" s="220"/>
      <c r="AG608" s="220"/>
      <c r="AH608" s="220"/>
      <c r="AI608" s="308"/>
      <c r="AJ608" s="220"/>
      <c r="AK608" s="220"/>
      <c r="AL608" s="220"/>
      <c r="AM608" s="220"/>
      <c r="AN608" s="220"/>
      <c r="AO608" s="220"/>
      <c r="AP608" s="220"/>
      <c r="AQ608" s="220"/>
      <c r="AR608" s="220"/>
      <c r="AS608" s="220"/>
      <c r="AT608" s="220"/>
      <c r="AU608" s="220"/>
      <c r="AV608" s="220"/>
      <c r="AW608" s="220"/>
      <c r="AX608" s="220"/>
      <c r="AY608" s="220"/>
      <c r="AZ608" s="220"/>
      <c r="BA608" s="220"/>
      <c r="BB608" s="220"/>
    </row>
    <row r="609">
      <c r="A609" s="240"/>
      <c r="B609" s="319"/>
      <c r="C609" s="346"/>
      <c r="D609" s="346"/>
      <c r="E609" s="346"/>
      <c r="F609" s="346"/>
      <c r="G609" s="346"/>
      <c r="H609" s="346"/>
      <c r="I609" s="346"/>
      <c r="J609" s="346"/>
      <c r="K609" s="346"/>
      <c r="L609" s="346"/>
      <c r="M609" s="346"/>
      <c r="N609" s="346"/>
      <c r="O609" s="346"/>
      <c r="P609" s="346"/>
      <c r="Q609" s="346"/>
      <c r="R609" s="346"/>
      <c r="S609" s="346"/>
      <c r="T609" s="347"/>
      <c r="U609" s="345"/>
      <c r="V609" s="317"/>
      <c r="W609" s="318"/>
      <c r="X609" s="288"/>
      <c r="Y609" s="220"/>
      <c r="Z609" s="220"/>
      <c r="AA609" s="220"/>
      <c r="AB609" s="220"/>
      <c r="AC609" s="220"/>
      <c r="AD609" s="220"/>
      <c r="AE609" s="220"/>
      <c r="AF609" s="220"/>
      <c r="AG609" s="220"/>
      <c r="AH609" s="220"/>
      <c r="AI609" s="308"/>
      <c r="AJ609" s="220"/>
      <c r="AK609" s="220"/>
      <c r="AL609" s="220"/>
      <c r="AM609" s="220"/>
      <c r="AN609" s="220"/>
      <c r="AO609" s="220"/>
      <c r="AP609" s="220"/>
      <c r="AQ609" s="220"/>
      <c r="AR609" s="220"/>
      <c r="AS609" s="220"/>
      <c r="AT609" s="220"/>
      <c r="AU609" s="220"/>
      <c r="AV609" s="220"/>
      <c r="AW609" s="220"/>
      <c r="AX609" s="220"/>
      <c r="AY609" s="220"/>
      <c r="AZ609" s="220"/>
      <c r="BA609" s="220"/>
      <c r="BB609" s="220"/>
    </row>
    <row r="610">
      <c r="A610" s="240"/>
      <c r="B610" s="319"/>
      <c r="C610" s="346"/>
      <c r="D610" s="346"/>
      <c r="E610" s="346"/>
      <c r="F610" s="346"/>
      <c r="G610" s="346"/>
      <c r="H610" s="346"/>
      <c r="I610" s="346"/>
      <c r="J610" s="346"/>
      <c r="K610" s="346"/>
      <c r="L610" s="346"/>
      <c r="M610" s="346"/>
      <c r="N610" s="346"/>
      <c r="O610" s="346"/>
      <c r="P610" s="346"/>
      <c r="Q610" s="346"/>
      <c r="R610" s="346"/>
      <c r="S610" s="346"/>
      <c r="T610" s="347"/>
      <c r="U610" s="345"/>
      <c r="V610" s="317"/>
      <c r="W610" s="318"/>
      <c r="X610" s="288"/>
      <c r="Y610" s="220"/>
      <c r="Z610" s="220"/>
      <c r="AA610" s="220"/>
      <c r="AB610" s="220"/>
      <c r="AC610" s="220"/>
      <c r="AD610" s="220"/>
      <c r="AE610" s="220"/>
      <c r="AF610" s="220"/>
      <c r="AG610" s="220"/>
      <c r="AH610" s="220"/>
      <c r="AI610" s="308"/>
      <c r="AJ610" s="220"/>
      <c r="AK610" s="220"/>
      <c r="AL610" s="220"/>
      <c r="AM610" s="220"/>
      <c r="AN610" s="220"/>
      <c r="AO610" s="220"/>
      <c r="AP610" s="220"/>
      <c r="AQ610" s="220"/>
      <c r="AR610" s="220"/>
      <c r="AS610" s="220"/>
      <c r="AT610" s="220"/>
      <c r="AU610" s="220"/>
      <c r="AV610" s="220"/>
      <c r="AW610" s="220"/>
      <c r="AX610" s="220"/>
      <c r="AY610" s="220"/>
      <c r="AZ610" s="220"/>
      <c r="BA610" s="220"/>
      <c r="BB610" s="220"/>
    </row>
    <row r="611">
      <c r="A611" s="240"/>
      <c r="B611" s="319"/>
      <c r="C611" s="346"/>
      <c r="D611" s="346"/>
      <c r="E611" s="346"/>
      <c r="F611" s="346"/>
      <c r="G611" s="346"/>
      <c r="H611" s="346"/>
      <c r="I611" s="346"/>
      <c r="J611" s="346"/>
      <c r="K611" s="346"/>
      <c r="L611" s="346"/>
      <c r="M611" s="346"/>
      <c r="N611" s="346"/>
      <c r="O611" s="346"/>
      <c r="P611" s="346"/>
      <c r="Q611" s="346"/>
      <c r="R611" s="346"/>
      <c r="S611" s="346"/>
      <c r="T611" s="347"/>
      <c r="U611" s="345"/>
      <c r="V611" s="317"/>
      <c r="W611" s="318"/>
      <c r="X611" s="288"/>
      <c r="Y611" s="220"/>
      <c r="Z611" s="220"/>
      <c r="AA611" s="220"/>
      <c r="AB611" s="220"/>
      <c r="AC611" s="220"/>
      <c r="AD611" s="220"/>
      <c r="AE611" s="220"/>
      <c r="AF611" s="220"/>
      <c r="AG611" s="220"/>
      <c r="AH611" s="220"/>
      <c r="AI611" s="308"/>
      <c r="AJ611" s="220"/>
      <c r="AK611" s="220"/>
      <c r="AL611" s="220"/>
      <c r="AM611" s="220"/>
      <c r="AN611" s="220"/>
      <c r="AO611" s="220"/>
      <c r="AP611" s="220"/>
      <c r="AQ611" s="220"/>
      <c r="AR611" s="220"/>
      <c r="AS611" s="220"/>
      <c r="AT611" s="220"/>
      <c r="AU611" s="220"/>
      <c r="AV611" s="220"/>
      <c r="AW611" s="220"/>
      <c r="AX611" s="220"/>
      <c r="AY611" s="220"/>
      <c r="AZ611" s="220"/>
      <c r="BA611" s="220"/>
      <c r="BB611" s="220"/>
    </row>
    <row r="612">
      <c r="A612" s="240"/>
      <c r="B612" s="319"/>
      <c r="C612" s="346"/>
      <c r="D612" s="346"/>
      <c r="E612" s="346"/>
      <c r="F612" s="346"/>
      <c r="G612" s="346"/>
      <c r="H612" s="346"/>
      <c r="I612" s="346"/>
      <c r="J612" s="346"/>
      <c r="K612" s="346"/>
      <c r="L612" s="346"/>
      <c r="M612" s="346"/>
      <c r="N612" s="346"/>
      <c r="O612" s="346"/>
      <c r="P612" s="346"/>
      <c r="Q612" s="346"/>
      <c r="R612" s="346"/>
      <c r="S612" s="346"/>
      <c r="T612" s="347"/>
      <c r="U612" s="345"/>
      <c r="V612" s="317"/>
      <c r="W612" s="318"/>
      <c r="X612" s="288"/>
      <c r="Y612" s="220"/>
      <c r="Z612" s="220"/>
      <c r="AA612" s="220"/>
      <c r="AB612" s="220"/>
      <c r="AC612" s="220"/>
      <c r="AD612" s="220"/>
      <c r="AE612" s="220"/>
      <c r="AF612" s="220"/>
      <c r="AG612" s="220"/>
      <c r="AH612" s="220"/>
      <c r="AI612" s="308"/>
      <c r="AJ612" s="220"/>
      <c r="AK612" s="220"/>
      <c r="AL612" s="220"/>
      <c r="AM612" s="220"/>
      <c r="AN612" s="220"/>
      <c r="AO612" s="220"/>
      <c r="AP612" s="220"/>
      <c r="AQ612" s="220"/>
      <c r="AR612" s="220"/>
      <c r="AS612" s="220"/>
      <c r="AT612" s="220"/>
      <c r="AU612" s="220"/>
      <c r="AV612" s="220"/>
      <c r="AW612" s="220"/>
      <c r="AX612" s="220"/>
      <c r="AY612" s="220"/>
      <c r="AZ612" s="220"/>
      <c r="BA612" s="220"/>
      <c r="BB612" s="220"/>
    </row>
    <row r="613">
      <c r="A613" s="240"/>
      <c r="B613" s="319"/>
      <c r="C613" s="346"/>
      <c r="D613" s="346"/>
      <c r="E613" s="346"/>
      <c r="F613" s="346"/>
      <c r="G613" s="346"/>
      <c r="H613" s="346"/>
      <c r="I613" s="346"/>
      <c r="J613" s="346"/>
      <c r="K613" s="346"/>
      <c r="L613" s="346"/>
      <c r="M613" s="346"/>
      <c r="N613" s="346"/>
      <c r="O613" s="346"/>
      <c r="P613" s="346"/>
      <c r="Q613" s="346"/>
      <c r="R613" s="346"/>
      <c r="S613" s="346"/>
      <c r="T613" s="347"/>
      <c r="U613" s="345"/>
      <c r="V613" s="317"/>
      <c r="W613" s="318"/>
      <c r="X613" s="288"/>
      <c r="Y613" s="220"/>
      <c r="Z613" s="220"/>
      <c r="AA613" s="220"/>
      <c r="AB613" s="220"/>
      <c r="AC613" s="220"/>
      <c r="AD613" s="220"/>
      <c r="AE613" s="220"/>
      <c r="AF613" s="220"/>
      <c r="AG613" s="220"/>
      <c r="AH613" s="220"/>
      <c r="AI613" s="308"/>
      <c r="AJ613" s="220"/>
      <c r="AK613" s="220"/>
      <c r="AL613" s="220"/>
      <c r="AM613" s="220"/>
      <c r="AN613" s="220"/>
      <c r="AO613" s="220"/>
      <c r="AP613" s="220"/>
      <c r="AQ613" s="220"/>
      <c r="AR613" s="220"/>
      <c r="AS613" s="220"/>
      <c r="AT613" s="220"/>
      <c r="AU613" s="220"/>
      <c r="AV613" s="220"/>
      <c r="AW613" s="220"/>
      <c r="AX613" s="220"/>
      <c r="AY613" s="220"/>
      <c r="AZ613" s="220"/>
      <c r="BA613" s="220"/>
      <c r="BB613" s="220"/>
    </row>
    <row r="614">
      <c r="A614" s="240"/>
      <c r="B614" s="319"/>
      <c r="C614" s="346"/>
      <c r="D614" s="346"/>
      <c r="E614" s="346"/>
      <c r="F614" s="346"/>
      <c r="G614" s="346"/>
      <c r="H614" s="346"/>
      <c r="I614" s="346"/>
      <c r="J614" s="346"/>
      <c r="K614" s="346"/>
      <c r="L614" s="346"/>
      <c r="M614" s="346"/>
      <c r="N614" s="346"/>
      <c r="O614" s="346"/>
      <c r="P614" s="346"/>
      <c r="Q614" s="346"/>
      <c r="R614" s="346"/>
      <c r="S614" s="346"/>
      <c r="T614" s="347"/>
      <c r="U614" s="345"/>
      <c r="V614" s="317"/>
      <c r="W614" s="318"/>
      <c r="X614" s="288"/>
      <c r="Y614" s="220"/>
      <c r="Z614" s="220"/>
      <c r="AA614" s="220"/>
      <c r="AB614" s="220"/>
      <c r="AC614" s="220"/>
      <c r="AD614" s="220"/>
      <c r="AE614" s="220"/>
      <c r="AF614" s="220"/>
      <c r="AG614" s="220"/>
      <c r="AH614" s="220"/>
      <c r="AI614" s="308"/>
      <c r="AJ614" s="220"/>
      <c r="AK614" s="220"/>
      <c r="AL614" s="220"/>
      <c r="AM614" s="220"/>
      <c r="AN614" s="220"/>
      <c r="AO614" s="220"/>
      <c r="AP614" s="220"/>
      <c r="AQ614" s="220"/>
      <c r="AR614" s="220"/>
      <c r="AS614" s="220"/>
      <c r="AT614" s="220"/>
      <c r="AU614" s="220"/>
      <c r="AV614" s="220"/>
      <c r="AW614" s="220"/>
      <c r="AX614" s="220"/>
      <c r="AY614" s="220"/>
      <c r="AZ614" s="220"/>
      <c r="BA614" s="220"/>
      <c r="BB614" s="220"/>
    </row>
    <row r="615">
      <c r="A615" s="240"/>
      <c r="B615" s="319"/>
      <c r="C615" s="346"/>
      <c r="D615" s="346"/>
      <c r="E615" s="346"/>
      <c r="F615" s="346"/>
      <c r="G615" s="346"/>
      <c r="H615" s="346"/>
      <c r="I615" s="346"/>
      <c r="J615" s="346"/>
      <c r="K615" s="346"/>
      <c r="L615" s="346"/>
      <c r="M615" s="346"/>
      <c r="N615" s="346"/>
      <c r="O615" s="346"/>
      <c r="P615" s="346"/>
      <c r="Q615" s="346"/>
      <c r="R615" s="346"/>
      <c r="S615" s="346"/>
      <c r="T615" s="347"/>
      <c r="U615" s="345"/>
      <c r="V615" s="317"/>
      <c r="W615" s="318"/>
      <c r="X615" s="288"/>
      <c r="Y615" s="220"/>
      <c r="Z615" s="220"/>
      <c r="AA615" s="220"/>
      <c r="AB615" s="220"/>
      <c r="AC615" s="220"/>
      <c r="AD615" s="220"/>
      <c r="AE615" s="220"/>
      <c r="AF615" s="220"/>
      <c r="AG615" s="220"/>
      <c r="AH615" s="220"/>
      <c r="AI615" s="308"/>
      <c r="AJ615" s="220"/>
      <c r="AK615" s="220"/>
      <c r="AL615" s="220"/>
      <c r="AM615" s="220"/>
      <c r="AN615" s="220"/>
      <c r="AO615" s="220"/>
      <c r="AP615" s="220"/>
      <c r="AQ615" s="220"/>
      <c r="AR615" s="220"/>
      <c r="AS615" s="220"/>
      <c r="AT615" s="220"/>
      <c r="AU615" s="220"/>
      <c r="AV615" s="220"/>
      <c r="AW615" s="220"/>
      <c r="AX615" s="220"/>
      <c r="AY615" s="220"/>
      <c r="AZ615" s="220"/>
      <c r="BA615" s="220"/>
      <c r="BB615" s="220"/>
    </row>
    <row r="616">
      <c r="A616" s="240"/>
      <c r="B616" s="319"/>
      <c r="C616" s="346"/>
      <c r="D616" s="346"/>
      <c r="E616" s="346"/>
      <c r="F616" s="346"/>
      <c r="G616" s="346"/>
      <c r="H616" s="346"/>
      <c r="I616" s="346"/>
      <c r="J616" s="346"/>
      <c r="K616" s="346"/>
      <c r="L616" s="346"/>
      <c r="M616" s="346"/>
      <c r="N616" s="346"/>
      <c r="O616" s="346"/>
      <c r="P616" s="346"/>
      <c r="Q616" s="346"/>
      <c r="R616" s="346"/>
      <c r="S616" s="346"/>
      <c r="T616" s="347"/>
      <c r="U616" s="345"/>
      <c r="V616" s="317"/>
      <c r="W616" s="318"/>
      <c r="X616" s="288"/>
      <c r="Y616" s="220"/>
      <c r="Z616" s="220"/>
      <c r="AA616" s="220"/>
      <c r="AB616" s="220"/>
      <c r="AC616" s="220"/>
      <c r="AD616" s="220"/>
      <c r="AE616" s="220"/>
      <c r="AF616" s="220"/>
      <c r="AG616" s="220"/>
      <c r="AH616" s="220"/>
      <c r="AI616" s="308"/>
      <c r="AJ616" s="220"/>
      <c r="AK616" s="220"/>
      <c r="AL616" s="220"/>
      <c r="AM616" s="220"/>
      <c r="AN616" s="220"/>
      <c r="AO616" s="220"/>
      <c r="AP616" s="220"/>
      <c r="AQ616" s="220"/>
      <c r="AR616" s="220"/>
      <c r="AS616" s="220"/>
      <c r="AT616" s="220"/>
      <c r="AU616" s="220"/>
      <c r="AV616" s="220"/>
      <c r="AW616" s="220"/>
      <c r="AX616" s="220"/>
      <c r="AY616" s="220"/>
      <c r="AZ616" s="220"/>
      <c r="BA616" s="220"/>
      <c r="BB616" s="220"/>
    </row>
    <row r="617">
      <c r="A617" s="240"/>
      <c r="B617" s="319"/>
      <c r="C617" s="346"/>
      <c r="D617" s="346"/>
      <c r="E617" s="346"/>
      <c r="F617" s="346"/>
      <c r="G617" s="346"/>
      <c r="H617" s="346"/>
      <c r="I617" s="346"/>
      <c r="J617" s="346"/>
      <c r="K617" s="346"/>
      <c r="L617" s="346"/>
      <c r="M617" s="346"/>
      <c r="N617" s="346"/>
      <c r="O617" s="346"/>
      <c r="P617" s="346"/>
      <c r="Q617" s="346"/>
      <c r="R617" s="346"/>
      <c r="S617" s="346"/>
      <c r="T617" s="347"/>
      <c r="U617" s="345"/>
      <c r="V617" s="317"/>
      <c r="W617" s="318"/>
      <c r="X617" s="288"/>
      <c r="Y617" s="220"/>
      <c r="Z617" s="220"/>
      <c r="AA617" s="220"/>
      <c r="AB617" s="220"/>
      <c r="AC617" s="220"/>
      <c r="AD617" s="220"/>
      <c r="AE617" s="220"/>
      <c r="AF617" s="220"/>
      <c r="AG617" s="220"/>
      <c r="AH617" s="220"/>
      <c r="AI617" s="308"/>
      <c r="AJ617" s="220"/>
      <c r="AK617" s="220"/>
      <c r="AL617" s="220"/>
      <c r="AM617" s="220"/>
      <c r="AN617" s="220"/>
      <c r="AO617" s="220"/>
      <c r="AP617" s="220"/>
      <c r="AQ617" s="220"/>
      <c r="AR617" s="220"/>
      <c r="AS617" s="220"/>
      <c r="AT617" s="220"/>
      <c r="AU617" s="220"/>
      <c r="AV617" s="220"/>
      <c r="AW617" s="220"/>
      <c r="AX617" s="220"/>
      <c r="AY617" s="220"/>
      <c r="AZ617" s="220"/>
      <c r="BA617" s="220"/>
      <c r="BB617" s="220"/>
    </row>
    <row r="618">
      <c r="A618" s="240"/>
      <c r="B618" s="319"/>
      <c r="C618" s="346"/>
      <c r="D618" s="346"/>
      <c r="E618" s="346"/>
      <c r="F618" s="346"/>
      <c r="G618" s="346"/>
      <c r="H618" s="346"/>
      <c r="I618" s="346"/>
      <c r="J618" s="346"/>
      <c r="K618" s="346"/>
      <c r="L618" s="346"/>
      <c r="M618" s="346"/>
      <c r="N618" s="346"/>
      <c r="O618" s="346"/>
      <c r="P618" s="346"/>
      <c r="Q618" s="346"/>
      <c r="R618" s="346"/>
      <c r="S618" s="346"/>
      <c r="T618" s="347"/>
      <c r="U618" s="345"/>
      <c r="V618" s="317"/>
      <c r="W618" s="318"/>
      <c r="X618" s="288"/>
      <c r="Y618" s="220"/>
      <c r="Z618" s="220"/>
      <c r="AA618" s="220"/>
      <c r="AB618" s="220"/>
      <c r="AC618" s="220"/>
      <c r="AD618" s="220"/>
      <c r="AE618" s="220"/>
      <c r="AF618" s="220"/>
      <c r="AG618" s="220"/>
      <c r="AH618" s="220"/>
      <c r="AI618" s="308"/>
      <c r="AJ618" s="220"/>
      <c r="AK618" s="220"/>
      <c r="AL618" s="220"/>
      <c r="AM618" s="220"/>
      <c r="AN618" s="220"/>
      <c r="AO618" s="220"/>
      <c r="AP618" s="220"/>
      <c r="AQ618" s="220"/>
      <c r="AR618" s="220"/>
      <c r="AS618" s="220"/>
      <c r="AT618" s="220"/>
      <c r="AU618" s="220"/>
      <c r="AV618" s="220"/>
      <c r="AW618" s="220"/>
      <c r="AX618" s="220"/>
      <c r="AY618" s="220"/>
      <c r="AZ618" s="220"/>
      <c r="BA618" s="220"/>
      <c r="BB618" s="220"/>
    </row>
    <row r="619">
      <c r="A619" s="240"/>
      <c r="B619" s="319"/>
      <c r="C619" s="346"/>
      <c r="D619" s="346"/>
      <c r="E619" s="346"/>
      <c r="F619" s="346"/>
      <c r="G619" s="346"/>
      <c r="H619" s="346"/>
      <c r="I619" s="346"/>
      <c r="J619" s="346"/>
      <c r="K619" s="346"/>
      <c r="L619" s="346"/>
      <c r="M619" s="346"/>
      <c r="N619" s="346"/>
      <c r="O619" s="346"/>
      <c r="P619" s="346"/>
      <c r="Q619" s="346"/>
      <c r="R619" s="346"/>
      <c r="S619" s="346"/>
      <c r="T619" s="347"/>
      <c r="U619" s="345"/>
      <c r="V619" s="317"/>
      <c r="W619" s="318"/>
      <c r="X619" s="288"/>
      <c r="Y619" s="220"/>
      <c r="Z619" s="220"/>
      <c r="AA619" s="220"/>
      <c r="AB619" s="220"/>
      <c r="AC619" s="220"/>
      <c r="AD619" s="220"/>
      <c r="AE619" s="220"/>
      <c r="AF619" s="220"/>
      <c r="AG619" s="220"/>
      <c r="AH619" s="220"/>
      <c r="AI619" s="308"/>
      <c r="AJ619" s="220"/>
      <c r="AK619" s="220"/>
      <c r="AL619" s="220"/>
      <c r="AM619" s="220"/>
      <c r="AN619" s="220"/>
      <c r="AO619" s="220"/>
      <c r="AP619" s="220"/>
      <c r="AQ619" s="220"/>
      <c r="AR619" s="220"/>
      <c r="AS619" s="220"/>
      <c r="AT619" s="220"/>
      <c r="AU619" s="220"/>
      <c r="AV619" s="220"/>
      <c r="AW619" s="220"/>
      <c r="AX619" s="220"/>
      <c r="AY619" s="220"/>
      <c r="AZ619" s="220"/>
      <c r="BA619" s="220"/>
      <c r="BB619" s="220"/>
    </row>
    <row r="620">
      <c r="A620" s="240"/>
      <c r="B620" s="319"/>
      <c r="C620" s="346"/>
      <c r="D620" s="346"/>
      <c r="E620" s="346"/>
      <c r="F620" s="346"/>
      <c r="G620" s="346"/>
      <c r="H620" s="346"/>
      <c r="I620" s="346"/>
      <c r="J620" s="346"/>
      <c r="K620" s="346"/>
      <c r="L620" s="346"/>
      <c r="M620" s="346"/>
      <c r="N620" s="346"/>
      <c r="O620" s="346"/>
      <c r="P620" s="346"/>
      <c r="Q620" s="346"/>
      <c r="R620" s="346"/>
      <c r="S620" s="346"/>
      <c r="T620" s="347"/>
      <c r="U620" s="345"/>
      <c r="V620" s="317"/>
      <c r="W620" s="318"/>
      <c r="X620" s="288"/>
      <c r="Y620" s="220"/>
      <c r="Z620" s="220"/>
      <c r="AA620" s="220"/>
      <c r="AB620" s="220"/>
      <c r="AC620" s="220"/>
      <c r="AD620" s="220"/>
      <c r="AE620" s="220"/>
      <c r="AF620" s="220"/>
      <c r="AG620" s="220"/>
      <c r="AH620" s="220"/>
      <c r="AI620" s="308"/>
      <c r="AJ620" s="220"/>
      <c r="AK620" s="220"/>
      <c r="AL620" s="220"/>
      <c r="AM620" s="220"/>
      <c r="AN620" s="220"/>
      <c r="AO620" s="220"/>
      <c r="AP620" s="220"/>
      <c r="AQ620" s="220"/>
      <c r="AR620" s="220"/>
      <c r="AS620" s="220"/>
      <c r="AT620" s="220"/>
      <c r="AU620" s="220"/>
      <c r="AV620" s="220"/>
      <c r="AW620" s="220"/>
      <c r="AX620" s="220"/>
      <c r="AY620" s="220"/>
      <c r="AZ620" s="220"/>
      <c r="BA620" s="220"/>
      <c r="BB620" s="220"/>
    </row>
    <row r="621">
      <c r="A621" s="240"/>
      <c r="B621" s="319"/>
      <c r="C621" s="346"/>
      <c r="D621" s="346"/>
      <c r="E621" s="346"/>
      <c r="F621" s="346"/>
      <c r="G621" s="346"/>
      <c r="H621" s="346"/>
      <c r="I621" s="346"/>
      <c r="J621" s="346"/>
      <c r="K621" s="346"/>
      <c r="L621" s="346"/>
      <c r="M621" s="346"/>
      <c r="N621" s="346"/>
      <c r="O621" s="346"/>
      <c r="P621" s="346"/>
      <c r="Q621" s="346"/>
      <c r="R621" s="346"/>
      <c r="S621" s="346"/>
      <c r="T621" s="347"/>
      <c r="U621" s="345"/>
      <c r="V621" s="317"/>
      <c r="W621" s="318"/>
      <c r="X621" s="288"/>
      <c r="Y621" s="220"/>
      <c r="Z621" s="220"/>
      <c r="AA621" s="220"/>
      <c r="AB621" s="220"/>
      <c r="AC621" s="220"/>
      <c r="AD621" s="220"/>
      <c r="AE621" s="220"/>
      <c r="AF621" s="220"/>
      <c r="AG621" s="220"/>
      <c r="AH621" s="220"/>
      <c r="AI621" s="308"/>
      <c r="AJ621" s="220"/>
      <c r="AK621" s="220"/>
      <c r="AL621" s="220"/>
      <c r="AM621" s="220"/>
      <c r="AN621" s="220"/>
      <c r="AO621" s="220"/>
      <c r="AP621" s="220"/>
      <c r="AQ621" s="220"/>
      <c r="AR621" s="220"/>
      <c r="AS621" s="220"/>
      <c r="AT621" s="220"/>
      <c r="AU621" s="220"/>
      <c r="AV621" s="220"/>
      <c r="AW621" s="220"/>
      <c r="AX621" s="220"/>
      <c r="AY621" s="220"/>
      <c r="AZ621" s="220"/>
      <c r="BA621" s="220"/>
      <c r="BB621" s="220"/>
    </row>
    <row r="622">
      <c r="A622" s="240"/>
      <c r="B622" s="319"/>
      <c r="C622" s="346"/>
      <c r="D622" s="346"/>
      <c r="E622" s="346"/>
      <c r="F622" s="346"/>
      <c r="G622" s="346"/>
      <c r="H622" s="346"/>
      <c r="I622" s="346"/>
      <c r="J622" s="346"/>
      <c r="K622" s="346"/>
      <c r="L622" s="346"/>
      <c r="M622" s="346"/>
      <c r="N622" s="346"/>
      <c r="O622" s="346"/>
      <c r="P622" s="346"/>
      <c r="Q622" s="346"/>
      <c r="R622" s="346"/>
      <c r="S622" s="346"/>
      <c r="T622" s="347"/>
      <c r="U622" s="345"/>
      <c r="V622" s="317"/>
      <c r="W622" s="318"/>
      <c r="X622" s="288"/>
      <c r="Y622" s="220"/>
      <c r="Z622" s="220"/>
      <c r="AA622" s="220"/>
      <c r="AB622" s="220"/>
      <c r="AC622" s="220"/>
      <c r="AD622" s="220"/>
      <c r="AE622" s="220"/>
      <c r="AF622" s="220"/>
      <c r="AG622" s="220"/>
      <c r="AH622" s="220"/>
      <c r="AI622" s="308"/>
      <c r="AJ622" s="220"/>
      <c r="AK622" s="220"/>
      <c r="AL622" s="220"/>
      <c r="AM622" s="220"/>
      <c r="AN622" s="220"/>
      <c r="AO622" s="220"/>
      <c r="AP622" s="220"/>
      <c r="AQ622" s="220"/>
      <c r="AR622" s="220"/>
      <c r="AS622" s="220"/>
      <c r="AT622" s="220"/>
      <c r="AU622" s="220"/>
      <c r="AV622" s="220"/>
      <c r="AW622" s="220"/>
      <c r="AX622" s="220"/>
      <c r="AY622" s="220"/>
      <c r="AZ622" s="220"/>
      <c r="BA622" s="220"/>
      <c r="BB622" s="220"/>
    </row>
    <row r="623">
      <c r="A623" s="240"/>
      <c r="B623" s="319"/>
      <c r="C623" s="346"/>
      <c r="D623" s="346"/>
      <c r="E623" s="346"/>
      <c r="F623" s="346"/>
      <c r="G623" s="346"/>
      <c r="H623" s="346"/>
      <c r="I623" s="346"/>
      <c r="J623" s="346"/>
      <c r="K623" s="346"/>
      <c r="L623" s="346"/>
      <c r="M623" s="346"/>
      <c r="N623" s="346"/>
      <c r="O623" s="346"/>
      <c r="P623" s="346"/>
      <c r="Q623" s="346"/>
      <c r="R623" s="346"/>
      <c r="S623" s="346"/>
      <c r="T623" s="347"/>
      <c r="U623" s="345"/>
      <c r="V623" s="317"/>
      <c r="W623" s="318"/>
      <c r="X623" s="288"/>
      <c r="Y623" s="220"/>
      <c r="Z623" s="220"/>
      <c r="AA623" s="220"/>
      <c r="AB623" s="220"/>
      <c r="AC623" s="220"/>
      <c r="AD623" s="220"/>
      <c r="AE623" s="220"/>
      <c r="AF623" s="220"/>
      <c r="AG623" s="220"/>
      <c r="AH623" s="220"/>
      <c r="AI623" s="308"/>
      <c r="AJ623" s="220"/>
      <c r="AK623" s="220"/>
      <c r="AL623" s="220"/>
      <c r="AM623" s="220"/>
      <c r="AN623" s="220"/>
      <c r="AO623" s="220"/>
      <c r="AP623" s="220"/>
      <c r="AQ623" s="220"/>
      <c r="AR623" s="220"/>
      <c r="AS623" s="220"/>
      <c r="AT623" s="220"/>
      <c r="AU623" s="220"/>
      <c r="AV623" s="220"/>
      <c r="AW623" s="220"/>
      <c r="AX623" s="220"/>
      <c r="AY623" s="220"/>
      <c r="AZ623" s="220"/>
      <c r="BA623" s="220"/>
      <c r="BB623" s="220"/>
    </row>
    <row r="624">
      <c r="A624" s="240"/>
      <c r="B624" s="319"/>
      <c r="C624" s="346"/>
      <c r="D624" s="346"/>
      <c r="E624" s="346"/>
      <c r="F624" s="346"/>
      <c r="G624" s="346"/>
      <c r="H624" s="346"/>
      <c r="I624" s="346"/>
      <c r="J624" s="346"/>
      <c r="K624" s="346"/>
      <c r="L624" s="346"/>
      <c r="M624" s="346"/>
      <c r="N624" s="346"/>
      <c r="O624" s="346"/>
      <c r="P624" s="346"/>
      <c r="Q624" s="346"/>
      <c r="R624" s="346"/>
      <c r="S624" s="346"/>
      <c r="T624" s="347"/>
      <c r="U624" s="345"/>
      <c r="V624" s="317"/>
      <c r="W624" s="318"/>
      <c r="X624" s="288"/>
      <c r="Y624" s="220"/>
      <c r="Z624" s="220"/>
      <c r="AA624" s="220"/>
      <c r="AB624" s="220"/>
      <c r="AC624" s="220"/>
      <c r="AD624" s="220"/>
      <c r="AE624" s="220"/>
      <c r="AF624" s="220"/>
      <c r="AG624" s="220"/>
      <c r="AH624" s="220"/>
      <c r="AI624" s="308"/>
      <c r="AJ624" s="220"/>
      <c r="AK624" s="220"/>
      <c r="AL624" s="220"/>
      <c r="AM624" s="220"/>
      <c r="AN624" s="220"/>
      <c r="AO624" s="220"/>
      <c r="AP624" s="220"/>
      <c r="AQ624" s="220"/>
      <c r="AR624" s="220"/>
      <c r="AS624" s="220"/>
      <c r="AT624" s="220"/>
      <c r="AU624" s="220"/>
      <c r="AV624" s="220"/>
      <c r="AW624" s="220"/>
      <c r="AX624" s="220"/>
      <c r="AY624" s="220"/>
      <c r="AZ624" s="220"/>
      <c r="BA624" s="220"/>
      <c r="BB624" s="220"/>
    </row>
    <row r="625">
      <c r="A625" s="240"/>
      <c r="B625" s="319"/>
      <c r="C625" s="346"/>
      <c r="D625" s="346"/>
      <c r="E625" s="346"/>
      <c r="F625" s="346"/>
      <c r="G625" s="346"/>
      <c r="H625" s="346"/>
      <c r="I625" s="346"/>
      <c r="J625" s="346"/>
      <c r="K625" s="346"/>
      <c r="L625" s="346"/>
      <c r="M625" s="346"/>
      <c r="N625" s="346"/>
      <c r="O625" s="346"/>
      <c r="P625" s="346"/>
      <c r="Q625" s="346"/>
      <c r="R625" s="346"/>
      <c r="S625" s="346"/>
      <c r="T625" s="347"/>
      <c r="U625" s="345"/>
      <c r="V625" s="317"/>
      <c r="W625" s="318"/>
      <c r="X625" s="288"/>
      <c r="Y625" s="220"/>
      <c r="Z625" s="220"/>
      <c r="AA625" s="220"/>
      <c r="AB625" s="220"/>
      <c r="AC625" s="220"/>
      <c r="AD625" s="220"/>
      <c r="AE625" s="220"/>
      <c r="AF625" s="220"/>
      <c r="AG625" s="220"/>
      <c r="AH625" s="220"/>
      <c r="AI625" s="308"/>
      <c r="AJ625" s="220"/>
      <c r="AK625" s="220"/>
      <c r="AL625" s="220"/>
      <c r="AM625" s="220"/>
      <c r="AN625" s="220"/>
      <c r="AO625" s="220"/>
      <c r="AP625" s="220"/>
      <c r="AQ625" s="220"/>
      <c r="AR625" s="220"/>
      <c r="AS625" s="220"/>
      <c r="AT625" s="220"/>
      <c r="AU625" s="220"/>
      <c r="AV625" s="220"/>
      <c r="AW625" s="220"/>
      <c r="AX625" s="220"/>
      <c r="AY625" s="220"/>
      <c r="AZ625" s="220"/>
      <c r="BA625" s="220"/>
      <c r="BB625" s="220"/>
    </row>
    <row r="626">
      <c r="A626" s="240"/>
      <c r="B626" s="319"/>
      <c r="C626" s="346"/>
      <c r="D626" s="346"/>
      <c r="E626" s="346"/>
      <c r="F626" s="346"/>
      <c r="G626" s="346"/>
      <c r="H626" s="346"/>
      <c r="I626" s="346"/>
      <c r="J626" s="346"/>
      <c r="K626" s="346"/>
      <c r="L626" s="346"/>
      <c r="M626" s="346"/>
      <c r="N626" s="346"/>
      <c r="O626" s="346"/>
      <c r="P626" s="346"/>
      <c r="Q626" s="346"/>
      <c r="R626" s="346"/>
      <c r="S626" s="346"/>
      <c r="T626" s="347"/>
      <c r="U626" s="345"/>
      <c r="V626" s="317"/>
      <c r="W626" s="318"/>
      <c r="X626" s="288"/>
      <c r="Y626" s="220"/>
      <c r="Z626" s="220"/>
      <c r="AA626" s="220"/>
      <c r="AB626" s="220"/>
      <c r="AC626" s="220"/>
      <c r="AD626" s="220"/>
      <c r="AE626" s="220"/>
      <c r="AF626" s="220"/>
      <c r="AG626" s="220"/>
      <c r="AH626" s="220"/>
      <c r="AI626" s="308"/>
      <c r="AJ626" s="220"/>
      <c r="AK626" s="220"/>
      <c r="AL626" s="220"/>
      <c r="AM626" s="220"/>
      <c r="AN626" s="220"/>
      <c r="AO626" s="220"/>
      <c r="AP626" s="220"/>
      <c r="AQ626" s="220"/>
      <c r="AR626" s="220"/>
      <c r="AS626" s="220"/>
      <c r="AT626" s="220"/>
      <c r="AU626" s="220"/>
      <c r="AV626" s="220"/>
      <c r="AW626" s="220"/>
      <c r="AX626" s="220"/>
      <c r="AY626" s="220"/>
      <c r="AZ626" s="220"/>
      <c r="BA626" s="220"/>
      <c r="BB626" s="220"/>
    </row>
    <row r="627">
      <c r="A627" s="240"/>
      <c r="B627" s="319"/>
      <c r="C627" s="346"/>
      <c r="D627" s="346"/>
      <c r="E627" s="346"/>
      <c r="F627" s="346"/>
      <c r="G627" s="346"/>
      <c r="H627" s="346"/>
      <c r="I627" s="346"/>
      <c r="J627" s="346"/>
      <c r="K627" s="346"/>
      <c r="L627" s="346"/>
      <c r="M627" s="346"/>
      <c r="N627" s="346"/>
      <c r="O627" s="346"/>
      <c r="P627" s="346"/>
      <c r="Q627" s="346"/>
      <c r="R627" s="346"/>
      <c r="S627" s="346"/>
      <c r="T627" s="347"/>
      <c r="U627" s="345"/>
      <c r="V627" s="317"/>
      <c r="W627" s="318"/>
      <c r="X627" s="288"/>
      <c r="Y627" s="220"/>
      <c r="Z627" s="220"/>
      <c r="AA627" s="220"/>
      <c r="AB627" s="220"/>
      <c r="AC627" s="220"/>
      <c r="AD627" s="220"/>
      <c r="AE627" s="220"/>
      <c r="AF627" s="220"/>
      <c r="AG627" s="220"/>
      <c r="AH627" s="220"/>
      <c r="AI627" s="308"/>
      <c r="AJ627" s="220"/>
      <c r="AK627" s="220"/>
      <c r="AL627" s="220"/>
      <c r="AM627" s="220"/>
      <c r="AN627" s="220"/>
      <c r="AO627" s="220"/>
      <c r="AP627" s="220"/>
      <c r="AQ627" s="220"/>
      <c r="AR627" s="220"/>
      <c r="AS627" s="220"/>
      <c r="AT627" s="220"/>
      <c r="AU627" s="220"/>
      <c r="AV627" s="220"/>
      <c r="AW627" s="220"/>
      <c r="AX627" s="220"/>
      <c r="AY627" s="220"/>
      <c r="AZ627" s="220"/>
      <c r="BA627" s="220"/>
      <c r="BB627" s="220"/>
    </row>
    <row r="628">
      <c r="A628" s="240"/>
      <c r="B628" s="319"/>
      <c r="C628" s="346"/>
      <c r="D628" s="346"/>
      <c r="E628" s="346"/>
      <c r="F628" s="346"/>
      <c r="G628" s="346"/>
      <c r="H628" s="346"/>
      <c r="I628" s="346"/>
      <c r="J628" s="346"/>
      <c r="K628" s="346"/>
      <c r="L628" s="346"/>
      <c r="M628" s="346"/>
      <c r="N628" s="346"/>
      <c r="O628" s="346"/>
      <c r="P628" s="346"/>
      <c r="Q628" s="346"/>
      <c r="R628" s="346"/>
      <c r="S628" s="346"/>
      <c r="T628" s="347"/>
      <c r="U628" s="345"/>
      <c r="V628" s="317"/>
      <c r="W628" s="318"/>
      <c r="X628" s="288"/>
      <c r="Y628" s="220"/>
      <c r="Z628" s="220"/>
      <c r="AA628" s="220"/>
      <c r="AB628" s="220"/>
      <c r="AC628" s="220"/>
      <c r="AD628" s="220"/>
      <c r="AE628" s="220"/>
      <c r="AF628" s="220"/>
      <c r="AG628" s="220"/>
      <c r="AH628" s="220"/>
      <c r="AI628" s="308"/>
      <c r="AJ628" s="220"/>
      <c r="AK628" s="220"/>
      <c r="AL628" s="220"/>
      <c r="AM628" s="220"/>
      <c r="AN628" s="220"/>
      <c r="AO628" s="220"/>
      <c r="AP628" s="220"/>
      <c r="AQ628" s="220"/>
      <c r="AR628" s="220"/>
      <c r="AS628" s="220"/>
      <c r="AT628" s="220"/>
      <c r="AU628" s="220"/>
      <c r="AV628" s="220"/>
      <c r="AW628" s="220"/>
      <c r="AX628" s="220"/>
      <c r="AY628" s="220"/>
      <c r="AZ628" s="220"/>
      <c r="BA628" s="220"/>
      <c r="BB628" s="220"/>
    </row>
    <row r="629">
      <c r="A629" s="240"/>
      <c r="B629" s="319"/>
      <c r="C629" s="346"/>
      <c r="D629" s="346"/>
      <c r="E629" s="346"/>
      <c r="F629" s="346"/>
      <c r="G629" s="346"/>
      <c r="H629" s="346"/>
      <c r="I629" s="346"/>
      <c r="J629" s="346"/>
      <c r="K629" s="346"/>
      <c r="L629" s="346"/>
      <c r="M629" s="346"/>
      <c r="N629" s="346"/>
      <c r="O629" s="346"/>
      <c r="P629" s="346"/>
      <c r="Q629" s="346"/>
      <c r="R629" s="346"/>
      <c r="S629" s="346"/>
      <c r="T629" s="347"/>
      <c r="U629" s="345"/>
      <c r="V629" s="317"/>
      <c r="W629" s="318"/>
      <c r="X629" s="288"/>
      <c r="Y629" s="220"/>
      <c r="Z629" s="220"/>
      <c r="AA629" s="220"/>
      <c r="AB629" s="220"/>
      <c r="AC629" s="220"/>
      <c r="AD629" s="220"/>
      <c r="AE629" s="220"/>
      <c r="AF629" s="220"/>
      <c r="AG629" s="220"/>
      <c r="AH629" s="220"/>
      <c r="AI629" s="308"/>
      <c r="AJ629" s="220"/>
      <c r="AK629" s="220"/>
      <c r="AL629" s="220"/>
      <c r="AM629" s="220"/>
      <c r="AN629" s="220"/>
      <c r="AO629" s="220"/>
      <c r="AP629" s="220"/>
      <c r="AQ629" s="220"/>
      <c r="AR629" s="220"/>
      <c r="AS629" s="220"/>
      <c r="AT629" s="220"/>
      <c r="AU629" s="220"/>
      <c r="AV629" s="220"/>
      <c r="AW629" s="220"/>
      <c r="AX629" s="220"/>
      <c r="AY629" s="220"/>
      <c r="AZ629" s="220"/>
      <c r="BA629" s="220"/>
      <c r="BB629" s="220"/>
    </row>
    <row r="630">
      <c r="A630" s="240"/>
      <c r="B630" s="319"/>
      <c r="C630" s="346"/>
      <c r="D630" s="346"/>
      <c r="E630" s="346"/>
      <c r="F630" s="346"/>
      <c r="G630" s="346"/>
      <c r="H630" s="346"/>
      <c r="I630" s="346"/>
      <c r="J630" s="346"/>
      <c r="K630" s="346"/>
      <c r="L630" s="346"/>
      <c r="M630" s="346"/>
      <c r="N630" s="346"/>
      <c r="O630" s="346"/>
      <c r="P630" s="346"/>
      <c r="Q630" s="346"/>
      <c r="R630" s="346"/>
      <c r="S630" s="346"/>
      <c r="T630" s="347"/>
      <c r="U630" s="345"/>
      <c r="V630" s="317"/>
      <c r="W630" s="318"/>
      <c r="X630" s="288"/>
      <c r="Y630" s="220"/>
      <c r="Z630" s="220"/>
      <c r="AA630" s="220"/>
      <c r="AB630" s="220"/>
      <c r="AC630" s="220"/>
      <c r="AD630" s="220"/>
      <c r="AE630" s="220"/>
      <c r="AF630" s="220"/>
      <c r="AG630" s="220"/>
      <c r="AH630" s="220"/>
      <c r="AI630" s="308"/>
      <c r="AJ630" s="220"/>
      <c r="AK630" s="220"/>
      <c r="AL630" s="220"/>
      <c r="AM630" s="220"/>
      <c r="AN630" s="220"/>
      <c r="AO630" s="220"/>
      <c r="AP630" s="220"/>
      <c r="AQ630" s="220"/>
      <c r="AR630" s="220"/>
      <c r="AS630" s="220"/>
      <c r="AT630" s="220"/>
      <c r="AU630" s="220"/>
      <c r="AV630" s="220"/>
      <c r="AW630" s="220"/>
      <c r="AX630" s="220"/>
      <c r="AY630" s="220"/>
      <c r="AZ630" s="220"/>
      <c r="BA630" s="220"/>
      <c r="BB630" s="220"/>
    </row>
    <row r="631">
      <c r="A631" s="240"/>
      <c r="B631" s="319"/>
      <c r="C631" s="346"/>
      <c r="D631" s="346"/>
      <c r="E631" s="346"/>
      <c r="F631" s="346"/>
      <c r="G631" s="346"/>
      <c r="H631" s="346"/>
      <c r="I631" s="346"/>
      <c r="J631" s="346"/>
      <c r="K631" s="346"/>
      <c r="L631" s="346"/>
      <c r="M631" s="346"/>
      <c r="N631" s="346"/>
      <c r="O631" s="346"/>
      <c r="P631" s="346"/>
      <c r="Q631" s="346"/>
      <c r="R631" s="346"/>
      <c r="S631" s="346"/>
      <c r="T631" s="347"/>
      <c r="U631" s="345"/>
      <c r="V631" s="317"/>
      <c r="W631" s="318"/>
      <c r="X631" s="288"/>
      <c r="Y631" s="220"/>
      <c r="Z631" s="220"/>
      <c r="AA631" s="220"/>
      <c r="AB631" s="220"/>
      <c r="AC631" s="220"/>
      <c r="AD631" s="220"/>
      <c r="AE631" s="220"/>
      <c r="AF631" s="220"/>
      <c r="AG631" s="220"/>
      <c r="AH631" s="220"/>
      <c r="AI631" s="308"/>
      <c r="AJ631" s="220"/>
      <c r="AK631" s="220"/>
      <c r="AL631" s="220"/>
      <c r="AM631" s="220"/>
      <c r="AN631" s="220"/>
      <c r="AO631" s="220"/>
      <c r="AP631" s="220"/>
      <c r="AQ631" s="220"/>
      <c r="AR631" s="220"/>
      <c r="AS631" s="220"/>
      <c r="AT631" s="220"/>
      <c r="AU631" s="220"/>
      <c r="AV631" s="220"/>
      <c r="AW631" s="220"/>
      <c r="AX631" s="220"/>
      <c r="AY631" s="220"/>
      <c r="AZ631" s="220"/>
      <c r="BA631" s="220"/>
      <c r="BB631" s="220"/>
    </row>
    <row r="632">
      <c r="A632" s="240"/>
      <c r="B632" s="319"/>
      <c r="C632" s="346"/>
      <c r="D632" s="346"/>
      <c r="E632" s="346"/>
      <c r="F632" s="346"/>
      <c r="G632" s="346"/>
      <c r="H632" s="346"/>
      <c r="I632" s="346"/>
      <c r="J632" s="346"/>
      <c r="K632" s="346"/>
      <c r="L632" s="346"/>
      <c r="M632" s="346"/>
      <c r="N632" s="346"/>
      <c r="O632" s="346"/>
      <c r="P632" s="346"/>
      <c r="Q632" s="346"/>
      <c r="R632" s="346"/>
      <c r="S632" s="346"/>
      <c r="T632" s="347"/>
      <c r="U632" s="345"/>
      <c r="V632" s="317"/>
      <c r="W632" s="318"/>
      <c r="X632" s="288"/>
      <c r="Y632" s="220"/>
      <c r="Z632" s="220"/>
      <c r="AA632" s="220"/>
      <c r="AB632" s="220"/>
      <c r="AC632" s="220"/>
      <c r="AD632" s="220"/>
      <c r="AE632" s="220"/>
      <c r="AF632" s="220"/>
      <c r="AG632" s="220"/>
      <c r="AH632" s="220"/>
      <c r="AI632" s="308"/>
      <c r="AJ632" s="220"/>
      <c r="AK632" s="220"/>
      <c r="AL632" s="220"/>
      <c r="AM632" s="220"/>
      <c r="AN632" s="220"/>
      <c r="AO632" s="220"/>
      <c r="AP632" s="220"/>
      <c r="AQ632" s="220"/>
      <c r="AR632" s="220"/>
      <c r="AS632" s="220"/>
      <c r="AT632" s="220"/>
      <c r="AU632" s="220"/>
      <c r="AV632" s="220"/>
      <c r="AW632" s="220"/>
      <c r="AX632" s="220"/>
      <c r="AY632" s="220"/>
      <c r="AZ632" s="220"/>
      <c r="BA632" s="220"/>
      <c r="BB632" s="220"/>
    </row>
    <row r="633">
      <c r="A633" s="240"/>
      <c r="B633" s="319"/>
      <c r="C633" s="346"/>
      <c r="D633" s="346"/>
      <c r="E633" s="346"/>
      <c r="F633" s="346"/>
      <c r="G633" s="346"/>
      <c r="H633" s="346"/>
      <c r="I633" s="346"/>
      <c r="J633" s="346"/>
      <c r="K633" s="346"/>
      <c r="L633" s="346"/>
      <c r="M633" s="346"/>
      <c r="N633" s="346"/>
      <c r="O633" s="346"/>
      <c r="P633" s="346"/>
      <c r="Q633" s="346"/>
      <c r="R633" s="346"/>
      <c r="S633" s="346"/>
      <c r="T633" s="347"/>
      <c r="U633" s="345"/>
      <c r="V633" s="317"/>
      <c r="W633" s="318"/>
      <c r="X633" s="288"/>
      <c r="Y633" s="220"/>
      <c r="Z633" s="220"/>
      <c r="AA633" s="220"/>
      <c r="AB633" s="220"/>
      <c r="AC633" s="220"/>
      <c r="AD633" s="220"/>
      <c r="AE633" s="220"/>
      <c r="AF633" s="220"/>
      <c r="AG633" s="220"/>
      <c r="AH633" s="220"/>
      <c r="AI633" s="308"/>
      <c r="AJ633" s="220"/>
      <c r="AK633" s="220"/>
      <c r="AL633" s="220"/>
      <c r="AM633" s="220"/>
      <c r="AN633" s="220"/>
      <c r="AO633" s="220"/>
      <c r="AP633" s="220"/>
      <c r="AQ633" s="220"/>
      <c r="AR633" s="220"/>
      <c r="AS633" s="220"/>
      <c r="AT633" s="220"/>
      <c r="AU633" s="220"/>
      <c r="AV633" s="220"/>
      <c r="AW633" s="220"/>
      <c r="AX633" s="220"/>
      <c r="AY633" s="220"/>
      <c r="AZ633" s="220"/>
      <c r="BA633" s="220"/>
      <c r="BB633" s="220"/>
    </row>
    <row r="634">
      <c r="A634" s="240"/>
      <c r="B634" s="319"/>
      <c r="C634" s="346"/>
      <c r="D634" s="346"/>
      <c r="E634" s="346"/>
      <c r="F634" s="346"/>
      <c r="G634" s="346"/>
      <c r="H634" s="346"/>
      <c r="I634" s="346"/>
      <c r="J634" s="346"/>
      <c r="K634" s="346"/>
      <c r="L634" s="346"/>
      <c r="M634" s="346"/>
      <c r="N634" s="346"/>
      <c r="O634" s="346"/>
      <c r="P634" s="346"/>
      <c r="Q634" s="346"/>
      <c r="R634" s="346"/>
      <c r="S634" s="346"/>
      <c r="T634" s="347"/>
      <c r="U634" s="345"/>
      <c r="V634" s="317"/>
      <c r="W634" s="318"/>
      <c r="X634" s="288"/>
      <c r="Y634" s="220"/>
      <c r="Z634" s="220"/>
      <c r="AA634" s="220"/>
      <c r="AB634" s="220"/>
      <c r="AC634" s="220"/>
      <c r="AD634" s="220"/>
      <c r="AE634" s="220"/>
      <c r="AF634" s="220"/>
      <c r="AG634" s="220"/>
      <c r="AH634" s="220"/>
      <c r="AI634" s="308"/>
      <c r="AJ634" s="220"/>
      <c r="AK634" s="220"/>
      <c r="AL634" s="220"/>
      <c r="AM634" s="220"/>
      <c r="AN634" s="220"/>
      <c r="AO634" s="220"/>
      <c r="AP634" s="220"/>
      <c r="AQ634" s="220"/>
      <c r="AR634" s="220"/>
      <c r="AS634" s="220"/>
      <c r="AT634" s="220"/>
      <c r="AU634" s="220"/>
      <c r="AV634" s="220"/>
      <c r="AW634" s="220"/>
      <c r="AX634" s="220"/>
      <c r="AY634" s="220"/>
      <c r="AZ634" s="220"/>
      <c r="BA634" s="220"/>
      <c r="BB634" s="220"/>
    </row>
    <row r="635">
      <c r="A635" s="240"/>
      <c r="B635" s="319"/>
      <c r="C635" s="346"/>
      <c r="D635" s="346"/>
      <c r="E635" s="346"/>
      <c r="F635" s="346"/>
      <c r="G635" s="346"/>
      <c r="H635" s="346"/>
      <c r="I635" s="346"/>
      <c r="J635" s="346"/>
      <c r="K635" s="346"/>
      <c r="L635" s="346"/>
      <c r="M635" s="346"/>
      <c r="N635" s="346"/>
      <c r="O635" s="346"/>
      <c r="P635" s="346"/>
      <c r="Q635" s="346"/>
      <c r="R635" s="346"/>
      <c r="S635" s="346"/>
      <c r="T635" s="347"/>
      <c r="U635" s="345"/>
      <c r="V635" s="317"/>
      <c r="W635" s="318"/>
      <c r="X635" s="288"/>
      <c r="Y635" s="220"/>
      <c r="Z635" s="220"/>
      <c r="AA635" s="220"/>
      <c r="AB635" s="220"/>
      <c r="AC635" s="220"/>
      <c r="AD635" s="220"/>
      <c r="AE635" s="220"/>
      <c r="AF635" s="220"/>
      <c r="AG635" s="220"/>
      <c r="AH635" s="220"/>
      <c r="AI635" s="308"/>
      <c r="AJ635" s="220"/>
      <c r="AK635" s="220"/>
      <c r="AL635" s="220"/>
      <c r="AM635" s="220"/>
      <c r="AN635" s="220"/>
      <c r="AO635" s="220"/>
      <c r="AP635" s="220"/>
      <c r="AQ635" s="220"/>
      <c r="AR635" s="220"/>
      <c r="AS635" s="220"/>
      <c r="AT635" s="220"/>
      <c r="AU635" s="220"/>
      <c r="AV635" s="220"/>
      <c r="AW635" s="220"/>
      <c r="AX635" s="220"/>
      <c r="AY635" s="220"/>
      <c r="AZ635" s="220"/>
      <c r="BA635" s="220"/>
      <c r="BB635" s="220"/>
    </row>
    <row r="636">
      <c r="A636" s="240"/>
      <c r="B636" s="319"/>
      <c r="C636" s="346"/>
      <c r="D636" s="346"/>
      <c r="E636" s="346"/>
      <c r="F636" s="346"/>
      <c r="G636" s="346"/>
      <c r="H636" s="346"/>
      <c r="I636" s="346"/>
      <c r="J636" s="346"/>
      <c r="K636" s="346"/>
      <c r="L636" s="346"/>
      <c r="M636" s="346"/>
      <c r="N636" s="346"/>
      <c r="O636" s="346"/>
      <c r="P636" s="346"/>
      <c r="Q636" s="346"/>
      <c r="R636" s="346"/>
      <c r="S636" s="346"/>
      <c r="T636" s="347"/>
      <c r="U636" s="345"/>
      <c r="V636" s="317"/>
      <c r="W636" s="318"/>
      <c r="X636" s="288"/>
      <c r="Y636" s="220"/>
      <c r="Z636" s="220"/>
      <c r="AA636" s="220"/>
      <c r="AB636" s="220"/>
      <c r="AC636" s="220"/>
      <c r="AD636" s="220"/>
      <c r="AE636" s="220"/>
      <c r="AF636" s="220"/>
      <c r="AG636" s="220"/>
      <c r="AH636" s="220"/>
      <c r="AI636" s="308"/>
      <c r="AJ636" s="220"/>
      <c r="AK636" s="220"/>
      <c r="AL636" s="220"/>
      <c r="AM636" s="220"/>
      <c r="AN636" s="220"/>
      <c r="AO636" s="220"/>
      <c r="AP636" s="220"/>
      <c r="AQ636" s="220"/>
      <c r="AR636" s="220"/>
      <c r="AS636" s="220"/>
      <c r="AT636" s="220"/>
      <c r="AU636" s="220"/>
      <c r="AV636" s="220"/>
      <c r="AW636" s="220"/>
      <c r="AX636" s="220"/>
      <c r="AY636" s="220"/>
      <c r="AZ636" s="220"/>
      <c r="BA636" s="220"/>
      <c r="BB636" s="220"/>
    </row>
    <row r="637">
      <c r="A637" s="240"/>
      <c r="B637" s="319"/>
      <c r="C637" s="346"/>
      <c r="D637" s="346"/>
      <c r="E637" s="346"/>
      <c r="F637" s="346"/>
      <c r="G637" s="346"/>
      <c r="H637" s="346"/>
      <c r="I637" s="346"/>
      <c r="J637" s="346"/>
      <c r="K637" s="346"/>
      <c r="L637" s="346"/>
      <c r="M637" s="346"/>
      <c r="N637" s="346"/>
      <c r="O637" s="346"/>
      <c r="P637" s="346"/>
      <c r="Q637" s="346"/>
      <c r="R637" s="346"/>
      <c r="S637" s="346"/>
      <c r="T637" s="347"/>
      <c r="U637" s="345"/>
      <c r="V637" s="317"/>
      <c r="W637" s="318"/>
      <c r="X637" s="288"/>
      <c r="Y637" s="220"/>
      <c r="Z637" s="220"/>
      <c r="AA637" s="220"/>
      <c r="AB637" s="220"/>
      <c r="AC637" s="220"/>
      <c r="AD637" s="220"/>
      <c r="AE637" s="220"/>
      <c r="AF637" s="220"/>
      <c r="AG637" s="220"/>
      <c r="AH637" s="220"/>
      <c r="AI637" s="308"/>
      <c r="AJ637" s="220"/>
      <c r="AK637" s="220"/>
      <c r="AL637" s="220"/>
      <c r="AM637" s="220"/>
      <c r="AN637" s="220"/>
      <c r="AO637" s="220"/>
      <c r="AP637" s="220"/>
      <c r="AQ637" s="220"/>
      <c r="AR637" s="220"/>
      <c r="AS637" s="220"/>
      <c r="AT637" s="220"/>
      <c r="AU637" s="220"/>
      <c r="AV637" s="220"/>
      <c r="AW637" s="220"/>
      <c r="AX637" s="220"/>
      <c r="AY637" s="220"/>
      <c r="AZ637" s="220"/>
      <c r="BA637" s="220"/>
      <c r="BB637" s="220"/>
    </row>
    <row r="638">
      <c r="A638" s="240"/>
      <c r="B638" s="319"/>
      <c r="C638" s="346"/>
      <c r="D638" s="346"/>
      <c r="E638" s="346"/>
      <c r="F638" s="346"/>
      <c r="G638" s="346"/>
      <c r="H638" s="346"/>
      <c r="I638" s="346"/>
      <c r="J638" s="346"/>
      <c r="K638" s="346"/>
      <c r="L638" s="346"/>
      <c r="M638" s="346"/>
      <c r="N638" s="346"/>
      <c r="O638" s="346"/>
      <c r="P638" s="346"/>
      <c r="Q638" s="346"/>
      <c r="R638" s="346"/>
      <c r="S638" s="346"/>
      <c r="T638" s="347"/>
      <c r="U638" s="345"/>
      <c r="V638" s="317"/>
      <c r="W638" s="318"/>
      <c r="X638" s="288"/>
      <c r="Y638" s="220"/>
      <c r="Z638" s="220"/>
      <c r="AA638" s="220"/>
      <c r="AB638" s="220"/>
      <c r="AC638" s="220"/>
      <c r="AD638" s="220"/>
      <c r="AE638" s="220"/>
      <c r="AF638" s="220"/>
      <c r="AG638" s="220"/>
      <c r="AH638" s="220"/>
      <c r="AI638" s="308"/>
      <c r="AJ638" s="220"/>
      <c r="AK638" s="220"/>
      <c r="AL638" s="220"/>
      <c r="AM638" s="220"/>
      <c r="AN638" s="220"/>
      <c r="AO638" s="220"/>
      <c r="AP638" s="220"/>
      <c r="AQ638" s="220"/>
      <c r="AR638" s="220"/>
      <c r="AS638" s="220"/>
      <c r="AT638" s="220"/>
      <c r="AU638" s="220"/>
      <c r="AV638" s="220"/>
      <c r="AW638" s="220"/>
      <c r="AX638" s="220"/>
      <c r="AY638" s="220"/>
      <c r="AZ638" s="220"/>
      <c r="BA638" s="220"/>
      <c r="BB638" s="220"/>
    </row>
    <row r="639">
      <c r="A639" s="240"/>
      <c r="B639" s="319"/>
      <c r="C639" s="346"/>
      <c r="D639" s="346"/>
      <c r="E639" s="346"/>
      <c r="F639" s="346"/>
      <c r="G639" s="346"/>
      <c r="H639" s="346"/>
      <c r="I639" s="346"/>
      <c r="J639" s="346"/>
      <c r="K639" s="346"/>
      <c r="L639" s="346"/>
      <c r="M639" s="346"/>
      <c r="N639" s="346"/>
      <c r="O639" s="346"/>
      <c r="P639" s="346"/>
      <c r="Q639" s="346"/>
      <c r="R639" s="346"/>
      <c r="S639" s="346"/>
      <c r="T639" s="347"/>
      <c r="U639" s="345"/>
      <c r="V639" s="317"/>
      <c r="W639" s="318"/>
      <c r="X639" s="288"/>
      <c r="Y639" s="220"/>
      <c r="Z639" s="220"/>
      <c r="AA639" s="220"/>
      <c r="AB639" s="220"/>
      <c r="AC639" s="220"/>
      <c r="AD639" s="220"/>
      <c r="AE639" s="220"/>
      <c r="AF639" s="220"/>
      <c r="AG639" s="220"/>
      <c r="AH639" s="220"/>
      <c r="AI639" s="308"/>
      <c r="AJ639" s="220"/>
      <c r="AK639" s="220"/>
      <c r="AL639" s="220"/>
      <c r="AM639" s="220"/>
      <c r="AN639" s="220"/>
      <c r="AO639" s="220"/>
      <c r="AP639" s="220"/>
      <c r="AQ639" s="220"/>
      <c r="AR639" s="220"/>
      <c r="AS639" s="220"/>
      <c r="AT639" s="220"/>
      <c r="AU639" s="220"/>
      <c r="AV639" s="220"/>
      <c r="AW639" s="220"/>
      <c r="AX639" s="220"/>
      <c r="AY639" s="220"/>
      <c r="AZ639" s="220"/>
      <c r="BA639" s="220"/>
      <c r="BB639" s="220"/>
    </row>
    <row r="640">
      <c r="A640" s="240"/>
      <c r="B640" s="319"/>
      <c r="C640" s="346"/>
      <c r="D640" s="346"/>
      <c r="E640" s="346"/>
      <c r="F640" s="346"/>
      <c r="G640" s="346"/>
      <c r="H640" s="346"/>
      <c r="I640" s="346"/>
      <c r="J640" s="346"/>
      <c r="K640" s="346"/>
      <c r="L640" s="346"/>
      <c r="M640" s="346"/>
      <c r="N640" s="346"/>
      <c r="O640" s="346"/>
      <c r="P640" s="346"/>
      <c r="Q640" s="346"/>
      <c r="R640" s="346"/>
      <c r="S640" s="346"/>
      <c r="T640" s="347"/>
      <c r="U640" s="345"/>
      <c r="V640" s="317"/>
      <c r="W640" s="318"/>
      <c r="X640" s="288"/>
      <c r="Y640" s="220"/>
      <c r="Z640" s="220"/>
      <c r="AA640" s="220"/>
      <c r="AB640" s="220"/>
      <c r="AC640" s="220"/>
      <c r="AD640" s="220"/>
      <c r="AE640" s="220"/>
      <c r="AF640" s="220"/>
      <c r="AG640" s="220"/>
      <c r="AH640" s="220"/>
      <c r="AI640" s="308"/>
      <c r="AJ640" s="220"/>
      <c r="AK640" s="220"/>
      <c r="AL640" s="220"/>
      <c r="AM640" s="220"/>
      <c r="AN640" s="220"/>
      <c r="AO640" s="220"/>
      <c r="AP640" s="220"/>
      <c r="AQ640" s="220"/>
      <c r="AR640" s="220"/>
      <c r="AS640" s="220"/>
      <c r="AT640" s="220"/>
      <c r="AU640" s="220"/>
      <c r="AV640" s="220"/>
      <c r="AW640" s="220"/>
      <c r="AX640" s="220"/>
      <c r="AY640" s="220"/>
      <c r="AZ640" s="220"/>
      <c r="BA640" s="220"/>
      <c r="BB640" s="220"/>
    </row>
    <row r="641">
      <c r="A641" s="240"/>
      <c r="B641" s="319"/>
      <c r="C641" s="346"/>
      <c r="D641" s="346"/>
      <c r="E641" s="346"/>
      <c r="F641" s="346"/>
      <c r="G641" s="346"/>
      <c r="H641" s="346"/>
      <c r="I641" s="346"/>
      <c r="J641" s="346"/>
      <c r="K641" s="346"/>
      <c r="L641" s="346"/>
      <c r="M641" s="346"/>
      <c r="N641" s="346"/>
      <c r="O641" s="346"/>
      <c r="P641" s="346"/>
      <c r="Q641" s="346"/>
      <c r="R641" s="346"/>
      <c r="S641" s="346"/>
      <c r="T641" s="347"/>
      <c r="U641" s="345"/>
      <c r="V641" s="317"/>
      <c r="W641" s="318"/>
      <c r="X641" s="288"/>
      <c r="Y641" s="220"/>
      <c r="Z641" s="220"/>
      <c r="AA641" s="220"/>
      <c r="AB641" s="220"/>
      <c r="AC641" s="220"/>
      <c r="AD641" s="220"/>
      <c r="AE641" s="220"/>
      <c r="AF641" s="220"/>
      <c r="AG641" s="220"/>
      <c r="AH641" s="220"/>
      <c r="AI641" s="308"/>
      <c r="AJ641" s="220"/>
      <c r="AK641" s="220"/>
      <c r="AL641" s="220"/>
      <c r="AM641" s="220"/>
      <c r="AN641" s="220"/>
      <c r="AO641" s="220"/>
      <c r="AP641" s="220"/>
      <c r="AQ641" s="220"/>
      <c r="AR641" s="220"/>
      <c r="AS641" s="220"/>
      <c r="AT641" s="220"/>
      <c r="AU641" s="220"/>
      <c r="AV641" s="220"/>
      <c r="AW641" s="220"/>
      <c r="AX641" s="220"/>
      <c r="AY641" s="220"/>
      <c r="AZ641" s="220"/>
      <c r="BA641" s="220"/>
      <c r="BB641" s="220"/>
    </row>
    <row r="642">
      <c r="A642" s="240"/>
      <c r="B642" s="319"/>
      <c r="C642" s="346"/>
      <c r="D642" s="346"/>
      <c r="E642" s="346"/>
      <c r="F642" s="346"/>
      <c r="G642" s="346"/>
      <c r="H642" s="346"/>
      <c r="I642" s="346"/>
      <c r="J642" s="346"/>
      <c r="K642" s="346"/>
      <c r="L642" s="346"/>
      <c r="M642" s="346"/>
      <c r="N642" s="346"/>
      <c r="O642" s="346"/>
      <c r="P642" s="346"/>
      <c r="Q642" s="346"/>
      <c r="R642" s="346"/>
      <c r="S642" s="346"/>
      <c r="T642" s="347"/>
      <c r="U642" s="345"/>
      <c r="V642" s="317"/>
      <c r="W642" s="318"/>
      <c r="X642" s="288"/>
      <c r="Y642" s="220"/>
      <c r="Z642" s="220"/>
      <c r="AA642" s="220"/>
      <c r="AB642" s="220"/>
      <c r="AC642" s="220"/>
      <c r="AD642" s="220"/>
      <c r="AE642" s="220"/>
      <c r="AF642" s="220"/>
      <c r="AG642" s="220"/>
      <c r="AH642" s="220"/>
      <c r="AI642" s="308"/>
      <c r="AJ642" s="220"/>
      <c r="AK642" s="220"/>
      <c r="AL642" s="220"/>
      <c r="AM642" s="220"/>
      <c r="AN642" s="220"/>
      <c r="AO642" s="220"/>
      <c r="AP642" s="220"/>
      <c r="AQ642" s="220"/>
      <c r="AR642" s="220"/>
      <c r="AS642" s="220"/>
      <c r="AT642" s="220"/>
      <c r="AU642" s="220"/>
      <c r="AV642" s="220"/>
      <c r="AW642" s="220"/>
      <c r="AX642" s="220"/>
      <c r="AY642" s="220"/>
      <c r="AZ642" s="220"/>
      <c r="BA642" s="220"/>
      <c r="BB642" s="220"/>
    </row>
    <row r="643">
      <c r="A643" s="240"/>
      <c r="B643" s="319"/>
      <c r="C643" s="346"/>
      <c r="D643" s="346"/>
      <c r="E643" s="346"/>
      <c r="F643" s="346"/>
      <c r="G643" s="346"/>
      <c r="H643" s="346"/>
      <c r="I643" s="346"/>
      <c r="J643" s="346"/>
      <c r="K643" s="346"/>
      <c r="L643" s="346"/>
      <c r="M643" s="346"/>
      <c r="N643" s="346"/>
      <c r="O643" s="346"/>
      <c r="P643" s="346"/>
      <c r="Q643" s="346"/>
      <c r="R643" s="346"/>
      <c r="S643" s="346"/>
      <c r="T643" s="347"/>
      <c r="U643" s="345"/>
      <c r="V643" s="317"/>
      <c r="W643" s="318"/>
      <c r="X643" s="288"/>
      <c r="Y643" s="220"/>
      <c r="Z643" s="220"/>
      <c r="AA643" s="220"/>
      <c r="AB643" s="220"/>
      <c r="AC643" s="220"/>
      <c r="AD643" s="220"/>
      <c r="AE643" s="220"/>
      <c r="AF643" s="220"/>
      <c r="AG643" s="220"/>
      <c r="AH643" s="220"/>
      <c r="AI643" s="308"/>
      <c r="AJ643" s="220"/>
      <c r="AK643" s="220"/>
      <c r="AL643" s="220"/>
      <c r="AM643" s="220"/>
      <c r="AN643" s="220"/>
      <c r="AO643" s="220"/>
      <c r="AP643" s="220"/>
      <c r="AQ643" s="220"/>
      <c r="AR643" s="220"/>
      <c r="AS643" s="220"/>
      <c r="AT643" s="220"/>
      <c r="AU643" s="220"/>
      <c r="AV643" s="220"/>
      <c r="AW643" s="220"/>
      <c r="AX643" s="220"/>
      <c r="AY643" s="220"/>
      <c r="AZ643" s="220"/>
      <c r="BA643" s="220"/>
      <c r="BB643" s="220"/>
    </row>
    <row r="644">
      <c r="A644" s="240"/>
      <c r="B644" s="319"/>
      <c r="C644" s="346"/>
      <c r="D644" s="346"/>
      <c r="E644" s="346"/>
      <c r="F644" s="346"/>
      <c r="G644" s="346"/>
      <c r="H644" s="346"/>
      <c r="I644" s="346"/>
      <c r="J644" s="346"/>
      <c r="K644" s="346"/>
      <c r="L644" s="346"/>
      <c r="M644" s="346"/>
      <c r="N644" s="346"/>
      <c r="O644" s="346"/>
      <c r="P644" s="346"/>
      <c r="Q644" s="346"/>
      <c r="R644" s="346"/>
      <c r="S644" s="346"/>
      <c r="T644" s="347"/>
      <c r="U644" s="345"/>
      <c r="V644" s="317"/>
      <c r="W644" s="318"/>
      <c r="X644" s="288"/>
      <c r="Y644" s="220"/>
      <c r="Z644" s="220"/>
      <c r="AA644" s="220"/>
      <c r="AB644" s="220"/>
      <c r="AC644" s="220"/>
      <c r="AD644" s="220"/>
      <c r="AE644" s="220"/>
      <c r="AF644" s="220"/>
      <c r="AG644" s="220"/>
      <c r="AH644" s="220"/>
      <c r="AI644" s="308"/>
      <c r="AJ644" s="220"/>
      <c r="AK644" s="220"/>
      <c r="AL644" s="220"/>
      <c r="AM644" s="220"/>
      <c r="AN644" s="220"/>
      <c r="AO644" s="220"/>
      <c r="AP644" s="220"/>
      <c r="AQ644" s="220"/>
      <c r="AR644" s="220"/>
      <c r="AS644" s="220"/>
      <c r="AT644" s="220"/>
      <c r="AU644" s="220"/>
      <c r="AV644" s="220"/>
      <c r="AW644" s="220"/>
      <c r="AX644" s="220"/>
      <c r="AY644" s="220"/>
      <c r="AZ644" s="220"/>
      <c r="BA644" s="220"/>
      <c r="BB644" s="220"/>
    </row>
    <row r="645">
      <c r="A645" s="240"/>
      <c r="B645" s="319"/>
      <c r="C645" s="346"/>
      <c r="D645" s="346"/>
      <c r="E645" s="346"/>
      <c r="F645" s="346"/>
      <c r="G645" s="346"/>
      <c r="H645" s="346"/>
      <c r="I645" s="346"/>
      <c r="J645" s="346"/>
      <c r="K645" s="346"/>
      <c r="L645" s="346"/>
      <c r="M645" s="346"/>
      <c r="N645" s="346"/>
      <c r="O645" s="346"/>
      <c r="P645" s="346"/>
      <c r="Q645" s="346"/>
      <c r="R645" s="346"/>
      <c r="S645" s="346"/>
      <c r="T645" s="347"/>
      <c r="U645" s="345"/>
      <c r="V645" s="317"/>
      <c r="W645" s="318"/>
      <c r="X645" s="288"/>
      <c r="Y645" s="220"/>
      <c r="Z645" s="220"/>
      <c r="AA645" s="220"/>
      <c r="AB645" s="220"/>
      <c r="AC645" s="220"/>
      <c r="AD645" s="220"/>
      <c r="AE645" s="220"/>
      <c r="AF645" s="220"/>
      <c r="AG645" s="220"/>
      <c r="AH645" s="220"/>
      <c r="AI645" s="308"/>
      <c r="AJ645" s="220"/>
      <c r="AK645" s="220"/>
      <c r="AL645" s="220"/>
      <c r="AM645" s="220"/>
      <c r="AN645" s="220"/>
      <c r="AO645" s="220"/>
      <c r="AP645" s="220"/>
      <c r="AQ645" s="220"/>
      <c r="AR645" s="220"/>
      <c r="AS645" s="220"/>
      <c r="AT645" s="220"/>
      <c r="AU645" s="220"/>
      <c r="AV645" s="220"/>
      <c r="AW645" s="220"/>
      <c r="AX645" s="220"/>
      <c r="AY645" s="220"/>
      <c r="AZ645" s="220"/>
      <c r="BA645" s="220"/>
      <c r="BB645" s="220"/>
    </row>
    <row r="646">
      <c r="A646" s="240"/>
      <c r="B646" s="319"/>
      <c r="C646" s="346"/>
      <c r="D646" s="346"/>
      <c r="E646" s="346"/>
      <c r="F646" s="346"/>
      <c r="G646" s="346"/>
      <c r="H646" s="346"/>
      <c r="I646" s="346"/>
      <c r="J646" s="346"/>
      <c r="K646" s="346"/>
      <c r="L646" s="346"/>
      <c r="M646" s="346"/>
      <c r="N646" s="346"/>
      <c r="O646" s="346"/>
      <c r="P646" s="346"/>
      <c r="Q646" s="346"/>
      <c r="R646" s="346"/>
      <c r="S646" s="346"/>
      <c r="T646" s="347"/>
      <c r="U646" s="345"/>
      <c r="V646" s="317"/>
      <c r="W646" s="318"/>
      <c r="X646" s="288"/>
      <c r="Y646" s="220"/>
      <c r="Z646" s="220"/>
      <c r="AA646" s="220"/>
      <c r="AB646" s="220"/>
      <c r="AC646" s="220"/>
      <c r="AD646" s="220"/>
      <c r="AE646" s="220"/>
      <c r="AF646" s="220"/>
      <c r="AG646" s="220"/>
      <c r="AH646" s="220"/>
      <c r="AI646" s="308"/>
      <c r="AJ646" s="220"/>
      <c r="AK646" s="220"/>
      <c r="AL646" s="220"/>
      <c r="AM646" s="220"/>
      <c r="AN646" s="220"/>
      <c r="AO646" s="220"/>
      <c r="AP646" s="220"/>
      <c r="AQ646" s="220"/>
      <c r="AR646" s="220"/>
      <c r="AS646" s="220"/>
      <c r="AT646" s="220"/>
      <c r="AU646" s="220"/>
      <c r="AV646" s="220"/>
      <c r="AW646" s="220"/>
      <c r="AX646" s="220"/>
      <c r="AY646" s="220"/>
      <c r="AZ646" s="220"/>
      <c r="BA646" s="220"/>
      <c r="BB646" s="220"/>
    </row>
    <row r="647">
      <c r="A647" s="240"/>
      <c r="B647" s="319"/>
      <c r="C647" s="346"/>
      <c r="D647" s="346"/>
      <c r="E647" s="346"/>
      <c r="F647" s="346"/>
      <c r="G647" s="346"/>
      <c r="H647" s="346"/>
      <c r="I647" s="346"/>
      <c r="J647" s="346"/>
      <c r="K647" s="346"/>
      <c r="L647" s="346"/>
      <c r="M647" s="346"/>
      <c r="N647" s="346"/>
      <c r="O647" s="346"/>
      <c r="P647" s="346"/>
      <c r="Q647" s="346"/>
      <c r="R647" s="346"/>
      <c r="S647" s="346"/>
      <c r="T647" s="347"/>
      <c r="U647" s="345"/>
      <c r="V647" s="317"/>
      <c r="W647" s="318"/>
      <c r="X647" s="288"/>
      <c r="Y647" s="220"/>
      <c r="Z647" s="220"/>
      <c r="AA647" s="220"/>
      <c r="AB647" s="220"/>
      <c r="AC647" s="220"/>
      <c r="AD647" s="220"/>
      <c r="AE647" s="220"/>
      <c r="AF647" s="220"/>
      <c r="AG647" s="220"/>
      <c r="AH647" s="220"/>
      <c r="AI647" s="308"/>
      <c r="AJ647" s="220"/>
      <c r="AK647" s="220"/>
      <c r="AL647" s="220"/>
      <c r="AM647" s="220"/>
      <c r="AN647" s="220"/>
      <c r="AO647" s="220"/>
      <c r="AP647" s="220"/>
      <c r="AQ647" s="220"/>
      <c r="AR647" s="220"/>
      <c r="AS647" s="220"/>
      <c r="AT647" s="220"/>
      <c r="AU647" s="220"/>
      <c r="AV647" s="220"/>
      <c r="AW647" s="220"/>
      <c r="AX647" s="220"/>
      <c r="AY647" s="220"/>
      <c r="AZ647" s="220"/>
      <c r="BA647" s="220"/>
      <c r="BB647" s="220"/>
    </row>
    <row r="648">
      <c r="A648" s="240"/>
      <c r="B648" s="319"/>
      <c r="C648" s="346"/>
      <c r="D648" s="346"/>
      <c r="E648" s="346"/>
      <c r="F648" s="346"/>
      <c r="G648" s="346"/>
      <c r="H648" s="346"/>
      <c r="I648" s="346"/>
      <c r="J648" s="346"/>
      <c r="K648" s="346"/>
      <c r="L648" s="346"/>
      <c r="M648" s="346"/>
      <c r="N648" s="346"/>
      <c r="O648" s="346"/>
      <c r="P648" s="346"/>
      <c r="Q648" s="346"/>
      <c r="R648" s="346"/>
      <c r="S648" s="346"/>
      <c r="T648" s="347"/>
      <c r="U648" s="345"/>
      <c r="V648" s="317"/>
      <c r="W648" s="318"/>
      <c r="X648" s="288"/>
      <c r="Y648" s="220"/>
      <c r="Z648" s="220"/>
      <c r="AA648" s="220"/>
      <c r="AB648" s="220"/>
      <c r="AC648" s="220"/>
      <c r="AD648" s="220"/>
      <c r="AE648" s="220"/>
      <c r="AF648" s="220"/>
      <c r="AG648" s="220"/>
      <c r="AH648" s="220"/>
      <c r="AI648" s="308"/>
      <c r="AJ648" s="220"/>
      <c r="AK648" s="220"/>
      <c r="AL648" s="220"/>
      <c r="AM648" s="220"/>
      <c r="AN648" s="220"/>
      <c r="AO648" s="220"/>
      <c r="AP648" s="220"/>
      <c r="AQ648" s="220"/>
      <c r="AR648" s="220"/>
      <c r="AS648" s="220"/>
      <c r="AT648" s="220"/>
      <c r="AU648" s="220"/>
      <c r="AV648" s="220"/>
      <c r="AW648" s="220"/>
      <c r="AX648" s="220"/>
      <c r="AY648" s="220"/>
      <c r="AZ648" s="220"/>
      <c r="BA648" s="220"/>
      <c r="BB648" s="220"/>
    </row>
    <row r="649">
      <c r="A649" s="240"/>
      <c r="B649" s="319"/>
      <c r="C649" s="346"/>
      <c r="D649" s="346"/>
      <c r="E649" s="346"/>
      <c r="F649" s="346"/>
      <c r="G649" s="346"/>
      <c r="H649" s="346"/>
      <c r="I649" s="346"/>
      <c r="J649" s="346"/>
      <c r="K649" s="346"/>
      <c r="L649" s="346"/>
      <c r="M649" s="346"/>
      <c r="N649" s="346"/>
      <c r="O649" s="346"/>
      <c r="P649" s="346"/>
      <c r="Q649" s="346"/>
      <c r="R649" s="346"/>
      <c r="S649" s="346"/>
      <c r="T649" s="347"/>
      <c r="U649" s="345"/>
      <c r="V649" s="317"/>
      <c r="W649" s="318"/>
      <c r="X649" s="288"/>
      <c r="Y649" s="220"/>
      <c r="Z649" s="220"/>
      <c r="AA649" s="220"/>
      <c r="AB649" s="220"/>
      <c r="AC649" s="220"/>
      <c r="AD649" s="220"/>
      <c r="AE649" s="220"/>
      <c r="AF649" s="220"/>
      <c r="AG649" s="220"/>
      <c r="AH649" s="220"/>
      <c r="AI649" s="308"/>
      <c r="AJ649" s="220"/>
      <c r="AK649" s="220"/>
      <c r="AL649" s="220"/>
      <c r="AM649" s="220"/>
      <c r="AN649" s="220"/>
      <c r="AO649" s="220"/>
      <c r="AP649" s="220"/>
      <c r="AQ649" s="220"/>
      <c r="AR649" s="220"/>
      <c r="AS649" s="220"/>
      <c r="AT649" s="220"/>
      <c r="AU649" s="220"/>
      <c r="AV649" s="220"/>
      <c r="AW649" s="220"/>
      <c r="AX649" s="220"/>
      <c r="AY649" s="220"/>
      <c r="AZ649" s="220"/>
      <c r="BA649" s="220"/>
      <c r="BB649" s="220"/>
    </row>
    <row r="650">
      <c r="A650" s="240"/>
      <c r="B650" s="319"/>
      <c r="C650" s="346"/>
      <c r="D650" s="346"/>
      <c r="E650" s="346"/>
      <c r="F650" s="346"/>
      <c r="G650" s="346"/>
      <c r="H650" s="346"/>
      <c r="I650" s="346"/>
      <c r="J650" s="346"/>
      <c r="K650" s="346"/>
      <c r="L650" s="346"/>
      <c r="M650" s="346"/>
      <c r="N650" s="346"/>
      <c r="O650" s="346"/>
      <c r="P650" s="346"/>
      <c r="Q650" s="346"/>
      <c r="R650" s="346"/>
      <c r="S650" s="346"/>
      <c r="T650" s="347"/>
      <c r="U650" s="345"/>
      <c r="V650" s="317"/>
      <c r="W650" s="318"/>
      <c r="X650" s="288"/>
      <c r="Y650" s="220"/>
      <c r="Z650" s="220"/>
      <c r="AA650" s="220"/>
      <c r="AB650" s="220"/>
      <c r="AC650" s="220"/>
      <c r="AD650" s="220"/>
      <c r="AE650" s="220"/>
      <c r="AF650" s="220"/>
      <c r="AG650" s="220"/>
      <c r="AH650" s="220"/>
      <c r="AI650" s="308"/>
      <c r="AJ650" s="220"/>
      <c r="AK650" s="220"/>
      <c r="AL650" s="220"/>
      <c r="AM650" s="220"/>
      <c r="AN650" s="220"/>
      <c r="AO650" s="220"/>
      <c r="AP650" s="220"/>
      <c r="AQ650" s="220"/>
      <c r="AR650" s="220"/>
      <c r="AS650" s="220"/>
      <c r="AT650" s="220"/>
      <c r="AU650" s="220"/>
      <c r="AV650" s="220"/>
      <c r="AW650" s="220"/>
      <c r="AX650" s="220"/>
      <c r="AY650" s="220"/>
      <c r="AZ650" s="220"/>
      <c r="BA650" s="220"/>
      <c r="BB650" s="220"/>
    </row>
    <row r="651">
      <c r="A651" s="240"/>
      <c r="B651" s="319"/>
      <c r="C651" s="346"/>
      <c r="D651" s="346"/>
      <c r="E651" s="346"/>
      <c r="F651" s="346"/>
      <c r="G651" s="346"/>
      <c r="H651" s="346"/>
      <c r="I651" s="346"/>
      <c r="J651" s="346"/>
      <c r="K651" s="346"/>
      <c r="L651" s="346"/>
      <c r="M651" s="346"/>
      <c r="N651" s="346"/>
      <c r="O651" s="346"/>
      <c r="P651" s="346"/>
      <c r="Q651" s="346"/>
      <c r="R651" s="346"/>
      <c r="S651" s="346"/>
      <c r="T651" s="347"/>
      <c r="U651" s="345"/>
      <c r="V651" s="317"/>
      <c r="W651" s="318"/>
      <c r="X651" s="288"/>
      <c r="Y651" s="220"/>
      <c r="Z651" s="220"/>
      <c r="AA651" s="220"/>
      <c r="AB651" s="220"/>
      <c r="AC651" s="220"/>
      <c r="AD651" s="220"/>
      <c r="AE651" s="220"/>
      <c r="AF651" s="220"/>
      <c r="AG651" s="220"/>
      <c r="AH651" s="220"/>
      <c r="AI651" s="308"/>
      <c r="AJ651" s="220"/>
      <c r="AK651" s="220"/>
      <c r="AL651" s="220"/>
      <c r="AM651" s="220"/>
      <c r="AN651" s="220"/>
      <c r="AO651" s="220"/>
      <c r="AP651" s="220"/>
      <c r="AQ651" s="220"/>
      <c r="AR651" s="220"/>
      <c r="AS651" s="220"/>
      <c r="AT651" s="220"/>
      <c r="AU651" s="220"/>
      <c r="AV651" s="220"/>
      <c r="AW651" s="220"/>
      <c r="AX651" s="220"/>
      <c r="AY651" s="220"/>
      <c r="AZ651" s="220"/>
      <c r="BA651" s="220"/>
      <c r="BB651" s="220"/>
    </row>
    <row r="652">
      <c r="A652" s="240"/>
      <c r="B652" s="319"/>
      <c r="C652" s="346"/>
      <c r="D652" s="346"/>
      <c r="E652" s="346"/>
      <c r="F652" s="346"/>
      <c r="G652" s="346"/>
      <c r="H652" s="346"/>
      <c r="I652" s="346"/>
      <c r="J652" s="346"/>
      <c r="K652" s="346"/>
      <c r="L652" s="346"/>
      <c r="M652" s="346"/>
      <c r="N652" s="346"/>
      <c r="O652" s="346"/>
      <c r="P652" s="346"/>
      <c r="Q652" s="346"/>
      <c r="R652" s="346"/>
      <c r="S652" s="346"/>
      <c r="T652" s="347"/>
      <c r="U652" s="345"/>
      <c r="V652" s="317"/>
      <c r="W652" s="318"/>
      <c r="X652" s="288"/>
      <c r="Y652" s="220"/>
      <c r="Z652" s="220"/>
      <c r="AA652" s="220"/>
      <c r="AB652" s="220"/>
      <c r="AC652" s="220"/>
      <c r="AD652" s="220"/>
      <c r="AE652" s="220"/>
      <c r="AF652" s="220"/>
      <c r="AG652" s="220"/>
      <c r="AH652" s="220"/>
      <c r="AI652" s="308"/>
      <c r="AJ652" s="220"/>
      <c r="AK652" s="220"/>
      <c r="AL652" s="220"/>
      <c r="AM652" s="220"/>
      <c r="AN652" s="220"/>
      <c r="AO652" s="220"/>
      <c r="AP652" s="220"/>
      <c r="AQ652" s="220"/>
      <c r="AR652" s="220"/>
      <c r="AS652" s="220"/>
      <c r="AT652" s="220"/>
      <c r="AU652" s="220"/>
      <c r="AV652" s="220"/>
      <c r="AW652" s="220"/>
      <c r="AX652" s="220"/>
      <c r="AY652" s="220"/>
      <c r="AZ652" s="220"/>
      <c r="BA652" s="220"/>
      <c r="BB652" s="220"/>
    </row>
    <row r="653">
      <c r="A653" s="240"/>
      <c r="B653" s="319"/>
      <c r="C653" s="346"/>
      <c r="D653" s="346"/>
      <c r="E653" s="346"/>
      <c r="F653" s="346"/>
      <c r="G653" s="346"/>
      <c r="H653" s="346"/>
      <c r="I653" s="346"/>
      <c r="J653" s="346"/>
      <c r="K653" s="346"/>
      <c r="L653" s="346"/>
      <c r="M653" s="346"/>
      <c r="N653" s="346"/>
      <c r="O653" s="346"/>
      <c r="P653" s="346"/>
      <c r="Q653" s="346"/>
      <c r="R653" s="346"/>
      <c r="S653" s="346"/>
      <c r="T653" s="347"/>
      <c r="U653" s="345"/>
      <c r="V653" s="317"/>
      <c r="W653" s="318"/>
      <c r="X653" s="288"/>
      <c r="Y653" s="220"/>
      <c r="Z653" s="220"/>
      <c r="AA653" s="220"/>
      <c r="AB653" s="220"/>
      <c r="AC653" s="220"/>
      <c r="AD653" s="220"/>
      <c r="AE653" s="220"/>
      <c r="AF653" s="220"/>
      <c r="AG653" s="220"/>
      <c r="AH653" s="220"/>
      <c r="AI653" s="308"/>
      <c r="AJ653" s="220"/>
      <c r="AK653" s="220"/>
      <c r="AL653" s="220"/>
      <c r="AM653" s="220"/>
      <c r="AN653" s="220"/>
      <c r="AO653" s="220"/>
      <c r="AP653" s="220"/>
      <c r="AQ653" s="220"/>
      <c r="AR653" s="220"/>
      <c r="AS653" s="220"/>
      <c r="AT653" s="220"/>
      <c r="AU653" s="220"/>
      <c r="AV653" s="220"/>
      <c r="AW653" s="220"/>
      <c r="AX653" s="220"/>
      <c r="AY653" s="220"/>
      <c r="AZ653" s="220"/>
      <c r="BA653" s="220"/>
      <c r="BB653" s="220"/>
    </row>
    <row r="654">
      <c r="A654" s="240"/>
      <c r="B654" s="319"/>
      <c r="C654" s="346"/>
      <c r="D654" s="346"/>
      <c r="E654" s="346"/>
      <c r="F654" s="346"/>
      <c r="G654" s="346"/>
      <c r="H654" s="346"/>
      <c r="I654" s="346"/>
      <c r="J654" s="346"/>
      <c r="K654" s="346"/>
      <c r="L654" s="346"/>
      <c r="M654" s="346"/>
      <c r="N654" s="346"/>
      <c r="O654" s="346"/>
      <c r="P654" s="346"/>
      <c r="Q654" s="346"/>
      <c r="R654" s="346"/>
      <c r="S654" s="346"/>
      <c r="T654" s="347"/>
      <c r="U654" s="345"/>
      <c r="V654" s="317"/>
      <c r="W654" s="318"/>
      <c r="X654" s="288"/>
      <c r="Y654" s="220"/>
      <c r="Z654" s="220"/>
      <c r="AA654" s="220"/>
      <c r="AB654" s="220"/>
      <c r="AC654" s="220"/>
      <c r="AD654" s="220"/>
      <c r="AE654" s="220"/>
      <c r="AF654" s="220"/>
      <c r="AG654" s="220"/>
      <c r="AH654" s="220"/>
      <c r="AI654" s="308"/>
      <c r="AJ654" s="220"/>
      <c r="AK654" s="220"/>
      <c r="AL654" s="220"/>
      <c r="AM654" s="220"/>
      <c r="AN654" s="220"/>
      <c r="AO654" s="220"/>
      <c r="AP654" s="220"/>
      <c r="AQ654" s="220"/>
      <c r="AR654" s="220"/>
      <c r="AS654" s="220"/>
      <c r="AT654" s="220"/>
      <c r="AU654" s="220"/>
      <c r="AV654" s="220"/>
      <c r="AW654" s="220"/>
      <c r="AX654" s="220"/>
      <c r="AY654" s="220"/>
      <c r="AZ654" s="220"/>
      <c r="BA654" s="220"/>
      <c r="BB654" s="220"/>
    </row>
    <row r="655">
      <c r="A655" s="240"/>
      <c r="B655" s="319"/>
      <c r="C655" s="346"/>
      <c r="D655" s="346"/>
      <c r="E655" s="346"/>
      <c r="F655" s="346"/>
      <c r="G655" s="346"/>
      <c r="H655" s="346"/>
      <c r="I655" s="346"/>
      <c r="J655" s="346"/>
      <c r="K655" s="346"/>
      <c r="L655" s="346"/>
      <c r="M655" s="346"/>
      <c r="N655" s="346"/>
      <c r="O655" s="346"/>
      <c r="P655" s="346"/>
      <c r="Q655" s="346"/>
      <c r="R655" s="346"/>
      <c r="S655" s="346"/>
      <c r="T655" s="347"/>
      <c r="U655" s="345"/>
      <c r="V655" s="317"/>
      <c r="W655" s="318"/>
      <c r="X655" s="288"/>
      <c r="Y655" s="220"/>
      <c r="Z655" s="220"/>
      <c r="AA655" s="220"/>
      <c r="AB655" s="220"/>
      <c r="AC655" s="220"/>
      <c r="AD655" s="220"/>
      <c r="AE655" s="220"/>
      <c r="AF655" s="220"/>
      <c r="AG655" s="220"/>
      <c r="AH655" s="220"/>
      <c r="AI655" s="308"/>
      <c r="AJ655" s="220"/>
      <c r="AK655" s="220"/>
      <c r="AL655" s="220"/>
      <c r="AM655" s="220"/>
      <c r="AN655" s="220"/>
      <c r="AO655" s="220"/>
      <c r="AP655" s="220"/>
      <c r="AQ655" s="220"/>
      <c r="AR655" s="220"/>
      <c r="AS655" s="220"/>
      <c r="AT655" s="220"/>
      <c r="AU655" s="220"/>
      <c r="AV655" s="220"/>
      <c r="AW655" s="220"/>
      <c r="AX655" s="220"/>
      <c r="AY655" s="220"/>
      <c r="AZ655" s="220"/>
      <c r="BA655" s="220"/>
      <c r="BB655" s="220"/>
    </row>
    <row r="656">
      <c r="A656" s="240"/>
      <c r="B656" s="319"/>
      <c r="C656" s="346"/>
      <c r="D656" s="346"/>
      <c r="E656" s="346"/>
      <c r="F656" s="346"/>
      <c r="G656" s="346"/>
      <c r="H656" s="346"/>
      <c r="I656" s="346"/>
      <c r="J656" s="346"/>
      <c r="K656" s="346"/>
      <c r="L656" s="346"/>
      <c r="M656" s="346"/>
      <c r="N656" s="346"/>
      <c r="O656" s="346"/>
      <c r="P656" s="346"/>
      <c r="Q656" s="346"/>
      <c r="R656" s="346"/>
      <c r="S656" s="346"/>
      <c r="T656" s="347"/>
      <c r="U656" s="345"/>
      <c r="V656" s="317"/>
      <c r="W656" s="318"/>
      <c r="X656" s="288"/>
      <c r="Y656" s="220"/>
      <c r="Z656" s="220"/>
      <c r="AA656" s="220"/>
      <c r="AB656" s="220"/>
      <c r="AC656" s="220"/>
      <c r="AD656" s="220"/>
      <c r="AE656" s="220"/>
      <c r="AF656" s="220"/>
      <c r="AG656" s="220"/>
      <c r="AH656" s="220"/>
      <c r="AI656" s="308"/>
      <c r="AJ656" s="220"/>
      <c r="AK656" s="220"/>
      <c r="AL656" s="220"/>
      <c r="AM656" s="220"/>
      <c r="AN656" s="220"/>
      <c r="AO656" s="220"/>
      <c r="AP656" s="220"/>
      <c r="AQ656" s="220"/>
      <c r="AR656" s="220"/>
      <c r="AS656" s="220"/>
      <c r="AT656" s="220"/>
      <c r="AU656" s="220"/>
      <c r="AV656" s="220"/>
      <c r="AW656" s="220"/>
      <c r="AX656" s="220"/>
      <c r="AY656" s="220"/>
      <c r="AZ656" s="220"/>
      <c r="BA656" s="220"/>
      <c r="BB656" s="220"/>
    </row>
    <row r="657">
      <c r="A657" s="240"/>
      <c r="B657" s="319"/>
      <c r="C657" s="346"/>
      <c r="D657" s="346"/>
      <c r="E657" s="346"/>
      <c r="F657" s="346"/>
      <c r="G657" s="346"/>
      <c r="H657" s="346"/>
      <c r="I657" s="346"/>
      <c r="J657" s="346"/>
      <c r="K657" s="346"/>
      <c r="L657" s="346"/>
      <c r="M657" s="346"/>
      <c r="N657" s="346"/>
      <c r="O657" s="346"/>
      <c r="P657" s="346"/>
      <c r="Q657" s="346"/>
      <c r="R657" s="346"/>
      <c r="S657" s="346"/>
      <c r="T657" s="347"/>
      <c r="U657" s="345"/>
      <c r="V657" s="317"/>
      <c r="W657" s="318"/>
      <c r="X657" s="288"/>
      <c r="Y657" s="220"/>
      <c r="Z657" s="220"/>
      <c r="AA657" s="220"/>
      <c r="AB657" s="220"/>
      <c r="AC657" s="220"/>
      <c r="AD657" s="220"/>
      <c r="AE657" s="220"/>
      <c r="AF657" s="220"/>
      <c r="AG657" s="220"/>
      <c r="AH657" s="220"/>
      <c r="AI657" s="308"/>
      <c r="AJ657" s="220"/>
      <c r="AK657" s="220"/>
      <c r="AL657" s="220"/>
      <c r="AM657" s="220"/>
      <c r="AN657" s="220"/>
      <c r="AO657" s="220"/>
      <c r="AP657" s="220"/>
      <c r="AQ657" s="220"/>
      <c r="AR657" s="220"/>
      <c r="AS657" s="220"/>
      <c r="AT657" s="220"/>
      <c r="AU657" s="220"/>
      <c r="AV657" s="220"/>
      <c r="AW657" s="220"/>
      <c r="AX657" s="220"/>
      <c r="AY657" s="220"/>
      <c r="AZ657" s="220"/>
      <c r="BA657" s="220"/>
      <c r="BB657" s="220"/>
    </row>
    <row r="658">
      <c r="A658" s="240"/>
      <c r="B658" s="319"/>
      <c r="C658" s="346"/>
      <c r="D658" s="346"/>
      <c r="E658" s="346"/>
      <c r="F658" s="346"/>
      <c r="G658" s="346"/>
      <c r="H658" s="346"/>
      <c r="I658" s="346"/>
      <c r="J658" s="346"/>
      <c r="K658" s="346"/>
      <c r="L658" s="346"/>
      <c r="M658" s="346"/>
      <c r="N658" s="346"/>
      <c r="O658" s="346"/>
      <c r="P658" s="346"/>
      <c r="Q658" s="346"/>
      <c r="R658" s="346"/>
      <c r="S658" s="346"/>
      <c r="T658" s="347"/>
      <c r="U658" s="345"/>
      <c r="V658" s="317"/>
      <c r="W658" s="318"/>
      <c r="X658" s="288"/>
      <c r="Y658" s="220"/>
      <c r="Z658" s="220"/>
      <c r="AA658" s="220"/>
      <c r="AB658" s="220"/>
      <c r="AC658" s="220"/>
      <c r="AD658" s="220"/>
      <c r="AE658" s="220"/>
      <c r="AF658" s="220"/>
      <c r="AG658" s="220"/>
      <c r="AH658" s="220"/>
      <c r="AI658" s="308"/>
      <c r="AJ658" s="220"/>
      <c r="AK658" s="220"/>
      <c r="AL658" s="220"/>
      <c r="AM658" s="220"/>
      <c r="AN658" s="220"/>
      <c r="AO658" s="220"/>
      <c r="AP658" s="220"/>
      <c r="AQ658" s="220"/>
      <c r="AR658" s="220"/>
      <c r="AS658" s="220"/>
      <c r="AT658" s="220"/>
      <c r="AU658" s="220"/>
      <c r="AV658" s="220"/>
      <c r="AW658" s="220"/>
      <c r="AX658" s="220"/>
      <c r="AY658" s="220"/>
      <c r="AZ658" s="220"/>
      <c r="BA658" s="220"/>
      <c r="BB658" s="220"/>
    </row>
    <row r="659">
      <c r="A659" s="240"/>
      <c r="B659" s="319"/>
      <c r="C659" s="346"/>
      <c r="D659" s="346"/>
      <c r="E659" s="346"/>
      <c r="F659" s="346"/>
      <c r="G659" s="346"/>
      <c r="H659" s="346"/>
      <c r="I659" s="346"/>
      <c r="J659" s="346"/>
      <c r="K659" s="346"/>
      <c r="L659" s="346"/>
      <c r="M659" s="346"/>
      <c r="N659" s="346"/>
      <c r="O659" s="346"/>
      <c r="P659" s="346"/>
      <c r="Q659" s="346"/>
      <c r="R659" s="346"/>
      <c r="S659" s="346"/>
      <c r="T659" s="347"/>
      <c r="U659" s="345"/>
      <c r="V659" s="317"/>
      <c r="W659" s="318"/>
      <c r="X659" s="288"/>
      <c r="Y659" s="220"/>
      <c r="Z659" s="220"/>
      <c r="AA659" s="220"/>
      <c r="AB659" s="220"/>
      <c r="AC659" s="220"/>
      <c r="AD659" s="220"/>
      <c r="AE659" s="220"/>
      <c r="AF659" s="220"/>
      <c r="AG659" s="220"/>
      <c r="AH659" s="220"/>
      <c r="AI659" s="308"/>
      <c r="AJ659" s="220"/>
      <c r="AK659" s="220"/>
      <c r="AL659" s="220"/>
      <c r="AM659" s="220"/>
      <c r="AN659" s="220"/>
      <c r="AO659" s="220"/>
      <c r="AP659" s="220"/>
      <c r="AQ659" s="220"/>
      <c r="AR659" s="220"/>
      <c r="AS659" s="220"/>
      <c r="AT659" s="220"/>
      <c r="AU659" s="220"/>
      <c r="AV659" s="220"/>
      <c r="AW659" s="220"/>
      <c r="AX659" s="220"/>
      <c r="AY659" s="220"/>
      <c r="AZ659" s="220"/>
      <c r="BA659" s="220"/>
      <c r="BB659" s="220"/>
    </row>
    <row r="660">
      <c r="A660" s="240"/>
      <c r="B660" s="319"/>
      <c r="C660" s="346"/>
      <c r="D660" s="346"/>
      <c r="E660" s="346"/>
      <c r="F660" s="346"/>
      <c r="G660" s="346"/>
      <c r="H660" s="346"/>
      <c r="I660" s="346"/>
      <c r="J660" s="346"/>
      <c r="K660" s="346"/>
      <c r="L660" s="346"/>
      <c r="M660" s="346"/>
      <c r="N660" s="346"/>
      <c r="O660" s="346"/>
      <c r="P660" s="346"/>
      <c r="Q660" s="346"/>
      <c r="R660" s="346"/>
      <c r="S660" s="346"/>
      <c r="T660" s="347"/>
      <c r="U660" s="345"/>
      <c r="V660" s="317"/>
      <c r="W660" s="318"/>
      <c r="X660" s="288"/>
      <c r="Y660" s="220"/>
      <c r="Z660" s="220"/>
      <c r="AA660" s="220"/>
      <c r="AB660" s="220"/>
      <c r="AC660" s="220"/>
      <c r="AD660" s="220"/>
      <c r="AE660" s="220"/>
      <c r="AF660" s="220"/>
      <c r="AG660" s="220"/>
      <c r="AH660" s="220"/>
      <c r="AI660" s="308"/>
      <c r="AJ660" s="220"/>
      <c r="AK660" s="220"/>
      <c r="AL660" s="220"/>
      <c r="AM660" s="220"/>
      <c r="AN660" s="220"/>
      <c r="AO660" s="220"/>
      <c r="AP660" s="220"/>
      <c r="AQ660" s="220"/>
      <c r="AR660" s="220"/>
      <c r="AS660" s="220"/>
      <c r="AT660" s="220"/>
      <c r="AU660" s="220"/>
      <c r="AV660" s="220"/>
      <c r="AW660" s="220"/>
      <c r="AX660" s="220"/>
      <c r="AY660" s="220"/>
      <c r="AZ660" s="220"/>
      <c r="BA660" s="220"/>
      <c r="BB660" s="220"/>
    </row>
    <row r="661">
      <c r="A661" s="240"/>
      <c r="B661" s="319"/>
      <c r="C661" s="346"/>
      <c r="D661" s="346"/>
      <c r="E661" s="346"/>
      <c r="F661" s="346"/>
      <c r="G661" s="346"/>
      <c r="H661" s="346"/>
      <c r="I661" s="346"/>
      <c r="J661" s="346"/>
      <c r="K661" s="346"/>
      <c r="L661" s="346"/>
      <c r="M661" s="346"/>
      <c r="N661" s="346"/>
      <c r="O661" s="346"/>
      <c r="P661" s="346"/>
      <c r="Q661" s="346"/>
      <c r="R661" s="346"/>
      <c r="S661" s="346"/>
      <c r="T661" s="347"/>
      <c r="U661" s="345"/>
      <c r="V661" s="317"/>
      <c r="W661" s="318"/>
      <c r="X661" s="288"/>
      <c r="Y661" s="220"/>
      <c r="Z661" s="220"/>
      <c r="AA661" s="220"/>
      <c r="AB661" s="220"/>
      <c r="AC661" s="220"/>
      <c r="AD661" s="220"/>
      <c r="AE661" s="220"/>
      <c r="AF661" s="220"/>
      <c r="AG661" s="220"/>
      <c r="AH661" s="220"/>
      <c r="AI661" s="308"/>
      <c r="AJ661" s="220"/>
      <c r="AK661" s="220"/>
      <c r="AL661" s="220"/>
      <c r="AM661" s="220"/>
      <c r="AN661" s="220"/>
      <c r="AO661" s="220"/>
      <c r="AP661" s="220"/>
      <c r="AQ661" s="220"/>
      <c r="AR661" s="220"/>
      <c r="AS661" s="220"/>
      <c r="AT661" s="220"/>
      <c r="AU661" s="220"/>
      <c r="AV661" s="220"/>
      <c r="AW661" s="220"/>
      <c r="AX661" s="220"/>
      <c r="AY661" s="220"/>
      <c r="AZ661" s="220"/>
      <c r="BA661" s="220"/>
      <c r="BB661" s="220"/>
    </row>
    <row r="662">
      <c r="A662" s="240"/>
      <c r="B662" s="319"/>
      <c r="C662" s="346"/>
      <c r="D662" s="346"/>
      <c r="E662" s="346"/>
      <c r="F662" s="346"/>
      <c r="G662" s="346"/>
      <c r="H662" s="346"/>
      <c r="I662" s="346"/>
      <c r="J662" s="346"/>
      <c r="K662" s="346"/>
      <c r="L662" s="346"/>
      <c r="M662" s="346"/>
      <c r="N662" s="346"/>
      <c r="O662" s="346"/>
      <c r="P662" s="346"/>
      <c r="Q662" s="346"/>
      <c r="R662" s="346"/>
      <c r="S662" s="346"/>
      <c r="T662" s="347"/>
      <c r="U662" s="345"/>
      <c r="V662" s="317"/>
      <c r="W662" s="318"/>
      <c r="X662" s="288"/>
      <c r="Y662" s="220"/>
      <c r="Z662" s="220"/>
      <c r="AA662" s="220"/>
      <c r="AB662" s="220"/>
      <c r="AC662" s="220"/>
      <c r="AD662" s="220"/>
      <c r="AE662" s="220"/>
      <c r="AF662" s="220"/>
      <c r="AG662" s="220"/>
      <c r="AH662" s="220"/>
      <c r="AI662" s="308"/>
      <c r="AJ662" s="220"/>
      <c r="AK662" s="220"/>
      <c r="AL662" s="220"/>
      <c r="AM662" s="220"/>
      <c r="AN662" s="220"/>
      <c r="AO662" s="220"/>
      <c r="AP662" s="220"/>
      <c r="AQ662" s="220"/>
      <c r="AR662" s="220"/>
      <c r="AS662" s="220"/>
      <c r="AT662" s="220"/>
      <c r="AU662" s="220"/>
      <c r="AV662" s="220"/>
      <c r="AW662" s="220"/>
      <c r="AX662" s="220"/>
      <c r="AY662" s="220"/>
      <c r="AZ662" s="220"/>
      <c r="BA662" s="220"/>
      <c r="BB662" s="220"/>
    </row>
    <row r="663">
      <c r="A663" s="240"/>
      <c r="B663" s="319"/>
      <c r="C663" s="346"/>
      <c r="D663" s="346"/>
      <c r="E663" s="346"/>
      <c r="F663" s="346"/>
      <c r="G663" s="346"/>
      <c r="H663" s="346"/>
      <c r="I663" s="346"/>
      <c r="J663" s="346"/>
      <c r="K663" s="346"/>
      <c r="L663" s="346"/>
      <c r="M663" s="346"/>
      <c r="N663" s="346"/>
      <c r="O663" s="346"/>
      <c r="P663" s="346"/>
      <c r="Q663" s="346"/>
      <c r="R663" s="346"/>
      <c r="S663" s="346"/>
      <c r="T663" s="347"/>
      <c r="U663" s="345"/>
      <c r="V663" s="317"/>
      <c r="W663" s="318"/>
      <c r="X663" s="288"/>
      <c r="Y663" s="220"/>
      <c r="Z663" s="220"/>
      <c r="AA663" s="220"/>
      <c r="AB663" s="220"/>
      <c r="AC663" s="220"/>
      <c r="AD663" s="220"/>
      <c r="AE663" s="220"/>
      <c r="AF663" s="220"/>
      <c r="AG663" s="220"/>
      <c r="AH663" s="220"/>
      <c r="AI663" s="308"/>
      <c r="AJ663" s="220"/>
      <c r="AK663" s="220"/>
      <c r="AL663" s="220"/>
      <c r="AM663" s="220"/>
      <c r="AN663" s="220"/>
      <c r="AO663" s="220"/>
      <c r="AP663" s="220"/>
      <c r="AQ663" s="220"/>
      <c r="AR663" s="220"/>
      <c r="AS663" s="220"/>
      <c r="AT663" s="220"/>
      <c r="AU663" s="220"/>
      <c r="AV663" s="220"/>
      <c r="AW663" s="220"/>
      <c r="AX663" s="220"/>
      <c r="AY663" s="220"/>
      <c r="AZ663" s="220"/>
      <c r="BA663" s="220"/>
      <c r="BB663" s="220"/>
    </row>
    <row r="664">
      <c r="A664" s="240"/>
      <c r="B664" s="319"/>
      <c r="C664" s="346"/>
      <c r="D664" s="346"/>
      <c r="E664" s="346"/>
      <c r="F664" s="346"/>
      <c r="G664" s="346"/>
      <c r="H664" s="346"/>
      <c r="I664" s="346"/>
      <c r="J664" s="346"/>
      <c r="K664" s="346"/>
      <c r="L664" s="346"/>
      <c r="M664" s="346"/>
      <c r="N664" s="346"/>
      <c r="O664" s="346"/>
      <c r="P664" s="346"/>
      <c r="Q664" s="346"/>
      <c r="R664" s="346"/>
      <c r="S664" s="346"/>
      <c r="T664" s="347"/>
      <c r="U664" s="345"/>
      <c r="V664" s="317"/>
      <c r="W664" s="318"/>
      <c r="X664" s="288"/>
      <c r="Y664" s="220"/>
      <c r="Z664" s="220"/>
      <c r="AA664" s="220"/>
      <c r="AB664" s="220"/>
      <c r="AC664" s="220"/>
      <c r="AD664" s="220"/>
      <c r="AE664" s="220"/>
      <c r="AF664" s="220"/>
      <c r="AG664" s="220"/>
      <c r="AH664" s="220"/>
      <c r="AI664" s="308"/>
      <c r="AJ664" s="220"/>
      <c r="AK664" s="220"/>
      <c r="AL664" s="220"/>
      <c r="AM664" s="220"/>
      <c r="AN664" s="220"/>
      <c r="AO664" s="220"/>
      <c r="AP664" s="220"/>
      <c r="AQ664" s="220"/>
      <c r="AR664" s="220"/>
      <c r="AS664" s="220"/>
      <c r="AT664" s="220"/>
      <c r="AU664" s="220"/>
      <c r="AV664" s="220"/>
      <c r="AW664" s="220"/>
      <c r="AX664" s="220"/>
      <c r="AY664" s="220"/>
      <c r="AZ664" s="220"/>
      <c r="BA664" s="220"/>
      <c r="BB664" s="220"/>
    </row>
    <row r="665">
      <c r="A665" s="240"/>
      <c r="B665" s="319"/>
      <c r="C665" s="346"/>
      <c r="D665" s="346"/>
      <c r="E665" s="346"/>
      <c r="F665" s="346"/>
      <c r="G665" s="346"/>
      <c r="H665" s="346"/>
      <c r="I665" s="346"/>
      <c r="J665" s="346"/>
      <c r="K665" s="346"/>
      <c r="L665" s="346"/>
      <c r="M665" s="346"/>
      <c r="N665" s="346"/>
      <c r="O665" s="346"/>
      <c r="P665" s="346"/>
      <c r="Q665" s="346"/>
      <c r="R665" s="346"/>
      <c r="S665" s="346"/>
      <c r="T665" s="347"/>
      <c r="U665" s="345"/>
      <c r="V665" s="317"/>
      <c r="W665" s="318"/>
      <c r="X665" s="288"/>
      <c r="Y665" s="220"/>
      <c r="Z665" s="220"/>
      <c r="AA665" s="220"/>
      <c r="AB665" s="220"/>
      <c r="AC665" s="220"/>
      <c r="AD665" s="220"/>
      <c r="AE665" s="220"/>
      <c r="AF665" s="220"/>
      <c r="AG665" s="220"/>
      <c r="AH665" s="220"/>
      <c r="AI665" s="308"/>
      <c r="AJ665" s="220"/>
      <c r="AK665" s="220"/>
      <c r="AL665" s="220"/>
      <c r="AM665" s="220"/>
      <c r="AN665" s="220"/>
      <c r="AO665" s="220"/>
      <c r="AP665" s="220"/>
      <c r="AQ665" s="220"/>
      <c r="AR665" s="220"/>
      <c r="AS665" s="220"/>
      <c r="AT665" s="220"/>
      <c r="AU665" s="220"/>
      <c r="AV665" s="220"/>
      <c r="AW665" s="220"/>
      <c r="AX665" s="220"/>
      <c r="AY665" s="220"/>
      <c r="AZ665" s="220"/>
      <c r="BA665" s="220"/>
      <c r="BB665" s="220"/>
    </row>
    <row r="666">
      <c r="A666" s="240"/>
      <c r="B666" s="319"/>
      <c r="C666" s="346"/>
      <c r="D666" s="346"/>
      <c r="E666" s="346"/>
      <c r="F666" s="346"/>
      <c r="G666" s="346"/>
      <c r="H666" s="346"/>
      <c r="I666" s="346"/>
      <c r="J666" s="346"/>
      <c r="K666" s="346"/>
      <c r="L666" s="346"/>
      <c r="M666" s="346"/>
      <c r="N666" s="346"/>
      <c r="O666" s="346"/>
      <c r="P666" s="346"/>
      <c r="Q666" s="346"/>
      <c r="R666" s="346"/>
      <c r="S666" s="346"/>
      <c r="T666" s="347"/>
      <c r="U666" s="345"/>
      <c r="V666" s="317"/>
      <c r="W666" s="318"/>
      <c r="X666" s="288"/>
      <c r="Y666" s="220"/>
      <c r="Z666" s="220"/>
      <c r="AA666" s="220"/>
      <c r="AB666" s="220"/>
      <c r="AC666" s="220"/>
      <c r="AD666" s="220"/>
      <c r="AE666" s="220"/>
      <c r="AF666" s="220"/>
      <c r="AG666" s="220"/>
      <c r="AH666" s="220"/>
      <c r="AI666" s="308"/>
      <c r="AJ666" s="220"/>
      <c r="AK666" s="220"/>
      <c r="AL666" s="220"/>
      <c r="AM666" s="220"/>
      <c r="AN666" s="220"/>
      <c r="AO666" s="220"/>
      <c r="AP666" s="220"/>
      <c r="AQ666" s="220"/>
      <c r="AR666" s="220"/>
      <c r="AS666" s="220"/>
      <c r="AT666" s="220"/>
      <c r="AU666" s="220"/>
      <c r="AV666" s="220"/>
      <c r="AW666" s="220"/>
      <c r="AX666" s="220"/>
      <c r="AY666" s="220"/>
      <c r="AZ666" s="220"/>
      <c r="BA666" s="220"/>
      <c r="BB666" s="220"/>
    </row>
    <row r="667">
      <c r="A667" s="240"/>
      <c r="B667" s="319"/>
      <c r="C667" s="346"/>
      <c r="D667" s="346"/>
      <c r="E667" s="346"/>
      <c r="F667" s="346"/>
      <c r="G667" s="346"/>
      <c r="H667" s="346"/>
      <c r="I667" s="346"/>
      <c r="J667" s="346"/>
      <c r="K667" s="346"/>
      <c r="L667" s="346"/>
      <c r="M667" s="346"/>
      <c r="N667" s="346"/>
      <c r="O667" s="346"/>
      <c r="P667" s="346"/>
      <c r="Q667" s="346"/>
      <c r="R667" s="346"/>
      <c r="S667" s="346"/>
      <c r="T667" s="347"/>
      <c r="U667" s="345"/>
      <c r="V667" s="317"/>
      <c r="W667" s="318"/>
      <c r="X667" s="288"/>
      <c r="Y667" s="220"/>
      <c r="Z667" s="220"/>
      <c r="AA667" s="220"/>
      <c r="AB667" s="220"/>
      <c r="AC667" s="220"/>
      <c r="AD667" s="220"/>
      <c r="AE667" s="220"/>
      <c r="AF667" s="220"/>
      <c r="AG667" s="220"/>
      <c r="AH667" s="220"/>
      <c r="AI667" s="308"/>
      <c r="AJ667" s="220"/>
      <c r="AK667" s="220"/>
      <c r="AL667" s="220"/>
      <c r="AM667" s="220"/>
      <c r="AN667" s="220"/>
      <c r="AO667" s="220"/>
      <c r="AP667" s="220"/>
      <c r="AQ667" s="220"/>
      <c r="AR667" s="220"/>
      <c r="AS667" s="220"/>
      <c r="AT667" s="220"/>
      <c r="AU667" s="220"/>
      <c r="AV667" s="220"/>
      <c r="AW667" s="220"/>
      <c r="AX667" s="220"/>
      <c r="AY667" s="220"/>
      <c r="AZ667" s="220"/>
      <c r="BA667" s="220"/>
      <c r="BB667" s="220"/>
    </row>
    <row r="668">
      <c r="A668" s="240"/>
      <c r="B668" s="319"/>
      <c r="C668" s="346"/>
      <c r="D668" s="346"/>
      <c r="E668" s="346"/>
      <c r="F668" s="346"/>
      <c r="G668" s="346"/>
      <c r="H668" s="346"/>
      <c r="I668" s="346"/>
      <c r="J668" s="346"/>
      <c r="K668" s="346"/>
      <c r="L668" s="346"/>
      <c r="M668" s="346"/>
      <c r="N668" s="346"/>
      <c r="O668" s="346"/>
      <c r="P668" s="346"/>
      <c r="Q668" s="346"/>
      <c r="R668" s="346"/>
      <c r="S668" s="346"/>
      <c r="T668" s="347"/>
      <c r="U668" s="345"/>
      <c r="V668" s="317"/>
      <c r="W668" s="318"/>
      <c r="X668" s="288"/>
      <c r="Y668" s="220"/>
      <c r="Z668" s="220"/>
      <c r="AA668" s="220"/>
      <c r="AB668" s="220"/>
      <c r="AC668" s="220"/>
      <c r="AD668" s="220"/>
      <c r="AE668" s="220"/>
      <c r="AF668" s="220"/>
      <c r="AG668" s="220"/>
      <c r="AH668" s="220"/>
      <c r="AI668" s="308"/>
      <c r="AJ668" s="220"/>
      <c r="AK668" s="220"/>
      <c r="AL668" s="220"/>
      <c r="AM668" s="220"/>
      <c r="AN668" s="220"/>
      <c r="AO668" s="220"/>
      <c r="AP668" s="220"/>
      <c r="AQ668" s="220"/>
      <c r="AR668" s="220"/>
      <c r="AS668" s="220"/>
      <c r="AT668" s="220"/>
      <c r="AU668" s="220"/>
      <c r="AV668" s="220"/>
      <c r="AW668" s="220"/>
      <c r="AX668" s="220"/>
      <c r="AY668" s="220"/>
      <c r="AZ668" s="220"/>
      <c r="BA668" s="220"/>
      <c r="BB668" s="220"/>
    </row>
    <row r="669">
      <c r="A669" s="240"/>
      <c r="B669" s="319"/>
      <c r="C669" s="346"/>
      <c r="D669" s="346"/>
      <c r="E669" s="346"/>
      <c r="F669" s="346"/>
      <c r="G669" s="346"/>
      <c r="H669" s="346"/>
      <c r="I669" s="346"/>
      <c r="J669" s="346"/>
      <c r="K669" s="346"/>
      <c r="L669" s="346"/>
      <c r="M669" s="346"/>
      <c r="N669" s="346"/>
      <c r="O669" s="346"/>
      <c r="P669" s="346"/>
      <c r="Q669" s="346"/>
      <c r="R669" s="346"/>
      <c r="S669" s="346"/>
      <c r="T669" s="347"/>
      <c r="U669" s="345"/>
      <c r="V669" s="317"/>
      <c r="W669" s="318"/>
      <c r="X669" s="288"/>
      <c r="Y669" s="220"/>
      <c r="Z669" s="220"/>
      <c r="AA669" s="220"/>
      <c r="AB669" s="220"/>
      <c r="AC669" s="220"/>
      <c r="AD669" s="220"/>
      <c r="AE669" s="220"/>
      <c r="AF669" s="220"/>
      <c r="AG669" s="220"/>
      <c r="AH669" s="220"/>
      <c r="AI669" s="308"/>
      <c r="AJ669" s="220"/>
      <c r="AK669" s="220"/>
      <c r="AL669" s="220"/>
      <c r="AM669" s="220"/>
      <c r="AN669" s="220"/>
      <c r="AO669" s="220"/>
      <c r="AP669" s="220"/>
      <c r="AQ669" s="220"/>
      <c r="AR669" s="220"/>
      <c r="AS669" s="220"/>
      <c r="AT669" s="220"/>
      <c r="AU669" s="220"/>
      <c r="AV669" s="220"/>
      <c r="AW669" s="220"/>
      <c r="AX669" s="220"/>
      <c r="AY669" s="220"/>
      <c r="AZ669" s="220"/>
      <c r="BA669" s="220"/>
      <c r="BB669" s="220"/>
    </row>
    <row r="670">
      <c r="A670" s="240"/>
      <c r="B670" s="319"/>
      <c r="C670" s="346"/>
      <c r="D670" s="346"/>
      <c r="E670" s="346"/>
      <c r="F670" s="346"/>
      <c r="G670" s="346"/>
      <c r="H670" s="346"/>
      <c r="I670" s="346"/>
      <c r="J670" s="346"/>
      <c r="K670" s="346"/>
      <c r="L670" s="346"/>
      <c r="M670" s="346"/>
      <c r="N670" s="346"/>
      <c r="O670" s="346"/>
      <c r="P670" s="346"/>
      <c r="Q670" s="346"/>
      <c r="R670" s="346"/>
      <c r="S670" s="346"/>
      <c r="T670" s="347"/>
      <c r="U670" s="345"/>
      <c r="V670" s="317"/>
      <c r="W670" s="318"/>
      <c r="X670" s="288"/>
      <c r="Y670" s="220"/>
      <c r="Z670" s="220"/>
      <c r="AA670" s="220"/>
      <c r="AB670" s="220"/>
      <c r="AC670" s="220"/>
      <c r="AD670" s="220"/>
      <c r="AE670" s="220"/>
      <c r="AF670" s="220"/>
      <c r="AG670" s="220"/>
      <c r="AH670" s="220"/>
      <c r="AI670" s="308"/>
      <c r="AJ670" s="220"/>
      <c r="AK670" s="220"/>
      <c r="AL670" s="220"/>
      <c r="AM670" s="220"/>
      <c r="AN670" s="220"/>
      <c r="AO670" s="220"/>
      <c r="AP670" s="220"/>
      <c r="AQ670" s="220"/>
      <c r="AR670" s="220"/>
      <c r="AS670" s="220"/>
      <c r="AT670" s="220"/>
      <c r="AU670" s="220"/>
      <c r="AV670" s="220"/>
      <c r="AW670" s="220"/>
      <c r="AX670" s="220"/>
      <c r="AY670" s="220"/>
      <c r="AZ670" s="220"/>
      <c r="BA670" s="220"/>
      <c r="BB670" s="220"/>
    </row>
    <row r="671">
      <c r="A671" s="240"/>
      <c r="B671" s="319"/>
      <c r="C671" s="346"/>
      <c r="D671" s="346"/>
      <c r="E671" s="346"/>
      <c r="F671" s="346"/>
      <c r="G671" s="346"/>
      <c r="H671" s="346"/>
      <c r="I671" s="346"/>
      <c r="J671" s="346"/>
      <c r="K671" s="346"/>
      <c r="L671" s="346"/>
      <c r="M671" s="346"/>
      <c r="N671" s="346"/>
      <c r="O671" s="346"/>
      <c r="P671" s="346"/>
      <c r="Q671" s="346"/>
      <c r="R671" s="346"/>
      <c r="S671" s="346"/>
      <c r="T671" s="347"/>
      <c r="U671" s="345"/>
      <c r="V671" s="317"/>
      <c r="W671" s="318"/>
      <c r="X671" s="288"/>
      <c r="Y671" s="220"/>
      <c r="Z671" s="220"/>
      <c r="AA671" s="220"/>
      <c r="AB671" s="220"/>
      <c r="AC671" s="220"/>
      <c r="AD671" s="220"/>
      <c r="AE671" s="220"/>
      <c r="AF671" s="220"/>
      <c r="AG671" s="220"/>
      <c r="AH671" s="220"/>
      <c r="AI671" s="308"/>
      <c r="AJ671" s="220"/>
      <c r="AK671" s="220"/>
      <c r="AL671" s="220"/>
      <c r="AM671" s="220"/>
      <c r="AN671" s="220"/>
      <c r="AO671" s="220"/>
      <c r="AP671" s="220"/>
      <c r="AQ671" s="220"/>
      <c r="AR671" s="220"/>
      <c r="AS671" s="220"/>
      <c r="AT671" s="220"/>
      <c r="AU671" s="220"/>
      <c r="AV671" s="220"/>
      <c r="AW671" s="220"/>
      <c r="AX671" s="220"/>
      <c r="AY671" s="220"/>
      <c r="AZ671" s="220"/>
      <c r="BA671" s="220"/>
      <c r="BB671" s="220"/>
    </row>
    <row r="672">
      <c r="A672" s="240"/>
      <c r="B672" s="319"/>
      <c r="C672" s="346"/>
      <c r="D672" s="346"/>
      <c r="E672" s="346"/>
      <c r="F672" s="346"/>
      <c r="G672" s="346"/>
      <c r="H672" s="346"/>
      <c r="I672" s="346"/>
      <c r="J672" s="346"/>
      <c r="K672" s="346"/>
      <c r="L672" s="346"/>
      <c r="M672" s="346"/>
      <c r="N672" s="346"/>
      <c r="O672" s="346"/>
      <c r="P672" s="346"/>
      <c r="Q672" s="346"/>
      <c r="R672" s="346"/>
      <c r="S672" s="346"/>
      <c r="T672" s="347"/>
      <c r="U672" s="345"/>
      <c r="V672" s="317"/>
      <c r="W672" s="318"/>
      <c r="X672" s="288"/>
      <c r="Y672" s="220"/>
      <c r="Z672" s="220"/>
      <c r="AA672" s="220"/>
      <c r="AB672" s="220"/>
      <c r="AC672" s="220"/>
      <c r="AD672" s="220"/>
      <c r="AE672" s="220"/>
      <c r="AF672" s="220"/>
      <c r="AG672" s="220"/>
      <c r="AH672" s="220"/>
      <c r="AI672" s="308"/>
      <c r="AJ672" s="220"/>
      <c r="AK672" s="220"/>
      <c r="AL672" s="220"/>
      <c r="AM672" s="220"/>
      <c r="AN672" s="220"/>
      <c r="AO672" s="220"/>
      <c r="AP672" s="220"/>
      <c r="AQ672" s="220"/>
      <c r="AR672" s="220"/>
      <c r="AS672" s="220"/>
      <c r="AT672" s="220"/>
      <c r="AU672" s="220"/>
      <c r="AV672" s="220"/>
      <c r="AW672" s="220"/>
      <c r="AX672" s="220"/>
      <c r="AY672" s="220"/>
      <c r="AZ672" s="220"/>
      <c r="BA672" s="220"/>
      <c r="BB672" s="220"/>
    </row>
    <row r="673">
      <c r="A673" s="240"/>
      <c r="B673" s="319"/>
      <c r="C673" s="346"/>
      <c r="D673" s="346"/>
      <c r="E673" s="346"/>
      <c r="F673" s="346"/>
      <c r="G673" s="346"/>
      <c r="H673" s="346"/>
      <c r="I673" s="346"/>
      <c r="J673" s="346"/>
      <c r="K673" s="346"/>
      <c r="L673" s="346"/>
      <c r="M673" s="346"/>
      <c r="N673" s="346"/>
      <c r="O673" s="346"/>
      <c r="P673" s="346"/>
      <c r="Q673" s="346"/>
      <c r="R673" s="346"/>
      <c r="S673" s="346"/>
      <c r="T673" s="347"/>
      <c r="U673" s="345"/>
      <c r="V673" s="317"/>
      <c r="W673" s="318"/>
      <c r="X673" s="288"/>
      <c r="Y673" s="220"/>
      <c r="Z673" s="220"/>
      <c r="AA673" s="220"/>
      <c r="AB673" s="220"/>
      <c r="AC673" s="220"/>
      <c r="AD673" s="220"/>
      <c r="AE673" s="220"/>
      <c r="AF673" s="220"/>
      <c r="AG673" s="220"/>
      <c r="AH673" s="220"/>
      <c r="AI673" s="308"/>
      <c r="AJ673" s="220"/>
      <c r="AK673" s="220"/>
      <c r="AL673" s="220"/>
      <c r="AM673" s="220"/>
      <c r="AN673" s="220"/>
      <c r="AO673" s="220"/>
      <c r="AP673" s="220"/>
      <c r="AQ673" s="220"/>
      <c r="AR673" s="220"/>
      <c r="AS673" s="220"/>
      <c r="AT673" s="220"/>
      <c r="AU673" s="220"/>
      <c r="AV673" s="220"/>
      <c r="AW673" s="220"/>
      <c r="AX673" s="220"/>
      <c r="AY673" s="220"/>
      <c r="AZ673" s="220"/>
      <c r="BA673" s="220"/>
      <c r="BB673" s="220"/>
    </row>
    <row r="674">
      <c r="A674" s="240"/>
      <c r="B674" s="319"/>
      <c r="C674" s="346"/>
      <c r="D674" s="346"/>
      <c r="E674" s="346"/>
      <c r="F674" s="346"/>
      <c r="G674" s="346"/>
      <c r="H674" s="346"/>
      <c r="I674" s="346"/>
      <c r="J674" s="346"/>
      <c r="K674" s="346"/>
      <c r="L674" s="346"/>
      <c r="M674" s="346"/>
      <c r="N674" s="346"/>
      <c r="O674" s="346"/>
      <c r="P674" s="346"/>
      <c r="Q674" s="346"/>
      <c r="R674" s="346"/>
      <c r="S674" s="346"/>
      <c r="T674" s="347"/>
      <c r="U674" s="345"/>
      <c r="V674" s="317"/>
      <c r="W674" s="318"/>
      <c r="X674" s="288"/>
      <c r="Y674" s="220"/>
      <c r="Z674" s="220"/>
      <c r="AA674" s="220"/>
      <c r="AB674" s="220"/>
      <c r="AC674" s="220"/>
      <c r="AD674" s="220"/>
      <c r="AE674" s="220"/>
      <c r="AF674" s="220"/>
      <c r="AG674" s="220"/>
      <c r="AH674" s="220"/>
      <c r="AI674" s="308"/>
      <c r="AJ674" s="220"/>
      <c r="AK674" s="220"/>
      <c r="AL674" s="220"/>
      <c r="AM674" s="220"/>
      <c r="AN674" s="220"/>
      <c r="AO674" s="220"/>
      <c r="AP674" s="220"/>
      <c r="AQ674" s="220"/>
      <c r="AR674" s="220"/>
      <c r="AS674" s="220"/>
      <c r="AT674" s="220"/>
      <c r="AU674" s="220"/>
      <c r="AV674" s="220"/>
      <c r="AW674" s="220"/>
      <c r="AX674" s="220"/>
      <c r="AY674" s="220"/>
      <c r="AZ674" s="220"/>
      <c r="BA674" s="220"/>
      <c r="BB674" s="220"/>
    </row>
    <row r="675">
      <c r="A675" s="240"/>
      <c r="B675" s="319"/>
      <c r="C675" s="346"/>
      <c r="D675" s="346"/>
      <c r="E675" s="346"/>
      <c r="F675" s="346"/>
      <c r="G675" s="346"/>
      <c r="H675" s="346"/>
      <c r="I675" s="346"/>
      <c r="J675" s="346"/>
      <c r="K675" s="346"/>
      <c r="L675" s="346"/>
      <c r="M675" s="346"/>
      <c r="N675" s="346"/>
      <c r="O675" s="346"/>
      <c r="P675" s="346"/>
      <c r="Q675" s="346"/>
      <c r="R675" s="346"/>
      <c r="S675" s="346"/>
      <c r="T675" s="347"/>
      <c r="U675" s="345"/>
      <c r="V675" s="317"/>
      <c r="W675" s="318"/>
      <c r="X675" s="288"/>
      <c r="Y675" s="220"/>
      <c r="Z675" s="220"/>
      <c r="AA675" s="220"/>
      <c r="AB675" s="220"/>
      <c r="AC675" s="220"/>
      <c r="AD675" s="220"/>
      <c r="AE675" s="220"/>
      <c r="AF675" s="220"/>
      <c r="AG675" s="220"/>
      <c r="AH675" s="220"/>
      <c r="AI675" s="308"/>
      <c r="AJ675" s="220"/>
      <c r="AK675" s="220"/>
      <c r="AL675" s="220"/>
      <c r="AM675" s="220"/>
      <c r="AN675" s="220"/>
      <c r="AO675" s="220"/>
      <c r="AP675" s="220"/>
      <c r="AQ675" s="220"/>
      <c r="AR675" s="220"/>
      <c r="AS675" s="220"/>
      <c r="AT675" s="220"/>
      <c r="AU675" s="220"/>
      <c r="AV675" s="220"/>
      <c r="AW675" s="220"/>
      <c r="AX675" s="220"/>
      <c r="AY675" s="220"/>
      <c r="AZ675" s="220"/>
      <c r="BA675" s="220"/>
      <c r="BB675" s="220"/>
    </row>
    <row r="676">
      <c r="A676" s="240"/>
      <c r="B676" s="319"/>
      <c r="C676" s="346"/>
      <c r="D676" s="346"/>
      <c r="E676" s="346"/>
      <c r="F676" s="346"/>
      <c r="G676" s="346"/>
      <c r="H676" s="346"/>
      <c r="I676" s="346"/>
      <c r="J676" s="346"/>
      <c r="K676" s="346"/>
      <c r="L676" s="346"/>
      <c r="M676" s="346"/>
      <c r="N676" s="346"/>
      <c r="O676" s="346"/>
      <c r="P676" s="346"/>
      <c r="Q676" s="346"/>
      <c r="R676" s="346"/>
      <c r="S676" s="346"/>
      <c r="T676" s="347"/>
      <c r="U676" s="345"/>
      <c r="V676" s="317"/>
      <c r="W676" s="318"/>
      <c r="X676" s="288"/>
      <c r="Y676" s="220"/>
      <c r="Z676" s="220"/>
      <c r="AA676" s="220"/>
      <c r="AB676" s="220"/>
      <c r="AC676" s="220"/>
      <c r="AD676" s="220"/>
      <c r="AE676" s="220"/>
      <c r="AF676" s="220"/>
      <c r="AG676" s="220"/>
      <c r="AH676" s="220"/>
      <c r="AI676" s="308"/>
      <c r="AJ676" s="220"/>
      <c r="AK676" s="220"/>
      <c r="AL676" s="220"/>
      <c r="AM676" s="220"/>
      <c r="AN676" s="220"/>
      <c r="AO676" s="220"/>
      <c r="AP676" s="220"/>
      <c r="AQ676" s="220"/>
      <c r="AR676" s="220"/>
      <c r="AS676" s="220"/>
      <c r="AT676" s="220"/>
      <c r="AU676" s="220"/>
      <c r="AV676" s="220"/>
      <c r="AW676" s="220"/>
      <c r="AX676" s="220"/>
      <c r="AY676" s="220"/>
      <c r="AZ676" s="220"/>
      <c r="BA676" s="220"/>
      <c r="BB676" s="220"/>
    </row>
    <row r="677">
      <c r="A677" s="240"/>
      <c r="B677" s="319"/>
      <c r="C677" s="346"/>
      <c r="D677" s="346"/>
      <c r="E677" s="346"/>
      <c r="F677" s="346"/>
      <c r="G677" s="346"/>
      <c r="H677" s="346"/>
      <c r="I677" s="346"/>
      <c r="J677" s="346"/>
      <c r="K677" s="346"/>
      <c r="L677" s="346"/>
      <c r="M677" s="346"/>
      <c r="N677" s="346"/>
      <c r="O677" s="346"/>
      <c r="P677" s="346"/>
      <c r="Q677" s="346"/>
      <c r="R677" s="346"/>
      <c r="S677" s="346"/>
      <c r="T677" s="347"/>
      <c r="U677" s="345"/>
      <c r="V677" s="317"/>
      <c r="W677" s="318"/>
      <c r="X677" s="288"/>
      <c r="Y677" s="220"/>
      <c r="Z677" s="220"/>
      <c r="AA677" s="220"/>
      <c r="AB677" s="220"/>
      <c r="AC677" s="220"/>
      <c r="AD677" s="220"/>
      <c r="AE677" s="220"/>
      <c r="AF677" s="220"/>
      <c r="AG677" s="220"/>
      <c r="AH677" s="220"/>
      <c r="AI677" s="308"/>
      <c r="AJ677" s="220"/>
      <c r="AK677" s="220"/>
      <c r="AL677" s="220"/>
      <c r="AM677" s="220"/>
      <c r="AN677" s="220"/>
      <c r="AO677" s="220"/>
      <c r="AP677" s="220"/>
      <c r="AQ677" s="220"/>
      <c r="AR677" s="220"/>
      <c r="AS677" s="220"/>
      <c r="AT677" s="220"/>
      <c r="AU677" s="220"/>
      <c r="AV677" s="220"/>
      <c r="AW677" s="220"/>
      <c r="AX677" s="220"/>
      <c r="AY677" s="220"/>
      <c r="AZ677" s="220"/>
      <c r="BA677" s="220"/>
      <c r="BB677" s="220"/>
    </row>
    <row r="678">
      <c r="A678" s="240"/>
      <c r="B678" s="319"/>
      <c r="C678" s="346"/>
      <c r="D678" s="346"/>
      <c r="E678" s="346"/>
      <c r="F678" s="346"/>
      <c r="G678" s="346"/>
      <c r="H678" s="346"/>
      <c r="I678" s="346"/>
      <c r="J678" s="346"/>
      <c r="K678" s="346"/>
      <c r="L678" s="346"/>
      <c r="M678" s="346"/>
      <c r="N678" s="346"/>
      <c r="O678" s="346"/>
      <c r="P678" s="346"/>
      <c r="Q678" s="346"/>
      <c r="R678" s="346"/>
      <c r="S678" s="346"/>
      <c r="T678" s="347"/>
      <c r="U678" s="345"/>
      <c r="V678" s="317"/>
      <c r="W678" s="318"/>
      <c r="X678" s="288"/>
      <c r="Y678" s="220"/>
      <c r="Z678" s="220"/>
      <c r="AA678" s="220"/>
      <c r="AB678" s="220"/>
      <c r="AC678" s="220"/>
      <c r="AD678" s="220"/>
      <c r="AE678" s="220"/>
      <c r="AF678" s="220"/>
      <c r="AG678" s="220"/>
      <c r="AH678" s="220"/>
      <c r="AI678" s="308"/>
      <c r="AJ678" s="220"/>
      <c r="AK678" s="220"/>
      <c r="AL678" s="220"/>
      <c r="AM678" s="220"/>
      <c r="AN678" s="220"/>
      <c r="AO678" s="220"/>
      <c r="AP678" s="220"/>
      <c r="AQ678" s="220"/>
      <c r="AR678" s="220"/>
      <c r="AS678" s="220"/>
      <c r="AT678" s="220"/>
      <c r="AU678" s="220"/>
      <c r="AV678" s="220"/>
      <c r="AW678" s="220"/>
      <c r="AX678" s="220"/>
      <c r="AY678" s="220"/>
      <c r="AZ678" s="220"/>
      <c r="BA678" s="220"/>
      <c r="BB678" s="220"/>
    </row>
    <row r="679">
      <c r="A679" s="240"/>
      <c r="B679" s="319"/>
      <c r="C679" s="346"/>
      <c r="D679" s="346"/>
      <c r="E679" s="346"/>
      <c r="F679" s="346"/>
      <c r="G679" s="346"/>
      <c r="H679" s="346"/>
      <c r="I679" s="346"/>
      <c r="J679" s="346"/>
      <c r="K679" s="346"/>
      <c r="L679" s="346"/>
      <c r="M679" s="346"/>
      <c r="N679" s="346"/>
      <c r="O679" s="346"/>
      <c r="P679" s="346"/>
      <c r="Q679" s="346"/>
      <c r="R679" s="346"/>
      <c r="S679" s="346"/>
      <c r="T679" s="347"/>
      <c r="U679" s="345"/>
      <c r="V679" s="317"/>
      <c r="W679" s="318"/>
      <c r="X679" s="288"/>
      <c r="Y679" s="220"/>
      <c r="Z679" s="220"/>
      <c r="AA679" s="220"/>
      <c r="AB679" s="220"/>
      <c r="AC679" s="220"/>
      <c r="AD679" s="220"/>
      <c r="AE679" s="220"/>
      <c r="AF679" s="220"/>
      <c r="AG679" s="220"/>
      <c r="AH679" s="220"/>
      <c r="AI679" s="308"/>
      <c r="AJ679" s="220"/>
      <c r="AK679" s="220"/>
      <c r="AL679" s="220"/>
      <c r="AM679" s="220"/>
      <c r="AN679" s="220"/>
      <c r="AO679" s="220"/>
      <c r="AP679" s="220"/>
      <c r="AQ679" s="220"/>
      <c r="AR679" s="220"/>
      <c r="AS679" s="220"/>
      <c r="AT679" s="220"/>
      <c r="AU679" s="220"/>
      <c r="AV679" s="220"/>
      <c r="AW679" s="220"/>
      <c r="AX679" s="220"/>
      <c r="AY679" s="220"/>
      <c r="AZ679" s="220"/>
      <c r="BA679" s="220"/>
      <c r="BB679" s="220"/>
    </row>
    <row r="680">
      <c r="A680" s="240"/>
      <c r="B680" s="319"/>
      <c r="C680" s="346"/>
      <c r="D680" s="346"/>
      <c r="E680" s="346"/>
      <c r="F680" s="346"/>
      <c r="G680" s="346"/>
      <c r="H680" s="346"/>
      <c r="I680" s="346"/>
      <c r="J680" s="346"/>
      <c r="K680" s="346"/>
      <c r="L680" s="346"/>
      <c r="M680" s="346"/>
      <c r="N680" s="346"/>
      <c r="O680" s="346"/>
      <c r="P680" s="346"/>
      <c r="Q680" s="346"/>
      <c r="R680" s="346"/>
      <c r="S680" s="346"/>
      <c r="T680" s="347"/>
      <c r="U680" s="345"/>
      <c r="V680" s="317"/>
      <c r="W680" s="318"/>
      <c r="X680" s="288"/>
      <c r="Y680" s="220"/>
      <c r="Z680" s="220"/>
      <c r="AA680" s="220"/>
      <c r="AB680" s="220"/>
      <c r="AC680" s="220"/>
      <c r="AD680" s="220"/>
      <c r="AE680" s="220"/>
      <c r="AF680" s="220"/>
      <c r="AG680" s="220"/>
      <c r="AH680" s="220"/>
      <c r="AI680" s="308"/>
      <c r="AJ680" s="220"/>
      <c r="AK680" s="220"/>
      <c r="AL680" s="220"/>
      <c r="AM680" s="220"/>
      <c r="AN680" s="220"/>
      <c r="AO680" s="220"/>
      <c r="AP680" s="220"/>
      <c r="AQ680" s="220"/>
      <c r="AR680" s="220"/>
      <c r="AS680" s="220"/>
      <c r="AT680" s="220"/>
      <c r="AU680" s="220"/>
      <c r="AV680" s="220"/>
      <c r="AW680" s="220"/>
      <c r="AX680" s="220"/>
      <c r="AY680" s="220"/>
      <c r="AZ680" s="220"/>
      <c r="BA680" s="220"/>
      <c r="BB680" s="220"/>
    </row>
    <row r="681">
      <c r="A681" s="240"/>
      <c r="B681" s="319"/>
      <c r="C681" s="346"/>
      <c r="D681" s="346"/>
      <c r="E681" s="346"/>
      <c r="F681" s="346"/>
      <c r="G681" s="346"/>
      <c r="H681" s="346"/>
      <c r="I681" s="346"/>
      <c r="J681" s="346"/>
      <c r="K681" s="346"/>
      <c r="L681" s="346"/>
      <c r="M681" s="346"/>
      <c r="N681" s="346"/>
      <c r="O681" s="346"/>
      <c r="P681" s="346"/>
      <c r="Q681" s="346"/>
      <c r="R681" s="346"/>
      <c r="S681" s="346"/>
      <c r="T681" s="347"/>
      <c r="U681" s="345"/>
      <c r="V681" s="317"/>
      <c r="W681" s="318"/>
      <c r="X681" s="288"/>
      <c r="Y681" s="220"/>
      <c r="Z681" s="220"/>
      <c r="AA681" s="220"/>
      <c r="AB681" s="220"/>
      <c r="AC681" s="220"/>
      <c r="AD681" s="220"/>
      <c r="AE681" s="220"/>
      <c r="AF681" s="220"/>
      <c r="AG681" s="220"/>
      <c r="AH681" s="220"/>
      <c r="AI681" s="308"/>
      <c r="AJ681" s="220"/>
      <c r="AK681" s="220"/>
      <c r="AL681" s="220"/>
      <c r="AM681" s="220"/>
      <c r="AN681" s="220"/>
      <c r="AO681" s="220"/>
      <c r="AP681" s="220"/>
      <c r="AQ681" s="220"/>
      <c r="AR681" s="220"/>
      <c r="AS681" s="220"/>
      <c r="AT681" s="220"/>
      <c r="AU681" s="220"/>
      <c r="AV681" s="220"/>
      <c r="AW681" s="220"/>
      <c r="AX681" s="220"/>
      <c r="AY681" s="220"/>
      <c r="AZ681" s="220"/>
      <c r="BA681" s="220"/>
      <c r="BB681" s="220"/>
    </row>
    <row r="682">
      <c r="A682" s="240"/>
      <c r="B682" s="319"/>
      <c r="C682" s="346"/>
      <c r="D682" s="346"/>
      <c r="E682" s="346"/>
      <c r="F682" s="346"/>
      <c r="G682" s="346"/>
      <c r="H682" s="346"/>
      <c r="I682" s="346"/>
      <c r="J682" s="346"/>
      <c r="K682" s="346"/>
      <c r="L682" s="346"/>
      <c r="M682" s="346"/>
      <c r="N682" s="346"/>
      <c r="O682" s="346"/>
      <c r="P682" s="346"/>
      <c r="Q682" s="346"/>
      <c r="R682" s="346"/>
      <c r="S682" s="346"/>
      <c r="T682" s="347"/>
      <c r="U682" s="345"/>
      <c r="V682" s="317"/>
      <c r="W682" s="318"/>
      <c r="X682" s="288"/>
      <c r="Y682" s="220"/>
      <c r="Z682" s="220"/>
      <c r="AA682" s="220"/>
      <c r="AB682" s="220"/>
      <c r="AC682" s="220"/>
      <c r="AD682" s="220"/>
      <c r="AE682" s="220"/>
      <c r="AF682" s="220"/>
      <c r="AG682" s="220"/>
      <c r="AH682" s="220"/>
      <c r="AI682" s="308"/>
      <c r="AJ682" s="220"/>
      <c r="AK682" s="220"/>
      <c r="AL682" s="220"/>
      <c r="AM682" s="220"/>
      <c r="AN682" s="220"/>
      <c r="AO682" s="220"/>
      <c r="AP682" s="220"/>
      <c r="AQ682" s="220"/>
      <c r="AR682" s="220"/>
      <c r="AS682" s="220"/>
      <c r="AT682" s="220"/>
      <c r="AU682" s="220"/>
      <c r="AV682" s="220"/>
      <c r="AW682" s="220"/>
      <c r="AX682" s="220"/>
      <c r="AY682" s="220"/>
      <c r="AZ682" s="220"/>
      <c r="BA682" s="220"/>
      <c r="BB682" s="220"/>
    </row>
    <row r="683">
      <c r="A683" s="240"/>
      <c r="B683" s="319"/>
      <c r="C683" s="346"/>
      <c r="D683" s="346"/>
      <c r="E683" s="346"/>
      <c r="F683" s="346"/>
      <c r="G683" s="346"/>
      <c r="H683" s="346"/>
      <c r="I683" s="346"/>
      <c r="J683" s="346"/>
      <c r="K683" s="346"/>
      <c r="L683" s="346"/>
      <c r="M683" s="346"/>
      <c r="N683" s="346"/>
      <c r="O683" s="346"/>
      <c r="P683" s="346"/>
      <c r="Q683" s="346"/>
      <c r="R683" s="346"/>
      <c r="S683" s="346"/>
      <c r="T683" s="347"/>
      <c r="U683" s="345"/>
      <c r="V683" s="317"/>
      <c r="W683" s="318"/>
      <c r="X683" s="288"/>
      <c r="Y683" s="220"/>
      <c r="Z683" s="220"/>
      <c r="AA683" s="220"/>
      <c r="AB683" s="220"/>
      <c r="AC683" s="220"/>
      <c r="AD683" s="220"/>
      <c r="AE683" s="220"/>
      <c r="AF683" s="220"/>
      <c r="AG683" s="220"/>
      <c r="AH683" s="220"/>
      <c r="AI683" s="308"/>
      <c r="AJ683" s="220"/>
      <c r="AK683" s="220"/>
      <c r="AL683" s="220"/>
      <c r="AM683" s="220"/>
      <c r="AN683" s="220"/>
      <c r="AO683" s="220"/>
      <c r="AP683" s="220"/>
      <c r="AQ683" s="220"/>
      <c r="AR683" s="220"/>
      <c r="AS683" s="220"/>
      <c r="AT683" s="220"/>
      <c r="AU683" s="220"/>
      <c r="AV683" s="220"/>
      <c r="AW683" s="220"/>
      <c r="AX683" s="220"/>
      <c r="AY683" s="220"/>
      <c r="AZ683" s="220"/>
      <c r="BA683" s="220"/>
      <c r="BB683" s="220"/>
    </row>
    <row r="684">
      <c r="A684" s="240"/>
      <c r="B684" s="319"/>
      <c r="C684" s="346"/>
      <c r="D684" s="346"/>
      <c r="E684" s="346"/>
      <c r="F684" s="346"/>
      <c r="G684" s="346"/>
      <c r="H684" s="346"/>
      <c r="I684" s="346"/>
      <c r="J684" s="346"/>
      <c r="K684" s="346"/>
      <c r="L684" s="346"/>
      <c r="M684" s="346"/>
      <c r="N684" s="346"/>
      <c r="O684" s="346"/>
      <c r="P684" s="346"/>
      <c r="Q684" s="346"/>
      <c r="R684" s="346"/>
      <c r="S684" s="346"/>
      <c r="T684" s="347"/>
      <c r="U684" s="345"/>
      <c r="V684" s="317"/>
      <c r="W684" s="318"/>
      <c r="X684" s="288"/>
      <c r="Y684" s="220"/>
      <c r="Z684" s="220"/>
      <c r="AA684" s="220"/>
      <c r="AB684" s="220"/>
      <c r="AC684" s="220"/>
      <c r="AD684" s="220"/>
      <c r="AE684" s="220"/>
      <c r="AF684" s="220"/>
      <c r="AG684" s="220"/>
      <c r="AH684" s="220"/>
      <c r="AI684" s="308"/>
      <c r="AJ684" s="220"/>
      <c r="AK684" s="220"/>
      <c r="AL684" s="220"/>
      <c r="AM684" s="220"/>
      <c r="AN684" s="220"/>
      <c r="AO684" s="220"/>
      <c r="AP684" s="220"/>
      <c r="AQ684" s="220"/>
      <c r="AR684" s="220"/>
      <c r="AS684" s="220"/>
      <c r="AT684" s="220"/>
      <c r="AU684" s="220"/>
      <c r="AV684" s="220"/>
      <c r="AW684" s="220"/>
      <c r="AX684" s="220"/>
      <c r="AY684" s="220"/>
      <c r="AZ684" s="220"/>
      <c r="BA684" s="220"/>
      <c r="BB684" s="220"/>
    </row>
    <row r="685">
      <c r="A685" s="240"/>
      <c r="B685" s="319"/>
      <c r="C685" s="346"/>
      <c r="D685" s="346"/>
      <c r="E685" s="346"/>
      <c r="F685" s="346"/>
      <c r="G685" s="346"/>
      <c r="H685" s="346"/>
      <c r="I685" s="346"/>
      <c r="J685" s="346"/>
      <c r="K685" s="346"/>
      <c r="L685" s="346"/>
      <c r="M685" s="346"/>
      <c r="N685" s="346"/>
      <c r="O685" s="346"/>
      <c r="P685" s="346"/>
      <c r="Q685" s="346"/>
      <c r="R685" s="346"/>
      <c r="S685" s="346"/>
      <c r="T685" s="347"/>
      <c r="U685" s="345"/>
      <c r="V685" s="317"/>
      <c r="W685" s="318"/>
      <c r="X685" s="288"/>
      <c r="Y685" s="220"/>
      <c r="Z685" s="220"/>
      <c r="AA685" s="220"/>
      <c r="AB685" s="220"/>
      <c r="AC685" s="220"/>
      <c r="AD685" s="220"/>
      <c r="AE685" s="220"/>
      <c r="AF685" s="220"/>
      <c r="AG685" s="220"/>
      <c r="AH685" s="220"/>
      <c r="AI685" s="308"/>
      <c r="AJ685" s="220"/>
      <c r="AK685" s="220"/>
      <c r="AL685" s="220"/>
      <c r="AM685" s="220"/>
      <c r="AN685" s="220"/>
      <c r="AO685" s="220"/>
      <c r="AP685" s="220"/>
      <c r="AQ685" s="220"/>
      <c r="AR685" s="220"/>
      <c r="AS685" s="220"/>
      <c r="AT685" s="220"/>
      <c r="AU685" s="220"/>
      <c r="AV685" s="220"/>
      <c r="AW685" s="220"/>
      <c r="AX685" s="220"/>
      <c r="AY685" s="220"/>
      <c r="AZ685" s="220"/>
      <c r="BA685" s="220"/>
      <c r="BB685" s="220"/>
    </row>
    <row r="686">
      <c r="A686" s="240"/>
      <c r="B686" s="319"/>
      <c r="C686" s="346"/>
      <c r="D686" s="346"/>
      <c r="E686" s="346"/>
      <c r="F686" s="346"/>
      <c r="G686" s="346"/>
      <c r="H686" s="346"/>
      <c r="I686" s="346"/>
      <c r="J686" s="346"/>
      <c r="K686" s="346"/>
      <c r="L686" s="346"/>
      <c r="M686" s="346"/>
      <c r="N686" s="346"/>
      <c r="O686" s="346"/>
      <c r="P686" s="346"/>
      <c r="Q686" s="346"/>
      <c r="R686" s="346"/>
      <c r="S686" s="346"/>
      <c r="T686" s="347"/>
      <c r="U686" s="345"/>
      <c r="V686" s="317"/>
      <c r="W686" s="318"/>
      <c r="X686" s="288"/>
      <c r="Y686" s="220"/>
      <c r="Z686" s="220"/>
      <c r="AA686" s="220"/>
      <c r="AB686" s="220"/>
      <c r="AC686" s="220"/>
      <c r="AD686" s="220"/>
      <c r="AE686" s="220"/>
      <c r="AF686" s="220"/>
      <c r="AG686" s="220"/>
      <c r="AH686" s="220"/>
      <c r="AI686" s="308"/>
      <c r="AJ686" s="220"/>
      <c r="AK686" s="220"/>
      <c r="AL686" s="220"/>
      <c r="AM686" s="220"/>
      <c r="AN686" s="220"/>
      <c r="AO686" s="220"/>
      <c r="AP686" s="220"/>
      <c r="AQ686" s="220"/>
      <c r="AR686" s="220"/>
      <c r="AS686" s="220"/>
      <c r="AT686" s="220"/>
      <c r="AU686" s="220"/>
      <c r="AV686" s="220"/>
      <c r="AW686" s="220"/>
      <c r="AX686" s="220"/>
      <c r="AY686" s="220"/>
      <c r="AZ686" s="220"/>
      <c r="BA686" s="220"/>
      <c r="BB686" s="220"/>
    </row>
    <row r="687">
      <c r="A687" s="240"/>
      <c r="B687" s="319"/>
      <c r="C687" s="346"/>
      <c r="D687" s="346"/>
      <c r="E687" s="346"/>
      <c r="F687" s="346"/>
      <c r="G687" s="346"/>
      <c r="H687" s="346"/>
      <c r="I687" s="346"/>
      <c r="J687" s="346"/>
      <c r="K687" s="346"/>
      <c r="L687" s="346"/>
      <c r="M687" s="346"/>
      <c r="N687" s="346"/>
      <c r="O687" s="346"/>
      <c r="P687" s="346"/>
      <c r="Q687" s="346"/>
      <c r="R687" s="346"/>
      <c r="S687" s="346"/>
      <c r="T687" s="347"/>
      <c r="U687" s="345"/>
      <c r="V687" s="317"/>
      <c r="W687" s="318"/>
      <c r="X687" s="288"/>
      <c r="Y687" s="220"/>
      <c r="Z687" s="220"/>
      <c r="AA687" s="220"/>
      <c r="AB687" s="220"/>
      <c r="AC687" s="220"/>
      <c r="AD687" s="220"/>
      <c r="AE687" s="220"/>
      <c r="AF687" s="220"/>
      <c r="AG687" s="220"/>
      <c r="AH687" s="220"/>
      <c r="AI687" s="308"/>
      <c r="AJ687" s="220"/>
      <c r="AK687" s="220"/>
      <c r="AL687" s="220"/>
      <c r="AM687" s="220"/>
      <c r="AN687" s="220"/>
      <c r="AO687" s="220"/>
      <c r="AP687" s="220"/>
      <c r="AQ687" s="220"/>
      <c r="AR687" s="220"/>
      <c r="AS687" s="220"/>
      <c r="AT687" s="220"/>
      <c r="AU687" s="220"/>
      <c r="AV687" s="220"/>
      <c r="AW687" s="220"/>
      <c r="AX687" s="220"/>
      <c r="AY687" s="220"/>
      <c r="AZ687" s="220"/>
      <c r="BA687" s="220"/>
      <c r="BB687" s="220"/>
    </row>
    <row r="688">
      <c r="A688" s="240"/>
      <c r="B688" s="319"/>
      <c r="C688" s="346"/>
      <c r="D688" s="346"/>
      <c r="E688" s="346"/>
      <c r="F688" s="346"/>
      <c r="G688" s="346"/>
      <c r="H688" s="346"/>
      <c r="I688" s="346"/>
      <c r="J688" s="346"/>
      <c r="K688" s="346"/>
      <c r="L688" s="346"/>
      <c r="M688" s="346"/>
      <c r="N688" s="346"/>
      <c r="O688" s="346"/>
      <c r="P688" s="346"/>
      <c r="Q688" s="346"/>
      <c r="R688" s="346"/>
      <c r="S688" s="346"/>
      <c r="T688" s="347"/>
      <c r="U688" s="345"/>
      <c r="V688" s="317"/>
      <c r="W688" s="318"/>
      <c r="X688" s="288"/>
      <c r="Y688" s="220"/>
      <c r="Z688" s="220"/>
      <c r="AA688" s="220"/>
      <c r="AB688" s="220"/>
      <c r="AC688" s="220"/>
      <c r="AD688" s="220"/>
      <c r="AE688" s="220"/>
      <c r="AF688" s="220"/>
      <c r="AG688" s="220"/>
      <c r="AH688" s="220"/>
      <c r="AI688" s="308"/>
      <c r="AJ688" s="220"/>
      <c r="AK688" s="220"/>
      <c r="AL688" s="220"/>
      <c r="AM688" s="220"/>
      <c r="AN688" s="220"/>
      <c r="AO688" s="220"/>
      <c r="AP688" s="220"/>
      <c r="AQ688" s="220"/>
      <c r="AR688" s="220"/>
      <c r="AS688" s="220"/>
      <c r="AT688" s="220"/>
      <c r="AU688" s="220"/>
      <c r="AV688" s="220"/>
      <c r="AW688" s="220"/>
      <c r="AX688" s="220"/>
      <c r="AY688" s="220"/>
      <c r="AZ688" s="220"/>
      <c r="BA688" s="220"/>
      <c r="BB688" s="220"/>
    </row>
    <row r="689">
      <c r="A689" s="240"/>
      <c r="B689" s="319"/>
      <c r="C689" s="346"/>
      <c r="D689" s="346"/>
      <c r="E689" s="346"/>
      <c r="F689" s="346"/>
      <c r="G689" s="346"/>
      <c r="H689" s="346"/>
      <c r="I689" s="346"/>
      <c r="J689" s="346"/>
      <c r="K689" s="346"/>
      <c r="L689" s="346"/>
      <c r="M689" s="346"/>
      <c r="N689" s="346"/>
      <c r="O689" s="346"/>
      <c r="P689" s="346"/>
      <c r="Q689" s="346"/>
      <c r="R689" s="346"/>
      <c r="S689" s="346"/>
      <c r="T689" s="347"/>
      <c r="U689" s="345"/>
      <c r="V689" s="317"/>
      <c r="W689" s="318"/>
      <c r="X689" s="288"/>
      <c r="Y689" s="220"/>
      <c r="Z689" s="220"/>
      <c r="AA689" s="220"/>
      <c r="AB689" s="220"/>
      <c r="AC689" s="220"/>
      <c r="AD689" s="220"/>
      <c r="AE689" s="220"/>
      <c r="AF689" s="220"/>
      <c r="AG689" s="220"/>
      <c r="AH689" s="220"/>
      <c r="AI689" s="308"/>
      <c r="AJ689" s="220"/>
      <c r="AK689" s="220"/>
      <c r="AL689" s="220"/>
      <c r="AM689" s="220"/>
      <c r="AN689" s="220"/>
      <c r="AO689" s="220"/>
      <c r="AP689" s="220"/>
      <c r="AQ689" s="220"/>
      <c r="AR689" s="220"/>
      <c r="AS689" s="220"/>
      <c r="AT689" s="220"/>
      <c r="AU689" s="220"/>
      <c r="AV689" s="220"/>
      <c r="AW689" s="220"/>
      <c r="AX689" s="220"/>
      <c r="AY689" s="220"/>
      <c r="AZ689" s="220"/>
      <c r="BA689" s="220"/>
      <c r="BB689" s="220"/>
    </row>
    <row r="690">
      <c r="A690" s="240"/>
      <c r="B690" s="319"/>
      <c r="C690" s="346"/>
      <c r="D690" s="346"/>
      <c r="E690" s="346"/>
      <c r="F690" s="346"/>
      <c r="G690" s="346"/>
      <c r="H690" s="346"/>
      <c r="I690" s="346"/>
      <c r="J690" s="346"/>
      <c r="K690" s="346"/>
      <c r="L690" s="346"/>
      <c r="M690" s="346"/>
      <c r="N690" s="346"/>
      <c r="O690" s="346"/>
      <c r="P690" s="346"/>
      <c r="Q690" s="346"/>
      <c r="R690" s="346"/>
      <c r="S690" s="346"/>
      <c r="T690" s="347"/>
      <c r="U690" s="345"/>
      <c r="V690" s="317"/>
      <c r="W690" s="318"/>
      <c r="X690" s="288"/>
      <c r="Y690" s="220"/>
      <c r="Z690" s="220"/>
      <c r="AA690" s="220"/>
      <c r="AB690" s="220"/>
      <c r="AC690" s="220"/>
      <c r="AD690" s="220"/>
      <c r="AE690" s="220"/>
      <c r="AF690" s="220"/>
      <c r="AG690" s="220"/>
      <c r="AH690" s="220"/>
      <c r="AI690" s="308"/>
      <c r="AJ690" s="220"/>
      <c r="AK690" s="220"/>
      <c r="AL690" s="220"/>
      <c r="AM690" s="220"/>
      <c r="AN690" s="220"/>
      <c r="AO690" s="220"/>
      <c r="AP690" s="220"/>
      <c r="AQ690" s="220"/>
      <c r="AR690" s="220"/>
      <c r="AS690" s="220"/>
      <c r="AT690" s="220"/>
      <c r="AU690" s="220"/>
      <c r="AV690" s="220"/>
      <c r="AW690" s="220"/>
      <c r="AX690" s="220"/>
      <c r="AY690" s="220"/>
      <c r="AZ690" s="220"/>
      <c r="BA690" s="220"/>
      <c r="BB690" s="220"/>
    </row>
    <row r="691">
      <c r="A691" s="240"/>
      <c r="B691" s="319"/>
      <c r="C691" s="346"/>
      <c r="D691" s="346"/>
      <c r="E691" s="346"/>
      <c r="F691" s="346"/>
      <c r="G691" s="346"/>
      <c r="H691" s="346"/>
      <c r="I691" s="346"/>
      <c r="J691" s="346"/>
      <c r="K691" s="346"/>
      <c r="L691" s="346"/>
      <c r="M691" s="346"/>
      <c r="N691" s="346"/>
      <c r="O691" s="346"/>
      <c r="P691" s="346"/>
      <c r="Q691" s="346"/>
      <c r="R691" s="346"/>
      <c r="S691" s="346"/>
      <c r="T691" s="347"/>
      <c r="U691" s="345"/>
      <c r="V691" s="317"/>
      <c r="W691" s="318"/>
      <c r="X691" s="288"/>
      <c r="Y691" s="220"/>
      <c r="Z691" s="220"/>
      <c r="AA691" s="220"/>
      <c r="AB691" s="220"/>
      <c r="AC691" s="220"/>
      <c r="AD691" s="220"/>
      <c r="AE691" s="220"/>
      <c r="AF691" s="220"/>
      <c r="AG691" s="220"/>
      <c r="AH691" s="220"/>
      <c r="AI691" s="308"/>
      <c r="AJ691" s="220"/>
      <c r="AK691" s="220"/>
      <c r="AL691" s="220"/>
      <c r="AM691" s="220"/>
      <c r="AN691" s="220"/>
      <c r="AO691" s="220"/>
      <c r="AP691" s="220"/>
      <c r="AQ691" s="220"/>
      <c r="AR691" s="220"/>
      <c r="AS691" s="220"/>
      <c r="AT691" s="220"/>
      <c r="AU691" s="220"/>
      <c r="AV691" s="220"/>
      <c r="AW691" s="220"/>
      <c r="AX691" s="220"/>
      <c r="AY691" s="220"/>
      <c r="AZ691" s="220"/>
      <c r="BA691" s="220"/>
      <c r="BB691" s="220"/>
    </row>
    <row r="692">
      <c r="A692" s="240"/>
      <c r="B692" s="319"/>
      <c r="C692" s="346"/>
      <c r="D692" s="346"/>
      <c r="E692" s="346"/>
      <c r="F692" s="346"/>
      <c r="G692" s="346"/>
      <c r="H692" s="346"/>
      <c r="I692" s="346"/>
      <c r="J692" s="346"/>
      <c r="K692" s="346"/>
      <c r="L692" s="346"/>
      <c r="M692" s="346"/>
      <c r="N692" s="346"/>
      <c r="O692" s="346"/>
      <c r="P692" s="346"/>
      <c r="Q692" s="346"/>
      <c r="R692" s="346"/>
      <c r="S692" s="346"/>
      <c r="T692" s="347"/>
      <c r="U692" s="345"/>
      <c r="V692" s="317"/>
      <c r="W692" s="318"/>
      <c r="X692" s="288"/>
      <c r="Y692" s="220"/>
      <c r="Z692" s="220"/>
      <c r="AA692" s="220"/>
      <c r="AB692" s="220"/>
      <c r="AC692" s="220"/>
      <c r="AD692" s="220"/>
      <c r="AE692" s="220"/>
      <c r="AF692" s="220"/>
      <c r="AG692" s="220"/>
      <c r="AH692" s="220"/>
      <c r="AI692" s="308"/>
      <c r="AJ692" s="220"/>
      <c r="AK692" s="220"/>
      <c r="AL692" s="220"/>
      <c r="AM692" s="220"/>
      <c r="AN692" s="220"/>
      <c r="AO692" s="220"/>
      <c r="AP692" s="220"/>
      <c r="AQ692" s="220"/>
      <c r="AR692" s="220"/>
      <c r="AS692" s="220"/>
      <c r="AT692" s="220"/>
      <c r="AU692" s="220"/>
      <c r="AV692" s="220"/>
      <c r="AW692" s="220"/>
      <c r="AX692" s="220"/>
      <c r="AY692" s="220"/>
      <c r="AZ692" s="220"/>
      <c r="BA692" s="220"/>
      <c r="BB692" s="220"/>
    </row>
    <row r="693">
      <c r="A693" s="240"/>
      <c r="B693" s="319"/>
      <c r="C693" s="346"/>
      <c r="D693" s="346"/>
      <c r="E693" s="346"/>
      <c r="F693" s="346"/>
      <c r="G693" s="346"/>
      <c r="H693" s="346"/>
      <c r="I693" s="346"/>
      <c r="J693" s="346"/>
      <c r="K693" s="346"/>
      <c r="L693" s="346"/>
      <c r="M693" s="346"/>
      <c r="N693" s="346"/>
      <c r="O693" s="346"/>
      <c r="P693" s="346"/>
      <c r="Q693" s="346"/>
      <c r="R693" s="346"/>
      <c r="S693" s="346"/>
      <c r="T693" s="347"/>
      <c r="U693" s="345"/>
      <c r="V693" s="317"/>
      <c r="W693" s="318"/>
      <c r="X693" s="288"/>
      <c r="Y693" s="220"/>
      <c r="Z693" s="220"/>
      <c r="AA693" s="220"/>
      <c r="AB693" s="220"/>
      <c r="AC693" s="220"/>
      <c r="AD693" s="220"/>
      <c r="AE693" s="220"/>
      <c r="AF693" s="220"/>
      <c r="AG693" s="220"/>
      <c r="AH693" s="220"/>
      <c r="AI693" s="308"/>
      <c r="AJ693" s="220"/>
      <c r="AK693" s="220"/>
      <c r="AL693" s="220"/>
      <c r="AM693" s="220"/>
      <c r="AN693" s="220"/>
      <c r="AO693" s="220"/>
      <c r="AP693" s="220"/>
      <c r="AQ693" s="220"/>
      <c r="AR693" s="220"/>
      <c r="AS693" s="220"/>
      <c r="AT693" s="220"/>
      <c r="AU693" s="220"/>
      <c r="AV693" s="220"/>
      <c r="AW693" s="220"/>
      <c r="AX693" s="220"/>
      <c r="AY693" s="220"/>
      <c r="AZ693" s="220"/>
      <c r="BA693" s="220"/>
      <c r="BB693" s="220"/>
    </row>
    <row r="694">
      <c r="A694" s="240"/>
      <c r="B694" s="319"/>
      <c r="C694" s="346"/>
      <c r="D694" s="346"/>
      <c r="E694" s="346"/>
      <c r="F694" s="346"/>
      <c r="G694" s="346"/>
      <c r="H694" s="346"/>
      <c r="I694" s="346"/>
      <c r="J694" s="346"/>
      <c r="K694" s="346"/>
      <c r="L694" s="346"/>
      <c r="M694" s="346"/>
      <c r="N694" s="346"/>
      <c r="O694" s="346"/>
      <c r="P694" s="346"/>
      <c r="Q694" s="346"/>
      <c r="R694" s="346"/>
      <c r="S694" s="346"/>
      <c r="T694" s="347"/>
      <c r="U694" s="345"/>
      <c r="V694" s="317"/>
      <c r="W694" s="318"/>
      <c r="X694" s="288"/>
      <c r="Y694" s="220"/>
      <c r="Z694" s="220"/>
      <c r="AA694" s="220"/>
      <c r="AB694" s="220"/>
      <c r="AC694" s="220"/>
      <c r="AD694" s="220"/>
      <c r="AE694" s="220"/>
      <c r="AF694" s="220"/>
      <c r="AG694" s="220"/>
      <c r="AH694" s="220"/>
      <c r="AI694" s="308"/>
      <c r="AJ694" s="220"/>
      <c r="AK694" s="220"/>
      <c r="AL694" s="220"/>
      <c r="AM694" s="220"/>
      <c r="AN694" s="220"/>
      <c r="AO694" s="220"/>
      <c r="AP694" s="220"/>
      <c r="AQ694" s="220"/>
      <c r="AR694" s="220"/>
      <c r="AS694" s="220"/>
      <c r="AT694" s="220"/>
      <c r="AU694" s="220"/>
      <c r="AV694" s="220"/>
      <c r="AW694" s="220"/>
      <c r="AX694" s="220"/>
      <c r="AY694" s="220"/>
      <c r="AZ694" s="220"/>
      <c r="BA694" s="220"/>
      <c r="BB694" s="220"/>
    </row>
    <row r="695">
      <c r="A695" s="240"/>
      <c r="B695" s="319"/>
      <c r="C695" s="346"/>
      <c r="D695" s="346"/>
      <c r="E695" s="346"/>
      <c r="F695" s="346"/>
      <c r="G695" s="346"/>
      <c r="H695" s="346"/>
      <c r="I695" s="346"/>
      <c r="J695" s="346"/>
      <c r="K695" s="346"/>
      <c r="L695" s="346"/>
      <c r="M695" s="346"/>
      <c r="N695" s="346"/>
      <c r="O695" s="346"/>
      <c r="P695" s="346"/>
      <c r="Q695" s="346"/>
      <c r="R695" s="346"/>
      <c r="S695" s="346"/>
      <c r="T695" s="347"/>
      <c r="U695" s="345"/>
      <c r="V695" s="317"/>
      <c r="W695" s="318"/>
      <c r="X695" s="288"/>
      <c r="Y695" s="220"/>
      <c r="Z695" s="220"/>
      <c r="AA695" s="220"/>
      <c r="AB695" s="220"/>
      <c r="AC695" s="220"/>
      <c r="AD695" s="220"/>
      <c r="AE695" s="220"/>
      <c r="AF695" s="220"/>
      <c r="AG695" s="220"/>
      <c r="AH695" s="220"/>
      <c r="AI695" s="308"/>
      <c r="AJ695" s="220"/>
      <c r="AK695" s="220"/>
      <c r="AL695" s="220"/>
      <c r="AM695" s="220"/>
      <c r="AN695" s="220"/>
      <c r="AO695" s="220"/>
      <c r="AP695" s="220"/>
      <c r="AQ695" s="220"/>
      <c r="AR695" s="220"/>
      <c r="AS695" s="220"/>
      <c r="AT695" s="220"/>
      <c r="AU695" s="220"/>
      <c r="AV695" s="220"/>
      <c r="AW695" s="220"/>
      <c r="AX695" s="220"/>
      <c r="AY695" s="220"/>
      <c r="AZ695" s="220"/>
      <c r="BA695" s="220"/>
      <c r="BB695" s="220"/>
    </row>
    <row r="696">
      <c r="A696" s="240"/>
      <c r="B696" s="319"/>
      <c r="C696" s="346"/>
      <c r="D696" s="346"/>
      <c r="E696" s="346"/>
      <c r="F696" s="346"/>
      <c r="G696" s="346"/>
      <c r="H696" s="346"/>
      <c r="I696" s="346"/>
      <c r="J696" s="346"/>
      <c r="K696" s="346"/>
      <c r="L696" s="346"/>
      <c r="M696" s="346"/>
      <c r="N696" s="346"/>
      <c r="O696" s="346"/>
      <c r="P696" s="346"/>
      <c r="Q696" s="346"/>
      <c r="R696" s="346"/>
      <c r="S696" s="346"/>
      <c r="T696" s="347"/>
      <c r="U696" s="345"/>
      <c r="V696" s="317"/>
      <c r="W696" s="318"/>
      <c r="X696" s="288"/>
      <c r="Y696" s="220"/>
      <c r="Z696" s="220"/>
      <c r="AA696" s="220"/>
      <c r="AB696" s="220"/>
      <c r="AC696" s="220"/>
      <c r="AD696" s="220"/>
      <c r="AE696" s="220"/>
      <c r="AF696" s="220"/>
      <c r="AG696" s="220"/>
      <c r="AH696" s="220"/>
      <c r="AI696" s="308"/>
      <c r="AJ696" s="220"/>
      <c r="AK696" s="220"/>
      <c r="AL696" s="220"/>
      <c r="AM696" s="220"/>
      <c r="AN696" s="220"/>
      <c r="AO696" s="220"/>
      <c r="AP696" s="220"/>
      <c r="AQ696" s="220"/>
      <c r="AR696" s="220"/>
      <c r="AS696" s="220"/>
      <c r="AT696" s="220"/>
      <c r="AU696" s="220"/>
      <c r="AV696" s="220"/>
      <c r="AW696" s="220"/>
      <c r="AX696" s="220"/>
      <c r="AY696" s="220"/>
      <c r="AZ696" s="220"/>
      <c r="BA696" s="220"/>
      <c r="BB696" s="220"/>
    </row>
    <row r="697">
      <c r="A697" s="240"/>
      <c r="B697" s="319"/>
      <c r="C697" s="346"/>
      <c r="D697" s="346"/>
      <c r="E697" s="346"/>
      <c r="F697" s="346"/>
      <c r="G697" s="346"/>
      <c r="H697" s="346"/>
      <c r="I697" s="346"/>
      <c r="J697" s="346"/>
      <c r="K697" s="346"/>
      <c r="L697" s="346"/>
      <c r="M697" s="346"/>
      <c r="N697" s="346"/>
      <c r="O697" s="346"/>
      <c r="P697" s="346"/>
      <c r="Q697" s="346"/>
      <c r="R697" s="346"/>
      <c r="S697" s="346"/>
      <c r="T697" s="347"/>
      <c r="U697" s="345"/>
      <c r="V697" s="317"/>
      <c r="W697" s="318"/>
      <c r="X697" s="288"/>
      <c r="Y697" s="220"/>
      <c r="Z697" s="220"/>
      <c r="AA697" s="220"/>
      <c r="AB697" s="220"/>
      <c r="AC697" s="220"/>
      <c r="AD697" s="220"/>
      <c r="AE697" s="220"/>
      <c r="AF697" s="220"/>
      <c r="AG697" s="220"/>
      <c r="AH697" s="220"/>
      <c r="AI697" s="308"/>
      <c r="AJ697" s="220"/>
      <c r="AK697" s="220"/>
      <c r="AL697" s="220"/>
      <c r="AM697" s="220"/>
      <c r="AN697" s="220"/>
      <c r="AO697" s="220"/>
      <c r="AP697" s="220"/>
      <c r="AQ697" s="220"/>
      <c r="AR697" s="220"/>
      <c r="AS697" s="220"/>
      <c r="AT697" s="220"/>
      <c r="AU697" s="220"/>
      <c r="AV697" s="220"/>
      <c r="AW697" s="220"/>
      <c r="AX697" s="220"/>
      <c r="AY697" s="220"/>
      <c r="AZ697" s="220"/>
      <c r="BA697" s="220"/>
      <c r="BB697" s="220"/>
    </row>
    <row r="698">
      <c r="A698" s="240"/>
      <c r="B698" s="319"/>
      <c r="C698" s="346"/>
      <c r="D698" s="346"/>
      <c r="E698" s="346"/>
      <c r="F698" s="346"/>
      <c r="G698" s="346"/>
      <c r="H698" s="346"/>
      <c r="I698" s="346"/>
      <c r="J698" s="346"/>
      <c r="K698" s="346"/>
      <c r="L698" s="346"/>
      <c r="M698" s="346"/>
      <c r="N698" s="346"/>
      <c r="O698" s="346"/>
      <c r="P698" s="346"/>
      <c r="Q698" s="346"/>
      <c r="R698" s="346"/>
      <c r="S698" s="346"/>
      <c r="T698" s="347"/>
      <c r="U698" s="345"/>
      <c r="V698" s="317"/>
      <c r="W698" s="318"/>
      <c r="X698" s="288"/>
      <c r="Y698" s="220"/>
      <c r="Z698" s="220"/>
      <c r="AA698" s="220"/>
      <c r="AB698" s="220"/>
      <c r="AC698" s="220"/>
      <c r="AD698" s="220"/>
      <c r="AE698" s="220"/>
      <c r="AF698" s="220"/>
      <c r="AG698" s="220"/>
      <c r="AH698" s="220"/>
      <c r="AI698" s="308"/>
      <c r="AJ698" s="220"/>
      <c r="AK698" s="220"/>
      <c r="AL698" s="220"/>
      <c r="AM698" s="220"/>
      <c r="AN698" s="220"/>
      <c r="AO698" s="220"/>
      <c r="AP698" s="220"/>
      <c r="AQ698" s="220"/>
      <c r="AR698" s="220"/>
      <c r="AS698" s="220"/>
      <c r="AT698" s="220"/>
      <c r="AU698" s="220"/>
      <c r="AV698" s="220"/>
      <c r="AW698" s="220"/>
      <c r="AX698" s="220"/>
      <c r="AY698" s="220"/>
      <c r="AZ698" s="220"/>
      <c r="BA698" s="220"/>
      <c r="BB698" s="220"/>
    </row>
    <row r="699">
      <c r="A699" s="240"/>
      <c r="B699" s="319"/>
      <c r="C699" s="346"/>
      <c r="D699" s="346"/>
      <c r="E699" s="346"/>
      <c r="F699" s="346"/>
      <c r="G699" s="346"/>
      <c r="H699" s="346"/>
      <c r="I699" s="346"/>
      <c r="J699" s="346"/>
      <c r="K699" s="346"/>
      <c r="L699" s="346"/>
      <c r="M699" s="346"/>
      <c r="N699" s="346"/>
      <c r="O699" s="346"/>
      <c r="P699" s="346"/>
      <c r="Q699" s="346"/>
      <c r="R699" s="346"/>
      <c r="S699" s="346"/>
      <c r="T699" s="347"/>
      <c r="U699" s="345"/>
      <c r="V699" s="317"/>
      <c r="W699" s="318"/>
      <c r="X699" s="288"/>
      <c r="Y699" s="220"/>
      <c r="Z699" s="220"/>
      <c r="AA699" s="220"/>
      <c r="AB699" s="220"/>
      <c r="AC699" s="220"/>
      <c r="AD699" s="220"/>
      <c r="AE699" s="220"/>
      <c r="AF699" s="220"/>
      <c r="AG699" s="220"/>
      <c r="AH699" s="220"/>
      <c r="AI699" s="308"/>
      <c r="AJ699" s="220"/>
      <c r="AK699" s="220"/>
      <c r="AL699" s="220"/>
      <c r="AM699" s="220"/>
      <c r="AN699" s="220"/>
      <c r="AO699" s="220"/>
      <c r="AP699" s="220"/>
      <c r="AQ699" s="220"/>
      <c r="AR699" s="220"/>
      <c r="AS699" s="220"/>
      <c r="AT699" s="220"/>
      <c r="AU699" s="220"/>
      <c r="AV699" s="220"/>
      <c r="AW699" s="220"/>
      <c r="AX699" s="220"/>
      <c r="AY699" s="220"/>
      <c r="AZ699" s="220"/>
      <c r="BA699" s="220"/>
      <c r="BB699" s="220"/>
    </row>
    <row r="700">
      <c r="A700" s="240"/>
      <c r="B700" s="319"/>
      <c r="C700" s="346"/>
      <c r="D700" s="346"/>
      <c r="E700" s="346"/>
      <c r="F700" s="346"/>
      <c r="G700" s="346"/>
      <c r="H700" s="346"/>
      <c r="I700" s="346"/>
      <c r="J700" s="346"/>
      <c r="K700" s="346"/>
      <c r="L700" s="346"/>
      <c r="M700" s="346"/>
      <c r="N700" s="346"/>
      <c r="O700" s="346"/>
      <c r="P700" s="346"/>
      <c r="Q700" s="346"/>
      <c r="R700" s="346"/>
      <c r="S700" s="346"/>
      <c r="T700" s="347"/>
      <c r="U700" s="345"/>
      <c r="V700" s="317"/>
      <c r="W700" s="318"/>
      <c r="X700" s="288"/>
      <c r="Y700" s="220"/>
      <c r="Z700" s="220"/>
      <c r="AA700" s="220"/>
      <c r="AB700" s="220"/>
      <c r="AC700" s="220"/>
      <c r="AD700" s="220"/>
      <c r="AE700" s="220"/>
      <c r="AF700" s="220"/>
      <c r="AG700" s="220"/>
      <c r="AH700" s="220"/>
      <c r="AI700" s="308"/>
      <c r="AJ700" s="220"/>
      <c r="AK700" s="220"/>
      <c r="AL700" s="220"/>
      <c r="AM700" s="220"/>
      <c r="AN700" s="220"/>
      <c r="AO700" s="220"/>
      <c r="AP700" s="220"/>
      <c r="AQ700" s="220"/>
      <c r="AR700" s="220"/>
      <c r="AS700" s="220"/>
      <c r="AT700" s="220"/>
      <c r="AU700" s="220"/>
      <c r="AV700" s="220"/>
      <c r="AW700" s="220"/>
      <c r="AX700" s="220"/>
      <c r="AY700" s="220"/>
      <c r="AZ700" s="220"/>
      <c r="BA700" s="220"/>
      <c r="BB700" s="220"/>
    </row>
    <row r="701">
      <c r="A701" s="240"/>
      <c r="B701" s="319"/>
      <c r="C701" s="346"/>
      <c r="D701" s="346"/>
      <c r="E701" s="346"/>
      <c r="F701" s="346"/>
      <c r="G701" s="346"/>
      <c r="H701" s="346"/>
      <c r="I701" s="346"/>
      <c r="J701" s="346"/>
      <c r="K701" s="346"/>
      <c r="L701" s="346"/>
      <c r="M701" s="346"/>
      <c r="N701" s="346"/>
      <c r="O701" s="346"/>
      <c r="P701" s="346"/>
      <c r="Q701" s="346"/>
      <c r="R701" s="346"/>
      <c r="S701" s="346"/>
      <c r="T701" s="347"/>
      <c r="U701" s="345"/>
      <c r="V701" s="317"/>
      <c r="W701" s="318"/>
      <c r="X701" s="288"/>
      <c r="Y701" s="220"/>
      <c r="Z701" s="220"/>
      <c r="AA701" s="220"/>
      <c r="AB701" s="220"/>
      <c r="AC701" s="220"/>
      <c r="AD701" s="220"/>
      <c r="AE701" s="220"/>
      <c r="AF701" s="220"/>
      <c r="AG701" s="220"/>
      <c r="AH701" s="220"/>
      <c r="AI701" s="308"/>
      <c r="AJ701" s="220"/>
      <c r="AK701" s="220"/>
      <c r="AL701" s="220"/>
      <c r="AM701" s="220"/>
      <c r="AN701" s="220"/>
      <c r="AO701" s="220"/>
      <c r="AP701" s="220"/>
      <c r="AQ701" s="220"/>
      <c r="AR701" s="220"/>
      <c r="AS701" s="220"/>
      <c r="AT701" s="220"/>
      <c r="AU701" s="220"/>
      <c r="AV701" s="220"/>
      <c r="AW701" s="220"/>
      <c r="AX701" s="220"/>
      <c r="AY701" s="220"/>
      <c r="AZ701" s="220"/>
      <c r="BA701" s="220"/>
      <c r="BB701" s="220"/>
    </row>
    <row r="702">
      <c r="A702" s="240"/>
      <c r="B702" s="319"/>
      <c r="C702" s="346"/>
      <c r="D702" s="346"/>
      <c r="E702" s="346"/>
      <c r="F702" s="346"/>
      <c r="G702" s="346"/>
      <c r="H702" s="346"/>
      <c r="I702" s="346"/>
      <c r="J702" s="346"/>
      <c r="K702" s="346"/>
      <c r="L702" s="346"/>
      <c r="M702" s="346"/>
      <c r="N702" s="346"/>
      <c r="O702" s="346"/>
      <c r="P702" s="346"/>
      <c r="Q702" s="346"/>
      <c r="R702" s="346"/>
      <c r="S702" s="346"/>
      <c r="T702" s="347"/>
      <c r="U702" s="345"/>
      <c r="V702" s="317"/>
      <c r="W702" s="318"/>
      <c r="X702" s="288"/>
      <c r="Y702" s="220"/>
      <c r="Z702" s="220"/>
      <c r="AA702" s="220"/>
      <c r="AB702" s="220"/>
      <c r="AC702" s="220"/>
      <c r="AD702" s="220"/>
      <c r="AE702" s="220"/>
      <c r="AF702" s="220"/>
      <c r="AG702" s="220"/>
      <c r="AH702" s="220"/>
      <c r="AI702" s="308"/>
      <c r="AJ702" s="220"/>
      <c r="AK702" s="220"/>
      <c r="AL702" s="220"/>
      <c r="AM702" s="220"/>
      <c r="AN702" s="220"/>
      <c r="AO702" s="220"/>
      <c r="AP702" s="220"/>
      <c r="AQ702" s="220"/>
      <c r="AR702" s="220"/>
      <c r="AS702" s="220"/>
      <c r="AT702" s="220"/>
      <c r="AU702" s="220"/>
      <c r="AV702" s="220"/>
      <c r="AW702" s="220"/>
      <c r="AX702" s="220"/>
      <c r="AY702" s="220"/>
      <c r="AZ702" s="220"/>
      <c r="BA702" s="220"/>
      <c r="BB702" s="220"/>
    </row>
    <row r="703">
      <c r="A703" s="240"/>
      <c r="B703" s="319"/>
      <c r="C703" s="346"/>
      <c r="D703" s="346"/>
      <c r="E703" s="346"/>
      <c r="F703" s="346"/>
      <c r="G703" s="346"/>
      <c r="H703" s="346"/>
      <c r="I703" s="346"/>
      <c r="J703" s="346"/>
      <c r="K703" s="346"/>
      <c r="L703" s="346"/>
      <c r="M703" s="346"/>
      <c r="N703" s="346"/>
      <c r="O703" s="346"/>
      <c r="P703" s="346"/>
      <c r="Q703" s="346"/>
      <c r="R703" s="346"/>
      <c r="S703" s="346"/>
      <c r="T703" s="347"/>
      <c r="U703" s="345"/>
      <c r="V703" s="317"/>
      <c r="W703" s="318"/>
      <c r="X703" s="288"/>
      <c r="Y703" s="220"/>
      <c r="Z703" s="220"/>
      <c r="AA703" s="220"/>
      <c r="AB703" s="220"/>
      <c r="AC703" s="220"/>
      <c r="AD703" s="220"/>
      <c r="AE703" s="220"/>
      <c r="AF703" s="220"/>
      <c r="AG703" s="220"/>
      <c r="AH703" s="220"/>
      <c r="AI703" s="308"/>
      <c r="AJ703" s="220"/>
      <c r="AK703" s="220"/>
      <c r="AL703" s="220"/>
      <c r="AM703" s="220"/>
      <c r="AN703" s="220"/>
      <c r="AO703" s="220"/>
      <c r="AP703" s="220"/>
      <c r="AQ703" s="220"/>
      <c r="AR703" s="220"/>
      <c r="AS703" s="220"/>
      <c r="AT703" s="220"/>
      <c r="AU703" s="220"/>
      <c r="AV703" s="220"/>
      <c r="AW703" s="220"/>
      <c r="AX703" s="220"/>
      <c r="AY703" s="220"/>
      <c r="AZ703" s="220"/>
      <c r="BA703" s="220"/>
      <c r="BB703" s="220"/>
    </row>
    <row r="704">
      <c r="A704" s="240"/>
      <c r="B704" s="319"/>
      <c r="C704" s="346"/>
      <c r="D704" s="346"/>
      <c r="E704" s="346"/>
      <c r="F704" s="346"/>
      <c r="G704" s="346"/>
      <c r="H704" s="346"/>
      <c r="I704" s="346"/>
      <c r="J704" s="346"/>
      <c r="K704" s="346"/>
      <c r="L704" s="346"/>
      <c r="M704" s="346"/>
      <c r="N704" s="346"/>
      <c r="O704" s="346"/>
      <c r="P704" s="346"/>
      <c r="Q704" s="346"/>
      <c r="R704" s="346"/>
      <c r="S704" s="346"/>
      <c r="T704" s="347"/>
      <c r="U704" s="345"/>
      <c r="V704" s="317"/>
      <c r="W704" s="318"/>
      <c r="X704" s="288"/>
      <c r="Y704" s="220"/>
      <c r="Z704" s="220"/>
      <c r="AA704" s="220"/>
      <c r="AB704" s="220"/>
      <c r="AC704" s="220"/>
      <c r="AD704" s="220"/>
      <c r="AE704" s="220"/>
      <c r="AF704" s="220"/>
      <c r="AG704" s="220"/>
      <c r="AH704" s="220"/>
      <c r="AI704" s="308"/>
      <c r="AJ704" s="220"/>
      <c r="AK704" s="220"/>
      <c r="AL704" s="220"/>
      <c r="AM704" s="220"/>
      <c r="AN704" s="220"/>
      <c r="AO704" s="220"/>
      <c r="AP704" s="220"/>
      <c r="AQ704" s="220"/>
      <c r="AR704" s="220"/>
      <c r="AS704" s="220"/>
      <c r="AT704" s="220"/>
      <c r="AU704" s="220"/>
      <c r="AV704" s="220"/>
      <c r="AW704" s="220"/>
      <c r="AX704" s="220"/>
      <c r="AY704" s="220"/>
      <c r="AZ704" s="220"/>
      <c r="BA704" s="220"/>
      <c r="BB704" s="220"/>
    </row>
    <row r="705">
      <c r="A705" s="240"/>
      <c r="B705" s="319"/>
      <c r="C705" s="346"/>
      <c r="D705" s="346"/>
      <c r="E705" s="346"/>
      <c r="F705" s="346"/>
      <c r="G705" s="346"/>
      <c r="H705" s="346"/>
      <c r="I705" s="346"/>
      <c r="J705" s="346"/>
      <c r="K705" s="346"/>
      <c r="L705" s="346"/>
      <c r="M705" s="346"/>
      <c r="N705" s="346"/>
      <c r="O705" s="346"/>
      <c r="P705" s="346"/>
      <c r="Q705" s="346"/>
      <c r="R705" s="346"/>
      <c r="S705" s="346"/>
      <c r="T705" s="347"/>
      <c r="U705" s="345"/>
      <c r="V705" s="317"/>
      <c r="W705" s="318"/>
      <c r="X705" s="288"/>
      <c r="Y705" s="220"/>
      <c r="Z705" s="220"/>
      <c r="AA705" s="220"/>
      <c r="AB705" s="220"/>
      <c r="AC705" s="220"/>
      <c r="AD705" s="220"/>
      <c r="AE705" s="220"/>
      <c r="AF705" s="220"/>
      <c r="AG705" s="220"/>
      <c r="AH705" s="220"/>
      <c r="AI705" s="308"/>
      <c r="AJ705" s="220"/>
      <c r="AK705" s="220"/>
      <c r="AL705" s="220"/>
      <c r="AM705" s="220"/>
      <c r="AN705" s="220"/>
      <c r="AO705" s="220"/>
      <c r="AP705" s="220"/>
      <c r="AQ705" s="220"/>
      <c r="AR705" s="220"/>
      <c r="AS705" s="220"/>
      <c r="AT705" s="220"/>
      <c r="AU705" s="220"/>
      <c r="AV705" s="220"/>
      <c r="AW705" s="220"/>
      <c r="AX705" s="220"/>
      <c r="AY705" s="220"/>
      <c r="AZ705" s="220"/>
      <c r="BA705" s="220"/>
      <c r="BB705" s="220"/>
    </row>
    <row r="706">
      <c r="A706" s="240"/>
      <c r="B706" s="319"/>
      <c r="C706" s="346"/>
      <c r="D706" s="346"/>
      <c r="E706" s="346"/>
      <c r="F706" s="346"/>
      <c r="G706" s="346"/>
      <c r="H706" s="346"/>
      <c r="I706" s="346"/>
      <c r="J706" s="346"/>
      <c r="K706" s="346"/>
      <c r="L706" s="346"/>
      <c r="M706" s="346"/>
      <c r="N706" s="346"/>
      <c r="O706" s="346"/>
      <c r="P706" s="346"/>
      <c r="Q706" s="346"/>
      <c r="R706" s="346"/>
      <c r="S706" s="346"/>
      <c r="T706" s="347"/>
      <c r="U706" s="345"/>
      <c r="V706" s="317"/>
      <c r="W706" s="318"/>
      <c r="X706" s="288"/>
      <c r="Y706" s="220"/>
      <c r="Z706" s="220"/>
      <c r="AA706" s="220"/>
      <c r="AB706" s="220"/>
      <c r="AC706" s="220"/>
      <c r="AD706" s="220"/>
      <c r="AE706" s="220"/>
      <c r="AF706" s="220"/>
      <c r="AG706" s="220"/>
      <c r="AH706" s="220"/>
      <c r="AI706" s="308"/>
      <c r="AJ706" s="220"/>
      <c r="AK706" s="220"/>
      <c r="AL706" s="220"/>
      <c r="AM706" s="220"/>
      <c r="AN706" s="220"/>
      <c r="AO706" s="220"/>
      <c r="AP706" s="220"/>
      <c r="AQ706" s="220"/>
      <c r="AR706" s="220"/>
      <c r="AS706" s="220"/>
      <c r="AT706" s="220"/>
      <c r="AU706" s="220"/>
      <c r="AV706" s="220"/>
      <c r="AW706" s="220"/>
      <c r="AX706" s="220"/>
      <c r="AY706" s="220"/>
      <c r="AZ706" s="220"/>
      <c r="BA706" s="220"/>
      <c r="BB706" s="220"/>
    </row>
    <row r="707">
      <c r="A707" s="240"/>
      <c r="B707" s="319"/>
      <c r="C707" s="346"/>
      <c r="D707" s="346"/>
      <c r="E707" s="346"/>
      <c r="F707" s="346"/>
      <c r="G707" s="346"/>
      <c r="H707" s="346"/>
      <c r="I707" s="346"/>
      <c r="J707" s="346"/>
      <c r="K707" s="346"/>
      <c r="L707" s="346"/>
      <c r="M707" s="346"/>
      <c r="N707" s="346"/>
      <c r="O707" s="346"/>
      <c r="P707" s="346"/>
      <c r="Q707" s="346"/>
      <c r="R707" s="346"/>
      <c r="S707" s="346"/>
      <c r="T707" s="347"/>
      <c r="U707" s="345"/>
      <c r="V707" s="317"/>
      <c r="W707" s="318"/>
      <c r="X707" s="288"/>
      <c r="Y707" s="220"/>
      <c r="Z707" s="220"/>
      <c r="AA707" s="220"/>
      <c r="AB707" s="220"/>
      <c r="AC707" s="220"/>
      <c r="AD707" s="220"/>
      <c r="AE707" s="220"/>
      <c r="AF707" s="220"/>
      <c r="AG707" s="220"/>
      <c r="AH707" s="220"/>
      <c r="AI707" s="308"/>
      <c r="AJ707" s="220"/>
      <c r="AK707" s="220"/>
      <c r="AL707" s="220"/>
      <c r="AM707" s="220"/>
      <c r="AN707" s="220"/>
      <c r="AO707" s="220"/>
      <c r="AP707" s="220"/>
      <c r="AQ707" s="220"/>
      <c r="AR707" s="220"/>
      <c r="AS707" s="220"/>
      <c r="AT707" s="220"/>
      <c r="AU707" s="220"/>
      <c r="AV707" s="220"/>
      <c r="AW707" s="220"/>
      <c r="AX707" s="220"/>
      <c r="AY707" s="220"/>
      <c r="AZ707" s="220"/>
      <c r="BA707" s="220"/>
      <c r="BB707" s="220"/>
    </row>
    <row r="708">
      <c r="A708" s="240"/>
      <c r="B708" s="319"/>
      <c r="C708" s="346"/>
      <c r="D708" s="346"/>
      <c r="E708" s="346"/>
      <c r="F708" s="346"/>
      <c r="G708" s="346"/>
      <c r="H708" s="346"/>
      <c r="I708" s="346"/>
      <c r="J708" s="346"/>
      <c r="K708" s="346"/>
      <c r="L708" s="346"/>
      <c r="M708" s="346"/>
      <c r="N708" s="346"/>
      <c r="O708" s="346"/>
      <c r="P708" s="346"/>
      <c r="Q708" s="346"/>
      <c r="R708" s="346"/>
      <c r="S708" s="346"/>
      <c r="T708" s="347"/>
      <c r="U708" s="345"/>
      <c r="V708" s="317"/>
      <c r="W708" s="318"/>
      <c r="X708" s="288"/>
      <c r="Y708" s="220"/>
      <c r="Z708" s="220"/>
      <c r="AA708" s="220"/>
      <c r="AB708" s="220"/>
      <c r="AC708" s="220"/>
      <c r="AD708" s="220"/>
      <c r="AE708" s="220"/>
      <c r="AF708" s="220"/>
      <c r="AG708" s="220"/>
      <c r="AH708" s="220"/>
      <c r="AI708" s="308"/>
      <c r="AJ708" s="220"/>
      <c r="AK708" s="220"/>
      <c r="AL708" s="220"/>
      <c r="AM708" s="220"/>
      <c r="AN708" s="220"/>
      <c r="AO708" s="220"/>
      <c r="AP708" s="220"/>
      <c r="AQ708" s="220"/>
      <c r="AR708" s="220"/>
      <c r="AS708" s="220"/>
      <c r="AT708" s="220"/>
      <c r="AU708" s="220"/>
      <c r="AV708" s="220"/>
      <c r="AW708" s="220"/>
      <c r="AX708" s="220"/>
      <c r="AY708" s="220"/>
      <c r="AZ708" s="220"/>
      <c r="BA708" s="220"/>
      <c r="BB708" s="220"/>
    </row>
    <row r="709">
      <c r="A709" s="240"/>
      <c r="B709" s="319"/>
      <c r="C709" s="346"/>
      <c r="D709" s="346"/>
      <c r="E709" s="346"/>
      <c r="F709" s="346"/>
      <c r="G709" s="346"/>
      <c r="H709" s="346"/>
      <c r="I709" s="346"/>
      <c r="J709" s="346"/>
      <c r="K709" s="346"/>
      <c r="L709" s="346"/>
      <c r="M709" s="346"/>
      <c r="N709" s="346"/>
      <c r="O709" s="346"/>
      <c r="P709" s="346"/>
      <c r="Q709" s="346"/>
      <c r="R709" s="346"/>
      <c r="S709" s="346"/>
      <c r="T709" s="347"/>
      <c r="U709" s="345"/>
      <c r="V709" s="317"/>
      <c r="W709" s="318"/>
      <c r="X709" s="288"/>
      <c r="Y709" s="220"/>
      <c r="Z709" s="220"/>
      <c r="AA709" s="220"/>
      <c r="AB709" s="220"/>
      <c r="AC709" s="220"/>
      <c r="AD709" s="220"/>
      <c r="AE709" s="220"/>
      <c r="AF709" s="220"/>
      <c r="AG709" s="220"/>
      <c r="AH709" s="220"/>
      <c r="AI709" s="308"/>
      <c r="AJ709" s="220"/>
      <c r="AK709" s="220"/>
      <c r="AL709" s="220"/>
      <c r="AM709" s="220"/>
      <c r="AN709" s="220"/>
      <c r="AO709" s="220"/>
      <c r="AP709" s="220"/>
      <c r="AQ709" s="220"/>
      <c r="AR709" s="220"/>
      <c r="AS709" s="220"/>
      <c r="AT709" s="220"/>
      <c r="AU709" s="220"/>
      <c r="AV709" s="220"/>
      <c r="AW709" s="220"/>
      <c r="AX709" s="220"/>
      <c r="AY709" s="220"/>
      <c r="AZ709" s="220"/>
      <c r="BA709" s="220"/>
      <c r="BB709" s="220"/>
    </row>
    <row r="710">
      <c r="A710" s="240"/>
      <c r="B710" s="319"/>
      <c r="C710" s="346"/>
      <c r="D710" s="346"/>
      <c r="E710" s="346"/>
      <c r="F710" s="346"/>
      <c r="G710" s="346"/>
      <c r="H710" s="346"/>
      <c r="I710" s="346"/>
      <c r="J710" s="346"/>
      <c r="K710" s="346"/>
      <c r="L710" s="346"/>
      <c r="M710" s="346"/>
      <c r="N710" s="346"/>
      <c r="O710" s="346"/>
      <c r="P710" s="346"/>
      <c r="Q710" s="346"/>
      <c r="R710" s="346"/>
      <c r="S710" s="346"/>
      <c r="T710" s="347"/>
      <c r="U710" s="345"/>
      <c r="V710" s="317"/>
      <c r="W710" s="318"/>
      <c r="X710" s="288"/>
      <c r="Y710" s="220"/>
      <c r="Z710" s="220"/>
      <c r="AA710" s="220"/>
      <c r="AB710" s="220"/>
      <c r="AC710" s="220"/>
      <c r="AD710" s="220"/>
      <c r="AE710" s="220"/>
      <c r="AF710" s="220"/>
      <c r="AG710" s="220"/>
      <c r="AH710" s="220"/>
      <c r="AI710" s="308"/>
      <c r="AJ710" s="220"/>
      <c r="AK710" s="220"/>
      <c r="AL710" s="220"/>
      <c r="AM710" s="220"/>
      <c r="AN710" s="220"/>
      <c r="AO710" s="220"/>
      <c r="AP710" s="220"/>
      <c r="AQ710" s="220"/>
      <c r="AR710" s="220"/>
      <c r="AS710" s="220"/>
      <c r="AT710" s="220"/>
      <c r="AU710" s="220"/>
      <c r="AV710" s="220"/>
      <c r="AW710" s="220"/>
      <c r="AX710" s="220"/>
      <c r="AY710" s="220"/>
      <c r="AZ710" s="220"/>
      <c r="BA710" s="220"/>
      <c r="BB710" s="220"/>
    </row>
    <row r="711">
      <c r="A711" s="240"/>
      <c r="B711" s="319"/>
      <c r="C711" s="346"/>
      <c r="D711" s="346"/>
      <c r="E711" s="346"/>
      <c r="F711" s="346"/>
      <c r="G711" s="346"/>
      <c r="H711" s="346"/>
      <c r="I711" s="346"/>
      <c r="J711" s="346"/>
      <c r="K711" s="346"/>
      <c r="L711" s="346"/>
      <c r="M711" s="346"/>
      <c r="N711" s="346"/>
      <c r="O711" s="346"/>
      <c r="P711" s="346"/>
      <c r="Q711" s="346"/>
      <c r="R711" s="346"/>
      <c r="S711" s="346"/>
      <c r="T711" s="347"/>
      <c r="U711" s="345"/>
      <c r="V711" s="317"/>
      <c r="W711" s="318"/>
      <c r="X711" s="288"/>
      <c r="Y711" s="220"/>
      <c r="Z711" s="220"/>
      <c r="AA711" s="220"/>
      <c r="AB711" s="220"/>
      <c r="AC711" s="220"/>
      <c r="AD711" s="220"/>
      <c r="AE711" s="220"/>
      <c r="AF711" s="220"/>
      <c r="AG711" s="220"/>
      <c r="AH711" s="220"/>
      <c r="AI711" s="308"/>
      <c r="AJ711" s="220"/>
      <c r="AK711" s="220"/>
      <c r="AL711" s="220"/>
      <c r="AM711" s="220"/>
      <c r="AN711" s="220"/>
      <c r="AO711" s="220"/>
      <c r="AP711" s="220"/>
      <c r="AQ711" s="220"/>
      <c r="AR711" s="220"/>
      <c r="AS711" s="220"/>
      <c r="AT711" s="220"/>
      <c r="AU711" s="220"/>
      <c r="AV711" s="220"/>
      <c r="AW711" s="220"/>
      <c r="AX711" s="220"/>
      <c r="AY711" s="220"/>
      <c r="AZ711" s="220"/>
      <c r="BA711" s="220"/>
      <c r="BB711" s="220"/>
    </row>
    <row r="712">
      <c r="A712" s="240"/>
      <c r="B712" s="319"/>
      <c r="C712" s="346"/>
      <c r="D712" s="346"/>
      <c r="E712" s="346"/>
      <c r="F712" s="346"/>
      <c r="G712" s="346"/>
      <c r="H712" s="346"/>
      <c r="I712" s="346"/>
      <c r="J712" s="346"/>
      <c r="K712" s="346"/>
      <c r="L712" s="346"/>
      <c r="M712" s="346"/>
      <c r="N712" s="346"/>
      <c r="O712" s="346"/>
      <c r="P712" s="346"/>
      <c r="Q712" s="346"/>
      <c r="R712" s="346"/>
      <c r="S712" s="346"/>
      <c r="T712" s="347"/>
      <c r="U712" s="345"/>
      <c r="V712" s="317"/>
      <c r="W712" s="318"/>
      <c r="X712" s="288"/>
      <c r="Y712" s="220"/>
      <c r="Z712" s="220"/>
      <c r="AA712" s="220"/>
      <c r="AB712" s="220"/>
      <c r="AC712" s="220"/>
      <c r="AD712" s="220"/>
      <c r="AE712" s="220"/>
      <c r="AF712" s="220"/>
      <c r="AG712" s="220"/>
      <c r="AH712" s="220"/>
      <c r="AI712" s="308"/>
      <c r="AJ712" s="220"/>
      <c r="AK712" s="220"/>
      <c r="AL712" s="220"/>
      <c r="AM712" s="220"/>
      <c r="AN712" s="220"/>
      <c r="AO712" s="220"/>
      <c r="AP712" s="220"/>
      <c r="AQ712" s="220"/>
      <c r="AR712" s="220"/>
      <c r="AS712" s="220"/>
      <c r="AT712" s="220"/>
      <c r="AU712" s="220"/>
      <c r="AV712" s="220"/>
      <c r="AW712" s="220"/>
      <c r="AX712" s="220"/>
      <c r="AY712" s="220"/>
      <c r="AZ712" s="220"/>
      <c r="BA712" s="220"/>
      <c r="BB712" s="220"/>
    </row>
    <row r="713">
      <c r="A713" s="240"/>
      <c r="B713" s="319"/>
      <c r="C713" s="346"/>
      <c r="D713" s="346"/>
      <c r="E713" s="346"/>
      <c r="F713" s="346"/>
      <c r="G713" s="346"/>
      <c r="H713" s="346"/>
      <c r="I713" s="346"/>
      <c r="J713" s="346"/>
      <c r="K713" s="346"/>
      <c r="L713" s="346"/>
      <c r="M713" s="346"/>
      <c r="N713" s="346"/>
      <c r="O713" s="346"/>
      <c r="P713" s="346"/>
      <c r="Q713" s="346"/>
      <c r="R713" s="346"/>
      <c r="S713" s="346"/>
      <c r="T713" s="347"/>
      <c r="U713" s="345"/>
      <c r="V713" s="317"/>
      <c r="W713" s="318"/>
      <c r="X713" s="288"/>
      <c r="Y713" s="220"/>
      <c r="Z713" s="220"/>
      <c r="AA713" s="220"/>
      <c r="AB713" s="220"/>
      <c r="AC713" s="220"/>
      <c r="AD713" s="220"/>
      <c r="AE713" s="220"/>
      <c r="AF713" s="220"/>
      <c r="AG713" s="220"/>
      <c r="AH713" s="220"/>
      <c r="AI713" s="308"/>
      <c r="AJ713" s="220"/>
      <c r="AK713" s="220"/>
      <c r="AL713" s="220"/>
      <c r="AM713" s="220"/>
      <c r="AN713" s="220"/>
      <c r="AO713" s="220"/>
      <c r="AP713" s="220"/>
      <c r="AQ713" s="220"/>
      <c r="AR713" s="220"/>
      <c r="AS713" s="220"/>
      <c r="AT713" s="220"/>
      <c r="AU713" s="220"/>
      <c r="AV713" s="220"/>
      <c r="AW713" s="220"/>
      <c r="AX713" s="220"/>
      <c r="AY713" s="220"/>
      <c r="AZ713" s="220"/>
      <c r="BA713" s="220"/>
      <c r="BB713" s="220"/>
    </row>
    <row r="714">
      <c r="A714" s="240"/>
      <c r="B714" s="319"/>
      <c r="C714" s="346"/>
      <c r="D714" s="346"/>
      <c r="E714" s="346"/>
      <c r="F714" s="346"/>
      <c r="G714" s="346"/>
      <c r="H714" s="346"/>
      <c r="I714" s="346"/>
      <c r="J714" s="346"/>
      <c r="K714" s="346"/>
      <c r="L714" s="346"/>
      <c r="M714" s="346"/>
      <c r="N714" s="346"/>
      <c r="O714" s="346"/>
      <c r="P714" s="346"/>
      <c r="Q714" s="346"/>
      <c r="R714" s="346"/>
      <c r="S714" s="346"/>
      <c r="T714" s="347"/>
      <c r="U714" s="345"/>
      <c r="V714" s="317"/>
      <c r="W714" s="318"/>
      <c r="X714" s="288"/>
      <c r="Y714" s="220"/>
      <c r="Z714" s="220"/>
      <c r="AA714" s="220"/>
      <c r="AB714" s="220"/>
      <c r="AC714" s="220"/>
      <c r="AD714" s="220"/>
      <c r="AE714" s="220"/>
      <c r="AF714" s="220"/>
      <c r="AG714" s="220"/>
      <c r="AH714" s="220"/>
      <c r="AI714" s="308"/>
      <c r="AJ714" s="220"/>
      <c r="AK714" s="220"/>
      <c r="AL714" s="220"/>
      <c r="AM714" s="220"/>
      <c r="AN714" s="220"/>
      <c r="AO714" s="220"/>
      <c r="AP714" s="220"/>
      <c r="AQ714" s="220"/>
      <c r="AR714" s="220"/>
      <c r="AS714" s="220"/>
      <c r="AT714" s="220"/>
      <c r="AU714" s="220"/>
      <c r="AV714" s="220"/>
      <c r="AW714" s="220"/>
      <c r="AX714" s="220"/>
      <c r="AY714" s="220"/>
      <c r="AZ714" s="220"/>
      <c r="BA714" s="220"/>
      <c r="BB714" s="220"/>
    </row>
    <row r="715">
      <c r="A715" s="240"/>
      <c r="B715" s="319"/>
      <c r="C715" s="346"/>
      <c r="D715" s="346"/>
      <c r="E715" s="346"/>
      <c r="F715" s="346"/>
      <c r="G715" s="346"/>
      <c r="H715" s="346"/>
      <c r="I715" s="346"/>
      <c r="J715" s="346"/>
      <c r="K715" s="346"/>
      <c r="L715" s="346"/>
      <c r="M715" s="346"/>
      <c r="N715" s="346"/>
      <c r="O715" s="346"/>
      <c r="P715" s="346"/>
      <c r="Q715" s="346"/>
      <c r="R715" s="346"/>
      <c r="S715" s="346"/>
      <c r="T715" s="347"/>
      <c r="U715" s="345"/>
      <c r="V715" s="317"/>
      <c r="W715" s="318"/>
      <c r="X715" s="288"/>
      <c r="Y715" s="220"/>
      <c r="Z715" s="220"/>
      <c r="AA715" s="220"/>
      <c r="AB715" s="220"/>
      <c r="AC715" s="220"/>
      <c r="AD715" s="220"/>
      <c r="AE715" s="220"/>
      <c r="AF715" s="220"/>
      <c r="AG715" s="220"/>
      <c r="AH715" s="220"/>
      <c r="AI715" s="308"/>
      <c r="AJ715" s="220"/>
      <c r="AK715" s="220"/>
      <c r="AL715" s="220"/>
      <c r="AM715" s="220"/>
      <c r="AN715" s="220"/>
      <c r="AO715" s="220"/>
      <c r="AP715" s="220"/>
      <c r="AQ715" s="220"/>
      <c r="AR715" s="220"/>
      <c r="AS715" s="220"/>
      <c r="AT715" s="220"/>
      <c r="AU715" s="220"/>
      <c r="AV715" s="220"/>
      <c r="AW715" s="220"/>
      <c r="AX715" s="220"/>
      <c r="AY715" s="220"/>
      <c r="AZ715" s="220"/>
      <c r="BA715" s="220"/>
      <c r="BB715" s="220"/>
    </row>
    <row r="716">
      <c r="A716" s="240"/>
      <c r="B716" s="319"/>
      <c r="C716" s="346"/>
      <c r="D716" s="346"/>
      <c r="E716" s="346"/>
      <c r="F716" s="346"/>
      <c r="G716" s="346"/>
      <c r="H716" s="346"/>
      <c r="I716" s="346"/>
      <c r="J716" s="346"/>
      <c r="K716" s="346"/>
      <c r="L716" s="346"/>
      <c r="M716" s="346"/>
      <c r="N716" s="346"/>
      <c r="O716" s="346"/>
      <c r="P716" s="346"/>
      <c r="Q716" s="346"/>
      <c r="R716" s="346"/>
      <c r="S716" s="346"/>
      <c r="T716" s="347"/>
      <c r="U716" s="345"/>
      <c r="V716" s="317"/>
      <c r="W716" s="318"/>
      <c r="X716" s="288"/>
      <c r="Y716" s="220"/>
      <c r="Z716" s="220"/>
      <c r="AA716" s="220"/>
      <c r="AB716" s="220"/>
      <c r="AC716" s="220"/>
      <c r="AD716" s="220"/>
      <c r="AE716" s="220"/>
      <c r="AF716" s="220"/>
      <c r="AG716" s="220"/>
      <c r="AH716" s="220"/>
      <c r="AI716" s="308"/>
      <c r="AJ716" s="220"/>
      <c r="AK716" s="220"/>
      <c r="AL716" s="220"/>
      <c r="AM716" s="220"/>
      <c r="AN716" s="220"/>
      <c r="AO716" s="220"/>
      <c r="AP716" s="220"/>
      <c r="AQ716" s="220"/>
      <c r="AR716" s="220"/>
      <c r="AS716" s="220"/>
      <c r="AT716" s="220"/>
      <c r="AU716" s="220"/>
      <c r="AV716" s="220"/>
      <c r="AW716" s="220"/>
      <c r="AX716" s="220"/>
      <c r="AY716" s="220"/>
      <c r="AZ716" s="220"/>
      <c r="BA716" s="220"/>
      <c r="BB716" s="220"/>
    </row>
    <row r="717">
      <c r="A717" s="240"/>
      <c r="B717" s="319"/>
      <c r="C717" s="346"/>
      <c r="D717" s="346"/>
      <c r="E717" s="346"/>
      <c r="F717" s="346"/>
      <c r="G717" s="346"/>
      <c r="H717" s="346"/>
      <c r="I717" s="346"/>
      <c r="J717" s="346"/>
      <c r="K717" s="346"/>
      <c r="L717" s="346"/>
      <c r="M717" s="346"/>
      <c r="N717" s="346"/>
      <c r="O717" s="346"/>
      <c r="P717" s="346"/>
      <c r="Q717" s="346"/>
      <c r="R717" s="346"/>
      <c r="S717" s="346"/>
      <c r="T717" s="347"/>
      <c r="U717" s="345"/>
      <c r="V717" s="317"/>
      <c r="W717" s="318"/>
      <c r="X717" s="288"/>
      <c r="Y717" s="220"/>
      <c r="Z717" s="220"/>
      <c r="AA717" s="220"/>
      <c r="AB717" s="220"/>
      <c r="AC717" s="220"/>
      <c r="AD717" s="220"/>
      <c r="AE717" s="220"/>
      <c r="AF717" s="220"/>
      <c r="AG717" s="220"/>
      <c r="AH717" s="220"/>
      <c r="AI717" s="308"/>
      <c r="AJ717" s="220"/>
      <c r="AK717" s="220"/>
      <c r="AL717" s="220"/>
      <c r="AM717" s="220"/>
      <c r="AN717" s="220"/>
      <c r="AO717" s="220"/>
      <c r="AP717" s="220"/>
      <c r="AQ717" s="220"/>
      <c r="AR717" s="220"/>
      <c r="AS717" s="220"/>
      <c r="AT717" s="220"/>
      <c r="AU717" s="220"/>
      <c r="AV717" s="220"/>
      <c r="AW717" s="220"/>
      <c r="AX717" s="220"/>
      <c r="AY717" s="220"/>
      <c r="AZ717" s="220"/>
      <c r="BA717" s="220"/>
      <c r="BB717" s="220"/>
    </row>
    <row r="718">
      <c r="A718" s="240"/>
      <c r="B718" s="319"/>
      <c r="C718" s="346"/>
      <c r="D718" s="346"/>
      <c r="E718" s="346"/>
      <c r="F718" s="346"/>
      <c r="G718" s="346"/>
      <c r="H718" s="346"/>
      <c r="I718" s="346"/>
      <c r="J718" s="346"/>
      <c r="K718" s="346"/>
      <c r="L718" s="346"/>
      <c r="M718" s="346"/>
      <c r="N718" s="346"/>
      <c r="O718" s="346"/>
      <c r="P718" s="346"/>
      <c r="Q718" s="346"/>
      <c r="R718" s="346"/>
      <c r="S718" s="346"/>
      <c r="T718" s="347"/>
      <c r="U718" s="345"/>
      <c r="V718" s="317"/>
      <c r="W718" s="318"/>
      <c r="X718" s="288"/>
      <c r="Y718" s="220"/>
      <c r="Z718" s="220"/>
      <c r="AA718" s="220"/>
      <c r="AB718" s="220"/>
      <c r="AC718" s="220"/>
      <c r="AD718" s="220"/>
      <c r="AE718" s="220"/>
      <c r="AF718" s="220"/>
      <c r="AG718" s="220"/>
      <c r="AH718" s="220"/>
      <c r="AI718" s="308"/>
      <c r="AJ718" s="220"/>
      <c r="AK718" s="220"/>
      <c r="AL718" s="220"/>
      <c r="AM718" s="220"/>
      <c r="AN718" s="220"/>
      <c r="AO718" s="220"/>
      <c r="AP718" s="220"/>
      <c r="AQ718" s="220"/>
      <c r="AR718" s="220"/>
      <c r="AS718" s="220"/>
      <c r="AT718" s="220"/>
      <c r="AU718" s="220"/>
      <c r="AV718" s="220"/>
      <c r="AW718" s="220"/>
      <c r="AX718" s="220"/>
      <c r="AY718" s="220"/>
      <c r="AZ718" s="220"/>
      <c r="BA718" s="220"/>
      <c r="BB718" s="220"/>
    </row>
    <row r="719">
      <c r="A719" s="240"/>
      <c r="B719" s="319"/>
      <c r="C719" s="346"/>
      <c r="D719" s="346"/>
      <c r="E719" s="346"/>
      <c r="F719" s="346"/>
      <c r="G719" s="346"/>
      <c r="H719" s="346"/>
      <c r="I719" s="346"/>
      <c r="J719" s="346"/>
      <c r="K719" s="346"/>
      <c r="L719" s="346"/>
      <c r="M719" s="346"/>
      <c r="N719" s="346"/>
      <c r="O719" s="346"/>
      <c r="P719" s="346"/>
      <c r="Q719" s="346"/>
      <c r="R719" s="346"/>
      <c r="S719" s="346"/>
      <c r="T719" s="347"/>
      <c r="U719" s="345"/>
      <c r="V719" s="317"/>
      <c r="W719" s="318"/>
      <c r="X719" s="288"/>
      <c r="Y719" s="220"/>
      <c r="Z719" s="220"/>
      <c r="AA719" s="220"/>
      <c r="AB719" s="220"/>
      <c r="AC719" s="220"/>
      <c r="AD719" s="220"/>
      <c r="AE719" s="220"/>
      <c r="AF719" s="220"/>
      <c r="AG719" s="220"/>
      <c r="AH719" s="220"/>
      <c r="AI719" s="308"/>
      <c r="AJ719" s="220"/>
      <c r="AK719" s="220"/>
      <c r="AL719" s="220"/>
      <c r="AM719" s="220"/>
      <c r="AN719" s="220"/>
      <c r="AO719" s="220"/>
      <c r="AP719" s="220"/>
      <c r="AQ719" s="220"/>
      <c r="AR719" s="220"/>
      <c r="AS719" s="220"/>
      <c r="AT719" s="220"/>
      <c r="AU719" s="220"/>
      <c r="AV719" s="220"/>
      <c r="AW719" s="220"/>
      <c r="AX719" s="220"/>
      <c r="AY719" s="220"/>
      <c r="AZ719" s="220"/>
      <c r="BA719" s="220"/>
      <c r="BB719" s="220"/>
    </row>
    <row r="720">
      <c r="A720" s="240"/>
      <c r="B720" s="319"/>
      <c r="C720" s="346"/>
      <c r="D720" s="346"/>
      <c r="E720" s="346"/>
      <c r="F720" s="346"/>
      <c r="G720" s="346"/>
      <c r="H720" s="346"/>
      <c r="I720" s="346"/>
      <c r="J720" s="346"/>
      <c r="K720" s="346"/>
      <c r="L720" s="346"/>
      <c r="M720" s="346"/>
      <c r="N720" s="346"/>
      <c r="O720" s="346"/>
      <c r="P720" s="346"/>
      <c r="Q720" s="346"/>
      <c r="R720" s="346"/>
      <c r="S720" s="346"/>
      <c r="T720" s="347"/>
      <c r="U720" s="345"/>
      <c r="V720" s="317"/>
      <c r="W720" s="318"/>
      <c r="X720" s="288"/>
      <c r="Y720" s="220"/>
      <c r="Z720" s="220"/>
      <c r="AA720" s="220"/>
      <c r="AB720" s="220"/>
      <c r="AC720" s="220"/>
      <c r="AD720" s="220"/>
      <c r="AE720" s="220"/>
      <c r="AF720" s="220"/>
      <c r="AG720" s="220"/>
      <c r="AH720" s="220"/>
      <c r="AI720" s="308"/>
      <c r="AJ720" s="220"/>
      <c r="AK720" s="220"/>
      <c r="AL720" s="220"/>
      <c r="AM720" s="220"/>
      <c r="AN720" s="220"/>
      <c r="AO720" s="220"/>
      <c r="AP720" s="220"/>
      <c r="AQ720" s="220"/>
      <c r="AR720" s="220"/>
      <c r="AS720" s="220"/>
      <c r="AT720" s="220"/>
      <c r="AU720" s="220"/>
      <c r="AV720" s="220"/>
      <c r="AW720" s="220"/>
      <c r="AX720" s="220"/>
      <c r="AY720" s="220"/>
      <c r="AZ720" s="220"/>
      <c r="BA720" s="220"/>
      <c r="BB720" s="220"/>
    </row>
    <row r="721">
      <c r="A721" s="240"/>
      <c r="B721" s="319"/>
      <c r="C721" s="346"/>
      <c r="D721" s="346"/>
      <c r="E721" s="346"/>
      <c r="F721" s="346"/>
      <c r="G721" s="346"/>
      <c r="H721" s="346"/>
      <c r="I721" s="346"/>
      <c r="J721" s="346"/>
      <c r="K721" s="346"/>
      <c r="L721" s="346"/>
      <c r="M721" s="346"/>
      <c r="N721" s="346"/>
      <c r="O721" s="346"/>
      <c r="P721" s="346"/>
      <c r="Q721" s="346"/>
      <c r="R721" s="346"/>
      <c r="S721" s="346"/>
      <c r="T721" s="347"/>
      <c r="U721" s="345"/>
      <c r="V721" s="317"/>
      <c r="W721" s="318"/>
      <c r="X721" s="288"/>
      <c r="Y721" s="220"/>
      <c r="Z721" s="220"/>
      <c r="AA721" s="220"/>
      <c r="AB721" s="220"/>
      <c r="AC721" s="220"/>
      <c r="AD721" s="220"/>
      <c r="AE721" s="220"/>
      <c r="AF721" s="220"/>
      <c r="AG721" s="220"/>
      <c r="AH721" s="220"/>
      <c r="AI721" s="308"/>
      <c r="AJ721" s="220"/>
      <c r="AK721" s="220"/>
      <c r="AL721" s="220"/>
      <c r="AM721" s="220"/>
      <c r="AN721" s="220"/>
      <c r="AO721" s="220"/>
      <c r="AP721" s="220"/>
      <c r="AQ721" s="220"/>
      <c r="AR721" s="220"/>
      <c r="AS721" s="220"/>
      <c r="AT721" s="220"/>
      <c r="AU721" s="220"/>
      <c r="AV721" s="220"/>
      <c r="AW721" s="220"/>
      <c r="AX721" s="220"/>
      <c r="AY721" s="220"/>
      <c r="AZ721" s="220"/>
      <c r="BA721" s="220"/>
      <c r="BB721" s="220"/>
    </row>
    <row r="722">
      <c r="A722" s="240"/>
      <c r="B722" s="319"/>
      <c r="C722" s="346"/>
      <c r="D722" s="346"/>
      <c r="E722" s="346"/>
      <c r="F722" s="346"/>
      <c r="G722" s="346"/>
      <c r="H722" s="346"/>
      <c r="I722" s="346"/>
      <c r="J722" s="346"/>
      <c r="K722" s="346"/>
      <c r="L722" s="346"/>
      <c r="M722" s="346"/>
      <c r="N722" s="346"/>
      <c r="O722" s="346"/>
      <c r="P722" s="346"/>
      <c r="Q722" s="346"/>
      <c r="R722" s="346"/>
      <c r="S722" s="346"/>
      <c r="T722" s="347"/>
      <c r="U722" s="345"/>
      <c r="V722" s="317"/>
      <c r="W722" s="318"/>
      <c r="X722" s="288"/>
      <c r="Y722" s="220"/>
      <c r="Z722" s="220"/>
      <c r="AA722" s="220"/>
      <c r="AB722" s="220"/>
      <c r="AC722" s="220"/>
      <c r="AD722" s="220"/>
      <c r="AE722" s="220"/>
      <c r="AF722" s="220"/>
      <c r="AG722" s="220"/>
      <c r="AH722" s="220"/>
      <c r="AI722" s="308"/>
      <c r="AJ722" s="220"/>
      <c r="AK722" s="220"/>
      <c r="AL722" s="220"/>
      <c r="AM722" s="220"/>
      <c r="AN722" s="220"/>
      <c r="AO722" s="220"/>
      <c r="AP722" s="220"/>
      <c r="AQ722" s="220"/>
      <c r="AR722" s="220"/>
      <c r="AS722" s="220"/>
      <c r="AT722" s="220"/>
      <c r="AU722" s="220"/>
      <c r="AV722" s="220"/>
      <c r="AW722" s="220"/>
      <c r="AX722" s="220"/>
      <c r="AY722" s="220"/>
      <c r="AZ722" s="220"/>
      <c r="BA722" s="220"/>
      <c r="BB722" s="220"/>
    </row>
    <row r="723">
      <c r="A723" s="240"/>
      <c r="B723" s="319"/>
      <c r="C723" s="346"/>
      <c r="D723" s="346"/>
      <c r="E723" s="346"/>
      <c r="F723" s="346"/>
      <c r="G723" s="346"/>
      <c r="H723" s="346"/>
      <c r="I723" s="346"/>
      <c r="J723" s="346"/>
      <c r="K723" s="346"/>
      <c r="L723" s="346"/>
      <c r="M723" s="346"/>
      <c r="N723" s="346"/>
      <c r="O723" s="346"/>
      <c r="P723" s="346"/>
      <c r="Q723" s="346"/>
      <c r="R723" s="346"/>
      <c r="S723" s="346"/>
      <c r="T723" s="347"/>
      <c r="U723" s="345"/>
      <c r="V723" s="317"/>
      <c r="W723" s="318"/>
      <c r="X723" s="288"/>
      <c r="Y723" s="220"/>
      <c r="Z723" s="220"/>
      <c r="AA723" s="220"/>
      <c r="AB723" s="220"/>
      <c r="AC723" s="220"/>
      <c r="AD723" s="220"/>
      <c r="AE723" s="220"/>
      <c r="AF723" s="220"/>
      <c r="AG723" s="220"/>
      <c r="AH723" s="220"/>
      <c r="AI723" s="308"/>
      <c r="AJ723" s="220"/>
      <c r="AK723" s="220"/>
      <c r="AL723" s="220"/>
      <c r="AM723" s="220"/>
      <c r="AN723" s="220"/>
      <c r="AO723" s="220"/>
      <c r="AP723" s="220"/>
      <c r="AQ723" s="220"/>
      <c r="AR723" s="220"/>
      <c r="AS723" s="220"/>
      <c r="AT723" s="220"/>
      <c r="AU723" s="220"/>
      <c r="AV723" s="220"/>
      <c r="AW723" s="220"/>
      <c r="AX723" s="220"/>
      <c r="AY723" s="220"/>
      <c r="AZ723" s="220"/>
      <c r="BA723" s="220"/>
      <c r="BB723" s="220"/>
    </row>
    <row r="724">
      <c r="A724" s="240"/>
      <c r="B724" s="319"/>
      <c r="C724" s="346"/>
      <c r="D724" s="346"/>
      <c r="E724" s="346"/>
      <c r="F724" s="346"/>
      <c r="G724" s="346"/>
      <c r="H724" s="346"/>
      <c r="I724" s="346"/>
      <c r="J724" s="346"/>
      <c r="K724" s="346"/>
      <c r="L724" s="346"/>
      <c r="M724" s="346"/>
      <c r="N724" s="346"/>
      <c r="O724" s="346"/>
      <c r="P724" s="346"/>
      <c r="Q724" s="346"/>
      <c r="R724" s="346"/>
      <c r="S724" s="346"/>
      <c r="T724" s="347"/>
      <c r="U724" s="345"/>
      <c r="V724" s="317"/>
      <c r="W724" s="318"/>
      <c r="X724" s="288"/>
      <c r="Y724" s="220"/>
      <c r="Z724" s="220"/>
      <c r="AA724" s="220"/>
      <c r="AB724" s="220"/>
      <c r="AC724" s="220"/>
      <c r="AD724" s="220"/>
      <c r="AE724" s="220"/>
      <c r="AF724" s="220"/>
      <c r="AG724" s="220"/>
      <c r="AH724" s="220"/>
      <c r="AI724" s="308"/>
      <c r="AJ724" s="220"/>
      <c r="AK724" s="220"/>
      <c r="AL724" s="220"/>
      <c r="AM724" s="220"/>
      <c r="AN724" s="220"/>
      <c r="AO724" s="220"/>
      <c r="AP724" s="220"/>
      <c r="AQ724" s="220"/>
      <c r="AR724" s="220"/>
      <c r="AS724" s="220"/>
      <c r="AT724" s="220"/>
      <c r="AU724" s="220"/>
      <c r="AV724" s="220"/>
      <c r="AW724" s="220"/>
      <c r="AX724" s="220"/>
      <c r="AY724" s="220"/>
      <c r="AZ724" s="220"/>
      <c r="BA724" s="220"/>
      <c r="BB724" s="220"/>
    </row>
    <row r="725">
      <c r="A725" s="240"/>
      <c r="B725" s="319"/>
      <c r="C725" s="346"/>
      <c r="D725" s="346"/>
      <c r="E725" s="346"/>
      <c r="F725" s="346"/>
      <c r="G725" s="346"/>
      <c r="H725" s="346"/>
      <c r="I725" s="346"/>
      <c r="J725" s="346"/>
      <c r="K725" s="346"/>
      <c r="L725" s="346"/>
      <c r="M725" s="346"/>
      <c r="N725" s="346"/>
      <c r="O725" s="346"/>
      <c r="P725" s="346"/>
      <c r="Q725" s="346"/>
      <c r="R725" s="346"/>
      <c r="S725" s="346"/>
      <c r="T725" s="347"/>
      <c r="U725" s="345"/>
      <c r="V725" s="317"/>
      <c r="W725" s="318"/>
      <c r="X725" s="288"/>
      <c r="Y725" s="220"/>
      <c r="Z725" s="220"/>
      <c r="AA725" s="220"/>
      <c r="AB725" s="220"/>
      <c r="AC725" s="220"/>
      <c r="AD725" s="220"/>
      <c r="AE725" s="220"/>
      <c r="AF725" s="220"/>
      <c r="AG725" s="220"/>
      <c r="AH725" s="220"/>
      <c r="AI725" s="308"/>
      <c r="AJ725" s="220"/>
      <c r="AK725" s="220"/>
      <c r="AL725" s="220"/>
      <c r="AM725" s="220"/>
      <c r="AN725" s="220"/>
      <c r="AO725" s="220"/>
      <c r="AP725" s="220"/>
      <c r="AQ725" s="220"/>
      <c r="AR725" s="220"/>
      <c r="AS725" s="220"/>
      <c r="AT725" s="220"/>
      <c r="AU725" s="220"/>
      <c r="AV725" s="220"/>
      <c r="AW725" s="220"/>
      <c r="AX725" s="220"/>
      <c r="AY725" s="220"/>
      <c r="AZ725" s="220"/>
      <c r="BA725" s="220"/>
      <c r="BB725" s="220"/>
    </row>
    <row r="726">
      <c r="A726" s="240"/>
      <c r="B726" s="319"/>
      <c r="C726" s="346"/>
      <c r="D726" s="346"/>
      <c r="E726" s="346"/>
      <c r="F726" s="346"/>
      <c r="G726" s="346"/>
      <c r="H726" s="346"/>
      <c r="I726" s="346"/>
      <c r="J726" s="346"/>
      <c r="K726" s="346"/>
      <c r="L726" s="346"/>
      <c r="M726" s="346"/>
      <c r="N726" s="346"/>
      <c r="O726" s="346"/>
      <c r="P726" s="346"/>
      <c r="Q726" s="346"/>
      <c r="R726" s="346"/>
      <c r="S726" s="346"/>
      <c r="T726" s="347"/>
      <c r="U726" s="345"/>
      <c r="V726" s="317"/>
      <c r="W726" s="318"/>
      <c r="X726" s="288"/>
      <c r="Y726" s="220"/>
      <c r="Z726" s="220"/>
      <c r="AA726" s="220"/>
      <c r="AB726" s="220"/>
      <c r="AC726" s="220"/>
      <c r="AD726" s="220"/>
      <c r="AE726" s="220"/>
      <c r="AF726" s="220"/>
      <c r="AG726" s="220"/>
      <c r="AH726" s="220"/>
      <c r="AI726" s="308"/>
      <c r="AJ726" s="220"/>
      <c r="AK726" s="220"/>
      <c r="AL726" s="220"/>
      <c r="AM726" s="220"/>
      <c r="AN726" s="220"/>
      <c r="AO726" s="220"/>
      <c r="AP726" s="220"/>
      <c r="AQ726" s="220"/>
      <c r="AR726" s="220"/>
      <c r="AS726" s="220"/>
      <c r="AT726" s="220"/>
      <c r="AU726" s="220"/>
      <c r="AV726" s="220"/>
      <c r="AW726" s="220"/>
      <c r="AX726" s="220"/>
      <c r="AY726" s="220"/>
      <c r="AZ726" s="220"/>
      <c r="BA726" s="220"/>
      <c r="BB726" s="220"/>
    </row>
    <row r="727">
      <c r="A727" s="240"/>
      <c r="B727" s="319"/>
      <c r="C727" s="346"/>
      <c r="D727" s="346"/>
      <c r="E727" s="346"/>
      <c r="F727" s="346"/>
      <c r="G727" s="346"/>
      <c r="H727" s="346"/>
      <c r="I727" s="346"/>
      <c r="J727" s="346"/>
      <c r="K727" s="346"/>
      <c r="L727" s="346"/>
      <c r="M727" s="346"/>
      <c r="N727" s="346"/>
      <c r="O727" s="346"/>
      <c r="P727" s="346"/>
      <c r="Q727" s="346"/>
      <c r="R727" s="346"/>
      <c r="S727" s="346"/>
      <c r="T727" s="347"/>
      <c r="U727" s="345"/>
      <c r="V727" s="317"/>
      <c r="W727" s="318"/>
      <c r="X727" s="288"/>
      <c r="Y727" s="220"/>
      <c r="Z727" s="220"/>
      <c r="AA727" s="220"/>
      <c r="AB727" s="220"/>
      <c r="AC727" s="220"/>
      <c r="AD727" s="220"/>
      <c r="AE727" s="220"/>
      <c r="AF727" s="220"/>
      <c r="AG727" s="220"/>
      <c r="AH727" s="220"/>
      <c r="AI727" s="308"/>
      <c r="AJ727" s="220"/>
      <c r="AK727" s="220"/>
      <c r="AL727" s="220"/>
      <c r="AM727" s="220"/>
      <c r="AN727" s="220"/>
      <c r="AO727" s="220"/>
      <c r="AP727" s="220"/>
      <c r="AQ727" s="220"/>
      <c r="AR727" s="220"/>
      <c r="AS727" s="220"/>
      <c r="AT727" s="220"/>
      <c r="AU727" s="220"/>
      <c r="AV727" s="220"/>
      <c r="AW727" s="220"/>
      <c r="AX727" s="220"/>
      <c r="AY727" s="220"/>
      <c r="AZ727" s="220"/>
      <c r="BA727" s="220"/>
      <c r="BB727" s="220"/>
    </row>
    <row r="728">
      <c r="A728" s="240"/>
      <c r="B728" s="319"/>
      <c r="C728" s="346"/>
      <c r="D728" s="346"/>
      <c r="E728" s="346"/>
      <c r="F728" s="346"/>
      <c r="G728" s="346"/>
      <c r="H728" s="346"/>
      <c r="I728" s="346"/>
      <c r="J728" s="346"/>
      <c r="K728" s="346"/>
      <c r="L728" s="346"/>
      <c r="M728" s="346"/>
      <c r="N728" s="346"/>
      <c r="O728" s="346"/>
      <c r="P728" s="346"/>
      <c r="Q728" s="346"/>
      <c r="R728" s="346"/>
      <c r="S728" s="346"/>
      <c r="T728" s="347"/>
      <c r="U728" s="345"/>
      <c r="V728" s="317"/>
      <c r="W728" s="318"/>
      <c r="X728" s="288"/>
      <c r="Y728" s="220"/>
      <c r="Z728" s="220"/>
      <c r="AA728" s="220"/>
      <c r="AB728" s="220"/>
      <c r="AC728" s="220"/>
      <c r="AD728" s="220"/>
      <c r="AE728" s="220"/>
      <c r="AF728" s="220"/>
      <c r="AG728" s="220"/>
      <c r="AH728" s="220"/>
      <c r="AI728" s="308"/>
      <c r="AJ728" s="220"/>
      <c r="AK728" s="220"/>
      <c r="AL728" s="220"/>
      <c r="AM728" s="220"/>
      <c r="AN728" s="220"/>
      <c r="AO728" s="220"/>
      <c r="AP728" s="220"/>
      <c r="AQ728" s="220"/>
      <c r="AR728" s="220"/>
      <c r="AS728" s="220"/>
      <c r="AT728" s="220"/>
      <c r="AU728" s="220"/>
      <c r="AV728" s="220"/>
      <c r="AW728" s="220"/>
      <c r="AX728" s="220"/>
      <c r="AY728" s="220"/>
      <c r="AZ728" s="220"/>
      <c r="BA728" s="220"/>
      <c r="BB728" s="220"/>
    </row>
    <row r="729">
      <c r="A729" s="240"/>
      <c r="B729" s="319"/>
      <c r="C729" s="346"/>
      <c r="D729" s="346"/>
      <c r="E729" s="346"/>
      <c r="F729" s="346"/>
      <c r="G729" s="346"/>
      <c r="H729" s="346"/>
      <c r="I729" s="346"/>
      <c r="J729" s="346"/>
      <c r="K729" s="346"/>
      <c r="L729" s="346"/>
      <c r="M729" s="346"/>
      <c r="N729" s="346"/>
      <c r="O729" s="346"/>
      <c r="P729" s="346"/>
      <c r="Q729" s="346"/>
      <c r="R729" s="346"/>
      <c r="S729" s="346"/>
      <c r="T729" s="347"/>
      <c r="U729" s="345"/>
      <c r="V729" s="317"/>
      <c r="W729" s="318"/>
      <c r="X729" s="288"/>
      <c r="Y729" s="220"/>
      <c r="Z729" s="220"/>
      <c r="AA729" s="220"/>
      <c r="AB729" s="220"/>
      <c r="AC729" s="220"/>
      <c r="AD729" s="220"/>
      <c r="AE729" s="220"/>
      <c r="AF729" s="220"/>
      <c r="AG729" s="220"/>
      <c r="AH729" s="220"/>
      <c r="AI729" s="308"/>
      <c r="AJ729" s="220"/>
      <c r="AK729" s="220"/>
      <c r="AL729" s="220"/>
      <c r="AM729" s="220"/>
      <c r="AN729" s="220"/>
      <c r="AO729" s="220"/>
      <c r="AP729" s="220"/>
      <c r="AQ729" s="220"/>
      <c r="AR729" s="220"/>
      <c r="AS729" s="220"/>
      <c r="AT729" s="220"/>
      <c r="AU729" s="220"/>
      <c r="AV729" s="220"/>
      <c r="AW729" s="220"/>
      <c r="AX729" s="220"/>
      <c r="AY729" s="220"/>
      <c r="AZ729" s="220"/>
      <c r="BA729" s="220"/>
      <c r="BB729" s="220"/>
    </row>
    <row r="730">
      <c r="A730" s="240"/>
      <c r="B730" s="319"/>
      <c r="C730" s="346"/>
      <c r="D730" s="346"/>
      <c r="E730" s="346"/>
      <c r="F730" s="346"/>
      <c r="G730" s="346"/>
      <c r="H730" s="346"/>
      <c r="I730" s="346"/>
      <c r="J730" s="346"/>
      <c r="K730" s="346"/>
      <c r="L730" s="346"/>
      <c r="M730" s="346"/>
      <c r="N730" s="346"/>
      <c r="O730" s="346"/>
      <c r="P730" s="346"/>
      <c r="Q730" s="346"/>
      <c r="R730" s="346"/>
      <c r="S730" s="346"/>
      <c r="T730" s="347"/>
      <c r="U730" s="345"/>
      <c r="V730" s="317"/>
      <c r="W730" s="318"/>
      <c r="X730" s="288"/>
      <c r="Y730" s="220"/>
      <c r="Z730" s="220"/>
      <c r="AA730" s="220"/>
      <c r="AB730" s="220"/>
      <c r="AC730" s="220"/>
      <c r="AD730" s="220"/>
      <c r="AE730" s="220"/>
      <c r="AF730" s="220"/>
      <c r="AG730" s="220"/>
      <c r="AH730" s="220"/>
      <c r="AI730" s="308"/>
      <c r="AJ730" s="220"/>
      <c r="AK730" s="220"/>
      <c r="AL730" s="220"/>
      <c r="AM730" s="220"/>
      <c r="AN730" s="220"/>
      <c r="AO730" s="220"/>
      <c r="AP730" s="220"/>
      <c r="AQ730" s="220"/>
      <c r="AR730" s="220"/>
      <c r="AS730" s="220"/>
      <c r="AT730" s="220"/>
      <c r="AU730" s="220"/>
      <c r="AV730" s="220"/>
      <c r="AW730" s="220"/>
      <c r="AX730" s="220"/>
      <c r="AY730" s="220"/>
      <c r="AZ730" s="220"/>
      <c r="BA730" s="220"/>
      <c r="BB730" s="220"/>
    </row>
    <row r="731">
      <c r="A731" s="240"/>
      <c r="B731" s="319"/>
      <c r="C731" s="346"/>
      <c r="D731" s="346"/>
      <c r="E731" s="346"/>
      <c r="F731" s="346"/>
      <c r="G731" s="346"/>
      <c r="H731" s="346"/>
      <c r="I731" s="346"/>
      <c r="J731" s="346"/>
      <c r="K731" s="346"/>
      <c r="L731" s="346"/>
      <c r="M731" s="346"/>
      <c r="N731" s="346"/>
      <c r="O731" s="346"/>
      <c r="P731" s="346"/>
      <c r="Q731" s="346"/>
      <c r="R731" s="346"/>
      <c r="S731" s="346"/>
      <c r="T731" s="347"/>
      <c r="U731" s="345"/>
      <c r="V731" s="317"/>
      <c r="W731" s="318"/>
      <c r="X731" s="288"/>
      <c r="Y731" s="220"/>
      <c r="Z731" s="220"/>
      <c r="AA731" s="220"/>
      <c r="AB731" s="220"/>
      <c r="AC731" s="220"/>
      <c r="AD731" s="220"/>
      <c r="AE731" s="220"/>
      <c r="AF731" s="220"/>
      <c r="AG731" s="220"/>
      <c r="AH731" s="220"/>
      <c r="AI731" s="308"/>
      <c r="AJ731" s="220"/>
      <c r="AK731" s="220"/>
      <c r="AL731" s="220"/>
      <c r="AM731" s="220"/>
      <c r="AN731" s="220"/>
      <c r="AO731" s="220"/>
      <c r="AP731" s="220"/>
      <c r="AQ731" s="220"/>
      <c r="AR731" s="220"/>
      <c r="AS731" s="220"/>
      <c r="AT731" s="220"/>
      <c r="AU731" s="220"/>
      <c r="AV731" s="220"/>
      <c r="AW731" s="220"/>
      <c r="AX731" s="220"/>
      <c r="AY731" s="220"/>
      <c r="AZ731" s="220"/>
      <c r="BA731" s="220"/>
      <c r="BB731" s="220"/>
    </row>
    <row r="732">
      <c r="A732" s="240"/>
      <c r="B732" s="319"/>
      <c r="C732" s="346"/>
      <c r="D732" s="346"/>
      <c r="E732" s="346"/>
      <c r="F732" s="346"/>
      <c r="G732" s="346"/>
      <c r="H732" s="346"/>
      <c r="I732" s="346"/>
      <c r="J732" s="346"/>
      <c r="K732" s="346"/>
      <c r="L732" s="346"/>
      <c r="M732" s="346"/>
      <c r="N732" s="346"/>
      <c r="O732" s="346"/>
      <c r="P732" s="346"/>
      <c r="Q732" s="346"/>
      <c r="R732" s="346"/>
      <c r="S732" s="346"/>
      <c r="T732" s="347"/>
      <c r="U732" s="345"/>
      <c r="V732" s="317"/>
      <c r="W732" s="318"/>
      <c r="X732" s="288"/>
      <c r="Y732" s="220"/>
      <c r="Z732" s="220"/>
      <c r="AA732" s="220"/>
      <c r="AB732" s="220"/>
      <c r="AC732" s="220"/>
      <c r="AD732" s="220"/>
      <c r="AE732" s="220"/>
      <c r="AF732" s="220"/>
      <c r="AG732" s="220"/>
      <c r="AH732" s="220"/>
      <c r="AI732" s="308"/>
      <c r="AJ732" s="220"/>
      <c r="AK732" s="220"/>
      <c r="AL732" s="220"/>
      <c r="AM732" s="220"/>
      <c r="AN732" s="220"/>
      <c r="AO732" s="220"/>
      <c r="AP732" s="220"/>
      <c r="AQ732" s="220"/>
      <c r="AR732" s="220"/>
      <c r="AS732" s="220"/>
      <c r="AT732" s="220"/>
      <c r="AU732" s="220"/>
      <c r="AV732" s="220"/>
      <c r="AW732" s="220"/>
      <c r="AX732" s="220"/>
      <c r="AY732" s="220"/>
      <c r="AZ732" s="220"/>
      <c r="BA732" s="220"/>
      <c r="BB732" s="220"/>
    </row>
    <row r="733">
      <c r="A733" s="240"/>
      <c r="B733" s="319"/>
      <c r="C733" s="346"/>
      <c r="D733" s="346"/>
      <c r="E733" s="346"/>
      <c r="F733" s="346"/>
      <c r="G733" s="346"/>
      <c r="H733" s="346"/>
      <c r="I733" s="346"/>
      <c r="J733" s="346"/>
      <c r="K733" s="346"/>
      <c r="L733" s="346"/>
      <c r="M733" s="346"/>
      <c r="N733" s="346"/>
      <c r="O733" s="346"/>
      <c r="P733" s="346"/>
      <c r="Q733" s="346"/>
      <c r="R733" s="346"/>
      <c r="S733" s="346"/>
      <c r="T733" s="347"/>
      <c r="U733" s="345"/>
      <c r="V733" s="317"/>
      <c r="W733" s="318"/>
      <c r="X733" s="288"/>
      <c r="Y733" s="220"/>
      <c r="Z733" s="220"/>
      <c r="AA733" s="220"/>
      <c r="AB733" s="220"/>
      <c r="AC733" s="220"/>
      <c r="AD733" s="220"/>
      <c r="AE733" s="220"/>
      <c r="AF733" s="220"/>
      <c r="AG733" s="220"/>
      <c r="AH733" s="220"/>
      <c r="AI733" s="308"/>
      <c r="AJ733" s="220"/>
      <c r="AK733" s="220"/>
      <c r="AL733" s="220"/>
      <c r="AM733" s="220"/>
      <c r="AN733" s="220"/>
      <c r="AO733" s="220"/>
      <c r="AP733" s="220"/>
      <c r="AQ733" s="220"/>
      <c r="AR733" s="220"/>
      <c r="AS733" s="220"/>
      <c r="AT733" s="220"/>
      <c r="AU733" s="220"/>
      <c r="AV733" s="220"/>
      <c r="AW733" s="220"/>
      <c r="AX733" s="220"/>
      <c r="AY733" s="220"/>
      <c r="AZ733" s="220"/>
      <c r="BA733" s="220"/>
      <c r="BB733" s="220"/>
    </row>
    <row r="734">
      <c r="A734" s="240"/>
      <c r="B734" s="319"/>
      <c r="C734" s="346"/>
      <c r="D734" s="346"/>
      <c r="E734" s="346"/>
      <c r="F734" s="346"/>
      <c r="G734" s="346"/>
      <c r="H734" s="346"/>
      <c r="I734" s="346"/>
      <c r="J734" s="346"/>
      <c r="K734" s="346"/>
      <c r="L734" s="346"/>
      <c r="M734" s="346"/>
      <c r="N734" s="346"/>
      <c r="O734" s="346"/>
      <c r="P734" s="346"/>
      <c r="Q734" s="346"/>
      <c r="R734" s="346"/>
      <c r="S734" s="346"/>
      <c r="T734" s="347"/>
      <c r="U734" s="345"/>
      <c r="V734" s="317"/>
      <c r="W734" s="318"/>
      <c r="X734" s="288"/>
      <c r="Y734" s="220"/>
      <c r="Z734" s="220"/>
      <c r="AA734" s="220"/>
      <c r="AB734" s="220"/>
      <c r="AC734" s="220"/>
      <c r="AD734" s="220"/>
      <c r="AE734" s="220"/>
      <c r="AF734" s="220"/>
      <c r="AG734" s="220"/>
      <c r="AH734" s="220"/>
      <c r="AI734" s="308"/>
      <c r="AJ734" s="220"/>
      <c r="AK734" s="220"/>
      <c r="AL734" s="220"/>
      <c r="AM734" s="220"/>
      <c r="AN734" s="220"/>
      <c r="AO734" s="220"/>
      <c r="AP734" s="220"/>
      <c r="AQ734" s="220"/>
      <c r="AR734" s="220"/>
      <c r="AS734" s="220"/>
      <c r="AT734" s="220"/>
      <c r="AU734" s="220"/>
      <c r="AV734" s="220"/>
      <c r="AW734" s="220"/>
      <c r="AX734" s="220"/>
      <c r="AY734" s="220"/>
      <c r="AZ734" s="220"/>
      <c r="BA734" s="220"/>
      <c r="BB734" s="220"/>
    </row>
    <row r="735">
      <c r="A735" s="240"/>
      <c r="B735" s="319"/>
      <c r="C735" s="346"/>
      <c r="D735" s="346"/>
      <c r="E735" s="346"/>
      <c r="F735" s="346"/>
      <c r="G735" s="346"/>
      <c r="H735" s="346"/>
      <c r="I735" s="346"/>
      <c r="J735" s="346"/>
      <c r="K735" s="346"/>
      <c r="L735" s="346"/>
      <c r="M735" s="346"/>
      <c r="N735" s="346"/>
      <c r="O735" s="346"/>
      <c r="P735" s="346"/>
      <c r="Q735" s="346"/>
      <c r="R735" s="346"/>
      <c r="S735" s="346"/>
      <c r="T735" s="347"/>
      <c r="U735" s="345"/>
      <c r="V735" s="317"/>
      <c r="W735" s="318"/>
      <c r="X735" s="288"/>
      <c r="Y735" s="220"/>
      <c r="Z735" s="220"/>
      <c r="AA735" s="220"/>
      <c r="AB735" s="220"/>
      <c r="AC735" s="220"/>
      <c r="AD735" s="220"/>
      <c r="AE735" s="220"/>
      <c r="AF735" s="220"/>
      <c r="AG735" s="220"/>
      <c r="AH735" s="220"/>
      <c r="AI735" s="308"/>
      <c r="AJ735" s="220"/>
      <c r="AK735" s="220"/>
      <c r="AL735" s="220"/>
      <c r="AM735" s="220"/>
      <c r="AN735" s="220"/>
      <c r="AO735" s="220"/>
      <c r="AP735" s="220"/>
      <c r="AQ735" s="220"/>
      <c r="AR735" s="220"/>
      <c r="AS735" s="220"/>
      <c r="AT735" s="220"/>
      <c r="AU735" s="220"/>
      <c r="AV735" s="220"/>
      <c r="AW735" s="220"/>
      <c r="AX735" s="220"/>
      <c r="AY735" s="220"/>
      <c r="AZ735" s="220"/>
      <c r="BA735" s="220"/>
      <c r="BB735" s="220"/>
    </row>
    <row r="736">
      <c r="A736" s="240"/>
      <c r="B736" s="319"/>
      <c r="C736" s="346"/>
      <c r="D736" s="346"/>
      <c r="E736" s="346"/>
      <c r="F736" s="346"/>
      <c r="G736" s="346"/>
      <c r="H736" s="346"/>
      <c r="I736" s="346"/>
      <c r="J736" s="346"/>
      <c r="K736" s="346"/>
      <c r="L736" s="346"/>
      <c r="M736" s="346"/>
      <c r="N736" s="346"/>
      <c r="O736" s="346"/>
      <c r="P736" s="346"/>
      <c r="Q736" s="346"/>
      <c r="R736" s="346"/>
      <c r="S736" s="346"/>
      <c r="T736" s="347"/>
      <c r="U736" s="345"/>
      <c r="V736" s="317"/>
      <c r="W736" s="318"/>
      <c r="X736" s="288"/>
      <c r="Y736" s="220"/>
      <c r="Z736" s="220"/>
      <c r="AA736" s="220"/>
      <c r="AB736" s="220"/>
      <c r="AC736" s="220"/>
      <c r="AD736" s="220"/>
      <c r="AE736" s="220"/>
      <c r="AF736" s="220"/>
      <c r="AG736" s="220"/>
      <c r="AH736" s="220"/>
      <c r="AI736" s="308"/>
      <c r="AJ736" s="220"/>
      <c r="AK736" s="220"/>
      <c r="AL736" s="220"/>
      <c r="AM736" s="220"/>
      <c r="AN736" s="220"/>
      <c r="AO736" s="220"/>
      <c r="AP736" s="220"/>
      <c r="AQ736" s="220"/>
      <c r="AR736" s="220"/>
      <c r="AS736" s="220"/>
      <c r="AT736" s="220"/>
      <c r="AU736" s="220"/>
      <c r="AV736" s="220"/>
      <c r="AW736" s="220"/>
      <c r="AX736" s="220"/>
      <c r="AY736" s="220"/>
      <c r="AZ736" s="220"/>
      <c r="BA736" s="220"/>
      <c r="BB736" s="220"/>
    </row>
    <row r="737">
      <c r="A737" s="240"/>
      <c r="B737" s="319"/>
      <c r="C737" s="346"/>
      <c r="D737" s="346"/>
      <c r="E737" s="346"/>
      <c r="F737" s="346"/>
      <c r="G737" s="346"/>
      <c r="H737" s="346"/>
      <c r="I737" s="346"/>
      <c r="J737" s="346"/>
      <c r="K737" s="346"/>
      <c r="L737" s="346"/>
      <c r="M737" s="346"/>
      <c r="N737" s="346"/>
      <c r="O737" s="346"/>
      <c r="P737" s="346"/>
      <c r="Q737" s="346"/>
      <c r="R737" s="346"/>
      <c r="S737" s="346"/>
      <c r="T737" s="347"/>
      <c r="U737" s="345"/>
      <c r="V737" s="317"/>
      <c r="W737" s="318"/>
      <c r="X737" s="288"/>
      <c r="Y737" s="220"/>
      <c r="Z737" s="220"/>
      <c r="AA737" s="220"/>
      <c r="AB737" s="220"/>
      <c r="AC737" s="220"/>
      <c r="AD737" s="220"/>
      <c r="AE737" s="220"/>
      <c r="AF737" s="220"/>
      <c r="AG737" s="220"/>
      <c r="AH737" s="220"/>
      <c r="AI737" s="308"/>
      <c r="AJ737" s="220"/>
      <c r="AK737" s="220"/>
      <c r="AL737" s="220"/>
      <c r="AM737" s="220"/>
      <c r="AN737" s="220"/>
      <c r="AO737" s="220"/>
      <c r="AP737" s="220"/>
      <c r="AQ737" s="220"/>
      <c r="AR737" s="220"/>
      <c r="AS737" s="220"/>
      <c r="AT737" s="220"/>
      <c r="AU737" s="220"/>
      <c r="AV737" s="220"/>
      <c r="AW737" s="220"/>
      <c r="AX737" s="220"/>
      <c r="AY737" s="220"/>
      <c r="AZ737" s="220"/>
      <c r="BA737" s="220"/>
      <c r="BB737" s="220"/>
    </row>
    <row r="738">
      <c r="A738" s="240"/>
      <c r="B738" s="319"/>
      <c r="C738" s="346"/>
      <c r="D738" s="346"/>
      <c r="E738" s="346"/>
      <c r="F738" s="346"/>
      <c r="G738" s="346"/>
      <c r="H738" s="346"/>
      <c r="I738" s="346"/>
      <c r="J738" s="346"/>
      <c r="K738" s="346"/>
      <c r="L738" s="346"/>
      <c r="M738" s="346"/>
      <c r="N738" s="346"/>
      <c r="O738" s="346"/>
      <c r="P738" s="346"/>
      <c r="Q738" s="346"/>
      <c r="R738" s="346"/>
      <c r="S738" s="346"/>
      <c r="T738" s="347"/>
      <c r="U738" s="345"/>
      <c r="V738" s="317"/>
      <c r="W738" s="318"/>
      <c r="X738" s="288"/>
      <c r="Y738" s="220"/>
      <c r="Z738" s="220"/>
      <c r="AA738" s="220"/>
      <c r="AB738" s="220"/>
      <c r="AC738" s="220"/>
      <c r="AD738" s="220"/>
      <c r="AE738" s="220"/>
      <c r="AF738" s="220"/>
      <c r="AG738" s="220"/>
      <c r="AH738" s="220"/>
      <c r="AI738" s="308"/>
      <c r="AJ738" s="220"/>
      <c r="AK738" s="220"/>
      <c r="AL738" s="220"/>
      <c r="AM738" s="220"/>
      <c r="AN738" s="220"/>
      <c r="AO738" s="220"/>
      <c r="AP738" s="220"/>
      <c r="AQ738" s="220"/>
      <c r="AR738" s="220"/>
      <c r="AS738" s="220"/>
      <c r="AT738" s="220"/>
      <c r="AU738" s="220"/>
      <c r="AV738" s="220"/>
      <c r="AW738" s="220"/>
      <c r="AX738" s="220"/>
      <c r="AY738" s="220"/>
      <c r="AZ738" s="220"/>
      <c r="BA738" s="220"/>
      <c r="BB738" s="220"/>
    </row>
    <row r="739">
      <c r="A739" s="240"/>
      <c r="B739" s="319"/>
      <c r="C739" s="346"/>
      <c r="D739" s="346"/>
      <c r="E739" s="346"/>
      <c r="F739" s="346"/>
      <c r="G739" s="346"/>
      <c r="H739" s="346"/>
      <c r="I739" s="346"/>
      <c r="J739" s="346"/>
      <c r="K739" s="346"/>
      <c r="L739" s="346"/>
      <c r="M739" s="346"/>
      <c r="N739" s="346"/>
      <c r="O739" s="346"/>
      <c r="P739" s="346"/>
      <c r="Q739" s="346"/>
      <c r="R739" s="346"/>
      <c r="S739" s="346"/>
      <c r="T739" s="347"/>
      <c r="U739" s="345"/>
      <c r="V739" s="317"/>
      <c r="W739" s="318"/>
      <c r="X739" s="288"/>
      <c r="Y739" s="220"/>
      <c r="Z739" s="220"/>
      <c r="AA739" s="220"/>
      <c r="AB739" s="220"/>
      <c r="AC739" s="220"/>
      <c r="AD739" s="220"/>
      <c r="AE739" s="220"/>
      <c r="AF739" s="220"/>
      <c r="AG739" s="220"/>
      <c r="AH739" s="220"/>
      <c r="AI739" s="308"/>
      <c r="AJ739" s="220"/>
      <c r="AK739" s="220"/>
      <c r="AL739" s="220"/>
      <c r="AM739" s="220"/>
      <c r="AN739" s="220"/>
      <c r="AO739" s="220"/>
      <c r="AP739" s="220"/>
      <c r="AQ739" s="220"/>
      <c r="AR739" s="220"/>
      <c r="AS739" s="220"/>
      <c r="AT739" s="220"/>
      <c r="AU739" s="220"/>
      <c r="AV739" s="220"/>
      <c r="AW739" s="220"/>
      <c r="AX739" s="220"/>
      <c r="AY739" s="220"/>
      <c r="AZ739" s="220"/>
      <c r="BA739" s="220"/>
      <c r="BB739" s="220"/>
    </row>
    <row r="740">
      <c r="A740" s="240"/>
      <c r="B740" s="319"/>
      <c r="C740" s="346"/>
      <c r="D740" s="346"/>
      <c r="E740" s="346"/>
      <c r="F740" s="346"/>
      <c r="G740" s="346"/>
      <c r="H740" s="346"/>
      <c r="I740" s="346"/>
      <c r="J740" s="346"/>
      <c r="K740" s="346"/>
      <c r="L740" s="346"/>
      <c r="M740" s="346"/>
      <c r="N740" s="346"/>
      <c r="O740" s="346"/>
      <c r="P740" s="346"/>
      <c r="Q740" s="346"/>
      <c r="R740" s="346"/>
      <c r="S740" s="346"/>
      <c r="T740" s="347"/>
      <c r="U740" s="345"/>
      <c r="V740" s="317"/>
      <c r="W740" s="318"/>
      <c r="X740" s="288"/>
      <c r="Y740" s="220"/>
      <c r="Z740" s="220"/>
      <c r="AA740" s="220"/>
      <c r="AB740" s="220"/>
      <c r="AC740" s="220"/>
      <c r="AD740" s="220"/>
      <c r="AE740" s="220"/>
      <c r="AF740" s="220"/>
      <c r="AG740" s="220"/>
      <c r="AH740" s="220"/>
      <c r="AI740" s="308"/>
      <c r="AJ740" s="220"/>
      <c r="AK740" s="220"/>
      <c r="AL740" s="220"/>
      <c r="AM740" s="220"/>
      <c r="AN740" s="220"/>
      <c r="AO740" s="220"/>
      <c r="AP740" s="220"/>
      <c r="AQ740" s="220"/>
      <c r="AR740" s="220"/>
      <c r="AS740" s="220"/>
      <c r="AT740" s="220"/>
      <c r="AU740" s="220"/>
      <c r="AV740" s="220"/>
      <c r="AW740" s="220"/>
      <c r="AX740" s="220"/>
      <c r="AY740" s="220"/>
      <c r="AZ740" s="220"/>
      <c r="BA740" s="220"/>
      <c r="BB740" s="220"/>
    </row>
    <row r="741">
      <c r="A741" s="240"/>
      <c r="B741" s="319"/>
      <c r="C741" s="346"/>
      <c r="D741" s="346"/>
      <c r="E741" s="346"/>
      <c r="F741" s="346"/>
      <c r="G741" s="346"/>
      <c r="H741" s="346"/>
      <c r="I741" s="346"/>
      <c r="J741" s="346"/>
      <c r="K741" s="346"/>
      <c r="L741" s="346"/>
      <c r="M741" s="346"/>
      <c r="N741" s="346"/>
      <c r="O741" s="346"/>
      <c r="P741" s="346"/>
      <c r="Q741" s="346"/>
      <c r="R741" s="346"/>
      <c r="S741" s="346"/>
      <c r="T741" s="347"/>
      <c r="U741" s="345"/>
      <c r="V741" s="317"/>
      <c r="W741" s="318"/>
      <c r="X741" s="288"/>
      <c r="Y741" s="220"/>
      <c r="Z741" s="220"/>
      <c r="AA741" s="220"/>
      <c r="AB741" s="220"/>
      <c r="AC741" s="220"/>
      <c r="AD741" s="220"/>
      <c r="AE741" s="220"/>
      <c r="AF741" s="220"/>
      <c r="AG741" s="220"/>
      <c r="AH741" s="220"/>
      <c r="AI741" s="308"/>
      <c r="AJ741" s="220"/>
      <c r="AK741" s="220"/>
      <c r="AL741" s="220"/>
      <c r="AM741" s="220"/>
      <c r="AN741" s="220"/>
      <c r="AO741" s="220"/>
      <c r="AP741" s="220"/>
      <c r="AQ741" s="220"/>
      <c r="AR741" s="220"/>
      <c r="AS741" s="220"/>
      <c r="AT741" s="220"/>
      <c r="AU741" s="220"/>
      <c r="AV741" s="220"/>
      <c r="AW741" s="220"/>
      <c r="AX741" s="220"/>
      <c r="AY741" s="220"/>
      <c r="AZ741" s="220"/>
      <c r="BA741" s="220"/>
      <c r="BB741" s="220"/>
    </row>
    <row r="742">
      <c r="A742" s="240"/>
      <c r="B742" s="319"/>
      <c r="C742" s="346"/>
      <c r="D742" s="346"/>
      <c r="E742" s="346"/>
      <c r="F742" s="346"/>
      <c r="G742" s="346"/>
      <c r="H742" s="346"/>
      <c r="I742" s="346"/>
      <c r="J742" s="346"/>
      <c r="K742" s="346"/>
      <c r="L742" s="346"/>
      <c r="M742" s="346"/>
      <c r="N742" s="346"/>
      <c r="O742" s="346"/>
      <c r="P742" s="346"/>
      <c r="Q742" s="346"/>
      <c r="R742" s="346"/>
      <c r="S742" s="346"/>
      <c r="T742" s="347"/>
      <c r="U742" s="345"/>
      <c r="V742" s="317"/>
      <c r="W742" s="318"/>
      <c r="X742" s="288"/>
      <c r="Y742" s="220"/>
      <c r="Z742" s="220"/>
      <c r="AA742" s="220"/>
      <c r="AB742" s="220"/>
      <c r="AC742" s="220"/>
      <c r="AD742" s="220"/>
      <c r="AE742" s="220"/>
      <c r="AF742" s="220"/>
      <c r="AG742" s="220"/>
      <c r="AH742" s="220"/>
      <c r="AI742" s="308"/>
      <c r="AJ742" s="220"/>
      <c r="AK742" s="220"/>
      <c r="AL742" s="220"/>
      <c r="AM742" s="220"/>
      <c r="AN742" s="220"/>
      <c r="AO742" s="220"/>
      <c r="AP742" s="220"/>
      <c r="AQ742" s="220"/>
      <c r="AR742" s="220"/>
      <c r="AS742" s="220"/>
      <c r="AT742" s="220"/>
      <c r="AU742" s="220"/>
      <c r="AV742" s="220"/>
      <c r="AW742" s="220"/>
      <c r="AX742" s="220"/>
      <c r="AY742" s="220"/>
      <c r="AZ742" s="220"/>
      <c r="BA742" s="220"/>
      <c r="BB742" s="220"/>
    </row>
    <row r="743">
      <c r="A743" s="240"/>
      <c r="B743" s="319"/>
      <c r="C743" s="346"/>
      <c r="D743" s="346"/>
      <c r="E743" s="346"/>
      <c r="F743" s="346"/>
      <c r="G743" s="346"/>
      <c r="H743" s="346"/>
      <c r="I743" s="346"/>
      <c r="J743" s="346"/>
      <c r="K743" s="346"/>
      <c r="L743" s="346"/>
      <c r="M743" s="346"/>
      <c r="N743" s="346"/>
      <c r="O743" s="346"/>
      <c r="P743" s="346"/>
      <c r="Q743" s="346"/>
      <c r="R743" s="346"/>
      <c r="S743" s="346"/>
      <c r="T743" s="347"/>
      <c r="U743" s="345"/>
      <c r="V743" s="317"/>
      <c r="W743" s="318"/>
      <c r="X743" s="288"/>
      <c r="Y743" s="220"/>
      <c r="Z743" s="220"/>
      <c r="AA743" s="220"/>
      <c r="AB743" s="220"/>
      <c r="AC743" s="220"/>
      <c r="AD743" s="220"/>
      <c r="AE743" s="220"/>
      <c r="AF743" s="220"/>
      <c r="AG743" s="220"/>
      <c r="AH743" s="220"/>
      <c r="AI743" s="308"/>
      <c r="AJ743" s="220"/>
      <c r="AK743" s="220"/>
      <c r="AL743" s="220"/>
      <c r="AM743" s="220"/>
      <c r="AN743" s="220"/>
      <c r="AO743" s="220"/>
      <c r="AP743" s="220"/>
      <c r="AQ743" s="220"/>
      <c r="AR743" s="220"/>
      <c r="AS743" s="220"/>
      <c r="AT743" s="220"/>
      <c r="AU743" s="220"/>
      <c r="AV743" s="220"/>
      <c r="AW743" s="220"/>
      <c r="AX743" s="220"/>
      <c r="AY743" s="220"/>
      <c r="AZ743" s="220"/>
      <c r="BA743" s="220"/>
      <c r="BB743" s="220"/>
    </row>
    <row r="744">
      <c r="A744" s="240"/>
      <c r="B744" s="319"/>
      <c r="C744" s="346"/>
      <c r="D744" s="346"/>
      <c r="E744" s="346"/>
      <c r="F744" s="346"/>
      <c r="G744" s="346"/>
      <c r="H744" s="346"/>
      <c r="I744" s="346"/>
      <c r="J744" s="346"/>
      <c r="K744" s="346"/>
      <c r="L744" s="346"/>
      <c r="M744" s="346"/>
      <c r="N744" s="346"/>
      <c r="O744" s="346"/>
      <c r="P744" s="346"/>
      <c r="Q744" s="346"/>
      <c r="R744" s="346"/>
      <c r="S744" s="346"/>
      <c r="T744" s="347"/>
      <c r="U744" s="345"/>
      <c r="V744" s="317"/>
      <c r="W744" s="318"/>
      <c r="X744" s="288"/>
      <c r="Y744" s="220"/>
      <c r="Z744" s="220"/>
      <c r="AA744" s="220"/>
      <c r="AB744" s="220"/>
      <c r="AC744" s="220"/>
      <c r="AD744" s="220"/>
      <c r="AE744" s="220"/>
      <c r="AF744" s="220"/>
      <c r="AG744" s="220"/>
      <c r="AH744" s="220"/>
      <c r="AI744" s="308"/>
      <c r="AJ744" s="220"/>
      <c r="AK744" s="220"/>
      <c r="AL744" s="220"/>
      <c r="AM744" s="220"/>
      <c r="AN744" s="220"/>
      <c r="AO744" s="220"/>
      <c r="AP744" s="220"/>
      <c r="AQ744" s="220"/>
      <c r="AR744" s="220"/>
      <c r="AS744" s="220"/>
      <c r="AT744" s="220"/>
      <c r="AU744" s="220"/>
      <c r="AV744" s="220"/>
      <c r="AW744" s="220"/>
      <c r="AX744" s="220"/>
      <c r="AY744" s="220"/>
      <c r="AZ744" s="220"/>
      <c r="BA744" s="220"/>
      <c r="BB744" s="220"/>
    </row>
    <row r="745">
      <c r="A745" s="240"/>
      <c r="B745" s="319"/>
      <c r="C745" s="346"/>
      <c r="D745" s="346"/>
      <c r="E745" s="346"/>
      <c r="F745" s="346"/>
      <c r="G745" s="346"/>
      <c r="H745" s="346"/>
      <c r="I745" s="346"/>
      <c r="J745" s="346"/>
      <c r="K745" s="346"/>
      <c r="L745" s="346"/>
      <c r="M745" s="346"/>
      <c r="N745" s="346"/>
      <c r="O745" s="346"/>
      <c r="P745" s="346"/>
      <c r="Q745" s="346"/>
      <c r="R745" s="346"/>
      <c r="S745" s="346"/>
      <c r="T745" s="347"/>
      <c r="U745" s="345"/>
      <c r="V745" s="317"/>
      <c r="W745" s="318"/>
      <c r="X745" s="288"/>
      <c r="Y745" s="220"/>
      <c r="Z745" s="220"/>
      <c r="AA745" s="220"/>
      <c r="AB745" s="220"/>
      <c r="AC745" s="220"/>
      <c r="AD745" s="220"/>
      <c r="AE745" s="220"/>
      <c r="AF745" s="220"/>
      <c r="AG745" s="220"/>
      <c r="AH745" s="220"/>
      <c r="AI745" s="308"/>
      <c r="AJ745" s="220"/>
      <c r="AK745" s="220"/>
      <c r="AL745" s="220"/>
      <c r="AM745" s="220"/>
      <c r="AN745" s="220"/>
      <c r="AO745" s="220"/>
      <c r="AP745" s="220"/>
      <c r="AQ745" s="220"/>
      <c r="AR745" s="220"/>
      <c r="AS745" s="220"/>
      <c r="AT745" s="220"/>
      <c r="AU745" s="220"/>
      <c r="AV745" s="220"/>
      <c r="AW745" s="220"/>
      <c r="AX745" s="220"/>
      <c r="AY745" s="220"/>
      <c r="AZ745" s="220"/>
      <c r="BA745" s="220"/>
      <c r="BB745" s="220"/>
    </row>
    <row r="746">
      <c r="A746" s="240"/>
      <c r="B746" s="319"/>
      <c r="C746" s="346"/>
      <c r="D746" s="346"/>
      <c r="E746" s="346"/>
      <c r="F746" s="346"/>
      <c r="G746" s="346"/>
      <c r="H746" s="346"/>
      <c r="I746" s="346"/>
      <c r="J746" s="346"/>
      <c r="K746" s="346"/>
      <c r="L746" s="346"/>
      <c r="M746" s="346"/>
      <c r="N746" s="346"/>
      <c r="O746" s="346"/>
      <c r="P746" s="346"/>
      <c r="Q746" s="346"/>
      <c r="R746" s="346"/>
      <c r="S746" s="346"/>
      <c r="T746" s="347"/>
      <c r="U746" s="345"/>
      <c r="V746" s="317"/>
      <c r="W746" s="318"/>
      <c r="X746" s="288"/>
      <c r="Y746" s="220"/>
      <c r="Z746" s="220"/>
      <c r="AA746" s="220"/>
      <c r="AB746" s="220"/>
      <c r="AC746" s="220"/>
      <c r="AD746" s="220"/>
      <c r="AE746" s="220"/>
      <c r="AF746" s="220"/>
      <c r="AG746" s="220"/>
      <c r="AH746" s="220"/>
      <c r="AI746" s="308"/>
      <c r="AJ746" s="220"/>
      <c r="AK746" s="220"/>
      <c r="AL746" s="220"/>
      <c r="AM746" s="220"/>
      <c r="AN746" s="220"/>
      <c r="AO746" s="220"/>
      <c r="AP746" s="220"/>
      <c r="AQ746" s="220"/>
      <c r="AR746" s="220"/>
      <c r="AS746" s="220"/>
      <c r="AT746" s="220"/>
      <c r="AU746" s="220"/>
      <c r="AV746" s="220"/>
      <c r="AW746" s="220"/>
      <c r="AX746" s="220"/>
      <c r="AY746" s="220"/>
      <c r="AZ746" s="220"/>
      <c r="BA746" s="220"/>
      <c r="BB746" s="220"/>
    </row>
    <row r="747">
      <c r="A747" s="240"/>
      <c r="B747" s="319"/>
      <c r="C747" s="346"/>
      <c r="D747" s="346"/>
      <c r="E747" s="346"/>
      <c r="F747" s="346"/>
      <c r="G747" s="346"/>
      <c r="H747" s="346"/>
      <c r="I747" s="346"/>
      <c r="J747" s="346"/>
      <c r="K747" s="346"/>
      <c r="L747" s="346"/>
      <c r="M747" s="346"/>
      <c r="N747" s="346"/>
      <c r="O747" s="346"/>
      <c r="P747" s="346"/>
      <c r="Q747" s="346"/>
      <c r="R747" s="346"/>
      <c r="S747" s="346"/>
      <c r="T747" s="347"/>
      <c r="U747" s="345"/>
      <c r="V747" s="317"/>
      <c r="W747" s="318"/>
      <c r="X747" s="288"/>
      <c r="Y747" s="220"/>
      <c r="Z747" s="220"/>
      <c r="AA747" s="220"/>
      <c r="AB747" s="220"/>
      <c r="AC747" s="220"/>
      <c r="AD747" s="220"/>
      <c r="AE747" s="220"/>
      <c r="AF747" s="220"/>
      <c r="AG747" s="220"/>
      <c r="AH747" s="220"/>
      <c r="AI747" s="308"/>
      <c r="AJ747" s="220"/>
      <c r="AK747" s="220"/>
      <c r="AL747" s="220"/>
      <c r="AM747" s="220"/>
      <c r="AN747" s="220"/>
      <c r="AO747" s="220"/>
      <c r="AP747" s="220"/>
      <c r="AQ747" s="220"/>
      <c r="AR747" s="220"/>
      <c r="AS747" s="220"/>
      <c r="AT747" s="220"/>
      <c r="AU747" s="220"/>
      <c r="AV747" s="220"/>
      <c r="AW747" s="220"/>
      <c r="AX747" s="220"/>
      <c r="AY747" s="220"/>
      <c r="AZ747" s="220"/>
      <c r="BA747" s="220"/>
      <c r="BB747" s="220"/>
    </row>
    <row r="748">
      <c r="A748" s="240"/>
      <c r="B748" s="319"/>
      <c r="C748" s="346"/>
      <c r="D748" s="346"/>
      <c r="E748" s="346"/>
      <c r="F748" s="346"/>
      <c r="G748" s="346"/>
      <c r="H748" s="346"/>
      <c r="I748" s="346"/>
      <c r="J748" s="346"/>
      <c r="K748" s="346"/>
      <c r="L748" s="346"/>
      <c r="M748" s="346"/>
      <c r="N748" s="346"/>
      <c r="O748" s="346"/>
      <c r="P748" s="346"/>
      <c r="Q748" s="346"/>
      <c r="R748" s="346"/>
      <c r="S748" s="346"/>
      <c r="T748" s="347"/>
      <c r="U748" s="345"/>
      <c r="V748" s="317"/>
      <c r="W748" s="318"/>
      <c r="X748" s="288"/>
      <c r="Y748" s="220"/>
      <c r="Z748" s="220"/>
      <c r="AA748" s="220"/>
      <c r="AB748" s="220"/>
      <c r="AC748" s="220"/>
      <c r="AD748" s="220"/>
      <c r="AE748" s="220"/>
      <c r="AF748" s="220"/>
      <c r="AG748" s="220"/>
      <c r="AH748" s="220"/>
      <c r="AI748" s="308"/>
      <c r="AJ748" s="220"/>
      <c r="AK748" s="220"/>
      <c r="AL748" s="220"/>
      <c r="AM748" s="220"/>
      <c r="AN748" s="220"/>
      <c r="AO748" s="220"/>
      <c r="AP748" s="220"/>
      <c r="AQ748" s="220"/>
      <c r="AR748" s="220"/>
      <c r="AS748" s="220"/>
      <c r="AT748" s="220"/>
      <c r="AU748" s="220"/>
      <c r="AV748" s="220"/>
      <c r="AW748" s="220"/>
      <c r="AX748" s="220"/>
      <c r="AY748" s="220"/>
      <c r="AZ748" s="220"/>
      <c r="BA748" s="220"/>
      <c r="BB748" s="220"/>
    </row>
    <row r="749">
      <c r="A749" s="240"/>
      <c r="B749" s="319"/>
      <c r="C749" s="346"/>
      <c r="D749" s="346"/>
      <c r="E749" s="346"/>
      <c r="F749" s="346"/>
      <c r="G749" s="346"/>
      <c r="H749" s="346"/>
      <c r="I749" s="346"/>
      <c r="J749" s="346"/>
      <c r="K749" s="346"/>
      <c r="L749" s="346"/>
      <c r="M749" s="346"/>
      <c r="N749" s="346"/>
      <c r="O749" s="346"/>
      <c r="P749" s="346"/>
      <c r="Q749" s="346"/>
      <c r="R749" s="346"/>
      <c r="S749" s="346"/>
      <c r="T749" s="347"/>
      <c r="U749" s="345"/>
      <c r="V749" s="317"/>
      <c r="W749" s="318"/>
      <c r="X749" s="288"/>
      <c r="Y749" s="220"/>
      <c r="Z749" s="220"/>
      <c r="AA749" s="220"/>
      <c r="AB749" s="220"/>
      <c r="AC749" s="220"/>
      <c r="AD749" s="220"/>
      <c r="AE749" s="220"/>
      <c r="AF749" s="220"/>
      <c r="AG749" s="220"/>
      <c r="AH749" s="220"/>
      <c r="AI749" s="308"/>
      <c r="AJ749" s="220"/>
      <c r="AK749" s="220"/>
      <c r="AL749" s="220"/>
      <c r="AM749" s="220"/>
      <c r="AN749" s="220"/>
      <c r="AO749" s="220"/>
      <c r="AP749" s="220"/>
      <c r="AQ749" s="220"/>
      <c r="AR749" s="220"/>
      <c r="AS749" s="220"/>
      <c r="AT749" s="220"/>
      <c r="AU749" s="220"/>
      <c r="AV749" s="220"/>
      <c r="AW749" s="220"/>
      <c r="AX749" s="220"/>
      <c r="AY749" s="220"/>
      <c r="AZ749" s="220"/>
      <c r="BA749" s="220"/>
      <c r="BB749" s="220"/>
    </row>
    <row r="750">
      <c r="A750" s="240"/>
      <c r="B750" s="319"/>
      <c r="C750" s="346"/>
      <c r="D750" s="346"/>
      <c r="E750" s="346"/>
      <c r="F750" s="346"/>
      <c r="G750" s="346"/>
      <c r="H750" s="346"/>
      <c r="I750" s="346"/>
      <c r="J750" s="346"/>
      <c r="K750" s="346"/>
      <c r="L750" s="346"/>
      <c r="M750" s="346"/>
      <c r="N750" s="346"/>
      <c r="O750" s="346"/>
      <c r="P750" s="346"/>
      <c r="Q750" s="346"/>
      <c r="R750" s="346"/>
      <c r="S750" s="346"/>
      <c r="T750" s="347"/>
      <c r="U750" s="345"/>
      <c r="V750" s="317"/>
      <c r="W750" s="318"/>
      <c r="X750" s="288"/>
      <c r="Y750" s="220"/>
      <c r="Z750" s="220"/>
      <c r="AA750" s="220"/>
      <c r="AB750" s="220"/>
      <c r="AC750" s="220"/>
      <c r="AD750" s="220"/>
      <c r="AE750" s="220"/>
      <c r="AF750" s="220"/>
      <c r="AG750" s="220"/>
      <c r="AH750" s="220"/>
      <c r="AI750" s="308"/>
      <c r="AJ750" s="220"/>
      <c r="AK750" s="220"/>
      <c r="AL750" s="220"/>
      <c r="AM750" s="220"/>
      <c r="AN750" s="220"/>
      <c r="AO750" s="220"/>
      <c r="AP750" s="220"/>
      <c r="AQ750" s="220"/>
      <c r="AR750" s="220"/>
      <c r="AS750" s="220"/>
      <c r="AT750" s="220"/>
      <c r="AU750" s="220"/>
      <c r="AV750" s="220"/>
      <c r="AW750" s="220"/>
      <c r="AX750" s="220"/>
      <c r="AY750" s="220"/>
      <c r="AZ750" s="220"/>
      <c r="BA750" s="220"/>
      <c r="BB750" s="220"/>
    </row>
    <row r="751">
      <c r="A751" s="240"/>
      <c r="B751" s="319"/>
      <c r="C751" s="346"/>
      <c r="D751" s="346"/>
      <c r="E751" s="346"/>
      <c r="F751" s="346"/>
      <c r="G751" s="346"/>
      <c r="H751" s="346"/>
      <c r="I751" s="346"/>
      <c r="J751" s="346"/>
      <c r="K751" s="346"/>
      <c r="L751" s="346"/>
      <c r="M751" s="346"/>
      <c r="N751" s="346"/>
      <c r="O751" s="346"/>
      <c r="P751" s="346"/>
      <c r="Q751" s="346"/>
      <c r="R751" s="346"/>
      <c r="S751" s="346"/>
      <c r="T751" s="347"/>
      <c r="U751" s="345"/>
      <c r="V751" s="317"/>
      <c r="W751" s="318"/>
      <c r="X751" s="288"/>
      <c r="Y751" s="220"/>
      <c r="Z751" s="220"/>
      <c r="AA751" s="220"/>
      <c r="AB751" s="220"/>
      <c r="AC751" s="220"/>
      <c r="AD751" s="220"/>
      <c r="AE751" s="220"/>
      <c r="AF751" s="220"/>
      <c r="AG751" s="220"/>
      <c r="AH751" s="220"/>
      <c r="AI751" s="308"/>
      <c r="AJ751" s="220"/>
      <c r="AK751" s="220"/>
      <c r="AL751" s="220"/>
      <c r="AM751" s="220"/>
      <c r="AN751" s="220"/>
      <c r="AO751" s="220"/>
      <c r="AP751" s="220"/>
      <c r="AQ751" s="220"/>
      <c r="AR751" s="220"/>
      <c r="AS751" s="220"/>
      <c r="AT751" s="220"/>
      <c r="AU751" s="220"/>
      <c r="AV751" s="220"/>
      <c r="AW751" s="220"/>
      <c r="AX751" s="220"/>
      <c r="AY751" s="220"/>
      <c r="AZ751" s="220"/>
      <c r="BA751" s="220"/>
      <c r="BB751" s="220"/>
    </row>
    <row r="752">
      <c r="A752" s="240"/>
      <c r="B752" s="319"/>
      <c r="C752" s="346"/>
      <c r="D752" s="346"/>
      <c r="E752" s="346"/>
      <c r="F752" s="346"/>
      <c r="G752" s="346"/>
      <c r="H752" s="346"/>
      <c r="I752" s="346"/>
      <c r="J752" s="346"/>
      <c r="K752" s="346"/>
      <c r="L752" s="346"/>
      <c r="M752" s="346"/>
      <c r="N752" s="346"/>
      <c r="O752" s="346"/>
      <c r="P752" s="346"/>
      <c r="Q752" s="346"/>
      <c r="R752" s="346"/>
      <c r="S752" s="346"/>
      <c r="T752" s="347"/>
      <c r="U752" s="345"/>
      <c r="V752" s="317"/>
      <c r="W752" s="318"/>
      <c r="X752" s="288"/>
      <c r="Y752" s="220"/>
      <c r="Z752" s="220"/>
      <c r="AA752" s="220"/>
      <c r="AB752" s="220"/>
      <c r="AC752" s="220"/>
      <c r="AD752" s="220"/>
      <c r="AE752" s="220"/>
      <c r="AF752" s="220"/>
      <c r="AG752" s="220"/>
      <c r="AH752" s="220"/>
      <c r="AI752" s="308"/>
      <c r="AJ752" s="220"/>
      <c r="AK752" s="220"/>
      <c r="AL752" s="220"/>
      <c r="AM752" s="220"/>
      <c r="AN752" s="220"/>
      <c r="AO752" s="220"/>
      <c r="AP752" s="220"/>
      <c r="AQ752" s="220"/>
      <c r="AR752" s="220"/>
      <c r="AS752" s="220"/>
      <c r="AT752" s="220"/>
      <c r="AU752" s="220"/>
      <c r="AV752" s="220"/>
      <c r="AW752" s="220"/>
      <c r="AX752" s="220"/>
      <c r="AY752" s="220"/>
      <c r="AZ752" s="220"/>
      <c r="BA752" s="220"/>
      <c r="BB752" s="220"/>
    </row>
    <row r="753">
      <c r="A753" s="240"/>
      <c r="B753" s="319"/>
      <c r="C753" s="346"/>
      <c r="D753" s="346"/>
      <c r="E753" s="346"/>
      <c r="F753" s="346"/>
      <c r="G753" s="346"/>
      <c r="H753" s="346"/>
      <c r="I753" s="346"/>
      <c r="J753" s="346"/>
      <c r="K753" s="346"/>
      <c r="L753" s="346"/>
      <c r="M753" s="346"/>
      <c r="N753" s="346"/>
      <c r="O753" s="346"/>
      <c r="P753" s="346"/>
      <c r="Q753" s="346"/>
      <c r="R753" s="346"/>
      <c r="S753" s="346"/>
      <c r="T753" s="347"/>
      <c r="U753" s="345"/>
      <c r="V753" s="317"/>
      <c r="W753" s="318"/>
      <c r="X753" s="288"/>
      <c r="Y753" s="220"/>
      <c r="Z753" s="220"/>
      <c r="AA753" s="220"/>
      <c r="AB753" s="220"/>
      <c r="AC753" s="220"/>
      <c r="AD753" s="220"/>
      <c r="AE753" s="220"/>
      <c r="AF753" s="220"/>
      <c r="AG753" s="220"/>
      <c r="AH753" s="220"/>
      <c r="AI753" s="308"/>
      <c r="AJ753" s="220"/>
      <c r="AK753" s="220"/>
      <c r="AL753" s="220"/>
      <c r="AM753" s="220"/>
      <c r="AN753" s="220"/>
      <c r="AO753" s="220"/>
      <c r="AP753" s="220"/>
      <c r="AQ753" s="220"/>
      <c r="AR753" s="220"/>
      <c r="AS753" s="220"/>
      <c r="AT753" s="220"/>
      <c r="AU753" s="220"/>
      <c r="AV753" s="220"/>
      <c r="AW753" s="220"/>
      <c r="AX753" s="220"/>
      <c r="AY753" s="220"/>
      <c r="AZ753" s="220"/>
      <c r="BA753" s="220"/>
      <c r="BB753" s="220"/>
    </row>
    <row r="754">
      <c r="A754" s="240"/>
      <c r="B754" s="319"/>
      <c r="C754" s="346"/>
      <c r="D754" s="346"/>
      <c r="E754" s="346"/>
      <c r="F754" s="346"/>
      <c r="G754" s="346"/>
      <c r="H754" s="346"/>
      <c r="I754" s="346"/>
      <c r="J754" s="346"/>
      <c r="K754" s="346"/>
      <c r="L754" s="346"/>
      <c r="M754" s="346"/>
      <c r="N754" s="346"/>
      <c r="O754" s="346"/>
      <c r="P754" s="346"/>
      <c r="Q754" s="346"/>
      <c r="R754" s="346"/>
      <c r="S754" s="346"/>
      <c r="T754" s="347"/>
      <c r="U754" s="345"/>
      <c r="V754" s="317"/>
      <c r="W754" s="318"/>
      <c r="X754" s="288"/>
      <c r="Y754" s="220"/>
      <c r="Z754" s="220"/>
      <c r="AA754" s="220"/>
      <c r="AB754" s="220"/>
      <c r="AC754" s="220"/>
      <c r="AD754" s="220"/>
      <c r="AE754" s="220"/>
      <c r="AF754" s="220"/>
      <c r="AG754" s="220"/>
      <c r="AH754" s="220"/>
      <c r="AI754" s="308"/>
      <c r="AJ754" s="220"/>
      <c r="AK754" s="220"/>
      <c r="AL754" s="220"/>
      <c r="AM754" s="220"/>
      <c r="AN754" s="220"/>
      <c r="AO754" s="220"/>
      <c r="AP754" s="220"/>
      <c r="AQ754" s="220"/>
      <c r="AR754" s="220"/>
      <c r="AS754" s="220"/>
      <c r="AT754" s="220"/>
      <c r="AU754" s="220"/>
      <c r="AV754" s="220"/>
      <c r="AW754" s="220"/>
      <c r="AX754" s="220"/>
      <c r="AY754" s="220"/>
      <c r="AZ754" s="220"/>
      <c r="BA754" s="220"/>
      <c r="BB754" s="220"/>
    </row>
    <row r="755">
      <c r="A755" s="240"/>
      <c r="B755" s="319"/>
      <c r="C755" s="346"/>
      <c r="D755" s="346"/>
      <c r="E755" s="346"/>
      <c r="F755" s="346"/>
      <c r="G755" s="346"/>
      <c r="H755" s="346"/>
      <c r="I755" s="346"/>
      <c r="J755" s="346"/>
      <c r="K755" s="346"/>
      <c r="L755" s="346"/>
      <c r="M755" s="346"/>
      <c r="N755" s="346"/>
      <c r="O755" s="346"/>
      <c r="P755" s="346"/>
      <c r="Q755" s="346"/>
      <c r="R755" s="346"/>
      <c r="S755" s="346"/>
      <c r="T755" s="347"/>
      <c r="U755" s="345"/>
      <c r="V755" s="317"/>
      <c r="W755" s="318"/>
      <c r="X755" s="288"/>
      <c r="Y755" s="220"/>
      <c r="Z755" s="220"/>
      <c r="AA755" s="220"/>
      <c r="AB755" s="220"/>
      <c r="AC755" s="220"/>
      <c r="AD755" s="220"/>
      <c r="AE755" s="220"/>
      <c r="AF755" s="220"/>
      <c r="AG755" s="220"/>
      <c r="AH755" s="220"/>
      <c r="AI755" s="308"/>
      <c r="AJ755" s="220"/>
      <c r="AK755" s="220"/>
      <c r="AL755" s="220"/>
      <c r="AM755" s="220"/>
      <c r="AN755" s="220"/>
      <c r="AO755" s="220"/>
      <c r="AP755" s="220"/>
      <c r="AQ755" s="220"/>
      <c r="AR755" s="220"/>
      <c r="AS755" s="220"/>
      <c r="AT755" s="220"/>
      <c r="AU755" s="220"/>
      <c r="AV755" s="220"/>
      <c r="AW755" s="220"/>
      <c r="AX755" s="220"/>
      <c r="AY755" s="220"/>
      <c r="AZ755" s="220"/>
      <c r="BA755" s="220"/>
      <c r="BB755" s="220"/>
    </row>
    <row r="756">
      <c r="A756" s="240"/>
      <c r="B756" s="319"/>
      <c r="C756" s="346"/>
      <c r="D756" s="346"/>
      <c r="E756" s="346"/>
      <c r="F756" s="346"/>
      <c r="G756" s="346"/>
      <c r="H756" s="346"/>
      <c r="I756" s="346"/>
      <c r="J756" s="346"/>
      <c r="K756" s="346"/>
      <c r="L756" s="346"/>
      <c r="M756" s="346"/>
      <c r="N756" s="346"/>
      <c r="O756" s="346"/>
      <c r="P756" s="346"/>
      <c r="Q756" s="346"/>
      <c r="R756" s="346"/>
      <c r="S756" s="346"/>
      <c r="T756" s="347"/>
      <c r="U756" s="345"/>
      <c r="V756" s="317"/>
      <c r="W756" s="318"/>
      <c r="X756" s="288"/>
      <c r="Y756" s="220"/>
      <c r="Z756" s="220"/>
      <c r="AA756" s="220"/>
      <c r="AB756" s="220"/>
      <c r="AC756" s="220"/>
      <c r="AD756" s="220"/>
      <c r="AE756" s="220"/>
      <c r="AF756" s="220"/>
      <c r="AG756" s="220"/>
      <c r="AH756" s="220"/>
      <c r="AI756" s="308"/>
      <c r="AJ756" s="220"/>
      <c r="AK756" s="220"/>
      <c r="AL756" s="220"/>
      <c r="AM756" s="220"/>
      <c r="AN756" s="220"/>
      <c r="AO756" s="220"/>
      <c r="AP756" s="220"/>
      <c r="AQ756" s="220"/>
      <c r="AR756" s="220"/>
      <c r="AS756" s="220"/>
      <c r="AT756" s="220"/>
      <c r="AU756" s="220"/>
      <c r="AV756" s="220"/>
      <c r="AW756" s="220"/>
      <c r="AX756" s="220"/>
      <c r="AY756" s="220"/>
      <c r="AZ756" s="220"/>
      <c r="BA756" s="220"/>
      <c r="BB756" s="220"/>
    </row>
    <row r="757">
      <c r="A757" s="240"/>
      <c r="B757" s="319"/>
      <c r="C757" s="346"/>
      <c r="D757" s="346"/>
      <c r="E757" s="346"/>
      <c r="F757" s="346"/>
      <c r="G757" s="346"/>
      <c r="H757" s="346"/>
      <c r="I757" s="346"/>
      <c r="J757" s="346"/>
      <c r="K757" s="346"/>
      <c r="L757" s="346"/>
      <c r="M757" s="346"/>
      <c r="N757" s="346"/>
      <c r="O757" s="346"/>
      <c r="P757" s="346"/>
      <c r="Q757" s="346"/>
      <c r="R757" s="346"/>
      <c r="S757" s="346"/>
      <c r="T757" s="347"/>
      <c r="U757" s="345"/>
      <c r="V757" s="317"/>
      <c r="W757" s="318"/>
      <c r="X757" s="288"/>
      <c r="Y757" s="220"/>
      <c r="Z757" s="220"/>
      <c r="AA757" s="220"/>
      <c r="AB757" s="220"/>
      <c r="AC757" s="220"/>
      <c r="AD757" s="220"/>
      <c r="AE757" s="220"/>
      <c r="AF757" s="220"/>
      <c r="AG757" s="220"/>
      <c r="AH757" s="220"/>
      <c r="AI757" s="308"/>
      <c r="AJ757" s="220"/>
      <c r="AK757" s="220"/>
      <c r="AL757" s="220"/>
      <c r="AM757" s="220"/>
      <c r="AN757" s="220"/>
      <c r="AO757" s="220"/>
      <c r="AP757" s="220"/>
      <c r="AQ757" s="220"/>
      <c r="AR757" s="220"/>
      <c r="AS757" s="220"/>
      <c r="AT757" s="220"/>
      <c r="AU757" s="220"/>
      <c r="AV757" s="220"/>
      <c r="AW757" s="220"/>
      <c r="AX757" s="220"/>
      <c r="AY757" s="220"/>
      <c r="AZ757" s="220"/>
      <c r="BA757" s="220"/>
      <c r="BB757" s="220"/>
    </row>
    <row r="758">
      <c r="A758" s="240"/>
      <c r="B758" s="319"/>
      <c r="C758" s="346"/>
      <c r="D758" s="346"/>
      <c r="E758" s="346"/>
      <c r="F758" s="346"/>
      <c r="G758" s="346"/>
      <c r="H758" s="346"/>
      <c r="I758" s="346"/>
      <c r="J758" s="346"/>
      <c r="K758" s="346"/>
      <c r="L758" s="346"/>
      <c r="M758" s="346"/>
      <c r="N758" s="346"/>
      <c r="O758" s="346"/>
      <c r="P758" s="346"/>
      <c r="Q758" s="346"/>
      <c r="R758" s="346"/>
      <c r="S758" s="346"/>
      <c r="T758" s="347"/>
      <c r="U758" s="345"/>
      <c r="V758" s="317"/>
      <c r="W758" s="318"/>
      <c r="X758" s="288"/>
      <c r="Y758" s="220"/>
      <c r="Z758" s="220"/>
      <c r="AA758" s="220"/>
      <c r="AB758" s="220"/>
      <c r="AC758" s="220"/>
      <c r="AD758" s="220"/>
      <c r="AE758" s="220"/>
      <c r="AF758" s="220"/>
      <c r="AG758" s="220"/>
      <c r="AH758" s="220"/>
      <c r="AI758" s="308"/>
      <c r="AJ758" s="220"/>
      <c r="AK758" s="220"/>
      <c r="AL758" s="220"/>
      <c r="AM758" s="220"/>
      <c r="AN758" s="220"/>
      <c r="AO758" s="220"/>
      <c r="AP758" s="220"/>
      <c r="AQ758" s="220"/>
      <c r="AR758" s="220"/>
      <c r="AS758" s="220"/>
      <c r="AT758" s="220"/>
      <c r="AU758" s="220"/>
      <c r="AV758" s="220"/>
      <c r="AW758" s="220"/>
      <c r="AX758" s="220"/>
      <c r="AY758" s="220"/>
      <c r="AZ758" s="220"/>
      <c r="BA758" s="220"/>
      <c r="BB758" s="220"/>
    </row>
    <row r="759">
      <c r="A759" s="240"/>
      <c r="B759" s="319"/>
      <c r="C759" s="346"/>
      <c r="D759" s="346"/>
      <c r="E759" s="346"/>
      <c r="F759" s="346"/>
      <c r="G759" s="346"/>
      <c r="H759" s="346"/>
      <c r="I759" s="346"/>
      <c r="J759" s="346"/>
      <c r="K759" s="346"/>
      <c r="L759" s="346"/>
      <c r="M759" s="346"/>
      <c r="N759" s="346"/>
      <c r="O759" s="346"/>
      <c r="P759" s="346"/>
      <c r="Q759" s="346"/>
      <c r="R759" s="346"/>
      <c r="S759" s="346"/>
      <c r="T759" s="347"/>
      <c r="U759" s="345"/>
      <c r="V759" s="317"/>
      <c r="W759" s="318"/>
      <c r="X759" s="288"/>
      <c r="Y759" s="220"/>
      <c r="Z759" s="220"/>
      <c r="AA759" s="220"/>
      <c r="AB759" s="220"/>
      <c r="AC759" s="220"/>
      <c r="AD759" s="220"/>
      <c r="AE759" s="220"/>
      <c r="AF759" s="220"/>
      <c r="AG759" s="220"/>
      <c r="AH759" s="220"/>
      <c r="AI759" s="308"/>
      <c r="AJ759" s="220"/>
      <c r="AK759" s="220"/>
      <c r="AL759" s="220"/>
      <c r="AM759" s="220"/>
      <c r="AN759" s="220"/>
      <c r="AO759" s="220"/>
      <c r="AP759" s="220"/>
      <c r="AQ759" s="220"/>
      <c r="AR759" s="220"/>
      <c r="AS759" s="220"/>
      <c r="AT759" s="220"/>
      <c r="AU759" s="220"/>
      <c r="AV759" s="220"/>
      <c r="AW759" s="220"/>
      <c r="AX759" s="220"/>
      <c r="AY759" s="220"/>
      <c r="AZ759" s="220"/>
      <c r="BA759" s="220"/>
      <c r="BB759" s="220"/>
    </row>
    <row r="760">
      <c r="A760" s="240"/>
      <c r="B760" s="319"/>
      <c r="C760" s="346"/>
      <c r="D760" s="346"/>
      <c r="E760" s="346"/>
      <c r="F760" s="346"/>
      <c r="G760" s="346"/>
      <c r="H760" s="346"/>
      <c r="I760" s="346"/>
      <c r="J760" s="346"/>
      <c r="K760" s="346"/>
      <c r="L760" s="346"/>
      <c r="M760" s="346"/>
      <c r="N760" s="346"/>
      <c r="O760" s="346"/>
      <c r="P760" s="346"/>
      <c r="Q760" s="346"/>
      <c r="R760" s="346"/>
      <c r="S760" s="346"/>
      <c r="T760" s="347"/>
      <c r="U760" s="345"/>
      <c r="V760" s="317"/>
      <c r="W760" s="318"/>
      <c r="X760" s="288"/>
      <c r="Y760" s="220"/>
      <c r="Z760" s="220"/>
      <c r="AA760" s="220"/>
      <c r="AB760" s="220"/>
      <c r="AC760" s="220"/>
      <c r="AD760" s="220"/>
      <c r="AE760" s="220"/>
      <c r="AF760" s="220"/>
      <c r="AG760" s="220"/>
      <c r="AH760" s="220"/>
      <c r="AI760" s="308"/>
      <c r="AJ760" s="220"/>
      <c r="AK760" s="220"/>
      <c r="AL760" s="220"/>
      <c r="AM760" s="220"/>
      <c r="AN760" s="220"/>
      <c r="AO760" s="220"/>
      <c r="AP760" s="220"/>
      <c r="AQ760" s="220"/>
      <c r="AR760" s="220"/>
      <c r="AS760" s="220"/>
      <c r="AT760" s="220"/>
      <c r="AU760" s="220"/>
      <c r="AV760" s="220"/>
      <c r="AW760" s="220"/>
      <c r="AX760" s="220"/>
      <c r="AY760" s="220"/>
      <c r="AZ760" s="220"/>
      <c r="BA760" s="220"/>
      <c r="BB760" s="220"/>
    </row>
    <row r="761">
      <c r="A761" s="240"/>
      <c r="B761" s="319"/>
      <c r="C761" s="346"/>
      <c r="D761" s="346"/>
      <c r="E761" s="346"/>
      <c r="F761" s="346"/>
      <c r="G761" s="346"/>
      <c r="H761" s="346"/>
      <c r="I761" s="346"/>
      <c r="J761" s="346"/>
      <c r="K761" s="346"/>
      <c r="L761" s="346"/>
      <c r="M761" s="346"/>
      <c r="N761" s="346"/>
      <c r="O761" s="346"/>
      <c r="P761" s="346"/>
      <c r="Q761" s="346"/>
      <c r="R761" s="346"/>
      <c r="S761" s="346"/>
      <c r="T761" s="347"/>
      <c r="U761" s="345"/>
      <c r="V761" s="317"/>
      <c r="W761" s="318"/>
      <c r="X761" s="288"/>
      <c r="Y761" s="220"/>
      <c r="Z761" s="220"/>
      <c r="AA761" s="220"/>
      <c r="AB761" s="220"/>
      <c r="AC761" s="220"/>
      <c r="AD761" s="220"/>
      <c r="AE761" s="220"/>
      <c r="AF761" s="220"/>
      <c r="AG761" s="220"/>
      <c r="AH761" s="220"/>
      <c r="AI761" s="308"/>
      <c r="AJ761" s="220"/>
      <c r="AK761" s="220"/>
      <c r="AL761" s="220"/>
      <c r="AM761" s="220"/>
      <c r="AN761" s="220"/>
      <c r="AO761" s="220"/>
      <c r="AP761" s="220"/>
      <c r="AQ761" s="220"/>
      <c r="AR761" s="220"/>
      <c r="AS761" s="220"/>
      <c r="AT761" s="220"/>
      <c r="AU761" s="220"/>
      <c r="AV761" s="220"/>
      <c r="AW761" s="220"/>
      <c r="AX761" s="220"/>
      <c r="AY761" s="220"/>
      <c r="AZ761" s="220"/>
      <c r="BA761" s="220"/>
      <c r="BB761" s="220"/>
    </row>
    <row r="762">
      <c r="A762" s="240"/>
      <c r="B762" s="319"/>
      <c r="C762" s="346"/>
      <c r="D762" s="346"/>
      <c r="E762" s="346"/>
      <c r="F762" s="346"/>
      <c r="G762" s="346"/>
      <c r="H762" s="346"/>
      <c r="I762" s="346"/>
      <c r="J762" s="346"/>
      <c r="K762" s="346"/>
      <c r="L762" s="346"/>
      <c r="M762" s="346"/>
      <c r="N762" s="346"/>
      <c r="O762" s="346"/>
      <c r="P762" s="346"/>
      <c r="Q762" s="346"/>
      <c r="R762" s="346"/>
      <c r="S762" s="346"/>
      <c r="T762" s="347"/>
      <c r="U762" s="345"/>
      <c r="V762" s="317"/>
      <c r="W762" s="318"/>
      <c r="X762" s="288"/>
      <c r="Y762" s="220"/>
      <c r="Z762" s="220"/>
      <c r="AA762" s="220"/>
      <c r="AB762" s="220"/>
      <c r="AC762" s="220"/>
      <c r="AD762" s="220"/>
      <c r="AE762" s="220"/>
      <c r="AF762" s="220"/>
      <c r="AG762" s="220"/>
      <c r="AH762" s="220"/>
      <c r="AI762" s="308"/>
      <c r="AJ762" s="220"/>
      <c r="AK762" s="220"/>
      <c r="AL762" s="220"/>
      <c r="AM762" s="220"/>
      <c r="AN762" s="220"/>
      <c r="AO762" s="220"/>
      <c r="AP762" s="220"/>
      <c r="AQ762" s="220"/>
      <c r="AR762" s="220"/>
      <c r="AS762" s="220"/>
      <c r="AT762" s="220"/>
      <c r="AU762" s="220"/>
      <c r="AV762" s="220"/>
      <c r="AW762" s="220"/>
      <c r="AX762" s="220"/>
      <c r="AY762" s="220"/>
      <c r="AZ762" s="220"/>
      <c r="BA762" s="220"/>
      <c r="BB762" s="220"/>
    </row>
    <row r="763">
      <c r="A763" s="240"/>
      <c r="B763" s="319"/>
      <c r="C763" s="346"/>
      <c r="D763" s="346"/>
      <c r="E763" s="346"/>
      <c r="F763" s="346"/>
      <c r="G763" s="346"/>
      <c r="H763" s="346"/>
      <c r="I763" s="346"/>
      <c r="J763" s="346"/>
      <c r="K763" s="346"/>
      <c r="L763" s="346"/>
      <c r="M763" s="346"/>
      <c r="N763" s="346"/>
      <c r="O763" s="346"/>
      <c r="P763" s="346"/>
      <c r="Q763" s="346"/>
      <c r="R763" s="346"/>
      <c r="S763" s="346"/>
      <c r="T763" s="347"/>
      <c r="U763" s="345"/>
      <c r="V763" s="317"/>
      <c r="W763" s="318"/>
      <c r="X763" s="288"/>
      <c r="Y763" s="220"/>
      <c r="Z763" s="220"/>
      <c r="AA763" s="220"/>
      <c r="AB763" s="220"/>
      <c r="AC763" s="220"/>
      <c r="AD763" s="220"/>
      <c r="AE763" s="220"/>
      <c r="AF763" s="220"/>
      <c r="AG763" s="220"/>
      <c r="AH763" s="220"/>
      <c r="AI763" s="308"/>
      <c r="AJ763" s="220"/>
      <c r="AK763" s="220"/>
      <c r="AL763" s="220"/>
      <c r="AM763" s="220"/>
      <c r="AN763" s="220"/>
      <c r="AO763" s="220"/>
      <c r="AP763" s="220"/>
      <c r="AQ763" s="220"/>
      <c r="AR763" s="220"/>
      <c r="AS763" s="220"/>
      <c r="AT763" s="220"/>
      <c r="AU763" s="220"/>
      <c r="AV763" s="220"/>
      <c r="AW763" s="220"/>
      <c r="AX763" s="220"/>
      <c r="AY763" s="220"/>
      <c r="AZ763" s="220"/>
      <c r="BA763" s="220"/>
      <c r="BB763" s="220"/>
    </row>
    <row r="764">
      <c r="A764" s="240"/>
      <c r="B764" s="319"/>
      <c r="C764" s="346"/>
      <c r="D764" s="346"/>
      <c r="E764" s="346"/>
      <c r="F764" s="346"/>
      <c r="G764" s="346"/>
      <c r="H764" s="346"/>
      <c r="I764" s="346"/>
      <c r="J764" s="346"/>
      <c r="K764" s="346"/>
      <c r="L764" s="346"/>
      <c r="M764" s="346"/>
      <c r="N764" s="346"/>
      <c r="O764" s="346"/>
      <c r="P764" s="346"/>
      <c r="Q764" s="346"/>
      <c r="R764" s="346"/>
      <c r="S764" s="346"/>
      <c r="T764" s="347"/>
      <c r="U764" s="345"/>
      <c r="V764" s="317"/>
      <c r="W764" s="318"/>
      <c r="X764" s="288"/>
      <c r="Y764" s="220"/>
      <c r="Z764" s="220"/>
      <c r="AA764" s="220"/>
      <c r="AB764" s="220"/>
      <c r="AC764" s="220"/>
      <c r="AD764" s="220"/>
      <c r="AE764" s="220"/>
      <c r="AF764" s="220"/>
      <c r="AG764" s="220"/>
      <c r="AH764" s="220"/>
      <c r="AI764" s="308"/>
      <c r="AJ764" s="220"/>
      <c r="AK764" s="220"/>
      <c r="AL764" s="220"/>
      <c r="AM764" s="220"/>
      <c r="AN764" s="220"/>
      <c r="AO764" s="220"/>
      <c r="AP764" s="220"/>
      <c r="AQ764" s="220"/>
      <c r="AR764" s="220"/>
      <c r="AS764" s="220"/>
      <c r="AT764" s="220"/>
      <c r="AU764" s="220"/>
      <c r="AV764" s="220"/>
      <c r="AW764" s="220"/>
      <c r="AX764" s="220"/>
      <c r="AY764" s="220"/>
      <c r="AZ764" s="220"/>
      <c r="BA764" s="220"/>
      <c r="BB764" s="220"/>
    </row>
    <row r="765">
      <c r="A765" s="240"/>
      <c r="B765" s="319"/>
      <c r="C765" s="346"/>
      <c r="D765" s="346"/>
      <c r="E765" s="346"/>
      <c r="F765" s="346"/>
      <c r="G765" s="346"/>
      <c r="H765" s="346"/>
      <c r="I765" s="346"/>
      <c r="J765" s="346"/>
      <c r="K765" s="346"/>
      <c r="L765" s="346"/>
      <c r="M765" s="346"/>
      <c r="N765" s="346"/>
      <c r="O765" s="346"/>
      <c r="P765" s="346"/>
      <c r="Q765" s="346"/>
      <c r="R765" s="346"/>
      <c r="S765" s="346"/>
      <c r="T765" s="347"/>
      <c r="U765" s="345"/>
      <c r="V765" s="317"/>
      <c r="W765" s="318"/>
      <c r="X765" s="288"/>
      <c r="Y765" s="220"/>
      <c r="Z765" s="220"/>
      <c r="AA765" s="220"/>
      <c r="AB765" s="220"/>
      <c r="AC765" s="220"/>
      <c r="AD765" s="220"/>
      <c r="AE765" s="220"/>
      <c r="AF765" s="220"/>
      <c r="AG765" s="220"/>
      <c r="AH765" s="220"/>
      <c r="AI765" s="308"/>
      <c r="AJ765" s="220"/>
      <c r="AK765" s="220"/>
      <c r="AL765" s="220"/>
      <c r="AM765" s="220"/>
      <c r="AN765" s="220"/>
      <c r="AO765" s="220"/>
      <c r="AP765" s="220"/>
      <c r="AQ765" s="220"/>
      <c r="AR765" s="220"/>
      <c r="AS765" s="220"/>
      <c r="AT765" s="220"/>
      <c r="AU765" s="220"/>
      <c r="AV765" s="220"/>
      <c r="AW765" s="220"/>
      <c r="AX765" s="220"/>
      <c r="AY765" s="220"/>
      <c r="AZ765" s="220"/>
      <c r="BA765" s="220"/>
      <c r="BB765" s="220"/>
    </row>
    <row r="766">
      <c r="A766" s="240"/>
      <c r="B766" s="319"/>
      <c r="C766" s="346"/>
      <c r="D766" s="346"/>
      <c r="E766" s="346"/>
      <c r="F766" s="346"/>
      <c r="G766" s="346"/>
      <c r="H766" s="346"/>
      <c r="I766" s="346"/>
      <c r="J766" s="346"/>
      <c r="K766" s="346"/>
      <c r="L766" s="346"/>
      <c r="M766" s="346"/>
      <c r="N766" s="346"/>
      <c r="O766" s="346"/>
      <c r="P766" s="346"/>
      <c r="Q766" s="346"/>
      <c r="R766" s="346"/>
      <c r="S766" s="346"/>
      <c r="T766" s="347"/>
      <c r="U766" s="345"/>
      <c r="V766" s="317"/>
      <c r="W766" s="318"/>
      <c r="X766" s="288"/>
      <c r="Y766" s="220"/>
      <c r="Z766" s="220"/>
      <c r="AA766" s="220"/>
      <c r="AB766" s="220"/>
      <c r="AC766" s="220"/>
      <c r="AD766" s="220"/>
      <c r="AE766" s="220"/>
      <c r="AF766" s="220"/>
      <c r="AG766" s="220"/>
      <c r="AH766" s="220"/>
      <c r="AI766" s="308"/>
      <c r="AJ766" s="220"/>
      <c r="AK766" s="220"/>
      <c r="AL766" s="220"/>
      <c r="AM766" s="220"/>
      <c r="AN766" s="220"/>
      <c r="AO766" s="220"/>
      <c r="AP766" s="220"/>
      <c r="AQ766" s="220"/>
      <c r="AR766" s="220"/>
      <c r="AS766" s="220"/>
      <c r="AT766" s="220"/>
      <c r="AU766" s="220"/>
      <c r="AV766" s="220"/>
      <c r="AW766" s="220"/>
      <c r="AX766" s="220"/>
      <c r="AY766" s="220"/>
      <c r="AZ766" s="220"/>
      <c r="BA766" s="220"/>
      <c r="BB766" s="220"/>
    </row>
    <row r="767">
      <c r="A767" s="240"/>
      <c r="B767" s="319"/>
      <c r="C767" s="346"/>
      <c r="D767" s="346"/>
      <c r="E767" s="346"/>
      <c r="F767" s="346"/>
      <c r="G767" s="346"/>
      <c r="H767" s="346"/>
      <c r="I767" s="346"/>
      <c r="J767" s="346"/>
      <c r="K767" s="346"/>
      <c r="L767" s="346"/>
      <c r="M767" s="346"/>
      <c r="N767" s="346"/>
      <c r="O767" s="346"/>
      <c r="P767" s="346"/>
      <c r="Q767" s="346"/>
      <c r="R767" s="346"/>
      <c r="S767" s="346"/>
      <c r="T767" s="347"/>
      <c r="U767" s="345"/>
      <c r="V767" s="317"/>
      <c r="W767" s="318"/>
      <c r="X767" s="288"/>
      <c r="Y767" s="220"/>
      <c r="Z767" s="220"/>
      <c r="AA767" s="220"/>
      <c r="AB767" s="220"/>
      <c r="AC767" s="220"/>
      <c r="AD767" s="220"/>
      <c r="AE767" s="220"/>
      <c r="AF767" s="220"/>
      <c r="AG767" s="220"/>
      <c r="AH767" s="220"/>
      <c r="AI767" s="308"/>
      <c r="AJ767" s="220"/>
      <c r="AK767" s="220"/>
      <c r="AL767" s="220"/>
      <c r="AM767" s="220"/>
      <c r="AN767" s="220"/>
      <c r="AO767" s="220"/>
      <c r="AP767" s="220"/>
      <c r="AQ767" s="220"/>
      <c r="AR767" s="220"/>
      <c r="AS767" s="220"/>
      <c r="AT767" s="220"/>
      <c r="AU767" s="220"/>
      <c r="AV767" s="220"/>
      <c r="AW767" s="220"/>
      <c r="AX767" s="220"/>
      <c r="AY767" s="220"/>
      <c r="AZ767" s="220"/>
      <c r="BA767" s="220"/>
      <c r="BB767" s="220"/>
    </row>
    <row r="768">
      <c r="A768" s="240"/>
      <c r="B768" s="319"/>
      <c r="C768" s="346"/>
      <c r="D768" s="346"/>
      <c r="E768" s="346"/>
      <c r="F768" s="346"/>
      <c r="G768" s="346"/>
      <c r="H768" s="346"/>
      <c r="I768" s="346"/>
      <c r="J768" s="346"/>
      <c r="K768" s="346"/>
      <c r="L768" s="346"/>
      <c r="M768" s="346"/>
      <c r="N768" s="346"/>
      <c r="O768" s="346"/>
      <c r="P768" s="346"/>
      <c r="Q768" s="346"/>
      <c r="R768" s="346"/>
      <c r="S768" s="346"/>
      <c r="T768" s="347"/>
      <c r="U768" s="345"/>
      <c r="V768" s="317"/>
      <c r="W768" s="318"/>
      <c r="X768" s="288"/>
      <c r="Y768" s="220"/>
      <c r="Z768" s="220"/>
      <c r="AA768" s="220"/>
      <c r="AB768" s="220"/>
      <c r="AC768" s="220"/>
      <c r="AD768" s="220"/>
      <c r="AE768" s="220"/>
      <c r="AF768" s="220"/>
      <c r="AG768" s="220"/>
      <c r="AH768" s="220"/>
      <c r="AI768" s="308"/>
      <c r="AJ768" s="220"/>
      <c r="AK768" s="220"/>
      <c r="AL768" s="220"/>
      <c r="AM768" s="220"/>
      <c r="AN768" s="220"/>
      <c r="AO768" s="220"/>
      <c r="AP768" s="220"/>
      <c r="AQ768" s="220"/>
      <c r="AR768" s="220"/>
      <c r="AS768" s="220"/>
      <c r="AT768" s="220"/>
      <c r="AU768" s="220"/>
      <c r="AV768" s="220"/>
      <c r="AW768" s="220"/>
      <c r="AX768" s="220"/>
      <c r="AY768" s="220"/>
      <c r="AZ768" s="220"/>
      <c r="BA768" s="220"/>
      <c r="BB768" s="220"/>
    </row>
    <row r="769">
      <c r="A769" s="240"/>
      <c r="B769" s="319"/>
      <c r="C769" s="346"/>
      <c r="D769" s="346"/>
      <c r="E769" s="346"/>
      <c r="F769" s="346"/>
      <c r="G769" s="346"/>
      <c r="H769" s="346"/>
      <c r="I769" s="346"/>
      <c r="J769" s="346"/>
      <c r="K769" s="346"/>
      <c r="L769" s="346"/>
      <c r="M769" s="346"/>
      <c r="N769" s="346"/>
      <c r="O769" s="346"/>
      <c r="P769" s="346"/>
      <c r="Q769" s="346"/>
      <c r="R769" s="346"/>
      <c r="S769" s="346"/>
      <c r="T769" s="347"/>
      <c r="U769" s="345"/>
      <c r="V769" s="317"/>
      <c r="W769" s="318"/>
      <c r="X769" s="288"/>
      <c r="Y769" s="220"/>
      <c r="Z769" s="220"/>
      <c r="AA769" s="220"/>
      <c r="AB769" s="220"/>
      <c r="AC769" s="220"/>
      <c r="AD769" s="220"/>
      <c r="AE769" s="220"/>
      <c r="AF769" s="220"/>
      <c r="AG769" s="220"/>
      <c r="AH769" s="220"/>
      <c r="AI769" s="308"/>
      <c r="AJ769" s="220"/>
      <c r="AK769" s="220"/>
      <c r="AL769" s="220"/>
      <c r="AM769" s="220"/>
      <c r="AN769" s="220"/>
      <c r="AO769" s="220"/>
      <c r="AP769" s="220"/>
      <c r="AQ769" s="220"/>
      <c r="AR769" s="220"/>
      <c r="AS769" s="220"/>
      <c r="AT769" s="220"/>
      <c r="AU769" s="220"/>
      <c r="AV769" s="220"/>
      <c r="AW769" s="220"/>
      <c r="AX769" s="220"/>
      <c r="AY769" s="220"/>
      <c r="AZ769" s="220"/>
      <c r="BA769" s="220"/>
      <c r="BB769" s="220"/>
    </row>
    <row r="770">
      <c r="A770" s="240"/>
      <c r="B770" s="319"/>
      <c r="C770" s="346"/>
      <c r="D770" s="346"/>
      <c r="E770" s="346"/>
      <c r="F770" s="346"/>
      <c r="G770" s="346"/>
      <c r="H770" s="346"/>
      <c r="I770" s="346"/>
      <c r="J770" s="346"/>
      <c r="K770" s="346"/>
      <c r="L770" s="346"/>
      <c r="M770" s="346"/>
      <c r="N770" s="346"/>
      <c r="O770" s="346"/>
      <c r="P770" s="346"/>
      <c r="Q770" s="346"/>
      <c r="R770" s="346"/>
      <c r="S770" s="346"/>
      <c r="T770" s="347"/>
      <c r="U770" s="345"/>
      <c r="V770" s="317"/>
      <c r="W770" s="318"/>
      <c r="X770" s="288"/>
      <c r="Y770" s="220"/>
      <c r="Z770" s="220"/>
      <c r="AA770" s="220"/>
      <c r="AB770" s="220"/>
      <c r="AC770" s="220"/>
      <c r="AD770" s="220"/>
      <c r="AE770" s="220"/>
      <c r="AF770" s="220"/>
      <c r="AG770" s="220"/>
      <c r="AH770" s="220"/>
      <c r="AI770" s="308"/>
      <c r="AJ770" s="220"/>
      <c r="AK770" s="220"/>
      <c r="AL770" s="220"/>
      <c r="AM770" s="220"/>
      <c r="AN770" s="220"/>
      <c r="AO770" s="220"/>
      <c r="AP770" s="220"/>
      <c r="AQ770" s="220"/>
      <c r="AR770" s="220"/>
      <c r="AS770" s="220"/>
      <c r="AT770" s="220"/>
      <c r="AU770" s="220"/>
      <c r="AV770" s="220"/>
      <c r="AW770" s="220"/>
      <c r="AX770" s="220"/>
      <c r="AY770" s="220"/>
      <c r="AZ770" s="220"/>
      <c r="BA770" s="220"/>
      <c r="BB770" s="220"/>
    </row>
    <row r="771">
      <c r="A771" s="240"/>
      <c r="B771" s="319"/>
      <c r="C771" s="346"/>
      <c r="D771" s="346"/>
      <c r="E771" s="346"/>
      <c r="F771" s="346"/>
      <c r="G771" s="346"/>
      <c r="H771" s="346"/>
      <c r="I771" s="346"/>
      <c r="J771" s="346"/>
      <c r="K771" s="346"/>
      <c r="L771" s="346"/>
      <c r="M771" s="346"/>
      <c r="N771" s="346"/>
      <c r="O771" s="346"/>
      <c r="P771" s="346"/>
      <c r="Q771" s="346"/>
      <c r="R771" s="346"/>
      <c r="S771" s="346"/>
      <c r="T771" s="347"/>
      <c r="U771" s="345"/>
      <c r="V771" s="317"/>
      <c r="W771" s="318"/>
      <c r="X771" s="288"/>
      <c r="Y771" s="220"/>
      <c r="Z771" s="220"/>
      <c r="AA771" s="220"/>
      <c r="AB771" s="220"/>
      <c r="AC771" s="220"/>
      <c r="AD771" s="220"/>
      <c r="AE771" s="220"/>
      <c r="AF771" s="220"/>
      <c r="AG771" s="220"/>
      <c r="AH771" s="220"/>
      <c r="AI771" s="308"/>
      <c r="AJ771" s="220"/>
      <c r="AK771" s="220"/>
      <c r="AL771" s="220"/>
      <c r="AM771" s="220"/>
      <c r="AN771" s="220"/>
      <c r="AO771" s="220"/>
      <c r="AP771" s="220"/>
      <c r="AQ771" s="220"/>
      <c r="AR771" s="220"/>
      <c r="AS771" s="220"/>
      <c r="AT771" s="220"/>
      <c r="AU771" s="220"/>
      <c r="AV771" s="220"/>
      <c r="AW771" s="220"/>
      <c r="AX771" s="220"/>
      <c r="AY771" s="220"/>
      <c r="AZ771" s="220"/>
      <c r="BA771" s="220"/>
      <c r="BB771" s="220"/>
    </row>
    <row r="772">
      <c r="A772" s="240"/>
      <c r="B772" s="319"/>
      <c r="C772" s="346"/>
      <c r="D772" s="346"/>
      <c r="E772" s="346"/>
      <c r="F772" s="346"/>
      <c r="G772" s="346"/>
      <c r="H772" s="346"/>
      <c r="I772" s="346"/>
      <c r="J772" s="346"/>
      <c r="K772" s="346"/>
      <c r="L772" s="346"/>
      <c r="M772" s="346"/>
      <c r="N772" s="346"/>
      <c r="O772" s="346"/>
      <c r="P772" s="346"/>
      <c r="Q772" s="346"/>
      <c r="R772" s="346"/>
      <c r="S772" s="346"/>
      <c r="T772" s="347"/>
      <c r="U772" s="345"/>
      <c r="V772" s="317"/>
      <c r="W772" s="318"/>
      <c r="X772" s="288"/>
      <c r="Y772" s="220"/>
      <c r="Z772" s="220"/>
      <c r="AA772" s="220"/>
      <c r="AB772" s="220"/>
      <c r="AC772" s="220"/>
      <c r="AD772" s="220"/>
      <c r="AE772" s="220"/>
      <c r="AF772" s="220"/>
      <c r="AG772" s="220"/>
      <c r="AH772" s="220"/>
      <c r="AI772" s="308"/>
      <c r="AJ772" s="220"/>
      <c r="AK772" s="220"/>
      <c r="AL772" s="220"/>
      <c r="AM772" s="220"/>
      <c r="AN772" s="220"/>
      <c r="AO772" s="220"/>
      <c r="AP772" s="220"/>
      <c r="AQ772" s="220"/>
      <c r="AR772" s="220"/>
      <c r="AS772" s="220"/>
      <c r="AT772" s="220"/>
      <c r="AU772" s="220"/>
      <c r="AV772" s="220"/>
      <c r="AW772" s="220"/>
      <c r="AX772" s="220"/>
      <c r="AY772" s="220"/>
      <c r="AZ772" s="220"/>
      <c r="BA772" s="220"/>
      <c r="BB772" s="220"/>
    </row>
    <row r="773">
      <c r="A773" s="240"/>
      <c r="B773" s="319"/>
      <c r="C773" s="346"/>
      <c r="D773" s="346"/>
      <c r="E773" s="346"/>
      <c r="F773" s="346"/>
      <c r="G773" s="346"/>
      <c r="H773" s="346"/>
      <c r="I773" s="346"/>
      <c r="J773" s="346"/>
      <c r="K773" s="346"/>
      <c r="L773" s="346"/>
      <c r="M773" s="346"/>
      <c r="N773" s="346"/>
      <c r="O773" s="346"/>
      <c r="P773" s="346"/>
      <c r="Q773" s="346"/>
      <c r="R773" s="346"/>
      <c r="S773" s="346"/>
      <c r="T773" s="347"/>
      <c r="U773" s="345"/>
      <c r="V773" s="317"/>
      <c r="W773" s="318"/>
      <c r="X773" s="288"/>
      <c r="Y773" s="220"/>
      <c r="Z773" s="220"/>
      <c r="AA773" s="220"/>
      <c r="AB773" s="220"/>
      <c r="AC773" s="220"/>
      <c r="AD773" s="220"/>
      <c r="AE773" s="220"/>
      <c r="AF773" s="220"/>
      <c r="AG773" s="220"/>
      <c r="AH773" s="220"/>
      <c r="AI773" s="308"/>
      <c r="AJ773" s="220"/>
      <c r="AK773" s="220"/>
      <c r="AL773" s="220"/>
      <c r="AM773" s="220"/>
      <c r="AN773" s="220"/>
      <c r="AO773" s="220"/>
      <c r="AP773" s="220"/>
      <c r="AQ773" s="220"/>
      <c r="AR773" s="220"/>
      <c r="AS773" s="220"/>
      <c r="AT773" s="220"/>
      <c r="AU773" s="220"/>
      <c r="AV773" s="220"/>
      <c r="AW773" s="220"/>
      <c r="AX773" s="220"/>
      <c r="AY773" s="220"/>
      <c r="AZ773" s="220"/>
      <c r="BA773" s="220"/>
      <c r="BB773" s="220"/>
    </row>
    <row r="774">
      <c r="A774" s="240"/>
      <c r="B774" s="319"/>
      <c r="C774" s="346"/>
      <c r="D774" s="346"/>
      <c r="E774" s="346"/>
      <c r="F774" s="346"/>
      <c r="G774" s="346"/>
      <c r="H774" s="346"/>
      <c r="I774" s="346"/>
      <c r="J774" s="346"/>
      <c r="K774" s="346"/>
      <c r="L774" s="346"/>
      <c r="M774" s="346"/>
      <c r="N774" s="346"/>
      <c r="O774" s="346"/>
      <c r="P774" s="346"/>
      <c r="Q774" s="346"/>
      <c r="R774" s="346"/>
      <c r="S774" s="346"/>
      <c r="T774" s="347"/>
      <c r="U774" s="345"/>
      <c r="V774" s="317"/>
      <c r="W774" s="318"/>
      <c r="X774" s="288"/>
      <c r="Y774" s="220"/>
      <c r="Z774" s="220"/>
      <c r="AA774" s="220"/>
      <c r="AB774" s="220"/>
      <c r="AC774" s="220"/>
      <c r="AD774" s="220"/>
      <c r="AE774" s="220"/>
      <c r="AF774" s="220"/>
      <c r="AG774" s="220"/>
      <c r="AH774" s="220"/>
      <c r="AI774" s="308"/>
      <c r="AJ774" s="220"/>
      <c r="AK774" s="220"/>
      <c r="AL774" s="220"/>
      <c r="AM774" s="220"/>
      <c r="AN774" s="220"/>
      <c r="AO774" s="220"/>
      <c r="AP774" s="220"/>
      <c r="AQ774" s="220"/>
      <c r="AR774" s="220"/>
      <c r="AS774" s="220"/>
      <c r="AT774" s="220"/>
      <c r="AU774" s="220"/>
      <c r="AV774" s="220"/>
      <c r="AW774" s="220"/>
      <c r="AX774" s="220"/>
      <c r="AY774" s="220"/>
      <c r="AZ774" s="220"/>
      <c r="BA774" s="220"/>
      <c r="BB774" s="220"/>
    </row>
    <row r="775">
      <c r="A775" s="240"/>
      <c r="B775" s="319"/>
      <c r="C775" s="346"/>
      <c r="D775" s="346"/>
      <c r="E775" s="346"/>
      <c r="F775" s="346"/>
      <c r="G775" s="346"/>
      <c r="H775" s="346"/>
      <c r="I775" s="346"/>
      <c r="J775" s="346"/>
      <c r="K775" s="346"/>
      <c r="L775" s="346"/>
      <c r="M775" s="346"/>
      <c r="N775" s="346"/>
      <c r="O775" s="346"/>
      <c r="P775" s="346"/>
      <c r="Q775" s="346"/>
      <c r="R775" s="346"/>
      <c r="S775" s="346"/>
      <c r="T775" s="347"/>
      <c r="U775" s="345"/>
      <c r="V775" s="317"/>
      <c r="W775" s="318"/>
      <c r="X775" s="288"/>
      <c r="Y775" s="220"/>
      <c r="Z775" s="220"/>
      <c r="AA775" s="220"/>
      <c r="AB775" s="220"/>
      <c r="AC775" s="220"/>
      <c r="AD775" s="220"/>
      <c r="AE775" s="220"/>
      <c r="AF775" s="220"/>
      <c r="AG775" s="220"/>
      <c r="AH775" s="220"/>
      <c r="AI775" s="308"/>
      <c r="AJ775" s="220"/>
      <c r="AK775" s="220"/>
      <c r="AL775" s="220"/>
      <c r="AM775" s="220"/>
      <c r="AN775" s="220"/>
      <c r="AO775" s="220"/>
      <c r="AP775" s="220"/>
      <c r="AQ775" s="220"/>
      <c r="AR775" s="220"/>
      <c r="AS775" s="220"/>
      <c r="AT775" s="220"/>
      <c r="AU775" s="220"/>
      <c r="AV775" s="220"/>
      <c r="AW775" s="220"/>
      <c r="AX775" s="220"/>
      <c r="AY775" s="220"/>
      <c r="AZ775" s="220"/>
      <c r="BA775" s="220"/>
      <c r="BB775" s="220"/>
    </row>
    <row r="776">
      <c r="A776" s="240"/>
      <c r="B776" s="319"/>
      <c r="C776" s="346"/>
      <c r="D776" s="346"/>
      <c r="E776" s="346"/>
      <c r="F776" s="346"/>
      <c r="G776" s="346"/>
      <c r="H776" s="346"/>
      <c r="I776" s="346"/>
      <c r="J776" s="346"/>
      <c r="K776" s="346"/>
      <c r="L776" s="346"/>
      <c r="M776" s="346"/>
      <c r="N776" s="346"/>
      <c r="O776" s="346"/>
      <c r="P776" s="346"/>
      <c r="Q776" s="346"/>
      <c r="R776" s="346"/>
      <c r="S776" s="346"/>
      <c r="T776" s="347"/>
      <c r="U776" s="345"/>
      <c r="V776" s="317"/>
      <c r="W776" s="318"/>
      <c r="X776" s="288"/>
      <c r="Y776" s="220"/>
      <c r="Z776" s="220"/>
      <c r="AA776" s="220"/>
      <c r="AB776" s="220"/>
      <c r="AC776" s="220"/>
      <c r="AD776" s="220"/>
      <c r="AE776" s="220"/>
      <c r="AF776" s="220"/>
      <c r="AG776" s="220"/>
      <c r="AH776" s="220"/>
      <c r="AI776" s="308"/>
      <c r="AJ776" s="220"/>
      <c r="AK776" s="220"/>
      <c r="AL776" s="220"/>
      <c r="AM776" s="220"/>
      <c r="AN776" s="220"/>
      <c r="AO776" s="220"/>
      <c r="AP776" s="220"/>
      <c r="AQ776" s="220"/>
      <c r="AR776" s="220"/>
      <c r="AS776" s="220"/>
      <c r="AT776" s="220"/>
      <c r="AU776" s="220"/>
      <c r="AV776" s="220"/>
      <c r="AW776" s="220"/>
      <c r="AX776" s="220"/>
      <c r="AY776" s="220"/>
      <c r="AZ776" s="220"/>
      <c r="BA776" s="220"/>
      <c r="BB776" s="220"/>
    </row>
    <row r="777">
      <c r="A777" s="240"/>
      <c r="B777" s="319"/>
      <c r="C777" s="346"/>
      <c r="D777" s="346"/>
      <c r="E777" s="346"/>
      <c r="F777" s="346"/>
      <c r="G777" s="346"/>
      <c r="H777" s="346"/>
      <c r="I777" s="346"/>
      <c r="J777" s="346"/>
      <c r="K777" s="346"/>
      <c r="L777" s="346"/>
      <c r="M777" s="346"/>
      <c r="N777" s="346"/>
      <c r="O777" s="346"/>
      <c r="P777" s="346"/>
      <c r="Q777" s="346"/>
      <c r="R777" s="346"/>
      <c r="S777" s="346"/>
      <c r="T777" s="347"/>
      <c r="U777" s="345"/>
      <c r="V777" s="317"/>
      <c r="W777" s="318"/>
      <c r="X777" s="288"/>
      <c r="Y777" s="220"/>
      <c r="Z777" s="220"/>
      <c r="AA777" s="220"/>
      <c r="AB777" s="220"/>
      <c r="AC777" s="220"/>
      <c r="AD777" s="220"/>
      <c r="AE777" s="220"/>
      <c r="AF777" s="220"/>
      <c r="AG777" s="220"/>
      <c r="AH777" s="220"/>
      <c r="AI777" s="308"/>
      <c r="AJ777" s="220"/>
      <c r="AK777" s="220"/>
      <c r="AL777" s="220"/>
      <c r="AM777" s="220"/>
      <c r="AN777" s="220"/>
      <c r="AO777" s="220"/>
      <c r="AP777" s="220"/>
      <c r="AQ777" s="220"/>
      <c r="AR777" s="220"/>
      <c r="AS777" s="220"/>
      <c r="AT777" s="220"/>
      <c r="AU777" s="220"/>
      <c r="AV777" s="220"/>
      <c r="AW777" s="220"/>
      <c r="AX777" s="220"/>
      <c r="AY777" s="220"/>
      <c r="AZ777" s="220"/>
      <c r="BA777" s="220"/>
      <c r="BB777" s="220"/>
    </row>
    <row r="778">
      <c r="A778" s="240"/>
      <c r="B778" s="319"/>
      <c r="C778" s="346"/>
      <c r="D778" s="346"/>
      <c r="E778" s="346"/>
      <c r="F778" s="346"/>
      <c r="G778" s="346"/>
      <c r="H778" s="346"/>
      <c r="I778" s="346"/>
      <c r="J778" s="346"/>
      <c r="K778" s="346"/>
      <c r="L778" s="346"/>
      <c r="M778" s="346"/>
      <c r="N778" s="346"/>
      <c r="O778" s="346"/>
      <c r="P778" s="346"/>
      <c r="Q778" s="346"/>
      <c r="R778" s="346"/>
      <c r="S778" s="346"/>
      <c r="T778" s="347"/>
      <c r="U778" s="345"/>
      <c r="V778" s="317"/>
      <c r="W778" s="318"/>
      <c r="X778" s="288"/>
      <c r="Y778" s="220"/>
      <c r="Z778" s="220"/>
      <c r="AA778" s="220"/>
      <c r="AB778" s="220"/>
      <c r="AC778" s="220"/>
      <c r="AD778" s="220"/>
      <c r="AE778" s="220"/>
      <c r="AF778" s="220"/>
      <c r="AG778" s="220"/>
      <c r="AH778" s="220"/>
      <c r="AI778" s="308"/>
      <c r="AJ778" s="220"/>
      <c r="AK778" s="220"/>
      <c r="AL778" s="220"/>
      <c r="AM778" s="220"/>
      <c r="AN778" s="220"/>
      <c r="AO778" s="220"/>
      <c r="AP778" s="220"/>
      <c r="AQ778" s="220"/>
      <c r="AR778" s="220"/>
      <c r="AS778" s="220"/>
      <c r="AT778" s="220"/>
      <c r="AU778" s="220"/>
      <c r="AV778" s="220"/>
      <c r="AW778" s="220"/>
      <c r="AX778" s="220"/>
      <c r="AY778" s="220"/>
      <c r="AZ778" s="220"/>
      <c r="BA778" s="220"/>
      <c r="BB778" s="220"/>
    </row>
    <row r="779">
      <c r="A779" s="240"/>
      <c r="B779" s="319"/>
      <c r="C779" s="346"/>
      <c r="D779" s="346"/>
      <c r="E779" s="346"/>
      <c r="F779" s="346"/>
      <c r="G779" s="346"/>
      <c r="H779" s="346"/>
      <c r="I779" s="346"/>
      <c r="J779" s="346"/>
      <c r="K779" s="346"/>
      <c r="L779" s="346"/>
      <c r="M779" s="346"/>
      <c r="N779" s="346"/>
      <c r="O779" s="346"/>
      <c r="P779" s="346"/>
      <c r="Q779" s="346"/>
      <c r="R779" s="346"/>
      <c r="S779" s="346"/>
      <c r="T779" s="347"/>
      <c r="U779" s="345"/>
      <c r="V779" s="317"/>
      <c r="W779" s="318"/>
      <c r="X779" s="288"/>
      <c r="Y779" s="220"/>
      <c r="Z779" s="220"/>
      <c r="AA779" s="220"/>
      <c r="AB779" s="220"/>
      <c r="AC779" s="220"/>
      <c r="AD779" s="220"/>
      <c r="AE779" s="220"/>
      <c r="AF779" s="220"/>
      <c r="AG779" s="220"/>
      <c r="AH779" s="220"/>
      <c r="AI779" s="308"/>
      <c r="AJ779" s="220"/>
      <c r="AK779" s="220"/>
      <c r="AL779" s="220"/>
      <c r="AM779" s="220"/>
      <c r="AN779" s="220"/>
      <c r="AO779" s="220"/>
      <c r="AP779" s="220"/>
      <c r="AQ779" s="220"/>
      <c r="AR779" s="220"/>
      <c r="AS779" s="220"/>
      <c r="AT779" s="220"/>
      <c r="AU779" s="220"/>
      <c r="AV779" s="220"/>
      <c r="AW779" s="220"/>
      <c r="AX779" s="220"/>
      <c r="AY779" s="220"/>
      <c r="AZ779" s="220"/>
      <c r="BA779" s="220"/>
      <c r="BB779" s="220"/>
    </row>
    <row r="780">
      <c r="A780" s="240"/>
      <c r="B780" s="319"/>
      <c r="C780" s="346"/>
      <c r="D780" s="346"/>
      <c r="E780" s="346"/>
      <c r="F780" s="346"/>
      <c r="G780" s="346"/>
      <c r="H780" s="346"/>
      <c r="I780" s="346"/>
      <c r="J780" s="346"/>
      <c r="K780" s="346"/>
      <c r="L780" s="346"/>
      <c r="M780" s="346"/>
      <c r="N780" s="346"/>
      <c r="O780" s="346"/>
      <c r="P780" s="346"/>
      <c r="Q780" s="346"/>
      <c r="R780" s="346"/>
      <c r="S780" s="346"/>
      <c r="T780" s="347"/>
      <c r="U780" s="345"/>
      <c r="V780" s="317"/>
      <c r="W780" s="318"/>
      <c r="X780" s="288"/>
      <c r="Y780" s="220"/>
      <c r="Z780" s="220"/>
      <c r="AA780" s="220"/>
      <c r="AB780" s="220"/>
      <c r="AC780" s="220"/>
      <c r="AD780" s="220"/>
      <c r="AE780" s="220"/>
      <c r="AF780" s="220"/>
      <c r="AG780" s="220"/>
      <c r="AH780" s="220"/>
      <c r="AI780" s="308"/>
      <c r="AJ780" s="220"/>
      <c r="AK780" s="220"/>
      <c r="AL780" s="220"/>
      <c r="AM780" s="220"/>
      <c r="AN780" s="220"/>
      <c r="AO780" s="220"/>
      <c r="AP780" s="220"/>
      <c r="AQ780" s="220"/>
      <c r="AR780" s="220"/>
      <c r="AS780" s="220"/>
      <c r="AT780" s="220"/>
      <c r="AU780" s="220"/>
      <c r="AV780" s="220"/>
      <c r="AW780" s="220"/>
      <c r="AX780" s="220"/>
      <c r="AY780" s="220"/>
      <c r="AZ780" s="220"/>
      <c r="BA780" s="220"/>
      <c r="BB780" s="220"/>
    </row>
    <row r="781">
      <c r="A781" s="240"/>
      <c r="B781" s="319"/>
      <c r="C781" s="346"/>
      <c r="D781" s="346"/>
      <c r="E781" s="346"/>
      <c r="F781" s="346"/>
      <c r="G781" s="346"/>
      <c r="H781" s="346"/>
      <c r="I781" s="346"/>
      <c r="J781" s="346"/>
      <c r="K781" s="346"/>
      <c r="L781" s="346"/>
      <c r="M781" s="346"/>
      <c r="N781" s="346"/>
      <c r="O781" s="346"/>
      <c r="P781" s="346"/>
      <c r="Q781" s="346"/>
      <c r="R781" s="346"/>
      <c r="S781" s="346"/>
      <c r="T781" s="347"/>
      <c r="U781" s="345"/>
      <c r="V781" s="317"/>
      <c r="W781" s="318"/>
      <c r="X781" s="288"/>
      <c r="Y781" s="220"/>
      <c r="Z781" s="220"/>
      <c r="AA781" s="220"/>
      <c r="AB781" s="220"/>
      <c r="AC781" s="220"/>
      <c r="AD781" s="220"/>
      <c r="AE781" s="220"/>
      <c r="AF781" s="220"/>
      <c r="AG781" s="220"/>
      <c r="AH781" s="220"/>
      <c r="AI781" s="308"/>
      <c r="AJ781" s="220"/>
      <c r="AK781" s="220"/>
      <c r="AL781" s="220"/>
      <c r="AM781" s="220"/>
      <c r="AN781" s="220"/>
      <c r="AO781" s="220"/>
      <c r="AP781" s="220"/>
      <c r="AQ781" s="220"/>
      <c r="AR781" s="220"/>
      <c r="AS781" s="220"/>
      <c r="AT781" s="220"/>
      <c r="AU781" s="220"/>
      <c r="AV781" s="220"/>
      <c r="AW781" s="220"/>
      <c r="AX781" s="220"/>
      <c r="AY781" s="220"/>
      <c r="AZ781" s="220"/>
      <c r="BA781" s="220"/>
      <c r="BB781" s="220"/>
    </row>
    <row r="782">
      <c r="A782" s="240"/>
      <c r="B782" s="319"/>
      <c r="C782" s="346"/>
      <c r="D782" s="346"/>
      <c r="E782" s="346"/>
      <c r="F782" s="346"/>
      <c r="G782" s="346"/>
      <c r="H782" s="346"/>
      <c r="I782" s="346"/>
      <c r="J782" s="346"/>
      <c r="K782" s="346"/>
      <c r="L782" s="346"/>
      <c r="M782" s="346"/>
      <c r="N782" s="346"/>
      <c r="O782" s="346"/>
      <c r="P782" s="346"/>
      <c r="Q782" s="346"/>
      <c r="R782" s="346"/>
      <c r="S782" s="346"/>
      <c r="T782" s="347"/>
      <c r="U782" s="345"/>
      <c r="V782" s="317"/>
      <c r="W782" s="318"/>
      <c r="X782" s="288"/>
      <c r="Y782" s="220"/>
      <c r="Z782" s="220"/>
      <c r="AA782" s="220"/>
      <c r="AB782" s="220"/>
      <c r="AC782" s="220"/>
      <c r="AD782" s="220"/>
      <c r="AE782" s="220"/>
      <c r="AF782" s="220"/>
      <c r="AG782" s="220"/>
      <c r="AH782" s="220"/>
      <c r="AI782" s="308"/>
      <c r="AJ782" s="220"/>
      <c r="AK782" s="220"/>
      <c r="AL782" s="220"/>
      <c r="AM782" s="220"/>
      <c r="AN782" s="220"/>
      <c r="AO782" s="220"/>
      <c r="AP782" s="220"/>
      <c r="AQ782" s="220"/>
      <c r="AR782" s="220"/>
      <c r="AS782" s="220"/>
      <c r="AT782" s="220"/>
      <c r="AU782" s="220"/>
      <c r="AV782" s="220"/>
      <c r="AW782" s="220"/>
      <c r="AX782" s="220"/>
      <c r="AY782" s="220"/>
      <c r="AZ782" s="220"/>
      <c r="BA782" s="220"/>
      <c r="BB782" s="220"/>
    </row>
    <row r="783">
      <c r="A783" s="240"/>
      <c r="B783" s="319"/>
      <c r="C783" s="346"/>
      <c r="D783" s="346"/>
      <c r="E783" s="346"/>
      <c r="F783" s="346"/>
      <c r="G783" s="346"/>
      <c r="H783" s="346"/>
      <c r="I783" s="346"/>
      <c r="J783" s="346"/>
      <c r="K783" s="346"/>
      <c r="L783" s="346"/>
      <c r="M783" s="346"/>
      <c r="N783" s="346"/>
      <c r="O783" s="346"/>
      <c r="P783" s="346"/>
      <c r="Q783" s="346"/>
      <c r="R783" s="346"/>
      <c r="S783" s="346"/>
      <c r="T783" s="347"/>
      <c r="U783" s="345"/>
      <c r="V783" s="317"/>
      <c r="W783" s="318"/>
      <c r="X783" s="288"/>
      <c r="Y783" s="220"/>
      <c r="Z783" s="220"/>
      <c r="AA783" s="220"/>
      <c r="AB783" s="220"/>
      <c r="AC783" s="220"/>
      <c r="AD783" s="220"/>
      <c r="AE783" s="220"/>
      <c r="AF783" s="220"/>
      <c r="AG783" s="220"/>
      <c r="AH783" s="220"/>
      <c r="AI783" s="308"/>
      <c r="AJ783" s="220"/>
      <c r="AK783" s="220"/>
      <c r="AL783" s="220"/>
      <c r="AM783" s="220"/>
      <c r="AN783" s="220"/>
      <c r="AO783" s="220"/>
      <c r="AP783" s="220"/>
      <c r="AQ783" s="220"/>
      <c r="AR783" s="220"/>
      <c r="AS783" s="220"/>
      <c r="AT783" s="220"/>
      <c r="AU783" s="220"/>
      <c r="AV783" s="220"/>
      <c r="AW783" s="220"/>
      <c r="AX783" s="220"/>
      <c r="AY783" s="220"/>
      <c r="AZ783" s="220"/>
      <c r="BA783" s="220"/>
      <c r="BB783" s="220"/>
    </row>
    <row r="784">
      <c r="A784" s="240"/>
      <c r="B784" s="319"/>
      <c r="C784" s="346"/>
      <c r="D784" s="346"/>
      <c r="E784" s="346"/>
      <c r="F784" s="346"/>
      <c r="G784" s="346"/>
      <c r="H784" s="346"/>
      <c r="I784" s="346"/>
      <c r="J784" s="346"/>
      <c r="K784" s="346"/>
      <c r="L784" s="346"/>
      <c r="M784" s="346"/>
      <c r="N784" s="346"/>
      <c r="O784" s="346"/>
      <c r="P784" s="346"/>
      <c r="Q784" s="346"/>
      <c r="R784" s="346"/>
      <c r="S784" s="346"/>
      <c r="T784" s="347"/>
      <c r="U784" s="345"/>
      <c r="V784" s="317"/>
      <c r="W784" s="318"/>
      <c r="X784" s="288"/>
      <c r="Y784" s="220"/>
      <c r="Z784" s="220"/>
      <c r="AA784" s="220"/>
      <c r="AB784" s="220"/>
      <c r="AC784" s="220"/>
      <c r="AD784" s="220"/>
      <c r="AE784" s="220"/>
      <c r="AF784" s="220"/>
      <c r="AG784" s="220"/>
      <c r="AH784" s="220"/>
      <c r="AI784" s="308"/>
      <c r="AJ784" s="220"/>
      <c r="AK784" s="220"/>
      <c r="AL784" s="220"/>
      <c r="AM784" s="220"/>
      <c r="AN784" s="220"/>
      <c r="AO784" s="220"/>
      <c r="AP784" s="220"/>
      <c r="AQ784" s="220"/>
      <c r="AR784" s="220"/>
      <c r="AS784" s="220"/>
      <c r="AT784" s="220"/>
      <c r="AU784" s="220"/>
      <c r="AV784" s="220"/>
      <c r="AW784" s="220"/>
      <c r="AX784" s="220"/>
      <c r="AY784" s="220"/>
      <c r="AZ784" s="220"/>
      <c r="BA784" s="220"/>
      <c r="BB784" s="220"/>
    </row>
    <row r="785">
      <c r="A785" s="240"/>
      <c r="B785" s="319"/>
      <c r="C785" s="346"/>
      <c r="D785" s="346"/>
      <c r="E785" s="346"/>
      <c r="F785" s="346"/>
      <c r="G785" s="346"/>
      <c r="H785" s="346"/>
      <c r="I785" s="346"/>
      <c r="J785" s="346"/>
      <c r="K785" s="346"/>
      <c r="L785" s="346"/>
      <c r="M785" s="346"/>
      <c r="N785" s="346"/>
      <c r="O785" s="346"/>
      <c r="P785" s="346"/>
      <c r="Q785" s="346"/>
      <c r="R785" s="346"/>
      <c r="S785" s="346"/>
      <c r="T785" s="347"/>
      <c r="U785" s="345"/>
      <c r="V785" s="317"/>
      <c r="W785" s="318"/>
      <c r="X785" s="288"/>
      <c r="Y785" s="220"/>
      <c r="Z785" s="220"/>
      <c r="AA785" s="220"/>
      <c r="AB785" s="220"/>
      <c r="AC785" s="220"/>
      <c r="AD785" s="220"/>
      <c r="AE785" s="220"/>
      <c r="AF785" s="220"/>
      <c r="AG785" s="220"/>
      <c r="AH785" s="220"/>
      <c r="AI785" s="308"/>
      <c r="AJ785" s="220"/>
      <c r="AK785" s="220"/>
      <c r="AL785" s="220"/>
      <c r="AM785" s="220"/>
      <c r="AN785" s="220"/>
      <c r="AO785" s="220"/>
      <c r="AP785" s="220"/>
      <c r="AQ785" s="220"/>
      <c r="AR785" s="220"/>
      <c r="AS785" s="220"/>
      <c r="AT785" s="220"/>
      <c r="AU785" s="220"/>
      <c r="AV785" s="220"/>
      <c r="AW785" s="220"/>
      <c r="AX785" s="220"/>
      <c r="AY785" s="220"/>
      <c r="AZ785" s="220"/>
      <c r="BA785" s="220"/>
      <c r="BB785" s="220"/>
    </row>
    <row r="786">
      <c r="A786" s="240"/>
      <c r="B786" s="319"/>
      <c r="C786" s="346"/>
      <c r="D786" s="346"/>
      <c r="E786" s="346"/>
      <c r="F786" s="346"/>
      <c r="G786" s="346"/>
      <c r="H786" s="346"/>
      <c r="I786" s="346"/>
      <c r="J786" s="346"/>
      <c r="K786" s="346"/>
      <c r="L786" s="346"/>
      <c r="M786" s="346"/>
      <c r="N786" s="346"/>
      <c r="O786" s="346"/>
      <c r="P786" s="346"/>
      <c r="Q786" s="346"/>
      <c r="R786" s="346"/>
      <c r="S786" s="346"/>
      <c r="T786" s="347"/>
      <c r="U786" s="345"/>
      <c r="V786" s="317"/>
      <c r="W786" s="318"/>
      <c r="X786" s="288"/>
      <c r="Y786" s="220"/>
      <c r="Z786" s="220"/>
      <c r="AA786" s="220"/>
      <c r="AB786" s="220"/>
      <c r="AC786" s="220"/>
      <c r="AD786" s="220"/>
      <c r="AE786" s="220"/>
      <c r="AF786" s="220"/>
      <c r="AG786" s="220"/>
      <c r="AH786" s="220"/>
      <c r="AI786" s="308"/>
      <c r="AJ786" s="220"/>
      <c r="AK786" s="220"/>
      <c r="AL786" s="220"/>
      <c r="AM786" s="220"/>
      <c r="AN786" s="220"/>
      <c r="AO786" s="220"/>
      <c r="AP786" s="220"/>
      <c r="AQ786" s="220"/>
      <c r="AR786" s="220"/>
      <c r="AS786" s="220"/>
      <c r="AT786" s="220"/>
      <c r="AU786" s="220"/>
      <c r="AV786" s="220"/>
      <c r="AW786" s="220"/>
      <c r="AX786" s="220"/>
      <c r="AY786" s="220"/>
      <c r="AZ786" s="220"/>
      <c r="BA786" s="220"/>
      <c r="BB786" s="220"/>
    </row>
    <row r="787">
      <c r="A787" s="240"/>
      <c r="B787" s="319"/>
      <c r="C787" s="346"/>
      <c r="D787" s="346"/>
      <c r="E787" s="346"/>
      <c r="F787" s="346"/>
      <c r="G787" s="346"/>
      <c r="H787" s="346"/>
      <c r="I787" s="346"/>
      <c r="J787" s="346"/>
      <c r="K787" s="346"/>
      <c r="L787" s="346"/>
      <c r="M787" s="346"/>
      <c r="N787" s="346"/>
      <c r="O787" s="346"/>
      <c r="P787" s="346"/>
      <c r="Q787" s="346"/>
      <c r="R787" s="346"/>
      <c r="S787" s="346"/>
      <c r="T787" s="347"/>
      <c r="U787" s="345"/>
      <c r="V787" s="317"/>
      <c r="W787" s="318"/>
      <c r="X787" s="288"/>
      <c r="Y787" s="220"/>
      <c r="Z787" s="220"/>
      <c r="AA787" s="220"/>
      <c r="AB787" s="220"/>
      <c r="AC787" s="220"/>
      <c r="AD787" s="220"/>
      <c r="AE787" s="220"/>
      <c r="AF787" s="220"/>
      <c r="AG787" s="220"/>
      <c r="AH787" s="220"/>
      <c r="AI787" s="308"/>
      <c r="AJ787" s="220"/>
      <c r="AK787" s="220"/>
      <c r="AL787" s="220"/>
      <c r="AM787" s="220"/>
      <c r="AN787" s="220"/>
      <c r="AO787" s="220"/>
      <c r="AP787" s="220"/>
      <c r="AQ787" s="220"/>
      <c r="AR787" s="220"/>
      <c r="AS787" s="220"/>
      <c r="AT787" s="220"/>
      <c r="AU787" s="220"/>
      <c r="AV787" s="220"/>
      <c r="AW787" s="220"/>
      <c r="AX787" s="220"/>
      <c r="AY787" s="220"/>
      <c r="AZ787" s="220"/>
      <c r="BA787" s="220"/>
      <c r="BB787" s="220"/>
    </row>
    <row r="788">
      <c r="A788" s="240"/>
      <c r="B788" s="319"/>
      <c r="C788" s="346"/>
      <c r="D788" s="346"/>
      <c r="E788" s="346"/>
      <c r="F788" s="346"/>
      <c r="G788" s="346"/>
      <c r="H788" s="346"/>
      <c r="I788" s="346"/>
      <c r="J788" s="346"/>
      <c r="K788" s="346"/>
      <c r="L788" s="346"/>
      <c r="M788" s="346"/>
      <c r="N788" s="346"/>
      <c r="O788" s="346"/>
      <c r="P788" s="346"/>
      <c r="Q788" s="346"/>
      <c r="R788" s="346"/>
      <c r="S788" s="346"/>
      <c r="T788" s="347"/>
      <c r="U788" s="345"/>
      <c r="V788" s="317"/>
      <c r="W788" s="318"/>
      <c r="X788" s="288"/>
      <c r="Y788" s="220"/>
      <c r="Z788" s="220"/>
      <c r="AA788" s="220"/>
      <c r="AB788" s="220"/>
      <c r="AC788" s="220"/>
      <c r="AD788" s="220"/>
      <c r="AE788" s="220"/>
      <c r="AF788" s="220"/>
      <c r="AG788" s="220"/>
      <c r="AH788" s="220"/>
      <c r="AI788" s="308"/>
      <c r="AJ788" s="220"/>
      <c r="AK788" s="220"/>
      <c r="AL788" s="220"/>
      <c r="AM788" s="220"/>
      <c r="AN788" s="220"/>
      <c r="AO788" s="220"/>
      <c r="AP788" s="220"/>
      <c r="AQ788" s="220"/>
      <c r="AR788" s="220"/>
      <c r="AS788" s="220"/>
      <c r="AT788" s="220"/>
      <c r="AU788" s="220"/>
      <c r="AV788" s="220"/>
      <c r="AW788" s="220"/>
      <c r="AX788" s="220"/>
      <c r="AY788" s="220"/>
      <c r="AZ788" s="220"/>
      <c r="BA788" s="220"/>
      <c r="BB788" s="220"/>
    </row>
    <row r="789">
      <c r="A789" s="240"/>
      <c r="B789" s="319"/>
      <c r="C789" s="346"/>
      <c r="D789" s="346"/>
      <c r="E789" s="346"/>
      <c r="F789" s="346"/>
      <c r="G789" s="346"/>
      <c r="H789" s="346"/>
      <c r="I789" s="346"/>
      <c r="J789" s="346"/>
      <c r="K789" s="346"/>
      <c r="L789" s="346"/>
      <c r="M789" s="346"/>
      <c r="N789" s="346"/>
      <c r="O789" s="346"/>
      <c r="P789" s="346"/>
      <c r="Q789" s="346"/>
      <c r="R789" s="346"/>
      <c r="S789" s="346"/>
      <c r="T789" s="347"/>
      <c r="U789" s="345"/>
      <c r="V789" s="317"/>
      <c r="W789" s="318"/>
      <c r="X789" s="288"/>
      <c r="Y789" s="220"/>
      <c r="Z789" s="220"/>
      <c r="AA789" s="220"/>
      <c r="AB789" s="220"/>
      <c r="AC789" s="220"/>
      <c r="AD789" s="220"/>
      <c r="AE789" s="220"/>
      <c r="AF789" s="220"/>
      <c r="AG789" s="220"/>
      <c r="AH789" s="220"/>
      <c r="AI789" s="308"/>
      <c r="AJ789" s="220"/>
      <c r="AK789" s="220"/>
      <c r="AL789" s="220"/>
      <c r="AM789" s="220"/>
      <c r="AN789" s="220"/>
      <c r="AO789" s="220"/>
      <c r="AP789" s="220"/>
      <c r="AQ789" s="220"/>
      <c r="AR789" s="220"/>
      <c r="AS789" s="220"/>
      <c r="AT789" s="220"/>
      <c r="AU789" s="220"/>
      <c r="AV789" s="220"/>
      <c r="AW789" s="220"/>
      <c r="AX789" s="220"/>
      <c r="AY789" s="220"/>
      <c r="AZ789" s="220"/>
      <c r="BA789" s="220"/>
      <c r="BB789" s="220"/>
    </row>
    <row r="790">
      <c r="A790" s="240"/>
      <c r="B790" s="319"/>
      <c r="C790" s="346"/>
      <c r="D790" s="346"/>
      <c r="E790" s="346"/>
      <c r="F790" s="346"/>
      <c r="G790" s="346"/>
      <c r="H790" s="346"/>
      <c r="I790" s="346"/>
      <c r="J790" s="346"/>
      <c r="K790" s="346"/>
      <c r="L790" s="346"/>
      <c r="M790" s="346"/>
      <c r="N790" s="346"/>
      <c r="O790" s="346"/>
      <c r="P790" s="346"/>
      <c r="Q790" s="346"/>
      <c r="R790" s="346"/>
      <c r="S790" s="346"/>
      <c r="T790" s="347"/>
      <c r="U790" s="345"/>
      <c r="V790" s="317"/>
      <c r="W790" s="318"/>
      <c r="X790" s="288"/>
      <c r="Y790" s="220"/>
      <c r="Z790" s="220"/>
      <c r="AA790" s="220"/>
      <c r="AB790" s="220"/>
      <c r="AC790" s="220"/>
      <c r="AD790" s="220"/>
      <c r="AE790" s="220"/>
      <c r="AF790" s="220"/>
      <c r="AG790" s="220"/>
      <c r="AH790" s="220"/>
      <c r="AI790" s="308"/>
      <c r="AJ790" s="220"/>
      <c r="AK790" s="220"/>
      <c r="AL790" s="220"/>
      <c r="AM790" s="220"/>
      <c r="AN790" s="220"/>
      <c r="AO790" s="220"/>
      <c r="AP790" s="220"/>
      <c r="AQ790" s="220"/>
      <c r="AR790" s="220"/>
      <c r="AS790" s="220"/>
      <c r="AT790" s="220"/>
      <c r="AU790" s="220"/>
      <c r="AV790" s="220"/>
      <c r="AW790" s="220"/>
      <c r="AX790" s="220"/>
      <c r="AY790" s="220"/>
      <c r="AZ790" s="220"/>
      <c r="BA790" s="220"/>
      <c r="BB790" s="220"/>
    </row>
    <row r="791">
      <c r="A791" s="240"/>
      <c r="B791" s="319"/>
      <c r="C791" s="346"/>
      <c r="D791" s="346"/>
      <c r="E791" s="346"/>
      <c r="F791" s="346"/>
      <c r="G791" s="346"/>
      <c r="H791" s="346"/>
      <c r="I791" s="346"/>
      <c r="J791" s="346"/>
      <c r="K791" s="346"/>
      <c r="L791" s="346"/>
      <c r="M791" s="346"/>
      <c r="N791" s="346"/>
      <c r="O791" s="346"/>
      <c r="P791" s="346"/>
      <c r="Q791" s="346"/>
      <c r="R791" s="346"/>
      <c r="S791" s="346"/>
      <c r="T791" s="347"/>
      <c r="U791" s="345"/>
      <c r="V791" s="317"/>
      <c r="W791" s="318"/>
      <c r="X791" s="288"/>
      <c r="Y791" s="220"/>
      <c r="Z791" s="220"/>
      <c r="AA791" s="220"/>
      <c r="AB791" s="220"/>
      <c r="AC791" s="220"/>
      <c r="AD791" s="220"/>
      <c r="AE791" s="220"/>
      <c r="AF791" s="220"/>
      <c r="AG791" s="220"/>
      <c r="AH791" s="220"/>
      <c r="AI791" s="308"/>
      <c r="AJ791" s="220"/>
      <c r="AK791" s="220"/>
      <c r="AL791" s="220"/>
      <c r="AM791" s="220"/>
      <c r="AN791" s="220"/>
      <c r="AO791" s="220"/>
      <c r="AP791" s="220"/>
      <c r="AQ791" s="220"/>
      <c r="AR791" s="220"/>
      <c r="AS791" s="220"/>
      <c r="AT791" s="220"/>
      <c r="AU791" s="220"/>
      <c r="AV791" s="220"/>
      <c r="AW791" s="220"/>
      <c r="AX791" s="220"/>
      <c r="AY791" s="220"/>
      <c r="AZ791" s="220"/>
      <c r="BA791" s="220"/>
      <c r="BB791" s="220"/>
    </row>
    <row r="792">
      <c r="A792" s="240"/>
      <c r="B792" s="319"/>
      <c r="C792" s="346"/>
      <c r="D792" s="346"/>
      <c r="E792" s="346"/>
      <c r="F792" s="346"/>
      <c r="G792" s="346"/>
      <c r="H792" s="346"/>
      <c r="I792" s="346"/>
      <c r="J792" s="346"/>
      <c r="K792" s="346"/>
      <c r="L792" s="346"/>
      <c r="M792" s="346"/>
      <c r="N792" s="346"/>
      <c r="O792" s="346"/>
      <c r="P792" s="346"/>
      <c r="Q792" s="346"/>
      <c r="R792" s="346"/>
      <c r="S792" s="346"/>
      <c r="T792" s="347"/>
      <c r="U792" s="345"/>
      <c r="V792" s="317"/>
      <c r="W792" s="318"/>
      <c r="X792" s="288"/>
      <c r="Y792" s="220"/>
      <c r="Z792" s="220"/>
      <c r="AA792" s="220"/>
      <c r="AB792" s="220"/>
      <c r="AC792" s="220"/>
      <c r="AD792" s="220"/>
      <c r="AE792" s="220"/>
      <c r="AF792" s="220"/>
      <c r="AG792" s="220"/>
      <c r="AH792" s="220"/>
      <c r="AI792" s="308"/>
      <c r="AJ792" s="220"/>
      <c r="AK792" s="220"/>
      <c r="AL792" s="220"/>
      <c r="AM792" s="220"/>
      <c r="AN792" s="220"/>
      <c r="AO792" s="220"/>
      <c r="AP792" s="220"/>
      <c r="AQ792" s="220"/>
      <c r="AR792" s="220"/>
      <c r="AS792" s="220"/>
      <c r="AT792" s="220"/>
      <c r="AU792" s="220"/>
      <c r="AV792" s="220"/>
      <c r="AW792" s="220"/>
      <c r="AX792" s="220"/>
      <c r="AY792" s="220"/>
      <c r="AZ792" s="220"/>
      <c r="BA792" s="220"/>
      <c r="BB792" s="220"/>
    </row>
    <row r="793">
      <c r="A793" s="240"/>
      <c r="B793" s="319"/>
      <c r="C793" s="346"/>
      <c r="D793" s="346"/>
      <c r="E793" s="346"/>
      <c r="F793" s="346"/>
      <c r="G793" s="346"/>
      <c r="H793" s="346"/>
      <c r="I793" s="346"/>
      <c r="J793" s="346"/>
      <c r="K793" s="346"/>
      <c r="L793" s="346"/>
      <c r="M793" s="346"/>
      <c r="N793" s="346"/>
      <c r="O793" s="346"/>
      <c r="P793" s="346"/>
      <c r="Q793" s="346"/>
      <c r="R793" s="346"/>
      <c r="S793" s="346"/>
      <c r="T793" s="347"/>
      <c r="U793" s="345"/>
      <c r="V793" s="317"/>
      <c r="W793" s="318"/>
      <c r="X793" s="288"/>
      <c r="Y793" s="220"/>
      <c r="Z793" s="220"/>
      <c r="AA793" s="220"/>
      <c r="AB793" s="220"/>
      <c r="AC793" s="220"/>
      <c r="AD793" s="220"/>
      <c r="AE793" s="220"/>
      <c r="AF793" s="220"/>
      <c r="AG793" s="220"/>
      <c r="AH793" s="220"/>
      <c r="AI793" s="308"/>
      <c r="AJ793" s="220"/>
      <c r="AK793" s="220"/>
      <c r="AL793" s="220"/>
      <c r="AM793" s="220"/>
      <c r="AN793" s="220"/>
      <c r="AO793" s="220"/>
      <c r="AP793" s="220"/>
      <c r="AQ793" s="220"/>
      <c r="AR793" s="220"/>
      <c r="AS793" s="220"/>
      <c r="AT793" s="220"/>
      <c r="AU793" s="220"/>
      <c r="AV793" s="220"/>
      <c r="AW793" s="220"/>
      <c r="AX793" s="220"/>
      <c r="AY793" s="220"/>
      <c r="AZ793" s="220"/>
      <c r="BA793" s="220"/>
      <c r="BB793" s="220"/>
    </row>
    <row r="794">
      <c r="A794" s="240"/>
      <c r="B794" s="319"/>
      <c r="C794" s="346"/>
      <c r="D794" s="346"/>
      <c r="E794" s="346"/>
      <c r="F794" s="346"/>
      <c r="G794" s="346"/>
      <c r="H794" s="346"/>
      <c r="I794" s="346"/>
      <c r="J794" s="346"/>
      <c r="K794" s="346"/>
      <c r="L794" s="346"/>
      <c r="M794" s="346"/>
      <c r="N794" s="346"/>
      <c r="O794" s="346"/>
      <c r="P794" s="346"/>
      <c r="Q794" s="346"/>
      <c r="R794" s="346"/>
      <c r="S794" s="346"/>
      <c r="T794" s="347"/>
      <c r="U794" s="345"/>
      <c r="V794" s="317"/>
      <c r="W794" s="318"/>
      <c r="X794" s="288"/>
      <c r="Y794" s="220"/>
      <c r="Z794" s="220"/>
      <c r="AA794" s="220"/>
      <c r="AB794" s="220"/>
      <c r="AC794" s="220"/>
      <c r="AD794" s="220"/>
      <c r="AE794" s="220"/>
      <c r="AF794" s="220"/>
      <c r="AG794" s="220"/>
      <c r="AH794" s="220"/>
      <c r="AI794" s="308"/>
      <c r="AJ794" s="220"/>
      <c r="AK794" s="220"/>
      <c r="AL794" s="220"/>
      <c r="AM794" s="220"/>
      <c r="AN794" s="220"/>
      <c r="AO794" s="220"/>
      <c r="AP794" s="220"/>
      <c r="AQ794" s="220"/>
      <c r="AR794" s="220"/>
      <c r="AS794" s="220"/>
      <c r="AT794" s="220"/>
      <c r="AU794" s="220"/>
      <c r="AV794" s="220"/>
      <c r="AW794" s="220"/>
      <c r="AX794" s="220"/>
      <c r="AY794" s="220"/>
      <c r="AZ794" s="220"/>
      <c r="BA794" s="220"/>
      <c r="BB794" s="220"/>
    </row>
    <row r="795">
      <c r="A795" s="240"/>
      <c r="B795" s="319"/>
      <c r="C795" s="346"/>
      <c r="D795" s="346"/>
      <c r="E795" s="346"/>
      <c r="F795" s="346"/>
      <c r="G795" s="346"/>
      <c r="H795" s="346"/>
      <c r="I795" s="346"/>
      <c r="J795" s="346"/>
      <c r="K795" s="346"/>
      <c r="L795" s="346"/>
      <c r="M795" s="346"/>
      <c r="N795" s="346"/>
      <c r="O795" s="346"/>
      <c r="P795" s="346"/>
      <c r="Q795" s="346"/>
      <c r="R795" s="346"/>
      <c r="S795" s="346"/>
      <c r="T795" s="347"/>
      <c r="U795" s="345"/>
      <c r="V795" s="317"/>
      <c r="W795" s="318"/>
      <c r="X795" s="288"/>
      <c r="Y795" s="220"/>
      <c r="Z795" s="220"/>
      <c r="AA795" s="220"/>
      <c r="AB795" s="220"/>
      <c r="AC795" s="220"/>
      <c r="AD795" s="220"/>
      <c r="AE795" s="220"/>
      <c r="AF795" s="220"/>
      <c r="AG795" s="220"/>
      <c r="AH795" s="220"/>
      <c r="AI795" s="308"/>
      <c r="AJ795" s="220"/>
      <c r="AK795" s="220"/>
      <c r="AL795" s="220"/>
      <c r="AM795" s="220"/>
      <c r="AN795" s="220"/>
      <c r="AO795" s="220"/>
      <c r="AP795" s="220"/>
      <c r="AQ795" s="220"/>
      <c r="AR795" s="220"/>
      <c r="AS795" s="220"/>
      <c r="AT795" s="220"/>
      <c r="AU795" s="220"/>
      <c r="AV795" s="220"/>
      <c r="AW795" s="220"/>
      <c r="AX795" s="220"/>
      <c r="AY795" s="220"/>
      <c r="AZ795" s="220"/>
      <c r="BA795" s="220"/>
      <c r="BB795" s="220"/>
    </row>
    <row r="796">
      <c r="A796" s="240"/>
      <c r="B796" s="319"/>
      <c r="C796" s="346"/>
      <c r="D796" s="346"/>
      <c r="E796" s="346"/>
      <c r="F796" s="346"/>
      <c r="G796" s="346"/>
      <c r="H796" s="346"/>
      <c r="I796" s="346"/>
      <c r="J796" s="346"/>
      <c r="K796" s="346"/>
      <c r="L796" s="346"/>
      <c r="M796" s="346"/>
      <c r="N796" s="346"/>
      <c r="O796" s="346"/>
      <c r="P796" s="346"/>
      <c r="Q796" s="346"/>
      <c r="R796" s="346"/>
      <c r="S796" s="346"/>
      <c r="T796" s="347"/>
      <c r="U796" s="345"/>
      <c r="V796" s="317"/>
      <c r="W796" s="318"/>
      <c r="X796" s="288"/>
      <c r="Y796" s="220"/>
      <c r="Z796" s="220"/>
      <c r="AA796" s="220"/>
      <c r="AB796" s="220"/>
      <c r="AC796" s="220"/>
      <c r="AD796" s="220"/>
      <c r="AE796" s="220"/>
      <c r="AF796" s="220"/>
      <c r="AG796" s="220"/>
      <c r="AH796" s="220"/>
      <c r="AI796" s="308"/>
      <c r="AJ796" s="220"/>
      <c r="AK796" s="220"/>
      <c r="AL796" s="220"/>
      <c r="AM796" s="220"/>
      <c r="AN796" s="220"/>
      <c r="AO796" s="220"/>
      <c r="AP796" s="220"/>
      <c r="AQ796" s="220"/>
      <c r="AR796" s="220"/>
      <c r="AS796" s="220"/>
      <c r="AT796" s="220"/>
      <c r="AU796" s="220"/>
      <c r="AV796" s="220"/>
      <c r="AW796" s="220"/>
      <c r="AX796" s="220"/>
      <c r="AY796" s="220"/>
      <c r="AZ796" s="220"/>
      <c r="BA796" s="220"/>
      <c r="BB796" s="220"/>
    </row>
    <row r="797">
      <c r="A797" s="240"/>
      <c r="B797" s="319"/>
      <c r="C797" s="346"/>
      <c r="D797" s="346"/>
      <c r="E797" s="346"/>
      <c r="F797" s="346"/>
      <c r="G797" s="346"/>
      <c r="H797" s="346"/>
      <c r="I797" s="346"/>
      <c r="J797" s="346"/>
      <c r="K797" s="346"/>
      <c r="L797" s="346"/>
      <c r="M797" s="346"/>
      <c r="N797" s="346"/>
      <c r="O797" s="346"/>
      <c r="P797" s="346"/>
      <c r="Q797" s="346"/>
      <c r="R797" s="346"/>
      <c r="S797" s="346"/>
      <c r="T797" s="347"/>
      <c r="U797" s="345"/>
      <c r="V797" s="317"/>
      <c r="W797" s="318"/>
      <c r="X797" s="288"/>
      <c r="Y797" s="220"/>
      <c r="Z797" s="220"/>
      <c r="AA797" s="220"/>
      <c r="AB797" s="220"/>
      <c r="AC797" s="220"/>
      <c r="AD797" s="220"/>
      <c r="AE797" s="220"/>
      <c r="AF797" s="220"/>
      <c r="AG797" s="220"/>
      <c r="AH797" s="220"/>
      <c r="AI797" s="308"/>
      <c r="AJ797" s="220"/>
      <c r="AK797" s="220"/>
      <c r="AL797" s="220"/>
      <c r="AM797" s="220"/>
      <c r="AN797" s="220"/>
      <c r="AO797" s="220"/>
      <c r="AP797" s="220"/>
      <c r="AQ797" s="220"/>
      <c r="AR797" s="220"/>
      <c r="AS797" s="220"/>
      <c r="AT797" s="220"/>
      <c r="AU797" s="220"/>
      <c r="AV797" s="220"/>
      <c r="AW797" s="220"/>
      <c r="AX797" s="220"/>
      <c r="AY797" s="220"/>
      <c r="AZ797" s="220"/>
      <c r="BA797" s="220"/>
      <c r="BB797" s="220"/>
    </row>
    <row r="798">
      <c r="A798" s="240"/>
      <c r="B798" s="319"/>
      <c r="C798" s="346"/>
      <c r="D798" s="346"/>
      <c r="E798" s="346"/>
      <c r="F798" s="346"/>
      <c r="G798" s="346"/>
      <c r="H798" s="346"/>
      <c r="I798" s="346"/>
      <c r="J798" s="346"/>
      <c r="K798" s="346"/>
      <c r="L798" s="346"/>
      <c r="M798" s="346"/>
      <c r="N798" s="346"/>
      <c r="O798" s="346"/>
      <c r="P798" s="346"/>
      <c r="Q798" s="346"/>
      <c r="R798" s="346"/>
      <c r="S798" s="346"/>
      <c r="T798" s="347"/>
      <c r="U798" s="345"/>
      <c r="V798" s="317"/>
      <c r="W798" s="318"/>
      <c r="X798" s="288"/>
      <c r="Y798" s="220"/>
      <c r="Z798" s="220"/>
      <c r="AA798" s="220"/>
      <c r="AB798" s="220"/>
      <c r="AC798" s="220"/>
      <c r="AD798" s="220"/>
      <c r="AE798" s="220"/>
      <c r="AF798" s="220"/>
      <c r="AG798" s="220"/>
      <c r="AH798" s="220"/>
      <c r="AI798" s="308"/>
      <c r="AJ798" s="220"/>
      <c r="AK798" s="220"/>
      <c r="AL798" s="220"/>
      <c r="AM798" s="220"/>
      <c r="AN798" s="220"/>
      <c r="AO798" s="220"/>
      <c r="AP798" s="220"/>
      <c r="AQ798" s="220"/>
      <c r="AR798" s="220"/>
      <c r="AS798" s="220"/>
      <c r="AT798" s="220"/>
      <c r="AU798" s="220"/>
      <c r="AV798" s="220"/>
      <c r="AW798" s="220"/>
      <c r="AX798" s="220"/>
      <c r="AY798" s="220"/>
      <c r="AZ798" s="220"/>
      <c r="BA798" s="220"/>
      <c r="BB798" s="220"/>
    </row>
    <row r="799">
      <c r="A799" s="240"/>
      <c r="B799" s="319"/>
      <c r="C799" s="346"/>
      <c r="D799" s="346"/>
      <c r="E799" s="346"/>
      <c r="F799" s="346"/>
      <c r="G799" s="346"/>
      <c r="H799" s="346"/>
      <c r="I799" s="346"/>
      <c r="J799" s="346"/>
      <c r="K799" s="346"/>
      <c r="L799" s="346"/>
      <c r="M799" s="346"/>
      <c r="N799" s="346"/>
      <c r="O799" s="346"/>
      <c r="P799" s="346"/>
      <c r="Q799" s="346"/>
      <c r="R799" s="346"/>
      <c r="S799" s="346"/>
      <c r="T799" s="347"/>
      <c r="U799" s="345"/>
      <c r="V799" s="317"/>
      <c r="W799" s="318"/>
      <c r="X799" s="288"/>
      <c r="Y799" s="220"/>
      <c r="Z799" s="220"/>
      <c r="AA799" s="220"/>
      <c r="AB799" s="220"/>
      <c r="AC799" s="220"/>
      <c r="AD799" s="220"/>
      <c r="AE799" s="220"/>
      <c r="AF799" s="220"/>
      <c r="AG799" s="220"/>
      <c r="AH799" s="220"/>
      <c r="AI799" s="308"/>
      <c r="AJ799" s="220"/>
      <c r="AK799" s="220"/>
      <c r="AL799" s="220"/>
      <c r="AM799" s="220"/>
      <c r="AN799" s="220"/>
      <c r="AO799" s="220"/>
      <c r="AP799" s="220"/>
      <c r="AQ799" s="220"/>
      <c r="AR799" s="220"/>
      <c r="AS799" s="220"/>
      <c r="AT799" s="220"/>
      <c r="AU799" s="220"/>
      <c r="AV799" s="220"/>
      <c r="AW799" s="220"/>
      <c r="AX799" s="220"/>
      <c r="AY799" s="220"/>
      <c r="AZ799" s="220"/>
      <c r="BA799" s="220"/>
      <c r="BB799" s="220"/>
    </row>
    <row r="800">
      <c r="A800" s="240"/>
      <c r="B800" s="319"/>
      <c r="C800" s="346"/>
      <c r="D800" s="346"/>
      <c r="E800" s="346"/>
      <c r="F800" s="346"/>
      <c r="G800" s="346"/>
      <c r="H800" s="346"/>
      <c r="I800" s="346"/>
      <c r="J800" s="346"/>
      <c r="K800" s="346"/>
      <c r="L800" s="346"/>
      <c r="M800" s="346"/>
      <c r="N800" s="346"/>
      <c r="O800" s="346"/>
      <c r="P800" s="346"/>
      <c r="Q800" s="346"/>
      <c r="R800" s="346"/>
      <c r="S800" s="346"/>
      <c r="T800" s="347"/>
      <c r="U800" s="345"/>
      <c r="V800" s="317"/>
      <c r="W800" s="318"/>
      <c r="X800" s="288"/>
      <c r="Y800" s="220"/>
      <c r="Z800" s="220"/>
      <c r="AA800" s="220"/>
      <c r="AB800" s="220"/>
      <c r="AC800" s="220"/>
      <c r="AD800" s="220"/>
      <c r="AE800" s="220"/>
      <c r="AF800" s="220"/>
      <c r="AG800" s="220"/>
      <c r="AH800" s="220"/>
      <c r="AI800" s="308"/>
      <c r="AJ800" s="220"/>
      <c r="AK800" s="220"/>
      <c r="AL800" s="220"/>
      <c r="AM800" s="220"/>
      <c r="AN800" s="220"/>
      <c r="AO800" s="220"/>
      <c r="AP800" s="220"/>
      <c r="AQ800" s="220"/>
      <c r="AR800" s="220"/>
      <c r="AS800" s="220"/>
      <c r="AT800" s="220"/>
      <c r="AU800" s="220"/>
      <c r="AV800" s="220"/>
      <c r="AW800" s="220"/>
      <c r="AX800" s="220"/>
      <c r="AY800" s="220"/>
      <c r="AZ800" s="220"/>
      <c r="BA800" s="220"/>
      <c r="BB800" s="220"/>
    </row>
    <row r="801">
      <c r="A801" s="240"/>
      <c r="B801" s="319"/>
      <c r="C801" s="346"/>
      <c r="D801" s="346"/>
      <c r="E801" s="346"/>
      <c r="F801" s="346"/>
      <c r="G801" s="346"/>
      <c r="H801" s="346"/>
      <c r="I801" s="346"/>
      <c r="J801" s="346"/>
      <c r="K801" s="346"/>
      <c r="L801" s="346"/>
      <c r="M801" s="346"/>
      <c r="N801" s="346"/>
      <c r="O801" s="346"/>
      <c r="P801" s="346"/>
      <c r="Q801" s="346"/>
      <c r="R801" s="346"/>
      <c r="S801" s="346"/>
      <c r="T801" s="347"/>
      <c r="U801" s="345"/>
      <c r="V801" s="317"/>
      <c r="W801" s="318"/>
      <c r="X801" s="288"/>
      <c r="Y801" s="220"/>
      <c r="Z801" s="220"/>
      <c r="AA801" s="220"/>
      <c r="AB801" s="220"/>
      <c r="AC801" s="220"/>
      <c r="AD801" s="220"/>
      <c r="AE801" s="220"/>
      <c r="AF801" s="220"/>
      <c r="AG801" s="220"/>
      <c r="AH801" s="220"/>
      <c r="AI801" s="308"/>
      <c r="AJ801" s="220"/>
      <c r="AK801" s="220"/>
      <c r="AL801" s="220"/>
      <c r="AM801" s="220"/>
      <c r="AN801" s="220"/>
      <c r="AO801" s="220"/>
      <c r="AP801" s="220"/>
      <c r="AQ801" s="220"/>
      <c r="AR801" s="220"/>
      <c r="AS801" s="220"/>
      <c r="AT801" s="220"/>
      <c r="AU801" s="220"/>
      <c r="AV801" s="220"/>
      <c r="AW801" s="220"/>
      <c r="AX801" s="220"/>
      <c r="AY801" s="220"/>
      <c r="AZ801" s="220"/>
      <c r="BA801" s="220"/>
      <c r="BB801" s="220"/>
    </row>
    <row r="802">
      <c r="A802" s="240"/>
      <c r="B802" s="319"/>
      <c r="C802" s="346"/>
      <c r="D802" s="346"/>
      <c r="E802" s="346"/>
      <c r="F802" s="346"/>
      <c r="G802" s="346"/>
      <c r="H802" s="346"/>
      <c r="I802" s="346"/>
      <c r="J802" s="346"/>
      <c r="K802" s="346"/>
      <c r="L802" s="346"/>
      <c r="M802" s="346"/>
      <c r="N802" s="346"/>
      <c r="O802" s="346"/>
      <c r="P802" s="346"/>
      <c r="Q802" s="346"/>
      <c r="R802" s="346"/>
      <c r="S802" s="346"/>
      <c r="T802" s="347"/>
      <c r="U802" s="345"/>
      <c r="V802" s="317"/>
      <c r="W802" s="318"/>
      <c r="X802" s="288"/>
      <c r="Y802" s="220"/>
      <c r="Z802" s="220"/>
      <c r="AA802" s="220"/>
      <c r="AB802" s="220"/>
      <c r="AC802" s="220"/>
      <c r="AD802" s="220"/>
      <c r="AE802" s="220"/>
      <c r="AF802" s="220"/>
      <c r="AG802" s="220"/>
      <c r="AH802" s="220"/>
      <c r="AI802" s="308"/>
      <c r="AJ802" s="220"/>
      <c r="AK802" s="220"/>
      <c r="AL802" s="220"/>
      <c r="AM802" s="220"/>
      <c r="AN802" s="220"/>
      <c r="AO802" s="220"/>
      <c r="AP802" s="220"/>
      <c r="AQ802" s="220"/>
      <c r="AR802" s="220"/>
      <c r="AS802" s="220"/>
      <c r="AT802" s="220"/>
      <c r="AU802" s="220"/>
      <c r="AV802" s="220"/>
      <c r="AW802" s="220"/>
      <c r="AX802" s="220"/>
      <c r="AY802" s="220"/>
      <c r="AZ802" s="220"/>
      <c r="BA802" s="220"/>
      <c r="BB802" s="220"/>
    </row>
    <row r="803">
      <c r="A803" s="240"/>
      <c r="B803" s="319"/>
      <c r="C803" s="346"/>
      <c r="D803" s="346"/>
      <c r="E803" s="346"/>
      <c r="F803" s="346"/>
      <c r="G803" s="346"/>
      <c r="H803" s="346"/>
      <c r="I803" s="346"/>
      <c r="J803" s="346"/>
      <c r="K803" s="346"/>
      <c r="L803" s="346"/>
      <c r="M803" s="346"/>
      <c r="N803" s="346"/>
      <c r="O803" s="346"/>
      <c r="P803" s="346"/>
      <c r="Q803" s="346"/>
      <c r="R803" s="346"/>
      <c r="S803" s="346"/>
      <c r="T803" s="347"/>
      <c r="U803" s="345"/>
      <c r="V803" s="317"/>
      <c r="W803" s="318"/>
      <c r="X803" s="288"/>
      <c r="Y803" s="220"/>
      <c r="Z803" s="220"/>
      <c r="AA803" s="220"/>
      <c r="AB803" s="220"/>
      <c r="AC803" s="220"/>
      <c r="AD803" s="220"/>
      <c r="AE803" s="220"/>
      <c r="AF803" s="220"/>
      <c r="AG803" s="220"/>
      <c r="AH803" s="220"/>
      <c r="AI803" s="308"/>
      <c r="AJ803" s="220"/>
      <c r="AK803" s="220"/>
      <c r="AL803" s="220"/>
      <c r="AM803" s="220"/>
      <c r="AN803" s="220"/>
      <c r="AO803" s="220"/>
      <c r="AP803" s="220"/>
      <c r="AQ803" s="220"/>
      <c r="AR803" s="220"/>
      <c r="AS803" s="220"/>
      <c r="AT803" s="220"/>
      <c r="AU803" s="220"/>
      <c r="AV803" s="220"/>
      <c r="AW803" s="220"/>
      <c r="AX803" s="220"/>
      <c r="AY803" s="220"/>
      <c r="AZ803" s="220"/>
      <c r="BA803" s="220"/>
      <c r="BB803" s="220"/>
    </row>
    <row r="804">
      <c r="A804" s="240"/>
      <c r="B804" s="319"/>
      <c r="C804" s="346"/>
      <c r="D804" s="346"/>
      <c r="E804" s="346"/>
      <c r="F804" s="346"/>
      <c r="G804" s="346"/>
      <c r="H804" s="346"/>
      <c r="I804" s="346"/>
      <c r="J804" s="346"/>
      <c r="K804" s="346"/>
      <c r="L804" s="346"/>
      <c r="M804" s="346"/>
      <c r="N804" s="346"/>
      <c r="O804" s="346"/>
      <c r="P804" s="346"/>
      <c r="Q804" s="346"/>
      <c r="R804" s="346"/>
      <c r="S804" s="346"/>
      <c r="T804" s="347"/>
      <c r="U804" s="345"/>
      <c r="V804" s="317"/>
      <c r="W804" s="318"/>
      <c r="X804" s="288"/>
      <c r="Y804" s="220"/>
      <c r="Z804" s="220"/>
      <c r="AA804" s="220"/>
      <c r="AB804" s="220"/>
      <c r="AC804" s="220"/>
      <c r="AD804" s="220"/>
      <c r="AE804" s="220"/>
      <c r="AF804" s="220"/>
      <c r="AG804" s="220"/>
      <c r="AH804" s="220"/>
      <c r="AI804" s="308"/>
      <c r="AJ804" s="220"/>
      <c r="AK804" s="220"/>
      <c r="AL804" s="220"/>
      <c r="AM804" s="220"/>
      <c r="AN804" s="220"/>
      <c r="AO804" s="220"/>
      <c r="AP804" s="220"/>
      <c r="AQ804" s="220"/>
      <c r="AR804" s="220"/>
      <c r="AS804" s="220"/>
      <c r="AT804" s="220"/>
      <c r="AU804" s="220"/>
      <c r="AV804" s="220"/>
      <c r="AW804" s="220"/>
      <c r="AX804" s="220"/>
      <c r="AY804" s="220"/>
      <c r="AZ804" s="220"/>
      <c r="BA804" s="220"/>
      <c r="BB804" s="220"/>
    </row>
    <row r="805">
      <c r="A805" s="240"/>
      <c r="B805" s="319"/>
      <c r="C805" s="346"/>
      <c r="D805" s="346"/>
      <c r="E805" s="346"/>
      <c r="F805" s="346"/>
      <c r="G805" s="346"/>
      <c r="H805" s="346"/>
      <c r="I805" s="346"/>
      <c r="J805" s="346"/>
      <c r="K805" s="346"/>
      <c r="L805" s="346"/>
      <c r="M805" s="346"/>
      <c r="N805" s="346"/>
      <c r="O805" s="346"/>
      <c r="P805" s="346"/>
      <c r="Q805" s="346"/>
      <c r="R805" s="346"/>
      <c r="S805" s="346"/>
      <c r="T805" s="347"/>
      <c r="U805" s="345"/>
      <c r="V805" s="317"/>
      <c r="W805" s="318"/>
      <c r="X805" s="288"/>
      <c r="Y805" s="220"/>
      <c r="Z805" s="220"/>
      <c r="AA805" s="220"/>
      <c r="AB805" s="220"/>
      <c r="AC805" s="220"/>
      <c r="AD805" s="220"/>
      <c r="AE805" s="220"/>
      <c r="AF805" s="220"/>
      <c r="AG805" s="220"/>
      <c r="AH805" s="220"/>
      <c r="AI805" s="308"/>
      <c r="AJ805" s="220"/>
      <c r="AK805" s="220"/>
      <c r="AL805" s="220"/>
      <c r="AM805" s="220"/>
      <c r="AN805" s="220"/>
      <c r="AO805" s="220"/>
      <c r="AP805" s="220"/>
      <c r="AQ805" s="220"/>
      <c r="AR805" s="220"/>
      <c r="AS805" s="220"/>
      <c r="AT805" s="220"/>
      <c r="AU805" s="220"/>
      <c r="AV805" s="220"/>
      <c r="AW805" s="220"/>
      <c r="AX805" s="220"/>
      <c r="AY805" s="220"/>
      <c r="AZ805" s="220"/>
      <c r="BA805" s="220"/>
      <c r="BB805" s="220"/>
    </row>
    <row r="806">
      <c r="A806" s="240"/>
      <c r="B806" s="319"/>
      <c r="C806" s="346"/>
      <c r="D806" s="346"/>
      <c r="E806" s="346"/>
      <c r="F806" s="346"/>
      <c r="G806" s="346"/>
      <c r="H806" s="346"/>
      <c r="I806" s="346"/>
      <c r="J806" s="346"/>
      <c r="K806" s="346"/>
      <c r="L806" s="346"/>
      <c r="M806" s="346"/>
      <c r="N806" s="346"/>
      <c r="O806" s="346"/>
      <c r="P806" s="346"/>
      <c r="Q806" s="346"/>
      <c r="R806" s="346"/>
      <c r="S806" s="346"/>
      <c r="T806" s="347"/>
      <c r="U806" s="345"/>
      <c r="V806" s="317"/>
      <c r="W806" s="318"/>
      <c r="X806" s="288"/>
      <c r="Y806" s="220"/>
      <c r="Z806" s="220"/>
      <c r="AA806" s="220"/>
      <c r="AB806" s="220"/>
      <c r="AC806" s="220"/>
      <c r="AD806" s="220"/>
      <c r="AE806" s="220"/>
      <c r="AF806" s="220"/>
      <c r="AG806" s="220"/>
      <c r="AH806" s="220"/>
      <c r="AI806" s="308"/>
      <c r="AJ806" s="220"/>
      <c r="AK806" s="220"/>
      <c r="AL806" s="220"/>
      <c r="AM806" s="220"/>
      <c r="AN806" s="220"/>
      <c r="AO806" s="220"/>
      <c r="AP806" s="220"/>
      <c r="AQ806" s="220"/>
      <c r="AR806" s="220"/>
      <c r="AS806" s="220"/>
      <c r="AT806" s="220"/>
      <c r="AU806" s="220"/>
      <c r="AV806" s="220"/>
      <c r="AW806" s="220"/>
      <c r="AX806" s="220"/>
      <c r="AY806" s="220"/>
      <c r="AZ806" s="220"/>
      <c r="BA806" s="220"/>
      <c r="BB806" s="220"/>
    </row>
    <row r="807">
      <c r="A807" s="240"/>
      <c r="B807" s="319"/>
      <c r="C807" s="346"/>
      <c r="D807" s="346"/>
      <c r="E807" s="346"/>
      <c r="F807" s="346"/>
      <c r="G807" s="346"/>
      <c r="H807" s="346"/>
      <c r="I807" s="346"/>
      <c r="J807" s="346"/>
      <c r="K807" s="346"/>
      <c r="L807" s="346"/>
      <c r="M807" s="346"/>
      <c r="N807" s="346"/>
      <c r="O807" s="346"/>
      <c r="P807" s="346"/>
      <c r="Q807" s="346"/>
      <c r="R807" s="346"/>
      <c r="S807" s="346"/>
      <c r="T807" s="347"/>
      <c r="U807" s="345"/>
      <c r="V807" s="317"/>
      <c r="W807" s="318"/>
      <c r="X807" s="288"/>
      <c r="Y807" s="220"/>
      <c r="Z807" s="220"/>
      <c r="AA807" s="220"/>
      <c r="AB807" s="220"/>
      <c r="AC807" s="220"/>
      <c r="AD807" s="220"/>
      <c r="AE807" s="220"/>
      <c r="AF807" s="220"/>
      <c r="AG807" s="220"/>
      <c r="AH807" s="220"/>
      <c r="AI807" s="308"/>
      <c r="AJ807" s="220"/>
      <c r="AK807" s="220"/>
      <c r="AL807" s="220"/>
      <c r="AM807" s="220"/>
      <c r="AN807" s="220"/>
      <c r="AO807" s="220"/>
      <c r="AP807" s="220"/>
      <c r="AQ807" s="220"/>
      <c r="AR807" s="220"/>
      <c r="AS807" s="220"/>
      <c r="AT807" s="220"/>
      <c r="AU807" s="220"/>
      <c r="AV807" s="220"/>
      <c r="AW807" s="220"/>
      <c r="AX807" s="220"/>
      <c r="AY807" s="220"/>
      <c r="AZ807" s="220"/>
      <c r="BA807" s="220"/>
      <c r="BB807" s="220"/>
    </row>
    <row r="808">
      <c r="A808" s="240"/>
      <c r="B808" s="319"/>
      <c r="C808" s="346"/>
      <c r="D808" s="346"/>
      <c r="E808" s="346"/>
      <c r="F808" s="346"/>
      <c r="G808" s="346"/>
      <c r="H808" s="346"/>
      <c r="I808" s="346"/>
      <c r="J808" s="346"/>
      <c r="K808" s="346"/>
      <c r="L808" s="346"/>
      <c r="M808" s="346"/>
      <c r="N808" s="346"/>
      <c r="O808" s="346"/>
      <c r="P808" s="346"/>
      <c r="Q808" s="346"/>
      <c r="R808" s="346"/>
      <c r="S808" s="346"/>
      <c r="T808" s="347"/>
      <c r="U808" s="345"/>
      <c r="V808" s="317"/>
      <c r="W808" s="318"/>
      <c r="X808" s="288"/>
      <c r="Y808" s="220"/>
      <c r="Z808" s="220"/>
      <c r="AA808" s="220"/>
      <c r="AB808" s="220"/>
      <c r="AC808" s="220"/>
      <c r="AD808" s="220"/>
      <c r="AE808" s="220"/>
      <c r="AF808" s="220"/>
      <c r="AG808" s="220"/>
      <c r="AH808" s="220"/>
      <c r="AI808" s="308"/>
      <c r="AJ808" s="220"/>
      <c r="AK808" s="220"/>
      <c r="AL808" s="220"/>
      <c r="AM808" s="220"/>
      <c r="AN808" s="220"/>
      <c r="AO808" s="220"/>
      <c r="AP808" s="220"/>
      <c r="AQ808" s="220"/>
      <c r="AR808" s="220"/>
      <c r="AS808" s="220"/>
      <c r="AT808" s="220"/>
      <c r="AU808" s="220"/>
      <c r="AV808" s="220"/>
      <c r="AW808" s="220"/>
      <c r="AX808" s="220"/>
      <c r="AY808" s="220"/>
      <c r="AZ808" s="220"/>
      <c r="BA808" s="220"/>
      <c r="BB808" s="220"/>
    </row>
    <row r="809">
      <c r="A809" s="240"/>
      <c r="B809" s="319"/>
      <c r="C809" s="346"/>
      <c r="D809" s="346"/>
      <c r="E809" s="346"/>
      <c r="F809" s="346"/>
      <c r="G809" s="346"/>
      <c r="H809" s="346"/>
      <c r="I809" s="346"/>
      <c r="J809" s="346"/>
      <c r="K809" s="346"/>
      <c r="L809" s="346"/>
      <c r="M809" s="346"/>
      <c r="N809" s="346"/>
      <c r="O809" s="346"/>
      <c r="P809" s="346"/>
      <c r="Q809" s="346"/>
      <c r="R809" s="346"/>
      <c r="S809" s="346"/>
      <c r="T809" s="347"/>
      <c r="U809" s="345"/>
      <c r="V809" s="317"/>
      <c r="W809" s="318"/>
      <c r="X809" s="288"/>
      <c r="Y809" s="220"/>
      <c r="Z809" s="220"/>
      <c r="AA809" s="220"/>
      <c r="AB809" s="220"/>
      <c r="AC809" s="220"/>
      <c r="AD809" s="220"/>
      <c r="AE809" s="220"/>
      <c r="AF809" s="220"/>
      <c r="AG809" s="220"/>
      <c r="AH809" s="220"/>
      <c r="AI809" s="308"/>
      <c r="AJ809" s="220"/>
      <c r="AK809" s="220"/>
      <c r="AL809" s="220"/>
      <c r="AM809" s="220"/>
      <c r="AN809" s="220"/>
      <c r="AO809" s="220"/>
      <c r="AP809" s="220"/>
      <c r="AQ809" s="220"/>
      <c r="AR809" s="220"/>
      <c r="AS809" s="220"/>
      <c r="AT809" s="220"/>
      <c r="AU809" s="220"/>
      <c r="AV809" s="220"/>
      <c r="AW809" s="220"/>
      <c r="AX809" s="220"/>
      <c r="AY809" s="220"/>
      <c r="AZ809" s="220"/>
      <c r="BA809" s="220"/>
      <c r="BB809" s="220"/>
    </row>
    <row r="810">
      <c r="A810" s="240"/>
      <c r="B810" s="319"/>
      <c r="C810" s="346"/>
      <c r="D810" s="346"/>
      <c r="E810" s="346"/>
      <c r="F810" s="346"/>
      <c r="G810" s="346"/>
      <c r="H810" s="346"/>
      <c r="I810" s="346"/>
      <c r="J810" s="346"/>
      <c r="K810" s="346"/>
      <c r="L810" s="346"/>
      <c r="M810" s="346"/>
      <c r="N810" s="346"/>
      <c r="O810" s="346"/>
      <c r="P810" s="346"/>
      <c r="Q810" s="346"/>
      <c r="R810" s="346"/>
      <c r="S810" s="346"/>
      <c r="T810" s="347"/>
      <c r="U810" s="345"/>
      <c r="V810" s="317"/>
      <c r="W810" s="318"/>
      <c r="X810" s="288"/>
      <c r="Y810" s="220"/>
      <c r="Z810" s="220"/>
      <c r="AA810" s="220"/>
      <c r="AB810" s="220"/>
      <c r="AC810" s="220"/>
      <c r="AD810" s="220"/>
      <c r="AE810" s="220"/>
      <c r="AF810" s="220"/>
      <c r="AG810" s="220"/>
      <c r="AH810" s="220"/>
      <c r="AI810" s="308"/>
      <c r="AJ810" s="220"/>
      <c r="AK810" s="220"/>
      <c r="AL810" s="220"/>
      <c r="AM810" s="220"/>
      <c r="AN810" s="220"/>
      <c r="AO810" s="220"/>
      <c r="AP810" s="220"/>
      <c r="AQ810" s="220"/>
      <c r="AR810" s="220"/>
      <c r="AS810" s="220"/>
      <c r="AT810" s="220"/>
      <c r="AU810" s="220"/>
      <c r="AV810" s="220"/>
      <c r="AW810" s="220"/>
      <c r="AX810" s="220"/>
      <c r="AY810" s="220"/>
      <c r="AZ810" s="220"/>
      <c r="BA810" s="220"/>
      <c r="BB810" s="220"/>
    </row>
    <row r="811">
      <c r="A811" s="240"/>
      <c r="B811" s="319"/>
      <c r="C811" s="346"/>
      <c r="D811" s="346"/>
      <c r="E811" s="346"/>
      <c r="F811" s="346"/>
      <c r="G811" s="346"/>
      <c r="H811" s="346"/>
      <c r="I811" s="346"/>
      <c r="J811" s="346"/>
      <c r="K811" s="346"/>
      <c r="L811" s="346"/>
      <c r="M811" s="346"/>
      <c r="N811" s="346"/>
      <c r="O811" s="346"/>
      <c r="P811" s="346"/>
      <c r="Q811" s="346"/>
      <c r="R811" s="346"/>
      <c r="S811" s="346"/>
      <c r="T811" s="347"/>
      <c r="U811" s="345"/>
      <c r="V811" s="317"/>
      <c r="W811" s="318"/>
      <c r="X811" s="288"/>
      <c r="Y811" s="220"/>
      <c r="Z811" s="220"/>
      <c r="AA811" s="220"/>
      <c r="AB811" s="220"/>
      <c r="AC811" s="220"/>
      <c r="AD811" s="220"/>
      <c r="AE811" s="220"/>
      <c r="AF811" s="220"/>
      <c r="AG811" s="220"/>
      <c r="AH811" s="220"/>
      <c r="AI811" s="308"/>
      <c r="AJ811" s="220"/>
      <c r="AK811" s="220"/>
      <c r="AL811" s="220"/>
      <c r="AM811" s="220"/>
      <c r="AN811" s="220"/>
      <c r="AO811" s="220"/>
      <c r="AP811" s="220"/>
      <c r="AQ811" s="220"/>
      <c r="AR811" s="220"/>
      <c r="AS811" s="220"/>
      <c r="AT811" s="220"/>
      <c r="AU811" s="220"/>
      <c r="AV811" s="220"/>
      <c r="AW811" s="220"/>
      <c r="AX811" s="220"/>
      <c r="AY811" s="220"/>
      <c r="AZ811" s="220"/>
      <c r="BA811" s="220"/>
      <c r="BB811" s="220"/>
    </row>
    <row r="812">
      <c r="A812" s="240"/>
      <c r="B812" s="319"/>
      <c r="C812" s="346"/>
      <c r="D812" s="346"/>
      <c r="E812" s="346"/>
      <c r="F812" s="346"/>
      <c r="G812" s="346"/>
      <c r="H812" s="346"/>
      <c r="I812" s="346"/>
      <c r="J812" s="346"/>
      <c r="K812" s="346"/>
      <c r="L812" s="346"/>
      <c r="M812" s="346"/>
      <c r="N812" s="346"/>
      <c r="O812" s="346"/>
      <c r="P812" s="346"/>
      <c r="Q812" s="346"/>
      <c r="R812" s="346"/>
      <c r="S812" s="346"/>
      <c r="T812" s="347"/>
      <c r="U812" s="345"/>
      <c r="V812" s="317"/>
      <c r="W812" s="318"/>
      <c r="X812" s="288"/>
      <c r="Y812" s="220"/>
      <c r="Z812" s="220"/>
      <c r="AA812" s="220"/>
      <c r="AB812" s="220"/>
      <c r="AC812" s="220"/>
      <c r="AD812" s="220"/>
      <c r="AE812" s="220"/>
      <c r="AF812" s="220"/>
      <c r="AG812" s="220"/>
      <c r="AH812" s="220"/>
      <c r="AI812" s="308"/>
      <c r="AJ812" s="220"/>
      <c r="AK812" s="220"/>
      <c r="AL812" s="220"/>
      <c r="AM812" s="220"/>
      <c r="AN812" s="220"/>
      <c r="AO812" s="220"/>
      <c r="AP812" s="220"/>
      <c r="AQ812" s="220"/>
      <c r="AR812" s="220"/>
      <c r="AS812" s="220"/>
      <c r="AT812" s="220"/>
      <c r="AU812" s="220"/>
      <c r="AV812" s="220"/>
      <c r="AW812" s="220"/>
      <c r="AX812" s="220"/>
      <c r="AY812" s="220"/>
      <c r="AZ812" s="220"/>
      <c r="BA812" s="220"/>
      <c r="BB812" s="220"/>
    </row>
    <row r="813">
      <c r="A813" s="240"/>
      <c r="B813" s="319"/>
      <c r="C813" s="346"/>
      <c r="D813" s="346"/>
      <c r="E813" s="346"/>
      <c r="F813" s="346"/>
      <c r="G813" s="346"/>
      <c r="H813" s="346"/>
      <c r="I813" s="346"/>
      <c r="J813" s="346"/>
      <c r="K813" s="346"/>
      <c r="L813" s="346"/>
      <c r="M813" s="346"/>
      <c r="N813" s="346"/>
      <c r="O813" s="346"/>
      <c r="P813" s="346"/>
      <c r="Q813" s="346"/>
      <c r="R813" s="346"/>
      <c r="S813" s="346"/>
      <c r="T813" s="347"/>
      <c r="U813" s="345"/>
      <c r="V813" s="317"/>
      <c r="W813" s="318"/>
      <c r="X813" s="288"/>
      <c r="Y813" s="220"/>
      <c r="Z813" s="220"/>
      <c r="AA813" s="220"/>
      <c r="AB813" s="220"/>
      <c r="AC813" s="220"/>
      <c r="AD813" s="220"/>
      <c r="AE813" s="220"/>
      <c r="AF813" s="220"/>
      <c r="AG813" s="220"/>
      <c r="AH813" s="220"/>
      <c r="AI813" s="308"/>
      <c r="AJ813" s="220"/>
      <c r="AK813" s="220"/>
      <c r="AL813" s="220"/>
      <c r="AM813" s="220"/>
      <c r="AN813" s="220"/>
      <c r="AO813" s="220"/>
      <c r="AP813" s="220"/>
      <c r="AQ813" s="220"/>
      <c r="AR813" s="220"/>
      <c r="AS813" s="220"/>
      <c r="AT813" s="220"/>
      <c r="AU813" s="220"/>
      <c r="AV813" s="220"/>
      <c r="AW813" s="220"/>
      <c r="AX813" s="220"/>
      <c r="AY813" s="220"/>
      <c r="AZ813" s="220"/>
      <c r="BA813" s="220"/>
      <c r="BB813" s="220"/>
    </row>
    <row r="814">
      <c r="A814" s="240"/>
      <c r="B814" s="319"/>
      <c r="C814" s="346"/>
      <c r="D814" s="346"/>
      <c r="E814" s="346"/>
      <c r="F814" s="346"/>
      <c r="G814" s="346"/>
      <c r="H814" s="346"/>
      <c r="I814" s="346"/>
      <c r="J814" s="346"/>
      <c r="K814" s="346"/>
      <c r="L814" s="346"/>
      <c r="M814" s="346"/>
      <c r="N814" s="346"/>
      <c r="O814" s="346"/>
      <c r="P814" s="346"/>
      <c r="Q814" s="346"/>
      <c r="R814" s="346"/>
      <c r="S814" s="346"/>
      <c r="T814" s="347"/>
      <c r="U814" s="345"/>
      <c r="V814" s="317"/>
      <c r="W814" s="318"/>
      <c r="X814" s="288"/>
      <c r="Y814" s="220"/>
      <c r="Z814" s="220"/>
      <c r="AA814" s="220"/>
      <c r="AB814" s="220"/>
      <c r="AC814" s="220"/>
      <c r="AD814" s="220"/>
      <c r="AE814" s="220"/>
      <c r="AF814" s="220"/>
      <c r="AG814" s="220"/>
      <c r="AH814" s="220"/>
      <c r="AI814" s="308"/>
      <c r="AJ814" s="220"/>
      <c r="AK814" s="220"/>
      <c r="AL814" s="220"/>
      <c r="AM814" s="220"/>
      <c r="AN814" s="220"/>
      <c r="AO814" s="220"/>
      <c r="AP814" s="220"/>
      <c r="AQ814" s="220"/>
      <c r="AR814" s="220"/>
      <c r="AS814" s="220"/>
      <c r="AT814" s="220"/>
      <c r="AU814" s="220"/>
      <c r="AV814" s="220"/>
      <c r="AW814" s="220"/>
      <c r="AX814" s="220"/>
      <c r="AY814" s="220"/>
      <c r="AZ814" s="220"/>
      <c r="BA814" s="220"/>
      <c r="BB814" s="220"/>
    </row>
    <row r="815">
      <c r="A815" s="240"/>
      <c r="B815" s="319"/>
      <c r="C815" s="346"/>
      <c r="D815" s="346"/>
      <c r="E815" s="346"/>
      <c r="F815" s="346"/>
      <c r="G815" s="346"/>
      <c r="H815" s="346"/>
      <c r="I815" s="346"/>
      <c r="J815" s="346"/>
      <c r="K815" s="346"/>
      <c r="L815" s="346"/>
      <c r="M815" s="346"/>
      <c r="N815" s="346"/>
      <c r="O815" s="346"/>
      <c r="P815" s="346"/>
      <c r="Q815" s="346"/>
      <c r="R815" s="346"/>
      <c r="S815" s="346"/>
      <c r="T815" s="347"/>
      <c r="U815" s="345"/>
      <c r="V815" s="317"/>
      <c r="W815" s="318"/>
      <c r="X815" s="288"/>
      <c r="Y815" s="220"/>
      <c r="Z815" s="220"/>
      <c r="AA815" s="220"/>
      <c r="AB815" s="220"/>
      <c r="AC815" s="220"/>
      <c r="AD815" s="220"/>
      <c r="AE815" s="220"/>
      <c r="AF815" s="220"/>
      <c r="AG815" s="220"/>
      <c r="AH815" s="220"/>
      <c r="AI815" s="308"/>
      <c r="AJ815" s="220"/>
      <c r="AK815" s="220"/>
      <c r="AL815" s="220"/>
      <c r="AM815" s="220"/>
      <c r="AN815" s="220"/>
      <c r="AO815" s="220"/>
      <c r="AP815" s="220"/>
      <c r="AQ815" s="220"/>
      <c r="AR815" s="220"/>
      <c r="AS815" s="220"/>
      <c r="AT815" s="220"/>
      <c r="AU815" s="220"/>
      <c r="AV815" s="220"/>
      <c r="AW815" s="220"/>
      <c r="AX815" s="220"/>
      <c r="AY815" s="220"/>
      <c r="AZ815" s="220"/>
      <c r="BA815" s="220"/>
      <c r="BB815" s="220"/>
    </row>
    <row r="816">
      <c r="A816" s="240"/>
      <c r="B816" s="319"/>
      <c r="C816" s="346"/>
      <c r="D816" s="346"/>
      <c r="E816" s="346"/>
      <c r="F816" s="346"/>
      <c r="G816" s="346"/>
      <c r="H816" s="346"/>
      <c r="I816" s="346"/>
      <c r="J816" s="346"/>
      <c r="K816" s="346"/>
      <c r="L816" s="346"/>
      <c r="M816" s="346"/>
      <c r="N816" s="346"/>
      <c r="O816" s="346"/>
      <c r="P816" s="346"/>
      <c r="Q816" s="346"/>
      <c r="R816" s="346"/>
      <c r="S816" s="346"/>
      <c r="T816" s="347"/>
      <c r="U816" s="345"/>
      <c r="V816" s="317"/>
      <c r="W816" s="318"/>
      <c r="X816" s="288"/>
      <c r="Y816" s="220"/>
      <c r="Z816" s="220"/>
      <c r="AA816" s="220"/>
      <c r="AB816" s="220"/>
      <c r="AC816" s="220"/>
      <c r="AD816" s="220"/>
      <c r="AE816" s="220"/>
      <c r="AF816" s="220"/>
      <c r="AG816" s="220"/>
      <c r="AH816" s="220"/>
      <c r="AI816" s="308"/>
      <c r="AJ816" s="220"/>
      <c r="AK816" s="220"/>
      <c r="AL816" s="220"/>
      <c r="AM816" s="220"/>
      <c r="AN816" s="220"/>
      <c r="AO816" s="220"/>
      <c r="AP816" s="220"/>
      <c r="AQ816" s="220"/>
      <c r="AR816" s="220"/>
      <c r="AS816" s="220"/>
      <c r="AT816" s="220"/>
      <c r="AU816" s="220"/>
      <c r="AV816" s="220"/>
      <c r="AW816" s="220"/>
      <c r="AX816" s="220"/>
      <c r="AY816" s="220"/>
      <c r="AZ816" s="220"/>
      <c r="BA816" s="220"/>
      <c r="BB816" s="220"/>
    </row>
    <row r="817">
      <c r="A817" s="240"/>
      <c r="B817" s="319"/>
      <c r="C817" s="346"/>
      <c r="D817" s="346"/>
      <c r="E817" s="346"/>
      <c r="F817" s="346"/>
      <c r="G817" s="346"/>
      <c r="H817" s="346"/>
      <c r="I817" s="346"/>
      <c r="J817" s="346"/>
      <c r="K817" s="346"/>
      <c r="L817" s="346"/>
      <c r="M817" s="346"/>
      <c r="N817" s="346"/>
      <c r="O817" s="346"/>
      <c r="P817" s="346"/>
      <c r="Q817" s="346"/>
      <c r="R817" s="346"/>
      <c r="S817" s="346"/>
      <c r="T817" s="347"/>
      <c r="U817" s="345"/>
      <c r="V817" s="317"/>
      <c r="W817" s="318"/>
      <c r="X817" s="288"/>
      <c r="Y817" s="220"/>
      <c r="Z817" s="220"/>
      <c r="AA817" s="220"/>
      <c r="AB817" s="220"/>
      <c r="AC817" s="220"/>
      <c r="AD817" s="220"/>
      <c r="AE817" s="220"/>
      <c r="AF817" s="220"/>
      <c r="AG817" s="220"/>
      <c r="AH817" s="220"/>
      <c r="AI817" s="308"/>
      <c r="AJ817" s="220"/>
      <c r="AK817" s="220"/>
      <c r="AL817" s="220"/>
      <c r="AM817" s="220"/>
      <c r="AN817" s="220"/>
      <c r="AO817" s="220"/>
      <c r="AP817" s="220"/>
      <c r="AQ817" s="220"/>
      <c r="AR817" s="220"/>
      <c r="AS817" s="220"/>
      <c r="AT817" s="220"/>
      <c r="AU817" s="220"/>
      <c r="AV817" s="220"/>
      <c r="AW817" s="220"/>
      <c r="AX817" s="220"/>
      <c r="AY817" s="220"/>
      <c r="AZ817" s="220"/>
      <c r="BA817" s="220"/>
      <c r="BB817" s="220"/>
    </row>
    <row r="818">
      <c r="A818" s="240"/>
      <c r="B818" s="319"/>
      <c r="C818" s="346"/>
      <c r="D818" s="346"/>
      <c r="E818" s="346"/>
      <c r="F818" s="346"/>
      <c r="G818" s="346"/>
      <c r="H818" s="346"/>
      <c r="I818" s="346"/>
      <c r="J818" s="346"/>
      <c r="K818" s="346"/>
      <c r="L818" s="346"/>
      <c r="M818" s="346"/>
      <c r="N818" s="346"/>
      <c r="O818" s="346"/>
      <c r="P818" s="346"/>
      <c r="Q818" s="346"/>
      <c r="R818" s="346"/>
      <c r="S818" s="346"/>
      <c r="T818" s="347"/>
      <c r="U818" s="345"/>
      <c r="V818" s="317"/>
      <c r="W818" s="318"/>
      <c r="X818" s="288"/>
      <c r="Y818" s="220"/>
      <c r="Z818" s="220"/>
      <c r="AA818" s="220"/>
      <c r="AB818" s="220"/>
      <c r="AC818" s="220"/>
      <c r="AD818" s="220"/>
      <c r="AE818" s="220"/>
      <c r="AF818" s="220"/>
      <c r="AG818" s="220"/>
      <c r="AH818" s="220"/>
      <c r="AI818" s="308"/>
      <c r="AJ818" s="220"/>
      <c r="AK818" s="220"/>
      <c r="AL818" s="220"/>
      <c r="AM818" s="220"/>
      <c r="AN818" s="220"/>
      <c r="AO818" s="220"/>
      <c r="AP818" s="220"/>
      <c r="AQ818" s="220"/>
      <c r="AR818" s="220"/>
      <c r="AS818" s="220"/>
      <c r="AT818" s="220"/>
      <c r="AU818" s="220"/>
      <c r="AV818" s="220"/>
      <c r="AW818" s="220"/>
      <c r="AX818" s="220"/>
      <c r="AY818" s="220"/>
      <c r="AZ818" s="220"/>
      <c r="BA818" s="220"/>
      <c r="BB818" s="220"/>
    </row>
    <row r="819">
      <c r="A819" s="240"/>
      <c r="B819" s="319"/>
      <c r="C819" s="346"/>
      <c r="D819" s="346"/>
      <c r="E819" s="346"/>
      <c r="F819" s="346"/>
      <c r="G819" s="346"/>
      <c r="H819" s="346"/>
      <c r="I819" s="346"/>
      <c r="J819" s="346"/>
      <c r="K819" s="346"/>
      <c r="L819" s="346"/>
      <c r="M819" s="346"/>
      <c r="N819" s="346"/>
      <c r="O819" s="346"/>
      <c r="P819" s="346"/>
      <c r="Q819" s="346"/>
      <c r="R819" s="346"/>
      <c r="S819" s="346"/>
      <c r="T819" s="347"/>
      <c r="U819" s="345"/>
      <c r="V819" s="317"/>
      <c r="W819" s="318"/>
      <c r="X819" s="288"/>
      <c r="Y819" s="220"/>
      <c r="Z819" s="220"/>
      <c r="AA819" s="220"/>
      <c r="AB819" s="220"/>
      <c r="AC819" s="220"/>
      <c r="AD819" s="220"/>
      <c r="AE819" s="220"/>
      <c r="AF819" s="220"/>
      <c r="AG819" s="220"/>
      <c r="AH819" s="220"/>
      <c r="AI819" s="308"/>
      <c r="AJ819" s="220"/>
      <c r="AK819" s="220"/>
      <c r="AL819" s="220"/>
      <c r="AM819" s="220"/>
      <c r="AN819" s="220"/>
      <c r="AO819" s="220"/>
      <c r="AP819" s="220"/>
      <c r="AQ819" s="220"/>
      <c r="AR819" s="220"/>
      <c r="AS819" s="220"/>
      <c r="AT819" s="220"/>
      <c r="AU819" s="220"/>
      <c r="AV819" s="220"/>
      <c r="AW819" s="220"/>
      <c r="AX819" s="220"/>
      <c r="AY819" s="220"/>
      <c r="AZ819" s="220"/>
      <c r="BA819" s="220"/>
      <c r="BB819" s="220"/>
    </row>
    <row r="820">
      <c r="A820" s="240"/>
      <c r="B820" s="319"/>
      <c r="C820" s="346"/>
      <c r="D820" s="346"/>
      <c r="E820" s="346"/>
      <c r="F820" s="346"/>
      <c r="G820" s="346"/>
      <c r="H820" s="346"/>
      <c r="I820" s="346"/>
      <c r="J820" s="346"/>
      <c r="K820" s="346"/>
      <c r="L820" s="346"/>
      <c r="M820" s="346"/>
      <c r="N820" s="346"/>
      <c r="O820" s="346"/>
      <c r="P820" s="346"/>
      <c r="Q820" s="346"/>
      <c r="R820" s="346"/>
      <c r="S820" s="346"/>
      <c r="T820" s="347"/>
      <c r="U820" s="345"/>
      <c r="V820" s="317"/>
      <c r="W820" s="318"/>
      <c r="X820" s="288"/>
      <c r="Y820" s="220"/>
      <c r="Z820" s="220"/>
      <c r="AA820" s="220"/>
      <c r="AB820" s="220"/>
      <c r="AC820" s="220"/>
      <c r="AD820" s="220"/>
      <c r="AE820" s="220"/>
      <c r="AF820" s="220"/>
      <c r="AG820" s="220"/>
      <c r="AH820" s="220"/>
      <c r="AI820" s="308"/>
      <c r="AJ820" s="220"/>
      <c r="AK820" s="220"/>
      <c r="AL820" s="220"/>
      <c r="AM820" s="220"/>
      <c r="AN820" s="220"/>
      <c r="AO820" s="220"/>
      <c r="AP820" s="220"/>
      <c r="AQ820" s="220"/>
      <c r="AR820" s="220"/>
      <c r="AS820" s="220"/>
      <c r="AT820" s="220"/>
      <c r="AU820" s="220"/>
      <c r="AV820" s="220"/>
      <c r="AW820" s="220"/>
      <c r="AX820" s="220"/>
      <c r="AY820" s="220"/>
      <c r="AZ820" s="220"/>
      <c r="BA820" s="220"/>
      <c r="BB820" s="220"/>
    </row>
    <row r="821">
      <c r="A821" s="240"/>
      <c r="B821" s="319"/>
      <c r="C821" s="346"/>
      <c r="D821" s="346"/>
      <c r="E821" s="346"/>
      <c r="F821" s="346"/>
      <c r="G821" s="346"/>
      <c r="H821" s="346"/>
      <c r="I821" s="346"/>
      <c r="J821" s="346"/>
      <c r="K821" s="346"/>
      <c r="L821" s="346"/>
      <c r="M821" s="346"/>
      <c r="N821" s="346"/>
      <c r="O821" s="346"/>
      <c r="P821" s="346"/>
      <c r="Q821" s="346"/>
      <c r="R821" s="346"/>
      <c r="S821" s="346"/>
      <c r="T821" s="347"/>
      <c r="U821" s="345"/>
      <c r="V821" s="317"/>
      <c r="W821" s="318"/>
      <c r="X821" s="288"/>
      <c r="Y821" s="220"/>
      <c r="Z821" s="220"/>
      <c r="AA821" s="220"/>
      <c r="AB821" s="220"/>
      <c r="AC821" s="220"/>
      <c r="AD821" s="220"/>
      <c r="AE821" s="220"/>
      <c r="AF821" s="220"/>
      <c r="AG821" s="220"/>
      <c r="AH821" s="220"/>
      <c r="AI821" s="308"/>
      <c r="AJ821" s="220"/>
      <c r="AK821" s="220"/>
      <c r="AL821" s="220"/>
      <c r="AM821" s="220"/>
      <c r="AN821" s="220"/>
      <c r="AO821" s="220"/>
      <c r="AP821" s="220"/>
      <c r="AQ821" s="220"/>
      <c r="AR821" s="220"/>
      <c r="AS821" s="220"/>
      <c r="AT821" s="220"/>
      <c r="AU821" s="220"/>
      <c r="AV821" s="220"/>
      <c r="AW821" s="220"/>
      <c r="AX821" s="220"/>
      <c r="AY821" s="220"/>
      <c r="AZ821" s="220"/>
      <c r="BA821" s="220"/>
      <c r="BB821" s="220"/>
    </row>
    <row r="822">
      <c r="A822" s="240"/>
      <c r="B822" s="319"/>
      <c r="C822" s="346"/>
      <c r="D822" s="346"/>
      <c r="E822" s="346"/>
      <c r="F822" s="346"/>
      <c r="G822" s="346"/>
      <c r="H822" s="346"/>
      <c r="I822" s="346"/>
      <c r="J822" s="346"/>
      <c r="K822" s="346"/>
      <c r="L822" s="346"/>
      <c r="M822" s="346"/>
      <c r="N822" s="346"/>
      <c r="O822" s="346"/>
      <c r="P822" s="346"/>
      <c r="Q822" s="346"/>
      <c r="R822" s="346"/>
      <c r="S822" s="346"/>
      <c r="T822" s="347"/>
      <c r="U822" s="345"/>
      <c r="V822" s="317"/>
      <c r="W822" s="318"/>
      <c r="X822" s="288"/>
      <c r="Y822" s="220"/>
      <c r="Z822" s="220"/>
      <c r="AA822" s="220"/>
      <c r="AB822" s="220"/>
      <c r="AC822" s="220"/>
      <c r="AD822" s="220"/>
      <c r="AE822" s="220"/>
      <c r="AF822" s="220"/>
      <c r="AG822" s="220"/>
      <c r="AH822" s="220"/>
      <c r="AI822" s="308"/>
      <c r="AJ822" s="220"/>
      <c r="AK822" s="220"/>
      <c r="AL822" s="220"/>
      <c r="AM822" s="220"/>
      <c r="AN822" s="220"/>
      <c r="AO822" s="220"/>
      <c r="AP822" s="220"/>
      <c r="AQ822" s="220"/>
      <c r="AR822" s="220"/>
      <c r="AS822" s="220"/>
      <c r="AT822" s="220"/>
      <c r="AU822" s="220"/>
      <c r="AV822" s="220"/>
      <c r="AW822" s="220"/>
      <c r="AX822" s="220"/>
      <c r="AY822" s="220"/>
      <c r="AZ822" s="220"/>
      <c r="BA822" s="220"/>
      <c r="BB822" s="220"/>
    </row>
    <row r="823">
      <c r="A823" s="240"/>
      <c r="B823" s="319"/>
      <c r="C823" s="346"/>
      <c r="D823" s="346"/>
      <c r="E823" s="346"/>
      <c r="F823" s="346"/>
      <c r="G823" s="346"/>
      <c r="H823" s="346"/>
      <c r="I823" s="346"/>
      <c r="J823" s="346"/>
      <c r="K823" s="346"/>
      <c r="L823" s="346"/>
      <c r="M823" s="346"/>
      <c r="N823" s="346"/>
      <c r="O823" s="346"/>
      <c r="P823" s="346"/>
      <c r="Q823" s="346"/>
      <c r="R823" s="346"/>
      <c r="S823" s="346"/>
      <c r="T823" s="347"/>
      <c r="U823" s="345"/>
      <c r="V823" s="317"/>
      <c r="W823" s="318"/>
      <c r="X823" s="288"/>
      <c r="Y823" s="220"/>
      <c r="Z823" s="220"/>
      <c r="AA823" s="220"/>
      <c r="AB823" s="220"/>
      <c r="AC823" s="220"/>
      <c r="AD823" s="220"/>
      <c r="AE823" s="220"/>
      <c r="AF823" s="220"/>
      <c r="AG823" s="220"/>
      <c r="AH823" s="220"/>
      <c r="AI823" s="308"/>
      <c r="AJ823" s="220"/>
      <c r="AK823" s="220"/>
      <c r="AL823" s="220"/>
      <c r="AM823" s="220"/>
      <c r="AN823" s="220"/>
      <c r="AO823" s="220"/>
      <c r="AP823" s="220"/>
      <c r="AQ823" s="220"/>
      <c r="AR823" s="220"/>
      <c r="AS823" s="220"/>
      <c r="AT823" s="220"/>
      <c r="AU823" s="220"/>
      <c r="AV823" s="220"/>
      <c r="AW823" s="220"/>
      <c r="AX823" s="220"/>
      <c r="AY823" s="220"/>
      <c r="AZ823" s="220"/>
      <c r="BA823" s="220"/>
      <c r="BB823" s="220"/>
    </row>
    <row r="824">
      <c r="A824" s="240"/>
      <c r="B824" s="319"/>
      <c r="C824" s="346"/>
      <c r="D824" s="346"/>
      <c r="E824" s="346"/>
      <c r="F824" s="346"/>
      <c r="G824" s="346"/>
      <c r="H824" s="346"/>
      <c r="I824" s="346"/>
      <c r="J824" s="346"/>
      <c r="K824" s="346"/>
      <c r="L824" s="346"/>
      <c r="M824" s="346"/>
      <c r="N824" s="346"/>
      <c r="O824" s="346"/>
      <c r="P824" s="346"/>
      <c r="Q824" s="346"/>
      <c r="R824" s="346"/>
      <c r="S824" s="346"/>
      <c r="T824" s="347"/>
      <c r="U824" s="345"/>
      <c r="V824" s="317"/>
      <c r="W824" s="318"/>
      <c r="X824" s="288"/>
      <c r="Y824" s="220"/>
      <c r="Z824" s="220"/>
      <c r="AA824" s="220"/>
      <c r="AB824" s="220"/>
      <c r="AC824" s="220"/>
      <c r="AD824" s="220"/>
      <c r="AE824" s="220"/>
      <c r="AF824" s="220"/>
      <c r="AG824" s="220"/>
      <c r="AH824" s="220"/>
      <c r="AI824" s="308"/>
      <c r="AJ824" s="220"/>
      <c r="AK824" s="220"/>
      <c r="AL824" s="220"/>
      <c r="AM824" s="220"/>
      <c r="AN824" s="220"/>
      <c r="AO824" s="220"/>
      <c r="AP824" s="220"/>
      <c r="AQ824" s="220"/>
      <c r="AR824" s="220"/>
      <c r="AS824" s="220"/>
      <c r="AT824" s="220"/>
      <c r="AU824" s="220"/>
      <c r="AV824" s="220"/>
      <c r="AW824" s="220"/>
      <c r="AX824" s="220"/>
      <c r="AY824" s="220"/>
      <c r="AZ824" s="220"/>
      <c r="BA824" s="220"/>
      <c r="BB824" s="220"/>
    </row>
    <row r="825">
      <c r="A825" s="240"/>
      <c r="B825" s="319"/>
      <c r="C825" s="346"/>
      <c r="D825" s="346"/>
      <c r="E825" s="346"/>
      <c r="F825" s="346"/>
      <c r="G825" s="346"/>
      <c r="H825" s="346"/>
      <c r="I825" s="346"/>
      <c r="J825" s="346"/>
      <c r="K825" s="346"/>
      <c r="L825" s="346"/>
      <c r="M825" s="346"/>
      <c r="N825" s="346"/>
      <c r="O825" s="346"/>
      <c r="P825" s="346"/>
      <c r="Q825" s="346"/>
      <c r="R825" s="346"/>
      <c r="S825" s="346"/>
      <c r="T825" s="347"/>
      <c r="U825" s="345"/>
      <c r="V825" s="317"/>
      <c r="W825" s="318"/>
      <c r="X825" s="288"/>
      <c r="Y825" s="220"/>
      <c r="Z825" s="220"/>
      <c r="AA825" s="220"/>
      <c r="AB825" s="220"/>
      <c r="AC825" s="220"/>
      <c r="AD825" s="220"/>
      <c r="AE825" s="220"/>
      <c r="AF825" s="220"/>
      <c r="AG825" s="220"/>
      <c r="AH825" s="220"/>
      <c r="AI825" s="308"/>
      <c r="AJ825" s="220"/>
      <c r="AK825" s="220"/>
      <c r="AL825" s="220"/>
      <c r="AM825" s="220"/>
      <c r="AN825" s="220"/>
      <c r="AO825" s="220"/>
      <c r="AP825" s="220"/>
      <c r="AQ825" s="220"/>
      <c r="AR825" s="220"/>
      <c r="AS825" s="220"/>
      <c r="AT825" s="220"/>
      <c r="AU825" s="220"/>
      <c r="AV825" s="220"/>
      <c r="AW825" s="220"/>
      <c r="AX825" s="220"/>
      <c r="AY825" s="220"/>
      <c r="AZ825" s="220"/>
      <c r="BA825" s="220"/>
      <c r="BB825" s="220"/>
    </row>
    <row r="826">
      <c r="A826" s="240"/>
      <c r="B826" s="319"/>
      <c r="C826" s="346"/>
      <c r="D826" s="346"/>
      <c r="E826" s="346"/>
      <c r="F826" s="346"/>
      <c r="G826" s="346"/>
      <c r="H826" s="346"/>
      <c r="I826" s="346"/>
      <c r="J826" s="346"/>
      <c r="K826" s="346"/>
      <c r="L826" s="346"/>
      <c r="M826" s="346"/>
      <c r="N826" s="346"/>
      <c r="O826" s="346"/>
      <c r="P826" s="346"/>
      <c r="Q826" s="346"/>
      <c r="R826" s="346"/>
      <c r="S826" s="346"/>
      <c r="T826" s="347"/>
      <c r="U826" s="345"/>
      <c r="V826" s="317"/>
      <c r="W826" s="318"/>
      <c r="X826" s="288"/>
      <c r="Y826" s="220"/>
      <c r="Z826" s="220"/>
      <c r="AA826" s="220"/>
      <c r="AB826" s="220"/>
      <c r="AC826" s="220"/>
      <c r="AD826" s="220"/>
      <c r="AE826" s="220"/>
      <c r="AF826" s="220"/>
      <c r="AG826" s="220"/>
      <c r="AH826" s="220"/>
      <c r="AI826" s="308"/>
      <c r="AJ826" s="220"/>
      <c r="AK826" s="220"/>
      <c r="AL826" s="220"/>
      <c r="AM826" s="220"/>
      <c r="AN826" s="220"/>
      <c r="AO826" s="220"/>
      <c r="AP826" s="220"/>
      <c r="AQ826" s="220"/>
      <c r="AR826" s="220"/>
      <c r="AS826" s="220"/>
      <c r="AT826" s="220"/>
      <c r="AU826" s="220"/>
      <c r="AV826" s="220"/>
      <c r="AW826" s="220"/>
      <c r="AX826" s="220"/>
      <c r="AY826" s="220"/>
      <c r="AZ826" s="220"/>
      <c r="BA826" s="220"/>
      <c r="BB826" s="220"/>
    </row>
    <row r="827">
      <c r="A827" s="240"/>
      <c r="B827" s="319"/>
      <c r="C827" s="346"/>
      <c r="D827" s="346"/>
      <c r="E827" s="346"/>
      <c r="F827" s="346"/>
      <c r="G827" s="346"/>
      <c r="H827" s="346"/>
      <c r="I827" s="346"/>
      <c r="J827" s="346"/>
      <c r="K827" s="346"/>
      <c r="L827" s="346"/>
      <c r="M827" s="346"/>
      <c r="N827" s="346"/>
      <c r="O827" s="346"/>
      <c r="P827" s="346"/>
      <c r="Q827" s="346"/>
      <c r="R827" s="346"/>
      <c r="S827" s="346"/>
      <c r="T827" s="347"/>
      <c r="U827" s="345"/>
      <c r="V827" s="317"/>
      <c r="W827" s="318"/>
      <c r="X827" s="288"/>
      <c r="Y827" s="220"/>
      <c r="Z827" s="220"/>
      <c r="AA827" s="220"/>
      <c r="AB827" s="220"/>
      <c r="AC827" s="220"/>
      <c r="AD827" s="220"/>
      <c r="AE827" s="220"/>
      <c r="AF827" s="220"/>
      <c r="AG827" s="220"/>
      <c r="AH827" s="220"/>
      <c r="AI827" s="308"/>
      <c r="AJ827" s="220"/>
      <c r="AK827" s="220"/>
      <c r="AL827" s="220"/>
      <c r="AM827" s="220"/>
      <c r="AN827" s="220"/>
      <c r="AO827" s="220"/>
      <c r="AP827" s="220"/>
      <c r="AQ827" s="220"/>
      <c r="AR827" s="220"/>
      <c r="AS827" s="220"/>
      <c r="AT827" s="220"/>
      <c r="AU827" s="220"/>
      <c r="AV827" s="220"/>
      <c r="AW827" s="220"/>
      <c r="AX827" s="220"/>
      <c r="AY827" s="220"/>
      <c r="AZ827" s="220"/>
      <c r="BA827" s="220"/>
      <c r="BB827" s="220"/>
    </row>
    <row r="828">
      <c r="A828" s="240"/>
      <c r="B828" s="319"/>
      <c r="C828" s="346"/>
      <c r="D828" s="346"/>
      <c r="E828" s="346"/>
      <c r="F828" s="346"/>
      <c r="G828" s="346"/>
      <c r="H828" s="346"/>
      <c r="I828" s="346"/>
      <c r="J828" s="346"/>
      <c r="K828" s="346"/>
      <c r="L828" s="346"/>
      <c r="M828" s="346"/>
      <c r="N828" s="346"/>
      <c r="O828" s="346"/>
      <c r="P828" s="346"/>
      <c r="Q828" s="346"/>
      <c r="R828" s="346"/>
      <c r="S828" s="346"/>
      <c r="T828" s="347"/>
      <c r="U828" s="345"/>
      <c r="V828" s="317"/>
      <c r="W828" s="318"/>
      <c r="X828" s="288"/>
      <c r="Y828" s="220"/>
      <c r="Z828" s="220"/>
      <c r="AA828" s="220"/>
      <c r="AB828" s="220"/>
      <c r="AC828" s="220"/>
      <c r="AD828" s="220"/>
      <c r="AE828" s="220"/>
      <c r="AF828" s="220"/>
      <c r="AG828" s="220"/>
      <c r="AH828" s="220"/>
      <c r="AI828" s="308"/>
      <c r="AJ828" s="220"/>
      <c r="AK828" s="220"/>
      <c r="AL828" s="220"/>
      <c r="AM828" s="220"/>
      <c r="AN828" s="220"/>
      <c r="AO828" s="220"/>
      <c r="AP828" s="220"/>
      <c r="AQ828" s="220"/>
      <c r="AR828" s="220"/>
      <c r="AS828" s="220"/>
      <c r="AT828" s="220"/>
      <c r="AU828" s="220"/>
      <c r="AV828" s="220"/>
      <c r="AW828" s="220"/>
      <c r="AX828" s="220"/>
      <c r="AY828" s="220"/>
      <c r="AZ828" s="220"/>
      <c r="BA828" s="220"/>
      <c r="BB828" s="220"/>
    </row>
    <row r="829">
      <c r="A829" s="240"/>
      <c r="B829" s="319"/>
      <c r="C829" s="346"/>
      <c r="D829" s="346"/>
      <c r="E829" s="346"/>
      <c r="F829" s="346"/>
      <c r="G829" s="346"/>
      <c r="H829" s="346"/>
      <c r="I829" s="346"/>
      <c r="J829" s="346"/>
      <c r="K829" s="346"/>
      <c r="L829" s="346"/>
      <c r="M829" s="346"/>
      <c r="N829" s="346"/>
      <c r="O829" s="346"/>
      <c r="P829" s="346"/>
      <c r="Q829" s="346"/>
      <c r="R829" s="346"/>
      <c r="S829" s="346"/>
      <c r="T829" s="347"/>
      <c r="U829" s="345"/>
      <c r="V829" s="317"/>
      <c r="W829" s="318"/>
      <c r="X829" s="288"/>
      <c r="Y829" s="220"/>
      <c r="Z829" s="220"/>
      <c r="AA829" s="220"/>
      <c r="AB829" s="220"/>
      <c r="AC829" s="220"/>
      <c r="AD829" s="220"/>
      <c r="AE829" s="220"/>
      <c r="AF829" s="220"/>
      <c r="AG829" s="220"/>
      <c r="AH829" s="220"/>
      <c r="AI829" s="308"/>
      <c r="AJ829" s="220"/>
      <c r="AK829" s="220"/>
      <c r="AL829" s="220"/>
      <c r="AM829" s="220"/>
      <c r="AN829" s="220"/>
      <c r="AO829" s="220"/>
      <c r="AP829" s="220"/>
      <c r="AQ829" s="220"/>
      <c r="AR829" s="220"/>
      <c r="AS829" s="220"/>
      <c r="AT829" s="220"/>
      <c r="AU829" s="220"/>
      <c r="AV829" s="220"/>
      <c r="AW829" s="220"/>
      <c r="AX829" s="220"/>
      <c r="AY829" s="220"/>
      <c r="AZ829" s="220"/>
      <c r="BA829" s="220"/>
      <c r="BB829" s="220"/>
    </row>
    <row r="830">
      <c r="A830" s="240"/>
      <c r="B830" s="319"/>
      <c r="C830" s="346"/>
      <c r="D830" s="346"/>
      <c r="E830" s="346"/>
      <c r="F830" s="346"/>
      <c r="G830" s="346"/>
      <c r="H830" s="346"/>
      <c r="I830" s="346"/>
      <c r="J830" s="346"/>
      <c r="K830" s="346"/>
      <c r="L830" s="346"/>
      <c r="M830" s="346"/>
      <c r="N830" s="346"/>
      <c r="O830" s="346"/>
      <c r="P830" s="346"/>
      <c r="Q830" s="346"/>
      <c r="R830" s="346"/>
      <c r="S830" s="346"/>
      <c r="T830" s="347"/>
      <c r="U830" s="345"/>
      <c r="V830" s="317"/>
      <c r="W830" s="318"/>
      <c r="X830" s="288"/>
      <c r="Y830" s="220"/>
      <c r="Z830" s="220"/>
      <c r="AA830" s="220"/>
      <c r="AB830" s="220"/>
      <c r="AC830" s="220"/>
      <c r="AD830" s="220"/>
      <c r="AE830" s="220"/>
      <c r="AF830" s="220"/>
      <c r="AG830" s="220"/>
      <c r="AH830" s="220"/>
      <c r="AI830" s="308"/>
      <c r="AJ830" s="220"/>
      <c r="AK830" s="220"/>
      <c r="AL830" s="220"/>
      <c r="AM830" s="220"/>
      <c r="AN830" s="220"/>
      <c r="AO830" s="220"/>
      <c r="AP830" s="220"/>
      <c r="AQ830" s="220"/>
      <c r="AR830" s="220"/>
      <c r="AS830" s="220"/>
      <c r="AT830" s="220"/>
      <c r="AU830" s="220"/>
      <c r="AV830" s="220"/>
      <c r="AW830" s="220"/>
      <c r="AX830" s="220"/>
      <c r="AY830" s="220"/>
      <c r="AZ830" s="220"/>
      <c r="BA830" s="220"/>
      <c r="BB830" s="220"/>
    </row>
    <row r="831">
      <c r="A831" s="240"/>
      <c r="B831" s="319"/>
      <c r="C831" s="346"/>
      <c r="D831" s="346"/>
      <c r="E831" s="346"/>
      <c r="F831" s="346"/>
      <c r="G831" s="346"/>
      <c r="H831" s="346"/>
      <c r="I831" s="346"/>
      <c r="J831" s="346"/>
      <c r="K831" s="346"/>
      <c r="L831" s="346"/>
      <c r="M831" s="346"/>
      <c r="N831" s="346"/>
      <c r="O831" s="346"/>
      <c r="P831" s="346"/>
      <c r="Q831" s="346"/>
      <c r="R831" s="346"/>
      <c r="S831" s="346"/>
      <c r="T831" s="347"/>
      <c r="U831" s="345"/>
      <c r="V831" s="317"/>
      <c r="W831" s="318"/>
      <c r="X831" s="288"/>
      <c r="Y831" s="220"/>
      <c r="Z831" s="220"/>
      <c r="AA831" s="220"/>
      <c r="AB831" s="220"/>
      <c r="AC831" s="220"/>
      <c r="AD831" s="220"/>
      <c r="AE831" s="220"/>
      <c r="AF831" s="220"/>
      <c r="AG831" s="220"/>
      <c r="AH831" s="220"/>
      <c r="AI831" s="308"/>
      <c r="AJ831" s="220"/>
      <c r="AK831" s="220"/>
      <c r="AL831" s="220"/>
      <c r="AM831" s="220"/>
      <c r="AN831" s="220"/>
      <c r="AO831" s="220"/>
      <c r="AP831" s="220"/>
      <c r="AQ831" s="220"/>
      <c r="AR831" s="220"/>
      <c r="AS831" s="220"/>
      <c r="AT831" s="220"/>
      <c r="AU831" s="220"/>
      <c r="AV831" s="220"/>
      <c r="AW831" s="220"/>
      <c r="AX831" s="220"/>
      <c r="AY831" s="220"/>
      <c r="AZ831" s="220"/>
      <c r="BA831" s="220"/>
      <c r="BB831" s="220"/>
    </row>
    <row r="832">
      <c r="A832" s="240"/>
      <c r="B832" s="319"/>
      <c r="C832" s="346"/>
      <c r="D832" s="346"/>
      <c r="E832" s="346"/>
      <c r="F832" s="346"/>
      <c r="G832" s="346"/>
      <c r="H832" s="346"/>
      <c r="I832" s="346"/>
      <c r="J832" s="346"/>
      <c r="K832" s="346"/>
      <c r="L832" s="346"/>
      <c r="M832" s="346"/>
      <c r="N832" s="346"/>
      <c r="O832" s="346"/>
      <c r="P832" s="346"/>
      <c r="Q832" s="346"/>
      <c r="R832" s="346"/>
      <c r="S832" s="346"/>
      <c r="T832" s="347"/>
      <c r="U832" s="345"/>
      <c r="V832" s="317"/>
      <c r="W832" s="318"/>
      <c r="X832" s="288"/>
      <c r="Y832" s="220"/>
      <c r="Z832" s="220"/>
      <c r="AA832" s="220"/>
      <c r="AB832" s="220"/>
      <c r="AC832" s="220"/>
      <c r="AD832" s="220"/>
      <c r="AE832" s="220"/>
      <c r="AF832" s="220"/>
      <c r="AG832" s="220"/>
      <c r="AH832" s="220"/>
      <c r="AI832" s="308"/>
      <c r="AJ832" s="220"/>
      <c r="AK832" s="220"/>
      <c r="AL832" s="220"/>
      <c r="AM832" s="220"/>
      <c r="AN832" s="220"/>
      <c r="AO832" s="220"/>
      <c r="AP832" s="220"/>
      <c r="AQ832" s="220"/>
      <c r="AR832" s="220"/>
      <c r="AS832" s="220"/>
      <c r="AT832" s="220"/>
      <c r="AU832" s="220"/>
      <c r="AV832" s="220"/>
      <c r="AW832" s="220"/>
      <c r="AX832" s="220"/>
      <c r="AY832" s="220"/>
      <c r="AZ832" s="220"/>
      <c r="BA832" s="220"/>
      <c r="BB832" s="220"/>
    </row>
    <row r="833">
      <c r="A833" s="240"/>
      <c r="B833" s="319"/>
      <c r="C833" s="346"/>
      <c r="D833" s="346"/>
      <c r="E833" s="346"/>
      <c r="F833" s="346"/>
      <c r="G833" s="346"/>
      <c r="H833" s="346"/>
      <c r="I833" s="346"/>
      <c r="J833" s="346"/>
      <c r="K833" s="346"/>
      <c r="L833" s="346"/>
      <c r="M833" s="346"/>
      <c r="N833" s="346"/>
      <c r="O833" s="346"/>
      <c r="P833" s="346"/>
      <c r="Q833" s="346"/>
      <c r="R833" s="346"/>
      <c r="S833" s="346"/>
      <c r="T833" s="347"/>
      <c r="U833" s="345"/>
      <c r="V833" s="317"/>
      <c r="W833" s="318"/>
      <c r="X833" s="288"/>
      <c r="Y833" s="220"/>
      <c r="Z833" s="220"/>
      <c r="AA833" s="220"/>
      <c r="AB833" s="220"/>
      <c r="AC833" s="220"/>
      <c r="AD833" s="220"/>
      <c r="AE833" s="220"/>
      <c r="AF833" s="220"/>
      <c r="AG833" s="220"/>
      <c r="AH833" s="220"/>
      <c r="AI833" s="308"/>
      <c r="AJ833" s="220"/>
      <c r="AK833" s="220"/>
      <c r="AL833" s="220"/>
      <c r="AM833" s="220"/>
      <c r="AN833" s="220"/>
      <c r="AO833" s="220"/>
      <c r="AP833" s="220"/>
      <c r="AQ833" s="220"/>
      <c r="AR833" s="220"/>
      <c r="AS833" s="220"/>
      <c r="AT833" s="220"/>
      <c r="AU833" s="220"/>
      <c r="AV833" s="220"/>
      <c r="AW833" s="220"/>
      <c r="AX833" s="220"/>
      <c r="AY833" s="220"/>
      <c r="AZ833" s="220"/>
      <c r="BA833" s="220"/>
      <c r="BB833" s="220"/>
    </row>
    <row r="834">
      <c r="A834" s="240"/>
      <c r="B834" s="319"/>
      <c r="C834" s="346"/>
      <c r="D834" s="346"/>
      <c r="E834" s="346"/>
      <c r="F834" s="346"/>
      <c r="G834" s="346"/>
      <c r="H834" s="346"/>
      <c r="I834" s="346"/>
      <c r="J834" s="346"/>
      <c r="K834" s="346"/>
      <c r="L834" s="346"/>
      <c r="M834" s="346"/>
      <c r="N834" s="346"/>
      <c r="O834" s="346"/>
      <c r="P834" s="346"/>
      <c r="Q834" s="346"/>
      <c r="R834" s="346"/>
      <c r="S834" s="346"/>
      <c r="T834" s="347"/>
      <c r="U834" s="345"/>
      <c r="V834" s="317"/>
      <c r="W834" s="318"/>
      <c r="X834" s="288"/>
      <c r="Y834" s="220"/>
      <c r="Z834" s="220"/>
      <c r="AA834" s="220"/>
      <c r="AB834" s="220"/>
      <c r="AC834" s="220"/>
      <c r="AD834" s="220"/>
      <c r="AE834" s="220"/>
      <c r="AF834" s="220"/>
      <c r="AG834" s="220"/>
      <c r="AH834" s="220"/>
      <c r="AI834" s="308"/>
      <c r="AJ834" s="220"/>
      <c r="AK834" s="220"/>
      <c r="AL834" s="220"/>
      <c r="AM834" s="220"/>
      <c r="AN834" s="220"/>
      <c r="AO834" s="220"/>
      <c r="AP834" s="220"/>
      <c r="AQ834" s="220"/>
      <c r="AR834" s="220"/>
      <c r="AS834" s="220"/>
      <c r="AT834" s="220"/>
      <c r="AU834" s="220"/>
      <c r="AV834" s="220"/>
      <c r="AW834" s="220"/>
      <c r="AX834" s="220"/>
      <c r="AY834" s="220"/>
      <c r="AZ834" s="220"/>
      <c r="BA834" s="220"/>
      <c r="BB834" s="220"/>
    </row>
    <row r="835">
      <c r="A835" s="240"/>
      <c r="B835" s="319"/>
      <c r="C835" s="346"/>
      <c r="D835" s="346"/>
      <c r="E835" s="346"/>
      <c r="F835" s="346"/>
      <c r="G835" s="346"/>
      <c r="H835" s="346"/>
      <c r="I835" s="346"/>
      <c r="J835" s="346"/>
      <c r="K835" s="346"/>
      <c r="L835" s="346"/>
      <c r="M835" s="346"/>
      <c r="N835" s="346"/>
      <c r="O835" s="346"/>
      <c r="P835" s="346"/>
      <c r="Q835" s="346"/>
      <c r="R835" s="346"/>
      <c r="S835" s="346"/>
      <c r="T835" s="347"/>
      <c r="U835" s="345"/>
      <c r="V835" s="317"/>
      <c r="W835" s="318"/>
      <c r="X835" s="288"/>
      <c r="Y835" s="220"/>
      <c r="Z835" s="220"/>
      <c r="AA835" s="220"/>
      <c r="AB835" s="220"/>
      <c r="AC835" s="220"/>
      <c r="AD835" s="220"/>
      <c r="AE835" s="220"/>
      <c r="AF835" s="220"/>
      <c r="AG835" s="220"/>
      <c r="AH835" s="220"/>
      <c r="AI835" s="308"/>
      <c r="AJ835" s="220"/>
      <c r="AK835" s="220"/>
      <c r="AL835" s="220"/>
      <c r="AM835" s="220"/>
      <c r="AN835" s="220"/>
      <c r="AO835" s="220"/>
      <c r="AP835" s="220"/>
      <c r="AQ835" s="220"/>
      <c r="AR835" s="220"/>
      <c r="AS835" s="220"/>
      <c r="AT835" s="220"/>
      <c r="AU835" s="220"/>
      <c r="AV835" s="220"/>
      <c r="AW835" s="220"/>
      <c r="AX835" s="220"/>
      <c r="AY835" s="220"/>
      <c r="AZ835" s="220"/>
      <c r="BA835" s="220"/>
      <c r="BB835" s="220"/>
    </row>
    <row r="836">
      <c r="A836" s="240"/>
      <c r="B836" s="319"/>
      <c r="C836" s="346"/>
      <c r="D836" s="346"/>
      <c r="E836" s="346"/>
      <c r="F836" s="346"/>
      <c r="G836" s="346"/>
      <c r="H836" s="346"/>
      <c r="I836" s="346"/>
      <c r="J836" s="346"/>
      <c r="K836" s="346"/>
      <c r="L836" s="346"/>
      <c r="M836" s="346"/>
      <c r="N836" s="346"/>
      <c r="O836" s="346"/>
      <c r="P836" s="346"/>
      <c r="Q836" s="346"/>
      <c r="R836" s="346"/>
      <c r="S836" s="346"/>
      <c r="T836" s="347"/>
      <c r="U836" s="345"/>
      <c r="V836" s="317"/>
      <c r="W836" s="318"/>
      <c r="X836" s="288"/>
      <c r="Y836" s="220"/>
      <c r="Z836" s="220"/>
      <c r="AA836" s="220"/>
      <c r="AB836" s="220"/>
      <c r="AC836" s="220"/>
      <c r="AD836" s="220"/>
      <c r="AE836" s="220"/>
      <c r="AF836" s="220"/>
      <c r="AG836" s="220"/>
      <c r="AH836" s="220"/>
      <c r="AI836" s="308"/>
      <c r="AJ836" s="220"/>
      <c r="AK836" s="220"/>
      <c r="AL836" s="220"/>
      <c r="AM836" s="220"/>
      <c r="AN836" s="220"/>
      <c r="AO836" s="220"/>
      <c r="AP836" s="220"/>
      <c r="AQ836" s="220"/>
      <c r="AR836" s="220"/>
      <c r="AS836" s="220"/>
      <c r="AT836" s="220"/>
      <c r="AU836" s="220"/>
      <c r="AV836" s="220"/>
      <c r="AW836" s="220"/>
      <c r="AX836" s="220"/>
      <c r="AY836" s="220"/>
      <c r="AZ836" s="220"/>
      <c r="BA836" s="220"/>
      <c r="BB836" s="220"/>
    </row>
    <row r="837">
      <c r="A837" s="240"/>
      <c r="B837" s="319"/>
      <c r="C837" s="346"/>
      <c r="D837" s="346"/>
      <c r="E837" s="346"/>
      <c r="F837" s="346"/>
      <c r="G837" s="346"/>
      <c r="H837" s="346"/>
      <c r="I837" s="346"/>
      <c r="J837" s="346"/>
      <c r="K837" s="346"/>
      <c r="L837" s="346"/>
      <c r="M837" s="346"/>
      <c r="N837" s="346"/>
      <c r="O837" s="346"/>
      <c r="P837" s="346"/>
      <c r="Q837" s="346"/>
      <c r="R837" s="346"/>
      <c r="S837" s="346"/>
      <c r="T837" s="347"/>
      <c r="U837" s="345"/>
      <c r="V837" s="317"/>
      <c r="W837" s="318"/>
      <c r="X837" s="288"/>
      <c r="Y837" s="220"/>
      <c r="Z837" s="220"/>
      <c r="AA837" s="220"/>
      <c r="AB837" s="220"/>
      <c r="AC837" s="220"/>
      <c r="AD837" s="220"/>
      <c r="AE837" s="220"/>
      <c r="AF837" s="220"/>
      <c r="AG837" s="220"/>
      <c r="AH837" s="220"/>
      <c r="AI837" s="308"/>
      <c r="AJ837" s="220"/>
      <c r="AK837" s="220"/>
      <c r="AL837" s="220"/>
      <c r="AM837" s="220"/>
      <c r="AN837" s="220"/>
      <c r="AO837" s="220"/>
      <c r="AP837" s="220"/>
      <c r="AQ837" s="220"/>
      <c r="AR837" s="220"/>
      <c r="AS837" s="220"/>
      <c r="AT837" s="220"/>
      <c r="AU837" s="220"/>
      <c r="AV837" s="220"/>
      <c r="AW837" s="220"/>
      <c r="AX837" s="220"/>
      <c r="AY837" s="220"/>
      <c r="AZ837" s="220"/>
      <c r="BA837" s="220"/>
      <c r="BB837" s="220"/>
    </row>
    <row r="838">
      <c r="A838" s="240"/>
      <c r="B838" s="319"/>
      <c r="C838" s="346"/>
      <c r="D838" s="346"/>
      <c r="E838" s="346"/>
      <c r="F838" s="346"/>
      <c r="G838" s="346"/>
      <c r="H838" s="346"/>
      <c r="I838" s="346"/>
      <c r="J838" s="346"/>
      <c r="K838" s="346"/>
      <c r="L838" s="346"/>
      <c r="M838" s="346"/>
      <c r="N838" s="346"/>
      <c r="O838" s="346"/>
      <c r="P838" s="346"/>
      <c r="Q838" s="346"/>
      <c r="R838" s="346"/>
      <c r="S838" s="346"/>
      <c r="T838" s="347"/>
      <c r="U838" s="345"/>
      <c r="V838" s="317"/>
      <c r="W838" s="318"/>
      <c r="X838" s="288"/>
      <c r="Y838" s="220"/>
      <c r="Z838" s="220"/>
      <c r="AA838" s="220"/>
      <c r="AB838" s="220"/>
      <c r="AC838" s="220"/>
      <c r="AD838" s="220"/>
      <c r="AE838" s="220"/>
      <c r="AF838" s="220"/>
      <c r="AG838" s="220"/>
      <c r="AH838" s="220"/>
      <c r="AI838" s="308"/>
      <c r="AJ838" s="220"/>
      <c r="AK838" s="220"/>
      <c r="AL838" s="220"/>
      <c r="AM838" s="220"/>
      <c r="AN838" s="220"/>
      <c r="AO838" s="220"/>
      <c r="AP838" s="220"/>
      <c r="AQ838" s="220"/>
      <c r="AR838" s="220"/>
      <c r="AS838" s="220"/>
      <c r="AT838" s="220"/>
      <c r="AU838" s="220"/>
      <c r="AV838" s="220"/>
      <c r="AW838" s="220"/>
      <c r="AX838" s="220"/>
      <c r="AY838" s="220"/>
      <c r="AZ838" s="220"/>
      <c r="BA838" s="220"/>
      <c r="BB838" s="220"/>
    </row>
    <row r="839">
      <c r="A839" s="240"/>
      <c r="B839" s="319"/>
      <c r="C839" s="346"/>
      <c r="D839" s="346"/>
      <c r="E839" s="346"/>
      <c r="F839" s="346"/>
      <c r="G839" s="346"/>
      <c r="H839" s="346"/>
      <c r="I839" s="346"/>
      <c r="J839" s="346"/>
      <c r="K839" s="346"/>
      <c r="L839" s="346"/>
      <c r="M839" s="346"/>
      <c r="N839" s="346"/>
      <c r="O839" s="346"/>
      <c r="P839" s="346"/>
      <c r="Q839" s="346"/>
      <c r="R839" s="346"/>
      <c r="S839" s="346"/>
      <c r="T839" s="347"/>
      <c r="U839" s="345"/>
      <c r="V839" s="317"/>
      <c r="W839" s="318"/>
      <c r="X839" s="288"/>
      <c r="Y839" s="220"/>
      <c r="Z839" s="220"/>
      <c r="AA839" s="220"/>
      <c r="AB839" s="220"/>
      <c r="AC839" s="220"/>
      <c r="AD839" s="220"/>
      <c r="AE839" s="220"/>
      <c r="AF839" s="220"/>
      <c r="AG839" s="220"/>
      <c r="AH839" s="220"/>
      <c r="AI839" s="308"/>
      <c r="AJ839" s="220"/>
      <c r="AK839" s="220"/>
      <c r="AL839" s="220"/>
      <c r="AM839" s="220"/>
      <c r="AN839" s="220"/>
      <c r="AO839" s="220"/>
      <c r="AP839" s="220"/>
      <c r="AQ839" s="220"/>
      <c r="AR839" s="220"/>
      <c r="AS839" s="220"/>
      <c r="AT839" s="220"/>
      <c r="AU839" s="220"/>
      <c r="AV839" s="220"/>
      <c r="AW839" s="220"/>
      <c r="AX839" s="220"/>
      <c r="AY839" s="220"/>
      <c r="AZ839" s="220"/>
      <c r="BA839" s="220"/>
      <c r="BB839" s="220"/>
    </row>
    <row r="840">
      <c r="A840" s="240"/>
      <c r="B840" s="319"/>
      <c r="C840" s="346"/>
      <c r="D840" s="346"/>
      <c r="E840" s="346"/>
      <c r="F840" s="346"/>
      <c r="G840" s="346"/>
      <c r="H840" s="346"/>
      <c r="I840" s="346"/>
      <c r="J840" s="346"/>
      <c r="K840" s="346"/>
      <c r="L840" s="346"/>
      <c r="M840" s="346"/>
      <c r="N840" s="346"/>
      <c r="O840" s="346"/>
      <c r="P840" s="346"/>
      <c r="Q840" s="346"/>
      <c r="R840" s="346"/>
      <c r="S840" s="346"/>
      <c r="T840" s="347"/>
      <c r="U840" s="345"/>
      <c r="V840" s="317"/>
      <c r="W840" s="318"/>
      <c r="X840" s="288"/>
      <c r="Y840" s="220"/>
      <c r="Z840" s="220"/>
      <c r="AA840" s="220"/>
      <c r="AB840" s="220"/>
      <c r="AC840" s="220"/>
      <c r="AD840" s="220"/>
      <c r="AE840" s="220"/>
      <c r="AF840" s="220"/>
      <c r="AG840" s="220"/>
      <c r="AH840" s="220"/>
      <c r="AI840" s="308"/>
      <c r="AJ840" s="220"/>
      <c r="AK840" s="220"/>
      <c r="AL840" s="220"/>
      <c r="AM840" s="220"/>
      <c r="AN840" s="220"/>
      <c r="AO840" s="220"/>
      <c r="AP840" s="220"/>
      <c r="AQ840" s="220"/>
      <c r="AR840" s="220"/>
      <c r="AS840" s="220"/>
      <c r="AT840" s="220"/>
      <c r="AU840" s="220"/>
      <c r="AV840" s="220"/>
      <c r="AW840" s="220"/>
      <c r="AX840" s="220"/>
      <c r="AY840" s="220"/>
      <c r="AZ840" s="220"/>
      <c r="BA840" s="220"/>
      <c r="BB840" s="220"/>
    </row>
    <row r="841">
      <c r="A841" s="240"/>
      <c r="B841" s="319"/>
      <c r="C841" s="346"/>
      <c r="D841" s="346"/>
      <c r="E841" s="346"/>
      <c r="F841" s="346"/>
      <c r="G841" s="346"/>
      <c r="H841" s="346"/>
      <c r="I841" s="346"/>
      <c r="J841" s="346"/>
      <c r="K841" s="346"/>
      <c r="L841" s="346"/>
      <c r="M841" s="346"/>
      <c r="N841" s="346"/>
      <c r="O841" s="346"/>
      <c r="P841" s="346"/>
      <c r="Q841" s="346"/>
      <c r="R841" s="346"/>
      <c r="S841" s="346"/>
      <c r="T841" s="347"/>
      <c r="U841" s="345"/>
      <c r="V841" s="317"/>
      <c r="W841" s="318"/>
      <c r="X841" s="288"/>
      <c r="Y841" s="220"/>
      <c r="Z841" s="220"/>
      <c r="AA841" s="220"/>
      <c r="AB841" s="220"/>
      <c r="AC841" s="220"/>
      <c r="AD841" s="220"/>
      <c r="AE841" s="220"/>
      <c r="AF841" s="220"/>
      <c r="AG841" s="220"/>
      <c r="AH841" s="220"/>
      <c r="AI841" s="308"/>
      <c r="AJ841" s="220"/>
      <c r="AK841" s="220"/>
      <c r="AL841" s="220"/>
      <c r="AM841" s="220"/>
      <c r="AN841" s="220"/>
      <c r="AO841" s="220"/>
      <c r="AP841" s="220"/>
      <c r="AQ841" s="220"/>
      <c r="AR841" s="220"/>
      <c r="AS841" s="220"/>
      <c r="AT841" s="220"/>
      <c r="AU841" s="220"/>
      <c r="AV841" s="220"/>
      <c r="AW841" s="220"/>
      <c r="AX841" s="220"/>
      <c r="AY841" s="220"/>
      <c r="AZ841" s="220"/>
      <c r="BA841" s="220"/>
      <c r="BB841" s="220"/>
    </row>
    <row r="842">
      <c r="A842" s="240"/>
      <c r="B842" s="319"/>
      <c r="C842" s="346"/>
      <c r="D842" s="346"/>
      <c r="E842" s="346"/>
      <c r="F842" s="346"/>
      <c r="G842" s="346"/>
      <c r="H842" s="346"/>
      <c r="I842" s="346"/>
      <c r="J842" s="346"/>
      <c r="K842" s="346"/>
      <c r="L842" s="346"/>
      <c r="M842" s="346"/>
      <c r="N842" s="346"/>
      <c r="O842" s="346"/>
      <c r="P842" s="346"/>
      <c r="Q842" s="346"/>
      <c r="R842" s="346"/>
      <c r="S842" s="346"/>
      <c r="T842" s="347"/>
      <c r="U842" s="345"/>
      <c r="V842" s="317"/>
      <c r="W842" s="318"/>
      <c r="X842" s="288"/>
      <c r="Y842" s="220"/>
      <c r="Z842" s="220"/>
      <c r="AA842" s="220"/>
      <c r="AB842" s="220"/>
      <c r="AC842" s="220"/>
      <c r="AD842" s="220"/>
      <c r="AE842" s="220"/>
      <c r="AF842" s="220"/>
      <c r="AG842" s="220"/>
      <c r="AH842" s="220"/>
      <c r="AI842" s="308"/>
      <c r="AJ842" s="220"/>
      <c r="AK842" s="220"/>
      <c r="AL842" s="220"/>
      <c r="AM842" s="220"/>
      <c r="AN842" s="220"/>
      <c r="AO842" s="220"/>
      <c r="AP842" s="220"/>
      <c r="AQ842" s="220"/>
      <c r="AR842" s="220"/>
      <c r="AS842" s="220"/>
      <c r="AT842" s="220"/>
      <c r="AU842" s="220"/>
      <c r="AV842" s="220"/>
      <c r="AW842" s="220"/>
      <c r="AX842" s="220"/>
      <c r="AY842" s="220"/>
      <c r="AZ842" s="220"/>
      <c r="BA842" s="220"/>
      <c r="BB842" s="220"/>
    </row>
    <row r="843">
      <c r="A843" s="240"/>
      <c r="B843" s="319"/>
      <c r="C843" s="346"/>
      <c r="D843" s="346"/>
      <c r="E843" s="346"/>
      <c r="F843" s="346"/>
      <c r="G843" s="346"/>
      <c r="H843" s="346"/>
      <c r="I843" s="346"/>
      <c r="J843" s="346"/>
      <c r="K843" s="346"/>
      <c r="L843" s="346"/>
      <c r="M843" s="346"/>
      <c r="N843" s="346"/>
      <c r="O843" s="346"/>
      <c r="P843" s="346"/>
      <c r="Q843" s="346"/>
      <c r="R843" s="346"/>
      <c r="S843" s="346"/>
      <c r="T843" s="347"/>
      <c r="U843" s="345"/>
      <c r="V843" s="317"/>
      <c r="W843" s="318"/>
      <c r="X843" s="288"/>
      <c r="Y843" s="220"/>
      <c r="Z843" s="220"/>
      <c r="AA843" s="220"/>
      <c r="AB843" s="220"/>
      <c r="AC843" s="220"/>
      <c r="AD843" s="220"/>
      <c r="AE843" s="220"/>
      <c r="AF843" s="220"/>
      <c r="AG843" s="220"/>
      <c r="AH843" s="220"/>
      <c r="AI843" s="308"/>
      <c r="AJ843" s="220"/>
      <c r="AK843" s="220"/>
      <c r="AL843" s="220"/>
      <c r="AM843" s="220"/>
      <c r="AN843" s="220"/>
      <c r="AO843" s="220"/>
      <c r="AP843" s="220"/>
      <c r="AQ843" s="220"/>
      <c r="AR843" s="220"/>
      <c r="AS843" s="220"/>
      <c r="AT843" s="220"/>
      <c r="AU843" s="220"/>
      <c r="AV843" s="220"/>
      <c r="AW843" s="220"/>
      <c r="AX843" s="220"/>
      <c r="AY843" s="220"/>
      <c r="AZ843" s="220"/>
      <c r="BA843" s="220"/>
      <c r="BB843" s="220"/>
    </row>
    <row r="844">
      <c r="A844" s="240"/>
      <c r="B844" s="319"/>
      <c r="C844" s="346"/>
      <c r="D844" s="346"/>
      <c r="E844" s="346"/>
      <c r="F844" s="346"/>
      <c r="G844" s="346"/>
      <c r="H844" s="346"/>
      <c r="I844" s="346"/>
      <c r="J844" s="346"/>
      <c r="K844" s="346"/>
      <c r="L844" s="346"/>
      <c r="M844" s="346"/>
      <c r="N844" s="346"/>
      <c r="O844" s="346"/>
      <c r="P844" s="346"/>
      <c r="Q844" s="346"/>
      <c r="R844" s="346"/>
      <c r="S844" s="346"/>
      <c r="T844" s="347"/>
      <c r="U844" s="345"/>
      <c r="V844" s="317"/>
      <c r="W844" s="318"/>
      <c r="X844" s="288"/>
      <c r="Y844" s="220"/>
      <c r="Z844" s="220"/>
      <c r="AA844" s="220"/>
      <c r="AB844" s="220"/>
      <c r="AC844" s="220"/>
      <c r="AD844" s="220"/>
      <c r="AE844" s="220"/>
      <c r="AF844" s="220"/>
      <c r="AG844" s="220"/>
      <c r="AH844" s="220"/>
      <c r="AI844" s="308"/>
      <c r="AJ844" s="220"/>
      <c r="AK844" s="220"/>
      <c r="AL844" s="220"/>
      <c r="AM844" s="220"/>
      <c r="AN844" s="220"/>
      <c r="AO844" s="220"/>
      <c r="AP844" s="220"/>
      <c r="AQ844" s="220"/>
      <c r="AR844" s="220"/>
      <c r="AS844" s="220"/>
      <c r="AT844" s="220"/>
      <c r="AU844" s="220"/>
      <c r="AV844" s="220"/>
      <c r="AW844" s="220"/>
      <c r="AX844" s="220"/>
      <c r="AY844" s="220"/>
      <c r="AZ844" s="220"/>
      <c r="BA844" s="220"/>
      <c r="BB844" s="220"/>
    </row>
    <row r="845">
      <c r="A845" s="240"/>
      <c r="B845" s="319"/>
      <c r="C845" s="346"/>
      <c r="D845" s="346"/>
      <c r="E845" s="346"/>
      <c r="F845" s="346"/>
      <c r="G845" s="346"/>
      <c r="H845" s="346"/>
      <c r="I845" s="346"/>
      <c r="J845" s="346"/>
      <c r="K845" s="346"/>
      <c r="L845" s="346"/>
      <c r="M845" s="346"/>
      <c r="N845" s="346"/>
      <c r="O845" s="346"/>
      <c r="P845" s="346"/>
      <c r="Q845" s="346"/>
      <c r="R845" s="346"/>
      <c r="S845" s="346"/>
      <c r="T845" s="347"/>
      <c r="U845" s="345"/>
      <c r="V845" s="317"/>
      <c r="W845" s="318"/>
      <c r="X845" s="288"/>
      <c r="Y845" s="220"/>
      <c r="Z845" s="220"/>
      <c r="AA845" s="220"/>
      <c r="AB845" s="220"/>
      <c r="AC845" s="220"/>
      <c r="AD845" s="220"/>
      <c r="AE845" s="220"/>
      <c r="AF845" s="220"/>
      <c r="AG845" s="220"/>
      <c r="AH845" s="220"/>
      <c r="AI845" s="308"/>
      <c r="AJ845" s="220"/>
      <c r="AK845" s="220"/>
      <c r="AL845" s="220"/>
      <c r="AM845" s="220"/>
      <c r="AN845" s="220"/>
      <c r="AO845" s="220"/>
      <c r="AP845" s="220"/>
      <c r="AQ845" s="220"/>
      <c r="AR845" s="220"/>
      <c r="AS845" s="220"/>
      <c r="AT845" s="220"/>
      <c r="AU845" s="220"/>
      <c r="AV845" s="220"/>
      <c r="AW845" s="220"/>
      <c r="AX845" s="220"/>
      <c r="AY845" s="220"/>
      <c r="AZ845" s="220"/>
      <c r="BA845" s="220"/>
      <c r="BB845" s="220"/>
    </row>
    <row r="846">
      <c r="A846" s="240"/>
      <c r="B846" s="319"/>
      <c r="C846" s="346"/>
      <c r="D846" s="346"/>
      <c r="E846" s="346"/>
      <c r="F846" s="346"/>
      <c r="G846" s="346"/>
      <c r="H846" s="346"/>
      <c r="I846" s="346"/>
      <c r="J846" s="346"/>
      <c r="K846" s="346"/>
      <c r="L846" s="346"/>
      <c r="M846" s="346"/>
      <c r="N846" s="346"/>
      <c r="O846" s="346"/>
      <c r="P846" s="346"/>
      <c r="Q846" s="346"/>
      <c r="R846" s="346"/>
      <c r="S846" s="346"/>
      <c r="T846" s="347"/>
      <c r="U846" s="345"/>
      <c r="V846" s="317"/>
      <c r="W846" s="318"/>
      <c r="X846" s="288"/>
      <c r="Y846" s="220"/>
      <c r="Z846" s="220"/>
      <c r="AA846" s="220"/>
      <c r="AB846" s="220"/>
      <c r="AC846" s="220"/>
      <c r="AD846" s="220"/>
      <c r="AE846" s="220"/>
      <c r="AF846" s="220"/>
      <c r="AG846" s="220"/>
      <c r="AH846" s="220"/>
      <c r="AI846" s="308"/>
      <c r="AJ846" s="220"/>
      <c r="AK846" s="220"/>
      <c r="AL846" s="220"/>
      <c r="AM846" s="220"/>
      <c r="AN846" s="220"/>
      <c r="AO846" s="220"/>
      <c r="AP846" s="220"/>
      <c r="AQ846" s="220"/>
      <c r="AR846" s="220"/>
      <c r="AS846" s="220"/>
      <c r="AT846" s="220"/>
      <c r="AU846" s="220"/>
      <c r="AV846" s="220"/>
      <c r="AW846" s="220"/>
      <c r="AX846" s="220"/>
      <c r="AY846" s="220"/>
      <c r="AZ846" s="220"/>
      <c r="BA846" s="220"/>
      <c r="BB846" s="220"/>
    </row>
    <row r="847">
      <c r="A847" s="240"/>
      <c r="B847" s="319"/>
      <c r="C847" s="346"/>
      <c r="D847" s="346"/>
      <c r="E847" s="346"/>
      <c r="F847" s="346"/>
      <c r="G847" s="346"/>
      <c r="H847" s="346"/>
      <c r="I847" s="346"/>
      <c r="J847" s="346"/>
      <c r="K847" s="346"/>
      <c r="L847" s="346"/>
      <c r="M847" s="346"/>
      <c r="N847" s="346"/>
      <c r="O847" s="346"/>
      <c r="P847" s="346"/>
      <c r="Q847" s="346"/>
      <c r="R847" s="346"/>
      <c r="S847" s="346"/>
      <c r="T847" s="347"/>
      <c r="U847" s="345"/>
      <c r="V847" s="317"/>
      <c r="W847" s="318"/>
      <c r="X847" s="288"/>
      <c r="Y847" s="220"/>
      <c r="Z847" s="220"/>
      <c r="AA847" s="220"/>
      <c r="AB847" s="220"/>
      <c r="AC847" s="220"/>
      <c r="AD847" s="220"/>
      <c r="AE847" s="220"/>
      <c r="AF847" s="220"/>
      <c r="AG847" s="220"/>
      <c r="AH847" s="220"/>
      <c r="AI847" s="308"/>
      <c r="AJ847" s="220"/>
      <c r="AK847" s="220"/>
      <c r="AL847" s="220"/>
      <c r="AM847" s="220"/>
      <c r="AN847" s="220"/>
      <c r="AO847" s="220"/>
      <c r="AP847" s="220"/>
      <c r="AQ847" s="220"/>
      <c r="AR847" s="220"/>
      <c r="AS847" s="220"/>
      <c r="AT847" s="220"/>
      <c r="AU847" s="220"/>
      <c r="AV847" s="220"/>
      <c r="AW847" s="220"/>
      <c r="AX847" s="220"/>
      <c r="AY847" s="220"/>
      <c r="AZ847" s="220"/>
      <c r="BA847" s="220"/>
      <c r="BB847" s="220"/>
    </row>
    <row r="848">
      <c r="A848" s="240"/>
      <c r="B848" s="319"/>
      <c r="C848" s="346"/>
      <c r="D848" s="346"/>
      <c r="E848" s="346"/>
      <c r="F848" s="346"/>
      <c r="G848" s="346"/>
      <c r="H848" s="346"/>
      <c r="I848" s="346"/>
      <c r="J848" s="346"/>
      <c r="K848" s="346"/>
      <c r="L848" s="346"/>
      <c r="M848" s="346"/>
      <c r="N848" s="346"/>
      <c r="O848" s="346"/>
      <c r="P848" s="346"/>
      <c r="Q848" s="346"/>
      <c r="R848" s="346"/>
      <c r="S848" s="346"/>
      <c r="T848" s="347"/>
      <c r="U848" s="345"/>
      <c r="V848" s="317"/>
      <c r="W848" s="318"/>
      <c r="X848" s="288"/>
      <c r="Y848" s="220"/>
      <c r="Z848" s="220"/>
      <c r="AA848" s="220"/>
      <c r="AB848" s="220"/>
      <c r="AC848" s="220"/>
      <c r="AD848" s="220"/>
      <c r="AE848" s="220"/>
      <c r="AF848" s="220"/>
      <c r="AG848" s="220"/>
      <c r="AH848" s="220"/>
      <c r="AI848" s="308"/>
      <c r="AJ848" s="220"/>
      <c r="AK848" s="220"/>
      <c r="AL848" s="220"/>
      <c r="AM848" s="220"/>
      <c r="AN848" s="220"/>
      <c r="AO848" s="220"/>
      <c r="AP848" s="220"/>
      <c r="AQ848" s="220"/>
      <c r="AR848" s="220"/>
      <c r="AS848" s="220"/>
      <c r="AT848" s="220"/>
      <c r="AU848" s="220"/>
      <c r="AV848" s="220"/>
      <c r="AW848" s="220"/>
      <c r="AX848" s="220"/>
      <c r="AY848" s="220"/>
      <c r="AZ848" s="220"/>
      <c r="BA848" s="220"/>
      <c r="BB848" s="220"/>
    </row>
    <row r="849">
      <c r="A849" s="240"/>
      <c r="B849" s="319"/>
      <c r="C849" s="346"/>
      <c r="D849" s="346"/>
      <c r="E849" s="346"/>
      <c r="F849" s="346"/>
      <c r="G849" s="346"/>
      <c r="H849" s="346"/>
      <c r="I849" s="346"/>
      <c r="J849" s="346"/>
      <c r="K849" s="346"/>
      <c r="L849" s="346"/>
      <c r="M849" s="346"/>
      <c r="N849" s="346"/>
      <c r="O849" s="346"/>
      <c r="P849" s="346"/>
      <c r="Q849" s="346"/>
      <c r="R849" s="346"/>
      <c r="S849" s="346"/>
      <c r="T849" s="347"/>
      <c r="U849" s="345"/>
      <c r="V849" s="317"/>
      <c r="W849" s="318"/>
      <c r="X849" s="288"/>
      <c r="Y849" s="220"/>
      <c r="Z849" s="220"/>
      <c r="AA849" s="220"/>
      <c r="AB849" s="220"/>
      <c r="AC849" s="220"/>
      <c r="AD849" s="220"/>
      <c r="AE849" s="220"/>
      <c r="AF849" s="220"/>
      <c r="AG849" s="220"/>
      <c r="AH849" s="220"/>
      <c r="AI849" s="308"/>
      <c r="AJ849" s="220"/>
      <c r="AK849" s="220"/>
      <c r="AL849" s="220"/>
      <c r="AM849" s="220"/>
      <c r="AN849" s="220"/>
      <c r="AO849" s="220"/>
      <c r="AP849" s="220"/>
      <c r="AQ849" s="220"/>
      <c r="AR849" s="220"/>
      <c r="AS849" s="220"/>
      <c r="AT849" s="220"/>
      <c r="AU849" s="220"/>
      <c r="AV849" s="220"/>
      <c r="AW849" s="220"/>
      <c r="AX849" s="220"/>
      <c r="AY849" s="220"/>
      <c r="AZ849" s="220"/>
      <c r="BA849" s="220"/>
      <c r="BB849" s="220"/>
    </row>
    <row r="850">
      <c r="A850" s="240"/>
      <c r="B850" s="319"/>
      <c r="C850" s="346"/>
      <c r="D850" s="346"/>
      <c r="E850" s="346"/>
      <c r="F850" s="346"/>
      <c r="G850" s="346"/>
      <c r="H850" s="346"/>
      <c r="I850" s="346"/>
      <c r="J850" s="346"/>
      <c r="K850" s="346"/>
      <c r="L850" s="346"/>
      <c r="M850" s="346"/>
      <c r="N850" s="346"/>
      <c r="O850" s="346"/>
      <c r="P850" s="346"/>
      <c r="Q850" s="346"/>
      <c r="R850" s="346"/>
      <c r="S850" s="346"/>
      <c r="T850" s="347"/>
      <c r="U850" s="345"/>
      <c r="V850" s="317"/>
      <c r="W850" s="318"/>
      <c r="X850" s="288"/>
      <c r="Y850" s="220"/>
      <c r="Z850" s="220"/>
      <c r="AA850" s="220"/>
      <c r="AB850" s="220"/>
      <c r="AC850" s="220"/>
      <c r="AD850" s="220"/>
      <c r="AE850" s="220"/>
      <c r="AF850" s="220"/>
      <c r="AG850" s="220"/>
      <c r="AH850" s="220"/>
      <c r="AI850" s="308"/>
      <c r="AJ850" s="220"/>
      <c r="AK850" s="220"/>
      <c r="AL850" s="220"/>
      <c r="AM850" s="220"/>
      <c r="AN850" s="220"/>
      <c r="AO850" s="220"/>
      <c r="AP850" s="220"/>
      <c r="AQ850" s="220"/>
      <c r="AR850" s="220"/>
      <c r="AS850" s="220"/>
      <c r="AT850" s="220"/>
      <c r="AU850" s="220"/>
      <c r="AV850" s="220"/>
      <c r="AW850" s="220"/>
      <c r="AX850" s="220"/>
      <c r="AY850" s="220"/>
      <c r="AZ850" s="220"/>
      <c r="BA850" s="220"/>
      <c r="BB850" s="220"/>
    </row>
    <row r="851">
      <c r="A851" s="240"/>
      <c r="B851" s="319"/>
      <c r="C851" s="346"/>
      <c r="D851" s="346"/>
      <c r="E851" s="346"/>
      <c r="F851" s="346"/>
      <c r="G851" s="346"/>
      <c r="H851" s="346"/>
      <c r="I851" s="346"/>
      <c r="J851" s="346"/>
      <c r="K851" s="346"/>
      <c r="L851" s="346"/>
      <c r="M851" s="346"/>
      <c r="N851" s="346"/>
      <c r="O851" s="346"/>
      <c r="P851" s="346"/>
      <c r="Q851" s="346"/>
      <c r="R851" s="346"/>
      <c r="S851" s="346"/>
      <c r="T851" s="347"/>
      <c r="U851" s="345"/>
      <c r="V851" s="317"/>
      <c r="W851" s="318"/>
      <c r="X851" s="288"/>
      <c r="Y851" s="220"/>
      <c r="Z851" s="220"/>
      <c r="AA851" s="220"/>
      <c r="AB851" s="220"/>
      <c r="AC851" s="220"/>
      <c r="AD851" s="220"/>
      <c r="AE851" s="220"/>
      <c r="AF851" s="220"/>
      <c r="AG851" s="220"/>
      <c r="AH851" s="220"/>
      <c r="AI851" s="308"/>
      <c r="AJ851" s="220"/>
      <c r="AK851" s="220"/>
      <c r="AL851" s="220"/>
      <c r="AM851" s="220"/>
      <c r="AN851" s="220"/>
      <c r="AO851" s="220"/>
      <c r="AP851" s="220"/>
      <c r="AQ851" s="220"/>
      <c r="AR851" s="220"/>
      <c r="AS851" s="220"/>
      <c r="AT851" s="220"/>
      <c r="AU851" s="220"/>
      <c r="AV851" s="220"/>
      <c r="AW851" s="220"/>
      <c r="AX851" s="220"/>
      <c r="AY851" s="220"/>
      <c r="AZ851" s="220"/>
      <c r="BA851" s="220"/>
      <c r="BB851" s="220"/>
    </row>
    <row r="852">
      <c r="A852" s="240"/>
      <c r="B852" s="319"/>
      <c r="C852" s="346"/>
      <c r="D852" s="346"/>
      <c r="E852" s="346"/>
      <c r="F852" s="346"/>
      <c r="G852" s="346"/>
      <c r="H852" s="346"/>
      <c r="I852" s="346"/>
      <c r="J852" s="346"/>
      <c r="K852" s="346"/>
      <c r="L852" s="346"/>
      <c r="M852" s="346"/>
      <c r="N852" s="346"/>
      <c r="O852" s="346"/>
      <c r="P852" s="346"/>
      <c r="Q852" s="346"/>
      <c r="R852" s="346"/>
      <c r="S852" s="346"/>
      <c r="T852" s="347"/>
      <c r="U852" s="345"/>
      <c r="V852" s="317"/>
      <c r="W852" s="318"/>
      <c r="X852" s="288"/>
      <c r="Y852" s="220"/>
      <c r="Z852" s="220"/>
      <c r="AA852" s="220"/>
      <c r="AB852" s="220"/>
      <c r="AC852" s="220"/>
      <c r="AD852" s="220"/>
      <c r="AE852" s="220"/>
      <c r="AF852" s="220"/>
      <c r="AG852" s="220"/>
      <c r="AH852" s="220"/>
      <c r="AI852" s="308"/>
      <c r="AJ852" s="220"/>
      <c r="AK852" s="220"/>
      <c r="AL852" s="220"/>
      <c r="AM852" s="220"/>
      <c r="AN852" s="220"/>
      <c r="AO852" s="220"/>
      <c r="AP852" s="220"/>
      <c r="AQ852" s="220"/>
      <c r="AR852" s="220"/>
      <c r="AS852" s="220"/>
      <c r="AT852" s="220"/>
      <c r="AU852" s="220"/>
      <c r="AV852" s="220"/>
      <c r="AW852" s="220"/>
      <c r="AX852" s="220"/>
      <c r="AY852" s="220"/>
      <c r="AZ852" s="220"/>
      <c r="BA852" s="220"/>
      <c r="BB852" s="220"/>
    </row>
    <row r="853">
      <c r="A853" s="240"/>
      <c r="B853" s="319"/>
      <c r="C853" s="346"/>
      <c r="D853" s="346"/>
      <c r="E853" s="346"/>
      <c r="F853" s="346"/>
      <c r="G853" s="346"/>
      <c r="H853" s="346"/>
      <c r="I853" s="346"/>
      <c r="J853" s="346"/>
      <c r="K853" s="346"/>
      <c r="L853" s="346"/>
      <c r="M853" s="346"/>
      <c r="N853" s="346"/>
      <c r="O853" s="346"/>
      <c r="P853" s="346"/>
      <c r="Q853" s="346"/>
      <c r="R853" s="346"/>
      <c r="S853" s="346"/>
      <c r="T853" s="347"/>
      <c r="U853" s="345"/>
      <c r="V853" s="317"/>
      <c r="W853" s="318"/>
      <c r="X853" s="288"/>
      <c r="Y853" s="220"/>
      <c r="Z853" s="220"/>
      <c r="AA853" s="220"/>
      <c r="AB853" s="220"/>
      <c r="AC853" s="220"/>
      <c r="AD853" s="220"/>
      <c r="AE853" s="220"/>
      <c r="AF853" s="220"/>
      <c r="AG853" s="220"/>
      <c r="AH853" s="220"/>
      <c r="AI853" s="308"/>
      <c r="AJ853" s="220"/>
      <c r="AK853" s="220"/>
      <c r="AL853" s="220"/>
      <c r="AM853" s="220"/>
      <c r="AN853" s="220"/>
      <c r="AO853" s="220"/>
      <c r="AP853" s="220"/>
      <c r="AQ853" s="220"/>
      <c r="AR853" s="220"/>
      <c r="AS853" s="220"/>
      <c r="AT853" s="220"/>
      <c r="AU853" s="220"/>
      <c r="AV853" s="220"/>
      <c r="AW853" s="220"/>
      <c r="AX853" s="220"/>
      <c r="AY853" s="220"/>
      <c r="AZ853" s="220"/>
      <c r="BA853" s="220"/>
      <c r="BB853" s="220"/>
    </row>
    <row r="854">
      <c r="A854" s="240"/>
      <c r="B854" s="319"/>
      <c r="C854" s="346"/>
      <c r="D854" s="346"/>
      <c r="E854" s="346"/>
      <c r="F854" s="346"/>
      <c r="G854" s="346"/>
      <c r="H854" s="346"/>
      <c r="I854" s="346"/>
      <c r="J854" s="346"/>
      <c r="K854" s="346"/>
      <c r="L854" s="346"/>
      <c r="M854" s="346"/>
      <c r="N854" s="346"/>
      <c r="O854" s="346"/>
      <c r="P854" s="346"/>
      <c r="Q854" s="346"/>
      <c r="R854" s="346"/>
      <c r="S854" s="346"/>
      <c r="T854" s="347"/>
      <c r="U854" s="345"/>
      <c r="V854" s="317"/>
      <c r="W854" s="318"/>
      <c r="X854" s="288"/>
      <c r="Y854" s="220"/>
      <c r="Z854" s="220"/>
      <c r="AA854" s="220"/>
      <c r="AB854" s="220"/>
      <c r="AC854" s="220"/>
      <c r="AD854" s="220"/>
      <c r="AE854" s="220"/>
      <c r="AF854" s="220"/>
      <c r="AG854" s="220"/>
      <c r="AH854" s="220"/>
      <c r="AI854" s="308"/>
      <c r="AJ854" s="220"/>
      <c r="AK854" s="220"/>
      <c r="AL854" s="220"/>
      <c r="AM854" s="220"/>
      <c r="AN854" s="220"/>
      <c r="AO854" s="220"/>
      <c r="AP854" s="220"/>
      <c r="AQ854" s="220"/>
      <c r="AR854" s="220"/>
      <c r="AS854" s="220"/>
      <c r="AT854" s="220"/>
      <c r="AU854" s="220"/>
      <c r="AV854" s="220"/>
      <c r="AW854" s="220"/>
      <c r="AX854" s="220"/>
      <c r="AY854" s="220"/>
      <c r="AZ854" s="220"/>
      <c r="BA854" s="220"/>
      <c r="BB854" s="220"/>
    </row>
    <row r="855">
      <c r="A855" s="240"/>
      <c r="B855" s="319"/>
      <c r="C855" s="346"/>
      <c r="D855" s="346"/>
      <c r="E855" s="346"/>
      <c r="F855" s="346"/>
      <c r="G855" s="346"/>
      <c r="H855" s="346"/>
      <c r="I855" s="346"/>
      <c r="J855" s="346"/>
      <c r="K855" s="346"/>
      <c r="L855" s="346"/>
      <c r="M855" s="346"/>
      <c r="N855" s="346"/>
      <c r="O855" s="346"/>
      <c r="P855" s="346"/>
      <c r="Q855" s="346"/>
      <c r="R855" s="346"/>
      <c r="S855" s="346"/>
      <c r="T855" s="347"/>
      <c r="U855" s="345"/>
      <c r="V855" s="317"/>
      <c r="W855" s="318"/>
      <c r="X855" s="288"/>
      <c r="Y855" s="220"/>
      <c r="Z855" s="220"/>
      <c r="AA855" s="220"/>
      <c r="AB855" s="220"/>
      <c r="AC855" s="220"/>
      <c r="AD855" s="220"/>
      <c r="AE855" s="220"/>
      <c r="AF855" s="220"/>
      <c r="AG855" s="220"/>
      <c r="AH855" s="220"/>
      <c r="AI855" s="308"/>
      <c r="AJ855" s="220"/>
      <c r="AK855" s="220"/>
      <c r="AL855" s="220"/>
      <c r="AM855" s="220"/>
      <c r="AN855" s="220"/>
      <c r="AO855" s="220"/>
      <c r="AP855" s="220"/>
      <c r="AQ855" s="220"/>
      <c r="AR855" s="220"/>
      <c r="AS855" s="220"/>
      <c r="AT855" s="220"/>
      <c r="AU855" s="220"/>
      <c r="AV855" s="220"/>
      <c r="AW855" s="220"/>
      <c r="AX855" s="220"/>
      <c r="AY855" s="220"/>
      <c r="AZ855" s="220"/>
      <c r="BA855" s="220"/>
      <c r="BB855" s="220"/>
    </row>
    <row r="856">
      <c r="A856" s="240"/>
      <c r="B856" s="319"/>
      <c r="C856" s="346"/>
      <c r="D856" s="346"/>
      <c r="E856" s="346"/>
      <c r="F856" s="346"/>
      <c r="G856" s="346"/>
      <c r="H856" s="346"/>
      <c r="I856" s="346"/>
      <c r="J856" s="346"/>
      <c r="K856" s="346"/>
      <c r="L856" s="346"/>
      <c r="M856" s="346"/>
      <c r="N856" s="346"/>
      <c r="O856" s="346"/>
      <c r="P856" s="346"/>
      <c r="Q856" s="346"/>
      <c r="R856" s="346"/>
      <c r="S856" s="346"/>
      <c r="T856" s="347"/>
      <c r="U856" s="345"/>
      <c r="V856" s="317"/>
      <c r="W856" s="318"/>
      <c r="X856" s="288"/>
      <c r="Y856" s="220"/>
      <c r="Z856" s="220"/>
      <c r="AA856" s="220"/>
      <c r="AB856" s="220"/>
      <c r="AC856" s="220"/>
      <c r="AD856" s="220"/>
      <c r="AE856" s="220"/>
      <c r="AF856" s="220"/>
      <c r="AG856" s="220"/>
      <c r="AH856" s="220"/>
      <c r="AI856" s="308"/>
      <c r="AJ856" s="220"/>
      <c r="AK856" s="220"/>
      <c r="AL856" s="220"/>
      <c r="AM856" s="220"/>
      <c r="AN856" s="220"/>
      <c r="AO856" s="220"/>
      <c r="AP856" s="220"/>
      <c r="AQ856" s="220"/>
      <c r="AR856" s="220"/>
      <c r="AS856" s="220"/>
      <c r="AT856" s="220"/>
      <c r="AU856" s="220"/>
      <c r="AV856" s="220"/>
      <c r="AW856" s="220"/>
      <c r="AX856" s="220"/>
      <c r="AY856" s="220"/>
      <c r="AZ856" s="220"/>
      <c r="BA856" s="220"/>
      <c r="BB856" s="220"/>
    </row>
    <row r="857">
      <c r="A857" s="240"/>
      <c r="B857" s="319"/>
      <c r="C857" s="346"/>
      <c r="D857" s="346"/>
      <c r="E857" s="346"/>
      <c r="F857" s="346"/>
      <c r="G857" s="346"/>
      <c r="H857" s="346"/>
      <c r="I857" s="346"/>
      <c r="J857" s="346"/>
      <c r="K857" s="346"/>
      <c r="L857" s="346"/>
      <c r="M857" s="346"/>
      <c r="N857" s="346"/>
      <c r="O857" s="346"/>
      <c r="P857" s="346"/>
      <c r="Q857" s="346"/>
      <c r="R857" s="346"/>
      <c r="S857" s="346"/>
      <c r="T857" s="347"/>
      <c r="U857" s="345"/>
      <c r="V857" s="317"/>
      <c r="W857" s="318"/>
      <c r="X857" s="288"/>
      <c r="Y857" s="220"/>
      <c r="Z857" s="220"/>
      <c r="AA857" s="220"/>
      <c r="AB857" s="220"/>
      <c r="AC857" s="220"/>
      <c r="AD857" s="220"/>
      <c r="AE857" s="220"/>
      <c r="AF857" s="220"/>
      <c r="AG857" s="220"/>
      <c r="AH857" s="220"/>
      <c r="AI857" s="308"/>
      <c r="AJ857" s="220"/>
      <c r="AK857" s="220"/>
      <c r="AL857" s="220"/>
      <c r="AM857" s="220"/>
      <c r="AN857" s="220"/>
      <c r="AO857" s="220"/>
      <c r="AP857" s="220"/>
      <c r="AQ857" s="220"/>
      <c r="AR857" s="220"/>
      <c r="AS857" s="220"/>
      <c r="AT857" s="220"/>
      <c r="AU857" s="220"/>
      <c r="AV857" s="220"/>
      <c r="AW857" s="220"/>
      <c r="AX857" s="220"/>
      <c r="AY857" s="220"/>
      <c r="AZ857" s="220"/>
      <c r="BA857" s="220"/>
      <c r="BB857" s="220"/>
    </row>
    <row r="858">
      <c r="A858" s="240"/>
      <c r="B858" s="319"/>
      <c r="C858" s="346"/>
      <c r="D858" s="346"/>
      <c r="E858" s="346"/>
      <c r="F858" s="346"/>
      <c r="G858" s="346"/>
      <c r="H858" s="346"/>
      <c r="I858" s="346"/>
      <c r="J858" s="346"/>
      <c r="K858" s="346"/>
      <c r="L858" s="346"/>
      <c r="M858" s="346"/>
      <c r="N858" s="346"/>
      <c r="O858" s="346"/>
      <c r="P858" s="346"/>
      <c r="Q858" s="346"/>
      <c r="R858" s="346"/>
      <c r="S858" s="346"/>
      <c r="T858" s="347"/>
      <c r="U858" s="345"/>
      <c r="V858" s="317"/>
      <c r="W858" s="318"/>
      <c r="X858" s="288"/>
      <c r="Y858" s="220"/>
      <c r="Z858" s="220"/>
      <c r="AA858" s="220"/>
      <c r="AB858" s="220"/>
      <c r="AC858" s="220"/>
      <c r="AD858" s="220"/>
      <c r="AE858" s="220"/>
      <c r="AF858" s="220"/>
      <c r="AG858" s="220"/>
      <c r="AH858" s="220"/>
      <c r="AI858" s="308"/>
      <c r="AJ858" s="220"/>
      <c r="AK858" s="220"/>
      <c r="AL858" s="220"/>
      <c r="AM858" s="220"/>
      <c r="AN858" s="220"/>
      <c r="AO858" s="220"/>
      <c r="AP858" s="220"/>
      <c r="AQ858" s="220"/>
      <c r="AR858" s="220"/>
      <c r="AS858" s="220"/>
      <c r="AT858" s="220"/>
      <c r="AU858" s="220"/>
      <c r="AV858" s="220"/>
      <c r="AW858" s="220"/>
      <c r="AX858" s="220"/>
      <c r="AY858" s="220"/>
      <c r="AZ858" s="220"/>
      <c r="BA858" s="220"/>
      <c r="BB858" s="220"/>
    </row>
    <row r="859">
      <c r="A859" s="240"/>
      <c r="B859" s="319"/>
      <c r="C859" s="346"/>
      <c r="D859" s="346"/>
      <c r="E859" s="346"/>
      <c r="F859" s="346"/>
      <c r="G859" s="346"/>
      <c r="H859" s="346"/>
      <c r="I859" s="346"/>
      <c r="J859" s="346"/>
      <c r="K859" s="346"/>
      <c r="L859" s="346"/>
      <c r="M859" s="346"/>
      <c r="N859" s="346"/>
      <c r="O859" s="346"/>
      <c r="P859" s="346"/>
      <c r="Q859" s="346"/>
      <c r="R859" s="346"/>
      <c r="S859" s="346"/>
      <c r="T859" s="347"/>
      <c r="U859" s="345"/>
      <c r="V859" s="317"/>
      <c r="W859" s="318"/>
      <c r="X859" s="288"/>
      <c r="Y859" s="220"/>
      <c r="Z859" s="220"/>
      <c r="AA859" s="220"/>
      <c r="AB859" s="220"/>
      <c r="AC859" s="220"/>
      <c r="AD859" s="220"/>
      <c r="AE859" s="220"/>
      <c r="AF859" s="220"/>
      <c r="AG859" s="220"/>
      <c r="AH859" s="220"/>
      <c r="AI859" s="308"/>
      <c r="AJ859" s="220"/>
      <c r="AK859" s="220"/>
      <c r="AL859" s="220"/>
      <c r="AM859" s="220"/>
      <c r="AN859" s="220"/>
      <c r="AO859" s="220"/>
      <c r="AP859" s="220"/>
      <c r="AQ859" s="220"/>
      <c r="AR859" s="220"/>
      <c r="AS859" s="220"/>
      <c r="AT859" s="220"/>
      <c r="AU859" s="220"/>
      <c r="AV859" s="220"/>
      <c r="AW859" s="220"/>
      <c r="AX859" s="220"/>
      <c r="AY859" s="220"/>
      <c r="AZ859" s="220"/>
      <c r="BA859" s="220"/>
      <c r="BB859" s="220"/>
    </row>
    <row r="860">
      <c r="A860" s="240"/>
      <c r="B860" s="319"/>
      <c r="C860" s="346"/>
      <c r="D860" s="346"/>
      <c r="E860" s="346"/>
      <c r="F860" s="346"/>
      <c r="G860" s="346"/>
      <c r="H860" s="346"/>
      <c r="I860" s="346"/>
      <c r="J860" s="346"/>
      <c r="K860" s="346"/>
      <c r="L860" s="346"/>
      <c r="M860" s="346"/>
      <c r="N860" s="346"/>
      <c r="O860" s="346"/>
      <c r="P860" s="346"/>
      <c r="Q860" s="346"/>
      <c r="R860" s="346"/>
      <c r="S860" s="346"/>
      <c r="T860" s="347"/>
      <c r="U860" s="345"/>
      <c r="V860" s="317"/>
      <c r="W860" s="318"/>
      <c r="X860" s="288"/>
      <c r="Y860" s="220"/>
      <c r="Z860" s="220"/>
      <c r="AA860" s="220"/>
      <c r="AB860" s="220"/>
      <c r="AC860" s="220"/>
      <c r="AD860" s="220"/>
      <c r="AE860" s="220"/>
      <c r="AF860" s="220"/>
      <c r="AG860" s="220"/>
      <c r="AH860" s="220"/>
      <c r="AI860" s="308"/>
      <c r="AJ860" s="220"/>
      <c r="AK860" s="220"/>
      <c r="AL860" s="220"/>
      <c r="AM860" s="220"/>
      <c r="AN860" s="220"/>
      <c r="AO860" s="220"/>
      <c r="AP860" s="220"/>
      <c r="AQ860" s="220"/>
      <c r="AR860" s="220"/>
      <c r="AS860" s="220"/>
      <c r="AT860" s="220"/>
      <c r="AU860" s="220"/>
      <c r="AV860" s="220"/>
      <c r="AW860" s="220"/>
      <c r="AX860" s="220"/>
      <c r="AY860" s="220"/>
      <c r="AZ860" s="220"/>
      <c r="BA860" s="220"/>
      <c r="BB860" s="220"/>
    </row>
    <row r="861">
      <c r="A861" s="240"/>
      <c r="B861" s="319"/>
      <c r="C861" s="346"/>
      <c r="D861" s="346"/>
      <c r="E861" s="346"/>
      <c r="F861" s="346"/>
      <c r="G861" s="346"/>
      <c r="H861" s="346"/>
      <c r="I861" s="346"/>
      <c r="J861" s="346"/>
      <c r="K861" s="346"/>
      <c r="L861" s="346"/>
      <c r="M861" s="346"/>
      <c r="N861" s="346"/>
      <c r="O861" s="346"/>
      <c r="P861" s="346"/>
      <c r="Q861" s="346"/>
      <c r="R861" s="346"/>
      <c r="S861" s="346"/>
      <c r="T861" s="347"/>
      <c r="U861" s="345"/>
      <c r="V861" s="317"/>
      <c r="W861" s="318"/>
      <c r="X861" s="288"/>
      <c r="Y861" s="220"/>
      <c r="Z861" s="220"/>
      <c r="AA861" s="220"/>
      <c r="AB861" s="220"/>
      <c r="AC861" s="220"/>
      <c r="AD861" s="220"/>
      <c r="AE861" s="220"/>
      <c r="AF861" s="220"/>
      <c r="AG861" s="220"/>
      <c r="AH861" s="220"/>
      <c r="AI861" s="308"/>
      <c r="AJ861" s="220"/>
      <c r="AK861" s="220"/>
      <c r="AL861" s="220"/>
      <c r="AM861" s="220"/>
      <c r="AN861" s="220"/>
      <c r="AO861" s="220"/>
      <c r="AP861" s="220"/>
      <c r="AQ861" s="220"/>
      <c r="AR861" s="220"/>
      <c r="AS861" s="220"/>
      <c r="AT861" s="220"/>
      <c r="AU861" s="220"/>
      <c r="AV861" s="220"/>
      <c r="AW861" s="220"/>
      <c r="AX861" s="220"/>
      <c r="AY861" s="220"/>
      <c r="AZ861" s="220"/>
      <c r="BA861" s="220"/>
      <c r="BB861" s="220"/>
    </row>
    <row r="862">
      <c r="A862" s="240"/>
      <c r="B862" s="319"/>
      <c r="C862" s="346"/>
      <c r="D862" s="346"/>
      <c r="E862" s="346"/>
      <c r="F862" s="346"/>
      <c r="G862" s="346"/>
      <c r="H862" s="346"/>
      <c r="I862" s="346"/>
      <c r="J862" s="346"/>
      <c r="K862" s="346"/>
      <c r="L862" s="346"/>
      <c r="M862" s="346"/>
      <c r="N862" s="346"/>
      <c r="O862" s="346"/>
      <c r="P862" s="346"/>
      <c r="Q862" s="346"/>
      <c r="R862" s="346"/>
      <c r="S862" s="346"/>
      <c r="T862" s="347"/>
      <c r="U862" s="345"/>
      <c r="V862" s="317"/>
      <c r="W862" s="318"/>
      <c r="X862" s="288"/>
      <c r="Y862" s="220"/>
      <c r="Z862" s="220"/>
      <c r="AA862" s="220"/>
      <c r="AB862" s="220"/>
      <c r="AC862" s="220"/>
      <c r="AD862" s="220"/>
      <c r="AE862" s="220"/>
      <c r="AF862" s="220"/>
      <c r="AG862" s="220"/>
      <c r="AH862" s="220"/>
      <c r="AI862" s="308"/>
      <c r="AJ862" s="220"/>
      <c r="AK862" s="220"/>
      <c r="AL862" s="220"/>
      <c r="AM862" s="220"/>
      <c r="AN862" s="220"/>
      <c r="AO862" s="220"/>
      <c r="AP862" s="220"/>
      <c r="AQ862" s="220"/>
      <c r="AR862" s="220"/>
      <c r="AS862" s="220"/>
      <c r="AT862" s="220"/>
      <c r="AU862" s="220"/>
      <c r="AV862" s="220"/>
      <c r="AW862" s="220"/>
      <c r="AX862" s="220"/>
      <c r="AY862" s="220"/>
      <c r="AZ862" s="220"/>
      <c r="BA862" s="220"/>
      <c r="BB862" s="220"/>
    </row>
    <row r="863">
      <c r="A863" s="240"/>
      <c r="B863" s="319"/>
      <c r="C863" s="346"/>
      <c r="D863" s="346"/>
      <c r="E863" s="346"/>
      <c r="F863" s="346"/>
      <c r="G863" s="346"/>
      <c r="H863" s="346"/>
      <c r="I863" s="346"/>
      <c r="J863" s="346"/>
      <c r="K863" s="346"/>
      <c r="L863" s="346"/>
      <c r="M863" s="346"/>
      <c r="N863" s="346"/>
      <c r="O863" s="346"/>
      <c r="P863" s="346"/>
      <c r="Q863" s="346"/>
      <c r="R863" s="346"/>
      <c r="S863" s="346"/>
      <c r="T863" s="347"/>
      <c r="U863" s="345"/>
      <c r="V863" s="317"/>
      <c r="W863" s="318"/>
      <c r="X863" s="288"/>
      <c r="Y863" s="220"/>
      <c r="Z863" s="220"/>
      <c r="AA863" s="220"/>
      <c r="AB863" s="220"/>
      <c r="AC863" s="220"/>
      <c r="AD863" s="220"/>
      <c r="AE863" s="220"/>
      <c r="AF863" s="220"/>
      <c r="AG863" s="220"/>
      <c r="AH863" s="220"/>
      <c r="AI863" s="308"/>
      <c r="AJ863" s="220"/>
      <c r="AK863" s="220"/>
      <c r="AL863" s="220"/>
      <c r="AM863" s="220"/>
      <c r="AN863" s="220"/>
      <c r="AO863" s="220"/>
      <c r="AP863" s="220"/>
      <c r="AQ863" s="220"/>
      <c r="AR863" s="220"/>
      <c r="AS863" s="220"/>
      <c r="AT863" s="220"/>
      <c r="AU863" s="220"/>
      <c r="AV863" s="220"/>
      <c r="AW863" s="220"/>
      <c r="AX863" s="220"/>
      <c r="AY863" s="220"/>
      <c r="AZ863" s="220"/>
      <c r="BA863" s="220"/>
      <c r="BB863" s="220"/>
    </row>
    <row r="864">
      <c r="A864" s="240"/>
      <c r="B864" s="319"/>
      <c r="C864" s="346"/>
      <c r="D864" s="346"/>
      <c r="E864" s="346"/>
      <c r="F864" s="346"/>
      <c r="G864" s="346"/>
      <c r="H864" s="346"/>
      <c r="I864" s="346"/>
      <c r="J864" s="346"/>
      <c r="K864" s="346"/>
      <c r="L864" s="346"/>
      <c r="M864" s="346"/>
      <c r="N864" s="346"/>
      <c r="O864" s="346"/>
      <c r="P864" s="346"/>
      <c r="Q864" s="346"/>
      <c r="R864" s="346"/>
      <c r="S864" s="346"/>
      <c r="T864" s="347"/>
      <c r="U864" s="345"/>
      <c r="V864" s="317"/>
      <c r="W864" s="318"/>
      <c r="X864" s="288"/>
      <c r="Y864" s="220"/>
      <c r="Z864" s="220"/>
      <c r="AA864" s="220"/>
      <c r="AB864" s="220"/>
      <c r="AC864" s="220"/>
      <c r="AD864" s="220"/>
      <c r="AE864" s="220"/>
      <c r="AF864" s="220"/>
      <c r="AG864" s="220"/>
      <c r="AH864" s="220"/>
      <c r="AI864" s="308"/>
      <c r="AJ864" s="220"/>
      <c r="AK864" s="220"/>
      <c r="AL864" s="220"/>
      <c r="AM864" s="220"/>
      <c r="AN864" s="220"/>
      <c r="AO864" s="220"/>
      <c r="AP864" s="220"/>
      <c r="AQ864" s="220"/>
      <c r="AR864" s="220"/>
      <c r="AS864" s="220"/>
      <c r="AT864" s="220"/>
      <c r="AU864" s="220"/>
      <c r="AV864" s="220"/>
      <c r="AW864" s="220"/>
      <c r="AX864" s="220"/>
      <c r="AY864" s="220"/>
      <c r="AZ864" s="220"/>
      <c r="BA864" s="220"/>
      <c r="BB864" s="220"/>
    </row>
    <row r="865">
      <c r="A865" s="240"/>
      <c r="B865" s="319"/>
      <c r="C865" s="346"/>
      <c r="D865" s="346"/>
      <c r="E865" s="346"/>
      <c r="F865" s="346"/>
      <c r="G865" s="346"/>
      <c r="H865" s="346"/>
      <c r="I865" s="346"/>
      <c r="J865" s="346"/>
      <c r="K865" s="346"/>
      <c r="L865" s="346"/>
      <c r="M865" s="346"/>
      <c r="N865" s="346"/>
      <c r="O865" s="346"/>
      <c r="P865" s="346"/>
      <c r="Q865" s="346"/>
      <c r="R865" s="346"/>
      <c r="S865" s="346"/>
      <c r="T865" s="347"/>
      <c r="U865" s="345"/>
      <c r="V865" s="317"/>
      <c r="W865" s="318"/>
      <c r="X865" s="288"/>
      <c r="Y865" s="220"/>
      <c r="Z865" s="220"/>
      <c r="AA865" s="220"/>
      <c r="AB865" s="220"/>
      <c r="AC865" s="220"/>
      <c r="AD865" s="220"/>
      <c r="AE865" s="220"/>
      <c r="AF865" s="220"/>
      <c r="AG865" s="220"/>
      <c r="AH865" s="220"/>
      <c r="AI865" s="308"/>
      <c r="AJ865" s="220"/>
      <c r="AK865" s="220"/>
      <c r="AL865" s="220"/>
      <c r="AM865" s="220"/>
      <c r="AN865" s="220"/>
      <c r="AO865" s="220"/>
      <c r="AP865" s="220"/>
      <c r="AQ865" s="220"/>
      <c r="AR865" s="220"/>
      <c r="AS865" s="220"/>
      <c r="AT865" s="220"/>
      <c r="AU865" s="220"/>
      <c r="AV865" s="220"/>
      <c r="AW865" s="220"/>
      <c r="AX865" s="220"/>
      <c r="AY865" s="220"/>
      <c r="AZ865" s="220"/>
      <c r="BA865" s="220"/>
      <c r="BB865" s="220"/>
    </row>
    <row r="866">
      <c r="A866" s="240"/>
      <c r="B866" s="319"/>
      <c r="C866" s="346"/>
      <c r="D866" s="346"/>
      <c r="E866" s="346"/>
      <c r="F866" s="346"/>
      <c r="G866" s="346"/>
      <c r="H866" s="346"/>
      <c r="I866" s="346"/>
      <c r="J866" s="346"/>
      <c r="K866" s="346"/>
      <c r="L866" s="346"/>
      <c r="M866" s="346"/>
      <c r="N866" s="346"/>
      <c r="O866" s="346"/>
      <c r="P866" s="346"/>
      <c r="Q866" s="346"/>
      <c r="R866" s="346"/>
      <c r="S866" s="346"/>
      <c r="T866" s="347"/>
      <c r="U866" s="345"/>
      <c r="V866" s="317"/>
      <c r="W866" s="318"/>
      <c r="X866" s="288"/>
      <c r="Y866" s="220"/>
      <c r="Z866" s="220"/>
      <c r="AA866" s="220"/>
      <c r="AB866" s="220"/>
      <c r="AC866" s="220"/>
      <c r="AD866" s="220"/>
      <c r="AE866" s="220"/>
      <c r="AF866" s="220"/>
      <c r="AG866" s="220"/>
      <c r="AH866" s="220"/>
      <c r="AI866" s="308"/>
      <c r="AJ866" s="220"/>
      <c r="AK866" s="220"/>
      <c r="AL866" s="220"/>
      <c r="AM866" s="220"/>
      <c r="AN866" s="220"/>
      <c r="AO866" s="220"/>
      <c r="AP866" s="220"/>
      <c r="AQ866" s="220"/>
      <c r="AR866" s="220"/>
      <c r="AS866" s="220"/>
      <c r="AT866" s="220"/>
      <c r="AU866" s="220"/>
      <c r="AV866" s="220"/>
      <c r="AW866" s="220"/>
      <c r="AX866" s="220"/>
      <c r="AY866" s="220"/>
      <c r="AZ866" s="220"/>
      <c r="BA866" s="220"/>
      <c r="BB866" s="220"/>
    </row>
    <row r="867">
      <c r="A867" s="240"/>
      <c r="B867" s="319"/>
      <c r="C867" s="346"/>
      <c r="D867" s="346"/>
      <c r="E867" s="346"/>
      <c r="F867" s="346"/>
      <c r="G867" s="346"/>
      <c r="H867" s="346"/>
      <c r="I867" s="346"/>
      <c r="J867" s="346"/>
      <c r="K867" s="346"/>
      <c r="L867" s="346"/>
      <c r="M867" s="346"/>
      <c r="N867" s="346"/>
      <c r="O867" s="346"/>
      <c r="P867" s="346"/>
      <c r="Q867" s="346"/>
      <c r="R867" s="346"/>
      <c r="S867" s="346"/>
      <c r="T867" s="347"/>
      <c r="U867" s="345"/>
      <c r="V867" s="317"/>
      <c r="W867" s="318"/>
      <c r="X867" s="288"/>
      <c r="Y867" s="220"/>
      <c r="Z867" s="220"/>
      <c r="AA867" s="220"/>
      <c r="AB867" s="220"/>
      <c r="AC867" s="220"/>
      <c r="AD867" s="220"/>
      <c r="AE867" s="220"/>
      <c r="AF867" s="220"/>
      <c r="AG867" s="220"/>
      <c r="AH867" s="220"/>
      <c r="AI867" s="308"/>
      <c r="AJ867" s="220"/>
      <c r="AK867" s="220"/>
      <c r="AL867" s="220"/>
      <c r="AM867" s="220"/>
      <c r="AN867" s="220"/>
      <c r="AO867" s="220"/>
      <c r="AP867" s="220"/>
      <c r="AQ867" s="220"/>
      <c r="AR867" s="220"/>
      <c r="AS867" s="220"/>
      <c r="AT867" s="220"/>
      <c r="AU867" s="220"/>
      <c r="AV867" s="220"/>
      <c r="AW867" s="220"/>
      <c r="AX867" s="220"/>
      <c r="AY867" s="220"/>
      <c r="AZ867" s="220"/>
      <c r="BA867" s="220"/>
      <c r="BB867" s="220"/>
    </row>
    <row r="868">
      <c r="A868" s="240"/>
      <c r="B868" s="319"/>
      <c r="C868" s="346"/>
      <c r="D868" s="346"/>
      <c r="E868" s="346"/>
      <c r="F868" s="346"/>
      <c r="G868" s="346"/>
      <c r="H868" s="346"/>
      <c r="I868" s="346"/>
      <c r="J868" s="346"/>
      <c r="K868" s="346"/>
      <c r="L868" s="346"/>
      <c r="M868" s="346"/>
      <c r="N868" s="346"/>
      <c r="O868" s="346"/>
      <c r="P868" s="346"/>
      <c r="Q868" s="346"/>
      <c r="R868" s="346"/>
      <c r="S868" s="346"/>
      <c r="T868" s="347"/>
      <c r="U868" s="345"/>
      <c r="V868" s="317"/>
      <c r="W868" s="318"/>
      <c r="X868" s="288"/>
      <c r="Y868" s="220"/>
      <c r="Z868" s="220"/>
      <c r="AA868" s="220"/>
      <c r="AB868" s="220"/>
      <c r="AC868" s="220"/>
      <c r="AD868" s="220"/>
      <c r="AE868" s="220"/>
      <c r="AF868" s="220"/>
      <c r="AG868" s="220"/>
      <c r="AH868" s="220"/>
      <c r="AI868" s="308"/>
      <c r="AJ868" s="220"/>
      <c r="AK868" s="220"/>
      <c r="AL868" s="220"/>
      <c r="AM868" s="220"/>
      <c r="AN868" s="220"/>
      <c r="AO868" s="220"/>
      <c r="AP868" s="220"/>
      <c r="AQ868" s="220"/>
      <c r="AR868" s="220"/>
      <c r="AS868" s="220"/>
      <c r="AT868" s="220"/>
      <c r="AU868" s="220"/>
      <c r="AV868" s="220"/>
      <c r="AW868" s="220"/>
      <c r="AX868" s="220"/>
      <c r="AY868" s="220"/>
      <c r="AZ868" s="220"/>
      <c r="BA868" s="220"/>
      <c r="BB868" s="220"/>
    </row>
    <row r="869">
      <c r="A869" s="240"/>
      <c r="B869" s="319"/>
      <c r="C869" s="346"/>
      <c r="D869" s="346"/>
      <c r="E869" s="346"/>
      <c r="F869" s="346"/>
      <c r="G869" s="346"/>
      <c r="H869" s="346"/>
      <c r="I869" s="346"/>
      <c r="J869" s="346"/>
      <c r="K869" s="346"/>
      <c r="L869" s="346"/>
      <c r="M869" s="346"/>
      <c r="N869" s="346"/>
      <c r="O869" s="346"/>
      <c r="P869" s="346"/>
      <c r="Q869" s="346"/>
      <c r="R869" s="346"/>
      <c r="S869" s="346"/>
      <c r="T869" s="347"/>
      <c r="U869" s="345"/>
      <c r="V869" s="317"/>
      <c r="W869" s="318"/>
      <c r="X869" s="288"/>
      <c r="Y869" s="220"/>
      <c r="Z869" s="220"/>
      <c r="AA869" s="220"/>
      <c r="AB869" s="220"/>
      <c r="AC869" s="220"/>
      <c r="AD869" s="220"/>
      <c r="AE869" s="220"/>
      <c r="AF869" s="220"/>
      <c r="AG869" s="220"/>
      <c r="AH869" s="220"/>
      <c r="AI869" s="308"/>
      <c r="AJ869" s="220"/>
      <c r="AK869" s="220"/>
      <c r="AL869" s="220"/>
      <c r="AM869" s="220"/>
      <c r="AN869" s="220"/>
      <c r="AO869" s="220"/>
      <c r="AP869" s="220"/>
      <c r="AQ869" s="220"/>
      <c r="AR869" s="220"/>
      <c r="AS869" s="220"/>
      <c r="AT869" s="220"/>
      <c r="AU869" s="220"/>
      <c r="AV869" s="220"/>
      <c r="AW869" s="220"/>
      <c r="AX869" s="220"/>
      <c r="AY869" s="220"/>
      <c r="AZ869" s="220"/>
      <c r="BA869" s="220"/>
      <c r="BB869" s="220"/>
    </row>
    <row r="870">
      <c r="A870" s="240"/>
      <c r="B870" s="319"/>
      <c r="C870" s="346"/>
      <c r="D870" s="346"/>
      <c r="E870" s="346"/>
      <c r="F870" s="346"/>
      <c r="G870" s="346"/>
      <c r="H870" s="346"/>
      <c r="I870" s="346"/>
      <c r="J870" s="346"/>
      <c r="K870" s="346"/>
      <c r="L870" s="346"/>
      <c r="M870" s="346"/>
      <c r="N870" s="346"/>
      <c r="O870" s="346"/>
      <c r="P870" s="346"/>
      <c r="Q870" s="346"/>
      <c r="R870" s="346"/>
      <c r="S870" s="346"/>
      <c r="T870" s="347"/>
      <c r="U870" s="345"/>
      <c r="V870" s="317"/>
      <c r="W870" s="318"/>
      <c r="X870" s="288"/>
      <c r="Y870" s="220"/>
      <c r="Z870" s="220"/>
      <c r="AA870" s="220"/>
      <c r="AB870" s="220"/>
      <c r="AC870" s="220"/>
      <c r="AD870" s="220"/>
      <c r="AE870" s="220"/>
      <c r="AF870" s="220"/>
      <c r="AG870" s="220"/>
      <c r="AH870" s="220"/>
      <c r="AI870" s="308"/>
      <c r="AJ870" s="220"/>
      <c r="AK870" s="220"/>
      <c r="AL870" s="220"/>
      <c r="AM870" s="220"/>
      <c r="AN870" s="220"/>
      <c r="AO870" s="220"/>
      <c r="AP870" s="220"/>
      <c r="AQ870" s="220"/>
      <c r="AR870" s="220"/>
      <c r="AS870" s="220"/>
      <c r="AT870" s="220"/>
      <c r="AU870" s="220"/>
      <c r="AV870" s="220"/>
      <c r="AW870" s="220"/>
      <c r="AX870" s="220"/>
      <c r="AY870" s="220"/>
      <c r="AZ870" s="220"/>
      <c r="BA870" s="220"/>
      <c r="BB870" s="220"/>
    </row>
    <row r="871">
      <c r="A871" s="240"/>
      <c r="B871" s="319"/>
      <c r="C871" s="346"/>
      <c r="D871" s="346"/>
      <c r="E871" s="346"/>
      <c r="F871" s="346"/>
      <c r="G871" s="346"/>
      <c r="H871" s="346"/>
      <c r="I871" s="346"/>
      <c r="J871" s="346"/>
      <c r="K871" s="346"/>
      <c r="L871" s="346"/>
      <c r="M871" s="346"/>
      <c r="N871" s="346"/>
      <c r="O871" s="346"/>
      <c r="P871" s="346"/>
      <c r="Q871" s="346"/>
      <c r="R871" s="346"/>
      <c r="S871" s="346"/>
      <c r="T871" s="347"/>
      <c r="U871" s="345"/>
      <c r="V871" s="317"/>
      <c r="W871" s="318"/>
      <c r="X871" s="288"/>
      <c r="Y871" s="220"/>
      <c r="Z871" s="220"/>
      <c r="AA871" s="220"/>
      <c r="AB871" s="220"/>
      <c r="AC871" s="220"/>
      <c r="AD871" s="220"/>
      <c r="AE871" s="220"/>
      <c r="AF871" s="220"/>
      <c r="AG871" s="220"/>
      <c r="AH871" s="220"/>
      <c r="AI871" s="308"/>
      <c r="AJ871" s="220"/>
      <c r="AK871" s="220"/>
      <c r="AL871" s="220"/>
      <c r="AM871" s="220"/>
      <c r="AN871" s="220"/>
      <c r="AO871" s="220"/>
      <c r="AP871" s="220"/>
      <c r="AQ871" s="220"/>
      <c r="AR871" s="220"/>
      <c r="AS871" s="220"/>
      <c r="AT871" s="220"/>
      <c r="AU871" s="220"/>
      <c r="AV871" s="220"/>
      <c r="AW871" s="220"/>
      <c r="AX871" s="220"/>
      <c r="AY871" s="220"/>
      <c r="AZ871" s="220"/>
      <c r="BA871" s="220"/>
      <c r="BB871" s="220"/>
    </row>
    <row r="872">
      <c r="A872" s="240"/>
      <c r="B872" s="319"/>
      <c r="C872" s="346"/>
      <c r="D872" s="346"/>
      <c r="E872" s="346"/>
      <c r="F872" s="346"/>
      <c r="G872" s="346"/>
      <c r="H872" s="346"/>
      <c r="I872" s="346"/>
      <c r="J872" s="346"/>
      <c r="K872" s="346"/>
      <c r="L872" s="346"/>
      <c r="M872" s="346"/>
      <c r="N872" s="346"/>
      <c r="O872" s="346"/>
      <c r="P872" s="346"/>
      <c r="Q872" s="346"/>
      <c r="R872" s="346"/>
      <c r="S872" s="346"/>
      <c r="T872" s="347"/>
      <c r="U872" s="345"/>
      <c r="V872" s="317"/>
      <c r="W872" s="318"/>
      <c r="X872" s="288"/>
      <c r="Y872" s="220"/>
      <c r="Z872" s="220"/>
      <c r="AA872" s="220"/>
      <c r="AB872" s="220"/>
      <c r="AC872" s="220"/>
      <c r="AD872" s="220"/>
      <c r="AE872" s="220"/>
      <c r="AF872" s="220"/>
      <c r="AG872" s="220"/>
      <c r="AH872" s="220"/>
      <c r="AI872" s="308"/>
      <c r="AJ872" s="220"/>
      <c r="AK872" s="220"/>
      <c r="AL872" s="220"/>
      <c r="AM872" s="220"/>
      <c r="AN872" s="220"/>
      <c r="AO872" s="220"/>
      <c r="AP872" s="220"/>
      <c r="AQ872" s="220"/>
      <c r="AR872" s="220"/>
      <c r="AS872" s="220"/>
      <c r="AT872" s="220"/>
      <c r="AU872" s="220"/>
      <c r="AV872" s="220"/>
      <c r="AW872" s="220"/>
      <c r="AX872" s="220"/>
      <c r="AY872" s="220"/>
      <c r="AZ872" s="220"/>
      <c r="BA872" s="220"/>
      <c r="BB872" s="220"/>
    </row>
    <row r="873">
      <c r="A873" s="240"/>
      <c r="B873" s="319"/>
      <c r="C873" s="346"/>
      <c r="D873" s="346"/>
      <c r="E873" s="346"/>
      <c r="F873" s="346"/>
      <c r="G873" s="346"/>
      <c r="H873" s="346"/>
      <c r="I873" s="346"/>
      <c r="J873" s="346"/>
      <c r="K873" s="346"/>
      <c r="L873" s="346"/>
      <c r="M873" s="346"/>
      <c r="N873" s="346"/>
      <c r="O873" s="346"/>
      <c r="P873" s="346"/>
      <c r="Q873" s="346"/>
      <c r="R873" s="346"/>
      <c r="S873" s="346"/>
      <c r="T873" s="347"/>
      <c r="U873" s="345"/>
      <c r="V873" s="317"/>
      <c r="W873" s="318"/>
      <c r="X873" s="288"/>
      <c r="Y873" s="220"/>
      <c r="Z873" s="220"/>
      <c r="AA873" s="220"/>
      <c r="AB873" s="220"/>
      <c r="AC873" s="220"/>
      <c r="AD873" s="220"/>
      <c r="AE873" s="220"/>
      <c r="AF873" s="220"/>
      <c r="AG873" s="220"/>
      <c r="AH873" s="220"/>
      <c r="AI873" s="308"/>
      <c r="AJ873" s="220"/>
      <c r="AK873" s="220"/>
      <c r="AL873" s="220"/>
      <c r="AM873" s="220"/>
      <c r="AN873" s="220"/>
      <c r="AO873" s="220"/>
      <c r="AP873" s="220"/>
      <c r="AQ873" s="220"/>
      <c r="AR873" s="220"/>
      <c r="AS873" s="220"/>
      <c r="AT873" s="220"/>
      <c r="AU873" s="220"/>
      <c r="AV873" s="220"/>
      <c r="AW873" s="220"/>
      <c r="AX873" s="220"/>
      <c r="AY873" s="220"/>
      <c r="AZ873" s="220"/>
      <c r="BA873" s="220"/>
      <c r="BB873" s="220"/>
    </row>
    <row r="874">
      <c r="A874" s="240"/>
      <c r="B874" s="319"/>
      <c r="C874" s="346"/>
      <c r="D874" s="346"/>
      <c r="E874" s="346"/>
      <c r="F874" s="346"/>
      <c r="G874" s="346"/>
      <c r="H874" s="346"/>
      <c r="I874" s="346"/>
      <c r="J874" s="346"/>
      <c r="K874" s="346"/>
      <c r="L874" s="346"/>
      <c r="M874" s="346"/>
      <c r="N874" s="346"/>
      <c r="O874" s="346"/>
      <c r="P874" s="346"/>
      <c r="Q874" s="346"/>
      <c r="R874" s="346"/>
      <c r="S874" s="346"/>
      <c r="T874" s="347"/>
      <c r="U874" s="345"/>
      <c r="V874" s="317"/>
      <c r="W874" s="318"/>
      <c r="X874" s="288"/>
      <c r="Y874" s="220"/>
      <c r="Z874" s="220"/>
      <c r="AA874" s="220"/>
      <c r="AB874" s="220"/>
      <c r="AC874" s="220"/>
      <c r="AD874" s="220"/>
      <c r="AE874" s="220"/>
      <c r="AF874" s="220"/>
      <c r="AG874" s="220"/>
      <c r="AH874" s="220"/>
      <c r="AI874" s="308"/>
      <c r="AJ874" s="220"/>
      <c r="AK874" s="220"/>
      <c r="AL874" s="220"/>
      <c r="AM874" s="220"/>
      <c r="AN874" s="220"/>
      <c r="AO874" s="220"/>
      <c r="AP874" s="220"/>
      <c r="AQ874" s="220"/>
      <c r="AR874" s="220"/>
      <c r="AS874" s="220"/>
      <c r="AT874" s="220"/>
      <c r="AU874" s="220"/>
      <c r="AV874" s="220"/>
      <c r="AW874" s="220"/>
      <c r="AX874" s="220"/>
      <c r="AY874" s="220"/>
      <c r="AZ874" s="220"/>
      <c r="BA874" s="220"/>
      <c r="BB874" s="220"/>
    </row>
    <row r="875">
      <c r="A875" s="240"/>
      <c r="B875" s="319"/>
      <c r="C875" s="346"/>
      <c r="D875" s="346"/>
      <c r="E875" s="346"/>
      <c r="F875" s="346"/>
      <c r="G875" s="346"/>
      <c r="H875" s="346"/>
      <c r="I875" s="346"/>
      <c r="J875" s="346"/>
      <c r="K875" s="346"/>
      <c r="L875" s="346"/>
      <c r="M875" s="346"/>
      <c r="N875" s="346"/>
      <c r="O875" s="346"/>
      <c r="P875" s="346"/>
      <c r="Q875" s="346"/>
      <c r="R875" s="346"/>
      <c r="S875" s="346"/>
      <c r="T875" s="347"/>
      <c r="U875" s="345"/>
      <c r="V875" s="317"/>
      <c r="W875" s="318"/>
      <c r="X875" s="288"/>
      <c r="Y875" s="220"/>
      <c r="Z875" s="220"/>
      <c r="AA875" s="220"/>
      <c r="AB875" s="220"/>
      <c r="AC875" s="220"/>
      <c r="AD875" s="220"/>
      <c r="AE875" s="220"/>
      <c r="AF875" s="220"/>
      <c r="AG875" s="220"/>
      <c r="AH875" s="220"/>
      <c r="AI875" s="308"/>
      <c r="AJ875" s="220"/>
      <c r="AK875" s="220"/>
      <c r="AL875" s="220"/>
      <c r="AM875" s="220"/>
      <c r="AN875" s="220"/>
      <c r="AO875" s="220"/>
      <c r="AP875" s="220"/>
      <c r="AQ875" s="220"/>
      <c r="AR875" s="220"/>
      <c r="AS875" s="220"/>
      <c r="AT875" s="220"/>
      <c r="AU875" s="220"/>
      <c r="AV875" s="220"/>
      <c r="AW875" s="220"/>
      <c r="AX875" s="220"/>
      <c r="AY875" s="220"/>
      <c r="AZ875" s="220"/>
      <c r="BA875" s="220"/>
      <c r="BB875" s="220"/>
    </row>
    <row r="876">
      <c r="A876" s="240"/>
      <c r="B876" s="319"/>
      <c r="C876" s="346"/>
      <c r="D876" s="346"/>
      <c r="E876" s="346"/>
      <c r="F876" s="346"/>
      <c r="G876" s="346"/>
      <c r="H876" s="346"/>
      <c r="I876" s="346"/>
      <c r="J876" s="346"/>
      <c r="K876" s="346"/>
      <c r="L876" s="346"/>
      <c r="M876" s="346"/>
      <c r="N876" s="346"/>
      <c r="O876" s="346"/>
      <c r="P876" s="346"/>
      <c r="Q876" s="346"/>
      <c r="R876" s="346"/>
      <c r="S876" s="346"/>
      <c r="T876" s="347"/>
      <c r="U876" s="345"/>
      <c r="V876" s="317"/>
      <c r="W876" s="318"/>
      <c r="X876" s="288"/>
      <c r="Y876" s="220"/>
      <c r="Z876" s="220"/>
      <c r="AA876" s="220"/>
      <c r="AB876" s="220"/>
      <c r="AC876" s="220"/>
      <c r="AD876" s="220"/>
      <c r="AE876" s="220"/>
      <c r="AF876" s="220"/>
      <c r="AG876" s="220"/>
      <c r="AH876" s="220"/>
      <c r="AI876" s="308"/>
      <c r="AJ876" s="220"/>
      <c r="AK876" s="220"/>
      <c r="AL876" s="220"/>
      <c r="AM876" s="220"/>
      <c r="AN876" s="220"/>
      <c r="AO876" s="220"/>
      <c r="AP876" s="220"/>
      <c r="AQ876" s="220"/>
      <c r="AR876" s="220"/>
      <c r="AS876" s="220"/>
      <c r="AT876" s="220"/>
      <c r="AU876" s="220"/>
      <c r="AV876" s="220"/>
      <c r="AW876" s="220"/>
      <c r="AX876" s="220"/>
      <c r="AY876" s="220"/>
      <c r="AZ876" s="220"/>
      <c r="BA876" s="220"/>
      <c r="BB876" s="220"/>
    </row>
    <row r="877">
      <c r="A877" s="240"/>
      <c r="B877" s="319"/>
      <c r="C877" s="346"/>
      <c r="D877" s="346"/>
      <c r="E877" s="346"/>
      <c r="F877" s="346"/>
      <c r="G877" s="346"/>
      <c r="H877" s="346"/>
      <c r="I877" s="346"/>
      <c r="J877" s="346"/>
      <c r="K877" s="346"/>
      <c r="L877" s="346"/>
      <c r="M877" s="346"/>
      <c r="N877" s="346"/>
      <c r="O877" s="346"/>
      <c r="P877" s="346"/>
      <c r="Q877" s="346"/>
      <c r="R877" s="346"/>
      <c r="S877" s="346"/>
      <c r="T877" s="347"/>
      <c r="U877" s="345"/>
      <c r="V877" s="317"/>
      <c r="W877" s="318"/>
      <c r="X877" s="288"/>
      <c r="Y877" s="220"/>
      <c r="Z877" s="220"/>
      <c r="AA877" s="220"/>
      <c r="AB877" s="220"/>
      <c r="AC877" s="220"/>
      <c r="AD877" s="220"/>
      <c r="AE877" s="220"/>
      <c r="AF877" s="220"/>
      <c r="AG877" s="220"/>
      <c r="AH877" s="220"/>
      <c r="AI877" s="308"/>
      <c r="AJ877" s="220"/>
      <c r="AK877" s="220"/>
      <c r="AL877" s="220"/>
      <c r="AM877" s="220"/>
      <c r="AN877" s="220"/>
      <c r="AO877" s="220"/>
      <c r="AP877" s="220"/>
      <c r="AQ877" s="220"/>
      <c r="AR877" s="220"/>
      <c r="AS877" s="220"/>
      <c r="AT877" s="220"/>
      <c r="AU877" s="220"/>
      <c r="AV877" s="220"/>
      <c r="AW877" s="220"/>
      <c r="AX877" s="220"/>
      <c r="AY877" s="220"/>
      <c r="AZ877" s="220"/>
      <c r="BA877" s="220"/>
      <c r="BB877" s="220"/>
    </row>
    <row r="878">
      <c r="A878" s="240"/>
      <c r="B878" s="319"/>
      <c r="C878" s="346"/>
      <c r="D878" s="346"/>
      <c r="E878" s="346"/>
      <c r="F878" s="346"/>
      <c r="G878" s="346"/>
      <c r="H878" s="346"/>
      <c r="I878" s="346"/>
      <c r="J878" s="346"/>
      <c r="K878" s="346"/>
      <c r="L878" s="346"/>
      <c r="M878" s="346"/>
      <c r="N878" s="346"/>
      <c r="O878" s="346"/>
      <c r="P878" s="346"/>
      <c r="Q878" s="346"/>
      <c r="R878" s="346"/>
      <c r="S878" s="346"/>
      <c r="T878" s="347"/>
      <c r="U878" s="345"/>
      <c r="V878" s="317"/>
      <c r="W878" s="318"/>
      <c r="X878" s="288"/>
      <c r="Y878" s="220"/>
      <c r="Z878" s="220"/>
      <c r="AA878" s="220"/>
      <c r="AB878" s="220"/>
      <c r="AC878" s="220"/>
      <c r="AD878" s="220"/>
      <c r="AE878" s="220"/>
      <c r="AF878" s="220"/>
      <c r="AG878" s="220"/>
      <c r="AH878" s="220"/>
      <c r="AI878" s="308"/>
      <c r="AJ878" s="220"/>
      <c r="AK878" s="220"/>
      <c r="AL878" s="220"/>
      <c r="AM878" s="220"/>
      <c r="AN878" s="220"/>
      <c r="AO878" s="220"/>
      <c r="AP878" s="220"/>
      <c r="AQ878" s="220"/>
      <c r="AR878" s="220"/>
      <c r="AS878" s="220"/>
      <c r="AT878" s="220"/>
      <c r="AU878" s="220"/>
      <c r="AV878" s="220"/>
      <c r="AW878" s="220"/>
      <c r="AX878" s="220"/>
      <c r="AY878" s="220"/>
      <c r="AZ878" s="220"/>
      <c r="BA878" s="220"/>
      <c r="BB878" s="220"/>
    </row>
    <row r="879">
      <c r="A879" s="240"/>
      <c r="B879" s="319"/>
      <c r="C879" s="346"/>
      <c r="D879" s="346"/>
      <c r="E879" s="346"/>
      <c r="F879" s="346"/>
      <c r="G879" s="346"/>
      <c r="H879" s="346"/>
      <c r="I879" s="346"/>
      <c r="J879" s="346"/>
      <c r="K879" s="346"/>
      <c r="L879" s="346"/>
      <c r="M879" s="346"/>
      <c r="N879" s="346"/>
      <c r="O879" s="346"/>
      <c r="P879" s="346"/>
      <c r="Q879" s="346"/>
      <c r="R879" s="346"/>
      <c r="S879" s="346"/>
      <c r="T879" s="347"/>
      <c r="U879" s="345"/>
      <c r="V879" s="317"/>
      <c r="W879" s="318"/>
      <c r="X879" s="288"/>
      <c r="Y879" s="220"/>
      <c r="Z879" s="220"/>
      <c r="AA879" s="220"/>
      <c r="AB879" s="220"/>
      <c r="AC879" s="220"/>
      <c r="AD879" s="220"/>
      <c r="AE879" s="220"/>
      <c r="AF879" s="220"/>
      <c r="AG879" s="220"/>
      <c r="AH879" s="220"/>
      <c r="AI879" s="308"/>
      <c r="AJ879" s="220"/>
      <c r="AK879" s="220"/>
      <c r="AL879" s="220"/>
      <c r="AM879" s="220"/>
      <c r="AN879" s="220"/>
      <c r="AO879" s="220"/>
      <c r="AP879" s="220"/>
      <c r="AQ879" s="220"/>
      <c r="AR879" s="220"/>
      <c r="AS879" s="220"/>
      <c r="AT879" s="220"/>
      <c r="AU879" s="220"/>
      <c r="AV879" s="220"/>
      <c r="AW879" s="220"/>
      <c r="AX879" s="220"/>
      <c r="AY879" s="220"/>
      <c r="AZ879" s="220"/>
      <c r="BA879" s="220"/>
      <c r="BB879" s="220"/>
    </row>
    <row r="880">
      <c r="A880" s="240"/>
      <c r="B880" s="319"/>
      <c r="C880" s="346"/>
      <c r="D880" s="346"/>
      <c r="E880" s="346"/>
      <c r="F880" s="346"/>
      <c r="G880" s="346"/>
      <c r="H880" s="346"/>
      <c r="I880" s="346"/>
      <c r="J880" s="346"/>
      <c r="K880" s="346"/>
      <c r="L880" s="346"/>
      <c r="M880" s="346"/>
      <c r="N880" s="346"/>
      <c r="O880" s="346"/>
      <c r="P880" s="346"/>
      <c r="Q880" s="346"/>
      <c r="R880" s="346"/>
      <c r="S880" s="346"/>
      <c r="T880" s="347"/>
      <c r="U880" s="345"/>
      <c r="V880" s="317"/>
      <c r="W880" s="318"/>
      <c r="X880" s="288"/>
      <c r="Y880" s="220"/>
      <c r="Z880" s="220"/>
      <c r="AA880" s="220"/>
      <c r="AB880" s="220"/>
      <c r="AC880" s="220"/>
      <c r="AD880" s="220"/>
      <c r="AE880" s="220"/>
      <c r="AF880" s="220"/>
      <c r="AG880" s="220"/>
      <c r="AH880" s="220"/>
      <c r="AI880" s="308"/>
      <c r="AJ880" s="220"/>
      <c r="AK880" s="220"/>
      <c r="AL880" s="220"/>
      <c r="AM880" s="220"/>
      <c r="AN880" s="220"/>
      <c r="AO880" s="220"/>
      <c r="AP880" s="220"/>
      <c r="AQ880" s="220"/>
      <c r="AR880" s="220"/>
      <c r="AS880" s="220"/>
      <c r="AT880" s="220"/>
      <c r="AU880" s="220"/>
      <c r="AV880" s="220"/>
      <c r="AW880" s="220"/>
      <c r="AX880" s="220"/>
      <c r="AY880" s="220"/>
      <c r="AZ880" s="220"/>
      <c r="BA880" s="220"/>
      <c r="BB880" s="220"/>
    </row>
    <row r="881">
      <c r="A881" s="240"/>
      <c r="B881" s="319"/>
      <c r="C881" s="346"/>
      <c r="D881" s="346"/>
      <c r="E881" s="346"/>
      <c r="F881" s="346"/>
      <c r="G881" s="346"/>
      <c r="H881" s="346"/>
      <c r="I881" s="346"/>
      <c r="J881" s="346"/>
      <c r="K881" s="346"/>
      <c r="L881" s="346"/>
      <c r="M881" s="346"/>
      <c r="N881" s="346"/>
      <c r="O881" s="346"/>
      <c r="P881" s="346"/>
      <c r="Q881" s="346"/>
      <c r="R881" s="346"/>
      <c r="S881" s="346"/>
      <c r="T881" s="347"/>
      <c r="U881" s="345"/>
      <c r="V881" s="317"/>
      <c r="W881" s="318"/>
      <c r="X881" s="288"/>
      <c r="Y881" s="220"/>
      <c r="Z881" s="220"/>
      <c r="AA881" s="220"/>
      <c r="AB881" s="220"/>
      <c r="AC881" s="220"/>
      <c r="AD881" s="220"/>
      <c r="AE881" s="220"/>
      <c r="AF881" s="220"/>
      <c r="AG881" s="220"/>
      <c r="AH881" s="220"/>
      <c r="AI881" s="308"/>
      <c r="AJ881" s="220"/>
      <c r="AK881" s="220"/>
      <c r="AL881" s="220"/>
      <c r="AM881" s="220"/>
      <c r="AN881" s="220"/>
      <c r="AO881" s="220"/>
      <c r="AP881" s="220"/>
      <c r="AQ881" s="220"/>
      <c r="AR881" s="220"/>
      <c r="AS881" s="220"/>
      <c r="AT881" s="220"/>
      <c r="AU881" s="220"/>
      <c r="AV881" s="220"/>
      <c r="AW881" s="220"/>
      <c r="AX881" s="220"/>
      <c r="AY881" s="220"/>
      <c r="AZ881" s="220"/>
      <c r="BA881" s="220"/>
      <c r="BB881" s="220"/>
    </row>
    <row r="882">
      <c r="A882" s="240"/>
      <c r="B882" s="319"/>
      <c r="C882" s="346"/>
      <c r="D882" s="346"/>
      <c r="E882" s="346"/>
      <c r="F882" s="346"/>
      <c r="G882" s="346"/>
      <c r="H882" s="346"/>
      <c r="I882" s="346"/>
      <c r="J882" s="346"/>
      <c r="K882" s="346"/>
      <c r="L882" s="346"/>
      <c r="M882" s="346"/>
      <c r="N882" s="346"/>
      <c r="O882" s="346"/>
      <c r="P882" s="346"/>
      <c r="Q882" s="346"/>
      <c r="R882" s="346"/>
      <c r="S882" s="346"/>
      <c r="T882" s="347"/>
      <c r="U882" s="345"/>
      <c r="V882" s="317"/>
      <c r="W882" s="318"/>
      <c r="X882" s="288"/>
      <c r="Y882" s="220"/>
      <c r="Z882" s="220"/>
      <c r="AA882" s="220"/>
      <c r="AB882" s="220"/>
      <c r="AC882" s="220"/>
      <c r="AD882" s="220"/>
      <c r="AE882" s="220"/>
      <c r="AF882" s="220"/>
      <c r="AG882" s="220"/>
      <c r="AH882" s="220"/>
      <c r="AI882" s="308"/>
      <c r="AJ882" s="220"/>
      <c r="AK882" s="220"/>
      <c r="AL882" s="220"/>
      <c r="AM882" s="220"/>
      <c r="AN882" s="220"/>
      <c r="AO882" s="220"/>
      <c r="AP882" s="220"/>
      <c r="AQ882" s="220"/>
      <c r="AR882" s="220"/>
      <c r="AS882" s="220"/>
      <c r="AT882" s="220"/>
      <c r="AU882" s="220"/>
      <c r="AV882" s="220"/>
      <c r="AW882" s="220"/>
      <c r="AX882" s="220"/>
      <c r="AY882" s="220"/>
      <c r="AZ882" s="220"/>
      <c r="BA882" s="220"/>
      <c r="BB882" s="220"/>
    </row>
    <row r="883">
      <c r="A883" s="240"/>
      <c r="B883" s="319"/>
      <c r="C883" s="346"/>
      <c r="D883" s="346"/>
      <c r="E883" s="346"/>
      <c r="F883" s="346"/>
      <c r="G883" s="346"/>
      <c r="H883" s="346"/>
      <c r="I883" s="346"/>
      <c r="J883" s="346"/>
      <c r="K883" s="346"/>
      <c r="L883" s="346"/>
      <c r="M883" s="346"/>
      <c r="N883" s="346"/>
      <c r="O883" s="346"/>
      <c r="P883" s="346"/>
      <c r="Q883" s="346"/>
      <c r="R883" s="346"/>
      <c r="S883" s="346"/>
      <c r="T883" s="347"/>
      <c r="U883" s="345"/>
      <c r="V883" s="317"/>
      <c r="W883" s="318"/>
      <c r="X883" s="288"/>
      <c r="Y883" s="220"/>
      <c r="Z883" s="220"/>
      <c r="AA883" s="220"/>
      <c r="AB883" s="220"/>
      <c r="AC883" s="220"/>
      <c r="AD883" s="220"/>
      <c r="AE883" s="220"/>
      <c r="AF883" s="220"/>
      <c r="AG883" s="220"/>
      <c r="AH883" s="220"/>
      <c r="AI883" s="308"/>
      <c r="AJ883" s="220"/>
      <c r="AK883" s="220"/>
      <c r="AL883" s="220"/>
      <c r="AM883" s="220"/>
      <c r="AN883" s="220"/>
      <c r="AO883" s="220"/>
      <c r="AP883" s="220"/>
      <c r="AQ883" s="220"/>
      <c r="AR883" s="220"/>
      <c r="AS883" s="220"/>
      <c r="AT883" s="220"/>
      <c r="AU883" s="220"/>
      <c r="AV883" s="220"/>
      <c r="AW883" s="220"/>
      <c r="AX883" s="220"/>
      <c r="AY883" s="220"/>
      <c r="AZ883" s="220"/>
      <c r="BA883" s="220"/>
      <c r="BB883" s="220"/>
    </row>
    <row r="884">
      <c r="A884" s="240"/>
      <c r="B884" s="319"/>
      <c r="C884" s="346"/>
      <c r="D884" s="346"/>
      <c r="E884" s="346"/>
      <c r="F884" s="346"/>
      <c r="G884" s="346"/>
      <c r="H884" s="346"/>
      <c r="I884" s="346"/>
      <c r="J884" s="346"/>
      <c r="K884" s="346"/>
      <c r="L884" s="346"/>
      <c r="M884" s="346"/>
      <c r="N884" s="346"/>
      <c r="O884" s="346"/>
      <c r="P884" s="346"/>
      <c r="Q884" s="346"/>
      <c r="R884" s="346"/>
      <c r="S884" s="346"/>
      <c r="T884" s="347"/>
      <c r="U884" s="345"/>
      <c r="V884" s="317"/>
      <c r="W884" s="318"/>
      <c r="X884" s="288"/>
      <c r="Y884" s="220"/>
      <c r="Z884" s="220"/>
      <c r="AA884" s="220"/>
      <c r="AB884" s="220"/>
      <c r="AC884" s="220"/>
      <c r="AD884" s="220"/>
      <c r="AE884" s="220"/>
      <c r="AF884" s="220"/>
      <c r="AG884" s="220"/>
      <c r="AH884" s="220"/>
      <c r="AI884" s="308"/>
      <c r="AJ884" s="220"/>
      <c r="AK884" s="220"/>
      <c r="AL884" s="220"/>
      <c r="AM884" s="220"/>
      <c r="AN884" s="220"/>
      <c r="AO884" s="220"/>
      <c r="AP884" s="220"/>
      <c r="AQ884" s="220"/>
      <c r="AR884" s="220"/>
      <c r="AS884" s="220"/>
      <c r="AT884" s="220"/>
      <c r="AU884" s="220"/>
      <c r="AV884" s="220"/>
      <c r="AW884" s="220"/>
      <c r="AX884" s="220"/>
      <c r="AY884" s="220"/>
      <c r="AZ884" s="220"/>
      <c r="BA884" s="220"/>
      <c r="BB884" s="220"/>
    </row>
    <row r="885">
      <c r="A885" s="240"/>
      <c r="B885" s="319"/>
      <c r="C885" s="346"/>
      <c r="D885" s="346"/>
      <c r="E885" s="346"/>
      <c r="F885" s="346"/>
      <c r="G885" s="346"/>
      <c r="H885" s="346"/>
      <c r="I885" s="346"/>
      <c r="J885" s="346"/>
      <c r="K885" s="346"/>
      <c r="L885" s="346"/>
      <c r="M885" s="346"/>
      <c r="N885" s="346"/>
      <c r="O885" s="346"/>
      <c r="P885" s="346"/>
      <c r="Q885" s="346"/>
      <c r="R885" s="346"/>
      <c r="S885" s="346"/>
      <c r="T885" s="347"/>
      <c r="U885" s="345"/>
      <c r="V885" s="317"/>
      <c r="W885" s="318"/>
      <c r="X885" s="288"/>
      <c r="Y885" s="220"/>
      <c r="Z885" s="220"/>
      <c r="AA885" s="220"/>
      <c r="AB885" s="220"/>
      <c r="AC885" s="220"/>
      <c r="AD885" s="220"/>
      <c r="AE885" s="220"/>
      <c r="AF885" s="220"/>
      <c r="AG885" s="220"/>
      <c r="AH885" s="220"/>
      <c r="AI885" s="308"/>
      <c r="AJ885" s="220"/>
      <c r="AK885" s="220"/>
      <c r="AL885" s="220"/>
      <c r="AM885" s="220"/>
      <c r="AN885" s="220"/>
      <c r="AO885" s="220"/>
      <c r="AP885" s="220"/>
      <c r="AQ885" s="220"/>
      <c r="AR885" s="220"/>
      <c r="AS885" s="220"/>
      <c r="AT885" s="220"/>
      <c r="AU885" s="220"/>
      <c r="AV885" s="220"/>
      <c r="AW885" s="220"/>
      <c r="AX885" s="220"/>
      <c r="AY885" s="220"/>
      <c r="AZ885" s="220"/>
      <c r="BA885" s="220"/>
      <c r="BB885" s="220"/>
    </row>
    <row r="886">
      <c r="A886" s="240"/>
      <c r="B886" s="319"/>
      <c r="C886" s="346"/>
      <c r="D886" s="346"/>
      <c r="E886" s="346"/>
      <c r="F886" s="346"/>
      <c r="G886" s="346"/>
      <c r="H886" s="346"/>
      <c r="I886" s="346"/>
      <c r="J886" s="346"/>
      <c r="K886" s="346"/>
      <c r="L886" s="346"/>
      <c r="M886" s="346"/>
      <c r="N886" s="346"/>
      <c r="O886" s="346"/>
      <c r="P886" s="346"/>
      <c r="Q886" s="346"/>
      <c r="R886" s="346"/>
      <c r="S886" s="346"/>
      <c r="T886" s="347"/>
      <c r="U886" s="345"/>
      <c r="V886" s="317"/>
      <c r="W886" s="318"/>
      <c r="X886" s="288"/>
      <c r="Y886" s="220"/>
      <c r="Z886" s="220"/>
      <c r="AA886" s="220"/>
      <c r="AB886" s="220"/>
      <c r="AC886" s="220"/>
      <c r="AD886" s="220"/>
      <c r="AE886" s="220"/>
      <c r="AF886" s="220"/>
      <c r="AG886" s="220"/>
      <c r="AH886" s="220"/>
      <c r="AI886" s="308"/>
      <c r="AJ886" s="220"/>
      <c r="AK886" s="220"/>
      <c r="AL886" s="220"/>
      <c r="AM886" s="220"/>
      <c r="AN886" s="220"/>
      <c r="AO886" s="220"/>
      <c r="AP886" s="220"/>
      <c r="AQ886" s="220"/>
      <c r="AR886" s="220"/>
      <c r="AS886" s="220"/>
      <c r="AT886" s="220"/>
      <c r="AU886" s="220"/>
      <c r="AV886" s="220"/>
      <c r="AW886" s="220"/>
      <c r="AX886" s="220"/>
      <c r="AY886" s="220"/>
      <c r="AZ886" s="220"/>
      <c r="BA886" s="220"/>
      <c r="BB886" s="220"/>
    </row>
    <row r="887">
      <c r="A887" s="240"/>
      <c r="B887" s="319"/>
      <c r="C887" s="346"/>
      <c r="D887" s="346"/>
      <c r="E887" s="346"/>
      <c r="F887" s="346"/>
      <c r="G887" s="346"/>
      <c r="H887" s="346"/>
      <c r="I887" s="346"/>
      <c r="J887" s="346"/>
      <c r="K887" s="346"/>
      <c r="L887" s="346"/>
      <c r="M887" s="346"/>
      <c r="N887" s="346"/>
      <c r="O887" s="346"/>
      <c r="P887" s="346"/>
      <c r="Q887" s="346"/>
      <c r="R887" s="346"/>
      <c r="S887" s="346"/>
      <c r="T887" s="347"/>
      <c r="U887" s="345"/>
      <c r="V887" s="317"/>
      <c r="W887" s="318"/>
      <c r="X887" s="288"/>
      <c r="Y887" s="220"/>
      <c r="Z887" s="220"/>
      <c r="AA887" s="220"/>
      <c r="AB887" s="220"/>
      <c r="AC887" s="220"/>
      <c r="AD887" s="220"/>
      <c r="AE887" s="220"/>
      <c r="AF887" s="220"/>
      <c r="AG887" s="220"/>
      <c r="AH887" s="220"/>
      <c r="AI887" s="308"/>
      <c r="AJ887" s="220"/>
      <c r="AK887" s="220"/>
      <c r="AL887" s="220"/>
      <c r="AM887" s="220"/>
      <c r="AN887" s="220"/>
      <c r="AO887" s="220"/>
      <c r="AP887" s="220"/>
      <c r="AQ887" s="220"/>
      <c r="AR887" s="220"/>
      <c r="AS887" s="220"/>
      <c r="AT887" s="220"/>
      <c r="AU887" s="220"/>
      <c r="AV887" s="220"/>
      <c r="AW887" s="220"/>
      <c r="AX887" s="220"/>
      <c r="AY887" s="220"/>
      <c r="AZ887" s="220"/>
      <c r="BA887" s="220"/>
      <c r="BB887" s="220"/>
    </row>
    <row r="888">
      <c r="A888" s="240"/>
      <c r="B888" s="319"/>
      <c r="C888" s="346"/>
      <c r="D888" s="346"/>
      <c r="E888" s="346"/>
      <c r="F888" s="346"/>
      <c r="G888" s="346"/>
      <c r="H888" s="346"/>
      <c r="I888" s="346"/>
      <c r="J888" s="346"/>
      <c r="K888" s="346"/>
      <c r="L888" s="346"/>
      <c r="M888" s="346"/>
      <c r="N888" s="346"/>
      <c r="O888" s="346"/>
      <c r="P888" s="346"/>
      <c r="Q888" s="346"/>
      <c r="R888" s="346"/>
      <c r="S888" s="346"/>
      <c r="T888" s="347"/>
      <c r="U888" s="345"/>
      <c r="V888" s="317"/>
      <c r="W888" s="318"/>
      <c r="X888" s="288"/>
      <c r="Y888" s="220"/>
      <c r="Z888" s="220"/>
      <c r="AA888" s="220"/>
      <c r="AB888" s="220"/>
      <c r="AC888" s="220"/>
      <c r="AD888" s="220"/>
      <c r="AE888" s="220"/>
      <c r="AF888" s="220"/>
      <c r="AG888" s="220"/>
      <c r="AH888" s="220"/>
      <c r="AI888" s="308"/>
      <c r="AJ888" s="220"/>
      <c r="AK888" s="220"/>
      <c r="AL888" s="220"/>
      <c r="AM888" s="220"/>
      <c r="AN888" s="220"/>
      <c r="AO888" s="220"/>
      <c r="AP888" s="220"/>
      <c r="AQ888" s="220"/>
      <c r="AR888" s="220"/>
      <c r="AS888" s="220"/>
      <c r="AT888" s="220"/>
      <c r="AU888" s="220"/>
      <c r="AV888" s="220"/>
      <c r="AW888" s="220"/>
      <c r="AX888" s="220"/>
      <c r="AY888" s="220"/>
      <c r="AZ888" s="220"/>
      <c r="BA888" s="220"/>
      <c r="BB888" s="220"/>
    </row>
    <row r="889">
      <c r="A889" s="240"/>
      <c r="B889" s="319"/>
      <c r="C889" s="346"/>
      <c r="D889" s="346"/>
      <c r="E889" s="346"/>
      <c r="F889" s="346"/>
      <c r="G889" s="346"/>
      <c r="H889" s="346"/>
      <c r="I889" s="346"/>
      <c r="J889" s="346"/>
      <c r="K889" s="346"/>
      <c r="L889" s="346"/>
      <c r="M889" s="346"/>
      <c r="N889" s="346"/>
      <c r="O889" s="346"/>
      <c r="P889" s="346"/>
      <c r="Q889" s="346"/>
      <c r="R889" s="346"/>
      <c r="S889" s="346"/>
      <c r="T889" s="347"/>
      <c r="U889" s="345"/>
      <c r="V889" s="317"/>
      <c r="W889" s="318"/>
      <c r="X889" s="288"/>
      <c r="Y889" s="220"/>
      <c r="Z889" s="220"/>
      <c r="AA889" s="220"/>
      <c r="AB889" s="220"/>
      <c r="AC889" s="220"/>
      <c r="AD889" s="220"/>
      <c r="AE889" s="220"/>
      <c r="AF889" s="220"/>
      <c r="AG889" s="220"/>
      <c r="AH889" s="220"/>
      <c r="AI889" s="308"/>
      <c r="AJ889" s="220"/>
      <c r="AK889" s="220"/>
      <c r="AL889" s="220"/>
      <c r="AM889" s="220"/>
      <c r="AN889" s="220"/>
      <c r="AO889" s="220"/>
      <c r="AP889" s="220"/>
      <c r="AQ889" s="220"/>
      <c r="AR889" s="220"/>
      <c r="AS889" s="220"/>
      <c r="AT889" s="220"/>
      <c r="AU889" s="220"/>
      <c r="AV889" s="220"/>
      <c r="AW889" s="220"/>
      <c r="AX889" s="220"/>
      <c r="AY889" s="220"/>
      <c r="AZ889" s="220"/>
      <c r="BA889" s="220"/>
      <c r="BB889" s="220"/>
    </row>
    <row r="890">
      <c r="A890" s="240"/>
      <c r="B890" s="319"/>
      <c r="C890" s="346"/>
      <c r="D890" s="346"/>
      <c r="E890" s="346"/>
      <c r="F890" s="346"/>
      <c r="G890" s="346"/>
      <c r="H890" s="346"/>
      <c r="I890" s="346"/>
      <c r="J890" s="346"/>
      <c r="K890" s="346"/>
      <c r="L890" s="346"/>
      <c r="M890" s="346"/>
      <c r="N890" s="346"/>
      <c r="O890" s="346"/>
      <c r="P890" s="346"/>
      <c r="Q890" s="346"/>
      <c r="R890" s="346"/>
      <c r="S890" s="346"/>
      <c r="T890" s="347"/>
      <c r="U890" s="345"/>
      <c r="V890" s="317"/>
      <c r="W890" s="318"/>
      <c r="X890" s="288"/>
      <c r="Y890" s="220"/>
      <c r="Z890" s="220"/>
      <c r="AA890" s="220"/>
      <c r="AB890" s="220"/>
      <c r="AC890" s="220"/>
      <c r="AD890" s="220"/>
      <c r="AE890" s="220"/>
      <c r="AF890" s="220"/>
      <c r="AG890" s="220"/>
      <c r="AH890" s="220"/>
      <c r="AI890" s="308"/>
      <c r="AJ890" s="220"/>
      <c r="AK890" s="220"/>
      <c r="AL890" s="220"/>
      <c r="AM890" s="220"/>
      <c r="AN890" s="220"/>
      <c r="AO890" s="220"/>
      <c r="AP890" s="220"/>
      <c r="AQ890" s="220"/>
      <c r="AR890" s="220"/>
      <c r="AS890" s="220"/>
      <c r="AT890" s="220"/>
      <c r="AU890" s="220"/>
      <c r="AV890" s="220"/>
      <c r="AW890" s="220"/>
      <c r="AX890" s="220"/>
      <c r="AY890" s="220"/>
      <c r="AZ890" s="220"/>
      <c r="BA890" s="220"/>
      <c r="BB890" s="220"/>
    </row>
    <row r="891">
      <c r="A891" s="240"/>
      <c r="B891" s="319"/>
      <c r="C891" s="346"/>
      <c r="D891" s="346"/>
      <c r="E891" s="346"/>
      <c r="F891" s="346"/>
      <c r="G891" s="346"/>
      <c r="H891" s="346"/>
      <c r="I891" s="346"/>
      <c r="J891" s="346"/>
      <c r="K891" s="346"/>
      <c r="L891" s="346"/>
      <c r="M891" s="346"/>
      <c r="N891" s="346"/>
      <c r="O891" s="346"/>
      <c r="P891" s="346"/>
      <c r="Q891" s="346"/>
      <c r="R891" s="346"/>
      <c r="S891" s="346"/>
      <c r="T891" s="347"/>
      <c r="U891" s="345"/>
      <c r="V891" s="317"/>
      <c r="W891" s="318"/>
      <c r="X891" s="288"/>
      <c r="Y891" s="220"/>
      <c r="Z891" s="220"/>
      <c r="AA891" s="220"/>
      <c r="AB891" s="220"/>
      <c r="AC891" s="220"/>
      <c r="AD891" s="220"/>
      <c r="AE891" s="220"/>
      <c r="AF891" s="220"/>
      <c r="AG891" s="220"/>
      <c r="AH891" s="220"/>
      <c r="AI891" s="308"/>
      <c r="AJ891" s="220"/>
      <c r="AK891" s="220"/>
      <c r="AL891" s="220"/>
      <c r="AM891" s="220"/>
      <c r="AN891" s="220"/>
      <c r="AO891" s="220"/>
      <c r="AP891" s="220"/>
      <c r="AQ891" s="220"/>
      <c r="AR891" s="220"/>
      <c r="AS891" s="220"/>
      <c r="AT891" s="220"/>
      <c r="AU891" s="220"/>
      <c r="AV891" s="220"/>
      <c r="AW891" s="220"/>
      <c r="AX891" s="220"/>
      <c r="AY891" s="220"/>
      <c r="AZ891" s="220"/>
      <c r="BA891" s="220"/>
      <c r="BB891" s="220"/>
    </row>
    <row r="892">
      <c r="A892" s="240"/>
      <c r="B892" s="319"/>
      <c r="C892" s="346"/>
      <c r="D892" s="346"/>
      <c r="E892" s="346"/>
      <c r="F892" s="346"/>
      <c r="G892" s="346"/>
      <c r="H892" s="346"/>
      <c r="I892" s="346"/>
      <c r="J892" s="346"/>
      <c r="K892" s="346"/>
      <c r="L892" s="346"/>
      <c r="M892" s="346"/>
      <c r="N892" s="346"/>
      <c r="O892" s="346"/>
      <c r="P892" s="346"/>
      <c r="Q892" s="346"/>
      <c r="R892" s="346"/>
      <c r="S892" s="346"/>
      <c r="T892" s="347"/>
      <c r="U892" s="345"/>
      <c r="V892" s="317"/>
      <c r="W892" s="318"/>
      <c r="X892" s="288"/>
      <c r="Y892" s="220"/>
      <c r="Z892" s="220"/>
      <c r="AA892" s="220"/>
      <c r="AB892" s="220"/>
      <c r="AC892" s="220"/>
      <c r="AD892" s="220"/>
      <c r="AE892" s="220"/>
      <c r="AF892" s="220"/>
      <c r="AG892" s="220"/>
      <c r="AH892" s="220"/>
      <c r="AI892" s="308"/>
      <c r="AJ892" s="220"/>
      <c r="AK892" s="220"/>
      <c r="AL892" s="220"/>
      <c r="AM892" s="220"/>
      <c r="AN892" s="220"/>
      <c r="AO892" s="220"/>
      <c r="AP892" s="220"/>
      <c r="AQ892" s="220"/>
      <c r="AR892" s="220"/>
      <c r="AS892" s="220"/>
      <c r="AT892" s="220"/>
      <c r="AU892" s="220"/>
      <c r="AV892" s="220"/>
      <c r="AW892" s="220"/>
      <c r="AX892" s="220"/>
      <c r="AY892" s="220"/>
      <c r="AZ892" s="220"/>
      <c r="BA892" s="220"/>
      <c r="BB892" s="220"/>
    </row>
    <row r="893">
      <c r="A893" s="240"/>
      <c r="B893" s="319"/>
      <c r="C893" s="346"/>
      <c r="D893" s="346"/>
      <c r="E893" s="346"/>
      <c r="F893" s="346"/>
      <c r="G893" s="346"/>
      <c r="H893" s="346"/>
      <c r="I893" s="346"/>
      <c r="J893" s="346"/>
      <c r="K893" s="346"/>
      <c r="L893" s="346"/>
      <c r="M893" s="346"/>
      <c r="N893" s="346"/>
      <c r="O893" s="346"/>
      <c r="P893" s="346"/>
      <c r="Q893" s="346"/>
      <c r="R893" s="346"/>
      <c r="S893" s="346"/>
      <c r="T893" s="347"/>
      <c r="U893" s="345"/>
      <c r="V893" s="317"/>
      <c r="W893" s="318"/>
      <c r="X893" s="288"/>
      <c r="Y893" s="220"/>
      <c r="Z893" s="220"/>
      <c r="AA893" s="220"/>
      <c r="AB893" s="220"/>
      <c r="AC893" s="220"/>
      <c r="AD893" s="220"/>
      <c r="AE893" s="220"/>
      <c r="AF893" s="220"/>
      <c r="AG893" s="220"/>
      <c r="AH893" s="220"/>
      <c r="AI893" s="308"/>
      <c r="AJ893" s="220"/>
      <c r="AK893" s="220"/>
      <c r="AL893" s="220"/>
      <c r="AM893" s="220"/>
      <c r="AN893" s="220"/>
      <c r="AO893" s="220"/>
      <c r="AP893" s="220"/>
      <c r="AQ893" s="220"/>
      <c r="AR893" s="220"/>
      <c r="AS893" s="220"/>
      <c r="AT893" s="220"/>
      <c r="AU893" s="220"/>
      <c r="AV893" s="220"/>
      <c r="AW893" s="220"/>
      <c r="AX893" s="220"/>
      <c r="AY893" s="220"/>
      <c r="AZ893" s="220"/>
      <c r="BA893" s="220"/>
      <c r="BB893" s="220"/>
    </row>
    <row r="894">
      <c r="A894" s="240"/>
      <c r="B894" s="319"/>
      <c r="C894" s="346"/>
      <c r="D894" s="346"/>
      <c r="E894" s="346"/>
      <c r="F894" s="346"/>
      <c r="G894" s="346"/>
      <c r="H894" s="346"/>
      <c r="I894" s="346"/>
      <c r="J894" s="346"/>
      <c r="K894" s="346"/>
      <c r="L894" s="346"/>
      <c r="M894" s="346"/>
      <c r="N894" s="346"/>
      <c r="O894" s="346"/>
      <c r="P894" s="346"/>
      <c r="Q894" s="346"/>
      <c r="R894" s="346"/>
      <c r="S894" s="346"/>
      <c r="T894" s="347"/>
      <c r="U894" s="345"/>
      <c r="V894" s="317"/>
      <c r="W894" s="318"/>
      <c r="X894" s="288"/>
      <c r="Y894" s="220"/>
      <c r="Z894" s="220"/>
      <c r="AA894" s="220"/>
      <c r="AB894" s="220"/>
      <c r="AC894" s="220"/>
      <c r="AD894" s="220"/>
      <c r="AE894" s="220"/>
      <c r="AF894" s="220"/>
      <c r="AG894" s="220"/>
      <c r="AH894" s="220"/>
      <c r="AI894" s="308"/>
      <c r="AJ894" s="220"/>
      <c r="AK894" s="220"/>
      <c r="AL894" s="220"/>
      <c r="AM894" s="220"/>
      <c r="AN894" s="220"/>
      <c r="AO894" s="220"/>
      <c r="AP894" s="220"/>
      <c r="AQ894" s="220"/>
      <c r="AR894" s="220"/>
      <c r="AS894" s="220"/>
      <c r="AT894" s="220"/>
      <c r="AU894" s="220"/>
      <c r="AV894" s="220"/>
      <c r="AW894" s="220"/>
      <c r="AX894" s="220"/>
      <c r="AY894" s="220"/>
      <c r="AZ894" s="220"/>
      <c r="BA894" s="220"/>
      <c r="BB894" s="220"/>
    </row>
    <row r="895">
      <c r="A895" s="240"/>
      <c r="B895" s="319"/>
      <c r="C895" s="346"/>
      <c r="D895" s="346"/>
      <c r="E895" s="346"/>
      <c r="F895" s="346"/>
      <c r="G895" s="346"/>
      <c r="H895" s="346"/>
      <c r="I895" s="346"/>
      <c r="J895" s="346"/>
      <c r="K895" s="346"/>
      <c r="L895" s="346"/>
      <c r="M895" s="346"/>
      <c r="N895" s="346"/>
      <c r="O895" s="346"/>
      <c r="P895" s="346"/>
      <c r="Q895" s="346"/>
      <c r="R895" s="346"/>
      <c r="S895" s="346"/>
      <c r="T895" s="347"/>
      <c r="U895" s="345"/>
      <c r="V895" s="317"/>
      <c r="W895" s="318"/>
      <c r="X895" s="288"/>
      <c r="Y895" s="220"/>
      <c r="Z895" s="220"/>
      <c r="AA895" s="220"/>
      <c r="AB895" s="220"/>
      <c r="AC895" s="220"/>
      <c r="AD895" s="220"/>
      <c r="AE895" s="220"/>
      <c r="AF895" s="220"/>
      <c r="AG895" s="220"/>
      <c r="AH895" s="220"/>
      <c r="AI895" s="308"/>
      <c r="AJ895" s="220"/>
      <c r="AK895" s="220"/>
      <c r="AL895" s="220"/>
      <c r="AM895" s="220"/>
      <c r="AN895" s="220"/>
      <c r="AO895" s="220"/>
      <c r="AP895" s="220"/>
      <c r="AQ895" s="220"/>
      <c r="AR895" s="220"/>
      <c r="AS895" s="220"/>
      <c r="AT895" s="220"/>
      <c r="AU895" s="220"/>
      <c r="AV895" s="220"/>
      <c r="AW895" s="220"/>
      <c r="AX895" s="220"/>
      <c r="AY895" s="220"/>
      <c r="AZ895" s="220"/>
      <c r="BA895" s="220"/>
      <c r="BB895" s="220"/>
    </row>
    <row r="896">
      <c r="A896" s="240"/>
      <c r="B896" s="319"/>
      <c r="C896" s="346"/>
      <c r="D896" s="346"/>
      <c r="E896" s="346"/>
      <c r="F896" s="346"/>
      <c r="G896" s="346"/>
      <c r="H896" s="346"/>
      <c r="I896" s="346"/>
      <c r="J896" s="346"/>
      <c r="K896" s="346"/>
      <c r="L896" s="346"/>
      <c r="M896" s="346"/>
      <c r="N896" s="346"/>
      <c r="O896" s="346"/>
      <c r="P896" s="346"/>
      <c r="Q896" s="346"/>
      <c r="R896" s="346"/>
      <c r="S896" s="346"/>
      <c r="T896" s="347"/>
      <c r="U896" s="345"/>
      <c r="V896" s="317"/>
      <c r="W896" s="318"/>
      <c r="X896" s="288"/>
      <c r="Y896" s="220"/>
      <c r="Z896" s="220"/>
      <c r="AA896" s="220"/>
      <c r="AB896" s="220"/>
      <c r="AC896" s="220"/>
      <c r="AD896" s="220"/>
      <c r="AE896" s="220"/>
      <c r="AF896" s="220"/>
      <c r="AG896" s="220"/>
      <c r="AH896" s="220"/>
      <c r="AI896" s="308"/>
      <c r="AJ896" s="220"/>
      <c r="AK896" s="220"/>
      <c r="AL896" s="220"/>
      <c r="AM896" s="220"/>
      <c r="AN896" s="220"/>
      <c r="AO896" s="220"/>
      <c r="AP896" s="220"/>
      <c r="AQ896" s="220"/>
      <c r="AR896" s="220"/>
      <c r="AS896" s="220"/>
      <c r="AT896" s="220"/>
      <c r="AU896" s="220"/>
      <c r="AV896" s="220"/>
      <c r="AW896" s="220"/>
      <c r="AX896" s="220"/>
      <c r="AY896" s="220"/>
      <c r="AZ896" s="220"/>
      <c r="BA896" s="220"/>
      <c r="BB896" s="220"/>
    </row>
    <row r="897">
      <c r="A897" s="240"/>
      <c r="B897" s="319"/>
      <c r="C897" s="346"/>
      <c r="D897" s="346"/>
      <c r="E897" s="346"/>
      <c r="F897" s="346"/>
      <c r="G897" s="346"/>
      <c r="H897" s="346"/>
      <c r="I897" s="346"/>
      <c r="J897" s="346"/>
      <c r="K897" s="346"/>
      <c r="L897" s="346"/>
      <c r="M897" s="346"/>
      <c r="N897" s="346"/>
      <c r="O897" s="346"/>
      <c r="P897" s="346"/>
      <c r="Q897" s="346"/>
      <c r="R897" s="346"/>
      <c r="S897" s="346"/>
      <c r="T897" s="347"/>
      <c r="U897" s="345"/>
      <c r="V897" s="317"/>
      <c r="W897" s="318"/>
      <c r="X897" s="288"/>
      <c r="Y897" s="220"/>
      <c r="Z897" s="220"/>
      <c r="AA897" s="220"/>
      <c r="AB897" s="220"/>
      <c r="AC897" s="220"/>
      <c r="AD897" s="220"/>
      <c r="AE897" s="220"/>
      <c r="AF897" s="220"/>
      <c r="AG897" s="220"/>
      <c r="AH897" s="220"/>
      <c r="AI897" s="308"/>
      <c r="AJ897" s="220"/>
      <c r="AK897" s="220"/>
      <c r="AL897" s="220"/>
      <c r="AM897" s="220"/>
      <c r="AN897" s="220"/>
      <c r="AO897" s="220"/>
      <c r="AP897" s="220"/>
      <c r="AQ897" s="220"/>
      <c r="AR897" s="220"/>
      <c r="AS897" s="220"/>
      <c r="AT897" s="220"/>
      <c r="AU897" s="220"/>
      <c r="AV897" s="220"/>
      <c r="AW897" s="220"/>
      <c r="AX897" s="220"/>
      <c r="AY897" s="220"/>
      <c r="AZ897" s="220"/>
      <c r="BA897" s="220"/>
      <c r="BB897" s="220"/>
    </row>
    <row r="898">
      <c r="A898" s="240"/>
      <c r="B898" s="319"/>
      <c r="C898" s="346"/>
      <c r="D898" s="346"/>
      <c r="E898" s="346"/>
      <c r="F898" s="346"/>
      <c r="G898" s="346"/>
      <c r="H898" s="346"/>
      <c r="I898" s="346"/>
      <c r="J898" s="346"/>
      <c r="K898" s="346"/>
      <c r="L898" s="346"/>
      <c r="M898" s="346"/>
      <c r="N898" s="346"/>
      <c r="O898" s="346"/>
      <c r="P898" s="346"/>
      <c r="Q898" s="346"/>
      <c r="R898" s="346"/>
      <c r="S898" s="346"/>
      <c r="T898" s="347"/>
      <c r="U898" s="345"/>
      <c r="V898" s="317"/>
      <c r="W898" s="318"/>
      <c r="X898" s="288"/>
      <c r="Y898" s="220"/>
      <c r="Z898" s="220"/>
      <c r="AA898" s="220"/>
      <c r="AB898" s="220"/>
      <c r="AC898" s="220"/>
      <c r="AD898" s="220"/>
      <c r="AE898" s="220"/>
      <c r="AF898" s="220"/>
      <c r="AG898" s="220"/>
      <c r="AH898" s="220"/>
      <c r="AI898" s="308"/>
      <c r="AJ898" s="220"/>
      <c r="AK898" s="220"/>
      <c r="AL898" s="220"/>
      <c r="AM898" s="220"/>
      <c r="AN898" s="220"/>
      <c r="AO898" s="220"/>
      <c r="AP898" s="220"/>
      <c r="AQ898" s="220"/>
      <c r="AR898" s="220"/>
      <c r="AS898" s="220"/>
      <c r="AT898" s="220"/>
      <c r="AU898" s="220"/>
      <c r="AV898" s="220"/>
      <c r="AW898" s="220"/>
      <c r="AX898" s="220"/>
      <c r="AY898" s="220"/>
      <c r="AZ898" s="220"/>
      <c r="BA898" s="220"/>
      <c r="BB898" s="220"/>
    </row>
    <row r="899">
      <c r="A899" s="240"/>
      <c r="B899" s="319"/>
      <c r="C899" s="346"/>
      <c r="D899" s="346"/>
      <c r="E899" s="346"/>
      <c r="F899" s="346"/>
      <c r="G899" s="346"/>
      <c r="H899" s="346"/>
      <c r="I899" s="346"/>
      <c r="J899" s="346"/>
      <c r="K899" s="346"/>
      <c r="L899" s="346"/>
      <c r="M899" s="346"/>
      <c r="N899" s="346"/>
      <c r="O899" s="346"/>
      <c r="P899" s="346"/>
      <c r="Q899" s="346"/>
      <c r="R899" s="346"/>
      <c r="S899" s="346"/>
      <c r="T899" s="347"/>
      <c r="U899" s="345"/>
      <c r="V899" s="317"/>
      <c r="W899" s="318"/>
      <c r="X899" s="288"/>
      <c r="Y899" s="220"/>
      <c r="Z899" s="220"/>
      <c r="AA899" s="220"/>
      <c r="AB899" s="220"/>
      <c r="AC899" s="220"/>
      <c r="AD899" s="220"/>
      <c r="AE899" s="220"/>
      <c r="AF899" s="220"/>
      <c r="AG899" s="220"/>
      <c r="AH899" s="220"/>
      <c r="AI899" s="308"/>
      <c r="AJ899" s="220"/>
      <c r="AK899" s="220"/>
      <c r="AL899" s="220"/>
      <c r="AM899" s="220"/>
      <c r="AN899" s="220"/>
      <c r="AO899" s="220"/>
      <c r="AP899" s="220"/>
      <c r="AQ899" s="220"/>
      <c r="AR899" s="220"/>
      <c r="AS899" s="220"/>
      <c r="AT899" s="220"/>
      <c r="AU899" s="220"/>
      <c r="AV899" s="220"/>
      <c r="AW899" s="220"/>
      <c r="AX899" s="220"/>
      <c r="AY899" s="220"/>
      <c r="AZ899" s="220"/>
      <c r="BA899" s="220"/>
      <c r="BB899" s="220"/>
    </row>
    <row r="900">
      <c r="A900" s="240"/>
      <c r="B900" s="319"/>
      <c r="C900" s="346"/>
      <c r="D900" s="346"/>
      <c r="E900" s="346"/>
      <c r="F900" s="346"/>
      <c r="G900" s="346"/>
      <c r="H900" s="346"/>
      <c r="I900" s="346"/>
      <c r="J900" s="346"/>
      <c r="K900" s="346"/>
      <c r="L900" s="346"/>
      <c r="M900" s="346"/>
      <c r="N900" s="346"/>
      <c r="O900" s="346"/>
      <c r="P900" s="346"/>
      <c r="Q900" s="346"/>
      <c r="R900" s="346"/>
      <c r="S900" s="346"/>
      <c r="T900" s="347"/>
      <c r="U900" s="345"/>
      <c r="V900" s="317"/>
      <c r="W900" s="318"/>
      <c r="X900" s="288"/>
      <c r="Y900" s="220"/>
      <c r="Z900" s="220"/>
      <c r="AA900" s="220"/>
      <c r="AB900" s="220"/>
      <c r="AC900" s="220"/>
      <c r="AD900" s="220"/>
      <c r="AE900" s="220"/>
      <c r="AF900" s="220"/>
      <c r="AG900" s="220"/>
      <c r="AH900" s="220"/>
      <c r="AI900" s="308"/>
      <c r="AJ900" s="220"/>
      <c r="AK900" s="220"/>
      <c r="AL900" s="220"/>
      <c r="AM900" s="220"/>
      <c r="AN900" s="220"/>
      <c r="AO900" s="220"/>
      <c r="AP900" s="220"/>
      <c r="AQ900" s="220"/>
      <c r="AR900" s="220"/>
      <c r="AS900" s="220"/>
      <c r="AT900" s="220"/>
      <c r="AU900" s="220"/>
      <c r="AV900" s="220"/>
      <c r="AW900" s="220"/>
      <c r="AX900" s="220"/>
      <c r="AY900" s="220"/>
      <c r="AZ900" s="220"/>
      <c r="BA900" s="220"/>
      <c r="BB900" s="220"/>
    </row>
    <row r="901">
      <c r="A901" s="240"/>
      <c r="B901" s="319"/>
      <c r="C901" s="346"/>
      <c r="D901" s="346"/>
      <c r="E901" s="346"/>
      <c r="F901" s="346"/>
      <c r="G901" s="346"/>
      <c r="H901" s="346"/>
      <c r="I901" s="346"/>
      <c r="J901" s="346"/>
      <c r="K901" s="346"/>
      <c r="L901" s="346"/>
      <c r="M901" s="346"/>
      <c r="N901" s="346"/>
      <c r="O901" s="346"/>
      <c r="P901" s="346"/>
      <c r="Q901" s="346"/>
      <c r="R901" s="346"/>
      <c r="S901" s="346"/>
      <c r="T901" s="347"/>
      <c r="U901" s="345"/>
      <c r="V901" s="317"/>
      <c r="W901" s="318"/>
      <c r="X901" s="288"/>
      <c r="Y901" s="220"/>
      <c r="Z901" s="220"/>
      <c r="AA901" s="220"/>
      <c r="AB901" s="220"/>
      <c r="AC901" s="220"/>
      <c r="AD901" s="220"/>
      <c r="AE901" s="220"/>
      <c r="AF901" s="220"/>
      <c r="AG901" s="220"/>
      <c r="AH901" s="220"/>
      <c r="AI901" s="308"/>
      <c r="AJ901" s="220"/>
      <c r="AK901" s="220"/>
      <c r="AL901" s="220"/>
      <c r="AM901" s="220"/>
      <c r="AN901" s="220"/>
      <c r="AO901" s="220"/>
      <c r="AP901" s="220"/>
      <c r="AQ901" s="220"/>
      <c r="AR901" s="220"/>
      <c r="AS901" s="220"/>
      <c r="AT901" s="220"/>
      <c r="AU901" s="220"/>
      <c r="AV901" s="220"/>
      <c r="AW901" s="220"/>
      <c r="AX901" s="220"/>
      <c r="AY901" s="220"/>
      <c r="AZ901" s="220"/>
      <c r="BA901" s="220"/>
      <c r="BB901" s="220"/>
    </row>
    <row r="902">
      <c r="A902" s="240"/>
      <c r="B902" s="319"/>
      <c r="C902" s="346"/>
      <c r="D902" s="346"/>
      <c r="E902" s="346"/>
      <c r="F902" s="346"/>
      <c r="G902" s="346"/>
      <c r="H902" s="346"/>
      <c r="I902" s="346"/>
      <c r="J902" s="346"/>
      <c r="K902" s="346"/>
      <c r="L902" s="346"/>
      <c r="M902" s="346"/>
      <c r="N902" s="346"/>
      <c r="O902" s="346"/>
      <c r="P902" s="346"/>
      <c r="Q902" s="346"/>
      <c r="R902" s="346"/>
      <c r="S902" s="346"/>
      <c r="T902" s="347"/>
      <c r="U902" s="345"/>
      <c r="V902" s="317"/>
      <c r="W902" s="318"/>
      <c r="X902" s="288"/>
      <c r="Y902" s="220"/>
      <c r="Z902" s="220"/>
      <c r="AA902" s="220"/>
      <c r="AB902" s="220"/>
      <c r="AC902" s="220"/>
      <c r="AD902" s="220"/>
      <c r="AE902" s="220"/>
      <c r="AF902" s="220"/>
      <c r="AG902" s="220"/>
      <c r="AH902" s="220"/>
      <c r="AI902" s="308"/>
      <c r="AJ902" s="220"/>
      <c r="AK902" s="220"/>
      <c r="AL902" s="220"/>
      <c r="AM902" s="220"/>
      <c r="AN902" s="220"/>
      <c r="AO902" s="220"/>
      <c r="AP902" s="220"/>
      <c r="AQ902" s="220"/>
      <c r="AR902" s="220"/>
      <c r="AS902" s="220"/>
      <c r="AT902" s="220"/>
      <c r="AU902" s="220"/>
      <c r="AV902" s="220"/>
      <c r="AW902" s="220"/>
      <c r="AX902" s="220"/>
      <c r="AY902" s="220"/>
      <c r="AZ902" s="220"/>
      <c r="BA902" s="220"/>
      <c r="BB902" s="220"/>
    </row>
    <row r="903">
      <c r="A903" s="240"/>
      <c r="B903" s="319"/>
      <c r="C903" s="346"/>
      <c r="D903" s="346"/>
      <c r="E903" s="346"/>
      <c r="F903" s="346"/>
      <c r="G903" s="346"/>
      <c r="H903" s="346"/>
      <c r="I903" s="346"/>
      <c r="J903" s="346"/>
      <c r="K903" s="346"/>
      <c r="L903" s="346"/>
      <c r="M903" s="346"/>
      <c r="N903" s="346"/>
      <c r="O903" s="346"/>
      <c r="P903" s="346"/>
      <c r="Q903" s="346"/>
      <c r="R903" s="346"/>
      <c r="S903" s="346"/>
      <c r="T903" s="347"/>
      <c r="U903" s="345"/>
      <c r="V903" s="317"/>
      <c r="W903" s="318"/>
      <c r="X903" s="288"/>
      <c r="Y903" s="220"/>
      <c r="Z903" s="220"/>
      <c r="AA903" s="220"/>
      <c r="AB903" s="220"/>
      <c r="AC903" s="220"/>
      <c r="AD903" s="220"/>
      <c r="AE903" s="220"/>
      <c r="AF903" s="220"/>
      <c r="AG903" s="220"/>
      <c r="AH903" s="220"/>
      <c r="AI903" s="308"/>
      <c r="AJ903" s="220"/>
      <c r="AK903" s="220"/>
      <c r="AL903" s="220"/>
      <c r="AM903" s="220"/>
      <c r="AN903" s="220"/>
      <c r="AO903" s="220"/>
      <c r="AP903" s="220"/>
      <c r="AQ903" s="220"/>
      <c r="AR903" s="220"/>
      <c r="AS903" s="220"/>
      <c r="AT903" s="220"/>
      <c r="AU903" s="220"/>
      <c r="AV903" s="220"/>
      <c r="AW903" s="220"/>
      <c r="AX903" s="220"/>
      <c r="AY903" s="220"/>
      <c r="AZ903" s="220"/>
      <c r="BA903" s="220"/>
      <c r="BB903" s="220"/>
    </row>
    <row r="904">
      <c r="A904" s="240"/>
      <c r="B904" s="319"/>
      <c r="C904" s="346"/>
      <c r="D904" s="346"/>
      <c r="E904" s="346"/>
      <c r="F904" s="346"/>
      <c r="G904" s="346"/>
      <c r="H904" s="346"/>
      <c r="I904" s="346"/>
      <c r="J904" s="346"/>
      <c r="K904" s="346"/>
      <c r="L904" s="346"/>
      <c r="M904" s="346"/>
      <c r="N904" s="346"/>
      <c r="O904" s="346"/>
      <c r="P904" s="346"/>
      <c r="Q904" s="346"/>
      <c r="R904" s="346"/>
      <c r="S904" s="346"/>
      <c r="T904" s="347"/>
      <c r="U904" s="345"/>
      <c r="V904" s="317"/>
      <c r="W904" s="318"/>
      <c r="X904" s="288"/>
      <c r="Y904" s="220"/>
      <c r="Z904" s="220"/>
      <c r="AA904" s="220"/>
      <c r="AB904" s="220"/>
      <c r="AC904" s="220"/>
      <c r="AD904" s="220"/>
      <c r="AE904" s="220"/>
      <c r="AF904" s="220"/>
      <c r="AG904" s="220"/>
      <c r="AH904" s="220"/>
      <c r="AI904" s="308"/>
      <c r="AJ904" s="220"/>
      <c r="AK904" s="220"/>
      <c r="AL904" s="220"/>
      <c r="AM904" s="220"/>
      <c r="AN904" s="220"/>
      <c r="AO904" s="220"/>
      <c r="AP904" s="220"/>
      <c r="AQ904" s="220"/>
      <c r="AR904" s="220"/>
      <c r="AS904" s="220"/>
      <c r="AT904" s="220"/>
      <c r="AU904" s="220"/>
      <c r="AV904" s="220"/>
      <c r="AW904" s="220"/>
      <c r="AX904" s="220"/>
      <c r="AY904" s="220"/>
      <c r="AZ904" s="220"/>
      <c r="BA904" s="220"/>
      <c r="BB904" s="220"/>
    </row>
    <row r="905">
      <c r="A905" s="240"/>
      <c r="B905" s="319"/>
      <c r="C905" s="346"/>
      <c r="D905" s="346"/>
      <c r="E905" s="346"/>
      <c r="F905" s="346"/>
      <c r="G905" s="346"/>
      <c r="H905" s="346"/>
      <c r="I905" s="346"/>
      <c r="J905" s="346"/>
      <c r="K905" s="346"/>
      <c r="L905" s="346"/>
      <c r="M905" s="346"/>
      <c r="N905" s="346"/>
      <c r="O905" s="346"/>
      <c r="P905" s="346"/>
      <c r="Q905" s="346"/>
      <c r="R905" s="346"/>
      <c r="S905" s="346"/>
      <c r="T905" s="347"/>
      <c r="U905" s="345"/>
      <c r="V905" s="317"/>
      <c r="W905" s="318"/>
      <c r="X905" s="288"/>
      <c r="Y905" s="220"/>
      <c r="Z905" s="220"/>
      <c r="AA905" s="220"/>
      <c r="AB905" s="220"/>
      <c r="AC905" s="220"/>
      <c r="AD905" s="220"/>
      <c r="AE905" s="220"/>
      <c r="AF905" s="220"/>
      <c r="AG905" s="220"/>
      <c r="AH905" s="220"/>
      <c r="AI905" s="308"/>
      <c r="AJ905" s="220"/>
      <c r="AK905" s="220"/>
      <c r="AL905" s="220"/>
      <c r="AM905" s="220"/>
      <c r="AN905" s="220"/>
      <c r="AO905" s="220"/>
      <c r="AP905" s="220"/>
      <c r="AQ905" s="220"/>
      <c r="AR905" s="220"/>
      <c r="AS905" s="220"/>
      <c r="AT905" s="220"/>
      <c r="AU905" s="220"/>
      <c r="AV905" s="220"/>
      <c r="AW905" s="220"/>
      <c r="AX905" s="220"/>
      <c r="AY905" s="220"/>
      <c r="AZ905" s="220"/>
      <c r="BA905" s="220"/>
      <c r="BB905" s="220"/>
    </row>
    <row r="906">
      <c r="A906" s="240"/>
      <c r="B906" s="319"/>
      <c r="C906" s="346"/>
      <c r="D906" s="346"/>
      <c r="E906" s="346"/>
      <c r="F906" s="346"/>
      <c r="G906" s="346"/>
      <c r="H906" s="346"/>
      <c r="I906" s="346"/>
      <c r="J906" s="346"/>
      <c r="K906" s="346"/>
      <c r="L906" s="346"/>
      <c r="M906" s="346"/>
      <c r="N906" s="346"/>
      <c r="O906" s="346"/>
      <c r="P906" s="346"/>
      <c r="Q906" s="346"/>
      <c r="R906" s="346"/>
      <c r="S906" s="346"/>
      <c r="T906" s="347"/>
      <c r="U906" s="345"/>
      <c r="V906" s="317"/>
      <c r="W906" s="318"/>
      <c r="X906" s="288"/>
      <c r="Y906" s="220"/>
      <c r="Z906" s="220"/>
      <c r="AA906" s="220"/>
      <c r="AB906" s="220"/>
      <c r="AC906" s="220"/>
      <c r="AD906" s="220"/>
      <c r="AE906" s="220"/>
      <c r="AF906" s="220"/>
      <c r="AG906" s="220"/>
      <c r="AH906" s="220"/>
      <c r="AI906" s="308"/>
      <c r="AJ906" s="220"/>
      <c r="AK906" s="220"/>
      <c r="AL906" s="220"/>
      <c r="AM906" s="220"/>
      <c r="AN906" s="220"/>
      <c r="AO906" s="220"/>
      <c r="AP906" s="220"/>
      <c r="AQ906" s="220"/>
      <c r="AR906" s="220"/>
      <c r="AS906" s="220"/>
      <c r="AT906" s="220"/>
      <c r="AU906" s="220"/>
      <c r="AV906" s="220"/>
      <c r="AW906" s="220"/>
      <c r="AX906" s="220"/>
      <c r="AY906" s="220"/>
      <c r="AZ906" s="220"/>
      <c r="BA906" s="220"/>
      <c r="BB906" s="220"/>
    </row>
    <row r="907">
      <c r="A907" s="240"/>
      <c r="B907" s="319"/>
      <c r="C907" s="346"/>
      <c r="D907" s="346"/>
      <c r="E907" s="346"/>
      <c r="F907" s="346"/>
      <c r="G907" s="346"/>
      <c r="H907" s="346"/>
      <c r="I907" s="346"/>
      <c r="J907" s="346"/>
      <c r="K907" s="346"/>
      <c r="L907" s="346"/>
      <c r="M907" s="346"/>
      <c r="N907" s="346"/>
      <c r="O907" s="346"/>
      <c r="P907" s="346"/>
      <c r="Q907" s="346"/>
      <c r="R907" s="346"/>
      <c r="S907" s="346"/>
      <c r="T907" s="347"/>
      <c r="U907" s="345"/>
      <c r="V907" s="317"/>
      <c r="W907" s="318"/>
      <c r="X907" s="288"/>
      <c r="Y907" s="220"/>
      <c r="Z907" s="220"/>
      <c r="AA907" s="220"/>
      <c r="AB907" s="220"/>
      <c r="AC907" s="220"/>
      <c r="AD907" s="220"/>
      <c r="AE907" s="220"/>
      <c r="AF907" s="220"/>
      <c r="AG907" s="220"/>
      <c r="AH907" s="220"/>
      <c r="AI907" s="308"/>
      <c r="AJ907" s="220"/>
      <c r="AK907" s="220"/>
      <c r="AL907" s="220"/>
      <c r="AM907" s="220"/>
      <c r="AN907" s="220"/>
      <c r="AO907" s="220"/>
      <c r="AP907" s="220"/>
      <c r="AQ907" s="220"/>
      <c r="AR907" s="220"/>
      <c r="AS907" s="220"/>
      <c r="AT907" s="220"/>
      <c r="AU907" s="220"/>
      <c r="AV907" s="220"/>
      <c r="AW907" s="220"/>
      <c r="AX907" s="220"/>
      <c r="AY907" s="220"/>
      <c r="AZ907" s="220"/>
      <c r="BA907" s="220"/>
      <c r="BB907" s="220"/>
    </row>
    <row r="908">
      <c r="A908" s="240"/>
      <c r="B908" s="319"/>
      <c r="C908" s="346"/>
      <c r="D908" s="346"/>
      <c r="E908" s="346"/>
      <c r="F908" s="346"/>
      <c r="G908" s="346"/>
      <c r="H908" s="346"/>
      <c r="I908" s="346"/>
      <c r="J908" s="346"/>
      <c r="K908" s="346"/>
      <c r="L908" s="346"/>
      <c r="M908" s="346"/>
      <c r="N908" s="346"/>
      <c r="O908" s="346"/>
      <c r="P908" s="346"/>
      <c r="Q908" s="346"/>
      <c r="R908" s="346"/>
      <c r="S908" s="346"/>
      <c r="T908" s="347"/>
      <c r="U908" s="345"/>
      <c r="V908" s="317"/>
      <c r="W908" s="318"/>
      <c r="X908" s="288"/>
      <c r="Y908" s="220"/>
      <c r="Z908" s="220"/>
      <c r="AA908" s="220"/>
      <c r="AB908" s="220"/>
      <c r="AC908" s="220"/>
      <c r="AD908" s="220"/>
      <c r="AE908" s="220"/>
      <c r="AF908" s="220"/>
      <c r="AG908" s="220"/>
      <c r="AH908" s="220"/>
      <c r="AI908" s="308"/>
      <c r="AJ908" s="220"/>
      <c r="AK908" s="220"/>
      <c r="AL908" s="220"/>
      <c r="AM908" s="220"/>
      <c r="AN908" s="220"/>
      <c r="AO908" s="220"/>
      <c r="AP908" s="220"/>
      <c r="AQ908" s="220"/>
      <c r="AR908" s="220"/>
      <c r="AS908" s="220"/>
      <c r="AT908" s="220"/>
      <c r="AU908" s="220"/>
      <c r="AV908" s="220"/>
      <c r="AW908" s="220"/>
      <c r="AX908" s="220"/>
      <c r="AY908" s="220"/>
      <c r="AZ908" s="220"/>
      <c r="BA908" s="220"/>
      <c r="BB908" s="220"/>
    </row>
    <row r="909">
      <c r="A909" s="240"/>
      <c r="B909" s="319"/>
      <c r="C909" s="346"/>
      <c r="D909" s="346"/>
      <c r="E909" s="346"/>
      <c r="F909" s="346"/>
      <c r="G909" s="346"/>
      <c r="H909" s="346"/>
      <c r="I909" s="346"/>
      <c r="J909" s="346"/>
      <c r="K909" s="346"/>
      <c r="L909" s="346"/>
      <c r="M909" s="346"/>
      <c r="N909" s="346"/>
      <c r="O909" s="346"/>
      <c r="P909" s="346"/>
      <c r="Q909" s="346"/>
      <c r="R909" s="346"/>
      <c r="S909" s="346"/>
      <c r="T909" s="347"/>
      <c r="U909" s="345"/>
      <c r="V909" s="317"/>
      <c r="W909" s="318"/>
      <c r="X909" s="288"/>
      <c r="Y909" s="220"/>
      <c r="Z909" s="220"/>
      <c r="AA909" s="220"/>
      <c r="AB909" s="220"/>
      <c r="AC909" s="220"/>
      <c r="AD909" s="220"/>
      <c r="AE909" s="220"/>
      <c r="AF909" s="220"/>
      <c r="AG909" s="220"/>
      <c r="AH909" s="220"/>
      <c r="AI909" s="308"/>
      <c r="AJ909" s="220"/>
      <c r="AK909" s="220"/>
      <c r="AL909" s="220"/>
      <c r="AM909" s="220"/>
      <c r="AN909" s="220"/>
      <c r="AO909" s="220"/>
      <c r="AP909" s="220"/>
      <c r="AQ909" s="220"/>
      <c r="AR909" s="220"/>
      <c r="AS909" s="220"/>
      <c r="AT909" s="220"/>
      <c r="AU909" s="220"/>
      <c r="AV909" s="220"/>
      <c r="AW909" s="220"/>
      <c r="AX909" s="220"/>
      <c r="AY909" s="220"/>
      <c r="AZ909" s="220"/>
      <c r="BA909" s="220"/>
      <c r="BB909" s="220"/>
    </row>
    <row r="910">
      <c r="A910" s="240"/>
      <c r="B910" s="319"/>
      <c r="C910" s="346"/>
      <c r="D910" s="346"/>
      <c r="E910" s="346"/>
      <c r="F910" s="346"/>
      <c r="G910" s="346"/>
      <c r="H910" s="346"/>
      <c r="I910" s="346"/>
      <c r="J910" s="346"/>
      <c r="K910" s="346"/>
      <c r="L910" s="346"/>
      <c r="M910" s="346"/>
      <c r="N910" s="346"/>
      <c r="O910" s="346"/>
      <c r="P910" s="346"/>
      <c r="Q910" s="346"/>
      <c r="R910" s="346"/>
      <c r="S910" s="346"/>
      <c r="T910" s="347"/>
      <c r="U910" s="345"/>
      <c r="V910" s="317"/>
      <c r="W910" s="318"/>
      <c r="X910" s="288"/>
      <c r="Y910" s="220"/>
      <c r="Z910" s="220"/>
      <c r="AA910" s="220"/>
      <c r="AB910" s="220"/>
      <c r="AC910" s="220"/>
      <c r="AD910" s="220"/>
      <c r="AE910" s="220"/>
      <c r="AF910" s="220"/>
      <c r="AG910" s="220"/>
      <c r="AH910" s="220"/>
      <c r="AI910" s="308"/>
      <c r="AJ910" s="220"/>
      <c r="AK910" s="220"/>
      <c r="AL910" s="220"/>
      <c r="AM910" s="220"/>
      <c r="AN910" s="220"/>
      <c r="AO910" s="220"/>
      <c r="AP910" s="220"/>
      <c r="AQ910" s="220"/>
      <c r="AR910" s="220"/>
      <c r="AS910" s="220"/>
      <c r="AT910" s="220"/>
      <c r="AU910" s="220"/>
      <c r="AV910" s="220"/>
      <c r="AW910" s="220"/>
      <c r="AX910" s="220"/>
      <c r="AY910" s="220"/>
      <c r="AZ910" s="220"/>
      <c r="BA910" s="220"/>
      <c r="BB910" s="220"/>
    </row>
    <row r="911">
      <c r="A911" s="240"/>
      <c r="B911" s="319"/>
      <c r="C911" s="346"/>
      <c r="D911" s="346"/>
      <c r="E911" s="346"/>
      <c r="F911" s="346"/>
      <c r="G911" s="346"/>
      <c r="H911" s="346"/>
      <c r="I911" s="346"/>
      <c r="J911" s="346"/>
      <c r="K911" s="346"/>
      <c r="L911" s="346"/>
      <c r="M911" s="346"/>
      <c r="N911" s="346"/>
      <c r="O911" s="346"/>
      <c r="P911" s="346"/>
      <c r="Q911" s="346"/>
      <c r="R911" s="346"/>
      <c r="S911" s="346"/>
      <c r="T911" s="347"/>
      <c r="U911" s="345"/>
      <c r="V911" s="317"/>
      <c r="W911" s="318"/>
      <c r="X911" s="288"/>
      <c r="Y911" s="220"/>
      <c r="Z911" s="220"/>
      <c r="AA911" s="220"/>
      <c r="AB911" s="220"/>
      <c r="AC911" s="220"/>
      <c r="AD911" s="220"/>
      <c r="AE911" s="220"/>
      <c r="AF911" s="220"/>
      <c r="AG911" s="220"/>
      <c r="AH911" s="220"/>
      <c r="AI911" s="308"/>
      <c r="AJ911" s="220"/>
      <c r="AK911" s="220"/>
      <c r="AL911" s="220"/>
      <c r="AM911" s="220"/>
      <c r="AN911" s="220"/>
      <c r="AO911" s="220"/>
      <c r="AP911" s="220"/>
      <c r="AQ911" s="220"/>
      <c r="AR911" s="220"/>
      <c r="AS911" s="220"/>
      <c r="AT911" s="220"/>
      <c r="AU911" s="220"/>
      <c r="AV911" s="220"/>
      <c r="AW911" s="220"/>
      <c r="AX911" s="220"/>
      <c r="AY911" s="220"/>
      <c r="AZ911" s="220"/>
      <c r="BA911" s="220"/>
      <c r="BB911" s="220"/>
    </row>
    <row r="912">
      <c r="A912" s="240"/>
      <c r="B912" s="319"/>
      <c r="C912" s="346"/>
      <c r="D912" s="346"/>
      <c r="E912" s="346"/>
      <c r="F912" s="346"/>
      <c r="G912" s="346"/>
      <c r="H912" s="346"/>
      <c r="I912" s="346"/>
      <c r="J912" s="346"/>
      <c r="K912" s="346"/>
      <c r="L912" s="346"/>
      <c r="M912" s="346"/>
      <c r="N912" s="346"/>
      <c r="O912" s="346"/>
      <c r="P912" s="346"/>
      <c r="Q912" s="346"/>
      <c r="R912" s="346"/>
      <c r="S912" s="346"/>
      <c r="T912" s="347"/>
      <c r="U912" s="345"/>
      <c r="V912" s="317"/>
      <c r="W912" s="318"/>
      <c r="X912" s="288"/>
      <c r="Y912" s="220"/>
      <c r="Z912" s="220"/>
      <c r="AA912" s="220"/>
      <c r="AB912" s="220"/>
      <c r="AC912" s="220"/>
      <c r="AD912" s="220"/>
      <c r="AE912" s="220"/>
      <c r="AF912" s="220"/>
      <c r="AG912" s="220"/>
      <c r="AH912" s="220"/>
      <c r="AI912" s="308"/>
      <c r="AJ912" s="220"/>
      <c r="AK912" s="220"/>
      <c r="AL912" s="220"/>
      <c r="AM912" s="220"/>
      <c r="AN912" s="220"/>
      <c r="AO912" s="220"/>
      <c r="AP912" s="220"/>
      <c r="AQ912" s="220"/>
      <c r="AR912" s="220"/>
      <c r="AS912" s="220"/>
      <c r="AT912" s="220"/>
      <c r="AU912" s="220"/>
      <c r="AV912" s="220"/>
      <c r="AW912" s="220"/>
      <c r="AX912" s="220"/>
      <c r="AY912" s="220"/>
      <c r="AZ912" s="220"/>
      <c r="BA912" s="220"/>
      <c r="BB912" s="220"/>
    </row>
    <row r="913">
      <c r="A913" s="240"/>
      <c r="B913" s="319"/>
      <c r="C913" s="346"/>
      <c r="D913" s="346"/>
      <c r="E913" s="346"/>
      <c r="F913" s="346"/>
      <c r="G913" s="346"/>
      <c r="H913" s="346"/>
      <c r="I913" s="346"/>
      <c r="J913" s="346"/>
      <c r="K913" s="346"/>
      <c r="L913" s="346"/>
      <c r="M913" s="346"/>
      <c r="N913" s="346"/>
      <c r="O913" s="346"/>
      <c r="P913" s="346"/>
      <c r="Q913" s="346"/>
      <c r="R913" s="346"/>
      <c r="S913" s="346"/>
      <c r="T913" s="347"/>
      <c r="U913" s="345"/>
      <c r="V913" s="317"/>
      <c r="W913" s="318"/>
      <c r="X913" s="288"/>
      <c r="Y913" s="220"/>
      <c r="Z913" s="220"/>
      <c r="AA913" s="220"/>
      <c r="AB913" s="220"/>
      <c r="AC913" s="220"/>
      <c r="AD913" s="220"/>
      <c r="AE913" s="220"/>
      <c r="AF913" s="220"/>
      <c r="AG913" s="220"/>
      <c r="AH913" s="220"/>
      <c r="AI913" s="308"/>
      <c r="AJ913" s="220"/>
      <c r="AK913" s="220"/>
      <c r="AL913" s="220"/>
      <c r="AM913" s="220"/>
      <c r="AN913" s="220"/>
      <c r="AO913" s="220"/>
      <c r="AP913" s="220"/>
      <c r="AQ913" s="220"/>
      <c r="AR913" s="220"/>
      <c r="AS913" s="220"/>
      <c r="AT913" s="220"/>
      <c r="AU913" s="220"/>
      <c r="AV913" s="220"/>
      <c r="AW913" s="220"/>
      <c r="AX913" s="220"/>
      <c r="AY913" s="220"/>
      <c r="AZ913" s="220"/>
      <c r="BA913" s="220"/>
      <c r="BB913" s="220"/>
    </row>
    <row r="914">
      <c r="A914" s="240"/>
      <c r="B914" s="319"/>
      <c r="C914" s="346"/>
      <c r="D914" s="346"/>
      <c r="E914" s="346"/>
      <c r="F914" s="346"/>
      <c r="G914" s="346"/>
      <c r="H914" s="346"/>
      <c r="I914" s="346"/>
      <c r="J914" s="346"/>
      <c r="K914" s="346"/>
      <c r="L914" s="346"/>
      <c r="M914" s="346"/>
      <c r="N914" s="346"/>
      <c r="O914" s="346"/>
      <c r="P914" s="346"/>
      <c r="Q914" s="346"/>
      <c r="R914" s="346"/>
      <c r="S914" s="346"/>
      <c r="T914" s="347"/>
      <c r="U914" s="345"/>
      <c r="V914" s="317"/>
      <c r="W914" s="318"/>
      <c r="X914" s="288"/>
      <c r="Y914" s="220"/>
      <c r="Z914" s="220"/>
      <c r="AA914" s="220"/>
      <c r="AB914" s="220"/>
      <c r="AC914" s="220"/>
      <c r="AD914" s="220"/>
      <c r="AE914" s="220"/>
      <c r="AF914" s="220"/>
      <c r="AG914" s="220"/>
      <c r="AH914" s="220"/>
      <c r="AI914" s="308"/>
      <c r="AJ914" s="220"/>
      <c r="AK914" s="220"/>
      <c r="AL914" s="220"/>
      <c r="AM914" s="220"/>
      <c r="AN914" s="220"/>
      <c r="AO914" s="220"/>
      <c r="AP914" s="220"/>
      <c r="AQ914" s="220"/>
      <c r="AR914" s="220"/>
      <c r="AS914" s="220"/>
      <c r="AT914" s="220"/>
      <c r="AU914" s="220"/>
      <c r="AV914" s="220"/>
      <c r="AW914" s="220"/>
      <c r="AX914" s="220"/>
      <c r="AY914" s="220"/>
      <c r="AZ914" s="220"/>
      <c r="BA914" s="220"/>
      <c r="BB914" s="220"/>
    </row>
    <row r="915">
      <c r="A915" s="240"/>
      <c r="B915" s="319"/>
      <c r="C915" s="346"/>
      <c r="D915" s="346"/>
      <c r="E915" s="346"/>
      <c r="F915" s="346"/>
      <c r="G915" s="346"/>
      <c r="H915" s="346"/>
      <c r="I915" s="346"/>
      <c r="J915" s="346"/>
      <c r="K915" s="346"/>
      <c r="L915" s="346"/>
      <c r="M915" s="346"/>
      <c r="N915" s="346"/>
      <c r="O915" s="346"/>
      <c r="P915" s="346"/>
      <c r="Q915" s="346"/>
      <c r="R915" s="346"/>
      <c r="S915" s="346"/>
      <c r="T915" s="347"/>
      <c r="U915" s="345"/>
      <c r="V915" s="317"/>
      <c r="W915" s="318"/>
      <c r="X915" s="288"/>
      <c r="Y915" s="220"/>
      <c r="Z915" s="220"/>
      <c r="AA915" s="220"/>
      <c r="AB915" s="220"/>
      <c r="AC915" s="220"/>
      <c r="AD915" s="220"/>
      <c r="AE915" s="220"/>
      <c r="AF915" s="220"/>
      <c r="AG915" s="220"/>
      <c r="AH915" s="220"/>
      <c r="AI915" s="308"/>
      <c r="AJ915" s="220"/>
      <c r="AK915" s="220"/>
      <c r="AL915" s="220"/>
      <c r="AM915" s="220"/>
      <c r="AN915" s="220"/>
      <c r="AO915" s="220"/>
      <c r="AP915" s="220"/>
      <c r="AQ915" s="220"/>
      <c r="AR915" s="220"/>
      <c r="AS915" s="220"/>
      <c r="AT915" s="220"/>
      <c r="AU915" s="220"/>
      <c r="AV915" s="220"/>
      <c r="AW915" s="220"/>
      <c r="AX915" s="220"/>
      <c r="AY915" s="220"/>
      <c r="AZ915" s="220"/>
      <c r="BA915" s="220"/>
      <c r="BB915" s="220"/>
    </row>
    <row r="916">
      <c r="A916" s="240"/>
      <c r="B916" s="319"/>
      <c r="C916" s="346"/>
      <c r="D916" s="346"/>
      <c r="E916" s="346"/>
      <c r="F916" s="346"/>
      <c r="G916" s="346"/>
      <c r="H916" s="346"/>
      <c r="I916" s="346"/>
      <c r="J916" s="346"/>
      <c r="K916" s="346"/>
      <c r="L916" s="346"/>
      <c r="M916" s="346"/>
      <c r="N916" s="346"/>
      <c r="O916" s="346"/>
      <c r="P916" s="346"/>
      <c r="Q916" s="346"/>
      <c r="R916" s="346"/>
      <c r="S916" s="346"/>
      <c r="T916" s="347"/>
      <c r="U916" s="345"/>
      <c r="V916" s="317"/>
      <c r="W916" s="318"/>
      <c r="X916" s="288"/>
      <c r="Y916" s="220"/>
      <c r="Z916" s="220"/>
      <c r="AA916" s="220"/>
      <c r="AB916" s="220"/>
      <c r="AC916" s="220"/>
      <c r="AD916" s="220"/>
      <c r="AE916" s="220"/>
      <c r="AF916" s="220"/>
      <c r="AG916" s="220"/>
      <c r="AH916" s="220"/>
      <c r="AI916" s="308"/>
      <c r="AJ916" s="220"/>
      <c r="AK916" s="220"/>
      <c r="AL916" s="220"/>
      <c r="AM916" s="220"/>
      <c r="AN916" s="220"/>
      <c r="AO916" s="220"/>
      <c r="AP916" s="220"/>
      <c r="AQ916" s="220"/>
      <c r="AR916" s="220"/>
      <c r="AS916" s="220"/>
      <c r="AT916" s="220"/>
      <c r="AU916" s="220"/>
      <c r="AV916" s="220"/>
      <c r="AW916" s="220"/>
      <c r="AX916" s="220"/>
      <c r="AY916" s="220"/>
      <c r="AZ916" s="220"/>
      <c r="BA916" s="220"/>
      <c r="BB916" s="220"/>
    </row>
    <row r="917">
      <c r="A917" s="240"/>
      <c r="B917" s="319"/>
      <c r="C917" s="346"/>
      <c r="D917" s="346"/>
      <c r="E917" s="346"/>
      <c r="F917" s="346"/>
      <c r="G917" s="346"/>
      <c r="H917" s="346"/>
      <c r="I917" s="346"/>
      <c r="J917" s="346"/>
      <c r="K917" s="346"/>
      <c r="L917" s="346"/>
      <c r="M917" s="346"/>
      <c r="N917" s="346"/>
      <c r="O917" s="346"/>
      <c r="P917" s="346"/>
      <c r="Q917" s="346"/>
      <c r="R917" s="346"/>
      <c r="S917" s="346"/>
      <c r="T917" s="347"/>
      <c r="U917" s="345"/>
      <c r="V917" s="317"/>
      <c r="W917" s="318"/>
      <c r="X917" s="288"/>
      <c r="Y917" s="220"/>
      <c r="Z917" s="220"/>
      <c r="AA917" s="220"/>
      <c r="AB917" s="220"/>
      <c r="AC917" s="220"/>
      <c r="AD917" s="220"/>
      <c r="AE917" s="220"/>
      <c r="AF917" s="220"/>
      <c r="AG917" s="220"/>
      <c r="AH917" s="220"/>
      <c r="AI917" s="308"/>
      <c r="AJ917" s="220"/>
      <c r="AK917" s="220"/>
      <c r="AL917" s="220"/>
      <c r="AM917" s="220"/>
      <c r="AN917" s="220"/>
      <c r="AO917" s="220"/>
      <c r="AP917" s="220"/>
      <c r="AQ917" s="220"/>
      <c r="AR917" s="220"/>
      <c r="AS917" s="220"/>
      <c r="AT917" s="220"/>
      <c r="AU917" s="220"/>
      <c r="AV917" s="220"/>
      <c r="AW917" s="220"/>
      <c r="AX917" s="220"/>
      <c r="AY917" s="220"/>
      <c r="AZ917" s="220"/>
      <c r="BA917" s="220"/>
      <c r="BB917" s="220"/>
    </row>
    <row r="918">
      <c r="A918" s="240"/>
      <c r="B918" s="319"/>
      <c r="C918" s="346"/>
      <c r="D918" s="346"/>
      <c r="E918" s="346"/>
      <c r="F918" s="346"/>
      <c r="G918" s="346"/>
      <c r="H918" s="346"/>
      <c r="I918" s="346"/>
      <c r="J918" s="346"/>
      <c r="K918" s="346"/>
      <c r="L918" s="346"/>
      <c r="M918" s="346"/>
      <c r="N918" s="346"/>
      <c r="O918" s="346"/>
      <c r="P918" s="346"/>
      <c r="Q918" s="346"/>
      <c r="R918" s="346"/>
      <c r="S918" s="346"/>
      <c r="T918" s="347"/>
      <c r="U918" s="345"/>
      <c r="V918" s="317"/>
      <c r="W918" s="318"/>
      <c r="X918" s="288"/>
      <c r="Y918" s="220"/>
      <c r="Z918" s="220"/>
      <c r="AA918" s="220"/>
      <c r="AB918" s="220"/>
      <c r="AC918" s="220"/>
      <c r="AD918" s="220"/>
      <c r="AE918" s="220"/>
      <c r="AF918" s="220"/>
      <c r="AG918" s="220"/>
      <c r="AH918" s="220"/>
      <c r="AI918" s="308"/>
      <c r="AJ918" s="220"/>
      <c r="AK918" s="220"/>
      <c r="AL918" s="220"/>
      <c r="AM918" s="220"/>
      <c r="AN918" s="220"/>
      <c r="AO918" s="220"/>
      <c r="AP918" s="220"/>
      <c r="AQ918" s="220"/>
      <c r="AR918" s="220"/>
      <c r="AS918" s="220"/>
      <c r="AT918" s="220"/>
      <c r="AU918" s="220"/>
      <c r="AV918" s="220"/>
      <c r="AW918" s="220"/>
      <c r="AX918" s="220"/>
      <c r="AY918" s="220"/>
      <c r="AZ918" s="220"/>
      <c r="BA918" s="220"/>
      <c r="BB918" s="220"/>
    </row>
    <row r="919">
      <c r="A919" s="240"/>
      <c r="B919" s="319"/>
      <c r="C919" s="346"/>
      <c r="D919" s="346"/>
      <c r="E919" s="346"/>
      <c r="F919" s="346"/>
      <c r="G919" s="346"/>
      <c r="H919" s="346"/>
      <c r="I919" s="346"/>
      <c r="J919" s="346"/>
      <c r="K919" s="346"/>
      <c r="L919" s="346"/>
      <c r="M919" s="346"/>
      <c r="N919" s="346"/>
      <c r="O919" s="346"/>
      <c r="P919" s="346"/>
      <c r="Q919" s="346"/>
      <c r="R919" s="346"/>
      <c r="S919" s="346"/>
      <c r="T919" s="347"/>
      <c r="U919" s="345"/>
      <c r="V919" s="317"/>
      <c r="W919" s="318"/>
      <c r="X919" s="288"/>
      <c r="Y919" s="220"/>
      <c r="Z919" s="220"/>
      <c r="AA919" s="220"/>
      <c r="AB919" s="220"/>
      <c r="AC919" s="220"/>
      <c r="AD919" s="220"/>
      <c r="AE919" s="220"/>
      <c r="AF919" s="220"/>
      <c r="AG919" s="220"/>
      <c r="AH919" s="220"/>
      <c r="AI919" s="308"/>
      <c r="AJ919" s="220"/>
      <c r="AK919" s="220"/>
      <c r="AL919" s="220"/>
      <c r="AM919" s="220"/>
      <c r="AN919" s="220"/>
      <c r="AO919" s="220"/>
      <c r="AP919" s="220"/>
      <c r="AQ919" s="220"/>
      <c r="AR919" s="220"/>
      <c r="AS919" s="220"/>
      <c r="AT919" s="220"/>
      <c r="AU919" s="220"/>
      <c r="AV919" s="220"/>
      <c r="AW919" s="220"/>
      <c r="AX919" s="220"/>
      <c r="AY919" s="220"/>
      <c r="AZ919" s="220"/>
      <c r="BA919" s="220"/>
      <c r="BB919" s="220"/>
    </row>
    <row r="920">
      <c r="A920" s="240"/>
      <c r="B920" s="319"/>
      <c r="C920" s="346"/>
      <c r="D920" s="346"/>
      <c r="E920" s="346"/>
      <c r="F920" s="346"/>
      <c r="G920" s="346"/>
      <c r="H920" s="346"/>
      <c r="I920" s="346"/>
      <c r="J920" s="346"/>
      <c r="K920" s="346"/>
      <c r="L920" s="346"/>
      <c r="M920" s="346"/>
      <c r="N920" s="346"/>
      <c r="O920" s="346"/>
      <c r="P920" s="346"/>
      <c r="Q920" s="346"/>
      <c r="R920" s="346"/>
      <c r="S920" s="346"/>
      <c r="T920" s="347"/>
      <c r="U920" s="345"/>
      <c r="V920" s="317"/>
      <c r="W920" s="318"/>
      <c r="X920" s="288"/>
      <c r="Y920" s="220"/>
      <c r="Z920" s="220"/>
      <c r="AA920" s="220"/>
      <c r="AB920" s="220"/>
      <c r="AC920" s="220"/>
      <c r="AD920" s="220"/>
      <c r="AE920" s="220"/>
      <c r="AF920" s="220"/>
      <c r="AG920" s="220"/>
      <c r="AH920" s="220"/>
      <c r="AI920" s="308"/>
      <c r="AJ920" s="220"/>
      <c r="AK920" s="220"/>
      <c r="AL920" s="220"/>
      <c r="AM920" s="220"/>
      <c r="AN920" s="220"/>
      <c r="AO920" s="220"/>
      <c r="AP920" s="220"/>
      <c r="AQ920" s="220"/>
      <c r="AR920" s="220"/>
      <c r="AS920" s="220"/>
      <c r="AT920" s="220"/>
      <c r="AU920" s="220"/>
      <c r="AV920" s="220"/>
      <c r="AW920" s="220"/>
      <c r="AX920" s="220"/>
      <c r="AY920" s="220"/>
      <c r="AZ920" s="220"/>
      <c r="BA920" s="220"/>
      <c r="BB920" s="220"/>
    </row>
    <row r="921">
      <c r="A921" s="240"/>
      <c r="B921" s="319"/>
      <c r="C921" s="346"/>
      <c r="D921" s="346"/>
      <c r="E921" s="346"/>
      <c r="F921" s="346"/>
      <c r="G921" s="346"/>
      <c r="H921" s="346"/>
      <c r="I921" s="346"/>
      <c r="J921" s="346"/>
      <c r="K921" s="346"/>
      <c r="L921" s="346"/>
      <c r="M921" s="346"/>
      <c r="N921" s="346"/>
      <c r="O921" s="346"/>
      <c r="P921" s="346"/>
      <c r="Q921" s="346"/>
      <c r="R921" s="346"/>
      <c r="S921" s="346"/>
      <c r="T921" s="347"/>
      <c r="U921" s="345"/>
      <c r="V921" s="317"/>
      <c r="W921" s="318"/>
      <c r="X921" s="288"/>
      <c r="Y921" s="220"/>
      <c r="Z921" s="220"/>
      <c r="AA921" s="220"/>
      <c r="AB921" s="220"/>
      <c r="AC921" s="220"/>
      <c r="AD921" s="220"/>
      <c r="AE921" s="220"/>
      <c r="AF921" s="220"/>
      <c r="AG921" s="220"/>
      <c r="AH921" s="220"/>
      <c r="AI921" s="308"/>
      <c r="AJ921" s="220"/>
      <c r="AK921" s="220"/>
      <c r="AL921" s="220"/>
      <c r="AM921" s="220"/>
      <c r="AN921" s="220"/>
      <c r="AO921" s="220"/>
      <c r="AP921" s="220"/>
      <c r="AQ921" s="220"/>
      <c r="AR921" s="220"/>
      <c r="AS921" s="220"/>
      <c r="AT921" s="220"/>
      <c r="AU921" s="220"/>
      <c r="AV921" s="220"/>
      <c r="AW921" s="220"/>
      <c r="AX921" s="220"/>
      <c r="AY921" s="220"/>
      <c r="AZ921" s="220"/>
      <c r="BA921" s="220"/>
      <c r="BB921" s="220"/>
    </row>
    <row r="922">
      <c r="A922" s="240"/>
      <c r="B922" s="319"/>
      <c r="C922" s="346"/>
      <c r="D922" s="346"/>
      <c r="E922" s="346"/>
      <c r="F922" s="346"/>
      <c r="G922" s="346"/>
      <c r="H922" s="346"/>
      <c r="I922" s="346"/>
      <c r="J922" s="346"/>
      <c r="K922" s="346"/>
      <c r="L922" s="346"/>
      <c r="M922" s="346"/>
      <c r="N922" s="346"/>
      <c r="O922" s="346"/>
      <c r="P922" s="346"/>
      <c r="Q922" s="346"/>
      <c r="R922" s="346"/>
      <c r="S922" s="346"/>
      <c r="T922" s="347"/>
      <c r="U922" s="345"/>
      <c r="V922" s="317"/>
      <c r="W922" s="318"/>
      <c r="X922" s="288"/>
      <c r="Y922" s="220"/>
      <c r="Z922" s="220"/>
      <c r="AA922" s="220"/>
      <c r="AB922" s="220"/>
      <c r="AC922" s="220"/>
      <c r="AD922" s="220"/>
      <c r="AE922" s="220"/>
      <c r="AF922" s="220"/>
      <c r="AG922" s="220"/>
      <c r="AH922" s="220"/>
      <c r="AI922" s="308"/>
      <c r="AJ922" s="220"/>
      <c r="AK922" s="220"/>
      <c r="AL922" s="220"/>
      <c r="AM922" s="220"/>
      <c r="AN922" s="220"/>
      <c r="AO922" s="220"/>
      <c r="AP922" s="220"/>
      <c r="AQ922" s="220"/>
      <c r="AR922" s="220"/>
      <c r="AS922" s="220"/>
      <c r="AT922" s="220"/>
      <c r="AU922" s="220"/>
      <c r="AV922" s="220"/>
      <c r="AW922" s="220"/>
      <c r="AX922" s="220"/>
      <c r="AY922" s="220"/>
      <c r="AZ922" s="220"/>
      <c r="BA922" s="220"/>
      <c r="BB922" s="220"/>
    </row>
    <row r="923">
      <c r="A923" s="240"/>
      <c r="B923" s="319"/>
      <c r="C923" s="346"/>
      <c r="D923" s="346"/>
      <c r="E923" s="346"/>
      <c r="F923" s="346"/>
      <c r="G923" s="346"/>
      <c r="H923" s="346"/>
      <c r="I923" s="346"/>
      <c r="J923" s="346"/>
      <c r="K923" s="346"/>
      <c r="L923" s="346"/>
      <c r="M923" s="346"/>
      <c r="N923" s="346"/>
      <c r="O923" s="346"/>
      <c r="P923" s="346"/>
      <c r="Q923" s="346"/>
      <c r="R923" s="346"/>
      <c r="S923" s="346"/>
      <c r="T923" s="347"/>
      <c r="U923" s="345"/>
      <c r="V923" s="317"/>
      <c r="W923" s="318"/>
      <c r="X923" s="288"/>
      <c r="Y923" s="220"/>
      <c r="Z923" s="220"/>
      <c r="AA923" s="220"/>
      <c r="AB923" s="220"/>
      <c r="AC923" s="220"/>
      <c r="AD923" s="220"/>
      <c r="AE923" s="220"/>
      <c r="AF923" s="220"/>
      <c r="AG923" s="220"/>
      <c r="AH923" s="220"/>
      <c r="AI923" s="308"/>
      <c r="AJ923" s="220"/>
      <c r="AK923" s="220"/>
      <c r="AL923" s="220"/>
      <c r="AM923" s="220"/>
      <c r="AN923" s="220"/>
      <c r="AO923" s="220"/>
      <c r="AP923" s="220"/>
      <c r="AQ923" s="220"/>
      <c r="AR923" s="220"/>
      <c r="AS923" s="220"/>
      <c r="AT923" s="220"/>
      <c r="AU923" s="220"/>
      <c r="AV923" s="220"/>
      <c r="AW923" s="220"/>
      <c r="AX923" s="220"/>
      <c r="AY923" s="220"/>
      <c r="AZ923" s="220"/>
      <c r="BA923" s="220"/>
      <c r="BB923" s="220"/>
    </row>
    <row r="924">
      <c r="A924" s="240"/>
      <c r="B924" s="319"/>
      <c r="C924" s="346"/>
      <c r="D924" s="346"/>
      <c r="E924" s="346"/>
      <c r="F924" s="346"/>
      <c r="G924" s="346"/>
      <c r="H924" s="346"/>
      <c r="I924" s="346"/>
      <c r="J924" s="346"/>
      <c r="K924" s="346"/>
      <c r="L924" s="346"/>
      <c r="M924" s="346"/>
      <c r="N924" s="346"/>
      <c r="O924" s="346"/>
      <c r="P924" s="346"/>
      <c r="Q924" s="346"/>
      <c r="R924" s="346"/>
      <c r="S924" s="346"/>
      <c r="T924" s="347"/>
      <c r="U924" s="345"/>
      <c r="V924" s="317"/>
      <c r="W924" s="318"/>
      <c r="X924" s="288"/>
      <c r="Y924" s="220"/>
      <c r="Z924" s="220"/>
      <c r="AA924" s="220"/>
      <c r="AB924" s="220"/>
      <c r="AC924" s="220"/>
      <c r="AD924" s="220"/>
      <c r="AE924" s="220"/>
      <c r="AF924" s="220"/>
      <c r="AG924" s="220"/>
      <c r="AH924" s="220"/>
      <c r="AI924" s="308"/>
      <c r="AJ924" s="220"/>
      <c r="AK924" s="220"/>
      <c r="AL924" s="220"/>
      <c r="AM924" s="220"/>
      <c r="AN924" s="220"/>
      <c r="AO924" s="220"/>
      <c r="AP924" s="220"/>
      <c r="AQ924" s="220"/>
      <c r="AR924" s="220"/>
      <c r="AS924" s="220"/>
      <c r="AT924" s="220"/>
      <c r="AU924" s="220"/>
      <c r="AV924" s="220"/>
      <c r="AW924" s="220"/>
      <c r="AX924" s="220"/>
      <c r="AY924" s="220"/>
      <c r="AZ924" s="220"/>
      <c r="BA924" s="220"/>
      <c r="BB924" s="220"/>
    </row>
    <row r="925">
      <c r="A925" s="240"/>
      <c r="B925" s="319"/>
      <c r="C925" s="346"/>
      <c r="D925" s="346"/>
      <c r="E925" s="346"/>
      <c r="F925" s="346"/>
      <c r="G925" s="346"/>
      <c r="H925" s="346"/>
      <c r="I925" s="346"/>
      <c r="J925" s="346"/>
      <c r="K925" s="346"/>
      <c r="L925" s="346"/>
      <c r="M925" s="346"/>
      <c r="N925" s="346"/>
      <c r="O925" s="346"/>
      <c r="P925" s="346"/>
      <c r="Q925" s="346"/>
      <c r="R925" s="346"/>
      <c r="S925" s="346"/>
      <c r="T925" s="347"/>
      <c r="U925" s="345"/>
      <c r="V925" s="317"/>
      <c r="W925" s="318"/>
      <c r="X925" s="288"/>
      <c r="Y925" s="220"/>
      <c r="Z925" s="220"/>
      <c r="AA925" s="220"/>
      <c r="AB925" s="220"/>
      <c r="AC925" s="220"/>
      <c r="AD925" s="220"/>
      <c r="AE925" s="220"/>
      <c r="AF925" s="220"/>
      <c r="AG925" s="220"/>
      <c r="AH925" s="220"/>
      <c r="AI925" s="308"/>
      <c r="AJ925" s="220"/>
      <c r="AK925" s="220"/>
      <c r="AL925" s="220"/>
      <c r="AM925" s="220"/>
      <c r="AN925" s="220"/>
      <c r="AO925" s="220"/>
      <c r="AP925" s="220"/>
      <c r="AQ925" s="220"/>
      <c r="AR925" s="220"/>
      <c r="AS925" s="220"/>
      <c r="AT925" s="220"/>
      <c r="AU925" s="220"/>
      <c r="AV925" s="220"/>
      <c r="AW925" s="220"/>
      <c r="AX925" s="220"/>
      <c r="AY925" s="220"/>
      <c r="AZ925" s="220"/>
      <c r="BA925" s="220"/>
      <c r="BB925" s="220"/>
    </row>
    <row r="926">
      <c r="A926" s="240"/>
      <c r="B926" s="319"/>
      <c r="C926" s="346"/>
      <c r="D926" s="346"/>
      <c r="E926" s="346"/>
      <c r="F926" s="346"/>
      <c r="G926" s="346"/>
      <c r="H926" s="346"/>
      <c r="I926" s="346"/>
      <c r="J926" s="346"/>
      <c r="K926" s="346"/>
      <c r="L926" s="346"/>
      <c r="M926" s="346"/>
      <c r="N926" s="346"/>
      <c r="O926" s="346"/>
      <c r="P926" s="346"/>
      <c r="Q926" s="346"/>
      <c r="R926" s="346"/>
      <c r="S926" s="346"/>
      <c r="T926" s="347"/>
      <c r="U926" s="345"/>
      <c r="V926" s="317"/>
      <c r="W926" s="318"/>
      <c r="X926" s="288"/>
      <c r="Y926" s="220"/>
      <c r="Z926" s="220"/>
      <c r="AA926" s="220"/>
      <c r="AB926" s="220"/>
      <c r="AC926" s="220"/>
      <c r="AD926" s="220"/>
      <c r="AE926" s="220"/>
      <c r="AF926" s="220"/>
      <c r="AG926" s="220"/>
      <c r="AH926" s="220"/>
      <c r="AI926" s="308"/>
      <c r="AJ926" s="220"/>
      <c r="AK926" s="220"/>
      <c r="AL926" s="220"/>
      <c r="AM926" s="220"/>
      <c r="AN926" s="220"/>
      <c r="AO926" s="220"/>
      <c r="AP926" s="220"/>
      <c r="AQ926" s="220"/>
      <c r="AR926" s="220"/>
      <c r="AS926" s="220"/>
      <c r="AT926" s="220"/>
      <c r="AU926" s="220"/>
      <c r="AV926" s="220"/>
      <c r="AW926" s="220"/>
      <c r="AX926" s="220"/>
      <c r="AY926" s="220"/>
      <c r="AZ926" s="220"/>
      <c r="BA926" s="220"/>
      <c r="BB926" s="220"/>
    </row>
    <row r="927">
      <c r="A927" s="240"/>
      <c r="B927" s="319"/>
      <c r="C927" s="346"/>
      <c r="D927" s="346"/>
      <c r="E927" s="346"/>
      <c r="F927" s="346"/>
      <c r="G927" s="346"/>
      <c r="H927" s="346"/>
      <c r="I927" s="346"/>
      <c r="J927" s="346"/>
      <c r="K927" s="346"/>
      <c r="L927" s="346"/>
      <c r="M927" s="346"/>
      <c r="N927" s="346"/>
      <c r="O927" s="346"/>
      <c r="P927" s="346"/>
      <c r="Q927" s="346"/>
      <c r="R927" s="346"/>
      <c r="S927" s="346"/>
      <c r="T927" s="347"/>
      <c r="U927" s="345"/>
      <c r="V927" s="317"/>
      <c r="W927" s="318"/>
      <c r="X927" s="288"/>
      <c r="Y927" s="220"/>
      <c r="Z927" s="220"/>
      <c r="AA927" s="220"/>
      <c r="AB927" s="220"/>
      <c r="AC927" s="220"/>
      <c r="AD927" s="220"/>
      <c r="AE927" s="220"/>
      <c r="AF927" s="220"/>
      <c r="AG927" s="220"/>
      <c r="AH927" s="220"/>
      <c r="AI927" s="308"/>
      <c r="AJ927" s="220"/>
      <c r="AK927" s="220"/>
      <c r="AL927" s="220"/>
      <c r="AM927" s="220"/>
      <c r="AN927" s="220"/>
      <c r="AO927" s="220"/>
      <c r="AP927" s="220"/>
      <c r="AQ927" s="220"/>
      <c r="AR927" s="220"/>
      <c r="AS927" s="220"/>
      <c r="AT927" s="220"/>
      <c r="AU927" s="220"/>
      <c r="AV927" s="220"/>
      <c r="AW927" s="220"/>
      <c r="AX927" s="220"/>
      <c r="AY927" s="220"/>
      <c r="AZ927" s="220"/>
      <c r="BA927" s="220"/>
      <c r="BB927" s="220"/>
    </row>
    <row r="928">
      <c r="A928" s="240"/>
      <c r="B928" s="319"/>
      <c r="C928" s="346"/>
      <c r="D928" s="346"/>
      <c r="E928" s="346"/>
      <c r="F928" s="346"/>
      <c r="G928" s="346"/>
      <c r="H928" s="346"/>
      <c r="I928" s="346"/>
      <c r="J928" s="346"/>
      <c r="K928" s="346"/>
      <c r="L928" s="346"/>
      <c r="M928" s="346"/>
      <c r="N928" s="346"/>
      <c r="O928" s="346"/>
      <c r="P928" s="346"/>
      <c r="Q928" s="346"/>
      <c r="R928" s="346"/>
      <c r="S928" s="346"/>
      <c r="T928" s="347"/>
      <c r="U928" s="345"/>
      <c r="V928" s="317"/>
      <c r="W928" s="318"/>
      <c r="X928" s="288"/>
      <c r="Y928" s="220"/>
      <c r="Z928" s="220"/>
      <c r="AA928" s="220"/>
      <c r="AB928" s="220"/>
      <c r="AC928" s="220"/>
      <c r="AD928" s="220"/>
      <c r="AE928" s="220"/>
      <c r="AF928" s="220"/>
      <c r="AG928" s="220"/>
      <c r="AH928" s="220"/>
      <c r="AI928" s="308"/>
      <c r="AJ928" s="220"/>
      <c r="AK928" s="220"/>
      <c r="AL928" s="220"/>
      <c r="AM928" s="220"/>
      <c r="AN928" s="220"/>
      <c r="AO928" s="220"/>
      <c r="AP928" s="220"/>
      <c r="AQ928" s="220"/>
      <c r="AR928" s="220"/>
      <c r="AS928" s="220"/>
      <c r="AT928" s="220"/>
      <c r="AU928" s="220"/>
      <c r="AV928" s="220"/>
      <c r="AW928" s="220"/>
      <c r="AX928" s="220"/>
      <c r="AY928" s="220"/>
      <c r="AZ928" s="220"/>
      <c r="BA928" s="220"/>
      <c r="BB928" s="220"/>
    </row>
    <row r="929">
      <c r="A929" s="240"/>
      <c r="B929" s="319"/>
      <c r="C929" s="346"/>
      <c r="D929" s="346"/>
      <c r="E929" s="346"/>
      <c r="F929" s="346"/>
      <c r="G929" s="346"/>
      <c r="H929" s="346"/>
      <c r="I929" s="346"/>
      <c r="J929" s="346"/>
      <c r="K929" s="346"/>
      <c r="L929" s="346"/>
      <c r="M929" s="346"/>
      <c r="N929" s="346"/>
      <c r="O929" s="346"/>
      <c r="P929" s="346"/>
      <c r="Q929" s="346"/>
      <c r="R929" s="346"/>
      <c r="S929" s="346"/>
      <c r="T929" s="347"/>
      <c r="U929" s="345"/>
      <c r="V929" s="317"/>
      <c r="W929" s="318"/>
      <c r="X929" s="288"/>
      <c r="Y929" s="220"/>
      <c r="Z929" s="220"/>
      <c r="AA929" s="220"/>
      <c r="AB929" s="220"/>
      <c r="AC929" s="220"/>
      <c r="AD929" s="220"/>
      <c r="AE929" s="220"/>
      <c r="AF929" s="220"/>
      <c r="AG929" s="220"/>
      <c r="AH929" s="220"/>
      <c r="AI929" s="308"/>
      <c r="AJ929" s="220"/>
      <c r="AK929" s="220"/>
      <c r="AL929" s="220"/>
      <c r="AM929" s="220"/>
      <c r="AN929" s="220"/>
      <c r="AO929" s="220"/>
      <c r="AP929" s="220"/>
      <c r="AQ929" s="220"/>
      <c r="AR929" s="220"/>
      <c r="AS929" s="220"/>
      <c r="AT929" s="220"/>
      <c r="AU929" s="220"/>
      <c r="AV929" s="220"/>
      <c r="AW929" s="220"/>
      <c r="AX929" s="220"/>
      <c r="AY929" s="220"/>
      <c r="AZ929" s="220"/>
      <c r="BA929" s="220"/>
      <c r="BB929" s="220"/>
    </row>
    <row r="930">
      <c r="A930" s="240"/>
      <c r="B930" s="319"/>
      <c r="C930" s="346"/>
      <c r="D930" s="346"/>
      <c r="E930" s="346"/>
      <c r="F930" s="346"/>
      <c r="G930" s="346"/>
      <c r="H930" s="346"/>
      <c r="I930" s="346"/>
      <c r="J930" s="346"/>
      <c r="K930" s="346"/>
      <c r="L930" s="346"/>
      <c r="M930" s="346"/>
      <c r="N930" s="346"/>
      <c r="O930" s="346"/>
      <c r="P930" s="346"/>
      <c r="Q930" s="346"/>
      <c r="R930" s="346"/>
      <c r="S930" s="346"/>
      <c r="T930" s="347"/>
      <c r="U930" s="345"/>
      <c r="V930" s="317"/>
      <c r="W930" s="318"/>
      <c r="X930" s="288"/>
      <c r="Y930" s="220"/>
      <c r="Z930" s="220"/>
      <c r="AA930" s="220"/>
      <c r="AB930" s="220"/>
      <c r="AC930" s="220"/>
      <c r="AD930" s="220"/>
      <c r="AE930" s="220"/>
      <c r="AF930" s="220"/>
      <c r="AG930" s="220"/>
      <c r="AH930" s="220"/>
      <c r="AI930" s="308"/>
      <c r="AJ930" s="220"/>
      <c r="AK930" s="220"/>
      <c r="AL930" s="220"/>
      <c r="AM930" s="220"/>
      <c r="AN930" s="220"/>
      <c r="AO930" s="220"/>
      <c r="AP930" s="220"/>
      <c r="AQ930" s="220"/>
      <c r="AR930" s="220"/>
      <c r="AS930" s="220"/>
      <c r="AT930" s="220"/>
      <c r="AU930" s="220"/>
      <c r="AV930" s="220"/>
      <c r="AW930" s="220"/>
      <c r="AX930" s="220"/>
      <c r="AY930" s="220"/>
      <c r="AZ930" s="220"/>
      <c r="BA930" s="220"/>
      <c r="BB930" s="220"/>
    </row>
    <row r="931">
      <c r="A931" s="240"/>
      <c r="B931" s="319"/>
      <c r="C931" s="346"/>
      <c r="D931" s="346"/>
      <c r="E931" s="346"/>
      <c r="F931" s="346"/>
      <c r="G931" s="346"/>
      <c r="H931" s="346"/>
      <c r="I931" s="346"/>
      <c r="J931" s="346"/>
      <c r="K931" s="346"/>
      <c r="L931" s="346"/>
      <c r="M931" s="346"/>
      <c r="N931" s="346"/>
      <c r="O931" s="346"/>
      <c r="P931" s="346"/>
      <c r="Q931" s="346"/>
      <c r="R931" s="346"/>
      <c r="S931" s="346"/>
      <c r="T931" s="347"/>
      <c r="U931" s="345"/>
      <c r="V931" s="317"/>
      <c r="W931" s="318"/>
      <c r="X931" s="288"/>
      <c r="Y931" s="220"/>
      <c r="Z931" s="220"/>
      <c r="AA931" s="220"/>
      <c r="AB931" s="220"/>
      <c r="AC931" s="220"/>
      <c r="AD931" s="220"/>
      <c r="AE931" s="220"/>
      <c r="AF931" s="220"/>
      <c r="AG931" s="220"/>
      <c r="AH931" s="220"/>
      <c r="AI931" s="308"/>
      <c r="AJ931" s="220"/>
      <c r="AK931" s="220"/>
      <c r="AL931" s="220"/>
      <c r="AM931" s="220"/>
      <c r="AN931" s="220"/>
      <c r="AO931" s="220"/>
      <c r="AP931" s="220"/>
      <c r="AQ931" s="220"/>
      <c r="AR931" s="220"/>
      <c r="AS931" s="220"/>
      <c r="AT931" s="220"/>
      <c r="AU931" s="220"/>
      <c r="AV931" s="220"/>
      <c r="AW931" s="220"/>
      <c r="AX931" s="220"/>
      <c r="AY931" s="220"/>
      <c r="AZ931" s="220"/>
      <c r="BA931" s="220"/>
      <c r="BB931" s="220"/>
    </row>
    <row r="932">
      <c r="A932" s="240"/>
      <c r="B932" s="319"/>
      <c r="C932" s="346"/>
      <c r="D932" s="346"/>
      <c r="E932" s="346"/>
      <c r="F932" s="346"/>
      <c r="G932" s="346"/>
      <c r="H932" s="346"/>
      <c r="I932" s="346"/>
      <c r="J932" s="346"/>
      <c r="K932" s="346"/>
      <c r="L932" s="346"/>
      <c r="M932" s="346"/>
      <c r="N932" s="346"/>
      <c r="O932" s="346"/>
      <c r="P932" s="346"/>
      <c r="Q932" s="346"/>
      <c r="R932" s="346"/>
      <c r="S932" s="346"/>
      <c r="T932" s="347"/>
      <c r="U932" s="345"/>
      <c r="V932" s="317"/>
      <c r="W932" s="318"/>
      <c r="X932" s="288"/>
      <c r="Y932" s="220"/>
      <c r="Z932" s="220"/>
      <c r="AA932" s="220"/>
      <c r="AB932" s="220"/>
      <c r="AC932" s="220"/>
      <c r="AD932" s="220"/>
      <c r="AE932" s="220"/>
      <c r="AF932" s="220"/>
      <c r="AG932" s="220"/>
      <c r="AH932" s="220"/>
      <c r="AI932" s="308"/>
      <c r="AJ932" s="220"/>
      <c r="AK932" s="220"/>
      <c r="AL932" s="220"/>
      <c r="AM932" s="220"/>
      <c r="AN932" s="220"/>
      <c r="AO932" s="220"/>
      <c r="AP932" s="220"/>
      <c r="AQ932" s="220"/>
      <c r="AR932" s="220"/>
      <c r="AS932" s="220"/>
      <c r="AT932" s="220"/>
      <c r="AU932" s="220"/>
      <c r="AV932" s="220"/>
      <c r="AW932" s="220"/>
      <c r="AX932" s="220"/>
      <c r="AY932" s="220"/>
      <c r="AZ932" s="220"/>
      <c r="BA932" s="220"/>
      <c r="BB932" s="220"/>
    </row>
    <row r="933">
      <c r="A933" s="240"/>
      <c r="B933" s="319"/>
      <c r="C933" s="346"/>
      <c r="D933" s="346"/>
      <c r="E933" s="346"/>
      <c r="F933" s="346"/>
      <c r="G933" s="346"/>
      <c r="H933" s="346"/>
      <c r="I933" s="346"/>
      <c r="J933" s="346"/>
      <c r="K933" s="346"/>
      <c r="L933" s="346"/>
      <c r="M933" s="346"/>
      <c r="N933" s="346"/>
      <c r="O933" s="346"/>
      <c r="P933" s="346"/>
      <c r="Q933" s="346"/>
      <c r="R933" s="346"/>
      <c r="S933" s="346"/>
      <c r="T933" s="347"/>
      <c r="U933" s="345"/>
      <c r="V933" s="317"/>
      <c r="W933" s="318"/>
      <c r="X933" s="288"/>
      <c r="Y933" s="220"/>
      <c r="Z933" s="220"/>
      <c r="AA933" s="220"/>
      <c r="AB933" s="220"/>
      <c r="AC933" s="220"/>
      <c r="AD933" s="220"/>
      <c r="AE933" s="220"/>
      <c r="AF933" s="220"/>
      <c r="AG933" s="220"/>
      <c r="AH933" s="220"/>
      <c r="AI933" s="308"/>
      <c r="AJ933" s="220"/>
      <c r="AK933" s="220"/>
      <c r="AL933" s="220"/>
      <c r="AM933" s="220"/>
      <c r="AN933" s="220"/>
      <c r="AO933" s="220"/>
      <c r="AP933" s="220"/>
      <c r="AQ933" s="220"/>
      <c r="AR933" s="220"/>
      <c r="AS933" s="220"/>
      <c r="AT933" s="220"/>
      <c r="AU933" s="220"/>
      <c r="AV933" s="220"/>
      <c r="AW933" s="220"/>
      <c r="AX933" s="220"/>
      <c r="AY933" s="220"/>
      <c r="AZ933" s="220"/>
      <c r="BA933" s="220"/>
      <c r="BB933" s="220"/>
    </row>
    <row r="934">
      <c r="A934" s="240"/>
      <c r="B934" s="319"/>
      <c r="C934" s="346"/>
      <c r="D934" s="346"/>
      <c r="E934" s="346"/>
      <c r="F934" s="346"/>
      <c r="G934" s="346"/>
      <c r="H934" s="346"/>
      <c r="I934" s="346"/>
      <c r="J934" s="346"/>
      <c r="K934" s="346"/>
      <c r="L934" s="346"/>
      <c r="M934" s="346"/>
      <c r="N934" s="346"/>
      <c r="O934" s="346"/>
      <c r="P934" s="346"/>
      <c r="Q934" s="346"/>
      <c r="R934" s="346"/>
      <c r="S934" s="346"/>
      <c r="T934" s="347"/>
      <c r="U934" s="345"/>
      <c r="V934" s="317"/>
      <c r="W934" s="318"/>
      <c r="X934" s="288"/>
      <c r="Y934" s="220"/>
      <c r="Z934" s="220"/>
      <c r="AA934" s="220"/>
      <c r="AB934" s="220"/>
      <c r="AC934" s="220"/>
      <c r="AD934" s="220"/>
      <c r="AE934" s="220"/>
      <c r="AF934" s="220"/>
      <c r="AG934" s="220"/>
      <c r="AH934" s="220"/>
      <c r="AI934" s="308"/>
      <c r="AJ934" s="220"/>
      <c r="AK934" s="220"/>
      <c r="AL934" s="220"/>
      <c r="AM934" s="220"/>
      <c r="AN934" s="220"/>
      <c r="AO934" s="220"/>
      <c r="AP934" s="220"/>
      <c r="AQ934" s="220"/>
      <c r="AR934" s="220"/>
      <c r="AS934" s="220"/>
      <c r="AT934" s="220"/>
      <c r="AU934" s="220"/>
      <c r="AV934" s="220"/>
      <c r="AW934" s="220"/>
      <c r="AX934" s="220"/>
      <c r="AY934" s="220"/>
      <c r="AZ934" s="220"/>
      <c r="BA934" s="220"/>
      <c r="BB934" s="220"/>
    </row>
    <row r="935">
      <c r="A935" s="240"/>
      <c r="B935" s="319"/>
      <c r="C935" s="346"/>
      <c r="D935" s="346"/>
      <c r="E935" s="346"/>
      <c r="F935" s="346"/>
      <c r="G935" s="346"/>
      <c r="H935" s="346"/>
      <c r="I935" s="346"/>
      <c r="J935" s="346"/>
      <c r="K935" s="346"/>
      <c r="L935" s="346"/>
      <c r="M935" s="346"/>
      <c r="N935" s="346"/>
      <c r="O935" s="346"/>
      <c r="P935" s="346"/>
      <c r="Q935" s="346"/>
      <c r="R935" s="346"/>
      <c r="S935" s="346"/>
      <c r="T935" s="347"/>
      <c r="U935" s="345"/>
      <c r="V935" s="317"/>
      <c r="W935" s="318"/>
      <c r="X935" s="288"/>
      <c r="Y935" s="220"/>
      <c r="Z935" s="220"/>
      <c r="AA935" s="220"/>
      <c r="AB935" s="220"/>
      <c r="AC935" s="220"/>
      <c r="AD935" s="220"/>
      <c r="AE935" s="220"/>
      <c r="AF935" s="220"/>
      <c r="AG935" s="220"/>
      <c r="AH935" s="220"/>
      <c r="AI935" s="308"/>
      <c r="AJ935" s="220"/>
      <c r="AK935" s="220"/>
      <c r="AL935" s="220"/>
      <c r="AM935" s="220"/>
      <c r="AN935" s="220"/>
      <c r="AO935" s="220"/>
      <c r="AP935" s="220"/>
      <c r="AQ935" s="220"/>
      <c r="AR935" s="220"/>
      <c r="AS935" s="220"/>
      <c r="AT935" s="220"/>
      <c r="AU935" s="220"/>
      <c r="AV935" s="220"/>
      <c r="AW935" s="220"/>
      <c r="AX935" s="220"/>
      <c r="AY935" s="220"/>
      <c r="AZ935" s="220"/>
      <c r="BA935" s="220"/>
      <c r="BB935" s="220"/>
    </row>
    <row r="936">
      <c r="A936" s="240"/>
      <c r="B936" s="319"/>
      <c r="C936" s="346"/>
      <c r="D936" s="346"/>
      <c r="E936" s="346"/>
      <c r="F936" s="346"/>
      <c r="G936" s="346"/>
      <c r="H936" s="346"/>
      <c r="I936" s="346"/>
      <c r="J936" s="346"/>
      <c r="K936" s="346"/>
      <c r="L936" s="346"/>
      <c r="M936" s="346"/>
      <c r="N936" s="346"/>
      <c r="O936" s="346"/>
      <c r="P936" s="346"/>
      <c r="Q936" s="346"/>
      <c r="R936" s="346"/>
      <c r="S936" s="346"/>
      <c r="T936" s="347"/>
      <c r="U936" s="345"/>
      <c r="V936" s="317"/>
      <c r="W936" s="318"/>
      <c r="X936" s="288"/>
      <c r="Y936" s="220"/>
      <c r="Z936" s="220"/>
      <c r="AA936" s="220"/>
      <c r="AB936" s="220"/>
      <c r="AC936" s="220"/>
      <c r="AD936" s="220"/>
      <c r="AE936" s="220"/>
      <c r="AF936" s="220"/>
      <c r="AG936" s="220"/>
      <c r="AH936" s="220"/>
      <c r="AI936" s="308"/>
      <c r="AJ936" s="220"/>
      <c r="AK936" s="220"/>
      <c r="AL936" s="220"/>
      <c r="AM936" s="220"/>
      <c r="AN936" s="220"/>
      <c r="AO936" s="220"/>
      <c r="AP936" s="220"/>
      <c r="AQ936" s="220"/>
      <c r="AR936" s="220"/>
      <c r="AS936" s="220"/>
      <c r="AT936" s="220"/>
      <c r="AU936" s="220"/>
      <c r="AV936" s="220"/>
      <c r="AW936" s="220"/>
      <c r="AX936" s="220"/>
      <c r="AY936" s="220"/>
      <c r="AZ936" s="220"/>
      <c r="BA936" s="220"/>
      <c r="BB936" s="220"/>
    </row>
    <row r="937">
      <c r="A937" s="240"/>
      <c r="B937" s="319"/>
      <c r="C937" s="346"/>
      <c r="D937" s="346"/>
      <c r="E937" s="346"/>
      <c r="F937" s="346"/>
      <c r="G937" s="346"/>
      <c r="H937" s="346"/>
      <c r="I937" s="346"/>
      <c r="J937" s="346"/>
      <c r="K937" s="346"/>
      <c r="L937" s="346"/>
      <c r="M937" s="346"/>
      <c r="N937" s="346"/>
      <c r="O937" s="346"/>
      <c r="P937" s="346"/>
      <c r="Q937" s="346"/>
      <c r="R937" s="346"/>
      <c r="S937" s="346"/>
      <c r="T937" s="347"/>
      <c r="U937" s="345"/>
      <c r="V937" s="317"/>
      <c r="W937" s="318"/>
      <c r="X937" s="288"/>
      <c r="Y937" s="220"/>
      <c r="Z937" s="220"/>
      <c r="AA937" s="220"/>
      <c r="AB937" s="220"/>
      <c r="AC937" s="220"/>
      <c r="AD937" s="220"/>
      <c r="AE937" s="220"/>
      <c r="AF937" s="220"/>
      <c r="AG937" s="220"/>
      <c r="AH937" s="220"/>
      <c r="AI937" s="308"/>
      <c r="AJ937" s="220"/>
      <c r="AK937" s="220"/>
      <c r="AL937" s="220"/>
      <c r="AM937" s="220"/>
      <c r="AN937" s="220"/>
      <c r="AO937" s="220"/>
      <c r="AP937" s="220"/>
      <c r="AQ937" s="220"/>
      <c r="AR937" s="220"/>
      <c r="AS937" s="220"/>
      <c r="AT937" s="220"/>
      <c r="AU937" s="220"/>
      <c r="AV937" s="220"/>
      <c r="AW937" s="220"/>
      <c r="AX937" s="220"/>
      <c r="AY937" s="220"/>
      <c r="AZ937" s="220"/>
      <c r="BA937" s="220"/>
      <c r="BB937" s="220"/>
    </row>
    <row r="938">
      <c r="A938" s="240"/>
      <c r="B938" s="319"/>
      <c r="C938" s="346"/>
      <c r="D938" s="346"/>
      <c r="E938" s="346"/>
      <c r="F938" s="346"/>
      <c r="G938" s="346"/>
      <c r="H938" s="346"/>
      <c r="I938" s="346"/>
      <c r="J938" s="346"/>
      <c r="K938" s="346"/>
      <c r="L938" s="346"/>
      <c r="M938" s="346"/>
      <c r="N938" s="346"/>
      <c r="O938" s="346"/>
      <c r="P938" s="346"/>
      <c r="Q938" s="346"/>
      <c r="R938" s="346"/>
      <c r="S938" s="346"/>
      <c r="T938" s="347"/>
      <c r="U938" s="345"/>
      <c r="V938" s="317"/>
      <c r="W938" s="318"/>
      <c r="X938" s="288"/>
      <c r="Y938" s="220"/>
      <c r="Z938" s="220"/>
      <c r="AA938" s="220"/>
      <c r="AB938" s="220"/>
      <c r="AC938" s="220"/>
      <c r="AD938" s="220"/>
      <c r="AE938" s="220"/>
      <c r="AF938" s="220"/>
      <c r="AG938" s="220"/>
      <c r="AH938" s="220"/>
      <c r="AI938" s="308"/>
      <c r="AJ938" s="220"/>
      <c r="AK938" s="220"/>
      <c r="AL938" s="220"/>
      <c r="AM938" s="220"/>
      <c r="AN938" s="220"/>
      <c r="AO938" s="220"/>
      <c r="AP938" s="220"/>
      <c r="AQ938" s="220"/>
      <c r="AR938" s="220"/>
      <c r="AS938" s="220"/>
      <c r="AT938" s="220"/>
      <c r="AU938" s="220"/>
      <c r="AV938" s="220"/>
      <c r="AW938" s="220"/>
      <c r="AX938" s="220"/>
      <c r="AY938" s="220"/>
      <c r="AZ938" s="220"/>
      <c r="BA938" s="220"/>
      <c r="BB938" s="220"/>
    </row>
    <row r="939">
      <c r="A939" s="240"/>
      <c r="B939" s="319"/>
      <c r="C939" s="346"/>
      <c r="D939" s="346"/>
      <c r="E939" s="346"/>
      <c r="F939" s="346"/>
      <c r="G939" s="346"/>
      <c r="H939" s="346"/>
      <c r="I939" s="346"/>
      <c r="J939" s="346"/>
      <c r="K939" s="346"/>
      <c r="L939" s="346"/>
      <c r="M939" s="346"/>
      <c r="N939" s="346"/>
      <c r="O939" s="346"/>
      <c r="P939" s="346"/>
      <c r="Q939" s="346"/>
      <c r="R939" s="346"/>
      <c r="S939" s="346"/>
      <c r="T939" s="347"/>
      <c r="U939" s="345"/>
      <c r="V939" s="317"/>
      <c r="W939" s="318"/>
      <c r="X939" s="288"/>
      <c r="Y939" s="220"/>
      <c r="Z939" s="220"/>
      <c r="AA939" s="220"/>
      <c r="AB939" s="220"/>
      <c r="AC939" s="220"/>
      <c r="AD939" s="220"/>
      <c r="AE939" s="220"/>
      <c r="AF939" s="220"/>
      <c r="AG939" s="220"/>
      <c r="AH939" s="220"/>
      <c r="AI939" s="308"/>
      <c r="AJ939" s="220"/>
      <c r="AK939" s="220"/>
      <c r="AL939" s="220"/>
      <c r="AM939" s="220"/>
      <c r="AN939" s="220"/>
      <c r="AO939" s="220"/>
      <c r="AP939" s="220"/>
      <c r="AQ939" s="220"/>
      <c r="AR939" s="220"/>
      <c r="AS939" s="220"/>
      <c r="AT939" s="220"/>
      <c r="AU939" s="220"/>
      <c r="AV939" s="220"/>
      <c r="AW939" s="220"/>
      <c r="AX939" s="220"/>
      <c r="AY939" s="220"/>
      <c r="AZ939" s="220"/>
      <c r="BA939" s="220"/>
      <c r="BB939" s="220"/>
    </row>
    <row r="940">
      <c r="A940" s="240"/>
      <c r="B940" s="319"/>
      <c r="C940" s="346"/>
      <c r="D940" s="346"/>
      <c r="E940" s="346"/>
      <c r="F940" s="346"/>
      <c r="G940" s="346"/>
      <c r="H940" s="346"/>
      <c r="I940" s="346"/>
      <c r="J940" s="346"/>
      <c r="K940" s="346"/>
      <c r="L940" s="346"/>
      <c r="M940" s="346"/>
      <c r="N940" s="346"/>
      <c r="O940" s="346"/>
      <c r="P940" s="346"/>
      <c r="Q940" s="346"/>
      <c r="R940" s="346"/>
      <c r="S940" s="346"/>
      <c r="T940" s="347"/>
      <c r="U940" s="345"/>
      <c r="V940" s="317"/>
      <c r="W940" s="318"/>
      <c r="X940" s="288"/>
      <c r="Y940" s="220"/>
      <c r="Z940" s="220"/>
      <c r="AA940" s="220"/>
      <c r="AB940" s="220"/>
      <c r="AC940" s="220"/>
      <c r="AD940" s="220"/>
      <c r="AE940" s="220"/>
      <c r="AF940" s="220"/>
      <c r="AG940" s="220"/>
      <c r="AH940" s="220"/>
      <c r="AI940" s="308"/>
      <c r="AJ940" s="220"/>
      <c r="AK940" s="220"/>
      <c r="AL940" s="220"/>
      <c r="AM940" s="220"/>
      <c r="AN940" s="220"/>
      <c r="AO940" s="220"/>
      <c r="AP940" s="220"/>
      <c r="AQ940" s="220"/>
      <c r="AR940" s="220"/>
      <c r="AS940" s="220"/>
      <c r="AT940" s="220"/>
      <c r="AU940" s="220"/>
      <c r="AV940" s="220"/>
      <c r="AW940" s="220"/>
      <c r="AX940" s="220"/>
      <c r="AY940" s="220"/>
      <c r="AZ940" s="220"/>
      <c r="BA940" s="220"/>
      <c r="BB940" s="220"/>
    </row>
    <row r="941">
      <c r="A941" s="240"/>
      <c r="B941" s="319"/>
      <c r="C941" s="346"/>
      <c r="D941" s="346"/>
      <c r="E941" s="346"/>
      <c r="F941" s="346"/>
      <c r="G941" s="346"/>
      <c r="H941" s="346"/>
      <c r="I941" s="346"/>
      <c r="J941" s="346"/>
      <c r="K941" s="346"/>
      <c r="L941" s="346"/>
      <c r="M941" s="346"/>
      <c r="N941" s="346"/>
      <c r="O941" s="346"/>
      <c r="P941" s="346"/>
      <c r="Q941" s="346"/>
      <c r="R941" s="346"/>
      <c r="S941" s="346"/>
      <c r="T941" s="347"/>
      <c r="U941" s="345"/>
      <c r="V941" s="317"/>
      <c r="W941" s="318"/>
      <c r="X941" s="288"/>
      <c r="Y941" s="220"/>
      <c r="Z941" s="220"/>
      <c r="AA941" s="220"/>
      <c r="AB941" s="220"/>
      <c r="AC941" s="220"/>
      <c r="AD941" s="220"/>
      <c r="AE941" s="220"/>
      <c r="AF941" s="220"/>
      <c r="AG941" s="220"/>
      <c r="AH941" s="220"/>
      <c r="AI941" s="308"/>
      <c r="AJ941" s="220"/>
      <c r="AK941" s="220"/>
      <c r="AL941" s="220"/>
      <c r="AM941" s="220"/>
      <c r="AN941" s="220"/>
      <c r="AO941" s="220"/>
      <c r="AP941" s="220"/>
      <c r="AQ941" s="220"/>
      <c r="AR941" s="220"/>
      <c r="AS941" s="220"/>
      <c r="AT941" s="220"/>
      <c r="AU941" s="220"/>
      <c r="AV941" s="220"/>
      <c r="AW941" s="220"/>
      <c r="AX941" s="220"/>
      <c r="AY941" s="220"/>
      <c r="AZ941" s="220"/>
      <c r="BA941" s="220"/>
      <c r="BB941" s="220"/>
    </row>
    <row r="942">
      <c r="A942" s="240"/>
      <c r="B942" s="319"/>
      <c r="C942" s="346"/>
      <c r="D942" s="346"/>
      <c r="E942" s="346"/>
      <c r="F942" s="346"/>
      <c r="G942" s="346"/>
      <c r="H942" s="346"/>
      <c r="I942" s="346"/>
      <c r="J942" s="346"/>
      <c r="K942" s="346"/>
      <c r="L942" s="346"/>
      <c r="M942" s="346"/>
      <c r="N942" s="346"/>
      <c r="O942" s="346"/>
      <c r="P942" s="346"/>
      <c r="Q942" s="346"/>
      <c r="R942" s="346"/>
      <c r="S942" s="346"/>
      <c r="T942" s="347"/>
      <c r="U942" s="345"/>
      <c r="V942" s="317"/>
      <c r="W942" s="318"/>
      <c r="X942" s="288"/>
      <c r="Y942" s="220"/>
      <c r="Z942" s="220"/>
      <c r="AA942" s="220"/>
      <c r="AB942" s="220"/>
      <c r="AC942" s="220"/>
      <c r="AD942" s="220"/>
      <c r="AE942" s="220"/>
      <c r="AF942" s="220"/>
      <c r="AG942" s="220"/>
      <c r="AH942" s="220"/>
      <c r="AI942" s="308"/>
      <c r="AJ942" s="220"/>
      <c r="AK942" s="220"/>
      <c r="AL942" s="220"/>
      <c r="AM942" s="220"/>
      <c r="AN942" s="220"/>
      <c r="AO942" s="220"/>
      <c r="AP942" s="220"/>
      <c r="AQ942" s="220"/>
      <c r="AR942" s="220"/>
      <c r="AS942" s="220"/>
      <c r="AT942" s="220"/>
      <c r="AU942" s="220"/>
      <c r="AV942" s="220"/>
      <c r="AW942" s="220"/>
      <c r="AX942" s="220"/>
      <c r="AY942" s="220"/>
      <c r="AZ942" s="220"/>
      <c r="BA942" s="220"/>
      <c r="BB942" s="220"/>
    </row>
    <row r="943">
      <c r="A943" s="240"/>
      <c r="B943" s="319"/>
      <c r="C943" s="346"/>
      <c r="D943" s="346"/>
      <c r="E943" s="346"/>
      <c r="F943" s="346"/>
      <c r="G943" s="346"/>
      <c r="H943" s="346"/>
      <c r="I943" s="346"/>
      <c r="J943" s="346"/>
      <c r="K943" s="346"/>
      <c r="L943" s="346"/>
      <c r="M943" s="346"/>
      <c r="N943" s="346"/>
      <c r="O943" s="346"/>
      <c r="P943" s="346"/>
      <c r="Q943" s="346"/>
      <c r="R943" s="346"/>
      <c r="S943" s="346"/>
      <c r="T943" s="347"/>
      <c r="U943" s="345"/>
      <c r="V943" s="317"/>
      <c r="W943" s="318"/>
      <c r="X943" s="288"/>
      <c r="Y943" s="220"/>
      <c r="Z943" s="220"/>
      <c r="AA943" s="220"/>
      <c r="AB943" s="220"/>
      <c r="AC943" s="220"/>
      <c r="AD943" s="220"/>
      <c r="AE943" s="220"/>
      <c r="AF943" s="220"/>
      <c r="AG943" s="220"/>
      <c r="AH943" s="220"/>
      <c r="AI943" s="308"/>
      <c r="AJ943" s="220"/>
      <c r="AK943" s="220"/>
      <c r="AL943" s="220"/>
      <c r="AM943" s="220"/>
      <c r="AN943" s="220"/>
      <c r="AO943" s="220"/>
      <c r="AP943" s="220"/>
      <c r="AQ943" s="220"/>
      <c r="AR943" s="220"/>
      <c r="AS943" s="220"/>
      <c r="AT943" s="220"/>
      <c r="AU943" s="220"/>
      <c r="AV943" s="220"/>
      <c r="AW943" s="220"/>
      <c r="AX943" s="220"/>
      <c r="AY943" s="220"/>
      <c r="AZ943" s="220"/>
      <c r="BA943" s="220"/>
      <c r="BB943" s="220"/>
    </row>
    <row r="944">
      <c r="A944" s="240"/>
      <c r="B944" s="319"/>
      <c r="C944" s="346"/>
      <c r="D944" s="346"/>
      <c r="E944" s="346"/>
      <c r="F944" s="346"/>
      <c r="G944" s="346"/>
      <c r="H944" s="346"/>
      <c r="I944" s="346"/>
      <c r="J944" s="346"/>
      <c r="K944" s="346"/>
      <c r="L944" s="346"/>
      <c r="M944" s="346"/>
      <c r="N944" s="346"/>
      <c r="O944" s="346"/>
      <c r="P944" s="346"/>
      <c r="Q944" s="346"/>
      <c r="R944" s="346"/>
      <c r="S944" s="346"/>
      <c r="T944" s="347"/>
      <c r="U944" s="345"/>
      <c r="V944" s="317"/>
      <c r="W944" s="318"/>
      <c r="X944" s="288"/>
      <c r="Y944" s="220"/>
      <c r="Z944" s="220"/>
      <c r="AA944" s="220"/>
      <c r="AB944" s="220"/>
      <c r="AC944" s="220"/>
      <c r="AD944" s="220"/>
      <c r="AE944" s="220"/>
      <c r="AF944" s="220"/>
      <c r="AG944" s="220"/>
      <c r="AH944" s="220"/>
      <c r="AI944" s="308"/>
      <c r="AJ944" s="220"/>
      <c r="AK944" s="220"/>
      <c r="AL944" s="220"/>
      <c r="AM944" s="220"/>
      <c r="AN944" s="220"/>
      <c r="AO944" s="220"/>
      <c r="AP944" s="220"/>
      <c r="AQ944" s="220"/>
      <c r="AR944" s="220"/>
      <c r="AS944" s="220"/>
      <c r="AT944" s="220"/>
      <c r="AU944" s="220"/>
      <c r="AV944" s="220"/>
      <c r="AW944" s="220"/>
      <c r="AX944" s="220"/>
      <c r="AY944" s="220"/>
      <c r="AZ944" s="220"/>
      <c r="BA944" s="220"/>
      <c r="BB944" s="220"/>
    </row>
    <row r="945">
      <c r="A945" s="240"/>
      <c r="B945" s="319"/>
      <c r="C945" s="346"/>
      <c r="D945" s="346"/>
      <c r="E945" s="346"/>
      <c r="F945" s="346"/>
      <c r="G945" s="346"/>
      <c r="H945" s="346"/>
      <c r="I945" s="346"/>
      <c r="J945" s="346"/>
      <c r="K945" s="346"/>
      <c r="L945" s="346"/>
      <c r="M945" s="346"/>
      <c r="N945" s="346"/>
      <c r="O945" s="346"/>
      <c r="P945" s="346"/>
      <c r="Q945" s="346"/>
      <c r="R945" s="346"/>
      <c r="S945" s="346"/>
      <c r="T945" s="347"/>
      <c r="U945" s="345"/>
      <c r="V945" s="317"/>
      <c r="W945" s="318"/>
      <c r="X945" s="288"/>
      <c r="Y945" s="220"/>
      <c r="Z945" s="220"/>
      <c r="AA945" s="220"/>
      <c r="AB945" s="220"/>
      <c r="AC945" s="220"/>
      <c r="AD945" s="220"/>
      <c r="AE945" s="220"/>
      <c r="AF945" s="220"/>
      <c r="AG945" s="220"/>
      <c r="AH945" s="220"/>
      <c r="AI945" s="308"/>
      <c r="AJ945" s="220"/>
      <c r="AK945" s="220"/>
      <c r="AL945" s="220"/>
      <c r="AM945" s="220"/>
      <c r="AN945" s="220"/>
      <c r="AO945" s="220"/>
      <c r="AP945" s="220"/>
      <c r="AQ945" s="220"/>
      <c r="AR945" s="220"/>
      <c r="AS945" s="220"/>
      <c r="AT945" s="220"/>
      <c r="AU945" s="220"/>
      <c r="AV945" s="220"/>
      <c r="AW945" s="220"/>
      <c r="AX945" s="220"/>
      <c r="AY945" s="220"/>
      <c r="AZ945" s="220"/>
      <c r="BA945" s="220"/>
      <c r="BB945" s="220"/>
    </row>
    <row r="946">
      <c r="A946" s="240"/>
      <c r="B946" s="319"/>
      <c r="C946" s="346"/>
      <c r="D946" s="346"/>
      <c r="E946" s="346"/>
      <c r="F946" s="346"/>
      <c r="G946" s="346"/>
      <c r="H946" s="346"/>
      <c r="I946" s="346"/>
      <c r="J946" s="346"/>
      <c r="K946" s="346"/>
      <c r="L946" s="346"/>
      <c r="M946" s="346"/>
      <c r="N946" s="346"/>
      <c r="O946" s="346"/>
      <c r="P946" s="346"/>
      <c r="Q946" s="346"/>
      <c r="R946" s="346"/>
      <c r="S946" s="346"/>
      <c r="T946" s="347"/>
      <c r="U946" s="345"/>
      <c r="V946" s="317"/>
      <c r="W946" s="318"/>
      <c r="X946" s="288"/>
      <c r="Y946" s="220"/>
      <c r="Z946" s="220"/>
      <c r="AA946" s="220"/>
      <c r="AB946" s="220"/>
      <c r="AC946" s="220"/>
      <c r="AD946" s="220"/>
      <c r="AE946" s="220"/>
      <c r="AF946" s="220"/>
      <c r="AG946" s="220"/>
      <c r="AH946" s="220"/>
      <c r="AI946" s="308"/>
      <c r="AJ946" s="220"/>
      <c r="AK946" s="220"/>
      <c r="AL946" s="220"/>
      <c r="AM946" s="220"/>
      <c r="AN946" s="220"/>
      <c r="AO946" s="220"/>
      <c r="AP946" s="220"/>
      <c r="AQ946" s="220"/>
      <c r="AR946" s="220"/>
      <c r="AS946" s="220"/>
      <c r="AT946" s="220"/>
      <c r="AU946" s="220"/>
      <c r="AV946" s="220"/>
      <c r="AW946" s="220"/>
      <c r="AX946" s="220"/>
      <c r="AY946" s="220"/>
      <c r="AZ946" s="220"/>
      <c r="BA946" s="220"/>
      <c r="BB946" s="220"/>
    </row>
    <row r="947">
      <c r="A947" s="240"/>
      <c r="B947" s="319"/>
      <c r="C947" s="346"/>
      <c r="D947" s="346"/>
      <c r="E947" s="346"/>
      <c r="F947" s="346"/>
      <c r="G947" s="346"/>
      <c r="H947" s="346"/>
      <c r="I947" s="346"/>
      <c r="J947" s="346"/>
      <c r="K947" s="346"/>
      <c r="L947" s="346"/>
      <c r="M947" s="346"/>
      <c r="N947" s="346"/>
      <c r="O947" s="346"/>
      <c r="P947" s="346"/>
      <c r="Q947" s="346"/>
      <c r="R947" s="346"/>
      <c r="S947" s="346"/>
      <c r="T947" s="347"/>
      <c r="U947" s="345"/>
      <c r="V947" s="317"/>
      <c r="W947" s="318"/>
      <c r="X947" s="288"/>
      <c r="Y947" s="220"/>
      <c r="Z947" s="220"/>
      <c r="AA947" s="220"/>
      <c r="AB947" s="220"/>
      <c r="AC947" s="220"/>
      <c r="AD947" s="220"/>
      <c r="AE947" s="220"/>
      <c r="AF947" s="220"/>
      <c r="AG947" s="220"/>
      <c r="AH947" s="220"/>
      <c r="AI947" s="308"/>
      <c r="AJ947" s="220"/>
      <c r="AK947" s="220"/>
      <c r="AL947" s="220"/>
      <c r="AM947" s="220"/>
      <c r="AN947" s="220"/>
      <c r="AO947" s="220"/>
      <c r="AP947" s="220"/>
      <c r="AQ947" s="220"/>
      <c r="AR947" s="220"/>
      <c r="AS947" s="220"/>
      <c r="AT947" s="220"/>
      <c r="AU947" s="220"/>
      <c r="AV947" s="220"/>
      <c r="AW947" s="220"/>
      <c r="AX947" s="220"/>
      <c r="AY947" s="220"/>
      <c r="AZ947" s="220"/>
      <c r="BA947" s="220"/>
      <c r="BB947" s="220"/>
    </row>
    <row r="948">
      <c r="A948" s="240"/>
      <c r="B948" s="319"/>
      <c r="C948" s="346"/>
      <c r="D948" s="346"/>
      <c r="E948" s="346"/>
      <c r="F948" s="346"/>
      <c r="G948" s="346"/>
      <c r="H948" s="346"/>
      <c r="I948" s="346"/>
      <c r="J948" s="346"/>
      <c r="K948" s="346"/>
      <c r="L948" s="346"/>
      <c r="M948" s="346"/>
      <c r="N948" s="346"/>
      <c r="O948" s="346"/>
      <c r="P948" s="346"/>
      <c r="Q948" s="346"/>
      <c r="R948" s="346"/>
      <c r="S948" s="346"/>
      <c r="T948" s="347"/>
      <c r="U948" s="345"/>
      <c r="V948" s="317"/>
      <c r="W948" s="318"/>
      <c r="X948" s="288"/>
      <c r="Y948" s="220"/>
      <c r="Z948" s="220"/>
      <c r="AA948" s="220"/>
      <c r="AB948" s="220"/>
      <c r="AC948" s="220"/>
      <c r="AD948" s="220"/>
      <c r="AE948" s="220"/>
      <c r="AF948" s="220"/>
      <c r="AG948" s="220"/>
      <c r="AH948" s="220"/>
      <c r="AI948" s="308"/>
      <c r="AJ948" s="220"/>
      <c r="AK948" s="220"/>
      <c r="AL948" s="220"/>
      <c r="AM948" s="220"/>
      <c r="AN948" s="220"/>
      <c r="AO948" s="220"/>
      <c r="AP948" s="220"/>
      <c r="AQ948" s="220"/>
      <c r="AR948" s="220"/>
      <c r="AS948" s="220"/>
      <c r="AT948" s="220"/>
      <c r="AU948" s="220"/>
      <c r="AV948" s="220"/>
      <c r="AW948" s="220"/>
      <c r="AX948" s="220"/>
      <c r="AY948" s="220"/>
      <c r="AZ948" s="220"/>
      <c r="BA948" s="220"/>
      <c r="BB948" s="220"/>
    </row>
    <row r="949">
      <c r="A949" s="240"/>
      <c r="B949" s="319"/>
      <c r="C949" s="346"/>
      <c r="D949" s="346"/>
      <c r="E949" s="346"/>
      <c r="F949" s="346"/>
      <c r="G949" s="346"/>
      <c r="H949" s="346"/>
      <c r="I949" s="346"/>
      <c r="J949" s="346"/>
      <c r="K949" s="346"/>
      <c r="L949" s="346"/>
      <c r="M949" s="346"/>
      <c r="N949" s="346"/>
      <c r="O949" s="346"/>
      <c r="P949" s="346"/>
      <c r="Q949" s="346"/>
      <c r="R949" s="346"/>
      <c r="S949" s="346"/>
      <c r="T949" s="347"/>
      <c r="U949" s="345"/>
      <c r="V949" s="317"/>
      <c r="W949" s="318"/>
      <c r="X949" s="288"/>
      <c r="Y949" s="220"/>
      <c r="Z949" s="220"/>
      <c r="AA949" s="220"/>
      <c r="AB949" s="220"/>
      <c r="AC949" s="220"/>
      <c r="AD949" s="220"/>
      <c r="AE949" s="220"/>
      <c r="AF949" s="220"/>
      <c r="AG949" s="220"/>
      <c r="AH949" s="220"/>
      <c r="AI949" s="308"/>
      <c r="AJ949" s="220"/>
      <c r="AK949" s="220"/>
      <c r="AL949" s="220"/>
      <c r="AM949" s="220"/>
      <c r="AN949" s="220"/>
      <c r="AO949" s="220"/>
      <c r="AP949" s="220"/>
      <c r="AQ949" s="220"/>
      <c r="AR949" s="220"/>
      <c r="AS949" s="220"/>
      <c r="AT949" s="220"/>
      <c r="AU949" s="220"/>
      <c r="AV949" s="220"/>
      <c r="AW949" s="220"/>
      <c r="AX949" s="220"/>
      <c r="AY949" s="220"/>
      <c r="AZ949" s="220"/>
      <c r="BA949" s="220"/>
      <c r="BB949" s="220"/>
    </row>
    <row r="950">
      <c r="A950" s="240"/>
      <c r="B950" s="319"/>
      <c r="C950" s="346"/>
      <c r="D950" s="346"/>
      <c r="E950" s="346"/>
      <c r="F950" s="346"/>
      <c r="G950" s="346"/>
      <c r="H950" s="346"/>
      <c r="I950" s="346"/>
      <c r="J950" s="346"/>
      <c r="K950" s="346"/>
      <c r="L950" s="346"/>
      <c r="M950" s="346"/>
      <c r="N950" s="346"/>
      <c r="O950" s="346"/>
      <c r="P950" s="346"/>
      <c r="Q950" s="346"/>
      <c r="R950" s="346"/>
      <c r="S950" s="346"/>
      <c r="T950" s="347"/>
      <c r="U950" s="345"/>
      <c r="V950" s="317"/>
      <c r="W950" s="318"/>
      <c r="X950" s="288"/>
      <c r="Y950" s="220"/>
      <c r="Z950" s="220"/>
      <c r="AA950" s="220"/>
      <c r="AB950" s="220"/>
      <c r="AC950" s="220"/>
      <c r="AD950" s="220"/>
      <c r="AE950" s="220"/>
      <c r="AF950" s="220"/>
      <c r="AG950" s="220"/>
      <c r="AH950" s="220"/>
      <c r="AI950" s="308"/>
      <c r="AJ950" s="220"/>
      <c r="AK950" s="220"/>
      <c r="AL950" s="220"/>
      <c r="AM950" s="220"/>
      <c r="AN950" s="220"/>
      <c r="AO950" s="220"/>
      <c r="AP950" s="220"/>
      <c r="AQ950" s="220"/>
      <c r="AR950" s="220"/>
      <c r="AS950" s="220"/>
      <c r="AT950" s="220"/>
      <c r="AU950" s="220"/>
      <c r="AV950" s="220"/>
      <c r="AW950" s="220"/>
      <c r="AX950" s="220"/>
      <c r="AY950" s="220"/>
      <c r="AZ950" s="220"/>
      <c r="BA950" s="220"/>
      <c r="BB950" s="220"/>
    </row>
    <row r="951">
      <c r="A951" s="240"/>
      <c r="B951" s="319"/>
      <c r="C951" s="346"/>
      <c r="D951" s="346"/>
      <c r="E951" s="346"/>
      <c r="F951" s="346"/>
      <c r="G951" s="346"/>
      <c r="H951" s="346"/>
      <c r="I951" s="346"/>
      <c r="J951" s="346"/>
      <c r="K951" s="346"/>
      <c r="L951" s="346"/>
      <c r="M951" s="346"/>
      <c r="N951" s="346"/>
      <c r="O951" s="346"/>
      <c r="P951" s="346"/>
      <c r="Q951" s="346"/>
      <c r="R951" s="346"/>
      <c r="S951" s="346"/>
      <c r="T951" s="347"/>
      <c r="U951" s="345"/>
      <c r="V951" s="317"/>
      <c r="W951" s="318"/>
      <c r="X951" s="288"/>
      <c r="Y951" s="220"/>
      <c r="Z951" s="220"/>
      <c r="AA951" s="220"/>
      <c r="AB951" s="220"/>
      <c r="AC951" s="220"/>
      <c r="AD951" s="220"/>
      <c r="AE951" s="220"/>
      <c r="AF951" s="220"/>
      <c r="AG951" s="220"/>
      <c r="AH951" s="220"/>
      <c r="AI951" s="308"/>
      <c r="AJ951" s="220"/>
      <c r="AK951" s="220"/>
      <c r="AL951" s="220"/>
      <c r="AM951" s="220"/>
      <c r="AN951" s="220"/>
      <c r="AO951" s="220"/>
      <c r="AP951" s="220"/>
      <c r="AQ951" s="220"/>
      <c r="AR951" s="220"/>
      <c r="AS951" s="220"/>
      <c r="AT951" s="220"/>
      <c r="AU951" s="220"/>
      <c r="AV951" s="220"/>
      <c r="AW951" s="220"/>
      <c r="AX951" s="220"/>
      <c r="AY951" s="220"/>
      <c r="AZ951" s="220"/>
      <c r="BA951" s="220"/>
      <c r="BB951" s="220"/>
    </row>
    <row r="952">
      <c r="A952" s="240"/>
      <c r="B952" s="319"/>
      <c r="C952" s="346"/>
      <c r="D952" s="346"/>
      <c r="E952" s="346"/>
      <c r="F952" s="346"/>
      <c r="G952" s="346"/>
      <c r="H952" s="346"/>
      <c r="I952" s="346"/>
      <c r="J952" s="346"/>
      <c r="K952" s="346"/>
      <c r="L952" s="346"/>
      <c r="M952" s="346"/>
      <c r="N952" s="346"/>
      <c r="O952" s="346"/>
      <c r="P952" s="346"/>
      <c r="Q952" s="346"/>
      <c r="R952" s="346"/>
      <c r="S952" s="346"/>
      <c r="T952" s="347"/>
      <c r="U952" s="345"/>
      <c r="V952" s="317"/>
      <c r="W952" s="318"/>
      <c r="X952" s="288"/>
      <c r="Y952" s="220"/>
      <c r="Z952" s="220"/>
      <c r="AA952" s="220"/>
      <c r="AB952" s="220"/>
      <c r="AC952" s="220"/>
      <c r="AD952" s="220"/>
      <c r="AE952" s="220"/>
      <c r="AF952" s="220"/>
      <c r="AG952" s="220"/>
      <c r="AH952" s="220"/>
      <c r="AI952" s="308"/>
      <c r="AJ952" s="220"/>
      <c r="AK952" s="220"/>
      <c r="AL952" s="220"/>
      <c r="AM952" s="220"/>
      <c r="AN952" s="220"/>
      <c r="AO952" s="220"/>
      <c r="AP952" s="220"/>
      <c r="AQ952" s="220"/>
      <c r="AR952" s="220"/>
      <c r="AS952" s="220"/>
      <c r="AT952" s="220"/>
      <c r="AU952" s="220"/>
      <c r="AV952" s="220"/>
      <c r="AW952" s="220"/>
      <c r="AX952" s="220"/>
      <c r="AY952" s="220"/>
      <c r="AZ952" s="220"/>
      <c r="BA952" s="220"/>
      <c r="BB952" s="220"/>
    </row>
    <row r="953">
      <c r="A953" s="240"/>
      <c r="B953" s="319"/>
      <c r="C953" s="346"/>
      <c r="D953" s="346"/>
      <c r="E953" s="346"/>
      <c r="F953" s="346"/>
      <c r="G953" s="346"/>
      <c r="H953" s="346"/>
      <c r="I953" s="346"/>
      <c r="J953" s="346"/>
      <c r="K953" s="346"/>
      <c r="L953" s="346"/>
      <c r="M953" s="346"/>
      <c r="N953" s="346"/>
      <c r="O953" s="346"/>
      <c r="P953" s="346"/>
      <c r="Q953" s="346"/>
      <c r="R953" s="346"/>
      <c r="S953" s="346"/>
      <c r="T953" s="347"/>
      <c r="U953" s="345"/>
      <c r="V953" s="317"/>
      <c r="W953" s="318"/>
      <c r="X953" s="288"/>
      <c r="Y953" s="220"/>
      <c r="Z953" s="220"/>
      <c r="AA953" s="220"/>
      <c r="AB953" s="220"/>
      <c r="AC953" s="220"/>
      <c r="AD953" s="220"/>
      <c r="AE953" s="220"/>
      <c r="AF953" s="220"/>
      <c r="AG953" s="220"/>
      <c r="AH953" s="220"/>
      <c r="AI953" s="308"/>
      <c r="AJ953" s="220"/>
      <c r="AK953" s="220"/>
      <c r="AL953" s="220"/>
      <c r="AM953" s="220"/>
      <c r="AN953" s="220"/>
      <c r="AO953" s="220"/>
      <c r="AP953" s="220"/>
      <c r="AQ953" s="220"/>
      <c r="AR953" s="220"/>
      <c r="AS953" s="220"/>
      <c r="AT953" s="220"/>
      <c r="AU953" s="220"/>
      <c r="AV953" s="220"/>
      <c r="AW953" s="220"/>
      <c r="AX953" s="220"/>
      <c r="AY953" s="220"/>
      <c r="AZ953" s="220"/>
      <c r="BA953" s="220"/>
      <c r="BB953" s="220"/>
    </row>
    <row r="954">
      <c r="A954" s="240"/>
      <c r="B954" s="319"/>
      <c r="C954" s="346"/>
      <c r="D954" s="346"/>
      <c r="E954" s="346"/>
      <c r="F954" s="346"/>
      <c r="G954" s="346"/>
      <c r="H954" s="346"/>
      <c r="I954" s="346"/>
      <c r="J954" s="346"/>
      <c r="K954" s="346"/>
      <c r="L954" s="346"/>
      <c r="M954" s="346"/>
      <c r="N954" s="346"/>
      <c r="O954" s="346"/>
      <c r="P954" s="346"/>
      <c r="Q954" s="346"/>
      <c r="R954" s="346"/>
      <c r="S954" s="346"/>
      <c r="T954" s="347"/>
      <c r="U954" s="345"/>
      <c r="V954" s="317"/>
      <c r="W954" s="318"/>
      <c r="X954" s="288"/>
      <c r="Y954" s="220"/>
      <c r="Z954" s="220"/>
      <c r="AA954" s="220"/>
      <c r="AB954" s="220"/>
      <c r="AC954" s="220"/>
      <c r="AD954" s="220"/>
      <c r="AE954" s="220"/>
      <c r="AF954" s="220"/>
      <c r="AG954" s="220"/>
      <c r="AH954" s="220"/>
      <c r="AI954" s="308"/>
      <c r="AJ954" s="220"/>
      <c r="AK954" s="220"/>
      <c r="AL954" s="220"/>
      <c r="AM954" s="220"/>
      <c r="AN954" s="220"/>
      <c r="AO954" s="220"/>
      <c r="AP954" s="220"/>
      <c r="AQ954" s="220"/>
      <c r="AR954" s="220"/>
      <c r="AS954" s="220"/>
      <c r="AT954" s="220"/>
      <c r="AU954" s="220"/>
      <c r="AV954" s="220"/>
      <c r="AW954" s="220"/>
      <c r="AX954" s="220"/>
      <c r="AY954" s="220"/>
      <c r="AZ954" s="220"/>
      <c r="BA954" s="220"/>
      <c r="BB954" s="220"/>
    </row>
    <row r="955">
      <c r="A955" s="240"/>
      <c r="B955" s="319"/>
      <c r="C955" s="346"/>
      <c r="D955" s="346"/>
      <c r="E955" s="346"/>
      <c r="F955" s="346"/>
      <c r="G955" s="346"/>
      <c r="H955" s="346"/>
      <c r="I955" s="346"/>
      <c r="J955" s="346"/>
      <c r="K955" s="346"/>
      <c r="L955" s="346"/>
      <c r="M955" s="346"/>
      <c r="N955" s="346"/>
      <c r="O955" s="346"/>
      <c r="P955" s="346"/>
      <c r="Q955" s="346"/>
      <c r="R955" s="346"/>
      <c r="S955" s="346"/>
      <c r="T955" s="347"/>
      <c r="U955" s="345"/>
      <c r="V955" s="317"/>
      <c r="W955" s="318"/>
      <c r="X955" s="288"/>
      <c r="Y955" s="220"/>
      <c r="Z955" s="220"/>
      <c r="AA955" s="220"/>
      <c r="AB955" s="220"/>
      <c r="AC955" s="220"/>
      <c r="AD955" s="220"/>
      <c r="AE955" s="220"/>
      <c r="AF955" s="220"/>
      <c r="AG955" s="220"/>
      <c r="AH955" s="220"/>
      <c r="AI955" s="308"/>
      <c r="AJ955" s="220"/>
      <c r="AK955" s="220"/>
      <c r="AL955" s="220"/>
      <c r="AM955" s="220"/>
      <c r="AN955" s="220"/>
      <c r="AO955" s="220"/>
      <c r="AP955" s="220"/>
      <c r="AQ955" s="220"/>
      <c r="AR955" s="220"/>
      <c r="AS955" s="220"/>
      <c r="AT955" s="220"/>
      <c r="AU955" s="220"/>
      <c r="AV955" s="220"/>
      <c r="AW955" s="220"/>
      <c r="AX955" s="220"/>
      <c r="AY955" s="220"/>
      <c r="AZ955" s="220"/>
      <c r="BA955" s="220"/>
      <c r="BB955" s="220"/>
    </row>
    <row r="956">
      <c r="A956" s="240"/>
      <c r="B956" s="319"/>
      <c r="C956" s="346"/>
      <c r="D956" s="346"/>
      <c r="E956" s="346"/>
      <c r="F956" s="346"/>
      <c r="G956" s="346"/>
      <c r="H956" s="346"/>
      <c r="I956" s="346"/>
      <c r="J956" s="346"/>
      <c r="K956" s="346"/>
      <c r="L956" s="346"/>
      <c r="M956" s="346"/>
      <c r="N956" s="346"/>
      <c r="O956" s="346"/>
      <c r="P956" s="346"/>
      <c r="Q956" s="346"/>
      <c r="R956" s="346"/>
      <c r="S956" s="346"/>
      <c r="T956" s="347"/>
      <c r="U956" s="345"/>
      <c r="V956" s="317"/>
      <c r="W956" s="318"/>
      <c r="X956" s="288"/>
      <c r="Y956" s="220"/>
      <c r="Z956" s="220"/>
      <c r="AA956" s="220"/>
      <c r="AB956" s="220"/>
      <c r="AC956" s="220"/>
      <c r="AD956" s="220"/>
      <c r="AE956" s="220"/>
      <c r="AF956" s="220"/>
      <c r="AG956" s="220"/>
      <c r="AH956" s="220"/>
      <c r="AI956" s="308"/>
      <c r="AJ956" s="220"/>
      <c r="AK956" s="220"/>
      <c r="AL956" s="220"/>
      <c r="AM956" s="220"/>
      <c r="AN956" s="220"/>
      <c r="AO956" s="220"/>
      <c r="AP956" s="220"/>
      <c r="AQ956" s="220"/>
      <c r="AR956" s="220"/>
      <c r="AS956" s="220"/>
      <c r="AT956" s="220"/>
      <c r="AU956" s="220"/>
      <c r="AV956" s="220"/>
      <c r="AW956" s="220"/>
      <c r="AX956" s="220"/>
      <c r="AY956" s="220"/>
      <c r="AZ956" s="220"/>
      <c r="BA956" s="220"/>
      <c r="BB956" s="220"/>
    </row>
    <row r="957">
      <c r="A957" s="240"/>
      <c r="B957" s="319"/>
      <c r="C957" s="346"/>
      <c r="D957" s="346"/>
      <c r="E957" s="346"/>
      <c r="F957" s="346"/>
      <c r="G957" s="346"/>
      <c r="H957" s="346"/>
      <c r="I957" s="346"/>
      <c r="J957" s="346"/>
      <c r="K957" s="346"/>
      <c r="L957" s="346"/>
      <c r="M957" s="346"/>
      <c r="N957" s="346"/>
      <c r="O957" s="346"/>
      <c r="P957" s="346"/>
      <c r="Q957" s="346"/>
      <c r="R957" s="346"/>
      <c r="S957" s="346"/>
      <c r="T957" s="347"/>
      <c r="U957" s="345"/>
      <c r="V957" s="317"/>
      <c r="W957" s="318"/>
      <c r="X957" s="288"/>
      <c r="Y957" s="220"/>
      <c r="Z957" s="220"/>
      <c r="AA957" s="220"/>
      <c r="AB957" s="220"/>
      <c r="AC957" s="220"/>
      <c r="AD957" s="220"/>
      <c r="AE957" s="220"/>
      <c r="AF957" s="220"/>
      <c r="AG957" s="220"/>
      <c r="AH957" s="220"/>
      <c r="AI957" s="308"/>
      <c r="AJ957" s="220"/>
      <c r="AK957" s="220"/>
      <c r="AL957" s="220"/>
      <c r="AM957" s="220"/>
      <c r="AN957" s="220"/>
      <c r="AO957" s="220"/>
      <c r="AP957" s="220"/>
      <c r="AQ957" s="220"/>
      <c r="AR957" s="220"/>
      <c r="AS957" s="220"/>
      <c r="AT957" s="220"/>
      <c r="AU957" s="220"/>
      <c r="AV957" s="220"/>
      <c r="AW957" s="220"/>
      <c r="AX957" s="220"/>
      <c r="AY957" s="220"/>
      <c r="AZ957" s="220"/>
      <c r="BA957" s="220"/>
      <c r="BB957" s="220"/>
    </row>
    <row r="958">
      <c r="A958" s="240"/>
      <c r="B958" s="319"/>
      <c r="C958" s="346"/>
      <c r="D958" s="346"/>
      <c r="E958" s="346"/>
      <c r="F958" s="346"/>
      <c r="G958" s="346"/>
      <c r="H958" s="346"/>
      <c r="I958" s="346"/>
      <c r="J958" s="346"/>
      <c r="K958" s="346"/>
      <c r="L958" s="346"/>
      <c r="M958" s="346"/>
      <c r="N958" s="346"/>
      <c r="O958" s="346"/>
      <c r="P958" s="346"/>
      <c r="Q958" s="346"/>
      <c r="R958" s="346"/>
      <c r="S958" s="346"/>
      <c r="T958" s="347"/>
      <c r="U958" s="345"/>
      <c r="V958" s="317"/>
      <c r="W958" s="318"/>
      <c r="X958" s="288"/>
      <c r="Y958" s="220"/>
      <c r="Z958" s="220"/>
      <c r="AA958" s="220"/>
      <c r="AB958" s="220"/>
      <c r="AC958" s="220"/>
      <c r="AD958" s="220"/>
      <c r="AE958" s="220"/>
      <c r="AF958" s="220"/>
      <c r="AG958" s="220"/>
      <c r="AH958" s="220"/>
      <c r="AI958" s="308"/>
      <c r="AJ958" s="220"/>
      <c r="AK958" s="220"/>
      <c r="AL958" s="220"/>
      <c r="AM958" s="220"/>
      <c r="AN958" s="220"/>
      <c r="AO958" s="220"/>
      <c r="AP958" s="220"/>
      <c r="AQ958" s="220"/>
      <c r="AR958" s="220"/>
      <c r="AS958" s="220"/>
      <c r="AT958" s="220"/>
      <c r="AU958" s="220"/>
      <c r="AV958" s="220"/>
      <c r="AW958" s="220"/>
      <c r="AX958" s="220"/>
      <c r="AY958" s="220"/>
      <c r="AZ958" s="220"/>
      <c r="BA958" s="220"/>
      <c r="BB958" s="220"/>
    </row>
    <row r="959">
      <c r="A959" s="240"/>
      <c r="B959" s="319"/>
      <c r="C959" s="346"/>
      <c r="D959" s="346"/>
      <c r="E959" s="346"/>
      <c r="F959" s="346"/>
      <c r="G959" s="346"/>
      <c r="H959" s="346"/>
      <c r="I959" s="346"/>
      <c r="J959" s="346"/>
      <c r="K959" s="346"/>
      <c r="L959" s="346"/>
      <c r="M959" s="346"/>
      <c r="N959" s="346"/>
      <c r="O959" s="346"/>
      <c r="P959" s="346"/>
      <c r="Q959" s="346"/>
      <c r="R959" s="346"/>
      <c r="S959" s="346"/>
      <c r="T959" s="347"/>
      <c r="U959" s="345"/>
      <c r="V959" s="317"/>
      <c r="W959" s="318"/>
      <c r="X959" s="288"/>
      <c r="Y959" s="220"/>
      <c r="Z959" s="220"/>
      <c r="AA959" s="220"/>
      <c r="AB959" s="220"/>
      <c r="AC959" s="220"/>
      <c r="AD959" s="220"/>
      <c r="AE959" s="220"/>
      <c r="AF959" s="220"/>
      <c r="AG959" s="220"/>
      <c r="AH959" s="220"/>
      <c r="AI959" s="308"/>
      <c r="AJ959" s="220"/>
      <c r="AK959" s="220"/>
      <c r="AL959" s="220"/>
      <c r="AM959" s="220"/>
      <c r="AN959" s="220"/>
      <c r="AO959" s="220"/>
      <c r="AP959" s="220"/>
      <c r="AQ959" s="220"/>
      <c r="AR959" s="220"/>
      <c r="AS959" s="220"/>
      <c r="AT959" s="220"/>
      <c r="AU959" s="220"/>
      <c r="AV959" s="220"/>
      <c r="AW959" s="220"/>
      <c r="AX959" s="220"/>
      <c r="AY959" s="220"/>
      <c r="AZ959" s="220"/>
      <c r="BA959" s="220"/>
      <c r="BB959" s="220"/>
    </row>
    <row r="960">
      <c r="A960" s="240"/>
      <c r="B960" s="319"/>
      <c r="C960" s="346"/>
      <c r="D960" s="346"/>
      <c r="E960" s="346"/>
      <c r="F960" s="346"/>
      <c r="G960" s="346"/>
      <c r="H960" s="346"/>
      <c r="I960" s="346"/>
      <c r="J960" s="346"/>
      <c r="K960" s="346"/>
      <c r="L960" s="346"/>
      <c r="M960" s="346"/>
      <c r="N960" s="346"/>
      <c r="O960" s="346"/>
      <c r="P960" s="346"/>
      <c r="Q960" s="346"/>
      <c r="R960" s="346"/>
      <c r="S960" s="346"/>
      <c r="T960" s="347"/>
      <c r="U960" s="345"/>
      <c r="V960" s="317"/>
      <c r="W960" s="318"/>
      <c r="X960" s="288"/>
      <c r="Y960" s="220"/>
      <c r="Z960" s="220"/>
      <c r="AA960" s="220"/>
      <c r="AB960" s="220"/>
      <c r="AC960" s="220"/>
      <c r="AD960" s="220"/>
      <c r="AE960" s="220"/>
      <c r="AF960" s="220"/>
      <c r="AG960" s="220"/>
      <c r="AH960" s="220"/>
      <c r="AI960" s="308"/>
      <c r="AJ960" s="220"/>
      <c r="AK960" s="220"/>
      <c r="AL960" s="220"/>
      <c r="AM960" s="220"/>
      <c r="AN960" s="220"/>
      <c r="AO960" s="220"/>
      <c r="AP960" s="220"/>
      <c r="AQ960" s="220"/>
      <c r="AR960" s="220"/>
      <c r="AS960" s="220"/>
      <c r="AT960" s="220"/>
      <c r="AU960" s="220"/>
      <c r="AV960" s="220"/>
      <c r="AW960" s="220"/>
      <c r="AX960" s="220"/>
      <c r="AY960" s="220"/>
      <c r="AZ960" s="220"/>
      <c r="BA960" s="220"/>
      <c r="BB960" s="220"/>
    </row>
    <row r="961">
      <c r="A961" s="240"/>
      <c r="B961" s="319"/>
      <c r="C961" s="346"/>
      <c r="D961" s="346"/>
      <c r="E961" s="346"/>
      <c r="F961" s="346"/>
      <c r="G961" s="346"/>
      <c r="H961" s="346"/>
      <c r="I961" s="346"/>
      <c r="J961" s="346"/>
      <c r="K961" s="346"/>
      <c r="L961" s="346"/>
      <c r="M961" s="346"/>
      <c r="N961" s="346"/>
      <c r="O961" s="346"/>
      <c r="P961" s="346"/>
      <c r="Q961" s="346"/>
      <c r="R961" s="346"/>
      <c r="S961" s="346"/>
      <c r="T961" s="347"/>
      <c r="U961" s="345"/>
      <c r="V961" s="317"/>
      <c r="W961" s="318"/>
      <c r="X961" s="288"/>
      <c r="Y961" s="220"/>
      <c r="Z961" s="220"/>
      <c r="AA961" s="220"/>
      <c r="AB961" s="220"/>
      <c r="AC961" s="220"/>
      <c r="AD961" s="220"/>
      <c r="AE961" s="220"/>
      <c r="AF961" s="220"/>
      <c r="AG961" s="220"/>
      <c r="AH961" s="220"/>
      <c r="AI961" s="308"/>
      <c r="AJ961" s="220"/>
      <c r="AK961" s="220"/>
      <c r="AL961" s="220"/>
      <c r="AM961" s="220"/>
      <c r="AN961" s="220"/>
      <c r="AO961" s="220"/>
      <c r="AP961" s="220"/>
      <c r="AQ961" s="220"/>
      <c r="AR961" s="220"/>
      <c r="AS961" s="220"/>
      <c r="AT961" s="220"/>
      <c r="AU961" s="220"/>
      <c r="AV961" s="220"/>
      <c r="AW961" s="220"/>
      <c r="AX961" s="220"/>
      <c r="AY961" s="220"/>
      <c r="AZ961" s="220"/>
      <c r="BA961" s="220"/>
      <c r="BB961" s="220"/>
    </row>
    <row r="962">
      <c r="A962" s="240"/>
      <c r="B962" s="319"/>
      <c r="C962" s="346"/>
      <c r="D962" s="346"/>
      <c r="E962" s="346"/>
      <c r="F962" s="346"/>
      <c r="G962" s="346"/>
      <c r="H962" s="346"/>
      <c r="I962" s="346"/>
      <c r="J962" s="346"/>
      <c r="K962" s="346"/>
      <c r="L962" s="346"/>
      <c r="M962" s="346"/>
      <c r="N962" s="346"/>
      <c r="O962" s="346"/>
      <c r="P962" s="346"/>
      <c r="Q962" s="346"/>
      <c r="R962" s="346"/>
      <c r="S962" s="346"/>
      <c r="T962" s="347"/>
      <c r="U962" s="345"/>
      <c r="V962" s="317"/>
      <c r="W962" s="318"/>
      <c r="X962" s="288"/>
      <c r="Y962" s="220"/>
      <c r="Z962" s="220"/>
      <c r="AA962" s="220"/>
      <c r="AB962" s="220"/>
      <c r="AC962" s="220"/>
      <c r="AD962" s="220"/>
      <c r="AE962" s="220"/>
      <c r="AF962" s="220"/>
      <c r="AG962" s="220"/>
      <c r="AH962" s="220"/>
      <c r="AI962" s="308"/>
      <c r="AJ962" s="220"/>
      <c r="AK962" s="220"/>
      <c r="AL962" s="220"/>
      <c r="AM962" s="220"/>
      <c r="AN962" s="220"/>
      <c r="AO962" s="220"/>
      <c r="AP962" s="220"/>
      <c r="AQ962" s="220"/>
      <c r="AR962" s="220"/>
      <c r="AS962" s="220"/>
      <c r="AT962" s="220"/>
      <c r="AU962" s="220"/>
      <c r="AV962" s="220"/>
      <c r="AW962" s="220"/>
      <c r="AX962" s="220"/>
      <c r="AY962" s="220"/>
      <c r="AZ962" s="220"/>
      <c r="BA962" s="220"/>
      <c r="BB962" s="220"/>
    </row>
    <row r="963">
      <c r="A963" s="240"/>
      <c r="B963" s="319"/>
      <c r="C963" s="346"/>
      <c r="D963" s="346"/>
      <c r="E963" s="346"/>
      <c r="F963" s="346"/>
      <c r="G963" s="346"/>
      <c r="H963" s="346"/>
      <c r="I963" s="346"/>
      <c r="J963" s="346"/>
      <c r="K963" s="346"/>
      <c r="L963" s="346"/>
      <c r="M963" s="346"/>
      <c r="N963" s="346"/>
      <c r="O963" s="346"/>
      <c r="P963" s="346"/>
      <c r="Q963" s="346"/>
      <c r="R963" s="346"/>
      <c r="S963" s="346"/>
      <c r="T963" s="347"/>
      <c r="U963" s="345"/>
      <c r="V963" s="317"/>
      <c r="W963" s="318"/>
      <c r="X963" s="288"/>
      <c r="Y963" s="220"/>
      <c r="Z963" s="220"/>
      <c r="AA963" s="220"/>
      <c r="AB963" s="220"/>
      <c r="AC963" s="220"/>
      <c r="AD963" s="220"/>
      <c r="AE963" s="220"/>
      <c r="AF963" s="220"/>
      <c r="AG963" s="220"/>
      <c r="AH963" s="220"/>
      <c r="AI963" s="308"/>
      <c r="AJ963" s="220"/>
      <c r="AK963" s="220"/>
      <c r="AL963" s="220"/>
      <c r="AM963" s="220"/>
      <c r="AN963" s="220"/>
      <c r="AO963" s="220"/>
      <c r="AP963" s="220"/>
      <c r="AQ963" s="220"/>
      <c r="AR963" s="220"/>
      <c r="AS963" s="220"/>
      <c r="AT963" s="220"/>
      <c r="AU963" s="220"/>
      <c r="AV963" s="220"/>
      <c r="AW963" s="220"/>
      <c r="AX963" s="220"/>
      <c r="AY963" s="220"/>
      <c r="AZ963" s="220"/>
      <c r="BA963" s="220"/>
      <c r="BB963" s="220"/>
    </row>
    <row r="964">
      <c r="A964" s="240"/>
      <c r="B964" s="319"/>
      <c r="C964" s="346"/>
      <c r="D964" s="346"/>
      <c r="E964" s="346"/>
      <c r="F964" s="346"/>
      <c r="G964" s="346"/>
      <c r="H964" s="346"/>
      <c r="I964" s="346"/>
      <c r="J964" s="346"/>
      <c r="K964" s="346"/>
      <c r="L964" s="346"/>
      <c r="M964" s="346"/>
      <c r="N964" s="346"/>
      <c r="O964" s="346"/>
      <c r="P964" s="346"/>
      <c r="Q964" s="346"/>
      <c r="R964" s="346"/>
      <c r="S964" s="346"/>
      <c r="T964" s="347"/>
      <c r="U964" s="345"/>
      <c r="V964" s="317"/>
      <c r="W964" s="318"/>
      <c r="X964" s="288"/>
      <c r="Y964" s="220"/>
      <c r="Z964" s="220"/>
      <c r="AA964" s="220"/>
      <c r="AB964" s="220"/>
      <c r="AC964" s="220"/>
      <c r="AD964" s="220"/>
      <c r="AE964" s="220"/>
      <c r="AF964" s="220"/>
      <c r="AG964" s="220"/>
      <c r="AH964" s="220"/>
      <c r="AI964" s="308"/>
      <c r="AJ964" s="220"/>
      <c r="AK964" s="220"/>
      <c r="AL964" s="220"/>
      <c r="AM964" s="220"/>
      <c r="AN964" s="220"/>
      <c r="AO964" s="220"/>
      <c r="AP964" s="220"/>
      <c r="AQ964" s="220"/>
      <c r="AR964" s="220"/>
      <c r="AS964" s="220"/>
      <c r="AT964" s="220"/>
      <c r="AU964" s="220"/>
      <c r="AV964" s="220"/>
      <c r="AW964" s="220"/>
      <c r="AX964" s="220"/>
      <c r="AY964" s="220"/>
      <c r="AZ964" s="220"/>
      <c r="BA964" s="220"/>
      <c r="BB964" s="220"/>
    </row>
    <row r="965">
      <c r="A965" s="240"/>
      <c r="B965" s="319"/>
      <c r="C965" s="346"/>
      <c r="D965" s="346"/>
      <c r="E965" s="346"/>
      <c r="F965" s="346"/>
      <c r="G965" s="346"/>
      <c r="H965" s="346"/>
      <c r="I965" s="346"/>
      <c r="J965" s="346"/>
      <c r="K965" s="346"/>
      <c r="L965" s="346"/>
      <c r="M965" s="346"/>
      <c r="N965" s="346"/>
      <c r="O965" s="346"/>
      <c r="P965" s="346"/>
      <c r="Q965" s="346"/>
      <c r="R965" s="346"/>
      <c r="S965" s="346"/>
      <c r="T965" s="347"/>
      <c r="U965" s="345"/>
      <c r="V965" s="317"/>
      <c r="W965" s="318"/>
      <c r="X965" s="288"/>
      <c r="Y965" s="220"/>
      <c r="Z965" s="220"/>
      <c r="AA965" s="220"/>
      <c r="AB965" s="220"/>
      <c r="AC965" s="220"/>
      <c r="AD965" s="220"/>
      <c r="AE965" s="220"/>
      <c r="AF965" s="220"/>
      <c r="AG965" s="220"/>
      <c r="AH965" s="220"/>
      <c r="AI965" s="308"/>
      <c r="AJ965" s="220"/>
      <c r="AK965" s="220"/>
      <c r="AL965" s="220"/>
      <c r="AM965" s="220"/>
      <c r="AN965" s="220"/>
      <c r="AO965" s="220"/>
      <c r="AP965" s="220"/>
      <c r="AQ965" s="220"/>
      <c r="AR965" s="220"/>
      <c r="AS965" s="220"/>
      <c r="AT965" s="220"/>
      <c r="AU965" s="220"/>
      <c r="AV965" s="220"/>
      <c r="AW965" s="220"/>
      <c r="AX965" s="220"/>
      <c r="AY965" s="220"/>
      <c r="AZ965" s="220"/>
      <c r="BA965" s="220"/>
      <c r="BB965" s="220"/>
    </row>
    <row r="966">
      <c r="A966" s="240"/>
      <c r="B966" s="319"/>
      <c r="C966" s="346"/>
      <c r="D966" s="346"/>
      <c r="E966" s="346"/>
      <c r="F966" s="346"/>
      <c r="G966" s="346"/>
      <c r="H966" s="346"/>
      <c r="I966" s="346"/>
      <c r="J966" s="346"/>
      <c r="K966" s="346"/>
      <c r="L966" s="346"/>
      <c r="M966" s="346"/>
      <c r="N966" s="346"/>
      <c r="O966" s="346"/>
      <c r="P966" s="346"/>
      <c r="Q966" s="346"/>
      <c r="R966" s="346"/>
      <c r="S966" s="346"/>
      <c r="T966" s="347"/>
      <c r="U966" s="345"/>
      <c r="V966" s="317"/>
      <c r="W966" s="318"/>
      <c r="X966" s="288"/>
      <c r="Y966" s="220"/>
      <c r="Z966" s="220"/>
      <c r="AA966" s="220"/>
      <c r="AB966" s="220"/>
      <c r="AC966" s="220"/>
      <c r="AD966" s="220"/>
      <c r="AE966" s="220"/>
      <c r="AF966" s="220"/>
      <c r="AG966" s="220"/>
      <c r="AH966" s="220"/>
      <c r="AI966" s="308"/>
      <c r="AJ966" s="220"/>
      <c r="AK966" s="220"/>
      <c r="AL966" s="220"/>
      <c r="AM966" s="220"/>
      <c r="AN966" s="220"/>
      <c r="AO966" s="220"/>
      <c r="AP966" s="220"/>
      <c r="AQ966" s="220"/>
      <c r="AR966" s="220"/>
      <c r="AS966" s="220"/>
      <c r="AT966" s="220"/>
      <c r="AU966" s="220"/>
      <c r="AV966" s="220"/>
      <c r="AW966" s="220"/>
      <c r="AX966" s="220"/>
      <c r="AY966" s="220"/>
      <c r="AZ966" s="220"/>
      <c r="BA966" s="220"/>
      <c r="BB966" s="220"/>
    </row>
    <row r="967">
      <c r="A967" s="240"/>
      <c r="B967" s="319"/>
      <c r="C967" s="346"/>
      <c r="D967" s="346"/>
      <c r="E967" s="346"/>
      <c r="F967" s="346"/>
      <c r="G967" s="346"/>
      <c r="H967" s="346"/>
      <c r="I967" s="346"/>
      <c r="J967" s="346"/>
      <c r="K967" s="346"/>
      <c r="L967" s="346"/>
      <c r="M967" s="346"/>
      <c r="N967" s="346"/>
      <c r="O967" s="346"/>
      <c r="P967" s="346"/>
      <c r="Q967" s="346"/>
      <c r="R967" s="346"/>
      <c r="S967" s="346"/>
      <c r="T967" s="347"/>
      <c r="U967" s="345"/>
      <c r="V967" s="317"/>
      <c r="W967" s="318"/>
      <c r="X967" s="288"/>
      <c r="Y967" s="220"/>
      <c r="Z967" s="220"/>
      <c r="AA967" s="220"/>
      <c r="AB967" s="220"/>
      <c r="AC967" s="220"/>
      <c r="AD967" s="220"/>
      <c r="AE967" s="220"/>
      <c r="AF967" s="220"/>
      <c r="AG967" s="220"/>
      <c r="AH967" s="220"/>
      <c r="AI967" s="308"/>
      <c r="AJ967" s="220"/>
      <c r="AK967" s="220"/>
      <c r="AL967" s="220"/>
      <c r="AM967" s="220"/>
      <c r="AN967" s="220"/>
      <c r="AO967" s="220"/>
      <c r="AP967" s="220"/>
      <c r="AQ967" s="220"/>
      <c r="AR967" s="220"/>
      <c r="AS967" s="220"/>
      <c r="AT967" s="220"/>
      <c r="AU967" s="220"/>
      <c r="AV967" s="220"/>
      <c r="AW967" s="220"/>
      <c r="AX967" s="220"/>
      <c r="AY967" s="220"/>
      <c r="AZ967" s="220"/>
      <c r="BA967" s="220"/>
      <c r="BB967" s="220"/>
    </row>
    <row r="968">
      <c r="A968" s="240"/>
      <c r="B968" s="319"/>
      <c r="C968" s="346"/>
      <c r="D968" s="346"/>
      <c r="E968" s="346"/>
      <c r="F968" s="346"/>
      <c r="G968" s="346"/>
      <c r="H968" s="346"/>
      <c r="I968" s="346"/>
      <c r="J968" s="346"/>
      <c r="K968" s="346"/>
      <c r="L968" s="346"/>
      <c r="M968" s="346"/>
      <c r="N968" s="346"/>
      <c r="O968" s="346"/>
      <c r="P968" s="346"/>
      <c r="Q968" s="346"/>
      <c r="R968" s="346"/>
      <c r="S968" s="346"/>
      <c r="T968" s="347"/>
      <c r="U968" s="345"/>
      <c r="V968" s="317"/>
      <c r="W968" s="318"/>
      <c r="X968" s="288"/>
      <c r="Y968" s="220"/>
      <c r="Z968" s="220"/>
      <c r="AA968" s="220"/>
      <c r="AB968" s="220"/>
      <c r="AC968" s="220"/>
      <c r="AD968" s="220"/>
      <c r="AE968" s="220"/>
      <c r="AF968" s="220"/>
      <c r="AG968" s="220"/>
      <c r="AH968" s="220"/>
      <c r="AI968" s="308"/>
      <c r="AJ968" s="220"/>
      <c r="AK968" s="220"/>
      <c r="AL968" s="220"/>
      <c r="AM968" s="220"/>
      <c r="AN968" s="220"/>
      <c r="AO968" s="220"/>
      <c r="AP968" s="220"/>
      <c r="AQ968" s="220"/>
      <c r="AR968" s="220"/>
      <c r="AS968" s="220"/>
      <c r="AT968" s="220"/>
      <c r="AU968" s="220"/>
      <c r="AV968" s="220"/>
      <c r="AW968" s="220"/>
      <c r="AX968" s="220"/>
      <c r="AY968" s="220"/>
      <c r="AZ968" s="220"/>
      <c r="BA968" s="220"/>
      <c r="BB968" s="220"/>
    </row>
    <row r="969">
      <c r="A969" s="240"/>
      <c r="B969" s="319"/>
      <c r="C969" s="346"/>
      <c r="D969" s="346"/>
      <c r="E969" s="346"/>
      <c r="F969" s="346"/>
      <c r="G969" s="346"/>
      <c r="H969" s="346"/>
      <c r="I969" s="346"/>
      <c r="J969" s="346"/>
      <c r="K969" s="346"/>
      <c r="L969" s="346"/>
      <c r="M969" s="346"/>
      <c r="N969" s="346"/>
      <c r="O969" s="346"/>
      <c r="P969" s="346"/>
      <c r="Q969" s="346"/>
      <c r="R969" s="346"/>
      <c r="S969" s="346"/>
      <c r="T969" s="347"/>
      <c r="U969" s="345"/>
      <c r="V969" s="317"/>
      <c r="W969" s="318"/>
      <c r="X969" s="288"/>
      <c r="Y969" s="220"/>
      <c r="Z969" s="220"/>
      <c r="AA969" s="220"/>
      <c r="AB969" s="220"/>
      <c r="AC969" s="220"/>
      <c r="AD969" s="220"/>
      <c r="AE969" s="220"/>
      <c r="AF969" s="220"/>
      <c r="AG969" s="220"/>
      <c r="AH969" s="220"/>
      <c r="AI969" s="308"/>
      <c r="AJ969" s="220"/>
      <c r="AK969" s="220"/>
      <c r="AL969" s="220"/>
      <c r="AM969" s="220"/>
      <c r="AN969" s="220"/>
      <c r="AO969" s="220"/>
      <c r="AP969" s="220"/>
      <c r="AQ969" s="220"/>
      <c r="AR969" s="220"/>
      <c r="AS969" s="220"/>
      <c r="AT969" s="220"/>
      <c r="AU969" s="220"/>
      <c r="AV969" s="220"/>
      <c r="AW969" s="220"/>
      <c r="AX969" s="220"/>
      <c r="AY969" s="220"/>
      <c r="AZ969" s="220"/>
      <c r="BA969" s="220"/>
      <c r="BB969" s="220"/>
    </row>
    <row r="970">
      <c r="A970" s="240"/>
      <c r="B970" s="319"/>
      <c r="C970" s="346"/>
      <c r="D970" s="346"/>
      <c r="E970" s="346"/>
      <c r="F970" s="346"/>
      <c r="G970" s="346"/>
      <c r="H970" s="346"/>
      <c r="I970" s="346"/>
      <c r="J970" s="346"/>
      <c r="K970" s="346"/>
      <c r="L970" s="346"/>
      <c r="M970" s="346"/>
      <c r="N970" s="346"/>
      <c r="O970" s="346"/>
      <c r="P970" s="346"/>
      <c r="Q970" s="346"/>
      <c r="R970" s="346"/>
      <c r="S970" s="346"/>
      <c r="T970" s="347"/>
      <c r="U970" s="345"/>
      <c r="V970" s="317"/>
      <c r="W970" s="318"/>
      <c r="X970" s="288"/>
      <c r="Y970" s="220"/>
      <c r="Z970" s="220"/>
      <c r="AA970" s="220"/>
      <c r="AB970" s="220"/>
      <c r="AC970" s="220"/>
      <c r="AD970" s="220"/>
      <c r="AE970" s="220"/>
      <c r="AF970" s="220"/>
      <c r="AG970" s="220"/>
      <c r="AH970" s="220"/>
      <c r="AI970" s="308"/>
      <c r="AJ970" s="220"/>
      <c r="AK970" s="220"/>
      <c r="AL970" s="220"/>
      <c r="AM970" s="220"/>
      <c r="AN970" s="220"/>
      <c r="AO970" s="220"/>
      <c r="AP970" s="220"/>
      <c r="AQ970" s="220"/>
      <c r="AR970" s="220"/>
      <c r="AS970" s="220"/>
      <c r="AT970" s="220"/>
      <c r="AU970" s="220"/>
      <c r="AV970" s="220"/>
      <c r="AW970" s="220"/>
      <c r="AX970" s="220"/>
      <c r="AY970" s="220"/>
      <c r="AZ970" s="220"/>
      <c r="BA970" s="220"/>
      <c r="BB970" s="220"/>
    </row>
    <row r="971">
      <c r="A971" s="240"/>
      <c r="B971" s="319"/>
      <c r="C971" s="346"/>
      <c r="D971" s="346"/>
      <c r="E971" s="346"/>
      <c r="F971" s="346"/>
      <c r="G971" s="346"/>
      <c r="H971" s="346"/>
      <c r="I971" s="346"/>
      <c r="J971" s="346"/>
      <c r="K971" s="346"/>
      <c r="L971" s="346"/>
      <c r="M971" s="346"/>
      <c r="N971" s="346"/>
      <c r="O971" s="346"/>
      <c r="P971" s="346"/>
      <c r="Q971" s="346"/>
      <c r="R971" s="346"/>
      <c r="S971" s="346"/>
      <c r="T971" s="347"/>
      <c r="U971" s="345"/>
      <c r="V971" s="317"/>
      <c r="W971" s="318"/>
      <c r="X971" s="288"/>
      <c r="Y971" s="220"/>
      <c r="Z971" s="220"/>
      <c r="AA971" s="220"/>
      <c r="AB971" s="220"/>
      <c r="AC971" s="220"/>
      <c r="AD971" s="220"/>
      <c r="AE971" s="220"/>
      <c r="AF971" s="220"/>
      <c r="AG971" s="220"/>
      <c r="AH971" s="220"/>
      <c r="AI971" s="308"/>
      <c r="AJ971" s="220"/>
      <c r="AK971" s="220"/>
      <c r="AL971" s="220"/>
      <c r="AM971" s="220"/>
      <c r="AN971" s="220"/>
      <c r="AO971" s="220"/>
      <c r="AP971" s="220"/>
      <c r="AQ971" s="220"/>
      <c r="AR971" s="220"/>
      <c r="AS971" s="220"/>
      <c r="AT971" s="220"/>
      <c r="AU971" s="220"/>
      <c r="AV971" s="220"/>
      <c r="AW971" s="220"/>
      <c r="AX971" s="220"/>
      <c r="AY971" s="220"/>
      <c r="AZ971" s="220"/>
      <c r="BA971" s="220"/>
      <c r="BB971" s="220"/>
    </row>
    <row r="972">
      <c r="A972" s="240"/>
      <c r="B972" s="319"/>
      <c r="C972" s="346"/>
      <c r="D972" s="346"/>
      <c r="E972" s="346"/>
      <c r="F972" s="346"/>
      <c r="G972" s="346"/>
      <c r="H972" s="346"/>
      <c r="I972" s="346"/>
      <c r="J972" s="346"/>
      <c r="K972" s="346"/>
      <c r="L972" s="346"/>
      <c r="M972" s="346"/>
      <c r="N972" s="346"/>
      <c r="O972" s="346"/>
      <c r="P972" s="346"/>
      <c r="Q972" s="346"/>
      <c r="R972" s="346"/>
      <c r="S972" s="346"/>
      <c r="T972" s="347"/>
      <c r="U972" s="345"/>
      <c r="V972" s="317"/>
      <c r="W972" s="318"/>
      <c r="X972" s="288"/>
      <c r="Y972" s="220"/>
      <c r="Z972" s="220"/>
      <c r="AA972" s="220"/>
      <c r="AB972" s="220"/>
      <c r="AC972" s="220"/>
      <c r="AD972" s="220"/>
      <c r="AE972" s="220"/>
      <c r="AF972" s="220"/>
      <c r="AG972" s="220"/>
      <c r="AH972" s="220"/>
      <c r="AI972" s="308"/>
      <c r="AJ972" s="220"/>
      <c r="AK972" s="220"/>
      <c r="AL972" s="220"/>
      <c r="AM972" s="220"/>
      <c r="AN972" s="220"/>
      <c r="AO972" s="220"/>
      <c r="AP972" s="220"/>
      <c r="AQ972" s="220"/>
      <c r="AR972" s="220"/>
      <c r="AS972" s="220"/>
      <c r="AT972" s="220"/>
      <c r="AU972" s="220"/>
      <c r="AV972" s="220"/>
      <c r="AW972" s="220"/>
      <c r="AX972" s="220"/>
      <c r="AY972" s="220"/>
      <c r="AZ972" s="220"/>
      <c r="BA972" s="220"/>
      <c r="BB972" s="220"/>
    </row>
    <row r="973">
      <c r="A973" s="240"/>
      <c r="B973" s="319"/>
      <c r="C973" s="346"/>
      <c r="D973" s="346"/>
      <c r="E973" s="346"/>
      <c r="F973" s="346"/>
      <c r="G973" s="346"/>
      <c r="H973" s="346"/>
      <c r="I973" s="346"/>
      <c r="J973" s="346"/>
      <c r="K973" s="346"/>
      <c r="L973" s="346"/>
      <c r="M973" s="346"/>
      <c r="N973" s="346"/>
      <c r="O973" s="346"/>
      <c r="P973" s="346"/>
      <c r="Q973" s="346"/>
      <c r="R973" s="346"/>
      <c r="S973" s="346"/>
      <c r="T973" s="347"/>
      <c r="U973" s="345"/>
      <c r="V973" s="317"/>
      <c r="W973" s="318"/>
      <c r="X973" s="288"/>
      <c r="Y973" s="220"/>
      <c r="Z973" s="220"/>
      <c r="AA973" s="220"/>
      <c r="AB973" s="220"/>
      <c r="AC973" s="220"/>
      <c r="AD973" s="220"/>
      <c r="AE973" s="220"/>
      <c r="AF973" s="220"/>
      <c r="AG973" s="220"/>
      <c r="AH973" s="220"/>
      <c r="AI973" s="308"/>
      <c r="AJ973" s="220"/>
      <c r="AK973" s="220"/>
      <c r="AL973" s="220"/>
      <c r="AM973" s="220"/>
      <c r="AN973" s="220"/>
      <c r="AO973" s="220"/>
      <c r="AP973" s="220"/>
      <c r="AQ973" s="220"/>
      <c r="AR973" s="220"/>
      <c r="AS973" s="220"/>
      <c r="AT973" s="220"/>
      <c r="AU973" s="220"/>
      <c r="AV973" s="220"/>
      <c r="AW973" s="220"/>
      <c r="AX973" s="220"/>
      <c r="AY973" s="220"/>
      <c r="AZ973" s="220"/>
      <c r="BA973" s="220"/>
      <c r="BB973" s="220"/>
    </row>
    <row r="974">
      <c r="A974" s="240"/>
      <c r="B974" s="319"/>
      <c r="C974" s="346"/>
      <c r="D974" s="346"/>
      <c r="E974" s="346"/>
      <c r="F974" s="346"/>
      <c r="G974" s="346"/>
      <c r="H974" s="346"/>
      <c r="I974" s="346"/>
      <c r="J974" s="346"/>
      <c r="K974" s="346"/>
      <c r="L974" s="346"/>
      <c r="M974" s="346"/>
      <c r="N974" s="346"/>
      <c r="O974" s="346"/>
      <c r="P974" s="346"/>
      <c r="Q974" s="346"/>
      <c r="R974" s="346"/>
      <c r="S974" s="346"/>
      <c r="T974" s="347"/>
      <c r="U974" s="345"/>
      <c r="V974" s="317"/>
      <c r="W974" s="318"/>
      <c r="X974" s="288"/>
      <c r="Y974" s="220"/>
      <c r="Z974" s="220"/>
      <c r="AA974" s="220"/>
      <c r="AB974" s="220"/>
      <c r="AC974" s="220"/>
      <c r="AD974" s="220"/>
      <c r="AE974" s="220"/>
      <c r="AF974" s="220"/>
      <c r="AG974" s="220"/>
      <c r="AH974" s="220"/>
      <c r="AI974" s="308"/>
      <c r="AJ974" s="220"/>
      <c r="AK974" s="220"/>
      <c r="AL974" s="220"/>
      <c r="AM974" s="220"/>
      <c r="AN974" s="220"/>
      <c r="AO974" s="220"/>
      <c r="AP974" s="220"/>
      <c r="AQ974" s="220"/>
      <c r="AR974" s="220"/>
      <c r="AS974" s="220"/>
      <c r="AT974" s="220"/>
      <c r="AU974" s="220"/>
      <c r="AV974" s="220"/>
      <c r="AW974" s="220"/>
      <c r="AX974" s="220"/>
      <c r="AY974" s="220"/>
      <c r="AZ974" s="220"/>
      <c r="BA974" s="220"/>
      <c r="BB974" s="220"/>
    </row>
    <row r="975">
      <c r="A975" s="240"/>
      <c r="B975" s="319"/>
      <c r="C975" s="346"/>
      <c r="D975" s="346"/>
      <c r="E975" s="346"/>
      <c r="F975" s="346"/>
      <c r="G975" s="346"/>
      <c r="H975" s="346"/>
      <c r="I975" s="346"/>
      <c r="J975" s="346"/>
      <c r="K975" s="346"/>
      <c r="L975" s="346"/>
      <c r="M975" s="346"/>
      <c r="N975" s="346"/>
      <c r="O975" s="346"/>
      <c r="P975" s="346"/>
      <c r="Q975" s="346"/>
      <c r="R975" s="346"/>
      <c r="S975" s="346"/>
      <c r="T975" s="347"/>
      <c r="U975" s="345"/>
      <c r="V975" s="317"/>
      <c r="W975" s="318"/>
      <c r="X975" s="288"/>
      <c r="Y975" s="220"/>
      <c r="Z975" s="220"/>
      <c r="AA975" s="220"/>
      <c r="AB975" s="220"/>
      <c r="AC975" s="220"/>
      <c r="AD975" s="220"/>
      <c r="AE975" s="220"/>
      <c r="AF975" s="220"/>
      <c r="AG975" s="220"/>
      <c r="AH975" s="220"/>
      <c r="AI975" s="308"/>
      <c r="AJ975" s="220"/>
      <c r="AK975" s="220"/>
      <c r="AL975" s="220"/>
      <c r="AM975" s="220"/>
      <c r="AN975" s="220"/>
      <c r="AO975" s="220"/>
      <c r="AP975" s="220"/>
      <c r="AQ975" s="220"/>
      <c r="AR975" s="220"/>
      <c r="AS975" s="220"/>
      <c r="AT975" s="220"/>
      <c r="AU975" s="220"/>
      <c r="AV975" s="220"/>
      <c r="AW975" s="220"/>
      <c r="AX975" s="220"/>
      <c r="AY975" s="220"/>
      <c r="AZ975" s="220"/>
      <c r="BA975" s="220"/>
      <c r="BB975" s="220"/>
    </row>
    <row r="976">
      <c r="A976" s="240"/>
      <c r="B976" s="319"/>
      <c r="C976" s="346"/>
      <c r="D976" s="346"/>
      <c r="E976" s="346"/>
      <c r="F976" s="346"/>
      <c r="G976" s="346"/>
      <c r="H976" s="346"/>
      <c r="I976" s="346"/>
      <c r="J976" s="346"/>
      <c r="K976" s="346"/>
      <c r="L976" s="346"/>
      <c r="M976" s="346"/>
      <c r="N976" s="346"/>
      <c r="O976" s="346"/>
      <c r="P976" s="346"/>
      <c r="Q976" s="346"/>
      <c r="R976" s="346"/>
      <c r="S976" s="346"/>
      <c r="T976" s="347"/>
      <c r="U976" s="345"/>
      <c r="V976" s="317"/>
      <c r="W976" s="318"/>
      <c r="X976" s="288"/>
      <c r="Y976" s="220"/>
      <c r="Z976" s="220"/>
      <c r="AA976" s="220"/>
      <c r="AB976" s="220"/>
      <c r="AC976" s="220"/>
      <c r="AD976" s="220"/>
      <c r="AE976" s="220"/>
      <c r="AF976" s="220"/>
      <c r="AG976" s="220"/>
      <c r="AH976" s="220"/>
      <c r="AI976" s="308"/>
      <c r="AJ976" s="220"/>
      <c r="AK976" s="220"/>
      <c r="AL976" s="220"/>
      <c r="AM976" s="220"/>
      <c r="AN976" s="220"/>
      <c r="AO976" s="220"/>
      <c r="AP976" s="220"/>
      <c r="AQ976" s="220"/>
      <c r="AR976" s="220"/>
      <c r="AS976" s="220"/>
      <c r="AT976" s="220"/>
      <c r="AU976" s="220"/>
      <c r="AV976" s="220"/>
      <c r="AW976" s="220"/>
      <c r="AX976" s="220"/>
      <c r="AY976" s="220"/>
      <c r="AZ976" s="220"/>
      <c r="BA976" s="220"/>
      <c r="BB976" s="220"/>
    </row>
    <row r="977">
      <c r="A977" s="240"/>
      <c r="B977" s="319"/>
      <c r="C977" s="346"/>
      <c r="D977" s="346"/>
      <c r="E977" s="346"/>
      <c r="F977" s="346"/>
      <c r="G977" s="346"/>
      <c r="H977" s="346"/>
      <c r="I977" s="346"/>
      <c r="J977" s="346"/>
      <c r="K977" s="346"/>
      <c r="L977" s="346"/>
      <c r="M977" s="346"/>
      <c r="N977" s="346"/>
      <c r="O977" s="346"/>
      <c r="P977" s="346"/>
      <c r="Q977" s="346"/>
      <c r="R977" s="346"/>
      <c r="S977" s="346"/>
      <c r="T977" s="347"/>
      <c r="U977" s="345"/>
      <c r="V977" s="317"/>
      <c r="W977" s="318"/>
      <c r="X977" s="288"/>
      <c r="Y977" s="220"/>
      <c r="Z977" s="220"/>
      <c r="AA977" s="220"/>
      <c r="AB977" s="220"/>
      <c r="AC977" s="220"/>
      <c r="AD977" s="220"/>
      <c r="AE977" s="220"/>
      <c r="AF977" s="220"/>
      <c r="AG977" s="220"/>
      <c r="AH977" s="220"/>
      <c r="AI977" s="308"/>
      <c r="AJ977" s="220"/>
      <c r="AK977" s="220"/>
      <c r="AL977" s="220"/>
      <c r="AM977" s="220"/>
      <c r="AN977" s="220"/>
      <c r="AO977" s="220"/>
      <c r="AP977" s="220"/>
      <c r="AQ977" s="220"/>
      <c r="AR977" s="220"/>
      <c r="AS977" s="220"/>
      <c r="AT977" s="220"/>
      <c r="AU977" s="220"/>
      <c r="AV977" s="220"/>
      <c r="AW977" s="220"/>
      <c r="AX977" s="220"/>
      <c r="AY977" s="220"/>
      <c r="AZ977" s="220"/>
      <c r="BA977" s="220"/>
      <c r="BB977" s="220"/>
    </row>
    <row r="978">
      <c r="A978" s="240"/>
      <c r="B978" s="319"/>
      <c r="C978" s="346"/>
      <c r="D978" s="346"/>
      <c r="E978" s="346"/>
      <c r="F978" s="346"/>
      <c r="G978" s="346"/>
      <c r="H978" s="346"/>
      <c r="I978" s="346"/>
      <c r="J978" s="346"/>
      <c r="K978" s="346"/>
      <c r="L978" s="346"/>
      <c r="M978" s="346"/>
      <c r="N978" s="346"/>
      <c r="O978" s="346"/>
      <c r="P978" s="346"/>
      <c r="Q978" s="346"/>
      <c r="R978" s="346"/>
      <c r="S978" s="346"/>
      <c r="T978" s="347"/>
      <c r="U978" s="345"/>
      <c r="V978" s="317"/>
      <c r="W978" s="318"/>
      <c r="X978" s="288"/>
      <c r="Y978" s="220"/>
      <c r="Z978" s="220"/>
      <c r="AA978" s="220"/>
      <c r="AB978" s="220"/>
      <c r="AC978" s="220"/>
      <c r="AD978" s="220"/>
      <c r="AE978" s="220"/>
      <c r="AF978" s="220"/>
      <c r="AG978" s="220"/>
      <c r="AH978" s="220"/>
      <c r="AI978" s="308"/>
      <c r="AJ978" s="220"/>
      <c r="AK978" s="220"/>
      <c r="AL978" s="220"/>
      <c r="AM978" s="220"/>
      <c r="AN978" s="220"/>
      <c r="AO978" s="220"/>
      <c r="AP978" s="220"/>
      <c r="AQ978" s="220"/>
      <c r="AR978" s="220"/>
      <c r="AS978" s="220"/>
      <c r="AT978" s="220"/>
      <c r="AU978" s="220"/>
      <c r="AV978" s="220"/>
      <c r="AW978" s="220"/>
      <c r="AX978" s="220"/>
      <c r="AY978" s="220"/>
      <c r="AZ978" s="220"/>
      <c r="BA978" s="220"/>
      <c r="BB978" s="220"/>
    </row>
    <row r="979">
      <c r="A979" s="240"/>
      <c r="B979" s="319"/>
      <c r="C979" s="346"/>
      <c r="D979" s="346"/>
      <c r="E979" s="346"/>
      <c r="F979" s="346"/>
      <c r="G979" s="346"/>
      <c r="H979" s="346"/>
      <c r="I979" s="346"/>
      <c r="J979" s="346"/>
      <c r="K979" s="346"/>
      <c r="L979" s="346"/>
      <c r="M979" s="346"/>
      <c r="N979" s="346"/>
      <c r="O979" s="346"/>
      <c r="P979" s="346"/>
      <c r="Q979" s="346"/>
      <c r="R979" s="346"/>
      <c r="S979" s="346"/>
      <c r="T979" s="347"/>
      <c r="U979" s="345"/>
      <c r="V979" s="317"/>
      <c r="W979" s="318"/>
      <c r="X979" s="288"/>
      <c r="Y979" s="220"/>
      <c r="Z979" s="220"/>
      <c r="AA979" s="220"/>
      <c r="AB979" s="220"/>
      <c r="AC979" s="220"/>
      <c r="AD979" s="220"/>
      <c r="AE979" s="220"/>
      <c r="AF979" s="220"/>
      <c r="AG979" s="220"/>
      <c r="AH979" s="220"/>
      <c r="AI979" s="308"/>
      <c r="AJ979" s="220"/>
      <c r="AK979" s="220"/>
      <c r="AL979" s="220"/>
      <c r="AM979" s="220"/>
      <c r="AN979" s="220"/>
      <c r="AO979" s="220"/>
      <c r="AP979" s="220"/>
      <c r="AQ979" s="220"/>
      <c r="AR979" s="220"/>
      <c r="AS979" s="220"/>
      <c r="AT979" s="220"/>
      <c r="AU979" s="220"/>
      <c r="AV979" s="220"/>
      <c r="AW979" s="220"/>
      <c r="AX979" s="220"/>
      <c r="AY979" s="220"/>
      <c r="AZ979" s="220"/>
      <c r="BA979" s="220"/>
      <c r="BB979" s="220"/>
    </row>
    <row r="980">
      <c r="A980" s="240"/>
      <c r="B980" s="319"/>
      <c r="C980" s="346"/>
      <c r="D980" s="346"/>
      <c r="E980" s="346"/>
      <c r="F980" s="346"/>
      <c r="G980" s="346"/>
      <c r="H980" s="346"/>
      <c r="I980" s="346"/>
      <c r="J980" s="346"/>
      <c r="K980" s="346"/>
      <c r="L980" s="346"/>
      <c r="M980" s="346"/>
      <c r="N980" s="346"/>
      <c r="O980" s="346"/>
      <c r="P980" s="346"/>
      <c r="Q980" s="346"/>
      <c r="R980" s="346"/>
      <c r="S980" s="346"/>
      <c r="T980" s="347"/>
      <c r="U980" s="345"/>
      <c r="V980" s="317"/>
      <c r="W980" s="318"/>
      <c r="X980" s="288"/>
      <c r="Y980" s="220"/>
      <c r="Z980" s="220"/>
      <c r="AA980" s="220"/>
      <c r="AB980" s="220"/>
      <c r="AC980" s="220"/>
      <c r="AD980" s="220"/>
      <c r="AE980" s="220"/>
      <c r="AF980" s="220"/>
      <c r="AG980" s="220"/>
      <c r="AH980" s="220"/>
      <c r="AI980" s="308"/>
      <c r="AJ980" s="220"/>
      <c r="AK980" s="220"/>
      <c r="AL980" s="220"/>
      <c r="AM980" s="220"/>
      <c r="AN980" s="220"/>
      <c r="AO980" s="220"/>
      <c r="AP980" s="220"/>
      <c r="AQ980" s="220"/>
      <c r="AR980" s="220"/>
      <c r="AS980" s="220"/>
      <c r="AT980" s="220"/>
      <c r="AU980" s="220"/>
      <c r="AV980" s="220"/>
      <c r="AW980" s="220"/>
      <c r="AX980" s="220"/>
      <c r="AY980" s="220"/>
      <c r="AZ980" s="220"/>
      <c r="BA980" s="220"/>
      <c r="BB980" s="220"/>
    </row>
    <row r="981">
      <c r="A981" s="240"/>
      <c r="B981" s="319"/>
      <c r="C981" s="346"/>
      <c r="D981" s="346"/>
      <c r="E981" s="346"/>
      <c r="F981" s="346"/>
      <c r="G981" s="346"/>
      <c r="H981" s="346"/>
      <c r="I981" s="346"/>
      <c r="J981" s="346"/>
      <c r="K981" s="346"/>
      <c r="L981" s="346"/>
      <c r="M981" s="346"/>
      <c r="N981" s="346"/>
      <c r="O981" s="346"/>
      <c r="P981" s="346"/>
      <c r="Q981" s="346"/>
      <c r="R981" s="346"/>
      <c r="S981" s="346"/>
      <c r="T981" s="347"/>
      <c r="U981" s="345"/>
      <c r="V981" s="317"/>
      <c r="W981" s="318"/>
      <c r="X981" s="288"/>
      <c r="Y981" s="220"/>
      <c r="Z981" s="220"/>
      <c r="AA981" s="220"/>
      <c r="AB981" s="220"/>
      <c r="AC981" s="220"/>
      <c r="AD981" s="220"/>
      <c r="AE981" s="220"/>
      <c r="AF981" s="220"/>
      <c r="AG981" s="220"/>
      <c r="AH981" s="220"/>
      <c r="AI981" s="308"/>
      <c r="AJ981" s="220"/>
      <c r="AK981" s="220"/>
      <c r="AL981" s="220"/>
      <c r="AM981" s="220"/>
      <c r="AN981" s="220"/>
      <c r="AO981" s="220"/>
      <c r="AP981" s="220"/>
      <c r="AQ981" s="220"/>
      <c r="AR981" s="220"/>
      <c r="AS981" s="220"/>
      <c r="AT981" s="220"/>
      <c r="AU981" s="220"/>
      <c r="AV981" s="220"/>
      <c r="AW981" s="220"/>
      <c r="AX981" s="220"/>
      <c r="AY981" s="220"/>
      <c r="AZ981" s="220"/>
      <c r="BA981" s="220"/>
      <c r="BB981" s="220"/>
    </row>
    <row r="982">
      <c r="A982" s="240"/>
      <c r="B982" s="319"/>
      <c r="C982" s="346"/>
      <c r="D982" s="346"/>
      <c r="E982" s="346"/>
      <c r="F982" s="346"/>
      <c r="G982" s="346"/>
      <c r="H982" s="346"/>
      <c r="I982" s="346"/>
      <c r="J982" s="346"/>
      <c r="K982" s="346"/>
      <c r="L982" s="346"/>
      <c r="M982" s="346"/>
      <c r="N982" s="346"/>
      <c r="O982" s="346"/>
      <c r="P982" s="346"/>
      <c r="Q982" s="346"/>
      <c r="R982" s="346"/>
      <c r="S982" s="346"/>
      <c r="T982" s="347"/>
      <c r="U982" s="345"/>
      <c r="V982" s="317"/>
      <c r="W982" s="318"/>
      <c r="X982" s="288"/>
      <c r="Y982" s="220"/>
      <c r="Z982" s="220"/>
      <c r="AA982" s="220"/>
      <c r="AB982" s="220"/>
      <c r="AC982" s="220"/>
      <c r="AD982" s="220"/>
      <c r="AE982" s="220"/>
      <c r="AF982" s="220"/>
      <c r="AG982" s="220"/>
      <c r="AH982" s="220"/>
      <c r="AI982" s="308"/>
      <c r="AJ982" s="220"/>
      <c r="AK982" s="220"/>
      <c r="AL982" s="220"/>
      <c r="AM982" s="220"/>
      <c r="AN982" s="220"/>
      <c r="AO982" s="220"/>
      <c r="AP982" s="220"/>
      <c r="AQ982" s="220"/>
      <c r="AR982" s="220"/>
      <c r="AS982" s="220"/>
      <c r="AT982" s="220"/>
      <c r="AU982" s="220"/>
      <c r="AV982" s="220"/>
      <c r="AW982" s="220"/>
      <c r="AX982" s="220"/>
      <c r="AY982" s="220"/>
      <c r="AZ982" s="220"/>
      <c r="BA982" s="220"/>
      <c r="BB982" s="220"/>
    </row>
    <row r="983">
      <c r="A983" s="240"/>
      <c r="B983" s="319"/>
      <c r="C983" s="346"/>
      <c r="D983" s="346"/>
      <c r="E983" s="346"/>
      <c r="F983" s="346"/>
      <c r="G983" s="346"/>
      <c r="H983" s="346"/>
      <c r="I983" s="346"/>
      <c r="J983" s="346"/>
      <c r="K983" s="346"/>
      <c r="L983" s="346"/>
      <c r="M983" s="346"/>
      <c r="N983" s="346"/>
      <c r="O983" s="346"/>
      <c r="P983" s="346"/>
      <c r="Q983" s="346"/>
      <c r="R983" s="346"/>
      <c r="S983" s="346"/>
      <c r="T983" s="347"/>
      <c r="U983" s="345"/>
      <c r="V983" s="317"/>
      <c r="W983" s="318"/>
      <c r="X983" s="288"/>
      <c r="Y983" s="220"/>
      <c r="Z983" s="220"/>
      <c r="AA983" s="220"/>
      <c r="AB983" s="220"/>
      <c r="AC983" s="220"/>
      <c r="AD983" s="220"/>
      <c r="AE983" s="220"/>
      <c r="AF983" s="220"/>
      <c r="AG983" s="220"/>
      <c r="AH983" s="220"/>
      <c r="AI983" s="308"/>
      <c r="AJ983" s="220"/>
      <c r="AK983" s="220"/>
      <c r="AL983" s="220"/>
      <c r="AM983" s="220"/>
      <c r="AN983" s="220"/>
      <c r="AO983" s="220"/>
      <c r="AP983" s="220"/>
      <c r="AQ983" s="220"/>
      <c r="AR983" s="220"/>
      <c r="AS983" s="220"/>
      <c r="AT983" s="220"/>
      <c r="AU983" s="220"/>
      <c r="AV983" s="220"/>
      <c r="AW983" s="220"/>
      <c r="AX983" s="220"/>
      <c r="AY983" s="220"/>
      <c r="AZ983" s="220"/>
      <c r="BA983" s="220"/>
      <c r="BB983" s="220"/>
    </row>
    <row r="984">
      <c r="A984" s="240"/>
      <c r="B984" s="319"/>
      <c r="C984" s="346"/>
      <c r="D984" s="346"/>
      <c r="E984" s="346"/>
      <c r="F984" s="346"/>
      <c r="G984" s="346"/>
      <c r="H984" s="346"/>
      <c r="I984" s="346"/>
      <c r="J984" s="346"/>
      <c r="K984" s="346"/>
      <c r="L984" s="346"/>
      <c r="M984" s="346"/>
      <c r="N984" s="346"/>
      <c r="O984" s="346"/>
      <c r="P984" s="346"/>
      <c r="Q984" s="346"/>
      <c r="R984" s="346"/>
      <c r="S984" s="346"/>
      <c r="T984" s="347"/>
      <c r="U984" s="345"/>
      <c r="V984" s="317"/>
      <c r="W984" s="318"/>
      <c r="X984" s="288"/>
      <c r="Y984" s="220"/>
      <c r="Z984" s="220"/>
      <c r="AA984" s="220"/>
      <c r="AB984" s="220"/>
      <c r="AC984" s="220"/>
      <c r="AD984" s="220"/>
      <c r="AE984" s="220"/>
      <c r="AF984" s="220"/>
      <c r="AG984" s="220"/>
      <c r="AH984" s="220"/>
      <c r="AI984" s="308"/>
      <c r="AJ984" s="220"/>
      <c r="AK984" s="220"/>
      <c r="AL984" s="220"/>
      <c r="AM984" s="220"/>
      <c r="AN984" s="220"/>
      <c r="AO984" s="220"/>
      <c r="AP984" s="220"/>
      <c r="AQ984" s="220"/>
      <c r="AR984" s="220"/>
      <c r="AS984" s="220"/>
      <c r="AT984" s="220"/>
      <c r="AU984" s="220"/>
      <c r="AV984" s="220"/>
      <c r="AW984" s="220"/>
      <c r="AX984" s="220"/>
      <c r="AY984" s="220"/>
      <c r="AZ984" s="220"/>
      <c r="BA984" s="220"/>
      <c r="BB984" s="220"/>
    </row>
    <row r="985">
      <c r="A985" s="240"/>
      <c r="B985" s="319"/>
      <c r="C985" s="346"/>
      <c r="D985" s="346"/>
      <c r="E985" s="346"/>
      <c r="F985" s="346"/>
      <c r="G985" s="346"/>
      <c r="H985" s="346"/>
      <c r="I985" s="346"/>
      <c r="J985" s="346"/>
      <c r="K985" s="346"/>
      <c r="L985" s="346"/>
      <c r="M985" s="346"/>
      <c r="N985" s="346"/>
      <c r="O985" s="346"/>
      <c r="P985" s="346"/>
      <c r="Q985" s="346"/>
      <c r="R985" s="346"/>
      <c r="S985" s="346"/>
      <c r="T985" s="347"/>
      <c r="U985" s="345"/>
      <c r="V985" s="317"/>
      <c r="W985" s="318"/>
      <c r="X985" s="288"/>
      <c r="Y985" s="220"/>
      <c r="Z985" s="220"/>
      <c r="AA985" s="220"/>
      <c r="AB985" s="220"/>
      <c r="AC985" s="220"/>
      <c r="AD985" s="220"/>
      <c r="AE985" s="220"/>
      <c r="AF985" s="220"/>
      <c r="AG985" s="220"/>
      <c r="AH985" s="220"/>
      <c r="AI985" s="308"/>
      <c r="AJ985" s="220"/>
      <c r="AK985" s="220"/>
      <c r="AL985" s="220"/>
      <c r="AM985" s="220"/>
      <c r="AN985" s="220"/>
      <c r="AO985" s="220"/>
      <c r="AP985" s="220"/>
      <c r="AQ985" s="220"/>
      <c r="AR985" s="220"/>
      <c r="AS985" s="220"/>
      <c r="AT985" s="220"/>
      <c r="AU985" s="220"/>
      <c r="AV985" s="220"/>
      <c r="AW985" s="220"/>
      <c r="AX985" s="220"/>
      <c r="AY985" s="220"/>
      <c r="AZ985" s="220"/>
      <c r="BA985" s="220"/>
      <c r="BB985" s="220"/>
    </row>
    <row r="986">
      <c r="A986" s="240"/>
      <c r="B986" s="319"/>
      <c r="C986" s="346"/>
      <c r="D986" s="346"/>
      <c r="E986" s="346"/>
      <c r="F986" s="346"/>
      <c r="G986" s="346"/>
      <c r="H986" s="346"/>
      <c r="I986" s="346"/>
      <c r="J986" s="346"/>
      <c r="K986" s="346"/>
      <c r="L986" s="346"/>
      <c r="M986" s="346"/>
      <c r="N986" s="346"/>
      <c r="O986" s="346"/>
      <c r="P986" s="346"/>
      <c r="Q986" s="346"/>
      <c r="R986" s="346"/>
      <c r="S986" s="346"/>
      <c r="T986" s="347"/>
      <c r="U986" s="345"/>
      <c r="V986" s="317"/>
      <c r="W986" s="318"/>
      <c r="X986" s="288"/>
      <c r="Y986" s="220"/>
      <c r="Z986" s="220"/>
      <c r="AA986" s="220"/>
      <c r="AB986" s="220"/>
      <c r="AC986" s="220"/>
      <c r="AD986" s="220"/>
      <c r="AE986" s="220"/>
      <c r="AF986" s="220"/>
      <c r="AG986" s="220"/>
      <c r="AH986" s="220"/>
      <c r="AI986" s="308"/>
      <c r="AJ986" s="220"/>
      <c r="AK986" s="220"/>
      <c r="AL986" s="220"/>
      <c r="AM986" s="220"/>
      <c r="AN986" s="220"/>
      <c r="AO986" s="220"/>
      <c r="AP986" s="220"/>
      <c r="AQ986" s="220"/>
      <c r="AR986" s="220"/>
      <c r="AS986" s="220"/>
      <c r="AT986" s="220"/>
      <c r="AU986" s="220"/>
      <c r="AV986" s="220"/>
      <c r="AW986" s="220"/>
      <c r="AX986" s="220"/>
      <c r="AY986" s="220"/>
      <c r="AZ986" s="220"/>
      <c r="BA986" s="220"/>
      <c r="BB986" s="220"/>
    </row>
    <row r="987">
      <c r="A987" s="240"/>
      <c r="B987" s="319"/>
      <c r="C987" s="346"/>
      <c r="D987" s="346"/>
      <c r="E987" s="346"/>
      <c r="F987" s="346"/>
      <c r="G987" s="346"/>
      <c r="H987" s="346"/>
      <c r="I987" s="346"/>
      <c r="J987" s="346"/>
      <c r="K987" s="346"/>
      <c r="L987" s="346"/>
      <c r="M987" s="346"/>
      <c r="N987" s="346"/>
      <c r="O987" s="346"/>
      <c r="P987" s="346"/>
      <c r="Q987" s="346"/>
      <c r="R987" s="346"/>
      <c r="S987" s="346"/>
      <c r="T987" s="347"/>
      <c r="U987" s="345"/>
      <c r="V987" s="317"/>
      <c r="W987" s="318"/>
      <c r="X987" s="288"/>
      <c r="Y987" s="220"/>
      <c r="Z987" s="220"/>
      <c r="AA987" s="220"/>
      <c r="AB987" s="220"/>
      <c r="AC987" s="220"/>
      <c r="AD987" s="220"/>
      <c r="AE987" s="220"/>
      <c r="AF987" s="220"/>
      <c r="AG987" s="220"/>
      <c r="AH987" s="220"/>
      <c r="AI987" s="308"/>
      <c r="AJ987" s="220"/>
      <c r="AK987" s="220"/>
      <c r="AL987" s="220"/>
      <c r="AM987" s="220"/>
      <c r="AN987" s="220"/>
      <c r="AO987" s="220"/>
      <c r="AP987" s="220"/>
      <c r="AQ987" s="220"/>
      <c r="AR987" s="220"/>
      <c r="AS987" s="220"/>
      <c r="AT987" s="220"/>
      <c r="AU987" s="220"/>
      <c r="AV987" s="220"/>
      <c r="AW987" s="220"/>
      <c r="AX987" s="220"/>
      <c r="AY987" s="220"/>
      <c r="AZ987" s="220"/>
      <c r="BA987" s="220"/>
      <c r="BB987" s="220"/>
    </row>
    <row r="988">
      <c r="A988" s="240"/>
      <c r="B988" s="319"/>
      <c r="C988" s="346"/>
      <c r="D988" s="346"/>
      <c r="E988" s="346"/>
      <c r="F988" s="346"/>
      <c r="G988" s="346"/>
      <c r="H988" s="346"/>
      <c r="I988" s="346"/>
      <c r="J988" s="346"/>
      <c r="K988" s="346"/>
      <c r="L988" s="346"/>
      <c r="M988" s="346"/>
      <c r="N988" s="346"/>
      <c r="O988" s="346"/>
      <c r="P988" s="346"/>
      <c r="Q988" s="346"/>
      <c r="R988" s="346"/>
      <c r="S988" s="346"/>
      <c r="T988" s="347"/>
      <c r="U988" s="345"/>
      <c r="V988" s="317"/>
      <c r="W988" s="318"/>
      <c r="X988" s="288"/>
      <c r="Y988" s="220"/>
      <c r="Z988" s="220"/>
      <c r="AA988" s="220"/>
      <c r="AB988" s="220"/>
      <c r="AC988" s="220"/>
      <c r="AD988" s="220"/>
      <c r="AE988" s="220"/>
      <c r="AF988" s="220"/>
      <c r="AG988" s="220"/>
      <c r="AH988" s="220"/>
      <c r="AI988" s="308"/>
      <c r="AJ988" s="220"/>
      <c r="AK988" s="220"/>
      <c r="AL988" s="220"/>
      <c r="AM988" s="220"/>
      <c r="AN988" s="220"/>
      <c r="AO988" s="220"/>
      <c r="AP988" s="220"/>
      <c r="AQ988" s="220"/>
      <c r="AR988" s="220"/>
      <c r="AS988" s="220"/>
      <c r="AT988" s="220"/>
      <c r="AU988" s="220"/>
      <c r="AV988" s="220"/>
      <c r="AW988" s="220"/>
      <c r="AX988" s="220"/>
      <c r="AY988" s="220"/>
      <c r="AZ988" s="220"/>
      <c r="BA988" s="220"/>
      <c r="BB988" s="220"/>
    </row>
    <row r="989">
      <c r="A989" s="240"/>
      <c r="B989" s="319"/>
      <c r="C989" s="346"/>
      <c r="D989" s="346"/>
      <c r="E989" s="346"/>
      <c r="F989" s="346"/>
      <c r="G989" s="346"/>
      <c r="H989" s="346"/>
      <c r="I989" s="346"/>
      <c r="J989" s="346"/>
      <c r="K989" s="346"/>
      <c r="L989" s="346"/>
      <c r="M989" s="346"/>
      <c r="N989" s="346"/>
      <c r="O989" s="346"/>
      <c r="P989" s="346"/>
      <c r="Q989" s="346"/>
      <c r="R989" s="346"/>
      <c r="S989" s="346"/>
      <c r="T989" s="347"/>
      <c r="U989" s="345"/>
      <c r="V989" s="317"/>
      <c r="W989" s="318"/>
      <c r="X989" s="288"/>
      <c r="Y989" s="220"/>
      <c r="Z989" s="220"/>
      <c r="AA989" s="220"/>
      <c r="AB989" s="220"/>
      <c r="AC989" s="220"/>
      <c r="AD989" s="220"/>
      <c r="AE989" s="220"/>
      <c r="AF989" s="220"/>
      <c r="AG989" s="220"/>
      <c r="AH989" s="220"/>
      <c r="AI989" s="308"/>
      <c r="AJ989" s="220"/>
      <c r="AK989" s="220"/>
      <c r="AL989" s="220"/>
      <c r="AM989" s="220"/>
      <c r="AN989" s="220"/>
      <c r="AO989" s="220"/>
      <c r="AP989" s="220"/>
      <c r="AQ989" s="220"/>
      <c r="AR989" s="220"/>
      <c r="AS989" s="220"/>
      <c r="AT989" s="220"/>
      <c r="AU989" s="220"/>
      <c r="AV989" s="220"/>
      <c r="AW989" s="220"/>
      <c r="AX989" s="220"/>
      <c r="AY989" s="220"/>
      <c r="AZ989" s="220"/>
      <c r="BA989" s="220"/>
      <c r="BB989" s="220"/>
    </row>
    <row r="990">
      <c r="A990" s="240"/>
      <c r="B990" s="319"/>
      <c r="C990" s="346"/>
      <c r="D990" s="346"/>
      <c r="E990" s="346"/>
      <c r="F990" s="346"/>
      <c r="G990" s="346"/>
      <c r="H990" s="346"/>
      <c r="I990" s="346"/>
      <c r="J990" s="346"/>
      <c r="K990" s="346"/>
      <c r="L990" s="346"/>
      <c r="M990" s="346"/>
      <c r="N990" s="346"/>
      <c r="O990" s="346"/>
      <c r="P990" s="346"/>
      <c r="Q990" s="346"/>
      <c r="R990" s="346"/>
      <c r="S990" s="346"/>
      <c r="T990" s="347"/>
      <c r="U990" s="345"/>
      <c r="V990" s="317"/>
      <c r="W990" s="318"/>
      <c r="X990" s="288"/>
      <c r="Y990" s="220"/>
      <c r="Z990" s="220"/>
      <c r="AA990" s="220"/>
      <c r="AB990" s="220"/>
      <c r="AC990" s="220"/>
      <c r="AD990" s="220"/>
      <c r="AE990" s="220"/>
      <c r="AF990" s="220"/>
      <c r="AG990" s="220"/>
      <c r="AH990" s="220"/>
      <c r="AI990" s="308"/>
      <c r="AJ990" s="220"/>
      <c r="AK990" s="220"/>
      <c r="AL990" s="220"/>
      <c r="AM990" s="220"/>
      <c r="AN990" s="220"/>
      <c r="AO990" s="220"/>
      <c r="AP990" s="220"/>
      <c r="AQ990" s="220"/>
      <c r="AR990" s="220"/>
      <c r="AS990" s="220"/>
      <c r="AT990" s="220"/>
      <c r="AU990" s="220"/>
      <c r="AV990" s="220"/>
      <c r="AW990" s="220"/>
      <c r="AX990" s="220"/>
      <c r="AY990" s="220"/>
      <c r="AZ990" s="220"/>
      <c r="BA990" s="220"/>
      <c r="BB990" s="220"/>
    </row>
    <row r="991">
      <c r="A991" s="240"/>
      <c r="B991" s="319"/>
      <c r="C991" s="346"/>
      <c r="D991" s="346"/>
      <c r="E991" s="346"/>
      <c r="F991" s="346"/>
      <c r="G991" s="346"/>
      <c r="H991" s="346"/>
      <c r="I991" s="346"/>
      <c r="J991" s="346"/>
      <c r="K991" s="346"/>
      <c r="L991" s="346"/>
      <c r="M991" s="346"/>
      <c r="N991" s="346"/>
      <c r="O991" s="346"/>
      <c r="P991" s="346"/>
      <c r="Q991" s="346"/>
      <c r="R991" s="346"/>
      <c r="S991" s="346"/>
      <c r="T991" s="347"/>
      <c r="U991" s="345"/>
      <c r="V991" s="317"/>
      <c r="W991" s="318"/>
      <c r="X991" s="288"/>
      <c r="Y991" s="220"/>
      <c r="Z991" s="220"/>
      <c r="AA991" s="220"/>
      <c r="AB991" s="220"/>
      <c r="AC991" s="220"/>
      <c r="AD991" s="220"/>
      <c r="AE991" s="220"/>
      <c r="AF991" s="220"/>
      <c r="AG991" s="220"/>
      <c r="AH991" s="220"/>
      <c r="AI991" s="308"/>
      <c r="AJ991" s="220"/>
      <c r="AK991" s="220"/>
      <c r="AL991" s="220"/>
      <c r="AM991" s="220"/>
      <c r="AN991" s="220"/>
      <c r="AO991" s="220"/>
      <c r="AP991" s="220"/>
      <c r="AQ991" s="220"/>
      <c r="AR991" s="220"/>
      <c r="AS991" s="220"/>
      <c r="AT991" s="220"/>
      <c r="AU991" s="220"/>
      <c r="AV991" s="220"/>
      <c r="AW991" s="220"/>
      <c r="AX991" s="220"/>
      <c r="AY991" s="220"/>
      <c r="AZ991" s="220"/>
      <c r="BA991" s="220"/>
      <c r="BB991" s="220"/>
    </row>
    <row r="992">
      <c r="A992" s="240"/>
      <c r="B992" s="319"/>
      <c r="C992" s="346"/>
      <c r="D992" s="346"/>
      <c r="E992" s="346"/>
      <c r="F992" s="346"/>
      <c r="G992" s="346"/>
      <c r="H992" s="346"/>
      <c r="I992" s="346"/>
      <c r="J992" s="346"/>
      <c r="K992" s="346"/>
      <c r="L992" s="346"/>
      <c r="M992" s="346"/>
      <c r="N992" s="346"/>
      <c r="O992" s="346"/>
      <c r="P992" s="346"/>
      <c r="Q992" s="346"/>
      <c r="R992" s="346"/>
      <c r="S992" s="346"/>
      <c r="T992" s="347"/>
      <c r="U992" s="345"/>
      <c r="V992" s="317"/>
      <c r="W992" s="318"/>
      <c r="X992" s="288"/>
      <c r="Y992" s="220"/>
      <c r="Z992" s="220"/>
      <c r="AA992" s="220"/>
      <c r="AB992" s="220"/>
      <c r="AC992" s="220"/>
      <c r="AD992" s="220"/>
      <c r="AE992" s="220"/>
      <c r="AF992" s="220"/>
      <c r="AG992" s="220"/>
      <c r="AH992" s="220"/>
      <c r="AI992" s="308"/>
      <c r="AJ992" s="220"/>
      <c r="AK992" s="220"/>
      <c r="AL992" s="220"/>
      <c r="AM992" s="220"/>
      <c r="AN992" s="220"/>
      <c r="AO992" s="220"/>
      <c r="AP992" s="220"/>
      <c r="AQ992" s="220"/>
      <c r="AR992" s="220"/>
      <c r="AS992" s="220"/>
      <c r="AT992" s="220"/>
      <c r="AU992" s="220"/>
      <c r="AV992" s="220"/>
      <c r="AW992" s="220"/>
      <c r="AX992" s="220"/>
      <c r="AY992" s="220"/>
      <c r="AZ992" s="220"/>
      <c r="BA992" s="220"/>
      <c r="BB992" s="220"/>
    </row>
    <row r="993">
      <c r="A993" s="240"/>
      <c r="B993" s="319"/>
      <c r="C993" s="346"/>
      <c r="D993" s="346"/>
      <c r="E993" s="346"/>
      <c r="F993" s="346"/>
      <c r="G993" s="346"/>
      <c r="H993" s="346"/>
      <c r="I993" s="346"/>
      <c r="J993" s="346"/>
      <c r="K993" s="346"/>
      <c r="L993" s="346"/>
      <c r="M993" s="346"/>
      <c r="N993" s="346"/>
      <c r="O993" s="346"/>
      <c r="P993" s="346"/>
      <c r="Q993" s="346"/>
      <c r="R993" s="346"/>
      <c r="S993" s="346"/>
      <c r="T993" s="347"/>
      <c r="U993" s="345"/>
      <c r="V993" s="317"/>
      <c r="W993" s="318"/>
      <c r="X993" s="288"/>
      <c r="Y993" s="220"/>
      <c r="Z993" s="220"/>
      <c r="AA993" s="220"/>
      <c r="AB993" s="220"/>
      <c r="AC993" s="220"/>
      <c r="AD993" s="220"/>
      <c r="AE993" s="220"/>
      <c r="AF993" s="220"/>
      <c r="AG993" s="220"/>
      <c r="AH993" s="220"/>
      <c r="AI993" s="308"/>
      <c r="AJ993" s="220"/>
      <c r="AK993" s="220"/>
      <c r="AL993" s="220"/>
      <c r="AM993" s="220"/>
      <c r="AN993" s="220"/>
      <c r="AO993" s="220"/>
      <c r="AP993" s="220"/>
      <c r="AQ993" s="220"/>
      <c r="AR993" s="220"/>
      <c r="AS993" s="220"/>
      <c r="AT993" s="220"/>
      <c r="AU993" s="220"/>
      <c r="AV993" s="220"/>
      <c r="AW993" s="220"/>
      <c r="AX993" s="220"/>
      <c r="AY993" s="220"/>
      <c r="AZ993" s="220"/>
      <c r="BA993" s="220"/>
      <c r="BB993" s="220"/>
    </row>
    <row r="994">
      <c r="A994" s="240"/>
      <c r="B994" s="319"/>
      <c r="C994" s="346"/>
      <c r="D994" s="346"/>
      <c r="E994" s="346"/>
      <c r="F994" s="346"/>
      <c r="G994" s="346"/>
      <c r="H994" s="346"/>
      <c r="I994" s="346"/>
      <c r="J994" s="346"/>
      <c r="K994" s="346"/>
      <c r="L994" s="346"/>
      <c r="M994" s="346"/>
      <c r="N994" s="346"/>
      <c r="O994" s="346"/>
      <c r="P994" s="346"/>
      <c r="Q994" s="346"/>
      <c r="R994" s="346"/>
      <c r="S994" s="346"/>
      <c r="T994" s="347"/>
      <c r="U994" s="345"/>
      <c r="V994" s="317"/>
      <c r="W994" s="318"/>
      <c r="X994" s="288"/>
      <c r="Y994" s="220"/>
      <c r="Z994" s="220"/>
      <c r="AA994" s="220"/>
      <c r="AB994" s="220"/>
      <c r="AC994" s="220"/>
      <c r="AD994" s="220"/>
      <c r="AE994" s="220"/>
      <c r="AF994" s="220"/>
      <c r="AG994" s="220"/>
      <c r="AH994" s="220"/>
      <c r="AI994" s="308"/>
      <c r="AJ994" s="220"/>
      <c r="AK994" s="220"/>
      <c r="AL994" s="220"/>
      <c r="AM994" s="220"/>
      <c r="AN994" s="220"/>
      <c r="AO994" s="220"/>
      <c r="AP994" s="220"/>
      <c r="AQ994" s="220"/>
      <c r="AR994" s="220"/>
      <c r="AS994" s="220"/>
      <c r="AT994" s="220"/>
      <c r="AU994" s="220"/>
      <c r="AV994" s="220"/>
      <c r="AW994" s="220"/>
      <c r="AX994" s="220"/>
      <c r="AY994" s="220"/>
      <c r="AZ994" s="220"/>
      <c r="BA994" s="220"/>
      <c r="BB994" s="220"/>
    </row>
    <row r="995">
      <c r="A995" s="240"/>
      <c r="B995" s="319"/>
      <c r="C995" s="346"/>
      <c r="D995" s="346"/>
      <c r="E995" s="346"/>
      <c r="F995" s="346"/>
      <c r="G995" s="346"/>
      <c r="H995" s="346"/>
      <c r="I995" s="346"/>
      <c r="J995" s="346"/>
      <c r="K995" s="346"/>
      <c r="L995" s="346"/>
      <c r="M995" s="346"/>
      <c r="N995" s="346"/>
      <c r="O995" s="346"/>
      <c r="P995" s="346"/>
      <c r="Q995" s="346"/>
      <c r="R995" s="346"/>
      <c r="S995" s="346"/>
      <c r="T995" s="347"/>
      <c r="U995" s="345"/>
      <c r="V995" s="317"/>
      <c r="W995" s="318"/>
      <c r="X995" s="288"/>
      <c r="Y995" s="220"/>
      <c r="Z995" s="220"/>
      <c r="AA995" s="220"/>
      <c r="AB995" s="220"/>
      <c r="AC995" s="220"/>
      <c r="AD995" s="220"/>
      <c r="AE995" s="220"/>
      <c r="AF995" s="220"/>
      <c r="AG995" s="220"/>
      <c r="AH995" s="220"/>
      <c r="AI995" s="308"/>
      <c r="AJ995" s="220"/>
      <c r="AK995" s="220"/>
      <c r="AL995" s="220"/>
      <c r="AM995" s="220"/>
      <c r="AN995" s="220"/>
      <c r="AO995" s="220"/>
      <c r="AP995" s="220"/>
      <c r="AQ995" s="220"/>
      <c r="AR995" s="220"/>
      <c r="AS995" s="220"/>
      <c r="AT995" s="220"/>
      <c r="AU995" s="220"/>
      <c r="AV995" s="220"/>
      <c r="AW995" s="220"/>
      <c r="AX995" s="220"/>
      <c r="AY995" s="220"/>
      <c r="AZ995" s="220"/>
      <c r="BA995" s="220"/>
      <c r="BB995" s="220"/>
    </row>
    <row r="996">
      <c r="A996" s="240"/>
      <c r="B996" s="319"/>
      <c r="C996" s="346"/>
      <c r="D996" s="346"/>
      <c r="E996" s="346"/>
      <c r="F996" s="346"/>
      <c r="G996" s="346"/>
      <c r="H996" s="346"/>
      <c r="I996" s="346"/>
      <c r="J996" s="346"/>
      <c r="K996" s="346"/>
      <c r="L996" s="346"/>
      <c r="M996" s="346"/>
      <c r="N996" s="346"/>
      <c r="O996" s="346"/>
      <c r="P996" s="346"/>
      <c r="Q996" s="346"/>
      <c r="R996" s="346"/>
      <c r="S996" s="346"/>
      <c r="T996" s="347"/>
      <c r="U996" s="345"/>
      <c r="V996" s="317"/>
      <c r="W996" s="318"/>
      <c r="X996" s="288"/>
      <c r="Y996" s="220"/>
      <c r="Z996" s="220"/>
      <c r="AA996" s="220"/>
      <c r="AB996" s="220"/>
      <c r="AC996" s="220"/>
      <c r="AD996" s="220"/>
      <c r="AE996" s="220"/>
      <c r="AF996" s="220"/>
      <c r="AG996" s="220"/>
      <c r="AH996" s="220"/>
      <c r="AI996" s="308"/>
      <c r="AJ996" s="220"/>
      <c r="AK996" s="220"/>
      <c r="AL996" s="220"/>
      <c r="AM996" s="220"/>
      <c r="AN996" s="220"/>
      <c r="AO996" s="220"/>
      <c r="AP996" s="220"/>
      <c r="AQ996" s="220"/>
      <c r="AR996" s="220"/>
      <c r="AS996" s="220"/>
      <c r="AT996" s="220"/>
      <c r="AU996" s="220"/>
      <c r="AV996" s="220"/>
      <c r="AW996" s="220"/>
      <c r="AX996" s="220"/>
      <c r="AY996" s="220"/>
      <c r="AZ996" s="220"/>
      <c r="BA996" s="220"/>
      <c r="BB996" s="220"/>
    </row>
    <row r="997">
      <c r="A997" s="240"/>
      <c r="B997" s="319"/>
      <c r="C997" s="346"/>
      <c r="D997" s="346"/>
      <c r="E997" s="346"/>
      <c r="F997" s="346"/>
      <c r="G997" s="346"/>
      <c r="H997" s="346"/>
      <c r="I997" s="346"/>
      <c r="J997" s="346"/>
      <c r="K997" s="346"/>
      <c r="L997" s="346"/>
      <c r="M997" s="346"/>
      <c r="N997" s="346"/>
      <c r="O997" s="346"/>
      <c r="P997" s="346"/>
      <c r="Q997" s="346"/>
      <c r="R997" s="346"/>
      <c r="S997" s="346"/>
      <c r="T997" s="347"/>
      <c r="U997" s="345"/>
      <c r="V997" s="317"/>
      <c r="W997" s="318"/>
      <c r="X997" s="288"/>
      <c r="Y997" s="220"/>
      <c r="Z997" s="220"/>
      <c r="AA997" s="220"/>
      <c r="AB997" s="220"/>
      <c r="AC997" s="220"/>
      <c r="AD997" s="220"/>
      <c r="AE997" s="220"/>
      <c r="AF997" s="220"/>
      <c r="AG997" s="220"/>
      <c r="AH997" s="220"/>
      <c r="AI997" s="308"/>
      <c r="AJ997" s="220"/>
      <c r="AK997" s="220"/>
      <c r="AL997" s="220"/>
      <c r="AM997" s="220"/>
      <c r="AN997" s="220"/>
      <c r="AO997" s="220"/>
      <c r="AP997" s="220"/>
      <c r="AQ997" s="220"/>
      <c r="AR997" s="220"/>
      <c r="AS997" s="220"/>
      <c r="AT997" s="220"/>
      <c r="AU997" s="220"/>
      <c r="AV997" s="220"/>
      <c r="AW997" s="220"/>
      <c r="AX997" s="220"/>
      <c r="AY997" s="220"/>
      <c r="AZ997" s="220"/>
      <c r="BA997" s="220"/>
      <c r="BB997" s="220"/>
    </row>
    <row r="998">
      <c r="C998" s="348"/>
      <c r="D998" s="348"/>
      <c r="E998" s="348"/>
      <c r="F998" s="348"/>
      <c r="G998" s="348"/>
      <c r="H998" s="348"/>
      <c r="I998" s="348"/>
      <c r="J998" s="348"/>
      <c r="K998" s="348"/>
      <c r="L998" s="348"/>
      <c r="M998" s="348"/>
      <c r="N998" s="348"/>
      <c r="O998" s="348"/>
      <c r="P998" s="348"/>
      <c r="Q998" s="348"/>
      <c r="R998" s="348"/>
      <c r="S998" s="348"/>
      <c r="T998" s="348"/>
      <c r="U998" s="348"/>
    </row>
    <row r="999">
      <c r="C999" s="348"/>
      <c r="D999" s="348"/>
      <c r="E999" s="348"/>
      <c r="F999" s="348"/>
      <c r="G999" s="348"/>
      <c r="H999" s="348"/>
      <c r="I999" s="348"/>
      <c r="J999" s="348"/>
      <c r="K999" s="348"/>
      <c r="L999" s="348"/>
      <c r="M999" s="348"/>
      <c r="N999" s="348"/>
      <c r="O999" s="348"/>
      <c r="P999" s="348"/>
      <c r="Q999" s="348"/>
      <c r="R999" s="348"/>
      <c r="S999" s="348"/>
      <c r="T999" s="348"/>
      <c r="U999" s="348"/>
    </row>
    <row r="1000">
      <c r="C1000" s="348"/>
      <c r="D1000" s="348"/>
      <c r="E1000" s="348"/>
      <c r="F1000" s="348"/>
      <c r="G1000" s="348"/>
      <c r="H1000" s="348"/>
      <c r="I1000" s="348"/>
      <c r="J1000" s="348"/>
      <c r="K1000" s="348"/>
      <c r="L1000" s="348"/>
      <c r="M1000" s="348"/>
      <c r="N1000" s="348"/>
      <c r="O1000" s="348"/>
      <c r="P1000" s="348"/>
      <c r="Q1000" s="348"/>
      <c r="R1000" s="348"/>
      <c r="S1000" s="348"/>
      <c r="T1000" s="348"/>
      <c r="U1000" s="348"/>
    </row>
  </sheetData>
  <mergeCells count="1">
    <mergeCell ref="B1:U1"/>
  </mergeCells>
  <conditionalFormatting sqref="Q2:T2">
    <cfRule type="containsBlanks" dxfId="0" priority="1">
      <formula>LEN(TRIM(Q2))=0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 ht="24.0" customHeight="1">
      <c r="A1" s="349"/>
      <c r="B1" s="350" t="s">
        <v>129</v>
      </c>
      <c r="S1" s="350"/>
      <c r="T1" s="349"/>
    </row>
    <row r="2" ht="18.75" customHeight="1">
      <c r="A2" s="351" t="s">
        <v>66</v>
      </c>
      <c r="B2" s="352" t="s">
        <v>25</v>
      </c>
      <c r="C2" s="353" t="s">
        <v>6</v>
      </c>
      <c r="D2" s="354" t="s">
        <v>130</v>
      </c>
      <c r="E2" s="355" t="s">
        <v>33</v>
      </c>
      <c r="F2" s="356" t="s">
        <v>36</v>
      </c>
      <c r="G2" s="357" t="s">
        <v>12</v>
      </c>
      <c r="H2" s="17" t="s">
        <v>13</v>
      </c>
      <c r="I2" s="358" t="s">
        <v>14</v>
      </c>
      <c r="J2" s="19" t="s">
        <v>15</v>
      </c>
      <c r="K2" s="20" t="s">
        <v>16</v>
      </c>
      <c r="L2" s="118" t="s">
        <v>17</v>
      </c>
      <c r="M2" s="359" t="s">
        <v>18</v>
      </c>
      <c r="N2" s="152" t="s">
        <v>19</v>
      </c>
      <c r="O2" s="125" t="s">
        <v>20</v>
      </c>
      <c r="P2" s="127" t="s">
        <v>21</v>
      </c>
      <c r="Q2" s="133" t="s">
        <v>22</v>
      </c>
      <c r="R2" s="135" t="s">
        <v>23</v>
      </c>
      <c r="S2" s="126" t="s">
        <v>24</v>
      </c>
      <c r="T2" s="360"/>
      <c r="U2" s="361" t="s">
        <v>131</v>
      </c>
      <c r="V2" s="362"/>
      <c r="W2" s="362"/>
      <c r="X2" s="363"/>
      <c r="Y2" s="364"/>
      <c r="Z2" s="364"/>
      <c r="AA2" s="360"/>
      <c r="AB2" s="360"/>
      <c r="AC2" s="360"/>
      <c r="AD2" s="360"/>
      <c r="AE2" s="360"/>
      <c r="AF2" s="360"/>
      <c r="AG2" s="360"/>
      <c r="AH2" s="360"/>
    </row>
    <row r="3" ht="18.75" customHeight="1">
      <c r="A3" s="365">
        <f>IF(ARBITRAGES!E3=0,"",ARBITRAGES!E3)</f>
        <v>45515</v>
      </c>
      <c r="B3" s="366">
        <v>0.09867482</v>
      </c>
      <c r="C3" s="366">
        <v>1.90920708</v>
      </c>
      <c r="D3" s="367">
        <v>0.0</v>
      </c>
      <c r="E3" s="367">
        <v>31.386911092</v>
      </c>
      <c r="F3" s="368">
        <v>0.0</v>
      </c>
      <c r="G3" s="369">
        <v>0.0</v>
      </c>
      <c r="H3" s="369">
        <v>0.0</v>
      </c>
      <c r="I3" s="369">
        <v>0.0</v>
      </c>
      <c r="J3" s="369">
        <v>4.612732E7</v>
      </c>
      <c r="K3" s="369">
        <v>152.51</v>
      </c>
      <c r="L3" s="369">
        <v>0.0</v>
      </c>
      <c r="M3" s="370">
        <v>0.0</v>
      </c>
      <c r="N3" s="369">
        <v>0.0</v>
      </c>
      <c r="O3" s="369">
        <v>0.0</v>
      </c>
      <c r="P3" s="369">
        <v>0.0</v>
      </c>
      <c r="Q3" s="369">
        <v>0.0</v>
      </c>
      <c r="R3" s="369">
        <v>0.0</v>
      </c>
      <c r="S3" s="369">
        <v>0.0</v>
      </c>
      <c r="T3" s="371" t="s">
        <v>132</v>
      </c>
      <c r="U3" s="372" t="s">
        <v>61</v>
      </c>
      <c r="V3" s="351" t="s">
        <v>133</v>
      </c>
      <c r="W3" s="351" t="s">
        <v>134</v>
      </c>
      <c r="X3" s="373" t="s">
        <v>135</v>
      </c>
      <c r="Y3" s="360"/>
      <c r="Z3" s="360"/>
      <c r="AA3" s="360"/>
      <c r="AB3" s="360"/>
      <c r="AC3" s="360"/>
      <c r="AD3" s="360"/>
      <c r="AE3" s="360"/>
      <c r="AF3" s="360"/>
      <c r="AG3" s="360"/>
      <c r="AH3" s="360"/>
    </row>
    <row r="4" ht="18.75" customHeight="1">
      <c r="A4" s="365">
        <f>IF(ARBITRAGES!E4=0,"",ARBITRAGES!E4)</f>
        <v>45515</v>
      </c>
      <c r="B4" s="374">
        <f>IF(A4="","", IF(ARBITRAGES!$H4="BTC",B3+ARBITRAGES!$K4,B3))</f>
        <v>0.22798482</v>
      </c>
      <c r="C4" s="375">
        <f>IF(B4="","", IF(ARBITRAGES!$H4="eth",C3+ARBITRAGES!$K4,C3))</f>
        <v>1.90920708</v>
      </c>
      <c r="D4" s="376">
        <f>IF(C4="","", IF(ARBITRAGES!$H4="ton",D3+ARBITRAGES!$K4,D3))</f>
        <v>0</v>
      </c>
      <c r="E4" s="376">
        <f>IF(D4="","", IF(ARBITRAGES!$H4="sol",E3+ARBITRAGES!$K4,E3))</f>
        <v>31.38691109</v>
      </c>
      <c r="F4" s="377">
        <f>IF(E4="","", IF(ARBITRAGES!$H4="tao",F3+ARBITRAGES!$K4,F3))</f>
        <v>0</v>
      </c>
      <c r="G4" s="378">
        <f>IF(F4="","", IF(ARBITRAGES!$H4="ron",G3+ARBITRAGES!$K4,G3))</f>
        <v>0</v>
      </c>
      <c r="H4" s="378">
        <f>IF(G4="","", IF(ARBITRAGES!$H4="link",H3+ARBITRAGES!$K4,H3))</f>
        <v>0</v>
      </c>
      <c r="I4" s="378">
        <f>IF(H4="","", IF(ARBITRAGES!$H4="doge",I3+ARBITRAGES!$K4,I3))</f>
        <v>0</v>
      </c>
      <c r="J4" s="378">
        <f>IF(I4="","", IF(ARBITRAGES!$H4="*shib*",J3+ARBITRAGES!$K4,J3))</f>
        <v>46127320</v>
      </c>
      <c r="K4" s="378">
        <f>IF(J4="","", IF(ARBITRAGES!$H4="*cake*",K3+ARBITRAGES!$K4,K3))</f>
        <v>152.51</v>
      </c>
      <c r="L4" s="378">
        <f>IF(K4="","", IF(ARBITRAGES!$H4="*jup",L3+ARBITRAGES!$K4,L3))</f>
        <v>0</v>
      </c>
      <c r="M4" s="376">
        <f>IF(L4="","", IF(ARBITRAGES!$H4="*aave*",M3+ARBITRAGES!$K4,M3))</f>
        <v>0</v>
      </c>
      <c r="N4" s="378">
        <f>IF(M4="","", IF(ARBITRAGES!$H4="*ckb*",N3+ARBITRAGES!$K4,N3))</f>
        <v>0</v>
      </c>
      <c r="O4" s="378">
        <f>IF(N4="","", IF(ARBITRAGES!$H4="*pendle*",O3+ARBITRAGES!$K4,O3))</f>
        <v>0</v>
      </c>
      <c r="P4" s="378">
        <f>IF(O4="","", IF(ARBITRAGES!$H4="BOME",P3+ARBITRAGES!$K4,P3))</f>
        <v>0</v>
      </c>
      <c r="Q4" s="378">
        <f>IF(P4="","", IF(ARBITRAGES!$H4="PEPE",Q3+ARBITRAGES!$K4,Q3))</f>
        <v>0</v>
      </c>
      <c r="R4" s="378">
        <f>IF(Q4="","", IF(ARBITRAGES!$H4="WIF",R3+ARBITRAGES!$K4,R3))</f>
        <v>0</v>
      </c>
      <c r="S4" s="378">
        <f>IF(R4="","", IF(ARBITRAGES!$H4="RAY",S3+ARBITRAGES!$K4,S3))</f>
        <v>0</v>
      </c>
      <c r="T4" s="360"/>
      <c r="U4" s="379" t="s">
        <v>15</v>
      </c>
      <c r="V4" s="380">
        <v>4.612732E7</v>
      </c>
      <c r="W4" s="380">
        <v>2.0E-5</v>
      </c>
      <c r="X4" s="381">
        <f t="shared" ref="X4:X7" si="1">V4*W4</f>
        <v>922.5464</v>
      </c>
      <c r="Y4" s="360"/>
      <c r="Z4" s="360"/>
      <c r="AA4" s="360"/>
      <c r="AB4" s="360"/>
      <c r="AC4" s="360"/>
      <c r="AD4" s="360"/>
      <c r="AE4" s="360"/>
      <c r="AF4" s="360"/>
      <c r="AG4" s="360"/>
      <c r="AH4" s="360"/>
    </row>
    <row r="5" ht="18.75" customHeight="1">
      <c r="A5" s="365">
        <f>IF(ARBITRAGES!E5=0,"",ARBITRAGES!E5)</f>
        <v>45516</v>
      </c>
      <c r="B5" s="375">
        <f>IF(A5="","", IF(ARBITRAGES!$H5="BTC",B4+ARBITRAGES!$K5,B4))</f>
        <v>0.22798482</v>
      </c>
      <c r="C5" s="374">
        <f>IF(B5="","", IF(ARBITRAGES!$H5="eth",C4+ARBITRAGES!$K5,C4))</f>
        <v>3.06300708</v>
      </c>
      <c r="D5" s="376">
        <f>IF(C5="","", IF(ARBITRAGES!$H5="ton",D4+ARBITRAGES!$K5,D4))</f>
        <v>0</v>
      </c>
      <c r="E5" s="376">
        <f>IF(D5="","", IF(ARBITRAGES!$H5="sol",E4+ARBITRAGES!$K5,E4))</f>
        <v>31.38691109</v>
      </c>
      <c r="F5" s="377">
        <f>IF(E5="","", IF(ARBITRAGES!$H5="tao",F4+ARBITRAGES!$K5,F4))</f>
        <v>0</v>
      </c>
      <c r="G5" s="378">
        <f>IF(F5="","", IF(ARBITRAGES!$H5="ron",G4+ARBITRAGES!$K5,G4))</f>
        <v>0</v>
      </c>
      <c r="H5" s="378">
        <f>IF(G5="","", IF(ARBITRAGES!$H5="link",H4+ARBITRAGES!$K5,H4))</f>
        <v>0</v>
      </c>
      <c r="I5" s="378">
        <f>IF(H5="","", IF(ARBITRAGES!$H5="doge",I4+ARBITRAGES!$K5,I4))</f>
        <v>0</v>
      </c>
      <c r="J5" s="378">
        <f>IF(I5="","", IF(ARBITRAGES!$H5="*shib*",J4+ARBITRAGES!$K5,J4))</f>
        <v>46127320</v>
      </c>
      <c r="K5" s="378">
        <f>IF(J5="","", IF(ARBITRAGES!$H5="*cake*",K4+ARBITRAGES!$K5,K4))</f>
        <v>152.51</v>
      </c>
      <c r="L5" s="378">
        <f>IF(K5="","", IF(ARBITRAGES!$H5="*jup",L4+ARBITRAGES!$K5,L4))</f>
        <v>0</v>
      </c>
      <c r="M5" s="376">
        <f>IF(L5="","", IF(ARBITRAGES!$H5="*aave*",M4+ARBITRAGES!$K5,M4))</f>
        <v>0</v>
      </c>
      <c r="N5" s="378">
        <f>IF(M5="","", IF(ARBITRAGES!$H5="*ckb*",N4+ARBITRAGES!$K5,N4))</f>
        <v>0</v>
      </c>
      <c r="O5" s="378">
        <f>IF(N5="","", IF(ARBITRAGES!$H5="*pendle*",O4+ARBITRAGES!$K5,O4))</f>
        <v>0</v>
      </c>
      <c r="P5" s="378">
        <f>IF(O5="","", IF(ARBITRAGES!$H5="BOME",P4+ARBITRAGES!$K5,P4))</f>
        <v>0</v>
      </c>
      <c r="Q5" s="378">
        <f>IF(P5="","", IF(ARBITRAGES!$H5="PEPE",Q4+ARBITRAGES!$K5,Q4))</f>
        <v>0</v>
      </c>
      <c r="R5" s="378">
        <f>IF(Q5="","", IF(ARBITRAGES!$H5="WIF",R4+ARBITRAGES!$K5,R4))</f>
        <v>0</v>
      </c>
      <c r="S5" s="378">
        <f>IF(R5="","", IF(ARBITRAGES!$H5="RAY",S4+ARBITRAGES!$K5,S4))</f>
        <v>0</v>
      </c>
      <c r="T5" s="360"/>
      <c r="U5" s="382" t="s">
        <v>16</v>
      </c>
      <c r="V5" s="380">
        <v>152.51</v>
      </c>
      <c r="W5" s="380">
        <v>1.75</v>
      </c>
      <c r="X5" s="381">
        <f t="shared" si="1"/>
        <v>266.8925</v>
      </c>
      <c r="Y5" s="360"/>
      <c r="Z5" s="360"/>
      <c r="AA5" s="360"/>
      <c r="AB5" s="360"/>
      <c r="AC5" s="360"/>
      <c r="AD5" s="360"/>
      <c r="AE5" s="360"/>
      <c r="AF5" s="360"/>
      <c r="AG5" s="360"/>
      <c r="AH5" s="360"/>
    </row>
    <row r="6" ht="18.75" customHeight="1">
      <c r="A6" s="365">
        <f>IF(ARBITRAGES!E6=0,"",ARBITRAGES!E6)</f>
        <v>45517</v>
      </c>
      <c r="B6" s="375">
        <f>IF(A6="","", IF(ARBITRAGES!$H6="BTC",B5+ARBITRAGES!$K6,B5))</f>
        <v>0.22798482</v>
      </c>
      <c r="C6" s="375">
        <f>IF(B6="","", IF(ARBITRAGES!$H6="eth",C5+ARBITRAGES!$K6,C5))</f>
        <v>3.06300708</v>
      </c>
      <c r="D6" s="376">
        <f>IF(C6="","", IF(ARBITRAGES!$H6="ton",D5+ARBITRAGES!$K6,D5))</f>
        <v>0</v>
      </c>
      <c r="E6" s="383">
        <f>IF(D6="","", IF(ARBITRAGES!$H6="sol",E5+ARBITRAGES!$K6,E5))</f>
        <v>39.31791109</v>
      </c>
      <c r="F6" s="377">
        <f>IF(E6="","", IF(ARBITRAGES!$H6="tao",F5+ARBITRAGES!$K6,F5))</f>
        <v>0</v>
      </c>
      <c r="G6" s="378">
        <f>IF(F6="","", IF(ARBITRAGES!$H6="ron",G5+ARBITRAGES!$K6,G5))</f>
        <v>0</v>
      </c>
      <c r="H6" s="378">
        <f>IF(G6="","", IF(ARBITRAGES!$H6="link",H5+ARBITRAGES!$K6,H5))</f>
        <v>0</v>
      </c>
      <c r="I6" s="378">
        <f>IF(H6="","", IF(ARBITRAGES!$H6="doge",I5+ARBITRAGES!$K6,I5))</f>
        <v>0</v>
      </c>
      <c r="J6" s="378">
        <f>IF(I6="","", IF(ARBITRAGES!$H6="*shib*",J5+ARBITRAGES!$K6,J5))</f>
        <v>46127320</v>
      </c>
      <c r="K6" s="378">
        <f>IF(J6="","", IF(ARBITRAGES!$H6="*cake*",K5+ARBITRAGES!$K6,K5))</f>
        <v>152.51</v>
      </c>
      <c r="L6" s="378">
        <f>IF(K6="","", IF(ARBITRAGES!$H6="*jup",L5+ARBITRAGES!$K6,L5))</f>
        <v>0</v>
      </c>
      <c r="M6" s="376">
        <f>IF(L6="","", IF(ARBITRAGES!$H6="*aave*",M5+ARBITRAGES!$K6,M5))</f>
        <v>0</v>
      </c>
      <c r="N6" s="378">
        <f>IF(M6="","", IF(ARBITRAGES!$H6="*ckb*",N5+ARBITRAGES!$K6,N5))</f>
        <v>0</v>
      </c>
      <c r="O6" s="378">
        <f>IF(N6="","", IF(ARBITRAGES!$H6="*pendle*",O5+ARBITRAGES!$K6,O5))</f>
        <v>0</v>
      </c>
      <c r="P6" s="378">
        <f>IF(O6="","", IF(ARBITRAGES!$H6="BOME",P5+ARBITRAGES!$K6,P5))</f>
        <v>0</v>
      </c>
      <c r="Q6" s="378">
        <f>IF(P6="","", IF(ARBITRAGES!$H6="PEPE",Q5+ARBITRAGES!$K6,Q5))</f>
        <v>0</v>
      </c>
      <c r="R6" s="378">
        <f>IF(Q6="","", IF(ARBITRAGES!$H6="WIF",R5+ARBITRAGES!$K6,R5))</f>
        <v>0</v>
      </c>
      <c r="S6" s="378">
        <f>IF(R6="","", IF(ARBITRAGES!$H6="RAY",S5+ARBITRAGES!$K6,S5))</f>
        <v>0</v>
      </c>
      <c r="T6" s="360"/>
      <c r="U6" s="384" t="s">
        <v>136</v>
      </c>
      <c r="V6" s="380">
        <v>1.909</v>
      </c>
      <c r="W6" s="380">
        <v>3.25</v>
      </c>
      <c r="X6" s="381">
        <f t="shared" si="1"/>
        <v>6.20425</v>
      </c>
      <c r="Y6" s="360"/>
      <c r="Z6" s="360"/>
      <c r="AA6" s="360"/>
      <c r="AB6" s="360"/>
      <c r="AC6" s="360"/>
      <c r="AD6" s="360"/>
      <c r="AE6" s="360"/>
      <c r="AF6" s="360"/>
      <c r="AG6" s="360"/>
      <c r="AH6" s="360"/>
    </row>
    <row r="7" ht="18.75" customHeight="1">
      <c r="A7" s="365">
        <f>IF(ARBITRAGES!E7=0,"",ARBITRAGES!E7)</f>
        <v>45518</v>
      </c>
      <c r="B7" s="375">
        <f>IF(A7="","", IF(ARBITRAGES!$H7="BTC",B6+ARBITRAGES!$K7,B6))</f>
        <v>0.22798482</v>
      </c>
      <c r="C7" s="375">
        <f>IF(B7="","", IF(ARBITRAGES!$H7="eth",C6+ARBITRAGES!$K7,C6))</f>
        <v>3.06300708</v>
      </c>
      <c r="D7" s="376">
        <f>IF(C7="","", IF(ARBITRAGES!$H7="ton",D6+ARBITRAGES!$K7,D6))</f>
        <v>0</v>
      </c>
      <c r="E7" s="376">
        <f>IF(D7="","", IF(ARBITRAGES!$H7="sol",E6+ARBITRAGES!$K7,E6))</f>
        <v>39.31791109</v>
      </c>
      <c r="F7" s="385">
        <f>IF(E7="","", IF(ARBITRAGES!$H7="tao",F6+ARBITRAGES!$K7,F6))</f>
        <v>3</v>
      </c>
      <c r="G7" s="378">
        <f>IF(F7="","", IF(ARBITRAGES!$H7="ron",G6+ARBITRAGES!$K7,G6))</f>
        <v>0</v>
      </c>
      <c r="H7" s="378">
        <f>IF(G7="","", IF(ARBITRAGES!$H7="link",H6+ARBITRAGES!$K7,H6))</f>
        <v>0</v>
      </c>
      <c r="I7" s="378">
        <f>IF(H7="","", IF(ARBITRAGES!$H7="doge",I6+ARBITRAGES!$K7,I6))</f>
        <v>0</v>
      </c>
      <c r="J7" s="378">
        <f>IF(I7="","", IF(ARBITRAGES!$H7="*shib*",J6+ARBITRAGES!$K7,J6))</f>
        <v>46127320</v>
      </c>
      <c r="K7" s="378">
        <f>IF(J7="","", IF(ARBITRAGES!$H7="*cake*",K6+ARBITRAGES!$K7,K6))</f>
        <v>152.51</v>
      </c>
      <c r="L7" s="378">
        <f>IF(K7="","", IF(ARBITRAGES!$H7="*jup",L6+ARBITRAGES!$K7,L6))</f>
        <v>0</v>
      </c>
      <c r="M7" s="376">
        <f>IF(L7="","", IF(ARBITRAGES!$H7="*aave*",M6+ARBITRAGES!$K7,M6))</f>
        <v>0</v>
      </c>
      <c r="N7" s="378">
        <f>IF(M7="","", IF(ARBITRAGES!$H7="*ckb*",N6+ARBITRAGES!$K7,N6))</f>
        <v>0</v>
      </c>
      <c r="O7" s="378">
        <f>IF(N7="","", IF(ARBITRAGES!$H7="*pendle*",O6+ARBITRAGES!$K7,O6))</f>
        <v>0</v>
      </c>
      <c r="P7" s="378">
        <f>IF(O7="","", IF(ARBITRAGES!$H7="BOME",P6+ARBITRAGES!$K7,P6))</f>
        <v>0</v>
      </c>
      <c r="Q7" s="378">
        <f>IF(P7="","", IF(ARBITRAGES!$H7="PEPE",Q6+ARBITRAGES!$K7,Q6))</f>
        <v>0</v>
      </c>
      <c r="R7" s="378">
        <f>IF(Q7="","", IF(ARBITRAGES!$H7="WIF",R6+ARBITRAGES!$K7,R6))</f>
        <v>0</v>
      </c>
      <c r="S7" s="378">
        <f>IF(R7="","", IF(ARBITRAGES!$H7="RAY",S6+ARBITRAGES!$K7,S6))</f>
        <v>0</v>
      </c>
      <c r="T7" s="360"/>
      <c r="U7" s="386" t="s">
        <v>137</v>
      </c>
      <c r="V7" s="387">
        <v>3000.0</v>
      </c>
      <c r="W7" s="387">
        <v>2.42E-5</v>
      </c>
      <c r="X7" s="388">
        <f t="shared" si="1"/>
        <v>0.0726</v>
      </c>
      <c r="Y7" s="360"/>
      <c r="Z7" s="360"/>
      <c r="AA7" s="360"/>
      <c r="AB7" s="360"/>
      <c r="AC7" s="360"/>
      <c r="AD7" s="360"/>
      <c r="AE7" s="360"/>
      <c r="AF7" s="360"/>
      <c r="AG7" s="360"/>
      <c r="AH7" s="360"/>
    </row>
    <row r="8" ht="18.75" customHeight="1">
      <c r="A8" s="365">
        <f>IF(ARBITRAGES!E8=0,"",ARBITRAGES!E8)</f>
        <v>45518</v>
      </c>
      <c r="B8" s="375">
        <f>IF(A8="","", IF(ARBITRAGES!$H8="BTC",B7+ARBITRAGES!$K8,B7))</f>
        <v>0.22798482</v>
      </c>
      <c r="C8" s="375">
        <f>IF(B8="","", IF(ARBITRAGES!$H8="eth",C7+ARBITRAGES!$K8,C7))</f>
        <v>3.06300708</v>
      </c>
      <c r="D8" s="376">
        <f>IF(C8="","", IF(ARBITRAGES!$H8="ton",D7+ARBITRAGES!$K8,D7))</f>
        <v>0</v>
      </c>
      <c r="E8" s="376">
        <f>IF(D8="","", IF(ARBITRAGES!$H8="sol",E7+ARBITRAGES!$K8,E7))</f>
        <v>39.31791109</v>
      </c>
      <c r="F8" s="377">
        <f>IF(E8="","", IF(ARBITRAGES!$H8="tao",F7+ARBITRAGES!$K8,F7))</f>
        <v>3</v>
      </c>
      <c r="G8" s="389">
        <f>IF(F8="","", IF(ARBITRAGES!$H8="ron",G7+ARBITRAGES!$K8,G7))</f>
        <v>200</v>
      </c>
      <c r="H8" s="378">
        <f>IF(G8="","", IF(ARBITRAGES!$H8="link",H7+ARBITRAGES!$K8,H7))</f>
        <v>0</v>
      </c>
      <c r="I8" s="378">
        <f>IF(H8="","", IF(ARBITRAGES!$H8="doge",I7+ARBITRAGES!$K8,I7))</f>
        <v>0</v>
      </c>
      <c r="J8" s="378">
        <f>IF(I8="","", IF(ARBITRAGES!$H8="*shib*",J7+ARBITRAGES!$K8,J7))</f>
        <v>46127320</v>
      </c>
      <c r="K8" s="378">
        <f>IF(J8="","", IF(ARBITRAGES!$H8="*cake*",K7+ARBITRAGES!$K8,K7))</f>
        <v>152.51</v>
      </c>
      <c r="L8" s="378">
        <f>IF(K8="","", IF(ARBITRAGES!$H8="*jup",L7+ARBITRAGES!$K8,L7))</f>
        <v>0</v>
      </c>
      <c r="M8" s="376">
        <f>IF(L8="","", IF(ARBITRAGES!$H8="*aave*",M7+ARBITRAGES!$K8,M7))</f>
        <v>0</v>
      </c>
      <c r="N8" s="378">
        <f>IF(M8="","", IF(ARBITRAGES!$H8="*ckb*",N7+ARBITRAGES!$K8,N7))</f>
        <v>0</v>
      </c>
      <c r="O8" s="378">
        <f>IF(N8="","", IF(ARBITRAGES!$H8="*pendle*",O7+ARBITRAGES!$K8,O7))</f>
        <v>0</v>
      </c>
      <c r="P8" s="378">
        <f>IF(O8="","", IF(ARBITRAGES!$H8="BOME",P7+ARBITRAGES!$K8,P7))</f>
        <v>0</v>
      </c>
      <c r="Q8" s="378">
        <f>IF(P8="","", IF(ARBITRAGES!$H8="PEPE",Q7+ARBITRAGES!$K8,Q7))</f>
        <v>0</v>
      </c>
      <c r="R8" s="378">
        <f>IF(Q8="","", IF(ARBITRAGES!$H8="WIF",R7+ARBITRAGES!$K8,R7))</f>
        <v>0</v>
      </c>
      <c r="S8" s="378">
        <f>IF(R8="","", IF(ARBITRAGES!$H8="RAY",S7+ARBITRAGES!$K8,S7))</f>
        <v>0</v>
      </c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60"/>
      <c r="AH8" s="360"/>
    </row>
    <row r="9" ht="18.75" customHeight="1">
      <c r="A9" s="365">
        <f>IF(ARBITRAGES!E9=0,"",ARBITRAGES!E9)</f>
        <v>45519</v>
      </c>
      <c r="B9" s="375">
        <f>IF(A9="","", IF(ARBITRAGES!$H9="BTC",B8+ARBITRAGES!$K9,B8))</f>
        <v>0.22798482</v>
      </c>
      <c r="C9" s="375">
        <f>IF(B9="","", IF(ARBITRAGES!$H9="eth",C8+ARBITRAGES!$K9,C8))</f>
        <v>3.06300708</v>
      </c>
      <c r="D9" s="383">
        <f>IF(C9="","", IF(ARBITRAGES!$H9="ton",D8+ARBITRAGES!$K9,D8))</f>
        <v>424.382716</v>
      </c>
      <c r="E9" s="376">
        <f>IF(D9="","", IF(ARBITRAGES!$H9="sol",E8+ARBITRAGES!$K9,E8))</f>
        <v>39.31791109</v>
      </c>
      <c r="F9" s="377">
        <f>IF(E9="","", IF(ARBITRAGES!$H9="tao",F8+ARBITRAGES!$K9,F8))</f>
        <v>3</v>
      </c>
      <c r="G9" s="378">
        <f>IF(F9="","", IF(ARBITRAGES!$H9="ron",G8+ARBITRAGES!$K9,G8))</f>
        <v>200</v>
      </c>
      <c r="H9" s="378">
        <f>IF(G9="","", IF(ARBITRAGES!$H9="link",H8+ARBITRAGES!$K9,H8))</f>
        <v>0</v>
      </c>
      <c r="I9" s="378">
        <f>IF(H9="","", IF(ARBITRAGES!$H9="doge",I8+ARBITRAGES!$K9,I8))</f>
        <v>0</v>
      </c>
      <c r="J9" s="378">
        <f>IF(I9="","", IF(ARBITRAGES!$H9="*shib*",J8+ARBITRAGES!$K9,J8))</f>
        <v>46127320</v>
      </c>
      <c r="K9" s="378">
        <f>IF(J9="","", IF(ARBITRAGES!$H9="*cake*",K8+ARBITRAGES!$K9,K8))</f>
        <v>152.51</v>
      </c>
      <c r="L9" s="378">
        <f>IF(K9="","", IF(ARBITRAGES!$H9="*jup",L8+ARBITRAGES!$K9,L8))</f>
        <v>0</v>
      </c>
      <c r="M9" s="376">
        <f>IF(L9="","", IF(ARBITRAGES!$H9="*aave*",M8+ARBITRAGES!$K9,M8))</f>
        <v>0</v>
      </c>
      <c r="N9" s="378">
        <f>IF(M9="","", IF(ARBITRAGES!$H9="*ckb*",N8+ARBITRAGES!$K9,N8))</f>
        <v>0</v>
      </c>
      <c r="O9" s="378">
        <f>IF(N9="","", IF(ARBITRAGES!$H9="*pendle*",O8+ARBITRAGES!$K9,O8))</f>
        <v>0</v>
      </c>
      <c r="P9" s="378">
        <f>IF(O9="","", IF(ARBITRAGES!$H9="BOME",P8+ARBITRAGES!$K9,P8))</f>
        <v>0</v>
      </c>
      <c r="Q9" s="378">
        <f>IF(P9="","", IF(ARBITRAGES!$H9="PEPE",Q8+ARBITRAGES!$K9,Q8))</f>
        <v>0</v>
      </c>
      <c r="R9" s="378">
        <f>IF(Q9="","", IF(ARBITRAGES!$H9="WIF",R8+ARBITRAGES!$K9,R8))</f>
        <v>0</v>
      </c>
      <c r="S9" s="378">
        <f>IF(R9="","", IF(ARBITRAGES!$H9="RAY",S8+ARBITRAGES!$K9,S8))</f>
        <v>0</v>
      </c>
      <c r="T9" s="360"/>
      <c r="U9" s="361" t="s">
        <v>131</v>
      </c>
      <c r="V9" s="362"/>
      <c r="W9" s="362"/>
      <c r="X9" s="363"/>
      <c r="Y9" s="360"/>
      <c r="Z9" s="360"/>
      <c r="AA9" s="360"/>
      <c r="AB9" s="360"/>
      <c r="AC9" s="360"/>
      <c r="AD9" s="360"/>
      <c r="AE9" s="360"/>
      <c r="AF9" s="360"/>
      <c r="AG9" s="360"/>
      <c r="AH9" s="360"/>
    </row>
    <row r="10" ht="18.75" customHeight="1">
      <c r="A10" s="365">
        <f>IF(ARBITRAGES!E10=0,"",ARBITRAGES!E10)</f>
        <v>45522</v>
      </c>
      <c r="B10" s="374">
        <f>IF(A10="","", IF(ARBITRAGES!$H10="BTC",B9+ARBITRAGES!$K10,B9))</f>
        <v>0.2540717765</v>
      </c>
      <c r="C10" s="375">
        <f>IF(B10="","", IF(ARBITRAGES!$H10="eth",C9+ARBITRAGES!$K10,C9))</f>
        <v>3.06300708</v>
      </c>
      <c r="D10" s="376">
        <f>IF(C10="","", IF(ARBITRAGES!$H10="ton",D9+ARBITRAGES!$K10,D9))</f>
        <v>424.382716</v>
      </c>
      <c r="E10" s="376">
        <f>IF(D10="","", IF(ARBITRAGES!$H10="sol",E9+ARBITRAGES!$K10,E9))</f>
        <v>39.31791109</v>
      </c>
      <c r="F10" s="377">
        <f>IF(E10="","", IF(ARBITRAGES!$H10="tao",F9+ARBITRAGES!$K10,F9))</f>
        <v>3</v>
      </c>
      <c r="G10" s="378">
        <f>IF(F10="","", IF(ARBITRAGES!$H10="ron",G9+ARBITRAGES!$K10,G9))</f>
        <v>200</v>
      </c>
      <c r="H10" s="378">
        <f>IF(G10="","", IF(ARBITRAGES!$H10="link",H9+ARBITRAGES!$K10,H9))</f>
        <v>0</v>
      </c>
      <c r="I10" s="378">
        <f>IF(H10="","", IF(ARBITRAGES!$H10="doge",I9+ARBITRAGES!$K10,I9))</f>
        <v>0</v>
      </c>
      <c r="J10" s="378">
        <f>IF(I10="","", IF(ARBITRAGES!$H10="*shib*",J9+ARBITRAGES!$K10,J9))</f>
        <v>46127320</v>
      </c>
      <c r="K10" s="378">
        <f>IF(J10="","", IF(ARBITRAGES!$H10="*cake*",K9+ARBITRAGES!$K10,K9))</f>
        <v>152.51</v>
      </c>
      <c r="L10" s="378">
        <f>IF(K10="","", IF(ARBITRAGES!$H10="*jup",L9+ARBITRAGES!$K10,L9))</f>
        <v>0</v>
      </c>
      <c r="M10" s="376">
        <f>IF(L10="","", IF(ARBITRAGES!$H10="*aave*",M9+ARBITRAGES!$K10,M9))</f>
        <v>0</v>
      </c>
      <c r="N10" s="378">
        <f>IF(M10="","", IF(ARBITRAGES!$H10="*ckb*",N9+ARBITRAGES!$K10,N9))</f>
        <v>0</v>
      </c>
      <c r="O10" s="378">
        <f>IF(N10="","", IF(ARBITRAGES!$H10="*pendle*",O9+ARBITRAGES!$K10,O9))</f>
        <v>0</v>
      </c>
      <c r="P10" s="378">
        <f>IF(O10="","", IF(ARBITRAGES!$H10="BOME",P9+ARBITRAGES!$K10,P9))</f>
        <v>0</v>
      </c>
      <c r="Q10" s="378">
        <f>IF(P10="","", IF(ARBITRAGES!$H10="PEPE",Q9+ARBITRAGES!$K10,Q9))</f>
        <v>0</v>
      </c>
      <c r="R10" s="378">
        <f>IF(Q10="","", IF(ARBITRAGES!$H10="WIF",R9+ARBITRAGES!$K10,R9))</f>
        <v>0</v>
      </c>
      <c r="S10" s="378">
        <f>IF(R10="","", IF(ARBITRAGES!$H10="RAY",S9+ARBITRAGES!$K10,S9))</f>
        <v>0</v>
      </c>
      <c r="T10" s="390"/>
      <c r="U10" s="372" t="s">
        <v>61</v>
      </c>
      <c r="V10" s="351" t="s">
        <v>133</v>
      </c>
      <c r="W10" s="351" t="s">
        <v>138</v>
      </c>
      <c r="X10" s="373" t="s">
        <v>135</v>
      </c>
      <c r="Y10" s="390"/>
      <c r="Z10" s="390"/>
      <c r="AA10" s="390"/>
      <c r="AB10" s="390"/>
      <c r="AC10" s="390"/>
      <c r="AD10" s="390"/>
      <c r="AE10" s="390"/>
      <c r="AF10" s="390"/>
      <c r="AG10" s="390"/>
      <c r="AH10" s="390"/>
    </row>
    <row r="11" ht="18.75" customHeight="1">
      <c r="A11" s="365">
        <f>IF(ARBITRAGES!E11=0,"",ARBITRAGES!E11)</f>
        <v>45527</v>
      </c>
      <c r="B11" s="375">
        <f>IF(A11="","", IF(ARBITRAGES!$H11="BTC",B10+ARBITRAGES!$K11,B10))</f>
        <v>0.2540717765</v>
      </c>
      <c r="C11" s="375">
        <f>IF(B11="","", IF(ARBITRAGES!$H11="eth",C10+ARBITRAGES!$K11,C10))</f>
        <v>3.06300708</v>
      </c>
      <c r="D11" s="376">
        <f>IF(C11="","", IF(ARBITRAGES!$H11="ton",D10+ARBITRAGES!$K11,D10))</f>
        <v>424.382716</v>
      </c>
      <c r="E11" s="376">
        <f>IF(D11="","", IF(ARBITRAGES!$H11="sol",E10-ARBITRAGES!$K11,E10))</f>
        <v>39.31791109</v>
      </c>
      <c r="F11" s="391">
        <f>IF(E11="","", IF(ARBITRAGES!$H11="tao",F10-ARBITRAGES!$K11,F10))</f>
        <v>2</v>
      </c>
      <c r="G11" s="378">
        <f>IF(F11="","", IF(ARBITRAGES!$H11="ron",G10+ARBITRAGES!$K11,G10))</f>
        <v>200</v>
      </c>
      <c r="H11" s="378">
        <f>IF(G11="","", IF(ARBITRAGES!$H11="link",H10+ARBITRAGES!$K11,H10))</f>
        <v>0</v>
      </c>
      <c r="I11" s="378">
        <f>IF(H11="","", IF(ARBITRAGES!$H11="doge",I10+ARBITRAGES!$K11,I10))</f>
        <v>0</v>
      </c>
      <c r="J11" s="378">
        <f>IF(I11="","", IF(ARBITRAGES!$H11="*shib*",J10+ARBITRAGES!$K11,J10))</f>
        <v>46127320</v>
      </c>
      <c r="K11" s="378">
        <f>IF(J11="","", IF(ARBITRAGES!$H11="*cake*",K10+ARBITRAGES!$K11,K10))</f>
        <v>152.51</v>
      </c>
      <c r="L11" s="378">
        <f>IF(K11="","", IF(ARBITRAGES!$H11="*jup",L10+ARBITRAGES!$K11,L10))</f>
        <v>0</v>
      </c>
      <c r="M11" s="376">
        <f>IF(L11="","", IF(ARBITRAGES!$H11="*aave*",M10+ARBITRAGES!$K11,M10))</f>
        <v>0</v>
      </c>
      <c r="N11" s="378">
        <f>IF(M11="","", IF(ARBITRAGES!$H11="*ckb*",N10+ARBITRAGES!$K11,N10))</f>
        <v>0</v>
      </c>
      <c r="O11" s="378">
        <f>IF(N11="","", IF(ARBITRAGES!$H11="*pendle*",O10+ARBITRAGES!$K11,O10))</f>
        <v>0</v>
      </c>
      <c r="P11" s="378">
        <f>IF(O11="","", IF(ARBITRAGES!$H11="BOME",P10+ARBITRAGES!$K11,P10))</f>
        <v>0</v>
      </c>
      <c r="Q11" s="378">
        <f>IF(P11="","", IF(ARBITRAGES!$H11="PEPE",Q10+ARBITRAGES!$K11,Q10))</f>
        <v>0</v>
      </c>
      <c r="R11" s="378">
        <f>IF(Q11="","", IF(ARBITRAGES!$H11="WIF",R10+ARBITRAGES!$K11,R10))</f>
        <v>0</v>
      </c>
      <c r="S11" s="378">
        <f>IF(R11="","", IF(ARBITRAGES!$H11="RAY",S10+ARBITRAGES!$K11,S10))</f>
        <v>0</v>
      </c>
      <c r="T11" s="360"/>
      <c r="U11" s="379" t="s">
        <v>15</v>
      </c>
      <c r="V11" s="380">
        <v>4.612732E7</v>
      </c>
      <c r="W11" s="380">
        <v>1.4E-5</v>
      </c>
      <c r="X11" s="381">
        <f t="shared" ref="X11:X14" si="2">V11*W11</f>
        <v>645.78248</v>
      </c>
      <c r="Y11" s="360"/>
      <c r="Z11" s="360"/>
      <c r="AA11" s="360"/>
      <c r="AB11" s="360"/>
      <c r="AC11" s="360"/>
      <c r="AD11" s="360"/>
      <c r="AE11" s="360"/>
      <c r="AF11" s="360"/>
      <c r="AG11" s="360"/>
      <c r="AH11" s="360"/>
    </row>
    <row r="12" ht="18.75" customHeight="1">
      <c r="A12" s="365">
        <f>IF(ARBITRAGES!E12=0,"",ARBITRAGES!E12)</f>
        <v>45527</v>
      </c>
      <c r="B12" s="375">
        <f>IF(A12="","", IF(ARBITRAGES!$H12="BTC",B11+ARBITRAGES!$K12,B11))</f>
        <v>0.2540717765</v>
      </c>
      <c r="C12" s="375">
        <f>IF(B12="","", IF(ARBITRAGES!$H12="eth",C11+ARBITRAGES!$K12,C11))</f>
        <v>3.06300708</v>
      </c>
      <c r="D12" s="376">
        <f>IF(C12="","", IF(ARBITRAGES!$H12="ton",D11+ARBITRAGES!$K12,D11))</f>
        <v>424.382716</v>
      </c>
      <c r="E12" s="392">
        <f>IF(D12="","", IF(ARBITRAGES!$H12="sol",E11-ARBITRAGES!$K12,E11))</f>
        <v>29.64049174</v>
      </c>
      <c r="F12" s="377">
        <f>IF(E12="","", IF(ARBITRAGES!$H12="tao",F11+ARBITRAGES!$K12,F11))</f>
        <v>2</v>
      </c>
      <c r="G12" s="378">
        <f>IF(F12="","", IF(ARBITRAGES!$H12="ron",G11+ARBITRAGES!$K12,G11))</f>
        <v>200</v>
      </c>
      <c r="H12" s="378">
        <f>IF(G12="","", IF(ARBITRAGES!$H12="link",H11+ARBITRAGES!$K12,H11))</f>
        <v>0</v>
      </c>
      <c r="I12" s="378">
        <f>IF(H12="","", IF(ARBITRAGES!$H12="doge",I11+ARBITRAGES!$K12,I11))</f>
        <v>0</v>
      </c>
      <c r="J12" s="378">
        <f>IF(I12="","", IF(ARBITRAGES!$H12="*shib*",J11+ARBITRAGES!$K12,J11))</f>
        <v>46127320</v>
      </c>
      <c r="K12" s="378">
        <f>IF(J12="","", IF(ARBITRAGES!$H12="*cake*",K11+ARBITRAGES!$K12,K11))</f>
        <v>152.51</v>
      </c>
      <c r="L12" s="378">
        <f>IF(K12="","", IF(ARBITRAGES!$H12="*jup",L11+ARBITRAGES!$K12,L11))</f>
        <v>0</v>
      </c>
      <c r="M12" s="376">
        <f>IF(L12="","", IF(ARBITRAGES!$H12="*aave*",M11+ARBITRAGES!$K12,M11))</f>
        <v>0</v>
      </c>
      <c r="N12" s="378">
        <f>IF(M12="","", IF(ARBITRAGES!$H12="*ckb*",N11+ARBITRAGES!$K12,N11))</f>
        <v>0</v>
      </c>
      <c r="O12" s="378">
        <f>IF(N12="","", IF(ARBITRAGES!$H12="*pendle*",O11+ARBITRAGES!$K12,O11))</f>
        <v>0</v>
      </c>
      <c r="P12" s="378">
        <f>IF(O12="","", IF(ARBITRAGES!$H12="BOME",P11+ARBITRAGES!$K12,P11))</f>
        <v>0</v>
      </c>
      <c r="Q12" s="378">
        <f>IF(P12="","", IF(ARBITRAGES!$H12="PEPE",Q11+ARBITRAGES!$K12,Q11))</f>
        <v>0</v>
      </c>
      <c r="R12" s="378">
        <f>IF(Q12="","", IF(ARBITRAGES!$H12="WIF",R11+ARBITRAGES!$K12,R11))</f>
        <v>0</v>
      </c>
      <c r="S12" s="378">
        <f>IF(R12="","", IF(ARBITRAGES!$H12="RAY",S11+ARBITRAGES!$K12,S11))</f>
        <v>0</v>
      </c>
      <c r="T12" s="360"/>
      <c r="U12" s="382" t="s">
        <v>16</v>
      </c>
      <c r="V12" s="380">
        <v>152.51</v>
      </c>
      <c r="W12" s="380">
        <v>1.6</v>
      </c>
      <c r="X12" s="381">
        <f t="shared" si="2"/>
        <v>244.016</v>
      </c>
      <c r="Y12" s="360"/>
      <c r="Z12" s="360"/>
      <c r="AA12" s="360"/>
      <c r="AB12" s="360"/>
      <c r="AC12" s="360"/>
      <c r="AD12" s="360"/>
      <c r="AE12" s="360"/>
      <c r="AF12" s="360"/>
      <c r="AG12" s="360"/>
      <c r="AH12" s="360"/>
    </row>
    <row r="13" ht="18.75" customHeight="1">
      <c r="A13" s="365">
        <f>IF(ARBITRAGES!E13=0,"",ARBITRAGES!E13)</f>
        <v>45528</v>
      </c>
      <c r="B13" s="375">
        <f>IF(A13="","", IF(ARBITRAGES!$H13="BTC",B12+ARBITRAGES!$K13,B12))</f>
        <v>0.2540717765</v>
      </c>
      <c r="C13" s="375">
        <f>IF(B13="","", IF(ARBITRAGES!$H13="eth",C12+ARBITRAGES!$K13,C12))</f>
        <v>3.06300708</v>
      </c>
      <c r="D13" s="376">
        <f>IF(C13="","", IF(ARBITRAGES!$H13="ton",D12+ARBITRAGES!$K13,D12))</f>
        <v>424.382716</v>
      </c>
      <c r="E13" s="392">
        <f>IF(D13="","", IF(ARBITRAGES!$H13="sol",E12-ARBITRAGES!$K13,E12))</f>
        <v>18.0023965</v>
      </c>
      <c r="F13" s="377">
        <f>IF(E13="","", IF(ARBITRAGES!$H13="tao",F12+ARBITRAGES!$K13,F12))</f>
        <v>2</v>
      </c>
      <c r="G13" s="378">
        <f>IF(F13="","", IF(ARBITRAGES!$H13="ron",G12+ARBITRAGES!$K13,G12))</f>
        <v>200</v>
      </c>
      <c r="H13" s="378">
        <f>IF(G13="","", IF(ARBITRAGES!$H13="link",H12+ARBITRAGES!$K13,H12))</f>
        <v>0</v>
      </c>
      <c r="I13" s="378">
        <f>IF(H13="","", IF(ARBITRAGES!$H13="doge",I12+ARBITRAGES!$K13,I12))</f>
        <v>0</v>
      </c>
      <c r="J13" s="378">
        <f>IF(I13="","", IF(ARBITRAGES!$H13="*shib*",J12+ARBITRAGES!$K13,J12))</f>
        <v>46127320</v>
      </c>
      <c r="K13" s="378">
        <f>IF(J13="","", IF(ARBITRAGES!$H13="*cake*",K12+ARBITRAGES!$K13,K12))</f>
        <v>152.51</v>
      </c>
      <c r="L13" s="378">
        <f>IF(K13="","", IF(ARBITRAGES!$H13="*jup",L12+ARBITRAGES!$K13,L12))</f>
        <v>0</v>
      </c>
      <c r="M13" s="376">
        <f>IF(L13="","", IF(ARBITRAGES!$H13="*aave*",M12+ARBITRAGES!$K13,M12))</f>
        <v>0</v>
      </c>
      <c r="N13" s="378">
        <f>IF(M13="","", IF(ARBITRAGES!$H13="*ckb*",N12+ARBITRAGES!$K13,N12))</f>
        <v>0</v>
      </c>
      <c r="O13" s="378">
        <f>IF(N13="","", IF(ARBITRAGES!$H13="*pendle*",O12+ARBITRAGES!$K13,O12))</f>
        <v>0</v>
      </c>
      <c r="P13" s="378">
        <f>IF(O13="","", IF(ARBITRAGES!$H13="BOME",P12+ARBITRAGES!$K13,P12))</f>
        <v>0</v>
      </c>
      <c r="Q13" s="378">
        <f>IF(P13="","", IF(ARBITRAGES!$H13="PEPE",Q12+ARBITRAGES!$K13,Q12))</f>
        <v>0</v>
      </c>
      <c r="R13" s="378">
        <f>IF(Q13="","", IF(ARBITRAGES!$H13="WIF",R12+ARBITRAGES!$K13,R12))</f>
        <v>0</v>
      </c>
      <c r="S13" s="378">
        <f>IF(R13="","", IF(ARBITRAGES!$H13="RAY",S12+ARBITRAGES!$K13,S12))</f>
        <v>0</v>
      </c>
      <c r="T13" s="360"/>
      <c r="U13" s="384" t="s">
        <v>136</v>
      </c>
      <c r="V13" s="380">
        <v>1.909</v>
      </c>
      <c r="W13" s="380">
        <v>1.97</v>
      </c>
      <c r="X13" s="381">
        <f t="shared" si="2"/>
        <v>3.76073</v>
      </c>
      <c r="Y13" s="360"/>
      <c r="Z13" s="360"/>
      <c r="AA13" s="360"/>
      <c r="AB13" s="360"/>
      <c r="AC13" s="360"/>
      <c r="AD13" s="360"/>
      <c r="AE13" s="360"/>
      <c r="AF13" s="360"/>
      <c r="AG13" s="360"/>
      <c r="AH13" s="360"/>
    </row>
    <row r="14" ht="18.75" customHeight="1">
      <c r="A14" s="365">
        <f>IF(ARBITRAGES!E14=0,"",ARBITRAGES!E14)</f>
        <v>45529</v>
      </c>
      <c r="B14" s="375">
        <f>IF(A14="","", IF(ARBITRAGES!$H14="BTC",B13+ARBITRAGES!$K14,B13))</f>
        <v>0.2540717765</v>
      </c>
      <c r="C14" s="375">
        <f>IF(B14="","", IF(ARBITRAGES!$H14="eth",C13+ARBITRAGES!$K14,C13))</f>
        <v>3.06300708</v>
      </c>
      <c r="D14" s="383">
        <f>IF(C14="","", IF(ARBITRAGES!$H14="ton",D13+ARBITRAGES!$K14-1.31,D13))</f>
        <v>506.4060494</v>
      </c>
      <c r="E14" s="376">
        <f>IF(D14="","", IF(ARBITRAGES!$H14="sol",E13+ARBITRAGES!$K14,E13))</f>
        <v>18.0023965</v>
      </c>
      <c r="F14" s="377">
        <f>IF(E14="","", IF(ARBITRAGES!$H14="tao",F13+ARBITRAGES!$K14,F13))</f>
        <v>2</v>
      </c>
      <c r="G14" s="378">
        <f>IF(F14="","", IF(ARBITRAGES!$H14="ron",G13+ARBITRAGES!$K14,G13))</f>
        <v>200</v>
      </c>
      <c r="H14" s="378">
        <f>IF(G14="","", IF(ARBITRAGES!$H14="link",H13+ARBITRAGES!$K14,H13))</f>
        <v>0</v>
      </c>
      <c r="I14" s="378">
        <f>IF(H14="","", IF(ARBITRAGES!$H14="doge",I13+ARBITRAGES!$K14,I13))</f>
        <v>0</v>
      </c>
      <c r="J14" s="378">
        <f>IF(I14="","", IF(ARBITRAGES!$H14="*shib*",J13+ARBITRAGES!$K14,J13))</f>
        <v>46127320</v>
      </c>
      <c r="K14" s="378">
        <f>IF(J14="","", IF(ARBITRAGES!$H14="*cake*",K13+ARBITRAGES!$K14,K13))</f>
        <v>152.51</v>
      </c>
      <c r="L14" s="378">
        <f>IF(K14="","", IF(ARBITRAGES!$H14="*jup",L13+ARBITRAGES!$K14,L13))</f>
        <v>0</v>
      </c>
      <c r="M14" s="376">
        <f>IF(L14="","", IF(ARBITRAGES!$H14="*aave*",M13+ARBITRAGES!$K14,M13))</f>
        <v>0</v>
      </c>
      <c r="N14" s="378">
        <f>IF(M14="","", IF(ARBITRAGES!$H14="*ckb*",N13+ARBITRAGES!$K14,N13))</f>
        <v>0</v>
      </c>
      <c r="O14" s="378">
        <f>IF(N14="","", IF(ARBITRAGES!$H14="*pendle*",O13+ARBITRAGES!$K14,O13))</f>
        <v>0</v>
      </c>
      <c r="P14" s="378">
        <f>IF(O14="","", IF(ARBITRAGES!$H14="BOME",P13+ARBITRAGES!$K14,P13))</f>
        <v>0</v>
      </c>
      <c r="Q14" s="378">
        <f>IF(P14="","", IF(ARBITRAGES!$H14="PEPE",Q13+ARBITRAGES!$K14,Q13))</f>
        <v>0</v>
      </c>
      <c r="R14" s="378">
        <f>IF(Q14="","", IF(ARBITRAGES!$H14="WIF",R13+ARBITRAGES!$K14,R13))</f>
        <v>0</v>
      </c>
      <c r="S14" s="378">
        <f>IF(R14="","", IF(ARBITRAGES!$H14="RAY",S13+ARBITRAGES!$K14,S13))</f>
        <v>0</v>
      </c>
      <c r="T14" s="360"/>
      <c r="U14" s="386" t="s">
        <v>137</v>
      </c>
      <c r="V14" s="387">
        <v>3000.0</v>
      </c>
      <c r="W14" s="387">
        <v>2.023E-5</v>
      </c>
      <c r="X14" s="388">
        <f t="shared" si="2"/>
        <v>0.06069</v>
      </c>
      <c r="Y14" s="360"/>
      <c r="Z14" s="360"/>
      <c r="AA14" s="360"/>
      <c r="AB14" s="360"/>
      <c r="AC14" s="360"/>
      <c r="AD14" s="360"/>
      <c r="AE14" s="360"/>
      <c r="AF14" s="360"/>
      <c r="AG14" s="360"/>
      <c r="AH14" s="360"/>
    </row>
    <row r="15" ht="18.75" customHeight="1">
      <c r="A15" s="365">
        <f>IF(ARBITRAGES!E15=0,"",ARBITRAGES!E15)</f>
        <v>45530</v>
      </c>
      <c r="B15" s="374">
        <f>IF(A15="","", IF(ARBITRAGES!$H15="BTC",B14+ARBITRAGES!$K15,B14))</f>
        <v>0.2894985076</v>
      </c>
      <c r="C15" s="375">
        <f>IF(B15="","", IF(ARBITRAGES!$H15="eth",C14+ARBITRAGES!$K15,C14))</f>
        <v>3.06300708</v>
      </c>
      <c r="D15" s="376">
        <f>IF(C15="","", IF(ARBITRAGES!$H15="ton",D14+ARBITRAGES!$K15,D14))</f>
        <v>506.4060494</v>
      </c>
      <c r="E15" s="376">
        <f>IF(D15="","", IF(ARBITRAGES!$H15="sol",E14+ARBITRAGES!$K15,E14))</f>
        <v>18.0023965</v>
      </c>
      <c r="F15" s="377">
        <f>IF(E15="","", IF(ARBITRAGES!$H15="tao",F14+ARBITRAGES!$K15,F14))</f>
        <v>2</v>
      </c>
      <c r="G15" s="378">
        <f>IF(F15="","", IF(ARBITRAGES!$H15="ron",G14+ARBITRAGES!$K15,G14))</f>
        <v>200</v>
      </c>
      <c r="H15" s="378">
        <f>IF(G15="","", IF(ARBITRAGES!$H15="link",H14+ARBITRAGES!$K15,H14))</f>
        <v>0</v>
      </c>
      <c r="I15" s="378">
        <f>IF(H15="","", IF(ARBITRAGES!$H15="doge",I14+ARBITRAGES!$K15,I14))</f>
        <v>0</v>
      </c>
      <c r="J15" s="378">
        <f>IF(I15="","", IF(ARBITRAGES!$H15="*shib*",J14+ARBITRAGES!$K15,J14))</f>
        <v>46127320</v>
      </c>
      <c r="K15" s="378">
        <f>IF(J15="","", IF(ARBITRAGES!$H15="*cake*",K14+ARBITRAGES!$K15,K14))</f>
        <v>152.51</v>
      </c>
      <c r="L15" s="378">
        <f>IF(K15="","", IF(ARBITRAGES!$H15="*jup",L14+ARBITRAGES!$K15,L14))</f>
        <v>0</v>
      </c>
      <c r="M15" s="376">
        <f>IF(L15="","", IF(ARBITRAGES!$H15="*aave*",M14+ARBITRAGES!$K15,M14))</f>
        <v>0</v>
      </c>
      <c r="N15" s="378">
        <f>IF(M15="","", IF(ARBITRAGES!$H15="*ckb*",N14+ARBITRAGES!$K15,N14))</f>
        <v>0</v>
      </c>
      <c r="O15" s="378">
        <f>IF(N15="","", IF(ARBITRAGES!$H15="*pendle*",O14+ARBITRAGES!$K15,O14))</f>
        <v>0</v>
      </c>
      <c r="P15" s="378">
        <f>IF(O15="","", IF(ARBITRAGES!$H15="BOME",P14+ARBITRAGES!$K15,P14))</f>
        <v>0</v>
      </c>
      <c r="Q15" s="378">
        <f>IF(P15="","", IF(ARBITRAGES!$H15="PEPE",Q14+ARBITRAGES!$K15,Q14))</f>
        <v>0</v>
      </c>
      <c r="R15" s="378">
        <f>IF(Q15="","", IF(ARBITRAGES!$H15="WIF",R14+ARBITRAGES!$K15,R14))</f>
        <v>0</v>
      </c>
      <c r="S15" s="378">
        <f>IF(R15="","", IF(ARBITRAGES!$H15="RAY",S14+ARBITRAGES!$K15,S14))</f>
        <v>0</v>
      </c>
      <c r="T15" s="360"/>
      <c r="U15" s="360"/>
      <c r="V15" s="360"/>
      <c r="W15" s="360"/>
      <c r="X15" s="360"/>
      <c r="Y15" s="360"/>
      <c r="Z15" s="360"/>
      <c r="AA15" s="360"/>
      <c r="AB15" s="360"/>
      <c r="AC15" s="360"/>
      <c r="AD15" s="360"/>
      <c r="AE15" s="360"/>
      <c r="AF15" s="360"/>
      <c r="AG15" s="360"/>
      <c r="AH15" s="360"/>
    </row>
    <row r="16" ht="18.75" customHeight="1">
      <c r="A16" s="365">
        <f>IF(ARBITRAGES!E16=0,"",ARBITRAGES!E16)</f>
        <v>45531</v>
      </c>
      <c r="B16" s="375">
        <f>IF(A16="","", IF(ARBITRAGES!$H16="BTC",B15+ARBITRAGES!$K16,B15))</f>
        <v>0.2894985076</v>
      </c>
      <c r="C16" s="375">
        <f>IF(B16="","", IF(ARBITRAGES!$H16="eth",C15+ARBITRAGES!$K16,C15))</f>
        <v>3.06300708</v>
      </c>
      <c r="D16" s="376">
        <f>IF(C16="","", IF(ARBITRAGES!$H16="ton",D15+ARBITRAGES!$K16,D15))</f>
        <v>506.4060494</v>
      </c>
      <c r="E16" s="376">
        <f>IF(D16="","", IF(ARBITRAGES!$H16="sol",E15+ARBITRAGES!$K16,E15))</f>
        <v>18.0023965</v>
      </c>
      <c r="F16" s="377">
        <f>IF(E16="","", IF(ARBITRAGES!$H16="tao",F15+ARBITRAGES!$K16,F15))</f>
        <v>2</v>
      </c>
      <c r="G16" s="389">
        <f>IF(F16="","", IF(ARBITRAGES!$H16="ron",G15+ARBITRAGES!$K16,G15))</f>
        <v>700</v>
      </c>
      <c r="H16" s="378">
        <f>IF(G16="","", IF(ARBITRAGES!$H16="link",H15+ARBITRAGES!$K16,H15))</f>
        <v>0</v>
      </c>
      <c r="I16" s="378">
        <f>IF(H16="","", IF(ARBITRAGES!$H16="doge",I15+ARBITRAGES!$K16,I15))</f>
        <v>0</v>
      </c>
      <c r="J16" s="378">
        <f>IF(I16="","", IF(ARBITRAGES!$H16="*shib*",J15+ARBITRAGES!$K16,J15))</f>
        <v>46127320</v>
      </c>
      <c r="K16" s="378">
        <f>IF(J16="","", IF(ARBITRAGES!$H16="*cake*",K15+ARBITRAGES!$K16,K15))</f>
        <v>152.51</v>
      </c>
      <c r="L16" s="378">
        <f>IF(K16="","", IF(ARBITRAGES!$H16="*jup",L15+ARBITRAGES!$K16,L15))</f>
        <v>0</v>
      </c>
      <c r="M16" s="376">
        <f>IF(L16="","", IF(ARBITRAGES!$H16="*aave*",M15+ARBITRAGES!$K16,M15))</f>
        <v>0</v>
      </c>
      <c r="N16" s="378">
        <f>IF(M16="","", IF(ARBITRAGES!$H16="*ckb*",N15+ARBITRAGES!$K16,N15))</f>
        <v>0</v>
      </c>
      <c r="O16" s="378">
        <f>IF(N16="","", IF(ARBITRAGES!$H16="*pendle*",O15+ARBITRAGES!$K16,O15))</f>
        <v>0</v>
      </c>
      <c r="P16" s="378">
        <f>IF(O16="","", IF(ARBITRAGES!$H16="BOME",P15+ARBITRAGES!$K16,P15))</f>
        <v>0</v>
      </c>
      <c r="Q16" s="378">
        <f>IF(P16="","", IF(ARBITRAGES!$H16="PEPE",Q15+ARBITRAGES!$K16,Q15))</f>
        <v>0</v>
      </c>
      <c r="R16" s="378">
        <f>IF(Q16="","", IF(ARBITRAGES!$H16="WIF",R15+ARBITRAGES!$K16,R15))</f>
        <v>0</v>
      </c>
      <c r="S16" s="378">
        <f>IF(R16="","", IF(ARBITRAGES!$H16="RAY",S15+ARBITRAGES!$K16,S15))</f>
        <v>0</v>
      </c>
      <c r="T16" s="360"/>
      <c r="U16" s="360"/>
      <c r="V16" s="360"/>
      <c r="W16" s="360"/>
      <c r="X16" s="360"/>
      <c r="Y16" s="360"/>
      <c r="Z16" s="360"/>
      <c r="AA16" s="360"/>
      <c r="AB16" s="360"/>
      <c r="AC16" s="360"/>
      <c r="AD16" s="360"/>
      <c r="AE16" s="360"/>
      <c r="AF16" s="360"/>
      <c r="AG16" s="360"/>
      <c r="AH16" s="360"/>
    </row>
    <row r="17" ht="18.75" customHeight="1">
      <c r="A17" s="365">
        <f>IF(ARBITRAGES!E17=0,"",ARBITRAGES!E17)</f>
        <v>45531</v>
      </c>
      <c r="B17" s="375">
        <f>IF(A17="","", IF(ARBITRAGES!$H17="BTC",B16+ARBITRAGES!$K17,B16))</f>
        <v>0.2894985076</v>
      </c>
      <c r="C17" s="375">
        <f>IF(B17="","", IF(ARBITRAGES!$H17="eth",C16+ARBITRAGES!$K17,C16))</f>
        <v>3.06300708</v>
      </c>
      <c r="D17" s="376">
        <f>IF(C17="","", IF(ARBITRAGES!$H17="ton",D16+ARBITRAGES!$K17,D16))</f>
        <v>506.4060494</v>
      </c>
      <c r="E17" s="376">
        <f>IF(D17="","", IF(ARBITRAGES!$H17="sol",E16+ARBITRAGES!$K17,E16))</f>
        <v>18.0023965</v>
      </c>
      <c r="F17" s="385">
        <f>IF(E17="","", IF(ARBITRAGES!$H17="tao",F16+ARBITRAGES!$K17,F16))</f>
        <v>5.5</v>
      </c>
      <c r="G17" s="378">
        <f>IF(F17="","", IF(ARBITRAGES!$H17="ron",G16+ARBITRAGES!$K17,G16))</f>
        <v>700</v>
      </c>
      <c r="H17" s="378">
        <f>IF(G17="","", IF(ARBITRAGES!$H17="link",H16+ARBITRAGES!$K17,H16))</f>
        <v>0</v>
      </c>
      <c r="I17" s="378">
        <f>IF(H17="","", IF(ARBITRAGES!$H17="doge",I16+ARBITRAGES!$K17,I16))</f>
        <v>0</v>
      </c>
      <c r="J17" s="378">
        <f>IF(I17="","", IF(ARBITRAGES!$H17="*shib*",J16+ARBITRAGES!$K17,J16))</f>
        <v>46127320</v>
      </c>
      <c r="K17" s="378">
        <f>IF(J17="","", IF(ARBITRAGES!$H17="*cake*",K16+ARBITRAGES!$K17,K16))</f>
        <v>152.51</v>
      </c>
      <c r="L17" s="378">
        <f>IF(K17="","", IF(ARBITRAGES!$H17="*jup",L16+ARBITRAGES!$K17,L16))</f>
        <v>0</v>
      </c>
      <c r="M17" s="376">
        <f>IF(L17="","", IF(ARBITRAGES!$H17="*aave*",M16+ARBITRAGES!$K17,M16))</f>
        <v>0</v>
      </c>
      <c r="N17" s="378">
        <f>IF(M17="","", IF(ARBITRAGES!$H17="*ckb*",N16+ARBITRAGES!$K17,N16))</f>
        <v>0</v>
      </c>
      <c r="O17" s="378">
        <f>IF(N17="","", IF(ARBITRAGES!$H17="*pendle*",O16+ARBITRAGES!$K17,O16))</f>
        <v>0</v>
      </c>
      <c r="P17" s="378">
        <f>IF(O17="","", IF(ARBITRAGES!$H17="BOME",P16+ARBITRAGES!$K17,P16))</f>
        <v>0</v>
      </c>
      <c r="Q17" s="378">
        <f>IF(P17="","", IF(ARBITRAGES!$H17="PEPE",Q16+ARBITRAGES!$K17,Q16))</f>
        <v>0</v>
      </c>
      <c r="R17" s="378">
        <f>IF(Q17="","", IF(ARBITRAGES!$H17="WIF",R16+ARBITRAGES!$K17,R16))</f>
        <v>0</v>
      </c>
      <c r="S17" s="378">
        <f>IF(R17="","", IF(ARBITRAGES!$H17="RAY",S16+ARBITRAGES!$K17,S16))</f>
        <v>0</v>
      </c>
      <c r="T17" s="360"/>
      <c r="U17" s="360"/>
      <c r="V17" s="360"/>
      <c r="W17" s="360"/>
      <c r="X17" s="360"/>
      <c r="Y17" s="360"/>
      <c r="Z17" s="360"/>
      <c r="AA17" s="360"/>
      <c r="AB17" s="360"/>
      <c r="AC17" s="360"/>
      <c r="AD17" s="360"/>
      <c r="AE17" s="360"/>
      <c r="AF17" s="360"/>
      <c r="AG17" s="360"/>
      <c r="AH17" s="360"/>
    </row>
    <row r="18" ht="18.75" customHeight="1">
      <c r="A18" s="365">
        <f>IF(ARBITRAGES!E18=0,"",ARBITRAGES!E18)</f>
        <v>45531</v>
      </c>
      <c r="B18" s="375">
        <f>IF(A18="","", IF(ARBITRAGES!$H18="BTC",B17+ARBITRAGES!$K18,B17))</f>
        <v>0.2894985076</v>
      </c>
      <c r="C18" s="375">
        <f>IF(B18="","", IF(ARBITRAGES!$H18="eth",C17+ARBITRAGES!$K18,C17))</f>
        <v>3.06300708</v>
      </c>
      <c r="D18" s="376">
        <f>IF(C18="","", IF(ARBITRAGES!$H18="ton",D17+ARBITRAGES!$K18,D17))</f>
        <v>506.4060494</v>
      </c>
      <c r="E18" s="376">
        <f>IF(D18="","", IF(ARBITRAGES!$H18="sol",E17+ARBITRAGES!$K18,E17))</f>
        <v>18.0023965</v>
      </c>
      <c r="F18" s="377">
        <f>IF(E18="","", IF(ARBITRAGES!$H18="tao",F17+ARBITRAGES!$K18,F17))</f>
        <v>5.5</v>
      </c>
      <c r="G18" s="378">
        <f>IF(F18="","", IF(ARBITRAGES!$H18="ron",G17+ARBITRAGES!$K18,G17))</f>
        <v>700</v>
      </c>
      <c r="H18" s="378">
        <f>IF(G18="","", IF(ARBITRAGES!$H18="link",H17+ARBITRAGES!$K18,H17))</f>
        <v>0</v>
      </c>
      <c r="I18" s="389">
        <f>IF(H18="","", IF(ARBITRAGES!$H18="doge",I17+ARBITRAGES!$K18,I17))</f>
        <v>2750</v>
      </c>
      <c r="J18" s="378">
        <f>IF(I18="","", IF(ARBITRAGES!$H18="*shib*",J17+ARBITRAGES!$K18,J17))</f>
        <v>46127320</v>
      </c>
      <c r="K18" s="378">
        <f>IF(J18="","", IF(ARBITRAGES!$H18="*cake*",K17+ARBITRAGES!$K18,K17))</f>
        <v>152.51</v>
      </c>
      <c r="L18" s="378">
        <f>IF(K18="","", IF(ARBITRAGES!$H18="*jup",L17+ARBITRAGES!$K18,L17))</f>
        <v>0</v>
      </c>
      <c r="M18" s="376">
        <f>IF(L18="","", IF(ARBITRAGES!$H18="*aave*",M17+ARBITRAGES!$K18,M17))</f>
        <v>0</v>
      </c>
      <c r="N18" s="378">
        <f>IF(M18="","", IF(ARBITRAGES!$H18="*ckb*",N17+ARBITRAGES!$K18,N17))</f>
        <v>0</v>
      </c>
      <c r="O18" s="378">
        <f>IF(N18="","", IF(ARBITRAGES!$H18="*pendle*",O17+ARBITRAGES!$K18,O17))</f>
        <v>0</v>
      </c>
      <c r="P18" s="378">
        <f>IF(O18="","", IF(ARBITRAGES!$H18="BOME",P17+ARBITRAGES!$K18,P17))</f>
        <v>0</v>
      </c>
      <c r="Q18" s="378">
        <f>IF(P18="","", IF(ARBITRAGES!$H18="PEPE",Q17+ARBITRAGES!$K18,Q17))</f>
        <v>0</v>
      </c>
      <c r="R18" s="378">
        <f>IF(Q18="","", IF(ARBITRAGES!$H18="WIF",R17+ARBITRAGES!$K18,R17))</f>
        <v>0</v>
      </c>
      <c r="S18" s="378">
        <f>IF(R18="","", IF(ARBITRAGES!$H18="RAY",S17+ARBITRAGES!$K18,S17))</f>
        <v>0</v>
      </c>
      <c r="T18" s="360"/>
      <c r="U18" s="360"/>
      <c r="V18" s="360"/>
      <c r="W18" s="360"/>
      <c r="X18" s="360"/>
      <c r="Y18" s="360"/>
      <c r="Z18" s="360"/>
      <c r="AA18" s="360"/>
      <c r="AB18" s="360"/>
      <c r="AC18" s="360"/>
      <c r="AD18" s="360"/>
      <c r="AE18" s="360"/>
      <c r="AF18" s="360"/>
      <c r="AG18" s="360"/>
      <c r="AH18" s="360"/>
    </row>
    <row r="19" ht="18.75" customHeight="1">
      <c r="A19" s="365">
        <f>IF(ARBITRAGES!E19=0,"",ARBITRAGES!E19)</f>
        <v>45531</v>
      </c>
      <c r="B19" s="375">
        <f>IF(A19="","", IF(ARBITRAGES!$H19="BTC",B18+ARBITRAGES!$K19,B18))</f>
        <v>0.2894985076</v>
      </c>
      <c r="C19" s="375">
        <f>IF(B19="","", IF(ARBITRAGES!$H19="eth",C18+ARBITRAGES!$K19,C18))</f>
        <v>3.06300708</v>
      </c>
      <c r="D19" s="376">
        <f>IF(C19="","", IF(ARBITRAGES!$H19="ton",D18+ARBITRAGES!$K19,D18))</f>
        <v>506.4060494</v>
      </c>
      <c r="E19" s="376">
        <f>IF(D19="","", IF(ARBITRAGES!$H19="sol",E18+ARBITRAGES!$K19,E18))</f>
        <v>18.0023965</v>
      </c>
      <c r="F19" s="377">
        <f>IF(E19="","", IF(ARBITRAGES!$H19="tao",F18+ARBITRAGES!$K19,F18))</f>
        <v>5.5</v>
      </c>
      <c r="G19" s="378">
        <f>IF(F19="","", IF(ARBITRAGES!$H19="ron",G18+ARBITRAGES!$K19,G18))</f>
        <v>700</v>
      </c>
      <c r="H19" s="389">
        <f>IF(G19="","", IF(ARBITRAGES!$H19="link",H18+ARBITRAGES!$K19,H18))</f>
        <v>100</v>
      </c>
      <c r="I19" s="378">
        <f>IF(H19="","", IF(ARBITRAGES!$H19="doge",I18+ARBITRAGES!$K19,I18))</f>
        <v>2750</v>
      </c>
      <c r="J19" s="378">
        <f>IF(I19="","", IF(ARBITRAGES!$H19="*shib*",J18+ARBITRAGES!$K19,J18))</f>
        <v>46127320</v>
      </c>
      <c r="K19" s="378">
        <f>IF(J19="","", IF(ARBITRAGES!$H19="*cake*",K18+ARBITRAGES!$K19,K18))</f>
        <v>152.51</v>
      </c>
      <c r="L19" s="378">
        <f>IF(K19="","", IF(ARBITRAGES!$H19="*jup",L18+ARBITRAGES!$K19,L18))</f>
        <v>0</v>
      </c>
      <c r="M19" s="376">
        <f>IF(L19="","", IF(ARBITRAGES!$H19="*aave*",M18+ARBITRAGES!$K19,M18))</f>
        <v>0</v>
      </c>
      <c r="N19" s="378">
        <f>IF(M19="","", IF(ARBITRAGES!$H19="*ckb*",N18+ARBITRAGES!$K19,N18))</f>
        <v>0</v>
      </c>
      <c r="O19" s="378">
        <f>IF(N19="","", IF(ARBITRAGES!$H19="*pendle*",O18+ARBITRAGES!$K19,O18))</f>
        <v>0</v>
      </c>
      <c r="P19" s="378">
        <f>IF(O19="","", IF(ARBITRAGES!$H19="BOME",P18+ARBITRAGES!$K19,P18))</f>
        <v>0</v>
      </c>
      <c r="Q19" s="378">
        <f>IF(P19="","", IF(ARBITRAGES!$H19="PEPE",Q18+ARBITRAGES!$K19,Q18))</f>
        <v>0</v>
      </c>
      <c r="R19" s="378">
        <f>IF(Q19="","", IF(ARBITRAGES!$H19="WIF",R18+ARBITRAGES!$K19,R18))</f>
        <v>0</v>
      </c>
      <c r="S19" s="378">
        <f>IF(R19="","", IF(ARBITRAGES!$H19="RAY",S18+ARBITRAGES!$K19,S18))</f>
        <v>0</v>
      </c>
      <c r="T19" s="360"/>
      <c r="U19" s="360"/>
      <c r="V19" s="360"/>
      <c r="W19" s="360"/>
      <c r="X19" s="360"/>
      <c r="Y19" s="360"/>
      <c r="Z19" s="360"/>
      <c r="AA19" s="360"/>
      <c r="AB19" s="360"/>
      <c r="AC19" s="360"/>
      <c r="AD19" s="360"/>
      <c r="AE19" s="360"/>
      <c r="AF19" s="360"/>
      <c r="AG19" s="360"/>
      <c r="AH19" s="360"/>
    </row>
    <row r="20" ht="18.75" customHeight="1">
      <c r="A20" s="365">
        <f>IF(ARBITRAGES!E20=0,"",ARBITRAGES!E20)</f>
        <v>45532</v>
      </c>
      <c r="B20" s="374">
        <f>IF(A20="","", IF(ARBITRAGES!$H20="BTC",B19+ARBITRAGES!$K20,B19))</f>
        <v>0.3116073511</v>
      </c>
      <c r="C20" s="375">
        <f>IF(B20="","", IF(ARBITRAGES!$H20="eth",C19+ARBITRAGES!$K20,C19))</f>
        <v>3.06300708</v>
      </c>
      <c r="D20" s="376">
        <f>IF(C20="","", IF(ARBITRAGES!$H20="ton",D19+ARBITRAGES!$K20,D19))</f>
        <v>506.4060494</v>
      </c>
      <c r="E20" s="376">
        <f>IF(D20="","", IF(ARBITRAGES!$H20="sol",E19+ARBITRAGES!$K20,E19))</f>
        <v>18.0023965</v>
      </c>
      <c r="F20" s="377">
        <f>IF(E20="","", IF(ARBITRAGES!$H20="tao",F19+ARBITRAGES!$K20,F19))</f>
        <v>5.5</v>
      </c>
      <c r="G20" s="378">
        <f>IF(F20="","", IF(ARBITRAGES!$H20="ron",G19+ARBITRAGES!$K20,G19))</f>
        <v>700</v>
      </c>
      <c r="H20" s="378">
        <f>IF(G20="","", IF(ARBITRAGES!$H20="link",H19+ARBITRAGES!$K20,H19))</f>
        <v>100</v>
      </c>
      <c r="I20" s="378">
        <f>IF(H20="","", IF(ARBITRAGES!$H20="doge",I19+ARBITRAGES!$K20,I19))</f>
        <v>2750</v>
      </c>
      <c r="J20" s="378">
        <f>IF(I20="","", IF(ARBITRAGES!$H20="*shib*",J19+ARBITRAGES!$K20,J19))</f>
        <v>46127320</v>
      </c>
      <c r="K20" s="378">
        <f>IF(J20="","", IF(ARBITRAGES!$H20="*cake*",K19+ARBITRAGES!$K20,K19))</f>
        <v>152.51</v>
      </c>
      <c r="L20" s="378">
        <f>IF(K20="","", IF(ARBITRAGES!$H20="*jup",L19+ARBITRAGES!$K20,L19))</f>
        <v>0</v>
      </c>
      <c r="M20" s="376">
        <f>IF(L20="","", IF(ARBITRAGES!$H20="*aave*",M19+ARBITRAGES!$K20,M19))</f>
        <v>0</v>
      </c>
      <c r="N20" s="378">
        <f>IF(M20="","", IF(ARBITRAGES!$H20="*ckb*",N19+ARBITRAGES!$K20,N19))</f>
        <v>0</v>
      </c>
      <c r="O20" s="378">
        <f>IF(N20="","", IF(ARBITRAGES!$H20="*pendle*",O19+ARBITRAGES!$K20,O19))</f>
        <v>0</v>
      </c>
      <c r="P20" s="378">
        <f>IF(O20="","", IF(ARBITRAGES!$H20="BOME",P19+ARBITRAGES!$K20,P19))</f>
        <v>0</v>
      </c>
      <c r="Q20" s="378">
        <f>IF(P20="","", IF(ARBITRAGES!$H20="PEPE",Q19+ARBITRAGES!$K20,Q19))</f>
        <v>0</v>
      </c>
      <c r="R20" s="378">
        <f>IF(Q20="","", IF(ARBITRAGES!$H20="WIF",R19+ARBITRAGES!$K20,R19))</f>
        <v>0</v>
      </c>
      <c r="S20" s="378">
        <f>IF(R20="","", IF(ARBITRAGES!$H20="RAY",S19+ARBITRAGES!$K20,S19))</f>
        <v>0</v>
      </c>
      <c r="T20" s="360"/>
      <c r="U20" s="360"/>
      <c r="V20" s="360"/>
      <c r="W20" s="360"/>
      <c r="X20" s="360"/>
      <c r="Y20" s="360"/>
      <c r="Z20" s="360"/>
      <c r="AA20" s="360"/>
      <c r="AB20" s="360"/>
      <c r="AC20" s="360"/>
      <c r="AD20" s="360"/>
      <c r="AE20" s="360"/>
      <c r="AF20" s="360"/>
      <c r="AG20" s="360"/>
      <c r="AH20" s="360"/>
    </row>
    <row r="21" ht="18.75" customHeight="1">
      <c r="A21" s="365">
        <f>IF(ARBITRAGES!E21=0,"",ARBITRAGES!E21)</f>
        <v>45545</v>
      </c>
      <c r="B21" s="393">
        <f>IF(A21="","", IF(ARBITRAGES!$H21="BTC",B20-ARBITRAGES!$K21,B20))</f>
        <v>0.2940788674</v>
      </c>
      <c r="C21" s="375">
        <f>IF(B21="","", IF(ARBITRAGES!$H21="eth",C20+ARBITRAGES!$K21,C20))</f>
        <v>3.06300708</v>
      </c>
      <c r="D21" s="376">
        <f>IF(C21="","", IF(ARBITRAGES!$H21="ton",D20+ARBITRAGES!$K21,D20))</f>
        <v>506.4060494</v>
      </c>
      <c r="E21" s="376">
        <f>IF(D21="","", IF(ARBITRAGES!$H21="sol",E20+ARBITRAGES!$K21,E20))</f>
        <v>18.0023965</v>
      </c>
      <c r="F21" s="377">
        <f>IF(E21="","", IF(ARBITRAGES!$H21="tao",F20+ARBITRAGES!$K21,F20))</f>
        <v>5.5</v>
      </c>
      <c r="G21" s="378">
        <f>IF(F21="","", IF(ARBITRAGES!$H21="ron",G20+ARBITRAGES!$K21,G20))</f>
        <v>700</v>
      </c>
      <c r="H21" s="378">
        <f>IF(G21="","", IF(ARBITRAGES!$H21="link",H20+ARBITRAGES!$K21,H20))</f>
        <v>100</v>
      </c>
      <c r="I21" s="378">
        <f>IF(H21="","", IF(ARBITRAGES!$H21="doge",I20+ARBITRAGES!$K21,I20))</f>
        <v>2750</v>
      </c>
      <c r="J21" s="378">
        <f>IF(I21="","", IF(ARBITRAGES!$H21="*shib*",J20+ARBITRAGES!$K21,J20))</f>
        <v>46127320</v>
      </c>
      <c r="K21" s="378">
        <f>IF(J21="","", IF(ARBITRAGES!$H21="*cake*",K20+ARBITRAGES!$K21,K20))</f>
        <v>152.51</v>
      </c>
      <c r="L21" s="378">
        <f>IF(K21="","", IF(ARBITRAGES!$H21="*jup",L20+ARBITRAGES!$K21,L20))</f>
        <v>0</v>
      </c>
      <c r="M21" s="376">
        <f>IF(L21="","", IF(ARBITRAGES!$H21="*aave*",M20+ARBITRAGES!$K21,M20))</f>
        <v>0</v>
      </c>
      <c r="N21" s="378">
        <f>IF(M21="","", IF(ARBITRAGES!$H21="*ckb*",N20+ARBITRAGES!$K21,N20))</f>
        <v>0</v>
      </c>
      <c r="O21" s="378">
        <f>IF(N21="","", IF(ARBITRAGES!$H21="*pendle*",O20+ARBITRAGES!$K21,O20))</f>
        <v>0</v>
      </c>
      <c r="P21" s="378">
        <f>IF(O21="","", IF(ARBITRAGES!$H21="BOME",P20+ARBITRAGES!$K21,P20))</f>
        <v>0</v>
      </c>
      <c r="Q21" s="378">
        <f>IF(P21="","", IF(ARBITRAGES!$H21="PEPE",Q20+ARBITRAGES!$K21,Q20))</f>
        <v>0</v>
      </c>
      <c r="R21" s="378">
        <f>IF(Q21="","", IF(ARBITRAGES!$H21="WIF",R20+ARBITRAGES!$K21,R20))</f>
        <v>0</v>
      </c>
      <c r="S21" s="378">
        <f>IF(R21="","", IF(ARBITRAGES!$H21="RAY",S20+ARBITRAGES!$K21,S20))</f>
        <v>0</v>
      </c>
      <c r="T21" s="360"/>
      <c r="U21" s="360"/>
      <c r="V21" s="360"/>
      <c r="W21" s="360"/>
      <c r="X21" s="360"/>
      <c r="Y21" s="360"/>
      <c r="Z21" s="360"/>
      <c r="AA21" s="360"/>
      <c r="AB21" s="360"/>
      <c r="AC21" s="360"/>
      <c r="AD21" s="360"/>
      <c r="AE21" s="360"/>
      <c r="AF21" s="360"/>
      <c r="AG21" s="360"/>
      <c r="AH21" s="360"/>
    </row>
    <row r="22" ht="18.75" customHeight="1">
      <c r="A22" s="365">
        <f>IF(ARBITRAGES!E22=0,"",ARBITRAGES!E22)</f>
        <v>45551</v>
      </c>
      <c r="B22" s="375">
        <f>IF(A22="","", IF(ARBITRAGES!$H22="BTC",B21+ARBITRAGES!$K22,B21))</f>
        <v>0.2940788674</v>
      </c>
      <c r="C22" s="375">
        <f>IF(B22="","", IF(ARBITRAGES!$H22="eth",C21+ARBITRAGES!$K22,C21))</f>
        <v>3.06300708</v>
      </c>
      <c r="D22" s="376">
        <f>IF(C22="","", IF(ARBITRAGES!$H22="ton",D21+ARBITRAGES!$K22,D21))</f>
        <v>506.4060494</v>
      </c>
      <c r="E22" s="376">
        <f>IF(D22="","", IF(ARBITRAGES!$H22="sol",E21+ARBITRAGES!$K22,E21))</f>
        <v>18.0023965</v>
      </c>
      <c r="F22" s="385">
        <f>IF(E22="","", IF(ARBITRAGES!$H22="tao",F21+ARBITRAGES!$K22,F21))</f>
        <v>6.6</v>
      </c>
      <c r="G22" s="378">
        <f>IF(F22="","", IF(ARBITRAGES!$H22="ron",G21+ARBITRAGES!$K22,G21))</f>
        <v>700</v>
      </c>
      <c r="H22" s="378">
        <f>IF(G22="","", IF(ARBITRAGES!$H22="link",H21+ARBITRAGES!$K22,H21))</f>
        <v>100</v>
      </c>
      <c r="I22" s="378">
        <f>IF(H22="","", IF(ARBITRAGES!$H22="doge",I21+ARBITRAGES!$K22,I21))</f>
        <v>2750</v>
      </c>
      <c r="J22" s="378">
        <f>IF(I22="","", IF(ARBITRAGES!$H22="*shib*",J21+ARBITRAGES!$K22,J21))</f>
        <v>46127320</v>
      </c>
      <c r="K22" s="378">
        <f>IF(J22="","", IF(ARBITRAGES!$H22="*cake*",K21+ARBITRAGES!$K22,K21))</f>
        <v>152.51</v>
      </c>
      <c r="L22" s="378">
        <f>IF(K22="","", IF(ARBITRAGES!$H22="*jup",L21+ARBITRAGES!$K22,L21))</f>
        <v>0</v>
      </c>
      <c r="M22" s="376">
        <f>IF(L22="","", IF(ARBITRAGES!$H22="*aave*",M21+ARBITRAGES!$K22,M21))</f>
        <v>0</v>
      </c>
      <c r="N22" s="378">
        <f>IF(M22="","", IF(ARBITRAGES!$H22="*ckb*",N21+ARBITRAGES!$K22,N21))</f>
        <v>0</v>
      </c>
      <c r="O22" s="378">
        <f>IF(N22="","", IF(ARBITRAGES!$H22="*pendle*",O21+ARBITRAGES!$K22,O21))</f>
        <v>0</v>
      </c>
      <c r="P22" s="378">
        <f>IF(O22="","", IF(ARBITRAGES!$H22="BOME",P21+ARBITRAGES!$K22,P21))</f>
        <v>0</v>
      </c>
      <c r="Q22" s="378">
        <f>IF(P22="","", IF(ARBITRAGES!$H22="PEPE",Q21+ARBITRAGES!$K22,Q21))</f>
        <v>0</v>
      </c>
      <c r="R22" s="378">
        <f>IF(Q22="","", IF(ARBITRAGES!$H22="WIF",R21+ARBITRAGES!$K22,R21))</f>
        <v>0</v>
      </c>
      <c r="S22" s="378">
        <f>IF(R22="","", IF(ARBITRAGES!$H22="RAY",S21+ARBITRAGES!$K22,S21))</f>
        <v>0</v>
      </c>
      <c r="T22" s="360"/>
      <c r="U22" s="360"/>
      <c r="V22" s="360"/>
      <c r="W22" s="360"/>
      <c r="X22" s="360"/>
      <c r="Y22" s="360"/>
      <c r="Z22" s="360"/>
      <c r="AA22" s="360"/>
      <c r="AB22" s="360"/>
      <c r="AC22" s="360"/>
      <c r="AD22" s="360"/>
      <c r="AE22" s="360"/>
      <c r="AF22" s="360"/>
      <c r="AG22" s="360"/>
      <c r="AH22" s="360"/>
    </row>
    <row r="23" ht="18.75" customHeight="1">
      <c r="A23" s="365">
        <f>IF(ARBITRAGES!E23=0,"",ARBITRAGES!E23)</f>
        <v>45552</v>
      </c>
      <c r="B23" s="375">
        <f>IF(A23="","", IF(ARBITRAGES!$H23="BTC",B22+ARBITRAGES!$K23,B22))</f>
        <v>0.2940788674</v>
      </c>
      <c r="C23" s="375">
        <f>IF(B23="","", IF(ARBITRAGES!$H23="eth",C22+ARBITRAGES!$K23,C22))</f>
        <v>3.06300708</v>
      </c>
      <c r="D23" s="376">
        <f>IF(C23="","", IF(ARBITRAGES!$H23="ton",D22+ARBITRAGES!$K23,D22))</f>
        <v>506.4060494</v>
      </c>
      <c r="E23" s="376">
        <f>IF(D23="","", IF(ARBITRAGES!$H23="sol",E22+ARBITRAGES!$K23,E22))</f>
        <v>18.0023965</v>
      </c>
      <c r="F23" s="391">
        <f>IF(E23="","", IF(ARBITRAGES!$H23="tao",F22-ARBITRAGES!$K23,F22))</f>
        <v>5.999997324</v>
      </c>
      <c r="G23" s="378">
        <f>IF(F23="","", IF(ARBITRAGES!$H23="ron",G22+ARBITRAGES!$K23,G22))</f>
        <v>700</v>
      </c>
      <c r="H23" s="378">
        <f>IF(G23="","", IF(ARBITRAGES!$H23="link",H22+ARBITRAGES!$K23,H22))</f>
        <v>100</v>
      </c>
      <c r="I23" s="378">
        <f>IF(H23="","", IF(ARBITRAGES!$H23="doge",I22+ARBITRAGES!$K23,I22))</f>
        <v>2750</v>
      </c>
      <c r="J23" s="378">
        <f>IF(I23="","", IF(ARBITRAGES!$H23="*shib*",J22+ARBITRAGES!$K23,J22))</f>
        <v>46127320</v>
      </c>
      <c r="K23" s="378">
        <f>IF(J23="","", IF(ARBITRAGES!$H23="*cake*",K22+ARBITRAGES!$K23,K22))</f>
        <v>152.51</v>
      </c>
      <c r="L23" s="378">
        <f>IF(K23="","", IF(ARBITRAGES!$H23="*jup",L22+ARBITRAGES!$K23,L22))</f>
        <v>0</v>
      </c>
      <c r="M23" s="376">
        <f>IF(L23="","", IF(ARBITRAGES!$H23="*aave*",M22+ARBITRAGES!$K23,M22))</f>
        <v>0</v>
      </c>
      <c r="N23" s="378">
        <f>IF(M23="","", IF(ARBITRAGES!$H23="*ckb*",N22+ARBITRAGES!$K23,N22))</f>
        <v>0</v>
      </c>
      <c r="O23" s="378">
        <f>IF(N23="","", IF(ARBITRAGES!$H23="*pendle*",O22+ARBITRAGES!$K23,O22))</f>
        <v>0</v>
      </c>
      <c r="P23" s="378">
        <f>IF(O23="","", IF(ARBITRAGES!$H23="BOME",P22+ARBITRAGES!$K23,P22))</f>
        <v>0</v>
      </c>
      <c r="Q23" s="378">
        <f>IF(P23="","", IF(ARBITRAGES!$H23="PEPE",Q22+ARBITRAGES!$K23,Q22))</f>
        <v>0</v>
      </c>
      <c r="R23" s="378">
        <f>IF(Q23="","", IF(ARBITRAGES!$H23="WIF",R22+ARBITRAGES!$K23,R22))</f>
        <v>0</v>
      </c>
      <c r="S23" s="378">
        <f>IF(R23="","", IF(ARBITRAGES!$H23="RAY",S22+ARBITRAGES!$K23,S22))</f>
        <v>0</v>
      </c>
      <c r="T23" s="360"/>
      <c r="U23" s="360"/>
      <c r="V23" s="360"/>
      <c r="W23" s="360"/>
      <c r="X23" s="360"/>
      <c r="Y23" s="360"/>
      <c r="Z23" s="360"/>
      <c r="AA23" s="360"/>
      <c r="AB23" s="360"/>
      <c r="AC23" s="360"/>
      <c r="AD23" s="360"/>
      <c r="AE23" s="360"/>
      <c r="AF23" s="360"/>
      <c r="AG23" s="360"/>
      <c r="AH23" s="360"/>
    </row>
    <row r="24" ht="18.75" customHeight="1">
      <c r="A24" s="365">
        <f>IF(ARBITRAGES!E24=0,"",ARBITRAGES!E24)</f>
        <v>45555</v>
      </c>
      <c r="B24" s="375">
        <f>IF(A24="","", IF(ARBITRAGES!$H24="BTC",B23+ARBITRAGES!$K24,B23))</f>
        <v>0.2940788674</v>
      </c>
      <c r="C24" s="375">
        <f>IF(B24="","", IF(ARBITRAGES!$H24="eth",C23+ARBITRAGES!$K24,C23))</f>
        <v>3.06300708</v>
      </c>
      <c r="D24" s="376">
        <f>IF(C24="","", IF(ARBITRAGES!$H24="ton",D23+ARBITRAGES!$K24,D23))</f>
        <v>506.4060494</v>
      </c>
      <c r="E24" s="376">
        <f>IF(D24="","", IF(ARBITRAGES!$H24="sol",E23+ARBITRAGES!$K24,E23))</f>
        <v>18.0023965</v>
      </c>
      <c r="F24" s="391">
        <f>IF(E24="","", IF(ARBITRAGES!$H24="tao",F23-ARBITRAGES!$K24,F23))</f>
        <v>5.199997324</v>
      </c>
      <c r="G24" s="378">
        <f>IF(F24="","", IF(ARBITRAGES!$H24="ron",G23+ARBITRAGES!$K24,G23))</f>
        <v>700</v>
      </c>
      <c r="H24" s="378">
        <f>IF(G24="","", IF(ARBITRAGES!$H24="link",H23+ARBITRAGES!$K24,H23))</f>
        <v>100</v>
      </c>
      <c r="I24" s="378">
        <f>IF(H24="","", IF(ARBITRAGES!$H24="doge",I23+ARBITRAGES!$K24,I23))</f>
        <v>2750</v>
      </c>
      <c r="J24" s="378">
        <f>IF(I24="","", IF(ARBITRAGES!$H24="*shib*",J23+ARBITRAGES!$K24,J23))</f>
        <v>46127320</v>
      </c>
      <c r="K24" s="378">
        <f>IF(J24="","", IF(ARBITRAGES!$H24="*cake*",K23+ARBITRAGES!$K24,K23))</f>
        <v>152.51</v>
      </c>
      <c r="L24" s="378">
        <f>IF(K24="","", IF(ARBITRAGES!$H24="*jup",L23+ARBITRAGES!$K24,L23))</f>
        <v>0</v>
      </c>
      <c r="M24" s="376">
        <f>IF(L24="","", IF(ARBITRAGES!$H24="*aave*",M23+ARBITRAGES!$K24,M23))</f>
        <v>0</v>
      </c>
      <c r="N24" s="378">
        <f>IF(M24="","", IF(ARBITRAGES!$H24="*ckb*",N23+ARBITRAGES!$K24,N23))</f>
        <v>0</v>
      </c>
      <c r="O24" s="378">
        <f>IF(N24="","", IF(ARBITRAGES!$H24="*pendle*",O23+ARBITRAGES!$K24,O23))</f>
        <v>0</v>
      </c>
      <c r="P24" s="378">
        <f>IF(O24="","", IF(ARBITRAGES!$H24="BOME",P23+ARBITRAGES!$K24,P23))</f>
        <v>0</v>
      </c>
      <c r="Q24" s="378">
        <f>IF(P24="","", IF(ARBITRAGES!$H24="PEPE",Q23+ARBITRAGES!$K24,Q23))</f>
        <v>0</v>
      </c>
      <c r="R24" s="378">
        <f>IF(Q24="","", IF(ARBITRAGES!$H24="WIF",R23+ARBITRAGES!$K24,R23))</f>
        <v>0</v>
      </c>
      <c r="S24" s="378">
        <f>IF(R24="","", IF(ARBITRAGES!$H24="RAY",S23+ARBITRAGES!$K24,S23))</f>
        <v>0</v>
      </c>
      <c r="T24" s="360"/>
      <c r="U24" s="360"/>
      <c r="V24" s="360"/>
      <c r="W24" s="360"/>
      <c r="X24" s="360"/>
      <c r="Y24" s="360"/>
      <c r="Z24" s="360"/>
      <c r="AA24" s="360"/>
      <c r="AB24" s="360"/>
      <c r="AC24" s="360"/>
      <c r="AD24" s="360"/>
      <c r="AE24" s="360"/>
      <c r="AF24" s="360"/>
      <c r="AG24" s="360"/>
      <c r="AH24" s="360"/>
    </row>
    <row r="25" ht="18.75" customHeight="1">
      <c r="A25" s="365">
        <f>IF(ARBITRAGES!E25=0,"",ARBITRAGES!E25)</f>
        <v>45557</v>
      </c>
      <c r="B25" s="375">
        <f>IF(A25="","", IF(ARBITRAGES!$H25="BTC",B24+ARBITRAGES!$K25,B24))</f>
        <v>0.2940788674</v>
      </c>
      <c r="C25" s="375">
        <f>IF(B25="","", IF(ARBITRAGES!$H25="eth",C24+ARBITRAGES!$K25,C24))</f>
        <v>3.06300708</v>
      </c>
      <c r="D25" s="376">
        <f>IF(C25="","", IF(ARBITRAGES!$H25="ton",D24+ARBITRAGES!$K25,D24))</f>
        <v>506.4060494</v>
      </c>
      <c r="E25" s="376">
        <f>IF(D25="","", IF(ARBITRAGES!$H25="sol",E24+ARBITRAGES!$K25,E24))</f>
        <v>18.0023965</v>
      </c>
      <c r="F25" s="391">
        <f>IF(E25="","", IF(ARBITRAGES!$H25="tao",F24-ARBITRAGES!$K25,F24))</f>
        <v>4.199997324</v>
      </c>
      <c r="G25" s="378">
        <f>IF(F25="","", IF(ARBITRAGES!$H25="ron",G24+ARBITRAGES!$K25,G24))</f>
        <v>700</v>
      </c>
      <c r="H25" s="378">
        <f>IF(G25="","", IF(ARBITRAGES!$H25="link",H24+ARBITRAGES!$K25,H24))</f>
        <v>100</v>
      </c>
      <c r="I25" s="378">
        <f>IF(H25="","", IF(ARBITRAGES!$H25="doge",I24+ARBITRAGES!$K25,I24))</f>
        <v>2750</v>
      </c>
      <c r="J25" s="378">
        <f>IF(I25="","", IF(ARBITRAGES!$H25="*shib*",J24+ARBITRAGES!$K25,J24))</f>
        <v>46127320</v>
      </c>
      <c r="K25" s="378">
        <f>IF(J25="","", IF(ARBITRAGES!$H25="*cake*",K24+ARBITRAGES!$K25,K24))</f>
        <v>152.51</v>
      </c>
      <c r="L25" s="378">
        <f>IF(K25="","", IF(ARBITRAGES!$H25="*jup",L24+ARBITRAGES!$K25,L24))</f>
        <v>0</v>
      </c>
      <c r="M25" s="376">
        <f>IF(L25="","", IF(ARBITRAGES!$H25="*aave*",M24+ARBITRAGES!$K25,M24))</f>
        <v>0</v>
      </c>
      <c r="N25" s="378">
        <f>IF(M25="","", IF(ARBITRAGES!$H25="*ckb*",N24+ARBITRAGES!$K25,N24))</f>
        <v>0</v>
      </c>
      <c r="O25" s="378">
        <f>IF(N25="","", IF(ARBITRAGES!$H25="*pendle*",O24+ARBITRAGES!$K25,O24))</f>
        <v>0</v>
      </c>
      <c r="P25" s="378">
        <f>IF(O25="","", IF(ARBITRAGES!$H25="BOME",P24+ARBITRAGES!$K25,P24))</f>
        <v>0</v>
      </c>
      <c r="Q25" s="378">
        <f>IF(P25="","", IF(ARBITRAGES!$H25="PEPE",Q24+ARBITRAGES!$K25,Q24))</f>
        <v>0</v>
      </c>
      <c r="R25" s="378">
        <f>IF(Q25="","", IF(ARBITRAGES!$H25="WIF",R24+ARBITRAGES!$K25,R24))</f>
        <v>0</v>
      </c>
      <c r="S25" s="378">
        <f>IF(R25="","", IF(ARBITRAGES!$H25="RAY",S24+ARBITRAGES!$K25,S24))</f>
        <v>0</v>
      </c>
      <c r="T25" s="360"/>
      <c r="U25" s="360"/>
      <c r="V25" s="360"/>
      <c r="W25" s="360"/>
      <c r="X25" s="360"/>
      <c r="Y25" s="360"/>
      <c r="Z25" s="360"/>
      <c r="AA25" s="360"/>
      <c r="AB25" s="360"/>
      <c r="AC25" s="360"/>
      <c r="AD25" s="360"/>
      <c r="AE25" s="360"/>
      <c r="AF25" s="360"/>
      <c r="AG25" s="360"/>
      <c r="AH25" s="360"/>
    </row>
    <row r="26" ht="18.75" customHeight="1">
      <c r="A26" s="365">
        <f>IF(ARBITRAGES!E26=0,"",ARBITRAGES!E26)</f>
        <v>45558</v>
      </c>
      <c r="B26" s="375">
        <f>IF(A26="","", IF(ARBITRAGES!$H26="BTC",B25+ARBITRAGES!$K26,B25))</f>
        <v>0.2940788674</v>
      </c>
      <c r="C26" s="375">
        <f>IF(B26="","", IF(ARBITRAGES!$H26="eth",C25+ARBITRAGES!$K26,C25))</f>
        <v>3.06300708</v>
      </c>
      <c r="D26" s="376">
        <f>IF(C26="","", IF(ARBITRAGES!$H26="ton",D25+ARBITRAGES!$K26,D25))</f>
        <v>506.4060494</v>
      </c>
      <c r="E26" s="376">
        <f>IF(D26="","", IF(ARBITRAGES!$H26="sol",E25+ARBITRAGES!$K26,E25))</f>
        <v>18.0023965</v>
      </c>
      <c r="F26" s="385">
        <f>IF(E26="","", IF(ARBITRAGES!$H26="tao",F25+ARBITRAGES!$K26,F25))</f>
        <v>4.799997324</v>
      </c>
      <c r="G26" s="378">
        <f>IF(F26="","", IF(ARBITRAGES!$H26="ron",G25+ARBITRAGES!$K26,G25))</f>
        <v>700</v>
      </c>
      <c r="H26" s="378">
        <f>IF(G26="","", IF(ARBITRAGES!$H26="link",H25+ARBITRAGES!$K26,H25))</f>
        <v>100</v>
      </c>
      <c r="I26" s="378">
        <f>IF(H26="","", IF(ARBITRAGES!$H26="doge",I25+ARBITRAGES!$K26,I25))</f>
        <v>2750</v>
      </c>
      <c r="J26" s="378">
        <f>IF(I26="","", IF(ARBITRAGES!$H26="*shib*",J25+ARBITRAGES!$K26,J25))</f>
        <v>46127320</v>
      </c>
      <c r="K26" s="378">
        <f>IF(J26="","", IF(ARBITRAGES!$H26="*cake*",K25+ARBITRAGES!$K26,K25))</f>
        <v>152.51</v>
      </c>
      <c r="L26" s="378">
        <f>IF(K26="","", IF(ARBITRAGES!$H26="*jup",L25+ARBITRAGES!$K26,L25))</f>
        <v>0</v>
      </c>
      <c r="M26" s="376">
        <f>IF(L26="","", IF(ARBITRAGES!$H26="*aave*",M25+ARBITRAGES!$K26,M25))</f>
        <v>0</v>
      </c>
      <c r="N26" s="378">
        <f>IF(M26="","", IF(ARBITRAGES!$H26="*ckb*",N25+ARBITRAGES!$K26,N25))</f>
        <v>0</v>
      </c>
      <c r="O26" s="378">
        <f>IF(N26="","", IF(ARBITRAGES!$H26="*pendle*",O25+ARBITRAGES!$K26,O25))</f>
        <v>0</v>
      </c>
      <c r="P26" s="378">
        <f>IF(O26="","", IF(ARBITRAGES!$H26="BOME",P25+ARBITRAGES!$K26,P25))</f>
        <v>0</v>
      </c>
      <c r="Q26" s="378">
        <f>IF(P26="","", IF(ARBITRAGES!$H26="PEPE",Q25+ARBITRAGES!$K26,Q25))</f>
        <v>0</v>
      </c>
      <c r="R26" s="378">
        <f>IF(Q26="","", IF(ARBITRAGES!$H26="WIF",R25+ARBITRAGES!$K26,R25))</f>
        <v>0</v>
      </c>
      <c r="S26" s="378">
        <f>IF(R26="","", IF(ARBITRAGES!$H26="RAY",S25+ARBITRAGES!$K26,S25))</f>
        <v>0</v>
      </c>
      <c r="T26" s="360"/>
      <c r="U26" s="360"/>
      <c r="V26" s="360"/>
      <c r="W26" s="360"/>
      <c r="X26" s="360"/>
      <c r="Y26" s="360"/>
      <c r="Z26" s="360"/>
      <c r="AA26" s="360"/>
      <c r="AB26" s="360"/>
      <c r="AC26" s="360"/>
      <c r="AD26" s="360"/>
      <c r="AE26" s="360"/>
      <c r="AF26" s="360"/>
      <c r="AG26" s="360"/>
      <c r="AH26" s="360"/>
    </row>
    <row r="27" ht="18.75" customHeight="1">
      <c r="A27" s="365">
        <f>IF(ARBITRAGES!E27=0,"",ARBITRAGES!E27)</f>
        <v>45568</v>
      </c>
      <c r="B27" s="375">
        <f>IF(A27="","", IF(ARBITRAGES!$H27="BTC",B26+ARBITRAGES!$K27,B26))</f>
        <v>0.2940788674</v>
      </c>
      <c r="C27" s="375">
        <f>IF(B27="","", IF(ARBITRAGES!$H27="eth",C26+ARBITRAGES!$K27,C26))</f>
        <v>3.06300708</v>
      </c>
      <c r="D27" s="376">
        <f>IF(C27="","", IF(ARBITRAGES!$H27="ton",D26+ARBITRAGES!$K27,D26))</f>
        <v>506.4060494</v>
      </c>
      <c r="E27" s="376">
        <f>IF(D27="","", IF(ARBITRAGES!$H27="sol",E26+ARBITRAGES!$K27,E26))</f>
        <v>18.0023965</v>
      </c>
      <c r="F27" s="385">
        <f>IF(E27="","", IF(ARBITRAGES!$H27="tao",F26+ARBITRAGES!$K27,F26))</f>
        <v>5.199997324</v>
      </c>
      <c r="G27" s="378">
        <f>IF(F27="","", IF(ARBITRAGES!$H27="ron",G26+ARBITRAGES!$K27,G26))</f>
        <v>700</v>
      </c>
      <c r="H27" s="378">
        <f>IF(G27="","", IF(ARBITRAGES!$H27="link",H26+ARBITRAGES!$K27,H26))</f>
        <v>100</v>
      </c>
      <c r="I27" s="378">
        <f>IF(H27="","", IF(ARBITRAGES!$H27="doge",I26+ARBITRAGES!$K27,I26))</f>
        <v>2750</v>
      </c>
      <c r="J27" s="378">
        <f>IF(I27="","", IF(ARBITRAGES!$H27="*shib*",J26+ARBITRAGES!$K27,J26))</f>
        <v>46127320</v>
      </c>
      <c r="K27" s="378">
        <f>IF(J27="","", IF(ARBITRAGES!$H27="*cake*",K26+ARBITRAGES!$K27,K26))</f>
        <v>152.51</v>
      </c>
      <c r="L27" s="378">
        <f>IF(K27="","", IF(ARBITRAGES!$H27="*jup",L26+ARBITRAGES!$K27,L26))</f>
        <v>0</v>
      </c>
      <c r="M27" s="376">
        <f>IF(L27="","", IF(ARBITRAGES!$H27="*aave*",M26+ARBITRAGES!$K27,M26))</f>
        <v>0</v>
      </c>
      <c r="N27" s="378">
        <f>IF(M27="","", IF(ARBITRAGES!$H27="*ckb*",N26+ARBITRAGES!$K27,N26))</f>
        <v>0</v>
      </c>
      <c r="O27" s="378">
        <f>IF(N27="","", IF(ARBITRAGES!$H27="*pendle*",O26+ARBITRAGES!$K27,O26))</f>
        <v>0</v>
      </c>
      <c r="P27" s="378">
        <f>IF(O27="","", IF(ARBITRAGES!$H27="BOME",P26+ARBITRAGES!$K27,P26))</f>
        <v>0</v>
      </c>
      <c r="Q27" s="378">
        <f>IF(P27="","", IF(ARBITRAGES!$H27="PEPE",Q26+ARBITRAGES!$K27,Q26))</f>
        <v>0</v>
      </c>
      <c r="R27" s="378">
        <f>IF(Q27="","", IF(ARBITRAGES!$H27="WIF",R26+ARBITRAGES!$K27,R26))</f>
        <v>0</v>
      </c>
      <c r="S27" s="378">
        <f>IF(R27="","", IF(ARBITRAGES!$H27="RAY",S26+ARBITRAGES!$K27,S26))</f>
        <v>0</v>
      </c>
      <c r="T27" s="360"/>
      <c r="U27" s="360"/>
      <c r="V27" s="360"/>
      <c r="W27" s="360"/>
      <c r="X27" s="360"/>
      <c r="Y27" s="360"/>
      <c r="Z27" s="360"/>
      <c r="AA27" s="360"/>
      <c r="AB27" s="360"/>
      <c r="AC27" s="360"/>
      <c r="AD27" s="360"/>
      <c r="AE27" s="360"/>
      <c r="AF27" s="360"/>
      <c r="AG27" s="360"/>
      <c r="AH27" s="360"/>
    </row>
    <row r="28" ht="18.75" customHeight="1">
      <c r="A28" s="365">
        <f>IF(ARBITRAGES!E28=0,"",ARBITRAGES!E28)</f>
        <v>45586</v>
      </c>
      <c r="B28" s="375">
        <f>IF(A28="","", IF(ARBITRAGES!$H28="BTC",B27+ARBITRAGES!$K28,B27))</f>
        <v>0.2940788674</v>
      </c>
      <c r="C28" s="393">
        <f>IF(B28="","", IF(ARBITRAGES!$H28="eth",C27-ARBITRAGES!$K28,C27))</f>
        <v>2.799533</v>
      </c>
      <c r="D28" s="376">
        <f>IF(C28="","", IF(ARBITRAGES!$H28="ton",D27+ARBITRAGES!$K28,D27))</f>
        <v>506.4060494</v>
      </c>
      <c r="E28" s="376">
        <f>IF(D28="","", IF(ARBITRAGES!$H28="sol",E27+ARBITRAGES!$K28,E27))</f>
        <v>18.0023965</v>
      </c>
      <c r="F28" s="377">
        <f>IF(E28="","", IF(ARBITRAGES!$H28="tao",F27+ARBITRAGES!$K28,F27))</f>
        <v>5.199997324</v>
      </c>
      <c r="G28" s="378">
        <f>IF(F28="","", IF(ARBITRAGES!$H28="ron",G27+ARBITRAGES!$K28,G27))</f>
        <v>700</v>
      </c>
      <c r="H28" s="378">
        <f>IF(G28="","", IF(ARBITRAGES!$H28="link",H27+ARBITRAGES!$K28,H27))</f>
        <v>100</v>
      </c>
      <c r="I28" s="378">
        <f>IF(H28="","", IF(ARBITRAGES!$H28="doge",I27+ARBITRAGES!$K28,I27))</f>
        <v>2750</v>
      </c>
      <c r="J28" s="378">
        <f>IF(I28="","", IF(ARBITRAGES!$H28="*shib*",J27+ARBITRAGES!$K28,J27))</f>
        <v>46127320</v>
      </c>
      <c r="K28" s="378">
        <f>IF(J28="","", IF(ARBITRAGES!$H28="*cake*",K27+ARBITRAGES!$K28,K27))</f>
        <v>152.51</v>
      </c>
      <c r="L28" s="378">
        <f>IF(K28="","", IF(ARBITRAGES!$H28="*jup",L27+ARBITRAGES!$K28,L27))</f>
        <v>0</v>
      </c>
      <c r="M28" s="376">
        <f>IF(L28="","", IF(ARBITRAGES!$H28="*aave*",M27+ARBITRAGES!$K28,M27))</f>
        <v>0</v>
      </c>
      <c r="N28" s="378">
        <f>IF(M28="","", IF(ARBITRAGES!$H28="*ckb*",N27+ARBITRAGES!$K28,N27))</f>
        <v>0</v>
      </c>
      <c r="O28" s="378">
        <f>IF(N28="","", IF(ARBITRAGES!$H28="*pendle*",O27+ARBITRAGES!$K28,O27))</f>
        <v>0</v>
      </c>
      <c r="P28" s="378">
        <f>IF(O28="","", IF(ARBITRAGES!$H28="BOME",P27+ARBITRAGES!$K28,P27))</f>
        <v>0</v>
      </c>
      <c r="Q28" s="378">
        <f>IF(P28="","", IF(ARBITRAGES!$H28="PEPE",Q27+ARBITRAGES!$K28,Q27))</f>
        <v>0</v>
      </c>
      <c r="R28" s="378">
        <f>IF(Q28="","", IF(ARBITRAGES!$H28="WIF",R27+ARBITRAGES!$K28,R27))</f>
        <v>0</v>
      </c>
      <c r="S28" s="378">
        <f>IF(R28="","", IF(ARBITRAGES!$H28="RAY",S27+ARBITRAGES!$K28,S27))</f>
        <v>0</v>
      </c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</row>
    <row r="29" ht="18.75" customHeight="1">
      <c r="A29" s="365">
        <f>IF(ARBITRAGES!E29=0,"",ARBITRAGES!E29)</f>
        <v>45591</v>
      </c>
      <c r="B29" s="375">
        <f>IF(A29="","", IF(ARBITRAGES!$H29="BTC",B28+ARBITRAGES!$K29,B28))</f>
        <v>0.2940788674</v>
      </c>
      <c r="C29" s="375">
        <f>IF(B29="","", IF(ARBITRAGES!$H29="eth",C28+ARBITRAGES!$K29,C28))</f>
        <v>2.799533</v>
      </c>
      <c r="D29" s="383">
        <f>IF(C29="","", IF(ARBITRAGES!$H29="ton",D28+ARBITRAGES!$K29,D28))</f>
        <v>549.9960494</v>
      </c>
      <c r="E29" s="376">
        <f>IF(D29="","", IF(ARBITRAGES!$H29="sol",E28+ARBITRAGES!$K29,E28))</f>
        <v>18.0023965</v>
      </c>
      <c r="F29" s="377">
        <f>IF(E29="","", IF(ARBITRAGES!$H29="tao",F28+ARBITRAGES!$K29,F28))</f>
        <v>5.199997324</v>
      </c>
      <c r="G29" s="378">
        <f>IF(F29="","", IF(ARBITRAGES!$H29="ron",G28+ARBITRAGES!$K29,G28))</f>
        <v>700</v>
      </c>
      <c r="H29" s="378">
        <f>IF(G29="","", IF(ARBITRAGES!$H29="link",H28+ARBITRAGES!$K29,H28))</f>
        <v>100</v>
      </c>
      <c r="I29" s="378">
        <f>IF(H29="","", IF(ARBITRAGES!$H29="doge",I28+ARBITRAGES!$K29,I28))</f>
        <v>2750</v>
      </c>
      <c r="J29" s="378">
        <f>IF(I29="","", IF(ARBITRAGES!$H29="*shib*",J28+ARBITRAGES!$K29,J28))</f>
        <v>46127320</v>
      </c>
      <c r="K29" s="378">
        <f>IF(J29="","", IF(ARBITRAGES!$H29="*cake*",K28+ARBITRAGES!$K29,K28))</f>
        <v>152.51</v>
      </c>
      <c r="L29" s="378">
        <f>IF(K29="","", IF(ARBITRAGES!$H29="*jup",L28+ARBITRAGES!$K29,L28))</f>
        <v>0</v>
      </c>
      <c r="M29" s="376">
        <f>IF(L29="","", IF(ARBITRAGES!$H29="*aave*",M28+ARBITRAGES!$K29,M28))</f>
        <v>0</v>
      </c>
      <c r="N29" s="378">
        <f>IF(M29="","", IF(ARBITRAGES!$H29="*ckb*",N28+ARBITRAGES!$K29,N28))</f>
        <v>0</v>
      </c>
      <c r="O29" s="378">
        <f>IF(N29="","", IF(ARBITRAGES!$H29="*pendle*",O28+ARBITRAGES!$K29,O28))</f>
        <v>0</v>
      </c>
      <c r="P29" s="378">
        <f>IF(O29="","", IF(ARBITRAGES!$H29="BOME",P28+ARBITRAGES!$K29,P28))</f>
        <v>0</v>
      </c>
      <c r="Q29" s="378">
        <f>IF(P29="","", IF(ARBITRAGES!$H29="PEPE",Q28+ARBITRAGES!$K29,Q28))</f>
        <v>0</v>
      </c>
      <c r="R29" s="378">
        <f>IF(Q29="","", IF(ARBITRAGES!$H29="WIF",R28+ARBITRAGES!$K29,R28))</f>
        <v>0</v>
      </c>
      <c r="S29" s="378">
        <f>IF(R29="","", IF(ARBITRAGES!$H29="RAY",S28+ARBITRAGES!$K29,S28))</f>
        <v>0</v>
      </c>
      <c r="T29" s="360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/>
      <c r="AH29" s="360"/>
    </row>
    <row r="30" ht="18.75" customHeight="1">
      <c r="A30" s="365">
        <f>IF(ARBITRAGES!E30=0,"",ARBITRAGES!E30)</f>
        <v>45594</v>
      </c>
      <c r="B30" s="375">
        <f>IF(A30="","", IF(ARBITRAGES!$H30="BTC",B29+ARBITRAGES!$K30,B29))</f>
        <v>0.2940788674</v>
      </c>
      <c r="C30" s="375">
        <f>IF(B30="","", IF(ARBITRAGES!$H30="eth",C29+ARBITRAGES!$K30,C29))</f>
        <v>2.799533</v>
      </c>
      <c r="D30" s="376">
        <f>IF(C30="","", IF(ARBITRAGES!$H30="ton",D29+ARBITRAGES!$K30,D29))</f>
        <v>549.9960494</v>
      </c>
      <c r="E30" s="392">
        <f>IF(D30="","", IF(ARBITRAGES!$H30="sol",E29-ARBITRAGES!$K30,E29))</f>
        <v>16.99879378</v>
      </c>
      <c r="F30" s="377">
        <f>IF(E30="","", IF(ARBITRAGES!$H30="tao",F29+ARBITRAGES!$K30,F29))</f>
        <v>5.199997324</v>
      </c>
      <c r="G30" s="378">
        <f>IF(F30="","", IF(ARBITRAGES!$H30="ron",G29+ARBITRAGES!$K30,G29))</f>
        <v>700</v>
      </c>
      <c r="H30" s="378">
        <f>IF(G30="","", IF(ARBITRAGES!$H30="link",H29+ARBITRAGES!$K30,H29))</f>
        <v>100</v>
      </c>
      <c r="I30" s="378">
        <f>IF(H30="","", IF(ARBITRAGES!$H30="doge",I29+ARBITRAGES!$K30,I29))</f>
        <v>2750</v>
      </c>
      <c r="J30" s="378">
        <f>IF(I30="","", IF(ARBITRAGES!$H30="*shib*",J29+ARBITRAGES!$K30,J29))</f>
        <v>46127320</v>
      </c>
      <c r="K30" s="378">
        <f>IF(J30="","", IF(ARBITRAGES!$H30="*cake*",K29+ARBITRAGES!$K30,K29))</f>
        <v>152.51</v>
      </c>
      <c r="L30" s="378">
        <f>IF(K30="","", IF(ARBITRAGES!$H30="*jup",L29+ARBITRAGES!$K30,L29))</f>
        <v>0</v>
      </c>
      <c r="M30" s="376">
        <f>IF(L30="","", IF(ARBITRAGES!$H30="*aave*",M29+ARBITRAGES!$K30,M29))</f>
        <v>0</v>
      </c>
      <c r="N30" s="378">
        <f>IF(M30="","", IF(ARBITRAGES!$H30="*ckb*",N29+ARBITRAGES!$K30,N29))</f>
        <v>0</v>
      </c>
      <c r="O30" s="378">
        <f>IF(N30="","", IF(ARBITRAGES!$H30="*pendle*",O29+ARBITRAGES!$K30,O29))</f>
        <v>0</v>
      </c>
      <c r="P30" s="378">
        <f>IF(O30="","", IF(ARBITRAGES!$H30="BOME",P29+ARBITRAGES!$K30,P29))</f>
        <v>0</v>
      </c>
      <c r="Q30" s="378">
        <f>IF(P30="","", IF(ARBITRAGES!$H30="PEPE",Q29+ARBITRAGES!$K30,Q29))</f>
        <v>0</v>
      </c>
      <c r="R30" s="378">
        <f>IF(Q30="","", IF(ARBITRAGES!$H30="WIF",R29+ARBITRAGES!$K30,R29))</f>
        <v>0</v>
      </c>
      <c r="S30" s="378">
        <f>IF(R30="","", IF(ARBITRAGES!$H30="RAY",S29+ARBITRAGES!$K30,S29))</f>
        <v>0</v>
      </c>
      <c r="T30" s="360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</row>
    <row r="31" ht="18.75" customHeight="1">
      <c r="A31" s="365">
        <f>IF(ARBITRAGES!E31=0,"",ARBITRAGES!E31)</f>
        <v>45595</v>
      </c>
      <c r="B31" s="375">
        <f>IF(A31="","", IF(ARBITRAGES!$H31="BTC",B30+ARBITRAGES!$K31,B30))</f>
        <v>0.2940788674</v>
      </c>
      <c r="C31" s="375">
        <f>IF(B31="","", IF(ARBITRAGES!$H31="eth",C30+ARBITRAGES!$K31,C30))</f>
        <v>2.799533</v>
      </c>
      <c r="D31" s="376">
        <f>IF(C31="","", IF(ARBITRAGES!$H31="ton",D30+ARBITRAGES!$K31,D30))</f>
        <v>549.9960494</v>
      </c>
      <c r="E31" s="376">
        <f>IF(D31="","", IF(ARBITRAGES!$H31="sol",E30+ARBITRAGES!$K31,E30))</f>
        <v>16.99879378</v>
      </c>
      <c r="F31" s="385">
        <f>IF(E31="","", IF(ARBITRAGES!$H31="tao",F30+ARBITRAGES!$K31,F30))</f>
        <v>5.949997324</v>
      </c>
      <c r="G31" s="378">
        <f>IF(F31="","", IF(ARBITRAGES!$H31="ron",G30+ARBITRAGES!$K31,G30))</f>
        <v>700</v>
      </c>
      <c r="H31" s="378">
        <f>IF(G31="","", IF(ARBITRAGES!$H31="link",H30+ARBITRAGES!$K31,H30))</f>
        <v>100</v>
      </c>
      <c r="I31" s="378">
        <f>IF(H31="","", IF(ARBITRAGES!$H31="doge",I30+ARBITRAGES!$K31,I30))</f>
        <v>2750</v>
      </c>
      <c r="J31" s="378">
        <f>IF(I31="","", IF(ARBITRAGES!$H31="*shib*",J30+ARBITRAGES!$K31,J30))</f>
        <v>46127320</v>
      </c>
      <c r="K31" s="378">
        <f>IF(J31="","", IF(ARBITRAGES!$H31="*cake*",K30+ARBITRAGES!$K31,K30))</f>
        <v>152.51</v>
      </c>
      <c r="L31" s="378">
        <f>IF(K31="","", IF(ARBITRAGES!$H31="*jup",L30+ARBITRAGES!$K31,L30))</f>
        <v>0</v>
      </c>
      <c r="M31" s="376">
        <f>IF(L31="","", IF(ARBITRAGES!$H31="*aave*",M30+ARBITRAGES!$K31,M30))</f>
        <v>0</v>
      </c>
      <c r="N31" s="378">
        <f>IF(M31="","", IF(ARBITRAGES!$H31="*ckb*",N30+ARBITRAGES!$K31,N30))</f>
        <v>0</v>
      </c>
      <c r="O31" s="378">
        <f>IF(N31="","", IF(ARBITRAGES!$H31="*pendle*",O30+ARBITRAGES!$K31,O30))</f>
        <v>0</v>
      </c>
      <c r="P31" s="378">
        <f>IF(O31="","", IF(ARBITRAGES!$H31="BOME",P30+ARBITRAGES!$K31,P30))</f>
        <v>0</v>
      </c>
      <c r="Q31" s="378">
        <f>IF(P31="","", IF(ARBITRAGES!$H31="PEPE",Q30+ARBITRAGES!$K31,Q30))</f>
        <v>0</v>
      </c>
      <c r="R31" s="378">
        <f>IF(Q31="","", IF(ARBITRAGES!$H31="WIF",R30+ARBITRAGES!$K31,R30))</f>
        <v>0</v>
      </c>
      <c r="S31" s="378">
        <f>IF(R31="","", IF(ARBITRAGES!$H31="RAY",S30+ARBITRAGES!$K31,S30))</f>
        <v>0</v>
      </c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/>
      <c r="AH31" s="360"/>
    </row>
    <row r="32" ht="18.75" customHeight="1">
      <c r="A32" s="365">
        <f>IF(ARBITRAGES!E32=0,"",ARBITRAGES!E32)</f>
        <v>45598</v>
      </c>
      <c r="B32" s="375">
        <f>IF(A32="","", IF(ARBITRAGES!$H32="BTC",B31+ARBITRAGES!$K32,B31))</f>
        <v>0.2940788674</v>
      </c>
      <c r="C32" s="375">
        <f>IF(B32="","", IF(ARBITRAGES!$H32="eth",C31+ARBITRAGES!$K32,C31))</f>
        <v>2.799533</v>
      </c>
      <c r="D32" s="376">
        <f>IF(C32="","", IF(ARBITRAGES!$H32="ton",D31+ARBITRAGES!$K32,D31))</f>
        <v>549.9960494</v>
      </c>
      <c r="E32" s="376">
        <f>IF(D32="","", IF(ARBITRAGES!$H32="sol",E31+ARBITRAGES!$K32,E31))</f>
        <v>16.99879378</v>
      </c>
      <c r="F32" s="377">
        <f>IF(E32="","", IF(ARBITRAGES!$H32="tao",F31+ARBITRAGES!$K32,F31))</f>
        <v>5.949997324</v>
      </c>
      <c r="G32" s="378">
        <f>IF(F32="","", IF(ARBITRAGES!$H32="ron",G31+ARBITRAGES!$K32,G31))</f>
        <v>700</v>
      </c>
      <c r="H32" s="378">
        <f>IF(G32="","", IF(ARBITRAGES!$H32="link",H31+ARBITRAGES!$K32,H31))</f>
        <v>100</v>
      </c>
      <c r="I32" s="378">
        <f>IF(H32="","", IF(ARBITRAGES!$H32="doge",I31+ARBITRAGES!$K32,I31))</f>
        <v>2750</v>
      </c>
      <c r="J32" s="378">
        <f>IF(I32="","", IF(ARBITRAGES!$H32="*shib*",J31+ARBITRAGES!$K32,J31))</f>
        <v>46127320</v>
      </c>
      <c r="K32" s="378">
        <f>IF(J32="","", IF(ARBITRAGES!$H32="*cake*",K31+ARBITRAGES!$K32,K31))</f>
        <v>152.51</v>
      </c>
      <c r="L32" s="389">
        <f>IF(K32="","", IF(ARBITRAGES!$H32="JUP",L31+ARBITRAGES!$K32,L31))</f>
        <v>825</v>
      </c>
      <c r="M32" s="376">
        <f>IF(L32="","", IF(ARBITRAGES!$H32="*aave*",M31+ARBITRAGES!$K32,M31))</f>
        <v>0</v>
      </c>
      <c r="N32" s="378">
        <f>IF(M32="","", IF(ARBITRAGES!$H32="*ckb*",N31+ARBITRAGES!$K32,N31))</f>
        <v>0</v>
      </c>
      <c r="O32" s="378">
        <f>IF(N32="","", IF(ARBITRAGES!$H32="*pendle*",O31+ARBITRAGES!$K32,O31))</f>
        <v>0</v>
      </c>
      <c r="P32" s="378">
        <f>IF(O32="","", IF(ARBITRAGES!$H32="BOME",P31+ARBITRAGES!$K32,P31))</f>
        <v>0</v>
      </c>
      <c r="Q32" s="378">
        <f>IF(P32="","", IF(ARBITRAGES!$H32="PEPE",Q31+ARBITRAGES!$K32,Q31))</f>
        <v>0</v>
      </c>
      <c r="R32" s="378">
        <f>IF(Q32="","", IF(ARBITRAGES!$H32="WIF",R31+ARBITRAGES!$K32,R31))</f>
        <v>0</v>
      </c>
      <c r="S32" s="378">
        <f>IF(R32="","", IF(ARBITRAGES!$H32="RAY",S31+ARBITRAGES!$K32,S31))</f>
        <v>0</v>
      </c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/>
      <c r="AH32" s="360"/>
    </row>
    <row r="33" ht="18.75" customHeight="1">
      <c r="A33" s="365">
        <f>IF(ARBITRAGES!E33=0,"",ARBITRAGES!E33)</f>
        <v>45599</v>
      </c>
      <c r="B33" s="375">
        <f>IF(A33="","", IF(ARBITRAGES!$H33="BTC",B32+ARBITRAGES!$K33,B32))</f>
        <v>0.2940788674</v>
      </c>
      <c r="C33" s="375">
        <f>IF(B33="","", IF(ARBITRAGES!$H33="eth",C32+ARBITRAGES!$K33,C32))</f>
        <v>2.799533</v>
      </c>
      <c r="D33" s="376">
        <f>IF(C33="","", IF(ARBITRAGES!$H33="ton",D32+ARBITRAGES!$K33,D32))</f>
        <v>549.9960494</v>
      </c>
      <c r="E33" s="376">
        <f>IF(D33="","", IF(ARBITRAGES!$H33="sol",E32+ARBITRAGES!$K33,E32))</f>
        <v>16.99879378</v>
      </c>
      <c r="F33" s="377">
        <f>IF(E33="","", IF(ARBITRAGES!$H33="tao",F32+ARBITRAGES!$K33,F32))</f>
        <v>5.949997324</v>
      </c>
      <c r="G33" s="378">
        <f>IF(F33="","", IF(ARBITRAGES!$H33="ron",G32+ARBITRAGES!$K33,G32))</f>
        <v>700</v>
      </c>
      <c r="H33" s="378">
        <f>IF(G33="","", IF(ARBITRAGES!$H33="link",H32+ARBITRAGES!$K33,H32))</f>
        <v>100</v>
      </c>
      <c r="I33" s="378">
        <f>IF(H33="","", IF(ARBITRAGES!$H33="doge",I32+ARBITRAGES!$K33,I32))</f>
        <v>2750</v>
      </c>
      <c r="J33" s="378">
        <f>IF(I33="","", IF(ARBITRAGES!$H33="*shib*",J32+ARBITRAGES!$K33,J32))</f>
        <v>46127320</v>
      </c>
      <c r="K33" s="378">
        <f>IF(J33="","", IF(ARBITRAGES!$H33="*cake*",K32+ARBITRAGES!$K33,K32))</f>
        <v>152.51</v>
      </c>
      <c r="L33" s="394">
        <f>IF(K33="","", IF(ARBITRAGES!$H33="JUP",L32-ARBITRAGES!$K33,L32))</f>
        <v>350</v>
      </c>
      <c r="M33" s="376">
        <f>IF(L33="","", IF(ARBITRAGES!$H33="*aave*",M32+ARBITRAGES!$K33,M32))</f>
        <v>0</v>
      </c>
      <c r="N33" s="378">
        <f>IF(M33="","", IF(ARBITRAGES!$H33="*ckb*",N32+ARBITRAGES!$K33,N32))</f>
        <v>0</v>
      </c>
      <c r="O33" s="378">
        <f>IF(N33="","", IF(ARBITRAGES!$H33="*pendle*",O32+ARBITRAGES!$K33,O32))</f>
        <v>0</v>
      </c>
      <c r="P33" s="378">
        <f>IF(O33="","", IF(ARBITRAGES!$H33="BOME",P32+ARBITRAGES!$K33,P32))</f>
        <v>0</v>
      </c>
      <c r="Q33" s="378">
        <f>IF(P33="","", IF(ARBITRAGES!$H33="PEPE",Q32+ARBITRAGES!$K33,Q32))</f>
        <v>0</v>
      </c>
      <c r="R33" s="378">
        <f>IF(Q33="","", IF(ARBITRAGES!$H33="WIF",R32+ARBITRAGES!$K33,R32))</f>
        <v>0</v>
      </c>
      <c r="S33" s="378">
        <f>IF(R33="","", IF(ARBITRAGES!$H33="RAY",S32+ARBITRAGES!$K33,S32))</f>
        <v>0</v>
      </c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</row>
    <row r="34" ht="18.75" customHeight="1">
      <c r="A34" s="365">
        <f>IF(ARBITRAGES!E34=0,"",ARBITRAGES!E34)</f>
        <v>45602</v>
      </c>
      <c r="B34" s="375">
        <f>IF(A34="","", IF(ARBITRAGES!$H34="BTC",B33+ARBITRAGES!$K34,B33+0.00001))</f>
        <v>0.2940888674</v>
      </c>
      <c r="C34" s="375">
        <f>IF(B34="","", IF(ARBITRAGES!$H34="eth",C33+ARBITRAGES!$K34+0,C33+0.00211))</f>
        <v>2.801643</v>
      </c>
      <c r="D34" s="376">
        <f>IF(C34="","", IF(ARBITRAGES!$H34="ton",D33+ARBITRAGES!$K34,D33+0.1355))</f>
        <v>550.1315494</v>
      </c>
      <c r="E34" s="392">
        <f>IF(D34="","", IF(ARBITRAGES!$H34="sol",E33-ARBITRAGES!$K34,E33+0.0263))</f>
        <v>12.99879378</v>
      </c>
      <c r="F34" s="377">
        <f>IF(E34="","", IF(ARBITRAGES!$H34="tao",F33+ARBITRAGES!$K34,F33++0.001145))</f>
        <v>5.951142324</v>
      </c>
      <c r="G34" s="378">
        <f>IF(F34="","", IF(ARBITRAGES!$H34="ron",G33+ARBITRAGES!$K34,G33+0.274))</f>
        <v>700.274</v>
      </c>
      <c r="H34" s="378">
        <f>IF(G34="","", IF(ARBITRAGES!$H34="link",H33+ARBITRAGES!$K34,H33))</f>
        <v>100</v>
      </c>
      <c r="I34" s="378">
        <f>IF(H34="","", IF(ARBITRAGES!$H34="doge",I33+ARBITRAGES!$K34,I33))</f>
        <v>2750</v>
      </c>
      <c r="J34" s="378">
        <f>IF(I34="","", IF(ARBITRAGES!$H34="*shib*",J33+ARBITRAGES!$K34,J33+0.29))</f>
        <v>46127320.29</v>
      </c>
      <c r="K34" s="376">
        <f>IF(J34="","", IF(ARBITRAGES!$H34="*cake*",K33+ARBITRAGES!$K34,K33+0.0033))</f>
        <v>152.5133</v>
      </c>
      <c r="L34" s="378">
        <f>IF(K34="","", IF(ARBITRAGES!$H34="JUP",L33+ARBITRAGES!$K34,L33+0.1754))</f>
        <v>350.1754</v>
      </c>
      <c r="M34" s="376">
        <f>IF(L34="","", IF(ARBITRAGES!$H34="*aave*",M33+ARBITRAGES!$K34,M33))</f>
        <v>0</v>
      </c>
      <c r="N34" s="378">
        <f>IF(M34="","", IF(ARBITRAGES!$H34="*ckb*",N33+ARBITRAGES!$K34,N33))</f>
        <v>0</v>
      </c>
      <c r="O34" s="378">
        <f>IF(N34="","", IF(ARBITRAGES!$H34="*pendle*",O33+ARBITRAGES!$K34,O33))</f>
        <v>0</v>
      </c>
      <c r="P34" s="378">
        <f>IF(O34="","", IF(ARBITRAGES!$H34="BOME",P33+ARBITRAGES!$K34,P33))</f>
        <v>0</v>
      </c>
      <c r="Q34" s="378">
        <f>IF(P34="","", IF(ARBITRAGES!$H34="PEPE",Q33+ARBITRAGES!$K34,Q33))</f>
        <v>0</v>
      </c>
      <c r="R34" s="378">
        <f>IF(Q34="","", IF(ARBITRAGES!$H34="WIF",R33+ARBITRAGES!$K34,R33))</f>
        <v>0</v>
      </c>
      <c r="S34" s="378">
        <f>IF(R34="","", IF(ARBITRAGES!$H34="RAY",S33+ARBITRAGES!$K34,S33))</f>
        <v>0</v>
      </c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</row>
    <row r="35" ht="18.75" customHeight="1">
      <c r="A35" s="365">
        <f>IF(ARBITRAGES!E35=0,"",ARBITRAGES!E35)</f>
        <v>45606</v>
      </c>
      <c r="B35" s="375">
        <f>IF(A35="","", IF(ARBITRAGES!$H35="BTC",B34+ARBITRAGES!$K35,B34))</f>
        <v>0.2940888674</v>
      </c>
      <c r="C35" s="375">
        <f>IF(B35="","", IF(ARBITRAGES!$H35="eth",C34+ARBITRAGES!$K35,C34))</f>
        <v>2.801643</v>
      </c>
      <c r="D35" s="376">
        <f>IF(C35="","", IF(ARBITRAGES!$H35="ton",D34+ARBITRAGES!$K35,D34))</f>
        <v>550.1315494</v>
      </c>
      <c r="E35" s="376">
        <f>IF(D35="","", IF(ARBITRAGES!$H35="sol",E34+ARBITRAGES!$K35,E34))</f>
        <v>12.99879378</v>
      </c>
      <c r="F35" s="377">
        <f>IF(E35="","", IF(ARBITRAGES!$H35="tao",F34+ARBITRAGES!$K35,F34))</f>
        <v>5.951142324</v>
      </c>
      <c r="G35" s="378">
        <f>IF(F35="","", IF(ARBITRAGES!$H35="ron",G34+ARBITRAGES!$K35,G34))</f>
        <v>700.274</v>
      </c>
      <c r="H35" s="378">
        <f>IF(G35="","", IF(ARBITRAGES!$H35="link",H34+ARBITRAGES!$K35,H34))</f>
        <v>100</v>
      </c>
      <c r="I35" s="378">
        <f>IF(H35="","", IF(ARBITRAGES!$H35="doge",I34+ARBITRAGES!$K35,I34))</f>
        <v>2750</v>
      </c>
      <c r="J35" s="394">
        <f>IF(I35="","", IF(ARBITRAGES!$H35="shib",J34-ARBITRAGES!$K35,J34))</f>
        <v>34999962.71</v>
      </c>
      <c r="K35" s="378">
        <f>IF(J35="","", IF(ARBITRAGES!$H35="*cake*",K34+ARBITRAGES!$K35,K34))</f>
        <v>152.5133</v>
      </c>
      <c r="L35" s="378">
        <f>IF(K35="","", IF(ARBITRAGES!$H35="JUP",L34+ARBITRAGES!$K35,L34))</f>
        <v>350.1754</v>
      </c>
      <c r="M35" s="376">
        <f>IF(L35="","", IF(ARBITRAGES!$H35="*aave*",M34+ARBITRAGES!$K35,M34))</f>
        <v>0</v>
      </c>
      <c r="N35" s="378">
        <f>IF(M35="","", IF(ARBITRAGES!$H35="*ckb*",N34+ARBITRAGES!$K35,N34))</f>
        <v>0</v>
      </c>
      <c r="O35" s="378">
        <f>IF(N35="","", IF(ARBITRAGES!$H35="*pendle*",O34+ARBITRAGES!$K35,O34))</f>
        <v>0</v>
      </c>
      <c r="P35" s="378">
        <f>IF(O35="","", IF(ARBITRAGES!$H35="BOME",P34+ARBITRAGES!$K35,P34))</f>
        <v>0</v>
      </c>
      <c r="Q35" s="378">
        <f>IF(P35="","", IF(ARBITRAGES!$H35="PEPE",Q34+ARBITRAGES!$K35,Q34))</f>
        <v>0</v>
      </c>
      <c r="R35" s="378">
        <f>IF(Q35="","", IF(ARBITRAGES!$H35="WIF",R34+ARBITRAGES!$K35,R34))</f>
        <v>0</v>
      </c>
      <c r="S35" s="378">
        <f>IF(R35="","", IF(ARBITRAGES!$H35="RAY",S34+ARBITRAGES!$K35,S34))</f>
        <v>0</v>
      </c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</row>
    <row r="36" ht="18.75" customHeight="1">
      <c r="A36" s="365">
        <f>IF(ARBITRAGES!E36=0,"",ARBITRAGES!E36)</f>
        <v>45576</v>
      </c>
      <c r="B36" s="375">
        <f>IF(A36="","", IF(ARBITRAGES!$H36="BTC",B35+ARBITRAGES!$K36,B35))</f>
        <v>0.2940888674</v>
      </c>
      <c r="C36" s="375">
        <f>IF(B36="","", IF(ARBITRAGES!$H36="eth",C35+ARBITRAGES!$K36,C35))</f>
        <v>2.801643</v>
      </c>
      <c r="D36" s="376">
        <f>IF(C36="","", IF(ARBITRAGES!$H36="ton",D35+ARBITRAGES!$K36,D35))</f>
        <v>550.1315494</v>
      </c>
      <c r="E36" s="376">
        <f>IF(D36="","", IF(ARBITRAGES!$H36="sol",E35+ARBITRAGES!$K36,E35))</f>
        <v>12.99879378</v>
      </c>
      <c r="F36" s="377">
        <f>IF(E36="","", IF(ARBITRAGES!$H36="tao",F35+ARBITRAGES!$K36,F35))</f>
        <v>5.951142324</v>
      </c>
      <c r="G36" s="378">
        <f>IF(F36="","", IF(ARBITRAGES!$H36="ron",G35+ARBITRAGES!$K36,G35))</f>
        <v>700.274</v>
      </c>
      <c r="H36" s="378">
        <f>IF(G36="","", IF(ARBITRAGES!$H36="link",H35+ARBITRAGES!$K36,H35))</f>
        <v>100</v>
      </c>
      <c r="I36" s="394">
        <f>IF(H36="","", IF(ARBITRAGES!$H36="doge",I35-ARBITRAGES!$K36,I35))</f>
        <v>1750</v>
      </c>
      <c r="J36" s="378">
        <f>IF(I36="","", IF(ARBITRAGES!$H36="*shib*",J35+ARBITRAGES!$K36,J35))</f>
        <v>34999962.71</v>
      </c>
      <c r="K36" s="378">
        <f>IF(J36="","", IF(ARBITRAGES!$H36="*cake*",K35+ARBITRAGES!$K36,K35))</f>
        <v>152.5133</v>
      </c>
      <c r="L36" s="378">
        <f>IF(K36="","", IF(ARBITRAGES!$H36="JUP",L35+ARBITRAGES!$K36,L35))</f>
        <v>350.1754</v>
      </c>
      <c r="M36" s="376">
        <f>IF(L36="","", IF(ARBITRAGES!$H36="*aave*",M35+ARBITRAGES!$K36,M35))</f>
        <v>0</v>
      </c>
      <c r="N36" s="378">
        <f>IF(M36="","", IF(ARBITRAGES!$H36="*ckb*",N35+ARBITRAGES!$K36,N35))</f>
        <v>0</v>
      </c>
      <c r="O36" s="378">
        <f>IF(N36="","", IF(ARBITRAGES!$H36="*pendle*",O35+ARBITRAGES!$K36,O35))</f>
        <v>0</v>
      </c>
      <c r="P36" s="378">
        <f>IF(O36="","", IF(ARBITRAGES!$H36="BOME",P35+ARBITRAGES!$K36,P35))</f>
        <v>0</v>
      </c>
      <c r="Q36" s="378">
        <f>IF(P36="","", IF(ARBITRAGES!$H36="PEPE",Q35+ARBITRAGES!$K36,Q35))</f>
        <v>0</v>
      </c>
      <c r="R36" s="378">
        <f>IF(Q36="","", IF(ARBITRAGES!$H36="WIF",R35+ARBITRAGES!$K36,R35))</f>
        <v>0</v>
      </c>
      <c r="S36" s="378">
        <f>IF(R36="","", IF(ARBITRAGES!$H36="RAY",S35+ARBITRAGES!$K36,S35))</f>
        <v>0</v>
      </c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</row>
    <row r="37" ht="18.75" customHeight="1">
      <c r="A37" s="365">
        <f>IF(ARBITRAGES!E37=0,"",ARBITRAGES!E37)</f>
        <v>45608</v>
      </c>
      <c r="B37" s="393">
        <f>IF(A37="","", IF(ARBITRAGES!$H37="BTC",B36-ARBITRAGES!$K37,B36))</f>
        <v>0.2799971974</v>
      </c>
      <c r="C37" s="375">
        <f>IF(B37="","", IF(ARBITRAGES!$H37="eth",C36+ARBITRAGES!$K37,C36))</f>
        <v>2.801643</v>
      </c>
      <c r="D37" s="376">
        <f>IF(C37="","", IF(ARBITRAGES!$H37="ton",D36+ARBITRAGES!$K37,D36))</f>
        <v>550.1315494</v>
      </c>
      <c r="E37" s="376">
        <f>IF(D37="","", IF(ARBITRAGES!$H37="sol",E36+ARBITRAGES!$K37,E36))</f>
        <v>12.99879378</v>
      </c>
      <c r="F37" s="377">
        <f>IF(E37="","", IF(ARBITRAGES!$H37="tao",F36+ARBITRAGES!$K37,F36))</f>
        <v>5.951142324</v>
      </c>
      <c r="G37" s="378">
        <f>IF(F37="","", IF(ARBITRAGES!$H37="ron",G36+ARBITRAGES!$K37,G36))</f>
        <v>700.274</v>
      </c>
      <c r="H37" s="378">
        <f>IF(G37="","", IF(ARBITRAGES!$H37="link",H36+ARBITRAGES!$K37,H36))</f>
        <v>100</v>
      </c>
      <c r="I37" s="378">
        <f>IF(H37="","", IF(ARBITRAGES!$H37="doge",I36+ARBITRAGES!$K37,I36))</f>
        <v>1750</v>
      </c>
      <c r="J37" s="378">
        <f>IF(I37="","", IF(ARBITRAGES!$H37="*shib*",J36+ARBITRAGES!$K37,J36))</f>
        <v>34999962.71</v>
      </c>
      <c r="K37" s="378">
        <f>IF(J37="","", IF(ARBITRAGES!$H37="*cake*",K36+ARBITRAGES!$K37,K36))</f>
        <v>152.5133</v>
      </c>
      <c r="L37" s="378">
        <f>IF(K37="","", IF(ARBITRAGES!$H37="JUP",L36+ARBITRAGES!$K37,L36))</f>
        <v>350.1754</v>
      </c>
      <c r="M37" s="376">
        <f>IF(L37="","", IF(ARBITRAGES!$H37="*aave*",M36+ARBITRAGES!$K37,M36))</f>
        <v>0</v>
      </c>
      <c r="N37" s="378">
        <f>IF(M37="","", IF(ARBITRAGES!$H37="*ckb*",N36+ARBITRAGES!$K37,N36))</f>
        <v>0</v>
      </c>
      <c r="O37" s="378">
        <f>IF(N37="","", IF(ARBITRAGES!$H37="*pendle*",O36+ARBITRAGES!$K37,O36))</f>
        <v>0</v>
      </c>
      <c r="P37" s="378">
        <f>IF(O37="","", IF(ARBITRAGES!$H37="BOME",P36+ARBITRAGES!$K37,P36))</f>
        <v>0</v>
      </c>
      <c r="Q37" s="378">
        <f>IF(P37="","", IF(ARBITRAGES!$H37="PEPE",Q36+ARBITRAGES!$K37,Q36))</f>
        <v>0</v>
      </c>
      <c r="R37" s="378">
        <f>IF(Q37="","", IF(ARBITRAGES!$H37="WIF",R36+ARBITRAGES!$K37,R36))</f>
        <v>0</v>
      </c>
      <c r="S37" s="378">
        <f>IF(R37="","", IF(ARBITRAGES!$H37="RAY",S36+ARBITRAGES!$K37,S36))</f>
        <v>0</v>
      </c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</row>
    <row r="38" ht="18.75" customHeight="1">
      <c r="A38" s="365">
        <f>IF(ARBITRAGES!E38=0,"",ARBITRAGES!E38)</f>
        <v>45609</v>
      </c>
      <c r="B38" s="375">
        <f>IF(A38="","", IF(ARBITRAGES!$H38="BTC",B37+ARBITRAGES!$K38,B37))</f>
        <v>0.2799971974</v>
      </c>
      <c r="C38" s="375">
        <f>IF(B38="","", IF(ARBITRAGES!$H38="eth",C37+ARBITRAGES!$K38,C37))</f>
        <v>2.801643</v>
      </c>
      <c r="D38" s="376">
        <f>IF(C38="","", IF(ARBITRAGES!$H38="ton",D37+ARBITRAGES!$K38,D37))</f>
        <v>550.1315494</v>
      </c>
      <c r="E38" s="376">
        <f>IF(D38="","", IF(ARBITRAGES!$H38="sol",E37+ARBITRAGES!$K38,E37))</f>
        <v>12.99879378</v>
      </c>
      <c r="F38" s="377">
        <f>IF(E38="","", IF(ARBITRAGES!$H38="tao",F37+ARBITRAGES!$K38,F37))</f>
        <v>5.951142324</v>
      </c>
      <c r="G38" s="378">
        <f>IF(F38="","", IF(ARBITRAGES!$H38="ron",G37+ARBITRAGES!$K38,G37))</f>
        <v>700.274</v>
      </c>
      <c r="H38" s="378">
        <f>IF(G38="","", IF(ARBITRAGES!$H38="link",H37+ARBITRAGES!$K38,H37))</f>
        <v>100</v>
      </c>
      <c r="I38" s="378">
        <f>IF(H38="","", IF(ARBITRAGES!$H38="doge",I37+ARBITRAGES!$K38,I37))</f>
        <v>1750</v>
      </c>
      <c r="J38" s="378">
        <f>IF(I38="","", IF(ARBITRAGES!$H38="shib",J37+ARBITRAGES!$K38,J37))</f>
        <v>34999962.71</v>
      </c>
      <c r="K38" s="378">
        <f>IF(J38="","", IF(ARBITRAGES!$H38="*cake*",K37+ARBITRAGES!$K38,K37))</f>
        <v>152.5133</v>
      </c>
      <c r="L38" s="378">
        <f>IF(K38="","", IF(ARBITRAGES!$H38="JUP",L37+ARBITRAGES!$K38,L37))</f>
        <v>350.1754</v>
      </c>
      <c r="M38" s="376">
        <f>IF(L38="","", IF(ARBITRAGES!$H38="aave",M37+ARBITRAGES!$K38,M37))</f>
        <v>0</v>
      </c>
      <c r="N38" s="389">
        <f>IF(M38="","", IF(ARBITRAGES!$H38="ckb",N37+ARBITRAGES!$K38,N37))</f>
        <v>60000</v>
      </c>
      <c r="O38" s="378">
        <f>IF(N38="","", IF(ARBITRAGES!$H38="pendle",O37+ARBITRAGES!$K38,O37))</f>
        <v>0</v>
      </c>
      <c r="P38" s="378">
        <f>IF(O38="","", IF(ARBITRAGES!$H38="BOME",P37+ARBITRAGES!$K38,P37))</f>
        <v>0</v>
      </c>
      <c r="Q38" s="378">
        <f>IF(P38="","", IF(ARBITRAGES!$H38="PEPE",Q37+ARBITRAGES!$K38,Q37))</f>
        <v>0</v>
      </c>
      <c r="R38" s="378">
        <f>IF(Q38="","", IF(ARBITRAGES!$H38="WIF",R37+ARBITRAGES!$K38,R37))</f>
        <v>0</v>
      </c>
      <c r="S38" s="378">
        <f>IF(R38="","", IF(ARBITRAGES!$H38="RAY",S37+ARBITRAGES!$K38,S37))</f>
        <v>0</v>
      </c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</row>
    <row r="39" ht="18.75" customHeight="1">
      <c r="A39" s="365">
        <f>IF(ARBITRAGES!E39=0,"",ARBITRAGES!E39)</f>
        <v>45609</v>
      </c>
      <c r="B39" s="375">
        <f>IF(A39="","", IF(ARBITRAGES!$H39="BTC",B38+ARBITRAGES!$K39,B38))</f>
        <v>0.2799971974</v>
      </c>
      <c r="C39" s="375">
        <f>IF(B39="","", IF(ARBITRAGES!$H39="eth",C38+ARBITRAGES!$K39,C38))</f>
        <v>2.801643</v>
      </c>
      <c r="D39" s="376">
        <f>IF(C39="","", IF(ARBITRAGES!$H39="ton",D38+ARBITRAGES!$K39,D38))</f>
        <v>550.1315494</v>
      </c>
      <c r="E39" s="376">
        <f>IF(D39="","", IF(ARBITRAGES!$H39="sol",E38+ARBITRAGES!$K39,E38))</f>
        <v>12.99879378</v>
      </c>
      <c r="F39" s="377">
        <f>IF(E39="","", IF(ARBITRAGES!$H39="tao",F38+ARBITRAGES!$K39,F38))</f>
        <v>5.951142324</v>
      </c>
      <c r="G39" s="378">
        <f>IF(F39="","", IF(ARBITRAGES!$H39="ron",G38+ARBITRAGES!$K39,G38))</f>
        <v>700.274</v>
      </c>
      <c r="H39" s="378">
        <f>IF(G39="","", IF(ARBITRAGES!$H39="link",H38+ARBITRAGES!$K39,H38))</f>
        <v>100</v>
      </c>
      <c r="I39" s="378">
        <f>IF(H39="","", IF(ARBITRAGES!$H39="doge",I38+ARBITRAGES!$K39,I38))</f>
        <v>1750</v>
      </c>
      <c r="J39" s="378">
        <f>IF(I39="","", IF(ARBITRAGES!$H39="shib",J38+ARBITRAGES!$K39,J38))</f>
        <v>34999962.71</v>
      </c>
      <c r="K39" s="378">
        <f>IF(J39="","", IF(ARBITRAGES!$H39="*cake*",K38+ARBITRAGES!$K39,K38))</f>
        <v>152.5133</v>
      </c>
      <c r="L39" s="378">
        <f>IF(K39="","", IF(ARBITRAGES!$H39="JUP",L38+ARBITRAGES!$K39,L38))</f>
        <v>350.1754</v>
      </c>
      <c r="M39" s="383">
        <f>IF(L39="","", IF(ARBITRAGES!$H39="aave",M38+ARBITRAGES!$K39,M38))</f>
        <v>3.35</v>
      </c>
      <c r="N39" s="378">
        <f>IF(M39="","", IF(ARBITRAGES!$H39="ckb",N38+ARBITRAGES!$K39,N38))</f>
        <v>60000</v>
      </c>
      <c r="O39" s="378">
        <f>IF(N39="","", IF(ARBITRAGES!$H39="pendle",O38+ARBITRAGES!$K39,O38))</f>
        <v>0</v>
      </c>
      <c r="P39" s="378">
        <f>IF(O39="","", IF(ARBITRAGES!$H39="BOME",P38+ARBITRAGES!$K39,P38))</f>
        <v>0</v>
      </c>
      <c r="Q39" s="378">
        <f>IF(P39="","", IF(ARBITRAGES!$H39="PEPE",Q38+ARBITRAGES!$K39,Q38))</f>
        <v>0</v>
      </c>
      <c r="R39" s="378">
        <f>IF(Q39="","", IF(ARBITRAGES!$H39="WIF",R38+ARBITRAGES!$K39,R38))</f>
        <v>0</v>
      </c>
      <c r="S39" s="378">
        <f>IF(R39="","", IF(ARBITRAGES!$H39="RAY",S38+ARBITRAGES!$K39,S38))</f>
        <v>0</v>
      </c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</row>
    <row r="40" ht="18.75" customHeight="1">
      <c r="A40" s="365">
        <f>IF(ARBITRAGES!E40=0,"",ARBITRAGES!E40)</f>
        <v>45609</v>
      </c>
      <c r="B40" s="375">
        <f>IF(A40="","", IF(ARBITRAGES!$H40="BTC",B39+ARBITRAGES!$K40,B39))</f>
        <v>0.2799971974</v>
      </c>
      <c r="C40" s="375">
        <f>IF(B40="","", IF(ARBITRAGES!$H40="eth",C39+ARBITRAGES!$K40,C39))</f>
        <v>2.801643</v>
      </c>
      <c r="D40" s="376">
        <f>IF(C40="","", IF(ARBITRAGES!$H40="ton",D39+ARBITRAGES!$K40,D39))</f>
        <v>550.1315494</v>
      </c>
      <c r="E40" s="376">
        <f>IF(D40="","", IF(ARBITRAGES!$H40="sol",E39+ARBITRAGES!$K40,E39))</f>
        <v>12.99879378</v>
      </c>
      <c r="F40" s="377">
        <f>IF(E40="","", IF(ARBITRAGES!$H40="tao",F39+ARBITRAGES!$K40,F39))</f>
        <v>5.951142324</v>
      </c>
      <c r="G40" s="378">
        <f>IF(F40="","", IF(ARBITRAGES!$H40="ron",G39+ARBITRAGES!$K40,G39))</f>
        <v>700.274</v>
      </c>
      <c r="H40" s="378">
        <f>IF(G40="","", IF(ARBITRAGES!$H40="link",H39+ARBITRAGES!$K40,H39))</f>
        <v>100</v>
      </c>
      <c r="I40" s="378">
        <f>IF(H40="","", IF(ARBITRAGES!$H40="doge",I39+ARBITRAGES!$K40,I39))</f>
        <v>1750</v>
      </c>
      <c r="J40" s="378">
        <f>IF(I40="","", IF(ARBITRAGES!$H40="shib",J39+ARBITRAGES!$K40,J39))</f>
        <v>34999962.71</v>
      </c>
      <c r="K40" s="378">
        <f>IF(J40="","", IF(ARBITRAGES!$H40="*cake*",K39+ARBITRAGES!$K40,K39))</f>
        <v>152.5133</v>
      </c>
      <c r="L40" s="389">
        <f>IF(K40="","", IF(ARBITRAGES!$H40="JUP",L39+ARBITRAGES!$K40,L39))</f>
        <v>805.1754</v>
      </c>
      <c r="M40" s="376">
        <f>IF(L40="","", IF(ARBITRAGES!$H40="aave",M39+ARBITRAGES!$K40,M39))</f>
        <v>3.35</v>
      </c>
      <c r="N40" s="378">
        <f>IF(M40="","", IF(ARBITRAGES!$H40="ckb",N39+ARBITRAGES!$K40,N39))</f>
        <v>60000</v>
      </c>
      <c r="O40" s="378">
        <f>IF(N40="","", IF(ARBITRAGES!$H40="pendle",O39+ARBITRAGES!$K40,O39))</f>
        <v>0</v>
      </c>
      <c r="P40" s="378">
        <f>IF(O40="","", IF(ARBITRAGES!$H40="BOME",P39+ARBITRAGES!$K40,P39))</f>
        <v>0</v>
      </c>
      <c r="Q40" s="378">
        <f>IF(P40="","", IF(ARBITRAGES!$H40="PEPE",Q39+ARBITRAGES!$K40,Q39))</f>
        <v>0</v>
      </c>
      <c r="R40" s="378">
        <f>IF(Q40="","", IF(ARBITRAGES!$H40="WIF",R39+ARBITRAGES!$K40,R39))</f>
        <v>0</v>
      </c>
      <c r="S40" s="378">
        <f>IF(R40="","", IF(ARBITRAGES!$H40="RAY",S39+ARBITRAGES!$K40,S39))</f>
        <v>0</v>
      </c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</row>
    <row r="41" ht="18.75" customHeight="1">
      <c r="A41" s="365">
        <f>IF(ARBITRAGES!E41=0,"",ARBITRAGES!E41)</f>
        <v>45610</v>
      </c>
      <c r="B41" s="374">
        <f>IF(A41="","", IF(ARBITRAGES!$H41="BTC",B40+ARBITRAGES!$K41+0.000001,B40))</f>
        <v>0.2949981974</v>
      </c>
      <c r="C41" s="375">
        <f>IF(B41="","", IF(ARBITRAGES!$H41="eth",C40+ARBITRAGES!$K41,C40+0.001))</f>
        <v>2.802643</v>
      </c>
      <c r="D41" s="376">
        <f>IF(C41="","", IF(ARBITRAGES!$H41="ton",D40+ARBITRAGES!$K41,D40+0.04))</f>
        <v>550.1715494</v>
      </c>
      <c r="E41" s="376">
        <f>IF(D41="","", IF(ARBITRAGES!$H41="sol",E40+ARBITRAGES!$K41,E40+0.0041))</f>
        <v>13.00289378</v>
      </c>
      <c r="F41" s="377">
        <f>IF(E41="","", IF(ARBITRAGES!$H41="tao",F40+ARBITRAGES!$K41,F40+0.0015))</f>
        <v>5.952642324</v>
      </c>
      <c r="G41" s="378">
        <f>IF(F41="","", IF(ARBITRAGES!$H41="ron",G40+ARBITRAGES!$K41,G40+3))</f>
        <v>703.274</v>
      </c>
      <c r="H41" s="378">
        <f>IF(G41="","", IF(ARBITRAGES!$H41="link",H40+ARBITRAGES!$K41,H40+0.015))</f>
        <v>100.015</v>
      </c>
      <c r="I41" s="378">
        <f>IF(H41="","", IF(ARBITRAGES!$H41="doge",I40+ARBITRAGES!$K41,I40+0.02))</f>
        <v>1750.02</v>
      </c>
      <c r="J41" s="378">
        <f>IF(I41="","", IF(ARBITRAGES!$H41="*shib*",J40+ARBITRAGES!$K41,J40+150))</f>
        <v>35000112.71</v>
      </c>
      <c r="K41" s="378">
        <f>IF(J41="","", IF(ARBITRAGES!$H41="*cake*",K40+ARBITRAGES!$K41,K40+0.015))</f>
        <v>152.5283</v>
      </c>
      <c r="L41" s="378">
        <f>IF(K41="","", IF(ARBITRAGES!$H41="JUP",L40+ARBITRAGES!$K41,L40+0.4))</f>
        <v>805.5754</v>
      </c>
      <c r="M41" s="376">
        <f>IF(L41="","", IF(ARBITRAGES!$H41="*aave*",M40+ARBITRAGES!$K41,M40))</f>
        <v>3.35</v>
      </c>
      <c r="N41" s="378">
        <f>IF(M41="","", IF(ARBITRAGES!$H41="*ckb*",N40+ARBITRAGES!$K41,N40))</f>
        <v>60000</v>
      </c>
      <c r="O41" s="378">
        <f>IF(N41="","", IF(ARBITRAGES!$H41="*pendle*",O40+ARBITRAGES!$K41,O40))</f>
        <v>0</v>
      </c>
      <c r="P41" s="378">
        <f>IF(O41="","", IF(ARBITRAGES!$H41="BOME",P40+ARBITRAGES!$K41,P40))</f>
        <v>0</v>
      </c>
      <c r="Q41" s="378">
        <f>IF(P41="","", IF(ARBITRAGES!$H41="PEPE",Q40+ARBITRAGES!$K41,Q40))</f>
        <v>0</v>
      </c>
      <c r="R41" s="378">
        <f>IF(Q41="","", IF(ARBITRAGES!$H41="WIF",R40+ARBITRAGES!$K41,R40))</f>
        <v>0</v>
      </c>
      <c r="S41" s="378">
        <f>IF(R41="","", IF(ARBITRAGES!$H41="RAY",S40+ARBITRAGES!$K41,S40))</f>
        <v>0</v>
      </c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</row>
    <row r="42" ht="18.75" customHeight="1">
      <c r="A42" s="365">
        <f>IF(ARBITRAGES!E42=0,"",ARBITRAGES!E42)</f>
        <v>45615</v>
      </c>
      <c r="B42" s="375">
        <f>IF(A42="","", IF(ARBITRAGES!$H42="BTC",B41+ARBITRAGES!$K42,B41))</f>
        <v>0.2949981974</v>
      </c>
      <c r="C42" s="375">
        <f>IF(B42="","", IF(ARBITRAGES!$H42="eth",C41+ARBITRAGES!$K42,C41))</f>
        <v>2.802643</v>
      </c>
      <c r="D42" s="376">
        <f>IF(C42="","", IF(ARBITRAGES!$H42="ton",D41+ARBITRAGES!$K42,D41))</f>
        <v>550.1715494</v>
      </c>
      <c r="E42" s="376">
        <f>IF(D42="","", IF(ARBITRAGES!$H42="sol",E41+ARBITRAGES!$K42,E41))</f>
        <v>13.00289378</v>
      </c>
      <c r="F42" s="377">
        <f>IF(E42="","", IF(ARBITRAGES!$H42="tao",F41+ARBITRAGES!$K42,F41))</f>
        <v>5.952642324</v>
      </c>
      <c r="G42" s="378">
        <f>IF(F42="","", IF(ARBITRAGES!$H42="ron",G41+ARBITRAGES!$K42,G41))</f>
        <v>703.274</v>
      </c>
      <c r="H42" s="378">
        <f>IF(G42="","", IF(ARBITRAGES!$H42="link",H41+ARBITRAGES!$K42,H41))</f>
        <v>100.015</v>
      </c>
      <c r="I42" s="378">
        <f>IF(H42="","", IF(ARBITRAGES!$H42="doge",I41+ARBITRAGES!$K42,I41))</f>
        <v>1750.02</v>
      </c>
      <c r="J42" s="394">
        <f>IF(I42="","", IF(ARBITRAGES!$H42="shib",J41-ARBITRAGES!$K42,J41))</f>
        <v>20500112.71</v>
      </c>
      <c r="K42" s="378">
        <f>IF(J42="","", IF(ARBITRAGES!$H42="*cake*",K41+ARBITRAGES!$K42,K41))</f>
        <v>152.5283</v>
      </c>
      <c r="L42" s="378">
        <f>IF(K42="","", IF(ARBITRAGES!$H42="JUP",L41+ARBITRAGES!$K42,L41))</f>
        <v>805.5754</v>
      </c>
      <c r="M42" s="376">
        <f>IF(L42="","", IF(ARBITRAGES!$H42="*aave*",M41+ARBITRAGES!$K42,M41))</f>
        <v>3.35</v>
      </c>
      <c r="N42" s="378">
        <f>IF(M42="","", IF(ARBITRAGES!$H42="*ckb*",N41+ARBITRAGES!$K42,N41))</f>
        <v>60000</v>
      </c>
      <c r="O42" s="378">
        <f>IF(N42="","", IF(ARBITRAGES!$H42="*pendle*",O41+ARBITRAGES!$K42,O41))</f>
        <v>0</v>
      </c>
      <c r="P42" s="378">
        <f>IF(O42="","", IF(ARBITRAGES!$H42="BOME",P41+ARBITRAGES!$K42,P41))</f>
        <v>0</v>
      </c>
      <c r="Q42" s="378">
        <f>IF(P42="","", IF(ARBITRAGES!$H42="PEPE",Q41+ARBITRAGES!$K42,Q41))</f>
        <v>0</v>
      </c>
      <c r="R42" s="378">
        <f>IF(Q42="","", IF(ARBITRAGES!$H42="WIF",R41+ARBITRAGES!$K42,R41))</f>
        <v>0</v>
      </c>
      <c r="S42" s="378">
        <f>IF(R42="","", IF(ARBITRAGES!$H42="RAY",S41+ARBITRAGES!$K42,S41))</f>
        <v>0</v>
      </c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</row>
    <row r="43" ht="18.75" customHeight="1">
      <c r="A43" s="365">
        <f>IF(ARBITRAGES!E43=0,"",ARBITRAGES!E43)</f>
        <v>45618</v>
      </c>
      <c r="B43" s="375">
        <f>IF(A43="","", IF(ARBITRAGES!$H43="BTC",B42+ARBITRAGES!$K43,B42))</f>
        <v>0.2949981974</v>
      </c>
      <c r="C43" s="375">
        <f>IF(B43="","", IF(ARBITRAGES!$H43="eth",C42+ARBITRAGES!$K43,C42))</f>
        <v>2.802643</v>
      </c>
      <c r="D43" s="376">
        <f>IF(C43="","", IF(ARBITRAGES!$H43="ton",D42+ARBITRAGES!$K43,D42))</f>
        <v>550.1715494</v>
      </c>
      <c r="E43" s="376">
        <f>IF(D43="","", IF(ARBITRAGES!$H43="sol",E42+ARBITRAGES!$K43,E42))</f>
        <v>13.00289378</v>
      </c>
      <c r="F43" s="377">
        <f>IF(E43="","", IF(ARBITRAGES!$H43="tao",F42+ARBITRAGES!$K43,F42))</f>
        <v>5.952642324</v>
      </c>
      <c r="G43" s="378">
        <f>IF(F43="","", IF(ARBITRAGES!$H43="ron",G42+ARBITRAGES!$K43,G42))</f>
        <v>703.274</v>
      </c>
      <c r="H43" s="378">
        <f>IF(G43="","", IF(ARBITRAGES!$H43="link",H42+ARBITRAGES!$K43,H42))</f>
        <v>100.015</v>
      </c>
      <c r="I43" s="378">
        <f>IF(H43="","", IF(ARBITRAGES!$H43="doge",I42+ARBITRAGES!$K43,I42))</f>
        <v>1750.02</v>
      </c>
      <c r="J43" s="378">
        <f>IF(I43="","", IF(ARBITRAGES!$H43="shib",J42-ARBITRAGES!$K43,J42))</f>
        <v>20500112.71</v>
      </c>
      <c r="K43" s="378">
        <f>IF(J43="","", IF(ARBITRAGES!$H43="cake",K42+ARBITRAGES!$K43,K42))</f>
        <v>152.5283</v>
      </c>
      <c r="L43" s="378">
        <f>IF(K43="","", IF(ARBITRAGES!$H43="JUP",L42+ARBITRAGES!$K43,L42))</f>
        <v>805.5754</v>
      </c>
      <c r="M43" s="376">
        <f>IF(L43="","", IF(ARBITRAGES!$H43="aave",M42+ARBITRAGES!$K43,M42))</f>
        <v>3.35</v>
      </c>
      <c r="N43" s="378">
        <f>IF(M43="","", IF(ARBITRAGES!$H43="ckb",N42+ARBITRAGES!$K43,N42))</f>
        <v>60000</v>
      </c>
      <c r="O43" s="389">
        <f>IF(N43="","", IF(ARBITRAGES!$H43="pendle",O42+ARBITRAGES!$K43,O42))</f>
        <v>90.00715966</v>
      </c>
      <c r="P43" s="378">
        <f>IF(O43="","", IF(ARBITRAGES!$H43="BOME",P42+ARBITRAGES!$K43,P42))</f>
        <v>0</v>
      </c>
      <c r="Q43" s="378">
        <f>IF(P43="","", IF(ARBITRAGES!$H43="PEPE",Q42+ARBITRAGES!$K43,Q42))</f>
        <v>0</v>
      </c>
      <c r="R43" s="378">
        <f>IF(Q43="","", IF(ARBITRAGES!$H43="WIF",R42+ARBITRAGES!$K43,R42))</f>
        <v>0</v>
      </c>
      <c r="S43" s="378">
        <f>IF(R43="","", IF(ARBITRAGES!$H43="RAY",S42+ARBITRAGES!$K43,S42))</f>
        <v>0</v>
      </c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</row>
    <row r="44" ht="18.75" customHeight="1">
      <c r="A44" s="365">
        <f>IF(ARBITRAGES!E44=0,"",ARBITRAGES!E44)</f>
        <v>45619</v>
      </c>
      <c r="B44" s="375">
        <f>IF(A44="","", IF(ARBITRAGES!$H44="BTC",B43+ARBITRAGES!$K44,B43))</f>
        <v>0.2949981974</v>
      </c>
      <c r="C44" s="375">
        <f>IF(B44="","", IF(ARBITRAGES!$H44="eth",C43+ARBITRAGES!$K44,C43))</f>
        <v>2.802643</v>
      </c>
      <c r="D44" s="376">
        <f>IF(C44="","", IF(ARBITRAGES!$H44="ton",D43+ARBITRAGES!$K44,D43))</f>
        <v>550.1715494</v>
      </c>
      <c r="E44" s="376">
        <f>IF(D44="","", IF(ARBITRAGES!$H44="sol",E43+ARBITRAGES!$K44,E43))</f>
        <v>13.00289378</v>
      </c>
      <c r="F44" s="377">
        <f>IF(E44="","", IF(ARBITRAGES!$H44="tao",F43+ARBITRAGES!$K44,F43))</f>
        <v>5.952642324</v>
      </c>
      <c r="G44" s="378">
        <f>IF(F44="","", IF(ARBITRAGES!$H44="ron",G43+ARBITRAGES!$K44,G43))</f>
        <v>703.274</v>
      </c>
      <c r="H44" s="378">
        <f>IF(G44="","", IF(ARBITRAGES!$H44="link",H43+ARBITRAGES!$K44,H43))</f>
        <v>100.015</v>
      </c>
      <c r="I44" s="378">
        <f>IF(H44="","", IF(ARBITRAGES!$H44="doge",I43+ARBITRAGES!$K44,I43))</f>
        <v>1750.02</v>
      </c>
      <c r="J44" s="378">
        <f>IF(I44="","", IF(ARBITRAGES!$H44="shib",J43-ARBITRAGES!$K44,J43))</f>
        <v>20500112.71</v>
      </c>
      <c r="K44" s="378">
        <f>IF(J44="","", IF(ARBITRAGES!$H44="cake",K43+ARBITRAGES!$K44,K43))</f>
        <v>152.5283</v>
      </c>
      <c r="L44" s="378">
        <f>IF(K44="","", IF(ARBITRAGES!$H44="JUP",L43+ARBITRAGES!$K44,L43))</f>
        <v>805.5754</v>
      </c>
      <c r="M44" s="376">
        <f>IF(L44="","", IF(ARBITRAGES!$H44="aave",M43+ARBITRAGES!$K44,M43))</f>
        <v>3.35</v>
      </c>
      <c r="N44" s="378">
        <f>IF(M44="","", IF(ARBITRAGES!$H44="ckb",N43+ARBITRAGES!$K44,N43))</f>
        <v>60000</v>
      </c>
      <c r="O44" s="378">
        <f>IF(N44="","", IF(ARBITRAGES!$H44="pendle",O43+ARBITRAGES!$K44,O43))</f>
        <v>90.00715966</v>
      </c>
      <c r="P44" s="389">
        <f>IF(O44="","", IF(ARBITRAGES!$H44="BOME",P43+ARBITRAGES!$K44,P43))</f>
        <v>18000</v>
      </c>
      <c r="Q44" s="378">
        <f>IF(P44="","", IF(ARBITRAGES!$H44="PEPE",Q43+ARBITRAGES!$K44,Q43))</f>
        <v>0</v>
      </c>
      <c r="R44" s="378">
        <f>IF(Q44="","", IF(ARBITRAGES!$H44="WIF",R43+ARBITRAGES!$K44,R43))</f>
        <v>0</v>
      </c>
      <c r="S44" s="378">
        <f>IF(R44="","", IF(ARBITRAGES!$H44="RAY",S43+ARBITRAGES!$K44,S43))</f>
        <v>0</v>
      </c>
      <c r="T44" s="360"/>
      <c r="U44" s="360"/>
      <c r="V44" s="360"/>
      <c r="W44" s="360"/>
      <c r="X44" s="360"/>
      <c r="Y44" s="360"/>
      <c r="Z44" s="360"/>
      <c r="AA44" s="360"/>
      <c r="AB44" s="360"/>
      <c r="AC44" s="360"/>
      <c r="AD44" s="360"/>
      <c r="AE44" s="360"/>
      <c r="AF44" s="360"/>
      <c r="AG44" s="360"/>
      <c r="AH44" s="360"/>
    </row>
    <row r="45" ht="18.75" customHeight="1">
      <c r="A45" s="365">
        <f>IF(ARBITRAGES!E45=0,"",ARBITRAGES!E45)</f>
        <v>45622</v>
      </c>
      <c r="B45" s="375">
        <f>IF(A45="","", IF(ARBITRAGES!$H45="BTC",B44+ARBITRAGES!$K45,B44))</f>
        <v>0.2949981974</v>
      </c>
      <c r="C45" s="375">
        <f>IF(B45="","", IF(ARBITRAGES!$H45="eth",C44+ARBITRAGES!$K45,C44))</f>
        <v>2.802643</v>
      </c>
      <c r="D45" s="376">
        <f>IF(C45="","", IF(ARBITRAGES!$H45="ton",D44+ARBITRAGES!$K45,D44))</f>
        <v>550.1715494</v>
      </c>
      <c r="E45" s="376">
        <f>IF(D45="","", IF(ARBITRAGES!$H45="sol",E44+ARBITRAGES!$K45,E44))</f>
        <v>13.00289378</v>
      </c>
      <c r="F45" s="377">
        <f>IF(E45="","", IF(ARBITRAGES!$H45="tao",F44+ARBITRAGES!$K45,F44))</f>
        <v>5.952642324</v>
      </c>
      <c r="G45" s="378">
        <f>IF(F45="","", IF(ARBITRAGES!$H45="ron",G44+ARBITRAGES!$K45,G44))</f>
        <v>703.274</v>
      </c>
      <c r="H45" s="378">
        <f>IF(G45="","", IF(ARBITRAGES!$H45="link",H44+ARBITRAGES!$K45,H44))</f>
        <v>100.015</v>
      </c>
      <c r="I45" s="378">
        <f>IF(H45="","", IF(ARBITRAGES!$H45="doge",I44+ARBITRAGES!$K45,I44))</f>
        <v>1750.02</v>
      </c>
      <c r="J45" s="378">
        <f>IF(I45="","", IF(ARBITRAGES!$H45="shib",J44-ARBITRAGES!$K45,J44))</f>
        <v>20500112.71</v>
      </c>
      <c r="K45" s="378">
        <f>IF(J45="","", IF(ARBITRAGES!$H45="cake",K44+ARBITRAGES!$K45,K44))</f>
        <v>152.5283</v>
      </c>
      <c r="L45" s="378">
        <f>IF(K45="","", IF(ARBITRAGES!$H45="JUP",L44+ARBITRAGES!$K45,L44))</f>
        <v>805.5754</v>
      </c>
      <c r="M45" s="376">
        <f>IF(L45="","", IF(ARBITRAGES!$H45="aave",M44+ARBITRAGES!$K45,M44))</f>
        <v>3.35</v>
      </c>
      <c r="N45" s="378">
        <f>IF(M45="","", IF(ARBITRAGES!$H45="ckb",N44+ARBITRAGES!$K45,N44))</f>
        <v>60000</v>
      </c>
      <c r="O45" s="378">
        <f>IF(N45="","", IF(ARBITRAGES!$H45="pendle",O44+ARBITRAGES!$K45,O44))</f>
        <v>90.00715966</v>
      </c>
      <c r="P45" s="378">
        <f>IF(O45="","", IF(ARBITRAGES!$H45="BOME",P44+ARBITRAGES!$K45,P44))</f>
        <v>18000</v>
      </c>
      <c r="Q45" s="378">
        <f>IF(P45="","", IF(ARBITRAGES!$H45="PEPE",Q44+ARBITRAGES!$K45,Q44))</f>
        <v>0</v>
      </c>
      <c r="R45" s="389">
        <f>IF(Q45="","", IF(ARBITRAGES!$H45="WIF",R44+ARBITRAGES!$K45,R44))</f>
        <v>59</v>
      </c>
      <c r="S45" s="378">
        <f>IF(R45="","", IF(ARBITRAGES!$H45="RAY",S44+ARBITRAGES!$K45,S44))</f>
        <v>0</v>
      </c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0"/>
    </row>
    <row r="46" ht="18.75" customHeight="1">
      <c r="A46" s="365">
        <f>IF(ARBITRAGES!E46=0,"",ARBITRAGES!E46)</f>
        <v>45630</v>
      </c>
      <c r="B46" s="375">
        <v>0.295009</v>
      </c>
      <c r="C46" s="375">
        <v>2.804</v>
      </c>
      <c r="D46" s="376">
        <f>IF(C46="","", IF(ARBITRAGES!$H46="ton",D45+ARBITRAGES!$K46,D45+0.18))</f>
        <v>550.3515494</v>
      </c>
      <c r="E46" s="376">
        <f>IF(D46="","", IF(ARBITRAGES!$H46="sol",E45+ARBITRAGES!$K46,E45+0.0087))</f>
        <v>13.01159378</v>
      </c>
      <c r="F46" s="377">
        <f>IF(E46="","", IF(ARBITRAGES!$H46="tao",F45+ARBITRAGES!$K46,F45+0.0028))</f>
        <v>5.955442324</v>
      </c>
      <c r="G46" s="378">
        <f>IF(F46="","", IF(ARBITRAGES!$H46="ron",G45+ARBITRAGES!$K46,G45+0.4))</f>
        <v>703.674</v>
      </c>
      <c r="H46" s="378">
        <f>IF(G46="","", IF(ARBITRAGES!$H46="link",H45+ARBITRAGES!$K46,H45+0.0047))</f>
        <v>100.0197</v>
      </c>
      <c r="I46" s="378">
        <f>IF(H46="","", IF(ARBITRAGES!$H46="doge",I45+ARBITRAGES!$K46,I45+0.125))</f>
        <v>1750.145</v>
      </c>
      <c r="J46" s="378">
        <f>IF(I46="","", IF(ARBITRAGES!$H46="shib",J45-ARBITRAGES!$K46,J45+250))</f>
        <v>20500362.71</v>
      </c>
      <c r="K46" s="394">
        <f>IF(J46="","", IF(ARBITRAGES!$H46="cake",K45-ARBITRAGES!$K46-0.5,K45+0.007))</f>
        <v>127.0144432</v>
      </c>
      <c r="L46" s="378">
        <f>IF(K46="","", IF(ARBITRAGES!$H46="JUP",L45+ARBITRAGES!$K46,L45+2.4))</f>
        <v>807.9754</v>
      </c>
      <c r="M46" s="376">
        <f>IF(L46="","", IF(ARBITRAGES!$H46="aave",M45+ARBITRAGES!$K46,M45))</f>
        <v>3.35</v>
      </c>
      <c r="N46" s="378">
        <f>IF(M46="","", IF(ARBITRAGES!$H46="ckb",N45+ARBITRAGES!$K46,N45+0.5))</f>
        <v>60000.5</v>
      </c>
      <c r="O46" s="378">
        <f>IF(N46="","", IF(ARBITRAGES!$H46="pendle",O45+ARBITRAGES!$K46,O45))</f>
        <v>90.00715966</v>
      </c>
      <c r="P46" s="378">
        <f>IF(O46="","", IF(ARBITRAGES!$H46="BOME",P45+ARBITRAGES!$K46,P45+0.63))</f>
        <v>18000.63</v>
      </c>
      <c r="Q46" s="378">
        <f>IF(P46="","", IF(ARBITRAGES!$H46="PEPE",Q45+ARBITRAGES!$K46,Q45))</f>
        <v>0</v>
      </c>
      <c r="R46" s="378">
        <f>IF(Q46="","", IF(ARBITRAGES!$H46="WIF",R45+ARBITRAGES!$K46,R45+0.012))</f>
        <v>59.012</v>
      </c>
      <c r="S46" s="378">
        <f>IF(R46="","", IF(ARBITRAGES!$H46="RAY",S45+ARBITRAGES!$K46,S45))</f>
        <v>0</v>
      </c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0"/>
    </row>
    <row r="47" ht="18.75" customHeight="1">
      <c r="A47" s="365">
        <f>IF(ARBITRAGES!E47=0,"",ARBITRAGES!E47)</f>
        <v>45636</v>
      </c>
      <c r="B47" s="375">
        <f>IF(A47="","", IF(ARBITRAGES!$H47="BTC",B46+ARBITRAGES!$K47,B46))</f>
        <v>0.295009</v>
      </c>
      <c r="C47" s="375">
        <f>IF(B47="","", IF(ARBITRAGES!$H47="eth",C46+ARBITRAGES!$K47,C46))</f>
        <v>2.804</v>
      </c>
      <c r="D47" s="376">
        <f>IF(C47="","", IF(ARBITRAGES!$H47="ton",D46+ARBITRAGES!$K47,D46))</f>
        <v>550.3515494</v>
      </c>
      <c r="E47" s="383">
        <f>IF(D47="","", IF(ARBITRAGES!$H47="sol",E46+ARBITRAGES!$K47,E46))</f>
        <v>15.01159378</v>
      </c>
      <c r="F47" s="377">
        <f>IF(E47="","", IF(ARBITRAGES!$H47="tao",F46+ARBITRAGES!$K47,F46))</f>
        <v>5.955442324</v>
      </c>
      <c r="G47" s="378">
        <f>IF(F47="","", IF(ARBITRAGES!$H47="ron",G46+ARBITRAGES!$K47,G46))</f>
        <v>703.674</v>
      </c>
      <c r="H47" s="378">
        <f>IF(G47="","", IF(ARBITRAGES!$H47="link",H46+ARBITRAGES!$K47,H46))</f>
        <v>100.0197</v>
      </c>
      <c r="I47" s="378">
        <f>IF(H47="","", IF(ARBITRAGES!$H47="doge",I46+ARBITRAGES!$K47,I46))</f>
        <v>1750.145</v>
      </c>
      <c r="J47" s="378">
        <f>IF(I47="","", IF(ARBITRAGES!$H47="shib",J46-ARBITRAGES!$K47,J46))</f>
        <v>20500362.71</v>
      </c>
      <c r="K47" s="378">
        <f>IF(J47="","", IF(ARBITRAGES!$H47="cake",K46+ARBITRAGES!$K47,K46))</f>
        <v>127.0144432</v>
      </c>
      <c r="L47" s="378">
        <f>IF(K47="","", IF(ARBITRAGES!$H47="JUP",L46+ARBITRAGES!$K47,L46))</f>
        <v>807.9754</v>
      </c>
      <c r="M47" s="376">
        <f>IF(L47="","", IF(ARBITRAGES!$H47="aave",M46+ARBITRAGES!$K47,M46))</f>
        <v>3.35</v>
      </c>
      <c r="N47" s="378">
        <f>IF(M47="","", IF(ARBITRAGES!$H47="ckb",N46+ARBITRAGES!$K47,N46))</f>
        <v>60000.5</v>
      </c>
      <c r="O47" s="378">
        <f>IF(N47="","", IF(ARBITRAGES!$H47="pendle",O46+ARBITRAGES!$K47,O46))</f>
        <v>90.00715966</v>
      </c>
      <c r="P47" s="378">
        <f>IF(O47="","", IF(ARBITRAGES!$H47="BOME",P46+ARBITRAGES!$K47,P46))</f>
        <v>18000.63</v>
      </c>
      <c r="Q47" s="378">
        <f>IF(P47="","", IF(ARBITRAGES!$H47="PEPE",Q46+ARBITRAGES!$K47,Q46))</f>
        <v>0</v>
      </c>
      <c r="R47" s="378">
        <f>IF(Q47="","", IF(ARBITRAGES!$H47="WIF",R46+ARBITRAGES!$K47,R46))</f>
        <v>59.012</v>
      </c>
      <c r="S47" s="378">
        <f>IF(R47="","", IF(ARBITRAGES!$H47="RAY",S46+ARBITRAGES!$K47,S46))</f>
        <v>0</v>
      </c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0"/>
    </row>
    <row r="48" ht="18.75" customHeight="1">
      <c r="A48" s="365">
        <f>IF(ARBITRAGES!E48=0,"",ARBITRAGES!E48)</f>
        <v>45644</v>
      </c>
      <c r="B48" s="375">
        <f>IF(A48="","", IF(ARBITRAGES!$H48="BTC",B47+ARBITRAGES!$K48,B47))</f>
        <v>0.295009</v>
      </c>
      <c r="C48" s="375">
        <f>IF(B48="","", IF(ARBITRAGES!$H48="eth",C47+ARBITRAGES!$K48,C47))</f>
        <v>2.804</v>
      </c>
      <c r="D48" s="376">
        <f>IF(C48="","", IF(ARBITRAGES!$H48="ton",D47+ARBITRAGES!$K48,D47))</f>
        <v>550.3515494</v>
      </c>
      <c r="E48" s="376">
        <f>IF(D48="","", IF(ARBITRAGES!$H48="sol",E47+ARBITRAGES!$K48,E47))</f>
        <v>15.01159378</v>
      </c>
      <c r="F48" s="377">
        <f>IF(E48="","", IF(ARBITRAGES!$H48="tao",F47+ARBITRAGES!$K48,F47))</f>
        <v>5.955442324</v>
      </c>
      <c r="G48" s="378">
        <f>IF(F48="","", IF(ARBITRAGES!$H48="ron",G47+ARBITRAGES!$K48,G47))</f>
        <v>703.674</v>
      </c>
      <c r="H48" s="378">
        <f>IF(G48="","", IF(ARBITRAGES!$H48="link",H47+ARBITRAGES!$K48,H47))</f>
        <v>100.0197</v>
      </c>
      <c r="I48" s="378">
        <f>IF(H48="","", IF(ARBITRAGES!$H48="doge",I47+ARBITRAGES!$K48,I47))</f>
        <v>1750.145</v>
      </c>
      <c r="J48" s="378">
        <f>IF(I48="","", IF(ARBITRAGES!$H48="shib",J47-ARBITRAGES!$K48,J47))</f>
        <v>20500362.71</v>
      </c>
      <c r="K48" s="378">
        <f>IF(J48="","", IF(ARBITRAGES!$H48="cake",K47+ARBITRAGES!$K48,K47))</f>
        <v>127.0144432</v>
      </c>
      <c r="L48" s="378">
        <f>IF(K48="","", IF(ARBITRAGES!$H48="JUP",L47+ARBITRAGES!$K48,L47))</f>
        <v>807.9754</v>
      </c>
      <c r="M48" s="376">
        <f>IF(L48="","", IF(ARBITRAGES!$H48="aave",M47+ARBITRAGES!$K48,M47))</f>
        <v>3.35</v>
      </c>
      <c r="N48" s="378">
        <f>IF(M48="","", IF(ARBITRAGES!$H48="ckb",N47+ARBITRAGES!$K48,N47))</f>
        <v>60000.5</v>
      </c>
      <c r="O48" s="378">
        <f>IF(N48="","", IF(ARBITRAGES!$H48="pendle",O47+ARBITRAGES!$K48,O47))</f>
        <v>90.00715966</v>
      </c>
      <c r="P48" s="378">
        <f>IF(O48="","", IF(ARBITRAGES!$H48="BOME",P47+ARBITRAGES!$K48,P47))</f>
        <v>18000.63</v>
      </c>
      <c r="Q48" s="389">
        <f>IF(P48="","", IF(ARBITRAGES!$H48="PEPE",Q47+ARBITRAGES!$K48,Q47))</f>
        <v>13950000</v>
      </c>
      <c r="R48" s="378">
        <f>IF(Q48="","", IF(ARBITRAGES!$H48="WIF",R47+ARBITRAGES!$K48,R47))</f>
        <v>59.012</v>
      </c>
      <c r="S48" s="378">
        <f>IF(R48="","", IF(ARBITRAGES!$H48="RAY",S47+ARBITRAGES!$K48,S47))</f>
        <v>0</v>
      </c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0"/>
    </row>
    <row r="49" ht="18.75" customHeight="1">
      <c r="A49" s="365">
        <f>IF(ARBITRAGES!E49=0,"",ARBITRAGES!E49)</f>
        <v>45646</v>
      </c>
      <c r="B49" s="375">
        <f>IF(A49="","", IF(ARBITRAGES!$H49="BTC",B48+ARBITRAGES!$K49,B48))</f>
        <v>0.295009</v>
      </c>
      <c r="C49" s="375">
        <f>IF(B49="","", IF(ARBITRAGES!$H49="eth",C48+ARBITRAGES!$K49,C48))</f>
        <v>2.804</v>
      </c>
      <c r="D49" s="376">
        <f>IF(C49="","", IF(ARBITRAGES!$H49="ton",D48+ARBITRAGES!$K49,D48))</f>
        <v>550.3515494</v>
      </c>
      <c r="E49" s="376">
        <f>IF(D49="","", IF(ARBITRAGES!$H49="sol",E48+ARBITRAGES!$K49,E48))</f>
        <v>15.01159378</v>
      </c>
      <c r="F49" s="377">
        <f>IF(E49="","", IF(ARBITRAGES!$H49="tao",F48+ARBITRAGES!$K49,F48))</f>
        <v>5.955442324</v>
      </c>
      <c r="G49" s="378">
        <f>IF(F49="","", IF(ARBITRAGES!$H49="ron",G48+ARBITRAGES!$K49,G48))</f>
        <v>703.674</v>
      </c>
      <c r="H49" s="378">
        <f>IF(G49="","", IF(ARBITRAGES!$H49="link",H48+ARBITRAGES!$K49,H48))</f>
        <v>100.0197</v>
      </c>
      <c r="I49" s="378">
        <f>IF(H49="","", IF(ARBITRAGES!$H49="doge",I48+ARBITRAGES!$K49,I48))</f>
        <v>1750.145</v>
      </c>
      <c r="J49" s="378">
        <f>IF(I49="","", IF(ARBITRAGES!$H49="shib",J48-ARBITRAGES!$K49,J48))</f>
        <v>20500362.71</v>
      </c>
      <c r="K49" s="378">
        <f>IF(J49="","", IF(ARBITRAGES!$H49="cake",K48+ARBITRAGES!$K49,K48))</f>
        <v>127.0144432</v>
      </c>
      <c r="L49" s="378">
        <f>IF(K49="","", IF(ARBITRAGES!$H49="JUP",L48+ARBITRAGES!$K49,L48))</f>
        <v>807.9754</v>
      </c>
      <c r="M49" s="376">
        <f>IF(L49="","", IF(ARBITRAGES!$H49="aave",M48+ARBITRAGES!$K49,M48))</f>
        <v>3.35</v>
      </c>
      <c r="N49" s="378">
        <f>IF(M49="","", IF(ARBITRAGES!$H49="ckb",N48+ARBITRAGES!$K49,N48))</f>
        <v>60000.5</v>
      </c>
      <c r="O49" s="378">
        <f>IF(N49="","", IF(ARBITRAGES!$H49="pendle",O48+ARBITRAGES!$K49,O48))</f>
        <v>90.00715966</v>
      </c>
      <c r="P49" s="378">
        <f>IF(O49="","", IF(ARBITRAGES!$H49="BOME",P48+ARBITRAGES!$K49,P48))</f>
        <v>18000.63</v>
      </c>
      <c r="Q49" s="389">
        <f>IF(P49="","", IF(ARBITRAGES!$H49="PEPE",Q48+ARBITRAGES!$K49,Q48))</f>
        <v>23950000</v>
      </c>
      <c r="R49" s="378">
        <f>IF(Q49="","", IF(ARBITRAGES!$H49="WIF",R48+ARBITRAGES!$K49,R48))</f>
        <v>59.012</v>
      </c>
      <c r="S49" s="378">
        <f>IF(R49="","", IF(ARBITRAGES!$H49="RAY",S48+ARBITRAGES!$K49,S48))</f>
        <v>0</v>
      </c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0"/>
    </row>
    <row r="50" ht="18.75" customHeight="1">
      <c r="A50" s="365">
        <f>IF(ARBITRAGES!E50=0,"",ARBITRAGES!E50)</f>
        <v>45658</v>
      </c>
      <c r="B50" s="375">
        <f>IF(A50="","", IF(ARBITRAGES!$H50="BTC",B49+ARBITRAGES!$K50,B49))</f>
        <v>0.295009</v>
      </c>
      <c r="C50" s="375">
        <f>IF(B50="","", IF(ARBITRAGES!$H50="eth",C49+ARBITRAGES!$K50,C49))</f>
        <v>2.804</v>
      </c>
      <c r="D50" s="376">
        <f>IF(C50="","", IF(ARBITRAGES!$H50="ton",D49+ARBITRAGES!$K50,D49))</f>
        <v>550.3515494</v>
      </c>
      <c r="E50" s="376">
        <f>IF(D50="","", IF(ARBITRAGES!$H50="sol",E49+ARBITRAGES!$K50,E49))</f>
        <v>15.01159378</v>
      </c>
      <c r="F50" s="377">
        <f>IF(E50="","", IF(ARBITRAGES!$H50="tao",F49+ARBITRAGES!$K50,F49))</f>
        <v>5.955442324</v>
      </c>
      <c r="G50" s="378">
        <f>IF(F50="","", IF(ARBITRAGES!$H50="ron",G49+ARBITRAGES!$K50,G49))</f>
        <v>703.674</v>
      </c>
      <c r="H50" s="378">
        <f>IF(G50="","", IF(ARBITRAGES!$H50="link",H49+ARBITRAGES!$K50,H49))</f>
        <v>100.0197</v>
      </c>
      <c r="I50" s="378">
        <f>IF(H50="","", IF(ARBITRAGES!$H50="doge",I49+ARBITRAGES!$K50,I49))</f>
        <v>1750.145</v>
      </c>
      <c r="J50" s="378">
        <f>IF(I50="","", IF(ARBITRAGES!$H50="shib",J49-ARBITRAGES!$K50,J49))</f>
        <v>20500362.71</v>
      </c>
      <c r="K50" s="378">
        <f>IF(J50="","", IF(ARBITRAGES!$H50="cake",K49+ARBITRAGES!$K50,K49))</f>
        <v>127.0144432</v>
      </c>
      <c r="L50" s="378">
        <f>IF(K50="","", IF(ARBITRAGES!$H50="JUP",L49+ARBITRAGES!$K50,L49))</f>
        <v>807.9754</v>
      </c>
      <c r="M50" s="376">
        <f>IF(L50="","", IF(ARBITRAGES!$H50="aave",M49+ARBITRAGES!$K50,M49))</f>
        <v>3.35</v>
      </c>
      <c r="N50" s="378">
        <f>IF(M50="","", IF(ARBITRAGES!$H50="ckb",N49+ARBITRAGES!$K50,N49))</f>
        <v>60000.5</v>
      </c>
      <c r="O50" s="389">
        <f>IF(N50="","", IF(ARBITRAGES!$H50="pendle",O49+ARBITRAGES!$K50,O49))</f>
        <v>131.5071597</v>
      </c>
      <c r="P50" s="378">
        <f>IF(O50="","", IF(ARBITRAGES!$H50="BOME",P49+ARBITRAGES!$K50,P49))</f>
        <v>18000.63</v>
      </c>
      <c r="Q50" s="378">
        <f>IF(P50="","", IF(ARBITRAGES!$H50="PEPE",Q49+ARBITRAGES!$K50,Q49))</f>
        <v>23950000</v>
      </c>
      <c r="R50" s="378">
        <f>IF(Q50="","", IF(ARBITRAGES!$H50="WIF",R49+ARBITRAGES!$K50,R49))</f>
        <v>59.012</v>
      </c>
      <c r="S50" s="378">
        <f>IF(R50="","", IF(ARBITRAGES!$H50="RAY",S49+ARBITRAGES!$K50,S49))</f>
        <v>0</v>
      </c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0"/>
    </row>
    <row r="51" ht="18.75" customHeight="1">
      <c r="A51" s="365">
        <f>IF(ARBITRAGES!E51=0,"",ARBITRAGES!E51)</f>
        <v>45666</v>
      </c>
      <c r="B51" s="375">
        <f>IF(A51="","", IF(ARBITRAGES!$H51="BTC",B50+ARBITRAGES!$K51,B50+0.00001))</f>
        <v>0.295019</v>
      </c>
      <c r="C51" s="375">
        <f>IF(B51="","", IF(ARBITRAGES!$H51="eth",C50+ARBITRAGES!$K51,C50+0.004))</f>
        <v>2.808</v>
      </c>
      <c r="D51" s="376">
        <f>IF(C51="","", IF(ARBITRAGES!$H51="ton",D50+ARBITRAGES!$K51,D50+0.3))</f>
        <v>550.6515494</v>
      </c>
      <c r="E51" s="376">
        <f>IF(D51="","", IF(ARBITRAGES!$H51="sol",E50+ARBITRAGES!$K51,E50+0.03))</f>
        <v>15.04159378</v>
      </c>
      <c r="F51" s="385">
        <f>IF(E51="","", IF(ARBITRAGES!$H51="tao",F50+ARBITRAGES!$K51,F50))</f>
        <v>6.405442324</v>
      </c>
      <c r="G51" s="378">
        <f>IF(F51="","", IF(ARBITRAGES!$H51="ron",G50+ARBITRAGES!$K51,G50+0.63))</f>
        <v>704.304</v>
      </c>
      <c r="H51" s="378">
        <f>IF(G51="","", IF(ARBITRAGES!$H51="link",H50+ARBITRAGES!$K51,H50+0.01))</f>
        <v>100.0297</v>
      </c>
      <c r="I51" s="378">
        <f>IF(H51="","", IF(ARBITRAGES!$H51="doge",I50+ARBITRAGES!$K51,I50+0.3))</f>
        <v>1750.445</v>
      </c>
      <c r="J51" s="378">
        <f>IF(I51="","", IF(ARBITRAGES!$H51="shib",J50-ARBITRAGES!$K51,J50+750))</f>
        <v>20501112.71</v>
      </c>
      <c r="K51" s="378">
        <f>IF(J51="","", IF(ARBITRAGES!$H51="cake",K50+ARBITRAGES!$K51,K50+0.01))</f>
        <v>127.0244432</v>
      </c>
      <c r="L51" s="378">
        <f>IF(K51="","", IF(ARBITRAGES!$H51="JUP",L50+ARBITRAGES!$K51,L50+4))</f>
        <v>811.9754</v>
      </c>
      <c r="M51" s="376">
        <f>IF(L51="","", IF(ARBITRAGES!$H51="aave",M50+ARBITRAGES!$K51,M50+0.0006))</f>
        <v>3.3506</v>
      </c>
      <c r="N51" s="378">
        <f>IF(M51="","", IF(ARBITRAGES!$H51="ckb",N50+ARBITRAGES!$K51,N50+2))</f>
        <v>60002.5</v>
      </c>
      <c r="O51" s="378">
        <f>IF(N51="","", IF(ARBITRAGES!$H51="pendle",O50+ARBITRAGES!$K51,O50+0.03))</f>
        <v>131.5371597</v>
      </c>
      <c r="P51" s="378">
        <f>IF(O51="","", IF(ARBITRAGES!$H51="BOME",P50+ARBITRAGES!$K51,P50+2))</f>
        <v>18002.63</v>
      </c>
      <c r="Q51" s="378">
        <f>IF(P51="","", IF(ARBITRAGES!$H51="PEPE",Q50+ARBITRAGES!$K51,Q50))</f>
        <v>23950000</v>
      </c>
      <c r="R51" s="378">
        <f>IF(Q51="","", IF(ARBITRAGES!$H51="WIF",R50+ARBITRAGES!$K51,R50+0.06))</f>
        <v>59.072</v>
      </c>
      <c r="S51" s="378">
        <f>IF(R51="","", IF(ARBITRAGES!$H51="RAY",S50+ARBITRAGES!$K51,S50))</f>
        <v>0</v>
      </c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0"/>
    </row>
    <row r="52" ht="18.75" customHeight="1">
      <c r="A52" s="365">
        <f>IF(ARBITRAGES!E52=0,"",ARBITRAGES!E52)</f>
        <v>45676</v>
      </c>
      <c r="B52" s="375">
        <f>IF(A52="","", IF(ARBITRAGES!$H52="BTC",B51+ARBITRAGES!$K52,B51))</f>
        <v>0.295019</v>
      </c>
      <c r="C52" s="375">
        <f>IF(B52="","", IF(ARBITRAGES!$H52="eth",C51+ARBITRAGES!$K52,C51))</f>
        <v>2.808</v>
      </c>
      <c r="D52" s="376">
        <f>IF(C52="","", IF(ARBITRAGES!$H52="ton",D51+ARBITRAGES!$K52,D51))</f>
        <v>550.6515494</v>
      </c>
      <c r="E52" s="392">
        <f>IF(D52="","", IF(ARBITRAGES!$H52="sol",E51-ARBITRAGES!$K52,E51))</f>
        <v>14.04159378</v>
      </c>
      <c r="F52" s="377">
        <f>IF(E52="","", IF(ARBITRAGES!$H52="tao",F51+ARBITRAGES!$K52,F51))</f>
        <v>6.405442324</v>
      </c>
      <c r="G52" s="378">
        <f>IF(F52="","", IF(ARBITRAGES!$H52="ron",G51+ARBITRAGES!$K52,G51))</f>
        <v>704.304</v>
      </c>
      <c r="H52" s="378">
        <f>IF(G52="","", IF(ARBITRAGES!$H52="link",H51+ARBITRAGES!$K52,H51))</f>
        <v>100.0297</v>
      </c>
      <c r="I52" s="378">
        <f>IF(H52="","", IF(ARBITRAGES!$H52="doge",I51+ARBITRAGES!$K52,I51))</f>
        <v>1750.445</v>
      </c>
      <c r="J52" s="378">
        <f>IF(I52="","", IF(ARBITRAGES!$H52="shib",J51-ARBITRAGES!$K52,J51))</f>
        <v>20501112.71</v>
      </c>
      <c r="K52" s="378">
        <f>IF(J52="","", IF(ARBITRAGES!$H52="cake",K51+ARBITRAGES!$K52,K51))</f>
        <v>127.0244432</v>
      </c>
      <c r="L52" s="378">
        <f>IF(K52="","", IF(ARBITRAGES!$H52="JUP",L51+ARBITRAGES!$K52,L51))</f>
        <v>811.9754</v>
      </c>
      <c r="M52" s="376">
        <f>IF(L52="","", IF(ARBITRAGES!$H52="aave",M51+ARBITRAGES!$K52,M51))</f>
        <v>3.3506</v>
      </c>
      <c r="N52" s="378">
        <f>IF(M52="","", IF(ARBITRAGES!$H52="ckb",N51+ARBITRAGES!$K52,N51))</f>
        <v>60002.5</v>
      </c>
      <c r="O52" s="378">
        <f>IF(N52="","", IF(ARBITRAGES!$H52="pendle",O51+ARBITRAGES!$K52,O51))</f>
        <v>131.5371597</v>
      </c>
      <c r="P52" s="378">
        <f>IF(O52="","", IF(ARBITRAGES!$H52="BOME",P51+ARBITRAGES!$K52,P51))</f>
        <v>18002.63</v>
      </c>
      <c r="Q52" s="378">
        <f>IF(P52="","", IF(ARBITRAGES!$H52="PEPE",Q51+ARBITRAGES!$K52,Q51))</f>
        <v>23950000</v>
      </c>
      <c r="R52" s="378">
        <f>IF(Q52="","", IF(ARBITRAGES!$H52="WIF",R51+ARBITRAGES!$K52,R51))</f>
        <v>59.072</v>
      </c>
      <c r="S52" s="378">
        <f>IF(R52="","", IF(ARBITRAGES!$H52="RAY",S51+ARBITRAGES!$K52,S51))</f>
        <v>0</v>
      </c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</row>
    <row r="53" ht="18.75" customHeight="1">
      <c r="A53" s="365">
        <f>IF(ARBITRAGES!E53=0,"",ARBITRAGES!E53)</f>
        <v>45677</v>
      </c>
      <c r="B53" s="375">
        <f>IF(A53="","", IF(ARBITRAGES!$H53="BTC",B52+ARBITRAGES!$K53,B52))</f>
        <v>0.295019</v>
      </c>
      <c r="C53" s="375">
        <f>IF(B53="","", IF(ARBITRAGES!$H53="eth",C52+ARBITRAGES!$K53,C52))</f>
        <v>2.808</v>
      </c>
      <c r="D53" s="376">
        <f>IF(C53="","", IF(ARBITRAGES!$H53="ton",D52+ARBITRAGES!$K53,D52))</f>
        <v>550.6515494</v>
      </c>
      <c r="E53" s="376">
        <f>IF(D53="","", IF(ARBITRAGES!$H53="sol",E52+ARBITRAGES!$K53,E52))</f>
        <v>14.04159378</v>
      </c>
      <c r="F53" s="377">
        <f>IF(E53="","", IF(ARBITRAGES!$H53="tao",F52+ARBITRAGES!$K53,F52))</f>
        <v>6.405442324</v>
      </c>
      <c r="G53" s="378">
        <f>IF(F53="","", IF(ARBITRAGES!$H53="ron",G52+ARBITRAGES!$K53,G52))</f>
        <v>704.304</v>
      </c>
      <c r="H53" s="378">
        <f>IF(G53="","", IF(ARBITRAGES!$H53="link",H52+ARBITRAGES!$K53,H52))</f>
        <v>100.0297</v>
      </c>
      <c r="I53" s="378">
        <f>IF(H53="","", IF(ARBITRAGES!$H53="doge",I52+ARBITRAGES!$K53,I52))</f>
        <v>1750.445</v>
      </c>
      <c r="J53" s="378">
        <f>IF(I53="","", IF(ARBITRAGES!$H53="shib",J52-ARBITRAGES!$K53,J52))</f>
        <v>20501112.71</v>
      </c>
      <c r="K53" s="378">
        <f>IF(J53="","", IF(ARBITRAGES!$H53="cake",K52+ARBITRAGES!$K53,K52))</f>
        <v>127.0244432</v>
      </c>
      <c r="L53" s="378">
        <f>IF(K53="","", IF(ARBITRAGES!$H53="JUP",L52+ARBITRAGES!$K53,L52))</f>
        <v>811.9754</v>
      </c>
      <c r="M53" s="376">
        <f>IF(L53="","", IF(ARBITRAGES!$H53="aave",M52+ARBITRAGES!$K53,M52))</f>
        <v>3.3506</v>
      </c>
      <c r="N53" s="378">
        <f>IF(M53="","", IF(ARBITRAGES!$H53="ckb",N52+ARBITRAGES!$K53,N52))</f>
        <v>60002.5</v>
      </c>
      <c r="O53" s="378">
        <f>IF(N53="","", IF(ARBITRAGES!$H53="pendle",O52+ARBITRAGES!$K53,O52))</f>
        <v>131.5371597</v>
      </c>
      <c r="P53" s="378">
        <f>IF(O53="","", IF(ARBITRAGES!$H53="BOME",P52+ARBITRAGES!$K53,P52))</f>
        <v>18002.63</v>
      </c>
      <c r="Q53" s="378">
        <f>IF(P53="","", IF(ARBITRAGES!$H53="PEPE",Q52+ARBITRAGES!$K53,Q52))</f>
        <v>23950000</v>
      </c>
      <c r="R53" s="378">
        <f>IF(Q53="","", IF(ARBITRAGES!$H53="WIF",R52+ARBITRAGES!$K53,R52))</f>
        <v>59.072</v>
      </c>
      <c r="S53" s="389">
        <f>IF(R53="","", IF(ARBITRAGES!$H53="RAY",S52+ARBITRAGES!$K53,S52))</f>
        <v>44</v>
      </c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0"/>
    </row>
    <row r="54" ht="18.75" customHeight="1">
      <c r="A54" s="365">
        <f>IF(ARBITRAGES!E54=0,"",ARBITRAGES!E54)</f>
        <v>45718</v>
      </c>
      <c r="B54" s="393">
        <f>IF(A54="","", IF(ARBITRAGES!$H54="BTC",B53-ARBITRAGES!$K54+0.00002,B53))</f>
        <v>0.270044291</v>
      </c>
      <c r="C54" s="375">
        <f>IF(B54="","", IF(ARBITRAGES!$H54="eth",C53+ARBITRAGES!$K54,C53+0.0032))</f>
        <v>2.8112</v>
      </c>
      <c r="D54" s="376">
        <f>IF(C54="","", IF(ARBITRAGES!$H54="ton",D53+ARBITRAGES!$K54,D53))</f>
        <v>550.6515494</v>
      </c>
      <c r="E54" s="376">
        <f>IF(D54="","", IF(ARBITRAGES!$H54="sol",E53+ARBITRAGES!$K54,E53+0.06))</f>
        <v>14.10159378</v>
      </c>
      <c r="F54" s="377">
        <f>IF(E54="","", IF(ARBITRAGES!$H54="tao",F53+ARBITRAGES!$K54,F53+0.005))</f>
        <v>6.410442324</v>
      </c>
      <c r="G54" s="378">
        <f>IF(F54="","", IF(ARBITRAGES!$H54="ron",G53+ARBITRAGES!$K54,G53+3))</f>
        <v>707.304</v>
      </c>
      <c r="H54" s="378">
        <f>IF(G54="","", IF(ARBITRAGES!$H54="link",H53+ARBITRAGES!$K54,H53+0.02))</f>
        <v>100.0497</v>
      </c>
      <c r="I54" s="378">
        <f>IF(H54="","", IF(ARBITRAGES!$H54="doge",I53+ARBITRAGES!$K54,I53+0.6))</f>
        <v>1751.045</v>
      </c>
      <c r="J54" s="378">
        <f>IF(I54="","", IF(ARBITRAGES!$H54="shib",J53-ARBITRAGES!$K54,J53+900))</f>
        <v>20502012.71</v>
      </c>
      <c r="K54" s="378">
        <f>IF(J54="","", IF(ARBITRAGES!$H54="cake",K53+ARBITRAGES!$K54,K53+0.02))</f>
        <v>127.0444432</v>
      </c>
      <c r="L54" s="378">
        <f>IF(K54="","", IF(ARBITRAGES!$H54="JUP",L53+ARBITRAGES!$K54,L53+3))</f>
        <v>814.9754</v>
      </c>
      <c r="M54" s="376">
        <f>IF(L54="","", IF(ARBITRAGES!$H54="aave",M53+ARBITRAGES!$K54,M53))</f>
        <v>3.3506</v>
      </c>
      <c r="N54" s="378">
        <f>IF(M54="","", IF(ARBITRAGES!$H54="ckb",N53+ARBITRAGES!$K54,N53))</f>
        <v>60002.5</v>
      </c>
      <c r="O54" s="378">
        <f>IF(N54="","", IF(ARBITRAGES!$H54="pendle",O53+ARBITRAGES!$K54,O53))</f>
        <v>131.5371597</v>
      </c>
      <c r="P54" s="378">
        <f>IF(O54="","", IF(ARBITRAGES!$H54="BOME",P53+ARBITRAGES!$K54,P53))</f>
        <v>18002.63</v>
      </c>
      <c r="Q54" s="378">
        <f>IF(P54="","", IF(ARBITRAGES!$H54="PEPE",Q53+ARBITRAGES!$K54,Q53))</f>
        <v>23950000</v>
      </c>
      <c r="R54" s="378">
        <f>IF(Q54="","", IF(ARBITRAGES!$H54="WIF",R53+ARBITRAGES!$K54,R53))</f>
        <v>59.072</v>
      </c>
      <c r="S54" s="378">
        <f>IF(R54="","", IF(ARBITRAGES!$H54="RAY",S53+ARBITRAGES!$K54,S53))</f>
        <v>44</v>
      </c>
      <c r="T54" s="360"/>
      <c r="U54" s="360"/>
      <c r="V54" s="360"/>
      <c r="W54" s="360"/>
      <c r="X54" s="360"/>
      <c r="Y54" s="360"/>
      <c r="Z54" s="360"/>
      <c r="AA54" s="360"/>
      <c r="AB54" s="360"/>
      <c r="AC54" s="360"/>
      <c r="AD54" s="360"/>
      <c r="AE54" s="360"/>
      <c r="AF54" s="360"/>
      <c r="AG54" s="360"/>
      <c r="AH54" s="360"/>
    </row>
    <row r="55" ht="18.75" customHeight="1">
      <c r="A55" s="365">
        <f>IF(ARBITRAGES!E55=0,"",ARBITRAGES!E55)</f>
        <v>45719</v>
      </c>
      <c r="B55" s="375">
        <f>IF(A55="","", IF(ARBITRAGES!$H55="BTC",B54+ARBITRAGES!$K55,B54))</f>
        <v>0.270044291</v>
      </c>
      <c r="C55" s="375">
        <f>IF(B55="","", IF(ARBITRAGES!$H55="eth",C54+ARBITRAGES!$K55,C54))</f>
        <v>2.8112</v>
      </c>
      <c r="D55" s="376">
        <f>IF(C55="","", IF(ARBITRAGES!$H55="ton",D54+ARBITRAGES!$K55,D54))</f>
        <v>550.6515494</v>
      </c>
      <c r="E55" s="376">
        <f>IF(D55="","", IF(ARBITRAGES!$H55="sol",E54+ARBITRAGES!$K55,E54))</f>
        <v>14.10159378</v>
      </c>
      <c r="F55" s="385">
        <f>IF(E55="","", IF(ARBITRAGES!$H55="tao",F54+ARBITRAGES!$K55,F54))</f>
        <v>7.620119743</v>
      </c>
      <c r="G55" s="378">
        <f>IF(F55="","", IF(ARBITRAGES!$H55="ron",G54+ARBITRAGES!$K55,G54))</f>
        <v>707.304</v>
      </c>
      <c r="H55" s="378">
        <f>IF(G55="","", IF(ARBITRAGES!$H55="link",H54+ARBITRAGES!$K55,H54))</f>
        <v>100.0497</v>
      </c>
      <c r="I55" s="378">
        <f>IF(H55="","", IF(ARBITRAGES!$H55="doge",I54+ARBITRAGES!$K55,I54))</f>
        <v>1751.045</v>
      </c>
      <c r="J55" s="378">
        <f>IF(I55="","", IF(ARBITRAGES!$H55="shib",J54-ARBITRAGES!$K55,J54))</f>
        <v>20502012.71</v>
      </c>
      <c r="K55" s="378">
        <f>IF(J55="","", IF(ARBITRAGES!$H55="cake",K54+ARBITRAGES!$K55,K54))</f>
        <v>127.0444432</v>
      </c>
      <c r="L55" s="378">
        <f>IF(K55="","", IF(ARBITRAGES!$H55="JUP",L54+ARBITRAGES!$K55,L54))</f>
        <v>814.9754</v>
      </c>
      <c r="M55" s="376">
        <f>IF(L55="","", IF(ARBITRAGES!$H55="aave",M54+ARBITRAGES!$K55,M54))</f>
        <v>3.3506</v>
      </c>
      <c r="N55" s="378">
        <f>IF(M55="","", IF(ARBITRAGES!$H55="ckb",N54+ARBITRAGES!$K55,N54))</f>
        <v>60002.5</v>
      </c>
      <c r="O55" s="378">
        <f>IF(N55="","", IF(ARBITRAGES!$H55="pendle",O54+ARBITRAGES!$K55,O54))</f>
        <v>131.5371597</v>
      </c>
      <c r="P55" s="378">
        <f>IF(O55="","", IF(ARBITRAGES!$H55="BOME",P54+ARBITRAGES!$K55,P54))</f>
        <v>18002.63</v>
      </c>
      <c r="Q55" s="378">
        <f>IF(P55="","", IF(ARBITRAGES!$H55="PEPE",Q54+ARBITRAGES!$K55,Q54))</f>
        <v>23950000</v>
      </c>
      <c r="R55" s="378">
        <f>IF(Q55="","", IF(ARBITRAGES!$H55="WIF",R54+ARBITRAGES!$K55,R54))</f>
        <v>59.072</v>
      </c>
      <c r="S55" s="378">
        <f>IF(R55="","", IF(ARBITRAGES!$H55="RAY",S54+ARBITRAGES!$K55,S54))</f>
        <v>44</v>
      </c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/>
      <c r="AH55" s="360"/>
    </row>
    <row r="56" ht="18.75" customHeight="1">
      <c r="A56" s="365">
        <f>IF(ARBITRAGES!E56=0,"",ARBITRAGES!E56)</f>
        <v>45719</v>
      </c>
      <c r="B56" s="375">
        <f>IF(A56="","", IF(ARBITRAGES!$H56="BTC",B55+ARBITRAGES!$K56,B55))</f>
        <v>0.270044291</v>
      </c>
      <c r="C56" s="375">
        <f>IF(B56="","", IF(ARBITRAGES!$H56="eth",C55+ARBITRAGES!$K56,C55))</f>
        <v>2.8112</v>
      </c>
      <c r="D56" s="376">
        <f>IF(C56="","", IF(ARBITRAGES!$H56="ton",D55+ARBITRAGES!$K56,D55))</f>
        <v>550.6515494</v>
      </c>
      <c r="E56" s="376">
        <f>IF(D56="","", IF(ARBITRAGES!$H56="sol",E55+ARBITRAGES!$K56,E55))</f>
        <v>14.10159378</v>
      </c>
      <c r="F56" s="377">
        <f>IF(E56="","", IF(ARBITRAGES!$H56="tao",F55+ARBITRAGES!$K56,F55))</f>
        <v>7.620119743</v>
      </c>
      <c r="G56" s="378">
        <f>IF(F56="","", IF(ARBITRAGES!$H56="ron",G55+ARBITRAGES!$K56,G55))</f>
        <v>707.304</v>
      </c>
      <c r="H56" s="378">
        <f>IF(G56="","", IF(ARBITRAGES!$H56="link",H55+ARBITRAGES!$K56,H55))</f>
        <v>100.0497</v>
      </c>
      <c r="I56" s="378">
        <f>IF(H56="","", IF(ARBITRAGES!$H56="doge",I55+ARBITRAGES!$K56,I55))</f>
        <v>1751.045</v>
      </c>
      <c r="J56" s="378">
        <f>IF(I56="","", IF(ARBITRAGES!$H56="shib",J55-ARBITRAGES!$K56,J55))</f>
        <v>20502012.71</v>
      </c>
      <c r="K56" s="378">
        <f>IF(J56="","", IF(ARBITRAGES!$H56="cake",K55+ARBITRAGES!$K56,K55))</f>
        <v>127.0444432</v>
      </c>
      <c r="L56" s="378">
        <f>IF(K56="","", IF(ARBITRAGES!$H56="JUP",L55+ARBITRAGES!$K56,L55))</f>
        <v>814.9754</v>
      </c>
      <c r="M56" s="383">
        <f>IF(L56="","", IF(ARBITRAGES!$H56="aave",M55+ARBITRAGES!$K56,M55))</f>
        <v>4.017705263</v>
      </c>
      <c r="N56" s="378">
        <f>IF(M56="","", IF(ARBITRAGES!$H56="ckb",N55+ARBITRAGES!$K56,N55+21))</f>
        <v>60023.5</v>
      </c>
      <c r="O56" s="378">
        <f>IF(N56="","", IF(ARBITRAGES!$H56="pendle",O55+ARBITRAGES!$K56,O55+0.06))</f>
        <v>131.5971597</v>
      </c>
      <c r="P56" s="378">
        <f>IF(O56="","", IF(ARBITRAGES!$H56="BOME",P55+ARBITRAGES!$K56,P55+5))</f>
        <v>18007.63</v>
      </c>
      <c r="Q56" s="378">
        <f>IF(P56="","", IF(ARBITRAGES!$H56="PEPE",Q55+ARBITRAGES!$K56,Q55))</f>
        <v>23950000</v>
      </c>
      <c r="R56" s="378">
        <f>IF(Q56="","", IF(ARBITRAGES!$H56="WIF",R55+ARBITRAGES!$K56,R55))</f>
        <v>59.072</v>
      </c>
      <c r="S56" s="378">
        <f>IF(R56="","", IF(ARBITRAGES!$H56="RAY",S55+ARBITRAGES!$K56,S55))</f>
        <v>44</v>
      </c>
      <c r="T56" s="360"/>
      <c r="U56" s="360"/>
      <c r="V56" s="360"/>
      <c r="W56" s="360"/>
      <c r="X56" s="360"/>
      <c r="Y56" s="360"/>
      <c r="Z56" s="360"/>
      <c r="AA56" s="360"/>
      <c r="AB56" s="360"/>
      <c r="AC56" s="360"/>
      <c r="AD56" s="360"/>
      <c r="AE56" s="360"/>
      <c r="AF56" s="360"/>
      <c r="AG56" s="360"/>
      <c r="AH56" s="360"/>
    </row>
    <row r="57" ht="18.75" customHeight="1">
      <c r="A57" s="365">
        <f>IF(ARBITRAGES!E57=0,"",ARBITRAGES!E57)</f>
        <v>45719</v>
      </c>
      <c r="B57" s="374">
        <f>IF(A57="","", IF(ARBITRAGES!$H57="BTC",B56+ARBITRAGES!$K57,B56))</f>
        <v>0.2735124991</v>
      </c>
      <c r="C57" s="375">
        <f>IF(B57="","", IF(ARBITRAGES!$H57="eth",C56+ARBITRAGES!$K57,C56))</f>
        <v>2.8112</v>
      </c>
      <c r="D57" s="376">
        <f>IF(C57="","", IF(ARBITRAGES!$H57="ton",D56+ARBITRAGES!$K57,D56))</f>
        <v>550.6515494</v>
      </c>
      <c r="E57" s="376">
        <f>IF(D57="","", IF(ARBITRAGES!$H57="sol",E56+ARBITRAGES!$K57,E56))</f>
        <v>14.10159378</v>
      </c>
      <c r="F57" s="377">
        <f>IF(E57="","", IF(ARBITRAGES!$H57="tao",F56+ARBITRAGES!$K57,F56))</f>
        <v>7.620119743</v>
      </c>
      <c r="G57" s="378">
        <f>IF(F57="","", IF(ARBITRAGES!$H57="ron",G56+ARBITRAGES!$K57,G56))</f>
        <v>707.304</v>
      </c>
      <c r="H57" s="378">
        <f>IF(G57="","", IF(ARBITRAGES!$H57="link",H56+ARBITRAGES!$K57,H56))</f>
        <v>100.0497</v>
      </c>
      <c r="I57" s="378">
        <f>IF(H57="","", IF(ARBITRAGES!$H57="doge",I56+ARBITRAGES!$K57,I56))</f>
        <v>1751.045</v>
      </c>
      <c r="J57" s="378">
        <f>IF(I57="","", IF(ARBITRAGES!$H57="shib",J56-ARBITRAGES!$K57,J56))</f>
        <v>20502012.71</v>
      </c>
      <c r="K57" s="378">
        <f>IF(J57="","", IF(ARBITRAGES!$H57="cake",K56+ARBITRAGES!$K57,K56))</f>
        <v>127.0444432</v>
      </c>
      <c r="L57" s="378">
        <f>IF(K57="","", IF(ARBITRAGES!$H57="JUP",L56+ARBITRAGES!$K57,L56))</f>
        <v>814.9754</v>
      </c>
      <c r="M57" s="376">
        <f>IF(L57="","", IF(ARBITRAGES!$H57="aave",M56+ARBITRAGES!$K57,M56))</f>
        <v>4.017705263</v>
      </c>
      <c r="N57" s="378">
        <f>IF(M57="","", IF(ARBITRAGES!$H57="ckb",N56+ARBITRAGES!$K57,N56))</f>
        <v>60023.5</v>
      </c>
      <c r="O57" s="378">
        <f>IF(N57="","", IF(ARBITRAGES!$H57="pendle",O56+ARBITRAGES!$K57,O56))</f>
        <v>131.5971597</v>
      </c>
      <c r="P57" s="378">
        <f>IF(O57="","", IF(ARBITRAGES!$H57="BOME",P56+ARBITRAGES!$K57,P56))</f>
        <v>18007.63</v>
      </c>
      <c r="Q57" s="378">
        <f>IF(P57="","", IF(ARBITRAGES!$H57="PEPE",Q56+ARBITRAGES!$K57,Q56))</f>
        <v>23950000</v>
      </c>
      <c r="R57" s="378">
        <f>IF(Q57="","", IF(ARBITRAGES!$H57="WIF",R56+ARBITRAGES!$K57,R56))</f>
        <v>59.072</v>
      </c>
      <c r="S57" s="378">
        <f>IF(R57="","", IF(ARBITRAGES!$H57="RAY",S56+ARBITRAGES!$K57,S56))</f>
        <v>44</v>
      </c>
      <c r="T57" s="360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0"/>
      <c r="AG57" s="360"/>
      <c r="AH57" s="360"/>
    </row>
    <row r="58" ht="18.75" customHeight="1">
      <c r="A58" s="365">
        <f>IF(ARBITRAGES!E58=0,"",ARBITRAGES!E58)</f>
        <v>45719</v>
      </c>
      <c r="B58" s="374">
        <f>IF(A58="","", IF(ARBITRAGES!$H58="BTC",B57+ARBITRAGES!$K58,B57))</f>
        <v>0.2800124991</v>
      </c>
      <c r="C58" s="375">
        <f>IF(B58="","", IF(ARBITRAGES!$H58="eth",C57+ARBITRAGES!$K58,C57))</f>
        <v>2.8112</v>
      </c>
      <c r="D58" s="376">
        <f>IF(C58="","", IF(ARBITRAGES!$H58="ton",D57+ARBITRAGES!$K58,D57))</f>
        <v>550.6515494</v>
      </c>
      <c r="E58" s="376">
        <f>IF(D58="","", IF(ARBITRAGES!$H58="sol",E57+ARBITRAGES!$K58,E57))</f>
        <v>14.10159378</v>
      </c>
      <c r="F58" s="377">
        <f>IF(E58="","", IF(ARBITRAGES!$H58="tao",F57+ARBITRAGES!$K58,F57))</f>
        <v>7.620119743</v>
      </c>
      <c r="G58" s="378">
        <f>IF(F58="","", IF(ARBITRAGES!$H58="ron",G57+ARBITRAGES!$K58,G57))</f>
        <v>707.304</v>
      </c>
      <c r="H58" s="378">
        <f>IF(G58="","", IF(ARBITRAGES!$H58="link",H57+ARBITRAGES!$K58,H57))</f>
        <v>100.0497</v>
      </c>
      <c r="I58" s="378">
        <f>IF(H58="","", IF(ARBITRAGES!$H58="doge",I57+ARBITRAGES!$K58,I57))</f>
        <v>1751.045</v>
      </c>
      <c r="J58" s="378">
        <f>IF(I58="","", IF(ARBITRAGES!$H58="shib",J57-ARBITRAGES!$K58,J57))</f>
        <v>20502012.71</v>
      </c>
      <c r="K58" s="378">
        <f>IF(J58="","", IF(ARBITRAGES!$H58="cake",K57+ARBITRAGES!$K58,K57))</f>
        <v>127.0444432</v>
      </c>
      <c r="L58" s="378">
        <f>IF(K58="","", IF(ARBITRAGES!$H58="JUP",L57+ARBITRAGES!$K58,L57))</f>
        <v>814.9754</v>
      </c>
      <c r="M58" s="376">
        <f>IF(L58="","", IF(ARBITRAGES!$H58="aave",M57+ARBITRAGES!$K58,M57))</f>
        <v>4.017705263</v>
      </c>
      <c r="N58" s="378">
        <f>IF(M58="","", IF(ARBITRAGES!$H58="ckb",N57+ARBITRAGES!$K58,N57))</f>
        <v>60023.5</v>
      </c>
      <c r="O58" s="378">
        <f>IF(N58="","", IF(ARBITRAGES!$H58="pendle",O57+ARBITRAGES!$K58,O57))</f>
        <v>131.5971597</v>
      </c>
      <c r="P58" s="378">
        <f>IF(O58="","", IF(ARBITRAGES!$H58="BOME",P57+ARBITRAGES!$K58,P57))</f>
        <v>18007.63</v>
      </c>
      <c r="Q58" s="378">
        <f>IF(P58="","", IF(ARBITRAGES!$H58="PEPE",Q57+ARBITRAGES!$K58,Q57))</f>
        <v>23950000</v>
      </c>
      <c r="R58" s="378">
        <f>IF(Q58="","", IF(ARBITRAGES!$H58="WIF",R57+ARBITRAGES!$K58,R57))</f>
        <v>59.072</v>
      </c>
      <c r="S58" s="378">
        <f>IF(R58="","", IF(ARBITRAGES!$H58="RAY",S57+ARBITRAGES!$K58,S57))</f>
        <v>44</v>
      </c>
      <c r="T58" s="360"/>
      <c r="U58" s="360"/>
      <c r="V58" s="360"/>
      <c r="W58" s="360"/>
      <c r="X58" s="360"/>
      <c r="Y58" s="360"/>
      <c r="Z58" s="360"/>
      <c r="AA58" s="360"/>
      <c r="AB58" s="360"/>
      <c r="AC58" s="360"/>
      <c r="AD58" s="360"/>
      <c r="AE58" s="360"/>
      <c r="AF58" s="360"/>
      <c r="AG58" s="360"/>
      <c r="AH58" s="360"/>
    </row>
    <row r="59" ht="18.75" customHeight="1">
      <c r="A59" s="365">
        <f>IF(ARBITRAGES!E59=0,"",ARBITRAGES!E59)</f>
        <v>45720</v>
      </c>
      <c r="B59" s="375">
        <f>IF(A59="","", IF(ARBITRAGES!$H59="BTC",B58+ARBITRAGES!$K59,B58))</f>
        <v>0.2800124991</v>
      </c>
      <c r="C59" s="375">
        <f>IF(B59="","", IF(ARBITRAGES!$H59="eth",C58+ARBITRAGES!$K59,C58))</f>
        <v>2.8112</v>
      </c>
      <c r="D59" s="376">
        <f>IF(C59="","", IF(ARBITRAGES!$H59="ton",D58+ARBITRAGES!$K59,D58))</f>
        <v>550.6515494</v>
      </c>
      <c r="E59" s="376">
        <f>IF(D59="","", IF(ARBITRAGES!$H59="sol",E58+ARBITRAGES!$K59,E58))</f>
        <v>14.10159378</v>
      </c>
      <c r="F59" s="377">
        <f>IF(E59="","", IF(ARBITRAGES!$H59="tao",F58+ARBITRAGES!$K59,F58))</f>
        <v>7.620119743</v>
      </c>
      <c r="G59" s="378">
        <f>IF(F59="","", IF(ARBITRAGES!$H59="ron",G58+ARBITRAGES!$K59,G58))</f>
        <v>707.304</v>
      </c>
      <c r="H59" s="378">
        <f>IF(G59="","", IF(ARBITRAGES!$H59="link",H58+ARBITRAGES!$K59,H58))</f>
        <v>100.0497</v>
      </c>
      <c r="I59" s="378">
        <f>IF(H59="","", IF(ARBITRAGES!$H59="doge",I58+ARBITRAGES!$K59,I58))</f>
        <v>1751.045</v>
      </c>
      <c r="J59" s="378">
        <f>IF(I59="","", IF(ARBITRAGES!$H59="shib",J58-ARBITRAGES!$K59,J58))</f>
        <v>20502012.71</v>
      </c>
      <c r="K59" s="378">
        <f>IF(J59="","", IF(ARBITRAGES!$H59="cake",K58+ARBITRAGES!$K59,K58))</f>
        <v>127.0444432</v>
      </c>
      <c r="L59" s="378">
        <f>IF(K59="","", IF(ARBITRAGES!$H59="JUP",L58+ARBITRAGES!$K59,L58))</f>
        <v>814.9754</v>
      </c>
      <c r="M59" s="376">
        <f>IF(L59="","", IF(ARBITRAGES!$H59="aave",M58+ARBITRAGES!$K59,M58))</f>
        <v>4.017705263</v>
      </c>
      <c r="N59" s="389">
        <f>IF(M59="","", IF(ARBITRAGES!$H59="ckb",N58+ARBITRAGES!$K59,N58))</f>
        <v>73659.86364</v>
      </c>
      <c r="O59" s="378">
        <f>IF(N59="","", IF(ARBITRAGES!$H59="pendle",O58+ARBITRAGES!$K59,O58))</f>
        <v>131.5971597</v>
      </c>
      <c r="P59" s="378">
        <f>IF(O59="","", IF(ARBITRAGES!$H59="BOME",P58+ARBITRAGES!$K59,P58))</f>
        <v>18007.63</v>
      </c>
      <c r="Q59" s="378">
        <f>IF(P59="","", IF(ARBITRAGES!$H59="PEPE",Q58+ARBITRAGES!$K59,Q58))</f>
        <v>23950000</v>
      </c>
      <c r="R59" s="378">
        <f>IF(Q59="","", IF(ARBITRAGES!$H59="WIF",R58+ARBITRAGES!$K59,R58))</f>
        <v>59.072</v>
      </c>
      <c r="S59" s="378">
        <f>IF(R59="","", IF(ARBITRAGES!$H59="RAY",S58+ARBITRAGES!$K59,S58))</f>
        <v>44</v>
      </c>
      <c r="T59" s="360"/>
      <c r="U59" s="360"/>
      <c r="V59" s="360"/>
      <c r="W59" s="360"/>
      <c r="X59" s="360"/>
      <c r="Y59" s="360"/>
      <c r="Z59" s="360"/>
      <c r="AA59" s="360"/>
      <c r="AB59" s="360"/>
      <c r="AC59" s="360"/>
      <c r="AD59" s="360"/>
      <c r="AE59" s="360"/>
      <c r="AF59" s="360"/>
      <c r="AG59" s="360"/>
      <c r="AH59" s="360"/>
    </row>
    <row r="60" ht="18.75" customHeight="1">
      <c r="A60" s="365">
        <f>IF(ARBITRAGES!E60=0,"",ARBITRAGES!E60)</f>
        <v>45725</v>
      </c>
      <c r="B60" s="375">
        <f>IF(A60="","", IF(ARBITRAGES!$H60="BTC",B59+ARBITRAGES!$K60,B59))</f>
        <v>0.2800124991</v>
      </c>
      <c r="C60" s="375">
        <f>IF(B60="","", IF(ARBITRAGES!$H60="eth",C59+ARBITRAGES!$K60,C59))</f>
        <v>2.8112</v>
      </c>
      <c r="D60" s="376">
        <f>IF(C60="","", IF(ARBITRAGES!$H60="ton",D59+ARBITRAGES!$K60,D59))</f>
        <v>550.6515494</v>
      </c>
      <c r="E60" s="376">
        <f>IF(D60="","", IF(ARBITRAGES!$H60="sol",E59+ARBITRAGES!$K60,E59))</f>
        <v>14.10159378</v>
      </c>
      <c r="F60" s="377">
        <f>IF(E60="","", IF(ARBITRAGES!$H60="tao",F59+ARBITRAGES!$K60,F59))</f>
        <v>7.620119743</v>
      </c>
      <c r="G60" s="378">
        <f>IF(F60="","", IF(ARBITRAGES!$H60="ron",G59+ARBITRAGES!$K60,G59))</f>
        <v>707.304</v>
      </c>
      <c r="H60" s="378">
        <f>IF(G60="","", IF(ARBITRAGES!$H60="link",H59+ARBITRAGES!$K60,H59))</f>
        <v>100.0497</v>
      </c>
      <c r="I60" s="378">
        <f>IF(H60="","", IF(ARBITRAGES!$H60="doge",I59+ARBITRAGES!$K60,I59))</f>
        <v>1751.045</v>
      </c>
      <c r="J60" s="378">
        <f>IF(I60="","", IF(ARBITRAGES!$H60="shib",J59-ARBITRAGES!$K60,J59))</f>
        <v>20502012.71</v>
      </c>
      <c r="K60" s="378">
        <f>IF(J60="","", IF(ARBITRAGES!$H60="cake",K59+ARBITRAGES!$K60,K59))</f>
        <v>127.0444432</v>
      </c>
      <c r="L60" s="378">
        <f>IF(K60="","", IF(ARBITRAGES!$H60="JUP",L59+ARBITRAGES!$K60,L59))</f>
        <v>814.9754</v>
      </c>
      <c r="M60" s="376">
        <f>IF(L60="","", IF(ARBITRAGES!$H60="aave",M59+ARBITRAGES!$K60,M59))</f>
        <v>4.017705263</v>
      </c>
      <c r="N60" s="378">
        <f>IF(M60="","", IF(ARBITRAGES!$H60="ckb",N59+ARBITRAGES!$K60,N59))</f>
        <v>73659.86364</v>
      </c>
      <c r="O60" s="389">
        <f>IF(N60="","", IF(ARBITRAGES!$H60="pendle",O59+ARBITRAGES!$K60+0.15,O59))</f>
        <v>169.7471597</v>
      </c>
      <c r="P60" s="378">
        <f>IF(O60="","", IF(ARBITRAGES!$H60="BOME",P59+ARBITRAGES!$K60,P59))</f>
        <v>18007.63</v>
      </c>
      <c r="Q60" s="378">
        <f>IF(P60="","", IF(ARBITRAGES!$H60="PEPE",Q59+ARBITRAGES!$K60,Q59))</f>
        <v>23950000</v>
      </c>
      <c r="R60" s="378">
        <f>IF(Q60="","", IF(ARBITRAGES!$H60="WIF",R59+ARBITRAGES!$K60,R59))</f>
        <v>59.072</v>
      </c>
      <c r="S60" s="378">
        <f>IF(R60="","", IF(ARBITRAGES!$H60="RAY",S59+ARBITRAGES!$K60,S59))</f>
        <v>44</v>
      </c>
      <c r="T60" s="360"/>
      <c r="U60" s="360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/>
      <c r="AH60" s="360"/>
    </row>
    <row r="61" ht="18.75" customHeight="1">
      <c r="A61" s="365">
        <f>IF(ARBITRAGES!E61=0,"",ARBITRAGES!E61)</f>
        <v>45734</v>
      </c>
      <c r="B61" s="375">
        <f>IF(A61="","", IF(ARBITRAGES!$H61="BTC",B60+ARBITRAGES!$K61,B60))</f>
        <v>0.2800124991</v>
      </c>
      <c r="C61" s="375">
        <f>IF(B61="","", IF(ARBITRAGES!$H61="eth",C60+ARBITRAGES!$K61,C60))</f>
        <v>2.8112</v>
      </c>
      <c r="D61" s="376">
        <f>IF(C61="","", IF(ARBITRAGES!$H61="ton",D60-ARBITRAGES!$K61,D60))</f>
        <v>450.6515494</v>
      </c>
      <c r="E61" s="376">
        <f>IF(D61="","", IF(ARBITRAGES!$H61="sol",E60+ARBITRAGES!$K61,E60))</f>
        <v>14.10159378</v>
      </c>
      <c r="F61" s="377">
        <f>IF(E61="","", IF(ARBITRAGES!$H61="tao",F60+ARBITRAGES!$K61,F60))</f>
        <v>7.620119743</v>
      </c>
      <c r="G61" s="378">
        <f>IF(F61="","", IF(ARBITRAGES!$H61="ron",G60+ARBITRAGES!$K61,G60))</f>
        <v>707.304</v>
      </c>
      <c r="H61" s="378">
        <f>IF(G61="","", IF(ARBITRAGES!$H61="link",H60+ARBITRAGES!$K61,H60))</f>
        <v>100.0497</v>
      </c>
      <c r="I61" s="378">
        <f>IF(H61="","", IF(ARBITRAGES!$H61="doge",I60+ARBITRAGES!$K61,I60))</f>
        <v>1751.045</v>
      </c>
      <c r="J61" s="378">
        <f>IF(I61="","", IF(ARBITRAGES!$H61="shib",J60-ARBITRAGES!$K61,J60))</f>
        <v>20502012.71</v>
      </c>
      <c r="K61" s="378">
        <f>IF(J61="","", IF(ARBITRAGES!$H61="cake",K60+ARBITRAGES!$K61,K60))</f>
        <v>127.0444432</v>
      </c>
      <c r="L61" s="378">
        <f>IF(K61="","", IF(ARBITRAGES!$H61="JUP",L60+ARBITRAGES!$K61,L60))</f>
        <v>814.9754</v>
      </c>
      <c r="M61" s="376">
        <f>IF(L61="","", IF(ARBITRAGES!$H61="aave",M60+ARBITRAGES!$K61,M60))</f>
        <v>4.017705263</v>
      </c>
      <c r="N61" s="378">
        <f>IF(M61="","", IF(ARBITRAGES!$H61="ckb",N60+ARBITRAGES!$K61,N60))</f>
        <v>73659.86364</v>
      </c>
      <c r="O61" s="378">
        <f>IF(N61="","", IF(ARBITRAGES!$H61="pendle",O60+ARBITRAGES!$K61,O60))</f>
        <v>169.7471597</v>
      </c>
      <c r="P61" s="378">
        <f>IF(O61="","", IF(ARBITRAGES!$H61="BOME",P60+ARBITRAGES!$K61,P60))</f>
        <v>18007.63</v>
      </c>
      <c r="Q61" s="378">
        <f>IF(P61="","", IF(ARBITRAGES!$H61="PEPE",Q60+ARBITRAGES!$K61,Q60))</f>
        <v>23950000</v>
      </c>
      <c r="R61" s="378">
        <f>IF(Q61="","", IF(ARBITRAGES!$H61="WIF",R60+ARBITRAGES!$K61,R60))</f>
        <v>59.072</v>
      </c>
      <c r="S61" s="378">
        <f>IF(R61="","", IF(ARBITRAGES!$H61="RAY",S60+ARBITRAGES!$K61,S60))</f>
        <v>44</v>
      </c>
      <c r="T61" s="360"/>
      <c r="U61" s="360"/>
      <c r="V61" s="360"/>
      <c r="W61" s="360"/>
      <c r="X61" s="360"/>
      <c r="Y61" s="360"/>
      <c r="Z61" s="360"/>
      <c r="AA61" s="360"/>
      <c r="AB61" s="360"/>
      <c r="AC61" s="360"/>
      <c r="AD61" s="360"/>
      <c r="AE61" s="360"/>
      <c r="AF61" s="360"/>
      <c r="AG61" s="360"/>
      <c r="AH61" s="360"/>
    </row>
    <row r="62" ht="18.75" customHeight="1">
      <c r="A62" s="365">
        <f>IF(ARBITRAGES!E62=0,"",ARBITRAGES!E62)</f>
        <v>45749</v>
      </c>
      <c r="B62" s="395">
        <f>IF(A62="","", IF(ARBITRAGES!$H62="BTC",B61-ARBITRAGES!$K62,B61))</f>
        <v>0.2600124991</v>
      </c>
      <c r="C62" s="375">
        <f>IF(B62="","", IF(ARBITRAGES!$H62="eth",C61+ARBITRAGES!$K62,C61))</f>
        <v>2.8112</v>
      </c>
      <c r="D62" s="376">
        <f>IF(C62="","", IF(ARBITRAGES!$H62="ton",D61+ARBITRAGES!$K62,D61))</f>
        <v>450.6515494</v>
      </c>
      <c r="E62" s="376">
        <f>IF(D62="","", IF(ARBITRAGES!$H62="sol",E61+ARBITRAGES!$K62,E61))</f>
        <v>14.10159378</v>
      </c>
      <c r="F62" s="377">
        <f>IF(E62="","", IF(ARBITRAGES!$H62="tao",F61+ARBITRAGES!$K62,F61))</f>
        <v>7.620119743</v>
      </c>
      <c r="G62" s="378">
        <f>IF(F62="","", IF(ARBITRAGES!$H62="ron",G61+ARBITRAGES!$K62,G61))</f>
        <v>707.304</v>
      </c>
      <c r="H62" s="378">
        <f>IF(G62="","", IF(ARBITRAGES!$H62="link",H61+ARBITRAGES!$K62,H61))</f>
        <v>100.0497</v>
      </c>
      <c r="I62" s="378">
        <f>IF(H62="","", IF(ARBITRAGES!$H62="doge",I61+ARBITRAGES!$K62,I61))</f>
        <v>1751.045</v>
      </c>
      <c r="J62" s="378">
        <f>IF(I62="","", IF(ARBITRAGES!$H62="shib",J61-ARBITRAGES!$K62,J61))</f>
        <v>20502012.71</v>
      </c>
      <c r="K62" s="378">
        <f>IF(J62="","", IF(ARBITRAGES!$H62="cake",K61+ARBITRAGES!$K62,K61))</f>
        <v>127.0444432</v>
      </c>
      <c r="L62" s="378">
        <f>IF(K62="","", IF(ARBITRAGES!$H62="JUP",L61+ARBITRAGES!$K62,L61))</f>
        <v>814.9754</v>
      </c>
      <c r="M62" s="376">
        <f>IF(L62="","", IF(ARBITRAGES!$H62="aave",M61+ARBITRAGES!$K62,M61))</f>
        <v>4.017705263</v>
      </c>
      <c r="N62" s="378">
        <f>IF(M62="","", IF(ARBITRAGES!$H62="ckb",N61+ARBITRAGES!$K62,N61))</f>
        <v>73659.86364</v>
      </c>
      <c r="O62" s="378">
        <f>IF(N62="","", IF(ARBITRAGES!$H62="pendle",O61+ARBITRAGES!$K62,O61))</f>
        <v>169.7471597</v>
      </c>
      <c r="P62" s="378">
        <f>IF(O62="","", IF(ARBITRAGES!$H62="BOME",P61+ARBITRAGES!$K62,P61))</f>
        <v>18007.63</v>
      </c>
      <c r="Q62" s="378">
        <f>IF(P62="","", IF(ARBITRAGES!$H62="PEPE",Q61+ARBITRAGES!$K62,Q61))</f>
        <v>23950000</v>
      </c>
      <c r="R62" s="378">
        <f>IF(Q62="","", IF(ARBITRAGES!$H62="WIF",R61+ARBITRAGES!$K62,R61))</f>
        <v>59.072</v>
      </c>
      <c r="S62" s="378">
        <f>IF(R62="","", IF(ARBITRAGES!$H62="RAY",S61+ARBITRAGES!$K62,S61))</f>
        <v>44</v>
      </c>
      <c r="T62" s="360"/>
      <c r="U62" s="360"/>
      <c r="V62" s="360"/>
      <c r="W62" s="360"/>
      <c r="X62" s="360"/>
      <c r="Y62" s="360"/>
      <c r="Z62" s="360"/>
      <c r="AA62" s="360"/>
      <c r="AB62" s="360"/>
      <c r="AC62" s="360"/>
      <c r="AD62" s="360"/>
      <c r="AE62" s="360"/>
      <c r="AF62" s="360"/>
      <c r="AG62" s="360"/>
      <c r="AH62" s="360"/>
    </row>
    <row r="63" ht="18.75" customHeight="1">
      <c r="A63" s="365">
        <f>IF(ARBITRAGES!E63=0,"",ARBITRAGES!E63)</f>
        <v>45751</v>
      </c>
      <c r="B63" s="375">
        <f>IF(A63="","", IF(ARBITRAGES!$H63="BTC",B62+ARBITRAGES!$K63,B62))</f>
        <v>0.2600124991</v>
      </c>
      <c r="C63" s="375">
        <f>IF(B63="","", IF(ARBITRAGES!$H63="eth",C62+ARBITRAGES!$K63,C62))</f>
        <v>2.8112</v>
      </c>
      <c r="D63" s="376">
        <f>IF(C63="","", IF(ARBITRAGES!$H63="ton",D62+ARBITRAGES!$K63,D62))</f>
        <v>450.6515494</v>
      </c>
      <c r="E63" s="376">
        <f>IF(D63="","", IF(ARBITRAGES!$H63="sol",E62+ARBITRAGES!$K63,E62))</f>
        <v>14.10159378</v>
      </c>
      <c r="F63" s="385">
        <f>IF(E63="","", IF(ARBITRAGES!$H63="tao",F62+ARBITRAGES!$K63,F62))</f>
        <v>10.02011974</v>
      </c>
      <c r="G63" s="378">
        <f>IF(F63="","", IF(ARBITRAGES!$H63="ron",G62+ARBITRAGES!$K63,G62))</f>
        <v>707.304</v>
      </c>
      <c r="H63" s="378">
        <f>IF(G63="","", IF(ARBITRAGES!$H63="link",H62+ARBITRAGES!$K63,H62))</f>
        <v>100.0497</v>
      </c>
      <c r="I63" s="378">
        <f>IF(H63="","", IF(ARBITRAGES!$H63="doge",I62+ARBITRAGES!$K63,I62))</f>
        <v>1751.045</v>
      </c>
      <c r="J63" s="378">
        <f>IF(I63="","", IF(ARBITRAGES!$H63="shib",J62-ARBITRAGES!$K63,J62))</f>
        <v>20502012.71</v>
      </c>
      <c r="K63" s="378">
        <f>IF(J63="","", IF(ARBITRAGES!$H63="cake",K62+ARBITRAGES!$K63,K62))</f>
        <v>127.0444432</v>
      </c>
      <c r="L63" s="378">
        <f>IF(K63="","", IF(ARBITRAGES!$H63="JUP",L62+ARBITRAGES!$K63,L62))</f>
        <v>814.9754</v>
      </c>
      <c r="M63" s="376">
        <f>IF(L63="","", IF(ARBITRAGES!$H63="aave",M62+ARBITRAGES!$K63,M62))</f>
        <v>4.017705263</v>
      </c>
      <c r="N63" s="378">
        <f>IF(M63="","", IF(ARBITRAGES!$H63="ckb",N62+ARBITRAGES!$K63,N62))</f>
        <v>73659.86364</v>
      </c>
      <c r="O63" s="378">
        <f>IF(N63="","", IF(ARBITRAGES!$H63="pendle",O62+ARBITRAGES!$K63,O62))</f>
        <v>169.7471597</v>
      </c>
      <c r="P63" s="378">
        <f>IF(O63="","", IF(ARBITRAGES!$H63="BOME",P62+ARBITRAGES!$K63,P62))</f>
        <v>18007.63</v>
      </c>
      <c r="Q63" s="378">
        <f>IF(P63="","", IF(ARBITRAGES!$H63="PEPE",Q62+ARBITRAGES!$K63,Q62))</f>
        <v>23950000</v>
      </c>
      <c r="R63" s="378">
        <f>IF(Q63="","", IF(ARBITRAGES!$H63="WIF",R62+ARBITRAGES!$K63,R62))</f>
        <v>59.072</v>
      </c>
      <c r="S63" s="378">
        <f>IF(R63="","", IF(ARBITRAGES!$H63="RAY",S62+ARBITRAGES!$K63,S62))</f>
        <v>44</v>
      </c>
      <c r="T63" s="360"/>
      <c r="U63" s="360"/>
      <c r="V63" s="360"/>
      <c r="W63" s="360"/>
      <c r="X63" s="360"/>
      <c r="Y63" s="360"/>
      <c r="Z63" s="360"/>
      <c r="AA63" s="360"/>
      <c r="AB63" s="360"/>
      <c r="AC63" s="360"/>
      <c r="AD63" s="360"/>
      <c r="AE63" s="360"/>
      <c r="AF63" s="360"/>
      <c r="AG63" s="360"/>
      <c r="AH63" s="360"/>
    </row>
    <row r="64" ht="18.75" customHeight="1">
      <c r="A64" s="365">
        <f>IF(ARBITRAGES!E64=0,"",ARBITRAGES!E64)</f>
        <v>45753</v>
      </c>
      <c r="B64" s="375">
        <f>IF(A64="","", IF(ARBITRAGES!$H64="BTC",B63+ARBITRAGES!$K64,B63))</f>
        <v>0.2600124991</v>
      </c>
      <c r="C64" s="374">
        <f>IF(B64="","", IF(ARBITRAGES!$H64="eth",C63+ARBITRAGES!$K64,C63))</f>
        <v>3.0692</v>
      </c>
      <c r="D64" s="376">
        <f>IF(C64="","", IF(ARBITRAGES!$H64="ton",D63+ARBITRAGES!$K64,D63))</f>
        <v>450.6515494</v>
      </c>
      <c r="E64" s="376">
        <f>IF(D64="","", IF(ARBITRAGES!$H64="sol",E63+ARBITRAGES!$K64,E63))</f>
        <v>14.10159378</v>
      </c>
      <c r="F64" s="377">
        <f>IF(E64="","", IF(ARBITRAGES!$H64="tao",F63+ARBITRAGES!$K64,F63))</f>
        <v>10.02011974</v>
      </c>
      <c r="G64" s="378">
        <f>IF(F64="","", IF(ARBITRAGES!$H64="ron",G63+ARBITRAGES!$K64,G63))</f>
        <v>707.304</v>
      </c>
      <c r="H64" s="378">
        <f>IF(G64="","", IF(ARBITRAGES!$H64="link",H63+ARBITRAGES!$K64,H63))</f>
        <v>100.0497</v>
      </c>
      <c r="I64" s="378">
        <f>IF(H64="","", IF(ARBITRAGES!$H64="doge",I63+ARBITRAGES!$K64,I63))</f>
        <v>1751.045</v>
      </c>
      <c r="J64" s="378">
        <f>IF(I64="","", IF(ARBITRAGES!$H64="shib",J63-ARBITRAGES!$K64,J63))</f>
        <v>20502012.71</v>
      </c>
      <c r="K64" s="378">
        <f>IF(J64="","", IF(ARBITRAGES!$H64="cake",K63+ARBITRAGES!$K64,K63))</f>
        <v>127.0444432</v>
      </c>
      <c r="L64" s="378">
        <f>IF(K64="","", IF(ARBITRAGES!$H64="JUP",L63+ARBITRAGES!$K64,L63))</f>
        <v>814.9754</v>
      </c>
      <c r="M64" s="376">
        <f>IF(L64="","", IF(ARBITRAGES!$H64="aave",M63+ARBITRAGES!$K64,M63))</f>
        <v>4.017705263</v>
      </c>
      <c r="N64" s="378">
        <f>IF(M64="","", IF(ARBITRAGES!$H64="ckb",N63+ARBITRAGES!$K64,N63))</f>
        <v>73659.86364</v>
      </c>
      <c r="O64" s="378">
        <f>IF(N64="","", IF(ARBITRAGES!$H64="pendle",O63+ARBITRAGES!$K64,O63))</f>
        <v>169.7471597</v>
      </c>
      <c r="P64" s="378">
        <f>IF(O64="","", IF(ARBITRAGES!$H64="BOME",P63+ARBITRAGES!$K64,P63))</f>
        <v>18007.63</v>
      </c>
      <c r="Q64" s="378">
        <f>IF(P64="","", IF(ARBITRAGES!$H64="PEPE",Q63+ARBITRAGES!$K64,Q63))</f>
        <v>23950000</v>
      </c>
      <c r="R64" s="378">
        <f>IF(Q64="","", IF(ARBITRAGES!$H64="WIF",R63+ARBITRAGES!$K64,R63))</f>
        <v>59.072</v>
      </c>
      <c r="S64" s="378">
        <f>IF(R64="","", IF(ARBITRAGES!$H64="RAY",S63+ARBITRAGES!$K64,S63))</f>
        <v>44</v>
      </c>
      <c r="T64" s="360"/>
      <c r="U64" s="360"/>
      <c r="V64" s="360"/>
      <c r="W64" s="360"/>
      <c r="X64" s="360"/>
      <c r="Y64" s="360"/>
      <c r="Z64" s="360"/>
      <c r="AA64" s="360"/>
      <c r="AB64" s="360"/>
      <c r="AC64" s="360"/>
      <c r="AD64" s="360"/>
      <c r="AE64" s="360"/>
      <c r="AF64" s="360"/>
      <c r="AG64" s="360"/>
      <c r="AH64" s="360"/>
    </row>
    <row r="65" ht="18.75" customHeight="1">
      <c r="A65" s="365">
        <f>IF(ARBITRAGES!E65=0,"",ARBITRAGES!E65)</f>
        <v>45753</v>
      </c>
      <c r="B65" s="374">
        <f>IF(A65="","", IF(ARBITRAGES!$H65="BTC",B64+ARBITRAGES!$K65,B64))</f>
        <v>0.2700124991</v>
      </c>
      <c r="C65" s="375">
        <f>IF(B65="","", IF(ARBITRAGES!$H65="eth",C64+ARBITRAGES!$K65,C64))</f>
        <v>3.0692</v>
      </c>
      <c r="D65" s="376">
        <f>IF(C65="","", IF(ARBITRAGES!$H65="ton",D64+ARBITRAGES!$K65,D64))</f>
        <v>450.6515494</v>
      </c>
      <c r="E65" s="376">
        <f>IF(D65="","", IF(ARBITRAGES!$H65="sol",E64+ARBITRAGES!$K65,E64))</f>
        <v>14.10159378</v>
      </c>
      <c r="F65" s="377">
        <f>IF(E65="","", IF(ARBITRAGES!$H65="tao",F64+ARBITRAGES!$K65,F64))</f>
        <v>10.02011974</v>
      </c>
      <c r="G65" s="378">
        <f>IF(F65="","", IF(ARBITRAGES!$H65="ron",G64+ARBITRAGES!$K65,G64))</f>
        <v>707.304</v>
      </c>
      <c r="H65" s="378">
        <f>IF(G65="","", IF(ARBITRAGES!$H65="link",H64+ARBITRAGES!$K65,H64))</f>
        <v>100.0497</v>
      </c>
      <c r="I65" s="378">
        <f>IF(H65="","", IF(ARBITRAGES!$H65="doge",I64+ARBITRAGES!$K65,I64))</f>
        <v>1751.045</v>
      </c>
      <c r="J65" s="378">
        <f>IF(I65="","", IF(ARBITRAGES!$H65="shib",J64-ARBITRAGES!$K65,J64))</f>
        <v>20502012.71</v>
      </c>
      <c r="K65" s="378">
        <f>IF(J65="","", IF(ARBITRAGES!$H65="cake",K64+ARBITRAGES!$K65,K64))</f>
        <v>127.0444432</v>
      </c>
      <c r="L65" s="378">
        <f>IF(K65="","", IF(ARBITRAGES!$H65="JUP",L64+ARBITRAGES!$K65,L64))</f>
        <v>814.9754</v>
      </c>
      <c r="M65" s="376">
        <f>IF(L65="","", IF(ARBITRAGES!$H65="aave",M64+ARBITRAGES!$K65,M64))</f>
        <v>4.017705263</v>
      </c>
      <c r="N65" s="378">
        <f>IF(M65="","", IF(ARBITRAGES!$H65="ckb",N64+ARBITRAGES!$K65,N64))</f>
        <v>73659.86364</v>
      </c>
      <c r="O65" s="378">
        <f>IF(N65="","", IF(ARBITRAGES!$H65="pendle",O64+ARBITRAGES!$K65,O64))</f>
        <v>169.7471597</v>
      </c>
      <c r="P65" s="378">
        <f>IF(O65="","", IF(ARBITRAGES!$H65="BOME",P64+ARBITRAGES!$K65,P64))</f>
        <v>18007.63</v>
      </c>
      <c r="Q65" s="378">
        <f>IF(P65="","", IF(ARBITRAGES!$H65="PEPE",Q64+ARBITRAGES!$K65,Q64))</f>
        <v>23950000</v>
      </c>
      <c r="R65" s="378">
        <f>IF(Q65="","", IF(ARBITRAGES!$H65="WIF",R64+ARBITRAGES!$K65,R64))</f>
        <v>59.072</v>
      </c>
      <c r="S65" s="378">
        <f>IF(R65="","", IF(ARBITRAGES!$H65="RAY",S64+ARBITRAGES!$K65,S64))</f>
        <v>44</v>
      </c>
      <c r="T65" s="360"/>
      <c r="U65" s="360"/>
      <c r="V65" s="360"/>
      <c r="W65" s="360"/>
      <c r="X65" s="360"/>
      <c r="Y65" s="360"/>
      <c r="Z65" s="360"/>
      <c r="AA65" s="360"/>
      <c r="AB65" s="360"/>
      <c r="AC65" s="360"/>
      <c r="AD65" s="360"/>
      <c r="AE65" s="360"/>
      <c r="AF65" s="360"/>
      <c r="AG65" s="360"/>
      <c r="AH65" s="360"/>
    </row>
    <row r="66" ht="18.75" customHeight="1">
      <c r="A66" s="365">
        <f>IF(ARBITRAGES!E66=0,"",ARBITRAGES!E66)</f>
        <v>45754</v>
      </c>
      <c r="B66" s="375">
        <f>IF(A66="","", IF(ARBITRAGES!$H66="BTC",B65+ARBITRAGES!$K66,B65))</f>
        <v>0.2700124991</v>
      </c>
      <c r="C66" s="375">
        <f>IF(B66="","", IF(ARBITRAGES!$H66="eth",C65+ARBITRAGES!$K66,C65))</f>
        <v>3.0692</v>
      </c>
      <c r="D66" s="376">
        <f>IF(C66="","", IF(ARBITRAGES!$H66="ton",D65+ARBITRAGES!$K66,D65))</f>
        <v>450.6515494</v>
      </c>
      <c r="E66" s="376">
        <f>IF(D66="","", IF(ARBITRAGES!$H66="sol",E65+ARBITRAGES!$K66,E65))</f>
        <v>14.10159378</v>
      </c>
      <c r="F66" s="377">
        <f>IF(E66="","", IF(ARBITRAGES!$H66="tao",F65+ARBITRAGES!$K66,F65))</f>
        <v>10.02011974</v>
      </c>
      <c r="G66" s="378">
        <f>IF(F66="","", IF(ARBITRAGES!$H66="ron",G65+ARBITRAGES!$K66,G65))</f>
        <v>707.304</v>
      </c>
      <c r="H66" s="378">
        <f>IF(G66="","", IF(ARBITRAGES!$H66="link",H65+ARBITRAGES!$K66,H65))</f>
        <v>100.0497</v>
      </c>
      <c r="I66" s="389">
        <f>IF(H66="","", IF(ARBITRAGES!$H66="doge",I65+ARBITRAGES!$K66,I65))</f>
        <v>3151.045</v>
      </c>
      <c r="J66" s="378">
        <f>IF(I66="","", IF(ARBITRAGES!$H66="shib",J65-ARBITRAGES!$K66,J65))</f>
        <v>20502012.71</v>
      </c>
      <c r="K66" s="378">
        <f>IF(J66="","", IF(ARBITRAGES!$H66="cake",K65+ARBITRAGES!$K66,K65))</f>
        <v>127.0444432</v>
      </c>
      <c r="L66" s="378">
        <f>IF(K66="","", IF(ARBITRAGES!$H66="JUP",L65+ARBITRAGES!$K66,L65))</f>
        <v>814.9754</v>
      </c>
      <c r="M66" s="376">
        <f>IF(L66="","", IF(ARBITRAGES!$H66="aave",M65+ARBITRAGES!$K66,M65))</f>
        <v>4.017705263</v>
      </c>
      <c r="N66" s="378">
        <f>IF(M66="","", IF(ARBITRAGES!$H66="ckb",N65+ARBITRAGES!$K66,N65))</f>
        <v>73659.86364</v>
      </c>
      <c r="O66" s="378">
        <f>IF(N66="","", IF(ARBITRAGES!$H66="pendle",O65+ARBITRAGES!$K66,O65))</f>
        <v>169.7471597</v>
      </c>
      <c r="P66" s="378">
        <f>IF(O66="","", IF(ARBITRAGES!$H66="BOME",P65+ARBITRAGES!$K66,P65))</f>
        <v>18007.63</v>
      </c>
      <c r="Q66" s="378">
        <f>IF(P66="","", IF(ARBITRAGES!$H66="PEPE",Q65+ARBITRAGES!$K66,Q65))</f>
        <v>23950000</v>
      </c>
      <c r="R66" s="378">
        <f>IF(Q66="","", IF(ARBITRAGES!$H66="WIF",R65+ARBITRAGES!$K66,R65))</f>
        <v>59.072</v>
      </c>
      <c r="S66" s="378">
        <f>IF(R66="","", IF(ARBITRAGES!$H66="RAY",S65+ARBITRAGES!$K66,S65))</f>
        <v>44</v>
      </c>
      <c r="T66" s="360"/>
      <c r="U66" s="360"/>
      <c r="V66" s="360"/>
      <c r="W66" s="360"/>
      <c r="X66" s="360"/>
      <c r="Y66" s="360"/>
      <c r="Z66" s="360"/>
      <c r="AA66" s="360"/>
      <c r="AB66" s="360"/>
      <c r="AC66" s="360"/>
      <c r="AD66" s="360"/>
      <c r="AE66" s="360"/>
      <c r="AF66" s="360"/>
      <c r="AG66" s="360"/>
      <c r="AH66" s="360"/>
    </row>
    <row r="67" ht="18.75" customHeight="1">
      <c r="A67" s="365">
        <f>IF(ARBITRAGES!E67=0,"",ARBITRAGES!E67)</f>
        <v>45756</v>
      </c>
      <c r="B67" s="375">
        <f>IF(A67="","", IF(ARBITRAGES!$H67="BTC",B66+ARBITRAGES!$K67,B66))</f>
        <v>0.2700124991</v>
      </c>
      <c r="C67" s="375">
        <f>IF(B67="","", IF(ARBITRAGES!$H67="eth",C66+ARBITRAGES!$K67,C66))</f>
        <v>3.0692</v>
      </c>
      <c r="D67" s="376">
        <f>IF(C67="","", IF(ARBITRAGES!$H67="ton",D66+ARBITRAGES!$K67,D66))</f>
        <v>450.6515494</v>
      </c>
      <c r="E67" s="383">
        <f>IF(D67="","", IF(ARBITRAGES!$H67="sol",E66+ARBITRAGES!$K67,E66))</f>
        <v>19.60159378</v>
      </c>
      <c r="F67" s="377">
        <f>IF(E67="","", IF(ARBITRAGES!$H67="tao",F66+ARBITRAGES!$K67,F66))</f>
        <v>10.02011974</v>
      </c>
      <c r="G67" s="378">
        <f>IF(F67="","", IF(ARBITRAGES!$H67="ron",G66+ARBITRAGES!$K67,G66))</f>
        <v>707.304</v>
      </c>
      <c r="H67" s="378">
        <f>IF(G67="","", IF(ARBITRAGES!$H67="link",H66+ARBITRAGES!$K67,H66))</f>
        <v>100.0497</v>
      </c>
      <c r="I67" s="378">
        <f>IF(H67="","", IF(ARBITRAGES!$H67="doge",I66+ARBITRAGES!$K67,I66))</f>
        <v>3151.045</v>
      </c>
      <c r="J67" s="378">
        <f>IF(I67="","", IF(ARBITRAGES!$H67="shib",J66-ARBITRAGES!$K67,J66))</f>
        <v>20502012.71</v>
      </c>
      <c r="K67" s="378">
        <f>IF(J67="","", IF(ARBITRAGES!$H67="cake",K66+ARBITRAGES!$K67,K66))</f>
        <v>127.0444432</v>
      </c>
      <c r="L67" s="378">
        <f>IF(K67="","", IF(ARBITRAGES!$H67="JUP",L66+ARBITRAGES!$K67,L66))</f>
        <v>814.9754</v>
      </c>
      <c r="M67" s="376">
        <f>IF(L67="","", IF(ARBITRAGES!$H67="aave",M66+ARBITRAGES!$K67,M66))</f>
        <v>4.017705263</v>
      </c>
      <c r="N67" s="378">
        <f>IF(M67="","", IF(ARBITRAGES!$H67="ckb",N66+ARBITRAGES!$K67,N66))</f>
        <v>73659.86364</v>
      </c>
      <c r="O67" s="378">
        <f>IF(N67="","", IF(ARBITRAGES!$H67="pendle",O66+ARBITRAGES!$K67,O66))</f>
        <v>169.7471597</v>
      </c>
      <c r="P67" s="378">
        <f>IF(O67="","", IF(ARBITRAGES!$H67="BOME",P66+ARBITRAGES!$K67,P66))</f>
        <v>18007.63</v>
      </c>
      <c r="Q67" s="378">
        <f>IF(P67="","", IF(ARBITRAGES!$H67="PEPE",Q66+ARBITRAGES!$K67,Q66))</f>
        <v>23950000</v>
      </c>
      <c r="R67" s="378">
        <f>IF(Q67="","", IF(ARBITRAGES!$H67="WIF",R66+ARBITRAGES!$K67,R66))</f>
        <v>59.072</v>
      </c>
      <c r="S67" s="378">
        <f>IF(R67="","", IF(ARBITRAGES!$H67="RAY",S66+ARBITRAGES!$K67,S66))</f>
        <v>44</v>
      </c>
      <c r="T67" s="360"/>
      <c r="U67" s="360"/>
      <c r="V67" s="360"/>
      <c r="W67" s="360"/>
      <c r="X67" s="360"/>
      <c r="Y67" s="360"/>
      <c r="Z67" s="360"/>
      <c r="AA67" s="360"/>
      <c r="AB67" s="360"/>
      <c r="AC67" s="360"/>
      <c r="AD67" s="360"/>
      <c r="AE67" s="360"/>
      <c r="AF67" s="360"/>
      <c r="AG67" s="360"/>
      <c r="AH67" s="360"/>
    </row>
    <row r="68" ht="18.75" customHeight="1">
      <c r="A68" s="365">
        <f>IF(ARBITRAGES!E68=0,"",ARBITRAGES!E68)</f>
        <v>45757</v>
      </c>
      <c r="B68" s="375">
        <f>IF(A68="","", IF(ARBITRAGES!$H68="BTC",B67+ARBITRAGES!$K68,B67))</f>
        <v>0.2700124991</v>
      </c>
      <c r="C68" s="375">
        <f>IF(B68="","", IF(ARBITRAGES!$H68="eth",C67+ARBITRAGES!$K68,C67))</f>
        <v>3.0692</v>
      </c>
      <c r="D68" s="376">
        <f>IF(C68="","", IF(ARBITRAGES!$H68="ton",D67+ARBITRAGES!$K68,D67))</f>
        <v>450.6515494</v>
      </c>
      <c r="E68" s="376">
        <f>IF(D68="","", IF(ARBITRAGES!$H68="sol",E67+ARBITRAGES!$K68,E67))</f>
        <v>19.60159378</v>
      </c>
      <c r="F68" s="377">
        <f>IF(E68="","", IF(ARBITRAGES!$H68="tao",F67+ARBITRAGES!$K68,F67))</f>
        <v>10.02011974</v>
      </c>
      <c r="G68" s="394">
        <f>IF(F68="","", IF(ARBITRAGES!$H68="ron",G67-ARBITRAGES!$K68,G67))</f>
        <v>374.2157647</v>
      </c>
      <c r="H68" s="378">
        <f>IF(G68="","", IF(ARBITRAGES!$H68="link",H67+ARBITRAGES!$K68,H67))</f>
        <v>100.0497</v>
      </c>
      <c r="I68" s="378">
        <f>IF(H68="","", IF(ARBITRAGES!$H68="doge",I67+ARBITRAGES!$K68,I67))</f>
        <v>3151.045</v>
      </c>
      <c r="J68" s="378">
        <f>IF(I68="","", IF(ARBITRAGES!$H68="shib",J67-ARBITRAGES!$K68,J67))</f>
        <v>20502012.71</v>
      </c>
      <c r="K68" s="378">
        <f>IF(J68="","", IF(ARBITRAGES!$H68="cake",K67+ARBITRAGES!$K68,K67))</f>
        <v>127.0444432</v>
      </c>
      <c r="L68" s="378">
        <f>IF(K68="","", IF(ARBITRAGES!$H68="JUP",L67+ARBITRAGES!$K68,L67))</f>
        <v>814.9754</v>
      </c>
      <c r="M68" s="376">
        <f>IF(L68="","", IF(ARBITRAGES!$H68="aave",M67+ARBITRAGES!$K68,M67))</f>
        <v>4.017705263</v>
      </c>
      <c r="N68" s="378">
        <f>IF(M68="","", IF(ARBITRAGES!$H68="ckb",N67+ARBITRAGES!$K68,N67))</f>
        <v>73659.86364</v>
      </c>
      <c r="O68" s="378">
        <f>IF(N68="","", IF(ARBITRAGES!$H68="pendle",O67+ARBITRAGES!$K68,O67))</f>
        <v>169.7471597</v>
      </c>
      <c r="P68" s="378">
        <f>IF(O68="","", IF(ARBITRAGES!$H68="BOME",P67+ARBITRAGES!$K68,P67))</f>
        <v>18007.63</v>
      </c>
      <c r="Q68" s="378">
        <f>IF(P68="","", IF(ARBITRAGES!$H68="PEPE",Q67+ARBITRAGES!$K68,Q67))</f>
        <v>23950000</v>
      </c>
      <c r="R68" s="378">
        <f>IF(Q68="","", IF(ARBITRAGES!$H68="WIF",R67+ARBITRAGES!$K68,R67))</f>
        <v>59.072</v>
      </c>
      <c r="S68" s="378">
        <f>IF(R68="","", IF(ARBITRAGES!$H68="RAY",S67+ARBITRAGES!$K68,S67))</f>
        <v>44</v>
      </c>
      <c r="T68" s="360"/>
      <c r="U68" s="360"/>
      <c r="V68" s="360"/>
      <c r="W68" s="360"/>
      <c r="X68" s="360"/>
      <c r="Y68" s="360"/>
      <c r="Z68" s="360"/>
      <c r="AA68" s="360"/>
      <c r="AB68" s="360"/>
      <c r="AC68" s="360"/>
      <c r="AD68" s="360"/>
      <c r="AE68" s="360"/>
      <c r="AF68" s="360"/>
      <c r="AG68" s="360"/>
      <c r="AH68" s="360"/>
    </row>
    <row r="69" ht="18.75" customHeight="1">
      <c r="A69" s="365">
        <f>IF(ARBITRAGES!E69=0,"",ARBITRAGES!E69)</f>
        <v>45757</v>
      </c>
      <c r="B69" s="374">
        <f>IF(A69="","", IF(ARBITRAGES!$H69="BTC",B68+ARBITRAGES!$K69,B68))</f>
        <v>0.2727474389</v>
      </c>
      <c r="C69" s="375">
        <f>IF(B69="","", IF(ARBITRAGES!$H69="eth",C68+ARBITRAGES!$K69,C68))</f>
        <v>3.0692</v>
      </c>
      <c r="D69" s="376">
        <f>IF(C69="","", IF(ARBITRAGES!$H69="ton",D68+ARBITRAGES!$K69,D68))</f>
        <v>450.6515494</v>
      </c>
      <c r="E69" s="376">
        <f>IF(D69="","", IF(ARBITRAGES!$H69="sol",E68+ARBITRAGES!$K69,E68))</f>
        <v>19.60159378</v>
      </c>
      <c r="F69" s="377">
        <f>IF(E69="","", IF(ARBITRAGES!$H69="tao",F68+ARBITRAGES!$K69,F68))</f>
        <v>10.02011974</v>
      </c>
      <c r="G69" s="378">
        <f>IF(F69="","", IF(ARBITRAGES!$H69="ron",G68+ARBITRAGES!$K69,G68))</f>
        <v>374.2157647</v>
      </c>
      <c r="H69" s="378">
        <f>IF(G69="","", IF(ARBITRAGES!$H69="link",H68+ARBITRAGES!$K69,H68))</f>
        <v>100.0497</v>
      </c>
      <c r="I69" s="378">
        <f>IF(H69="","", IF(ARBITRAGES!$H69="doge",I68+ARBITRAGES!$K69,I68))</f>
        <v>3151.045</v>
      </c>
      <c r="J69" s="378">
        <f>IF(I69="","", IF(ARBITRAGES!$H69="shib",J68-ARBITRAGES!$K69,J68))</f>
        <v>20502012.71</v>
      </c>
      <c r="K69" s="378">
        <f>IF(J69="","", IF(ARBITRAGES!$H69="cake",K68+ARBITRAGES!$K69,K68))</f>
        <v>127.0444432</v>
      </c>
      <c r="L69" s="378">
        <f>IF(K69="","", IF(ARBITRAGES!$H69="JUP",L68+ARBITRAGES!$K69,L68))</f>
        <v>814.9754</v>
      </c>
      <c r="M69" s="376">
        <f>IF(L69="","", IF(ARBITRAGES!$H69="aave",M68+ARBITRAGES!$K69,M68))</f>
        <v>4.017705263</v>
      </c>
      <c r="N69" s="378">
        <f>IF(M69="","", IF(ARBITRAGES!$H69="ckb",N68+ARBITRAGES!$K69,N68))</f>
        <v>73659.86364</v>
      </c>
      <c r="O69" s="378">
        <f>IF(N69="","", IF(ARBITRAGES!$H69="pendle",O68+ARBITRAGES!$K69,O68))</f>
        <v>169.7471597</v>
      </c>
      <c r="P69" s="378">
        <f>IF(O69="","", IF(ARBITRAGES!$H69="BOME",P68+ARBITRAGES!$K69,P68))</f>
        <v>18007.63</v>
      </c>
      <c r="Q69" s="378">
        <f>IF(P69="","", IF(ARBITRAGES!$H69="PEPE",Q68+ARBITRAGES!$K69,Q68))</f>
        <v>23950000</v>
      </c>
      <c r="R69" s="378">
        <f>IF(Q69="","", IF(ARBITRAGES!$H69="WIF",R68+ARBITRAGES!$K69,R68))</f>
        <v>59.072</v>
      </c>
      <c r="S69" s="378">
        <f>IF(R69="","", IF(ARBITRAGES!$H69="RAY",S68+ARBITRAGES!$K69,S68))</f>
        <v>44</v>
      </c>
      <c r="T69" s="360"/>
      <c r="U69" s="360"/>
      <c r="V69" s="360"/>
      <c r="W69" s="360"/>
      <c r="X69" s="360"/>
      <c r="Y69" s="360"/>
      <c r="Z69" s="360"/>
      <c r="AA69" s="360"/>
      <c r="AB69" s="360"/>
      <c r="AC69" s="360"/>
      <c r="AD69" s="360"/>
      <c r="AE69" s="360"/>
      <c r="AF69" s="360"/>
      <c r="AG69" s="360"/>
      <c r="AH69" s="360"/>
    </row>
    <row r="70" ht="18.75" customHeight="1">
      <c r="A70" s="365">
        <f>IF(ARBITRAGES!E70=0,"",ARBITRAGES!E70)</f>
        <v>45758</v>
      </c>
      <c r="B70" s="375">
        <f>IF(A70="","", IF(ARBITRAGES!$H70="BTC",B69+ARBITRAGES!$K70,B69))</f>
        <v>0.2727474389</v>
      </c>
      <c r="C70" s="375">
        <f>IF(B70="","", IF(ARBITRAGES!$H70="eth",C69+ARBITRAGES!$K70,C69))</f>
        <v>3.0692</v>
      </c>
      <c r="D70" s="376">
        <f>IF(C70="","", IF(ARBITRAGES!$H70="ton",D69+ARBITRAGES!$K70,D69))</f>
        <v>450.6515494</v>
      </c>
      <c r="E70" s="376">
        <f>IF(D70="","", IF(ARBITRAGES!$H70="sol",E69+ARBITRAGES!$K70,E69))</f>
        <v>19.60159378</v>
      </c>
      <c r="F70" s="377">
        <f>IF(E70="","", IF(ARBITRAGES!$H70="tao",F69+ARBITRAGES!$K70,F69))</f>
        <v>10.02011974</v>
      </c>
      <c r="G70" s="378">
        <f>IF(F70="","", IF(ARBITRAGES!$H70="ron",G69+ARBITRAGES!$K70,G69))</f>
        <v>374.2157647</v>
      </c>
      <c r="H70" s="378">
        <f>IF(G70="","", IF(ARBITRAGES!$H70="link",H69+ARBITRAGES!$K70,H69))</f>
        <v>100.0497</v>
      </c>
      <c r="I70" s="378">
        <f>IF(H70="","", IF(ARBITRAGES!$H70="doge",I69+ARBITRAGES!$K70,I69))</f>
        <v>3151.045</v>
      </c>
      <c r="J70" s="378">
        <f>IF(I70="","", IF(ARBITRAGES!$H70="shib",J69-ARBITRAGES!$K70,J69))</f>
        <v>20502012.71</v>
      </c>
      <c r="K70" s="378">
        <f>IF(J70="","", IF(ARBITRAGES!$H70="cake",K69+ARBITRAGES!$K70,K69))</f>
        <v>127.0444432</v>
      </c>
      <c r="L70" s="378">
        <f>IF(K70="","", IF(ARBITRAGES!$H70="JUP",L69+ARBITRAGES!$K70,L69))</f>
        <v>814.9754</v>
      </c>
      <c r="M70" s="376">
        <f>IF(L70="","", IF(ARBITRAGES!$H70="aave",M69+ARBITRAGES!$K70,M69))</f>
        <v>4.017705263</v>
      </c>
      <c r="N70" s="378">
        <f>IF(M70="","", IF(ARBITRAGES!$H70="ckb",N69+ARBITRAGES!$K70,N69))</f>
        <v>73659.86364</v>
      </c>
      <c r="O70" s="378">
        <f>IF(N70="","", IF(ARBITRAGES!$H70="pendle",O69+ARBITRAGES!$K70,O69))</f>
        <v>169.7471597</v>
      </c>
      <c r="P70" s="378">
        <f>IF(O70="","", IF(ARBITRAGES!$H70="BOME",P69+ARBITRAGES!$K70,P69))</f>
        <v>18007.63</v>
      </c>
      <c r="Q70" s="378">
        <f>IF(P70="","", IF(ARBITRAGES!$H70="PEPE",Q69+ARBITRAGES!$K70,Q69))</f>
        <v>23950000</v>
      </c>
      <c r="R70" s="394">
        <v>0.0</v>
      </c>
      <c r="S70" s="378">
        <f>IF(R70="","", IF(ARBITRAGES!$H70="RAY",S69-ARBITRAGES!$K70,S69))</f>
        <v>44</v>
      </c>
      <c r="T70" s="360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0"/>
      <c r="AG70" s="360"/>
      <c r="AH70" s="360"/>
    </row>
    <row r="71" ht="18.75" customHeight="1">
      <c r="A71" s="365">
        <f>IF(ARBITRAGES!E71=0,"",ARBITRAGES!E71)</f>
        <v>45760</v>
      </c>
      <c r="B71" s="375">
        <f>IF(A71="","", IF(ARBITRAGES!$H71="BTC",B70+ARBITRAGES!$K71,B70))</f>
        <v>0.2727474389</v>
      </c>
      <c r="C71" s="375">
        <f>IF(B71="","", IF(ARBITRAGES!$H71="eth",C70+ARBITRAGES!$K71,C70))</f>
        <v>3.0692</v>
      </c>
      <c r="D71" s="376">
        <f>IF(C71="","", IF(ARBITRAGES!$H71="ton",D70+ARBITRAGES!$K71,D70))</f>
        <v>450.6515494</v>
      </c>
      <c r="E71" s="376">
        <f>IF(D71="","", IF(ARBITRAGES!$H71="sol",E70+ARBITRAGES!$K71,E70))</f>
        <v>19.60159378</v>
      </c>
      <c r="F71" s="377">
        <f>IF(E71="","", IF(ARBITRAGES!$H71="tao",F70+ARBITRAGES!$K71,F70))</f>
        <v>10.02011974</v>
      </c>
      <c r="G71" s="378">
        <f>IF(F71="","", IF(ARBITRAGES!$H71="ron",G70+ARBITRAGES!$K71,G70))</f>
        <v>374.2157647</v>
      </c>
      <c r="H71" s="378">
        <f>IF(G71="","", IF(ARBITRAGES!$H71="link",H70+ARBITRAGES!$K71,H70))</f>
        <v>100.0497</v>
      </c>
      <c r="I71" s="378">
        <f>IF(H71="","", IF(ARBITRAGES!$H71="doge",I70+ARBITRAGES!$K71,I70))</f>
        <v>3151.045</v>
      </c>
      <c r="J71" s="378">
        <f>IF(I71="","", IF(ARBITRAGES!$H71="shib",J70-ARBITRAGES!$K71,J70))</f>
        <v>20502012.71</v>
      </c>
      <c r="K71" s="378">
        <f>IF(J71="","", IF(ARBITRAGES!$H71="cake",K70+ARBITRAGES!$K71,K70))</f>
        <v>127.0444432</v>
      </c>
      <c r="L71" s="378">
        <f>IF(K71="","", IF(ARBITRAGES!$H71="JUP",L70+ARBITRAGES!$K71,L70))</f>
        <v>814.9754</v>
      </c>
      <c r="M71" s="376">
        <f>IF(L71="","", IF(ARBITRAGES!$H71="aave",M70+ARBITRAGES!$K71,M70))</f>
        <v>4.017705263</v>
      </c>
      <c r="N71" s="378">
        <f>IF(M71="","", IF(ARBITRAGES!$H71="ckb",N70+ARBITRAGES!$K71,N70))</f>
        <v>73659.86364</v>
      </c>
      <c r="O71" s="378">
        <f>IF(N71="","", IF(ARBITRAGES!$H71="pendle",O70+ARBITRAGES!$K71,O70))</f>
        <v>169.7471597</v>
      </c>
      <c r="P71" s="394">
        <f>IF(O71="","", IF(ARBITRAGES!$H71="BOME",P70-ARBITRAGES!$K71+3.2,P70))</f>
        <v>0.02891989199</v>
      </c>
      <c r="Q71" s="378">
        <f>IF(P71="","", IF(ARBITRAGES!$H71="PEPE",Q70+ARBITRAGES!$K71,Q70))</f>
        <v>23950000</v>
      </c>
      <c r="R71" s="378">
        <f>IF(Q71="","", IF(ARBITRAGES!$H71="WIF",R70+ARBITRAGES!$K71,R70))</f>
        <v>0</v>
      </c>
      <c r="S71" s="378">
        <f>IF(R71="","", IF(ARBITRAGES!$H71="RAY",S70+ARBITRAGES!$K71,S70))</f>
        <v>44</v>
      </c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</row>
    <row r="72" ht="18.75" customHeight="1">
      <c r="A72" s="365">
        <f>IF(ARBITRAGES!E72=0,"",ARBITRAGES!E72)</f>
        <v>45779</v>
      </c>
      <c r="B72" s="393">
        <f>IF(A72="","", IF(ARBITRAGES!$H72="BTC",B71-ARBITRAGES!$K72,B71))</f>
        <v>0.2627474389</v>
      </c>
      <c r="C72" s="375">
        <f>IF(B72="","", IF(ARBITRAGES!$H72="eth",C71+ARBITRAGES!$K72,C71))</f>
        <v>3.0692</v>
      </c>
      <c r="D72" s="376">
        <f>IF(C72="","", IF(ARBITRAGES!$H72="ton",D71+ARBITRAGES!$K72,D71))</f>
        <v>450.6515494</v>
      </c>
      <c r="E72" s="376">
        <f>IF(D72="","", IF(ARBITRAGES!$H72="sol",E71+ARBITRAGES!$K72,E71))</f>
        <v>19.60159378</v>
      </c>
      <c r="F72" s="377">
        <f>IF(E72="","", IF(ARBITRAGES!$H72="tao",F71+ARBITRAGES!$K72,F71))</f>
        <v>10.02011974</v>
      </c>
      <c r="G72" s="378">
        <f>IF(F72="","", IF(ARBITRAGES!$H72="ron",G71+ARBITRAGES!$K72,G71))</f>
        <v>374.2157647</v>
      </c>
      <c r="H72" s="378">
        <f>IF(G72="","", IF(ARBITRAGES!$H72="link",H71+ARBITRAGES!$K72,H71))</f>
        <v>100.0497</v>
      </c>
      <c r="I72" s="378">
        <f>IF(H72="","", IF(ARBITRAGES!$H72="doge",I71+ARBITRAGES!$K72,I71))</f>
        <v>3151.045</v>
      </c>
      <c r="J72" s="378">
        <f>IF(I72="","", IF(ARBITRAGES!$H72="shib",J71-ARBITRAGES!$K72,J71))</f>
        <v>20502012.71</v>
      </c>
      <c r="K72" s="378">
        <f>IF(J72="","", IF(ARBITRAGES!$H72="cake",K71+ARBITRAGES!$K72,K71))</f>
        <v>127.0444432</v>
      </c>
      <c r="L72" s="378">
        <f>IF(K72="","", IF(ARBITRAGES!$H72="JUP",L71+ARBITRAGES!$K72,L71))</f>
        <v>814.9754</v>
      </c>
      <c r="M72" s="376">
        <f>IF(L72="","", IF(ARBITRAGES!$H72="aave",M71+ARBITRAGES!$K72,M71))</f>
        <v>4.017705263</v>
      </c>
      <c r="N72" s="378">
        <f>IF(M72="","", IF(ARBITRAGES!$H72="ckb",N71+ARBITRAGES!$K72,N71))</f>
        <v>73659.86364</v>
      </c>
      <c r="O72" s="378">
        <f>IF(N72="","", IF(ARBITRAGES!$H72="pendle",O71+ARBITRAGES!$K72,O71))</f>
        <v>169.7471597</v>
      </c>
      <c r="P72" s="378">
        <f>IF(O72="","", IF(ARBITRAGES!$H72="BOME",P71+ARBITRAGES!$K72,P71))</f>
        <v>0.02891989199</v>
      </c>
      <c r="Q72" s="378">
        <f>IF(P72="","", IF(ARBITRAGES!$H72="PEPE",Q71+ARBITRAGES!$K72,Q71))</f>
        <v>23950000</v>
      </c>
      <c r="R72" s="378">
        <f>IF(Q72="","", IF(ARBITRAGES!$H72="WIF",R71+ARBITRAGES!$K72,R71))</f>
        <v>0</v>
      </c>
      <c r="S72" s="378">
        <f>IF(R72="","", IF(ARBITRAGES!$H72="RAY",S71+ARBITRAGES!$K72,S71))</f>
        <v>44</v>
      </c>
      <c r="T72" s="360"/>
      <c r="U72" s="360"/>
      <c r="V72" s="360"/>
      <c r="W72" s="360"/>
      <c r="X72" s="360"/>
      <c r="Y72" s="360"/>
      <c r="Z72" s="360"/>
      <c r="AA72" s="360"/>
      <c r="AB72" s="360"/>
      <c r="AC72" s="360"/>
      <c r="AD72" s="360"/>
      <c r="AE72" s="360"/>
      <c r="AF72" s="360"/>
      <c r="AG72" s="360"/>
      <c r="AH72" s="360"/>
    </row>
    <row r="73" ht="18.75" customHeight="1">
      <c r="A73" s="365">
        <f>IF(ARBITRAGES!E73=0,"",ARBITRAGES!E73)</f>
        <v>45779</v>
      </c>
      <c r="B73" s="393">
        <f>IF(A73="","", IF(ARBITRAGES!$H73="BTC",B72-ARBITRAGES!$K73,B72))</f>
        <v>0.2527474389</v>
      </c>
      <c r="C73" s="375">
        <f>IF(B73="","", IF(ARBITRAGES!$H73="eth",C72+ARBITRAGES!$K73,C72))</f>
        <v>3.0692</v>
      </c>
      <c r="D73" s="376">
        <f>IF(C73="","", IF(ARBITRAGES!$H73="ton",D72+ARBITRAGES!$K73,D72))</f>
        <v>450.6515494</v>
      </c>
      <c r="E73" s="376">
        <f>IF(D73="","", IF(ARBITRAGES!$H73="sol",E72+ARBITRAGES!$K73,E72))</f>
        <v>19.60159378</v>
      </c>
      <c r="F73" s="377">
        <f>IF(E73="","", IF(ARBITRAGES!$H73="tao",F72+ARBITRAGES!$K73,F72))</f>
        <v>10.02011974</v>
      </c>
      <c r="G73" s="378">
        <f>IF(F73="","", IF(ARBITRAGES!$H73="ron",G72+ARBITRAGES!$K73,G72))</f>
        <v>374.2157647</v>
      </c>
      <c r="H73" s="378">
        <f>IF(G73="","", IF(ARBITRAGES!$H73="link",H72+ARBITRAGES!$K73,H72))</f>
        <v>100.0497</v>
      </c>
      <c r="I73" s="378">
        <f>IF(H73="","", IF(ARBITRAGES!$H73="doge",I72+ARBITRAGES!$K73,I72))</f>
        <v>3151.045</v>
      </c>
      <c r="J73" s="378">
        <f>IF(I73="","", IF(ARBITRAGES!$H73="shib",J72-ARBITRAGES!$K73,J72))</f>
        <v>20502012.71</v>
      </c>
      <c r="K73" s="378">
        <f>IF(J73="","", IF(ARBITRAGES!$H73="cake",K72+ARBITRAGES!$K73,K72))</f>
        <v>127.0444432</v>
      </c>
      <c r="L73" s="378">
        <f>IF(K73="","", IF(ARBITRAGES!$H73="JUP",L72+ARBITRAGES!$K73,L72))</f>
        <v>814.9754</v>
      </c>
      <c r="M73" s="376">
        <f>IF(L73="","", IF(ARBITRAGES!$H73="aave",M72+ARBITRAGES!$K73,M72))</f>
        <v>4.017705263</v>
      </c>
      <c r="N73" s="378">
        <f>IF(M73="","", IF(ARBITRAGES!$H73="ckb",N72+ARBITRAGES!$K73,N72))</f>
        <v>73659.86364</v>
      </c>
      <c r="O73" s="378">
        <f>IF(N73="","", IF(ARBITRAGES!$H73="pendle",O72+ARBITRAGES!$K73,O72))</f>
        <v>169.7471597</v>
      </c>
      <c r="P73" s="378">
        <f>IF(O73="","", IF(ARBITRAGES!$H73="BOME",P72+ARBITRAGES!$K73,P72))</f>
        <v>0.02891989199</v>
      </c>
      <c r="Q73" s="378">
        <f>IF(P73="","", IF(ARBITRAGES!$H73="PEPE",Q72+ARBITRAGES!$K73,Q72))</f>
        <v>23950000</v>
      </c>
      <c r="R73" s="378">
        <f>IF(Q73="","", IF(ARBITRAGES!$H73="WIF",R72+ARBITRAGES!$K73,R72))</f>
        <v>0</v>
      </c>
      <c r="S73" s="378">
        <f>IF(R73="","", IF(ARBITRAGES!$H73="RAY",S72+ARBITRAGES!$K73,S72))</f>
        <v>44</v>
      </c>
      <c r="T73" s="360"/>
      <c r="U73" s="360"/>
      <c r="V73" s="360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</row>
    <row r="74" ht="18.75" customHeight="1">
      <c r="A74" s="365">
        <f>IF(ARBITRAGES!E74=0,"",ARBITRAGES!E74)</f>
        <v>45785</v>
      </c>
      <c r="B74" s="393">
        <f>IF(A74="","", IF(ARBITRAGES!$H74="BTC",B73-ARBITRAGES!$K74,B73))</f>
        <v>0.2427474389</v>
      </c>
      <c r="C74" s="375">
        <f>IF(B74="","", IF(ARBITRAGES!$H74="eth",C73+ARBITRAGES!$K74,C73))</f>
        <v>3.0692</v>
      </c>
      <c r="D74" s="376">
        <f>IF(C74="","", IF(ARBITRAGES!$H74="ton",D73+ARBITRAGES!$K74,D73))</f>
        <v>450.6515494</v>
      </c>
      <c r="E74" s="376">
        <f>IF(D74="","", IF(ARBITRAGES!$H74="sol",E73+ARBITRAGES!$K74,E73))</f>
        <v>19.60159378</v>
      </c>
      <c r="F74" s="377">
        <f>IF(E74="","", IF(ARBITRAGES!$H74="tao",F73+ARBITRAGES!$K74,F73))</f>
        <v>10.02011974</v>
      </c>
      <c r="G74" s="378">
        <f>IF(F74="","", IF(ARBITRAGES!$H74="ron",G73+ARBITRAGES!$K74,G73))</f>
        <v>374.2157647</v>
      </c>
      <c r="H74" s="378">
        <f>IF(G74="","", IF(ARBITRAGES!$H74="link",H73+ARBITRAGES!$K74,H73))</f>
        <v>100.0497</v>
      </c>
      <c r="I74" s="378">
        <f>IF(H74="","", IF(ARBITRAGES!$H74="doge",I73+ARBITRAGES!$K74,I73))</f>
        <v>3151.045</v>
      </c>
      <c r="J74" s="378">
        <f>IF(I74="","", IF(ARBITRAGES!$H74="shib",J73-ARBITRAGES!$K74,J73))</f>
        <v>20502012.71</v>
      </c>
      <c r="K74" s="378">
        <f>IF(J74="","", IF(ARBITRAGES!$H74="cake",K73+ARBITRAGES!$K74,K73))</f>
        <v>127.0444432</v>
      </c>
      <c r="L74" s="378">
        <f>IF(K74="","", IF(ARBITRAGES!$H74="JUP",L73+ARBITRAGES!$K74,L73))</f>
        <v>814.9754</v>
      </c>
      <c r="M74" s="376">
        <f>IF(L74="","", IF(ARBITRAGES!$H74="aave",M73+ARBITRAGES!$K74,M73))</f>
        <v>4.017705263</v>
      </c>
      <c r="N74" s="378">
        <f>IF(M74="","", IF(ARBITRAGES!$H74="ckb",N73+ARBITRAGES!$K74,N73))</f>
        <v>73659.86364</v>
      </c>
      <c r="O74" s="378">
        <f>IF(N74="","", IF(ARBITRAGES!$H74="pendle",O73+ARBITRAGES!$K74,O73))</f>
        <v>169.7471597</v>
      </c>
      <c r="P74" s="378">
        <f>IF(O74="","", IF(ARBITRAGES!$H74="BOME",P73+ARBITRAGES!$K74,P73))</f>
        <v>0.02891989199</v>
      </c>
      <c r="Q74" s="378">
        <f>IF(P74="","", IF(ARBITRAGES!$H74="PEPE",Q73+ARBITRAGES!$K74,Q73))</f>
        <v>23950000</v>
      </c>
      <c r="R74" s="378">
        <f>IF(Q74="","", IF(ARBITRAGES!$H74="WIF",R73+ARBITRAGES!$K74,R73))</f>
        <v>0</v>
      </c>
      <c r="S74" s="378">
        <f>IF(R74="","", IF(ARBITRAGES!$H74="RAY",S73+ARBITRAGES!$K74,S73))</f>
        <v>44</v>
      </c>
      <c r="T74" s="360"/>
      <c r="U74" s="360"/>
      <c r="V74" s="360"/>
      <c r="W74" s="360"/>
      <c r="X74" s="360"/>
      <c r="Y74" s="360"/>
      <c r="Z74" s="360"/>
      <c r="AA74" s="360"/>
      <c r="AB74" s="360"/>
      <c r="AC74" s="360"/>
      <c r="AD74" s="360"/>
      <c r="AE74" s="360"/>
      <c r="AF74" s="360"/>
      <c r="AG74" s="360"/>
      <c r="AH74" s="360"/>
    </row>
    <row r="75" ht="18.75" customHeight="1">
      <c r="A75" s="365">
        <f>IF(ARBITRAGES!E75=0,"",ARBITRAGES!E75)</f>
        <v>45785</v>
      </c>
      <c r="B75" s="393">
        <f>IF(A75="","", IF(ARBITRAGES!$H75="BTC",B74-ARBITRAGES!$K75,B74))</f>
        <v>0.2303947689</v>
      </c>
      <c r="C75" s="375">
        <f>IF(B75="","", IF(ARBITRAGES!$H75="eth",C74+ARBITRAGES!$K75,C74))</f>
        <v>3.0692</v>
      </c>
      <c r="D75" s="376">
        <f>IF(C75="","", IF(ARBITRAGES!$H75="ton",D74+ARBITRAGES!$K75,D74))</f>
        <v>450.6515494</v>
      </c>
      <c r="E75" s="376">
        <f>IF(D75="","", IF(ARBITRAGES!$H75="sol",E74+ARBITRAGES!$K75,E74))</f>
        <v>19.60159378</v>
      </c>
      <c r="F75" s="377">
        <f>IF(E75="","", IF(ARBITRAGES!$H75="tao",F74+ARBITRAGES!$K75,F74))</f>
        <v>10.02011974</v>
      </c>
      <c r="G75" s="378">
        <f>IF(F75="","", IF(ARBITRAGES!$H75="ron",G74+ARBITRAGES!$K75,G74))</f>
        <v>374.2157647</v>
      </c>
      <c r="H75" s="378">
        <f>IF(G75="","", IF(ARBITRAGES!$H75="link",H74+ARBITRAGES!$K75,H74))</f>
        <v>100.0497</v>
      </c>
      <c r="I75" s="378">
        <f>IF(H75="","", IF(ARBITRAGES!$H75="doge",I74+ARBITRAGES!$K75,I74))</f>
        <v>3151.045</v>
      </c>
      <c r="J75" s="378">
        <f>IF(I75="","", IF(ARBITRAGES!$H75="shib",J74-ARBITRAGES!$K75,J74))</f>
        <v>20502012.71</v>
      </c>
      <c r="K75" s="378">
        <f>IF(J75="","", IF(ARBITRAGES!$H75="cake",K74+ARBITRAGES!$K75,K74))</f>
        <v>127.0444432</v>
      </c>
      <c r="L75" s="378">
        <f>IF(K75="","", IF(ARBITRAGES!$H75="JUP",L74+ARBITRAGES!$K75,L74))</f>
        <v>814.9754</v>
      </c>
      <c r="M75" s="376">
        <f>IF(L75="","", IF(ARBITRAGES!$H75="aave",M74+ARBITRAGES!$K75,M74))</f>
        <v>4.017705263</v>
      </c>
      <c r="N75" s="378">
        <f>IF(M75="","", IF(ARBITRAGES!$H75="ckb",N74+ARBITRAGES!$K75,N74))</f>
        <v>73659.86364</v>
      </c>
      <c r="O75" s="378">
        <f>IF(N75="","", IF(ARBITRAGES!$H75="pendle",O74+ARBITRAGES!$K75,O74))</f>
        <v>169.7471597</v>
      </c>
      <c r="P75" s="378">
        <f>IF(O75="","", IF(ARBITRAGES!$H75="BOME",P74+ARBITRAGES!$K75,P74))</f>
        <v>0.02891989199</v>
      </c>
      <c r="Q75" s="378">
        <f>IF(P75="","", IF(ARBITRAGES!$H75="PEPE",Q74+ARBITRAGES!$K75,Q74))</f>
        <v>23950000</v>
      </c>
      <c r="R75" s="378">
        <f>IF(Q75="","", IF(ARBITRAGES!$H75="WIF",R74+ARBITRAGES!$K75,R74))</f>
        <v>0</v>
      </c>
      <c r="S75" s="378">
        <f>IF(R75="","", IF(ARBITRAGES!$H75="RAY",S74+ARBITRAGES!$K75,S74))</f>
        <v>44</v>
      </c>
      <c r="T75" s="360"/>
      <c r="U75" s="360"/>
      <c r="V75" s="360"/>
      <c r="W75" s="360"/>
      <c r="X75" s="360"/>
      <c r="Y75" s="360"/>
      <c r="Z75" s="360"/>
      <c r="AA75" s="360"/>
      <c r="AB75" s="360"/>
      <c r="AC75" s="360"/>
      <c r="AD75" s="360"/>
      <c r="AE75" s="360"/>
      <c r="AF75" s="360"/>
      <c r="AG75" s="360"/>
      <c r="AH75" s="360"/>
    </row>
    <row r="76" ht="18.75" customHeight="1">
      <c r="A76" s="365">
        <f>IF(ARBITRAGES!E76=0,"",ARBITRAGES!E76)</f>
        <v>45054</v>
      </c>
      <c r="B76" s="375">
        <f>IF(A76="","", IF(ARBITRAGES!$H76="BTC",B75-ARBITRAGES!$K76,B75))</f>
        <v>0.2303947689</v>
      </c>
      <c r="C76" s="375">
        <f>IF(B76="","", IF(ARBITRAGES!$H76="eth",C75+ARBITRAGES!$K76,C75))</f>
        <v>3.0692</v>
      </c>
      <c r="D76" s="376">
        <f>IF(C76="","", IF(ARBITRAGES!$H76="ton",D75+ARBITRAGES!$K76,D75))</f>
        <v>450.6515494</v>
      </c>
      <c r="E76" s="376">
        <f>IF(D76="","", IF(ARBITRAGES!$H76="sol",E75+ARBITRAGES!$K76,E75))</f>
        <v>19.60159378</v>
      </c>
      <c r="F76" s="377">
        <f>IF(E76="","", IF(ARBITRAGES!$H76="tao",F75+ARBITRAGES!$K76,F75))</f>
        <v>10.02011974</v>
      </c>
      <c r="G76" s="394">
        <v>0.0</v>
      </c>
      <c r="H76" s="378">
        <f>IF(G76="","", IF(ARBITRAGES!$H76="link",H75+ARBITRAGES!$K76,H75))</f>
        <v>100.0497</v>
      </c>
      <c r="I76" s="378">
        <f>IF(H76="","", IF(ARBITRAGES!$H76="doge",I75+ARBITRAGES!$K76,I75))</f>
        <v>3151.045</v>
      </c>
      <c r="J76" s="378">
        <f>IF(I76="","", IF(ARBITRAGES!$H76="shib",J75-ARBITRAGES!$K76,J75))</f>
        <v>20502012.71</v>
      </c>
      <c r="K76" s="378">
        <f>IF(J76="","", IF(ARBITRAGES!$H76="cake",K75+ARBITRAGES!$K76,K75))</f>
        <v>127.0444432</v>
      </c>
      <c r="L76" s="378">
        <f>IF(K76="","", IF(ARBITRAGES!$H76="JUP",L75+ARBITRAGES!$K76,L75))</f>
        <v>814.9754</v>
      </c>
      <c r="M76" s="376">
        <f>IF(L76="","", IF(ARBITRAGES!$H76="aave",M75+ARBITRAGES!$K76,M75))</f>
        <v>4.017705263</v>
      </c>
      <c r="N76" s="378">
        <f>IF(M76="","", IF(ARBITRAGES!$H76="ckb",N75+ARBITRAGES!$K76,N75))</f>
        <v>73659.86364</v>
      </c>
      <c r="O76" s="378">
        <f>IF(N76="","", IF(ARBITRAGES!$H76="pendle",O75+ARBITRAGES!$K76,O75))</f>
        <v>169.7471597</v>
      </c>
      <c r="P76" s="378">
        <f>IF(O76="","", IF(ARBITRAGES!$H76="BOME",P75+ARBITRAGES!$K76,P75))</f>
        <v>0.02891989199</v>
      </c>
      <c r="Q76" s="378">
        <f>IF(P76="","", IF(ARBITRAGES!$H76="PEPE",Q75+ARBITRAGES!$K76,Q75))</f>
        <v>23950000</v>
      </c>
      <c r="R76" s="378">
        <f>IF(Q76="","", IF(ARBITRAGES!$H76="WIF",R75+ARBITRAGES!$K76,R75))</f>
        <v>0</v>
      </c>
      <c r="S76" s="378">
        <f>IF(R76="","", IF(ARBITRAGES!$H76="RAY",S75+ARBITRAGES!$K76,S75))</f>
        <v>44</v>
      </c>
      <c r="T76" s="360"/>
      <c r="U76" s="360"/>
      <c r="V76" s="360"/>
      <c r="W76" s="360"/>
      <c r="X76" s="360"/>
      <c r="Y76" s="360"/>
      <c r="Z76" s="360"/>
      <c r="AA76" s="360"/>
      <c r="AB76" s="360"/>
      <c r="AC76" s="360"/>
      <c r="AD76" s="360"/>
      <c r="AE76" s="360"/>
      <c r="AF76" s="360"/>
      <c r="AG76" s="360"/>
      <c r="AH76" s="360"/>
    </row>
    <row r="77" ht="18.75" customHeight="1">
      <c r="A77" s="365">
        <f>IF(ARBITRAGES!E77=0,"",ARBITRAGES!E77)</f>
        <v>45786</v>
      </c>
      <c r="B77" s="375">
        <f>IF(A77="","", IF(ARBITRAGES!$H77="BTC",B76+ARBITRAGES!$K77,B76-0.00038))</f>
        <v>0.2300147689</v>
      </c>
      <c r="C77" s="375">
        <f>IF(B77="","", IF(ARBITRAGES!$H77="eth",C76+ARBITRAGES!$K77,C76+0.009))</f>
        <v>3.0782</v>
      </c>
      <c r="D77" s="376">
        <f>IF(C77="","", IF(ARBITRAGES!$H77="ton",D76+ARBITRAGES!$K77,D76))</f>
        <v>450.6515494</v>
      </c>
      <c r="E77" s="376">
        <f>IF(D77="","", IF(ARBITRAGES!$H77="sol",E76+ARBITRAGES!$K77,E76))</f>
        <v>19.60159378</v>
      </c>
      <c r="F77" s="391">
        <f>IF(E77="","", IF(ARBITRAGES!$H77="tao",F76-ARBITRAGES!$K77,F76))</f>
        <v>9.020119743</v>
      </c>
      <c r="G77" s="378">
        <f>IF(F77="","", IF(ARBITRAGES!$H77="ron",G76+ARBITRAGES!$K77,G76))</f>
        <v>0</v>
      </c>
      <c r="H77" s="378">
        <f>IF(G77="","", IF(ARBITRAGES!$H77="link",H76+ARBITRAGES!$K77,H76))</f>
        <v>100.0497</v>
      </c>
      <c r="I77" s="378">
        <f>IF(H77="","", IF(ARBITRAGES!$H77="doge",I76+ARBITRAGES!$K77,I76))</f>
        <v>3151.045</v>
      </c>
      <c r="J77" s="378">
        <f>IF(I77="","", IF(ARBITRAGES!$H77="shib",J76-ARBITRAGES!$K77,J76))</f>
        <v>20502012.71</v>
      </c>
      <c r="K77" s="378">
        <f>IF(J77="","", IF(ARBITRAGES!$H77="cake",K76+ARBITRAGES!$K77,K76))</f>
        <v>127.0444432</v>
      </c>
      <c r="L77" s="378">
        <f>IF(K77="","", IF(ARBITRAGES!$H77="JUP",L76+ARBITRAGES!$K77,L76))</f>
        <v>814.9754</v>
      </c>
      <c r="M77" s="376">
        <f>IF(L77="","", IF(ARBITRAGES!$H77="aave",M76+ARBITRAGES!$K77,M76))</f>
        <v>4.017705263</v>
      </c>
      <c r="N77" s="378">
        <f>IF(M77="","", IF(ARBITRAGES!$H77="ckb",N76+ARBITRAGES!$K77,N76))</f>
        <v>73659.86364</v>
      </c>
      <c r="O77" s="378">
        <f>IF(N77="","", IF(ARBITRAGES!$H77="pendle",O76+ARBITRAGES!$K77,O76))</f>
        <v>169.7471597</v>
      </c>
      <c r="P77" s="378">
        <f>IF(O77="","", IF(ARBITRAGES!$H77="BOME",P76+ARBITRAGES!$K77,P76))</f>
        <v>0.02891989199</v>
      </c>
      <c r="Q77" s="378">
        <f>IF(P77="","", IF(ARBITRAGES!$H77="PEPE",Q76+ARBITRAGES!$K77,Q76))</f>
        <v>23950000</v>
      </c>
      <c r="R77" s="378">
        <f>IF(Q77="","", IF(ARBITRAGES!$H77="WIF",R76+ARBITRAGES!$K77,R76))</f>
        <v>0</v>
      </c>
      <c r="S77" s="378">
        <f>IF(R77="","", IF(ARBITRAGES!$H77="RAY",S76+ARBITRAGES!$K77,S76))</f>
        <v>44</v>
      </c>
      <c r="T77" s="360"/>
      <c r="U77" s="360"/>
      <c r="V77" s="360"/>
      <c r="W77" s="360"/>
      <c r="X77" s="360"/>
      <c r="Y77" s="360"/>
      <c r="Z77" s="360"/>
      <c r="AA77" s="360"/>
      <c r="AB77" s="360"/>
      <c r="AC77" s="360"/>
      <c r="AD77" s="360"/>
      <c r="AE77" s="360"/>
      <c r="AF77" s="360"/>
      <c r="AG77" s="360"/>
      <c r="AH77" s="360"/>
    </row>
    <row r="78" ht="18.75" customHeight="1">
      <c r="A78" s="365">
        <f>IF(ARBITRAGES!E78=0,"",ARBITRAGES!E78)</f>
        <v>45789</v>
      </c>
      <c r="B78" s="375">
        <f>IF(A78="","", IF(ARBITRAGES!$H78="BTC",B77+ARBITRAGES!$K78,B77))</f>
        <v>0.2300147689</v>
      </c>
      <c r="C78" s="375">
        <f>IF(B78="","", IF(ARBITRAGES!$H78="eth",C77+ARBITRAGES!$K78,C77))</f>
        <v>3.0782</v>
      </c>
      <c r="D78" s="392">
        <f>IF(C78="","", IF(ARBITRAGES!$H78="ton",D77-ARBITRAGES!$K78+1.5,D77))</f>
        <v>376.2284725</v>
      </c>
      <c r="E78" s="376">
        <f>IF(D78="","", IF(ARBITRAGES!$H78="sol",E77+ARBITRAGES!$K78,E77+0.07))</f>
        <v>19.67159378</v>
      </c>
      <c r="F78" s="377">
        <f>IF(E78="","", IF(ARBITRAGES!$H78="tao",F77+ARBITRAGES!$K78,F77+0.02))</f>
        <v>9.040119743</v>
      </c>
      <c r="G78" s="378">
        <f>IF(F78="","", IF(ARBITRAGES!$H78="ron",G77+ARBITRAGES!$K78,G77))</f>
        <v>0</v>
      </c>
      <c r="H78" s="378">
        <f>IF(G78="","", IF(ARBITRAGES!$H78="link",H77+ARBITRAGES!$K78,H77+0.03))</f>
        <v>100.0797</v>
      </c>
      <c r="I78" s="378">
        <f>IF(H78="","", IF(ARBITRAGES!$H78="doge",I77+ARBITRAGES!$K78,I77))</f>
        <v>3151.045</v>
      </c>
      <c r="J78" s="378">
        <f>IF(I78="","", IF(ARBITRAGES!$H78="shib",J77-ARBITRAGES!$K78,J77+8000))</f>
        <v>20510012.71</v>
      </c>
      <c r="K78" s="378">
        <f>IF(J78="","", IF(ARBITRAGES!$H78="cake",K77+ARBITRAGES!$K78,K77+0.036))</f>
        <v>127.0804432</v>
      </c>
      <c r="L78" s="378">
        <f>IF(K78="","", IF(ARBITRAGES!$H78="JUP",L77+ARBITRAGES!$K78,L77+7.5))</f>
        <v>822.4754</v>
      </c>
      <c r="M78" s="376">
        <f>IF(L78="","", IF(ARBITRAGES!$H78="aave",M77+ARBITRAGES!$K78,M77))</f>
        <v>4.017705263</v>
      </c>
      <c r="N78" s="378">
        <f>IF(M78="","", IF(ARBITRAGES!$H78="ckb",N77+ARBITRAGES!$K78,N77+100))</f>
        <v>73759.86364</v>
      </c>
      <c r="O78" s="378">
        <f>IF(N78="","", IF(ARBITRAGES!$H78="pendle",O77+ARBITRAGES!$K78,O77))</f>
        <v>169.7471597</v>
      </c>
      <c r="P78" s="378">
        <f>IF(O78="","", IF(ARBITRAGES!$H78="BOME",P77+ARBITRAGES!$K78,P77))</f>
        <v>0.02891989199</v>
      </c>
      <c r="Q78" s="378">
        <f>IF(P78="","", IF(ARBITRAGES!$H78="PEPE",Q77+ARBITRAGES!$K78,Q77+50000))</f>
        <v>24000000</v>
      </c>
      <c r="R78" s="378">
        <f>IF(Q78="","", IF(ARBITRAGES!$H78="WIF",R77+ARBITRAGES!$K78,R77))</f>
        <v>0</v>
      </c>
      <c r="S78" s="378">
        <f>IF(R78="","", IF(ARBITRAGES!$H78="RAY",S77+ARBITRAGES!$K78,S77))</f>
        <v>44</v>
      </c>
      <c r="T78" s="360"/>
      <c r="U78" s="360"/>
      <c r="V78" s="360"/>
      <c r="W78" s="360"/>
      <c r="X78" s="360"/>
      <c r="Y78" s="360"/>
      <c r="Z78" s="360"/>
      <c r="AA78" s="360"/>
      <c r="AB78" s="360"/>
      <c r="AC78" s="360"/>
      <c r="AD78" s="360"/>
      <c r="AE78" s="360"/>
      <c r="AF78" s="360"/>
      <c r="AG78" s="360"/>
      <c r="AH78" s="360"/>
    </row>
    <row r="79" ht="18.75" customHeight="1">
      <c r="A79" s="365">
        <f>IF(ARBITRAGES!E79=0,"",ARBITRAGES!E79)</f>
        <v>45790</v>
      </c>
      <c r="B79" s="374">
        <f>IF(A79="","", IF(ARBITRAGES!$H79="BTC",B78+ARBITRAGES!$K79,B78))</f>
        <v>0.2448662541</v>
      </c>
      <c r="C79" s="375">
        <f>IF(B79="","", IF(ARBITRAGES!$H79="eth",C78+ARBITRAGES!$K79,C78))</f>
        <v>3.0782</v>
      </c>
      <c r="D79" s="376">
        <f>IF(C79="","", IF(ARBITRAGES!$H79="ton",D78+ARBITRAGES!$K79,D78))</f>
        <v>376.2284725</v>
      </c>
      <c r="E79" s="376">
        <f>IF(D79="","", IF(ARBITRAGES!$H79="sol",E78+ARBITRAGES!$K79,E78))</f>
        <v>19.67159378</v>
      </c>
      <c r="F79" s="377">
        <f>IF(E79="","", IF(ARBITRAGES!$H79="tao",F78+ARBITRAGES!$K79,F78))</f>
        <v>9.040119743</v>
      </c>
      <c r="G79" s="378">
        <f>IF(F79="","", IF(ARBITRAGES!$H79="ron",G78+ARBITRAGES!$K79,G78))</f>
        <v>0</v>
      </c>
      <c r="H79" s="378">
        <f>IF(G79="","", IF(ARBITRAGES!$H79="link",H78+ARBITRAGES!$K79,H78))</f>
        <v>100.0797</v>
      </c>
      <c r="I79" s="378">
        <f>IF(H79="","", IF(ARBITRAGES!$H79="doge",I78+ARBITRAGES!$K79,I78))</f>
        <v>3151.045</v>
      </c>
      <c r="J79" s="378">
        <f>IF(I79="","", IF(ARBITRAGES!$H79="shib",J78-ARBITRAGES!$K79,J78))</f>
        <v>20510012.71</v>
      </c>
      <c r="K79" s="378">
        <f>IF(J79="","", IF(ARBITRAGES!$H79="cake",K78+ARBITRAGES!$K79,K78))</f>
        <v>127.0804432</v>
      </c>
      <c r="L79" s="378">
        <f>IF(K79="","", IF(ARBITRAGES!$H79="JUP",L78+ARBITRAGES!$K79,L78))</f>
        <v>822.4754</v>
      </c>
      <c r="M79" s="376">
        <f>IF(L79="","", IF(ARBITRAGES!$H79="aave",M78+ARBITRAGES!$K79,M78))</f>
        <v>4.017705263</v>
      </c>
      <c r="N79" s="378">
        <f>IF(M79="","", IF(ARBITRAGES!$H79="ckb",N78+ARBITRAGES!$K79,N78))</f>
        <v>73759.86364</v>
      </c>
      <c r="O79" s="378">
        <f>IF(N79="","", IF(ARBITRAGES!$H79="pendle",O78+ARBITRAGES!$K79,O78))</f>
        <v>169.7471597</v>
      </c>
      <c r="P79" s="378">
        <f>IF(O79="","", IF(ARBITRAGES!$H79="BOME",P78+ARBITRAGES!$K79,P78))</f>
        <v>0.02891989199</v>
      </c>
      <c r="Q79" s="378">
        <f>IF(P79="","", IF(ARBITRAGES!$H79="PEPE",Q78+ARBITRAGES!$K79,Q78))</f>
        <v>24000000</v>
      </c>
      <c r="R79" s="378">
        <f>IF(Q79="","", IF(ARBITRAGES!$H79="WIF",R78+ARBITRAGES!$K79,R78))</f>
        <v>0</v>
      </c>
      <c r="S79" s="378">
        <f>IF(R79="","", IF(ARBITRAGES!$H79="RAY",S78+ARBITRAGES!$K79,S78))</f>
        <v>44</v>
      </c>
      <c r="T79" s="360"/>
      <c r="U79" s="360"/>
      <c r="V79" s="360"/>
      <c r="W79" s="360"/>
      <c r="X79" s="360"/>
      <c r="Y79" s="360"/>
      <c r="Z79" s="360"/>
      <c r="AA79" s="360"/>
      <c r="AB79" s="360"/>
      <c r="AC79" s="360"/>
      <c r="AD79" s="360"/>
      <c r="AE79" s="360"/>
      <c r="AF79" s="360"/>
      <c r="AG79" s="360"/>
      <c r="AH79" s="360"/>
    </row>
    <row r="80" ht="18.75" customHeight="1">
      <c r="A80" s="365">
        <f>IF(ARBITRAGES!E80=0,"",ARBITRAGES!E80)</f>
        <v>45808</v>
      </c>
      <c r="B80" s="375">
        <f>IF(A80="","", IF(ARBITRAGES!$H80="BTC",B79+ARBITRAGES!$K80,B79))</f>
        <v>0.2448662541</v>
      </c>
      <c r="C80" s="375">
        <f>IF(B80="","", IF(ARBITRAGES!$H80="eth",C79+ARBITRAGES!$K80,C79))</f>
        <v>3.0782</v>
      </c>
      <c r="D80" s="376">
        <f>IF(C80="","", IF(ARBITRAGES!$H80="ton",D79+ARBITRAGES!$K80,D79))</f>
        <v>376.2284725</v>
      </c>
      <c r="E80" s="376">
        <f>IF(D80="","", IF(ARBITRAGES!$H80="sol",E79+ARBITRAGES!$K80,E79))</f>
        <v>19.67159378</v>
      </c>
      <c r="F80" s="385">
        <f>IF(E80="","", IF(ARBITRAGES!$H80="tao",F79+ARBITRAGES!$K80,F79))</f>
        <v>10.24011974</v>
      </c>
      <c r="G80" s="378">
        <f>IF(F80="","", IF(ARBITRAGES!$H80="ron",G79+ARBITRAGES!$K80,G79))</f>
        <v>0</v>
      </c>
      <c r="H80" s="378">
        <f>IF(G80="","", IF(ARBITRAGES!$H80="link",H79+ARBITRAGES!$K80,H79))</f>
        <v>100.0797</v>
      </c>
      <c r="I80" s="378">
        <f>IF(H80="","", IF(ARBITRAGES!$H80="doge",I79+ARBITRAGES!$K80,I79))</f>
        <v>3151.045</v>
      </c>
      <c r="J80" s="378">
        <f>IF(I80="","", IF(ARBITRAGES!$H80="shib",J79-ARBITRAGES!$K80,J79))</f>
        <v>20510012.71</v>
      </c>
      <c r="K80" s="378">
        <f>IF(J80="","", IF(ARBITRAGES!$H80="cake",K79+ARBITRAGES!$K80,K79))</f>
        <v>127.0804432</v>
      </c>
      <c r="L80" s="378">
        <f>IF(K80="","", IF(ARBITRAGES!$H80="JUP",L79+ARBITRAGES!$K80,L79))</f>
        <v>822.4754</v>
      </c>
      <c r="M80" s="376">
        <f>IF(L80="","", IF(ARBITRAGES!$H80="aave",M79+ARBITRAGES!$K80,M79))</f>
        <v>4.017705263</v>
      </c>
      <c r="N80" s="378">
        <f>IF(M80="","", IF(ARBITRAGES!$H80="ckb",N79+ARBITRAGES!$K80,N79))</f>
        <v>73759.86364</v>
      </c>
      <c r="O80" s="378">
        <f>IF(N80="","", IF(ARBITRAGES!$H80="pendle",O79+ARBITRAGES!$K80,O79))</f>
        <v>169.7471597</v>
      </c>
      <c r="P80" s="378">
        <f>IF(O80="","", IF(ARBITRAGES!$H80="BOME",P79+ARBITRAGES!$K80,P79))</f>
        <v>0.02891989199</v>
      </c>
      <c r="Q80" s="378">
        <f>IF(P80="","", IF(ARBITRAGES!$H80="PEPE",Q79+ARBITRAGES!$K80,Q79))</f>
        <v>24000000</v>
      </c>
      <c r="R80" s="378">
        <f>IF(Q80="","", IF(ARBITRAGES!$H80="WIF",R79+ARBITRAGES!$K80,R79))</f>
        <v>0</v>
      </c>
      <c r="S80" s="378">
        <f>IF(R80="","", IF(ARBITRAGES!$H80="RAY",S79+ARBITRAGES!$K80,S79))</f>
        <v>44</v>
      </c>
      <c r="T80" s="360"/>
      <c r="U80" s="360"/>
      <c r="V80" s="360"/>
      <c r="W80" s="360"/>
      <c r="X80" s="360"/>
      <c r="Y80" s="360"/>
      <c r="Z80" s="360"/>
      <c r="AA80" s="360"/>
      <c r="AB80" s="360"/>
      <c r="AC80" s="360"/>
      <c r="AD80" s="360"/>
      <c r="AE80" s="360"/>
      <c r="AF80" s="360"/>
      <c r="AG80" s="360"/>
      <c r="AH80" s="360"/>
    </row>
    <row r="81" ht="18.75" customHeight="1">
      <c r="A81" s="365">
        <f>IF(ARBITRAGES!E81=0,"",ARBITRAGES!E81)</f>
        <v>45817</v>
      </c>
      <c r="B81" s="393">
        <f>IF(A81="","", IF(ARBITRAGES!$H81="BTC",B80-ARBITRAGES!$K81,B80))</f>
        <v>0.2250078841</v>
      </c>
      <c r="C81" s="375">
        <f>IF(B81="","", IF(ARBITRAGES!$H81="eth",C80+ARBITRAGES!$K81,C80))</f>
        <v>3.0782</v>
      </c>
      <c r="D81" s="376">
        <f>IF(C81="","", IF(ARBITRAGES!$H81="ton",D80+ARBITRAGES!$K81,D80))</f>
        <v>376.2284725</v>
      </c>
      <c r="E81" s="376">
        <f>IF(D81="","", IF(ARBITRAGES!$H81="sol",E80+ARBITRAGES!$K81,E80))</f>
        <v>19.67159378</v>
      </c>
      <c r="F81" s="377">
        <f>IF(E81="","", IF(ARBITRAGES!$H81="tao",F80+ARBITRAGES!$K81,F80))</f>
        <v>10.24011974</v>
      </c>
      <c r="G81" s="378">
        <f>IF(F81="","", IF(ARBITRAGES!$H81="ron",G80+ARBITRAGES!$K81,G80))</f>
        <v>0</v>
      </c>
      <c r="H81" s="378">
        <f>IF(G81="","", IF(ARBITRAGES!$H81="link",H80+ARBITRAGES!$K81,H80))</f>
        <v>100.0797</v>
      </c>
      <c r="I81" s="378">
        <f>IF(H81="","", IF(ARBITRAGES!$H81="doge",I80+ARBITRAGES!$K81,I80))</f>
        <v>3151.045</v>
      </c>
      <c r="J81" s="378">
        <f>IF(I81="","", IF(ARBITRAGES!$H81="shib",J80-ARBITRAGES!$K81,J80))</f>
        <v>20510012.71</v>
      </c>
      <c r="K81" s="378">
        <f>IF(J81="","", IF(ARBITRAGES!$H81="cake",K80+ARBITRAGES!$K81,K80))</f>
        <v>127.0804432</v>
      </c>
      <c r="L81" s="378">
        <f>IF(K81="","", IF(ARBITRAGES!$H81="JUP",L80+ARBITRAGES!$K81,L80))</f>
        <v>822.4754</v>
      </c>
      <c r="M81" s="376">
        <f>IF(L81="","", IF(ARBITRAGES!$H81="aave",M80+ARBITRAGES!$K81,M80))</f>
        <v>4.017705263</v>
      </c>
      <c r="N81" s="378">
        <f>IF(M81="","", IF(ARBITRAGES!$H81="ckb",N80+ARBITRAGES!$K81,N80))</f>
        <v>73759.86364</v>
      </c>
      <c r="O81" s="378">
        <f>IF(N81="","", IF(ARBITRAGES!$H81="pendle",O80+ARBITRAGES!$K81,O80))</f>
        <v>169.7471597</v>
      </c>
      <c r="P81" s="378">
        <f>IF(O81="","", IF(ARBITRAGES!$H81="BOME",P80+ARBITRAGES!$K81,P80))</f>
        <v>0.02891989199</v>
      </c>
      <c r="Q81" s="378">
        <f>IF(P81="","", IF(ARBITRAGES!$H81="PEPE",Q80+ARBITRAGES!$K81,Q80))</f>
        <v>24000000</v>
      </c>
      <c r="R81" s="378">
        <f>IF(Q81="","", IF(ARBITRAGES!$H81="WIF",R80+ARBITRAGES!$K81,R80))</f>
        <v>0</v>
      </c>
      <c r="S81" s="378">
        <f>IF(R81="","", IF(ARBITRAGES!$H81="RAY",S80+ARBITRAGES!$K81,S80))</f>
        <v>44</v>
      </c>
      <c r="T81" s="360"/>
      <c r="U81" s="360"/>
      <c r="V81" s="360"/>
      <c r="W81" s="360"/>
      <c r="X81" s="360"/>
      <c r="Y81" s="360"/>
      <c r="Z81" s="360"/>
      <c r="AA81" s="360"/>
      <c r="AB81" s="360"/>
      <c r="AC81" s="360"/>
      <c r="AD81" s="360"/>
      <c r="AE81" s="360"/>
      <c r="AF81" s="360"/>
      <c r="AG81" s="360"/>
      <c r="AH81" s="360"/>
    </row>
    <row r="82" ht="18.75" customHeight="1">
      <c r="A82" s="365">
        <f>IF(ARBITRAGES!E82=0,"",ARBITRAGES!E82)</f>
        <v>45817</v>
      </c>
      <c r="B82" s="393">
        <f>IF(A82="","", IF(ARBITRAGES!$H82="BTC",B81-ARBITRAGES!$K82,B81))</f>
        <v>0.2000078841</v>
      </c>
      <c r="C82" s="375">
        <f>IF(B82="","", IF(ARBITRAGES!$H82="eth",C81+ARBITRAGES!$K82,3.0805))</f>
        <v>3.0805</v>
      </c>
      <c r="D82" s="376">
        <f>IF(C82="","", IF(ARBITRAGES!$H82="ton",D81+ARBITRAGES!$K82,D81))</f>
        <v>376.2284725</v>
      </c>
      <c r="E82" s="376">
        <f>IF(D82="","", IF(ARBITRAGES!$H82="sol",E81+ARBITRAGES!$K82,19.714))</f>
        <v>19.714</v>
      </c>
      <c r="F82" s="377">
        <f>IF(E82="","", IF(ARBITRAGES!$H82="tao",F81+ARBITRAGES!$K82,F81))</f>
        <v>10.24011974</v>
      </c>
      <c r="G82" s="378">
        <f>IF(F82="","", IF(ARBITRAGES!$H82="ron",G81+ARBITRAGES!$K82,G81))</f>
        <v>0</v>
      </c>
      <c r="H82" s="378">
        <f>IF(G82="","", IF(ARBITRAGES!$H82="link",H81+ARBITRAGES!$K82,H81))</f>
        <v>100.0797</v>
      </c>
      <c r="I82" s="378">
        <f>IF(H82="","", IF(ARBITRAGES!$H82="doge",I81+ARBITRAGES!$K82,3151.58))</f>
        <v>3151.58</v>
      </c>
      <c r="J82" s="378">
        <f>IF(I82="","", IF(ARBITRAGES!$H82="shib",J81-ARBITRAGES!$K82,20503076))</f>
        <v>20503076</v>
      </c>
      <c r="K82" s="378">
        <f>IF(J82="","", IF(ARBITRAGES!$H82="cake",K81+ARBITRAGES!$K82,K81))</f>
        <v>127.0804432</v>
      </c>
      <c r="L82" s="378">
        <v>824.0</v>
      </c>
      <c r="M82" s="376">
        <f>IF(L82="","", IF(ARBITRAGES!$H82="aave",M81+ARBITRAGES!$K82,M81))</f>
        <v>4.017705263</v>
      </c>
      <c r="N82" s="378">
        <v>73781.0</v>
      </c>
      <c r="O82" s="378">
        <f>IF(N82="","", IF(ARBITRAGES!$H82="pendle",O81+ARBITRAGES!$K82,O81))</f>
        <v>169.7471597</v>
      </c>
      <c r="P82" s="378">
        <f>IF(O82="","", IF(ARBITRAGES!$H82="BOME",P81+ARBITRAGES!$K82,P81))</f>
        <v>0.02891989199</v>
      </c>
      <c r="Q82" s="378">
        <v>2.413E7</v>
      </c>
      <c r="R82" s="378">
        <f>IF(Q82="","", IF(ARBITRAGES!$H82="WIF",R81+ARBITRAGES!$K82,R81))</f>
        <v>0</v>
      </c>
      <c r="S82" s="378">
        <f>IF(R82="","", IF(ARBITRAGES!$H82="RAY",S81+ARBITRAGES!$K82,S81))</f>
        <v>44</v>
      </c>
      <c r="T82" s="360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0"/>
      <c r="AG82" s="360"/>
      <c r="AH82" s="360"/>
    </row>
    <row r="83" ht="18.75" customHeight="1">
      <c r="A83" s="365">
        <f>IF(ARBITRAGES!E83=0,"",ARBITRAGES!E83)</f>
        <v>45818</v>
      </c>
      <c r="B83" s="374">
        <f>IF(A83="","", IF(ARBITRAGES!$H83="BTC",B82+ARBITRAGES!$K83,B82))</f>
        <v>0.2119344896</v>
      </c>
      <c r="C83" s="375">
        <f>IF(B83="","", IF(ARBITRAGES!$H83="eth",C82+ARBITRAGES!$K83,C82))</f>
        <v>3.0805</v>
      </c>
      <c r="D83" s="376">
        <f>IF(C83="","", IF(ARBITRAGES!$H83="ton",D82+ARBITRAGES!$K83,D82))</f>
        <v>376.2284725</v>
      </c>
      <c r="E83" s="376">
        <f>IF(D83="","", IF(ARBITRAGES!$H83="sol",E82+ARBITRAGES!$K83,E82))</f>
        <v>19.714</v>
      </c>
      <c r="F83" s="377">
        <f>IF(E83="","", IF(ARBITRAGES!$H83="tao",F82+ARBITRAGES!$K83,F82))</f>
        <v>10.24011974</v>
      </c>
      <c r="G83" s="378">
        <f>IF(F83="","", IF(ARBITRAGES!$H83="ron",G82+ARBITRAGES!$K83,G82))</f>
        <v>0</v>
      </c>
      <c r="H83" s="378">
        <f>IF(G83="","", IF(ARBITRAGES!$H83="link",H82+ARBITRAGES!$K83,H82))</f>
        <v>100.0797</v>
      </c>
      <c r="I83" s="378">
        <f>IF(H83="","", IF(ARBITRAGES!$H83="doge",I82+ARBITRAGES!$K83,I82))</f>
        <v>3151.58</v>
      </c>
      <c r="J83" s="378">
        <f>IF(I83="","", IF(ARBITRAGES!$H83="shib",J82-ARBITRAGES!$K83,J82))</f>
        <v>20503076</v>
      </c>
      <c r="K83" s="378">
        <f>IF(J83="","", IF(ARBITRAGES!$H83="cake",K82+ARBITRAGES!$K83,K82))</f>
        <v>127.0804432</v>
      </c>
      <c r="L83" s="378">
        <f>IF(K83="","", IF(ARBITRAGES!$H83="JUP",L82+ARBITRAGES!$K83,L82))</f>
        <v>824</v>
      </c>
      <c r="M83" s="376">
        <f>IF(L83="","", IF(ARBITRAGES!$H83="aave",M82+ARBITRAGES!$K83,M82))</f>
        <v>4.017705263</v>
      </c>
      <c r="N83" s="378">
        <f>IF(M83="","", IF(ARBITRAGES!$H83="ckb",N82+ARBITRAGES!$K83,N82))</f>
        <v>73781</v>
      </c>
      <c r="O83" s="378">
        <f>IF(N83="","", IF(ARBITRAGES!$H83="pendle",O82+ARBITRAGES!$K83,O82))</f>
        <v>169.7471597</v>
      </c>
      <c r="P83" s="378">
        <f>IF(O83="","", IF(ARBITRAGES!$H83="BOME",P82+ARBITRAGES!$K83,P82))</f>
        <v>0.02891989199</v>
      </c>
      <c r="Q83" s="378">
        <f>IF(P83="","", IF(ARBITRAGES!$H83="PEPE",Q82+ARBITRAGES!$K83,Q82))</f>
        <v>24130000</v>
      </c>
      <c r="R83" s="378">
        <f>IF(Q83="","", IF(ARBITRAGES!$H83="WIF",R82+ARBITRAGES!$K83,R82))</f>
        <v>0</v>
      </c>
      <c r="S83" s="378">
        <f>IF(R83="","", IF(ARBITRAGES!$H83="RAY",S82+ARBITRAGES!$K83,S82))</f>
        <v>44</v>
      </c>
      <c r="T83" s="360"/>
      <c r="U83" s="360"/>
      <c r="V83" s="360"/>
      <c r="W83" s="360"/>
      <c r="X83" s="360"/>
      <c r="Y83" s="360"/>
      <c r="Z83" s="360"/>
      <c r="AA83" s="360"/>
      <c r="AB83" s="360"/>
      <c r="AC83" s="360"/>
      <c r="AD83" s="360"/>
      <c r="AE83" s="360"/>
      <c r="AF83" s="360"/>
      <c r="AG83" s="360"/>
      <c r="AH83" s="360"/>
    </row>
    <row r="84" ht="18.75" customHeight="1">
      <c r="A84" s="365">
        <f>IF(ARBITRAGES!E84=0,"",ARBITRAGES!E84)</f>
        <v>45831</v>
      </c>
      <c r="B84" s="375">
        <f>IF(A84="","", IF(ARBITRAGES!$H84="BTC",B83+ARBITRAGES!$K84,B83))</f>
        <v>0.2119344896</v>
      </c>
      <c r="C84" s="375">
        <f>IF(B84="","", IF(ARBITRAGES!$H84="eth",C83+ARBITRAGES!$K84,C83))</f>
        <v>3.0805</v>
      </c>
      <c r="D84" s="376">
        <f>IF(C84="","", IF(ARBITRAGES!$H84="ton",D83+ARBITRAGES!$K84,D83))</f>
        <v>376.2284725</v>
      </c>
      <c r="E84" s="376">
        <f>IF(D84="","", IF(ARBITRAGES!$H84="sol",E83+ARBITRAGES!$K84,E83))</f>
        <v>19.714</v>
      </c>
      <c r="F84" s="377">
        <f>IF(E84="","", IF(ARBITRAGES!$H84="tao",F83+ARBITRAGES!$K84,F83))</f>
        <v>10.24011974</v>
      </c>
      <c r="G84" s="378">
        <f>IF(F84="","", IF(ARBITRAGES!$H84="ron",G83+ARBITRAGES!$K84,G83))</f>
        <v>0</v>
      </c>
      <c r="H84" s="378">
        <f>IF(G84="","", IF(ARBITRAGES!$H84="link",H83+ARBITRAGES!$K84,H83))</f>
        <v>100.0797</v>
      </c>
      <c r="I84" s="378">
        <f>IF(H84="","", IF(ARBITRAGES!$H84="doge",I83+ARBITRAGES!$K84,I83))</f>
        <v>3151.58</v>
      </c>
      <c r="J84" s="378">
        <f>IF(I84="","", IF(ARBITRAGES!$H84="shib",J83-ARBITRAGES!$K84,J83))</f>
        <v>20503076</v>
      </c>
      <c r="K84" s="378">
        <f>IF(J84="","", IF(ARBITRAGES!$H84="cake",K83+ARBITRAGES!$K84,K83))</f>
        <v>127.0804432</v>
      </c>
      <c r="L84" s="378">
        <f>IF(K84="","", IF(ARBITRAGES!$H84="JUP",L83+ARBITRAGES!$K84,L83))</f>
        <v>824</v>
      </c>
      <c r="M84" s="383">
        <f>IF(L84="","", IF(ARBITRAGES!$H84="aave",M83+ARBITRAGES!$K84,M83))</f>
        <v>5.351038596</v>
      </c>
      <c r="N84" s="378">
        <f>IF(M84="","", IF(ARBITRAGES!$H84="ckb",N83+ARBITRAGES!$K84,N83))</f>
        <v>73781</v>
      </c>
      <c r="O84" s="378">
        <f>IF(N84="","", IF(ARBITRAGES!$H84="pendle",O83+ARBITRAGES!$K84,O83))</f>
        <v>169.7471597</v>
      </c>
      <c r="P84" s="378">
        <f>IF(O84="","", IF(ARBITRAGES!$H84="BOME",P83+ARBITRAGES!$K84,P83))</f>
        <v>0.02891989199</v>
      </c>
      <c r="Q84" s="378">
        <f>IF(P84="","", IF(ARBITRAGES!$H84="PEPE",Q83+ARBITRAGES!$K84,Q83))</f>
        <v>24130000</v>
      </c>
      <c r="R84" s="378">
        <f>IF(Q84="","", IF(ARBITRAGES!$H84="WIF",R83+ARBITRAGES!$K84,R83))</f>
        <v>0</v>
      </c>
      <c r="S84" s="378">
        <f>IF(R84="","", IF(ARBITRAGES!$H84="RAY",S83+ARBITRAGES!$K84,S83))</f>
        <v>44</v>
      </c>
      <c r="T84" s="360"/>
      <c r="U84" s="360"/>
      <c r="V84" s="360"/>
      <c r="W84" s="360"/>
      <c r="X84" s="360"/>
      <c r="Y84" s="360"/>
      <c r="Z84" s="360"/>
      <c r="AA84" s="360"/>
      <c r="AB84" s="360"/>
      <c r="AC84" s="360"/>
      <c r="AD84" s="360"/>
      <c r="AE84" s="360"/>
      <c r="AF84" s="360"/>
      <c r="AG84" s="360"/>
      <c r="AH84" s="360"/>
    </row>
    <row r="85" ht="18.75" customHeight="1">
      <c r="A85" s="365">
        <f>IF(ARBITRAGES!E85=0,"",ARBITRAGES!E85)</f>
        <v>45831</v>
      </c>
      <c r="B85" s="375">
        <f>IF(A85="","", IF(ARBITRAGES!$H85="BTC",B84+ARBITRAGES!$K85,B84))</f>
        <v>0.2119344896</v>
      </c>
      <c r="C85" s="375">
        <f>IF(B85="","", IF(ARBITRAGES!$H85="eth",C84+ARBITRAGES!$K85,C84))</f>
        <v>3.0805</v>
      </c>
      <c r="D85" s="376">
        <f>IF(C85="","", IF(ARBITRAGES!$H85="ton",D84+ARBITRAGES!$K85,D84))</f>
        <v>376.2284725</v>
      </c>
      <c r="E85" s="376">
        <f>IF(D85="","", IF(ARBITRAGES!$H85="sol",E84+ARBITRAGES!$K85,E84))</f>
        <v>19.714</v>
      </c>
      <c r="F85" s="377">
        <f>IF(E85="","", IF(ARBITRAGES!$H85="tao",F84+ARBITRAGES!$K85,F84))</f>
        <v>10.24011974</v>
      </c>
      <c r="G85" s="378">
        <f>IF(F85="","", IF(ARBITRAGES!$H85="ron",G84+ARBITRAGES!$K85,G84))</f>
        <v>0</v>
      </c>
      <c r="H85" s="378">
        <f>IF(G85="","", IF(ARBITRAGES!$H85="link",H84+ARBITRAGES!$K85,H84))</f>
        <v>100.0797</v>
      </c>
      <c r="I85" s="378">
        <f>IF(H85="","", IF(ARBITRAGES!$H85="doge",I84+ARBITRAGES!$K85,I84))</f>
        <v>3151.58</v>
      </c>
      <c r="J85" s="378">
        <f>IF(I85="","", IF(ARBITRAGES!$H85="shib",J84-ARBITRAGES!$K85,J84))</f>
        <v>20503076</v>
      </c>
      <c r="K85" s="378">
        <f>IF(J85="","", IF(ARBITRAGES!$H85="cake",K84+ARBITRAGES!$K85,K84))</f>
        <v>127.0804432</v>
      </c>
      <c r="L85" s="394">
        <f>IF(K85="","", IF(ARBITRAGES!$H85="JUP",L84-ARBITRAGES!$K85,L84))</f>
        <v>424</v>
      </c>
      <c r="M85" s="376">
        <f>IF(L85="","", IF(ARBITRAGES!$H85="aave",M84+ARBITRAGES!$K85,M84))</f>
        <v>5.351038596</v>
      </c>
      <c r="N85" s="378">
        <f>IF(M85="","", IF(ARBITRAGES!$H85="ckb",N84+ARBITRAGES!$K85,N84))</f>
        <v>73781</v>
      </c>
      <c r="O85" s="378">
        <f>IF(N85="","", IF(ARBITRAGES!$H85="pendle",O84+ARBITRAGES!$K85,O84))</f>
        <v>169.7471597</v>
      </c>
      <c r="P85" s="378">
        <f>IF(O85="","", IF(ARBITRAGES!$H85="BOME",P84+ARBITRAGES!$K85,P84))</f>
        <v>0.02891989199</v>
      </c>
      <c r="Q85" s="378">
        <f>IF(P85="","", IF(ARBITRAGES!$H85="PEPE",Q84+ARBITRAGES!$K85,Q84))</f>
        <v>24130000</v>
      </c>
      <c r="R85" s="378">
        <f>IF(Q85="","", IF(ARBITRAGES!$H85="WIF",R84+ARBITRAGES!$K85,R84))</f>
        <v>0</v>
      </c>
      <c r="S85" s="378">
        <f>IF(R85="","", IF(ARBITRAGES!$H85="RAY",S84+ARBITRAGES!$K85,S84))</f>
        <v>44</v>
      </c>
      <c r="T85" s="360"/>
      <c r="U85" s="360"/>
      <c r="V85" s="360"/>
      <c r="W85" s="360"/>
      <c r="X85" s="360"/>
      <c r="Y85" s="360"/>
      <c r="Z85" s="360"/>
      <c r="AA85" s="360"/>
      <c r="AB85" s="360"/>
      <c r="AC85" s="360"/>
      <c r="AD85" s="360"/>
      <c r="AE85" s="360"/>
      <c r="AF85" s="360"/>
      <c r="AG85" s="360"/>
      <c r="AH85" s="360"/>
    </row>
    <row r="86" ht="18.75" customHeight="1">
      <c r="A86" s="365">
        <f>IF(ARBITRAGES!E86=0,"",ARBITRAGES!E86)</f>
        <v>45831</v>
      </c>
      <c r="B86" s="375">
        <f>IF(A86="","", IF(ARBITRAGES!$H86="BTC",B85+ARBITRAGES!$K86,B85))</f>
        <v>0.2119344896</v>
      </c>
      <c r="C86" s="375">
        <f>IF(B86="","", IF(ARBITRAGES!$H86="eth",C85+ARBITRAGES!$K86,C85))</f>
        <v>3.0805</v>
      </c>
      <c r="D86" s="376">
        <f>IF(C86="","", IF(ARBITRAGES!$H86="ton",D85+ARBITRAGES!$K86,D85))</f>
        <v>376.2284725</v>
      </c>
      <c r="E86" s="376">
        <f>IF(D86="","", IF(ARBITRAGES!$H86="sol",E85+ARBITRAGES!$K86,E85))</f>
        <v>19.714</v>
      </c>
      <c r="F86" s="377">
        <f>IF(E86="","", IF(ARBITRAGES!$H86="tao",F85+ARBITRAGES!$K86,F85))</f>
        <v>10.24011974</v>
      </c>
      <c r="G86" s="378">
        <f>IF(F86="","", IF(ARBITRAGES!$H86="ron",G85+ARBITRAGES!$K86,G85))</f>
        <v>0</v>
      </c>
      <c r="H86" s="378">
        <f>IF(G86="","", IF(ARBITRAGES!$H86="link",H85+ARBITRAGES!$K86,H85))</f>
        <v>100.0797</v>
      </c>
      <c r="I86" s="378">
        <f>IF(H86="","", IF(ARBITRAGES!$H86="doge",I85+ARBITRAGES!$K86,I85))</f>
        <v>3151.58</v>
      </c>
      <c r="J86" s="378">
        <f>IF(I86="","", IF(ARBITRAGES!$H86="shib",J85-ARBITRAGES!$K86,J85))</f>
        <v>20503076</v>
      </c>
      <c r="K86" s="378">
        <f>IF(J86="","", IF(ARBITRAGES!$H86="cake",K85+ARBITRAGES!$K86,K85))</f>
        <v>127.0804432</v>
      </c>
      <c r="L86" s="378">
        <f>IF(K86="","", IF(ARBITRAGES!$H86="JUP",L85+ARBITRAGES!$K86,L85))</f>
        <v>424</v>
      </c>
      <c r="M86" s="376">
        <f>IF(L86="","", IF(ARBITRAGES!$H86="aave",M85+ARBITRAGES!$K86,M85))</f>
        <v>5.351038596</v>
      </c>
      <c r="N86" s="378">
        <f>IF(M86="","", IF(ARBITRAGES!$H86="ckb",N85-ARBITRAGES!$K86,N85))</f>
        <v>33781</v>
      </c>
      <c r="O86" s="378">
        <f>IF(N86="","", IF(ARBITRAGES!$H86="pendle",O85+ARBITRAGES!$K86,O85))</f>
        <v>169.7471597</v>
      </c>
      <c r="P86" s="378">
        <f>IF(O86="","", IF(ARBITRAGES!$H86="BOME",P85+ARBITRAGES!$K86,P85))</f>
        <v>0.02891989199</v>
      </c>
      <c r="Q86" s="378">
        <f>IF(P86="","", IF(ARBITRAGES!$H86="PEPE",Q85+ARBITRAGES!$K86,Q85))</f>
        <v>24130000</v>
      </c>
      <c r="R86" s="378">
        <f>IF(Q86="","", IF(ARBITRAGES!$H86="WIF",R85+ARBITRAGES!$K86,R85))</f>
        <v>0</v>
      </c>
      <c r="S86" s="378">
        <f>IF(R86="","", IF(ARBITRAGES!$H86="RAY",S85+ARBITRAGES!$K86,S85))</f>
        <v>44</v>
      </c>
      <c r="T86" s="360"/>
      <c r="U86" s="360"/>
      <c r="V86" s="360"/>
      <c r="W86" s="360"/>
      <c r="X86" s="360"/>
      <c r="Y86" s="360"/>
      <c r="Z86" s="360"/>
      <c r="AA86" s="360"/>
      <c r="AB86" s="360"/>
      <c r="AC86" s="360"/>
      <c r="AD86" s="360"/>
      <c r="AE86" s="360"/>
      <c r="AF86" s="360"/>
      <c r="AG86" s="360"/>
      <c r="AH86" s="360"/>
    </row>
    <row r="87" ht="18.75" customHeight="1">
      <c r="A87" s="365">
        <f>IF(ARBITRAGES!E87=0,"",ARBITRAGES!E87)</f>
        <v>45831</v>
      </c>
      <c r="B87" s="375">
        <f>IF(A87="","", IF(ARBITRAGES!$H87="BTC",B86+ARBITRAGES!$K87,B86))</f>
        <v>0.2119344896</v>
      </c>
      <c r="C87" s="375">
        <f>IF(B87="","", IF(ARBITRAGES!$H87="eth",C86+ARBITRAGES!$K87,C86))</f>
        <v>3.0805</v>
      </c>
      <c r="D87" s="376">
        <f>IF(C87="","", IF(ARBITRAGES!$H87="ton",D86+ARBITRAGES!$K87,D86))</f>
        <v>376.2284725</v>
      </c>
      <c r="E87" s="376">
        <f>IF(D87="","", IF(ARBITRAGES!$H87="sol",E86+ARBITRAGES!$K87,E86))</f>
        <v>19.714</v>
      </c>
      <c r="F87" s="377">
        <f>IF(E87="","", IF(ARBITRAGES!$H87="tao",F86+ARBITRAGES!$K87,F86))</f>
        <v>10.24011974</v>
      </c>
      <c r="G87" s="378">
        <f>IF(F87="","", IF(ARBITRAGES!$H87="ron",G86+ARBITRAGES!$K87,G86))</f>
        <v>0</v>
      </c>
      <c r="H87" s="378">
        <f>IF(G87="","", IF(ARBITRAGES!$H87="link",H86+ARBITRAGES!$K87,H86))</f>
        <v>100.0797</v>
      </c>
      <c r="I87" s="378">
        <f>IF(H87="","", IF(ARBITRAGES!$H87="doge",I86+ARBITRAGES!$K87,I86))</f>
        <v>3151.58</v>
      </c>
      <c r="J87" s="378">
        <f>IF(I87="","", IF(ARBITRAGES!$H87="shib",J86-ARBITRAGES!$K87,J86))</f>
        <v>20503076</v>
      </c>
      <c r="K87" s="378">
        <f>IF(J87="","", IF(ARBITRAGES!$H87="cake",K86+ARBITRAGES!$K87,K86))</f>
        <v>127.0804432</v>
      </c>
      <c r="L87" s="378">
        <f>IF(K87="","", IF(ARBITRAGES!$H87="JUP",L86+ARBITRAGES!$K87,L86))</f>
        <v>424</v>
      </c>
      <c r="M87" s="376">
        <f>IF(L87="","", IF(ARBITRAGES!$H87="aave",M86+ARBITRAGES!$K87,M86))</f>
        <v>5.351038596</v>
      </c>
      <c r="N87" s="378">
        <f>IF(M87="","", IF(ARBITRAGES!$H87="ckb",N86+ARBITRAGES!$K87,N86))</f>
        <v>33781</v>
      </c>
      <c r="O87" s="378">
        <f>IF(N87="","", IF(ARBITRAGES!$H87="pendle",O86+ARBITRAGES!$K87,O86))</f>
        <v>169.7471597</v>
      </c>
      <c r="P87" s="378">
        <f>IF(O87="","", IF(ARBITRAGES!$H87="BOME",P86+ARBITRAGES!$K87,P86))</f>
        <v>0.02891989199</v>
      </c>
      <c r="Q87" s="378">
        <f>IF(P87="","", IF(ARBITRAGES!$H87="PEPE",Q86+ARBITRAGES!$K87,Q86))</f>
        <v>24130000</v>
      </c>
      <c r="R87" s="378">
        <f>IF(Q87="","", IF(ARBITRAGES!$H87="WIF",R86+ARBITRAGES!$K87,R86))</f>
        <v>0</v>
      </c>
      <c r="S87" s="394">
        <f>IF(R87="","", IF(ARBITRAGES!$H87="RAY",0,S86))</f>
        <v>0</v>
      </c>
      <c r="T87" s="360"/>
      <c r="U87" s="360"/>
      <c r="V87" s="360"/>
      <c r="W87" s="360"/>
      <c r="X87" s="360"/>
      <c r="Y87" s="360"/>
      <c r="Z87" s="360"/>
      <c r="AA87" s="360"/>
      <c r="AB87" s="360"/>
      <c r="AC87" s="360"/>
      <c r="AD87" s="360"/>
      <c r="AE87" s="360"/>
      <c r="AF87" s="360"/>
      <c r="AG87" s="360"/>
      <c r="AH87" s="360"/>
    </row>
    <row r="88" ht="18.75" customHeight="1">
      <c r="A88" s="365">
        <f>IF(ARBITRAGES!E88=0,"",ARBITRAGES!E88)</f>
        <v>45831</v>
      </c>
      <c r="B88" s="375">
        <f>IF(A88="","", IF(ARBITRAGES!$H88="BTC",B87+ARBITRAGES!$K88,B87))</f>
        <v>0.2119344896</v>
      </c>
      <c r="C88" s="375">
        <f>IF(B88="","", IF(ARBITRAGES!$H88="eth",C87+ARBITRAGES!$K88,C87))</f>
        <v>3.0805</v>
      </c>
      <c r="D88" s="376">
        <f>IF(C88="","", IF(ARBITRAGES!$H88="ton",D87+ARBITRAGES!$K88,D87))</f>
        <v>376.2284725</v>
      </c>
      <c r="E88" s="376">
        <f>IF(D88="","", IF(ARBITRAGES!$H88="sol",E87+ARBITRAGES!$K88,E87))</f>
        <v>19.714</v>
      </c>
      <c r="F88" s="377">
        <f>IF(E88="","", IF(ARBITRAGES!$H88="tao",F87+ARBITRAGES!$K88,F87))</f>
        <v>10.24011974</v>
      </c>
      <c r="G88" s="378">
        <f>IF(F88="","", IF(ARBITRAGES!$H88="ron",G87+ARBITRAGES!$K88,G87))</f>
        <v>0</v>
      </c>
      <c r="H88" s="378">
        <f>IF(G88="","", IF(ARBITRAGES!$H88="link",H87+ARBITRAGES!$K88,H87))</f>
        <v>100.0797</v>
      </c>
      <c r="I88" s="378">
        <f>IF(H88="","", IF(ARBITRAGES!$H88="doge",I87+ARBITRAGES!$K88,I87))</f>
        <v>3151.58</v>
      </c>
      <c r="J88" s="378">
        <f>IF(I88="","", IF(ARBITRAGES!$H88="shib",J87-ARBITRAGES!$K88,J87))</f>
        <v>20503076</v>
      </c>
      <c r="K88" s="378">
        <f>IF(J88="","", IF(ARBITRAGES!$H88="cake",K87+ARBITRAGES!$K88,K87))</f>
        <v>127.0804432</v>
      </c>
      <c r="L88" s="378">
        <f>IF(K88="","", IF(ARBITRAGES!$H88="JUP",L87+ARBITRAGES!$K88,L87))</f>
        <v>424</v>
      </c>
      <c r="M88" s="376">
        <f>IF(L88="","", IF(ARBITRAGES!$H88="aave",M87+ARBITRAGES!$K88,M87))</f>
        <v>5.351038596</v>
      </c>
      <c r="N88" s="394">
        <f>IF(M88="","", IF(ARBITRAGES!$H88="ckb",0,N87))</f>
        <v>0</v>
      </c>
      <c r="O88" s="378">
        <f>IF(N88="","", IF(ARBITRAGES!$H88="pendle",O87+ARBITRAGES!$K88,O87))</f>
        <v>169.7471597</v>
      </c>
      <c r="P88" s="378">
        <f>IF(O88="","", IF(ARBITRAGES!$H88="BOME",P87+ARBITRAGES!$K88,P87))</f>
        <v>0.02891989199</v>
      </c>
      <c r="Q88" s="378">
        <f>IF(P88="","", IF(ARBITRAGES!$H88="PEPE",Q87+ARBITRAGES!$K88,Q87))</f>
        <v>24130000</v>
      </c>
      <c r="R88" s="378">
        <f>IF(Q88="","", IF(ARBITRAGES!$H88="WIF",R87+ARBITRAGES!$K88,R87))</f>
        <v>0</v>
      </c>
      <c r="S88" s="378">
        <f>IF(R88="","", IF(ARBITRAGES!$H88="RAY",S87+ARBITRAGES!$K88,S87))</f>
        <v>0</v>
      </c>
      <c r="T88" s="360"/>
      <c r="U88" s="360"/>
      <c r="V88" s="360"/>
      <c r="W88" s="360"/>
      <c r="X88" s="360"/>
      <c r="Y88" s="360"/>
      <c r="Z88" s="360"/>
      <c r="AA88" s="360"/>
      <c r="AB88" s="360"/>
      <c r="AC88" s="360"/>
      <c r="AD88" s="360"/>
      <c r="AE88" s="360"/>
      <c r="AF88" s="360"/>
      <c r="AG88" s="360"/>
      <c r="AH88" s="360"/>
    </row>
    <row r="89" ht="18.75" customHeight="1">
      <c r="A89" s="365">
        <f>IF(ARBITRAGES!E89=0,"",ARBITRAGES!E89)</f>
        <v>45832</v>
      </c>
      <c r="B89" s="375">
        <f>IF(A89="","", IF(ARBITRAGES!$H89="BTC",B88+ARBITRAGES!$K89,B88))</f>
        <v>0.2119344896</v>
      </c>
      <c r="C89" s="375">
        <f>IF(B89="","", IF(ARBITRAGES!$H89="eth",C88+ARBITRAGES!$K89,C88))</f>
        <v>3.0805</v>
      </c>
      <c r="D89" s="376">
        <f>IF(C89="","", IF(ARBITRAGES!$H89="ton",D88+ARBITRAGES!$K89,D88))</f>
        <v>376.2284725</v>
      </c>
      <c r="E89" s="376">
        <f>IF(D89="","", IF(ARBITRAGES!$H89="sol",E88+ARBITRAGES!$K89,E88))</f>
        <v>19.714</v>
      </c>
      <c r="F89" s="377">
        <f>IF(E89="","", IF(ARBITRAGES!$H89="tao",F88+ARBITRAGES!$K89,F88))</f>
        <v>10.24011974</v>
      </c>
      <c r="G89" s="378">
        <f>IF(F89="","", IF(ARBITRAGES!$H89="ron",G88+ARBITRAGES!$K89,G88))</f>
        <v>0</v>
      </c>
      <c r="H89" s="378">
        <f>IF(G89="","", IF(ARBITRAGES!$H89="link",H88+ARBITRAGES!$K89,H88))</f>
        <v>100.0797</v>
      </c>
      <c r="I89" s="378">
        <f>IF(H89="","", IF(ARBITRAGES!$H89="doge",I88+ARBITRAGES!$K89,I88))</f>
        <v>3151.58</v>
      </c>
      <c r="J89" s="378">
        <f>IF(I89="","", IF(ARBITRAGES!$H89="shib",J88-ARBITRAGES!$K89,J88))</f>
        <v>20503076</v>
      </c>
      <c r="K89" s="378">
        <f>IF(J89="","", IF(ARBITRAGES!$H89="cake",K88+ARBITRAGES!$K89,K88))</f>
        <v>127.0804432</v>
      </c>
      <c r="L89" s="394">
        <f>IF(K89="","", IF(ARBITRAGES!$H89="JUP",0,L88))</f>
        <v>0</v>
      </c>
      <c r="M89" s="376">
        <f>IF(L89="","", IF(ARBITRAGES!$H89="aave",M88+ARBITRAGES!$K89,M88))</f>
        <v>5.351038596</v>
      </c>
      <c r="N89" s="378">
        <f>IF(M89="","", IF(ARBITRAGES!$H89="ckb",N88+ARBITRAGES!$K89,N88))</f>
        <v>0</v>
      </c>
      <c r="O89" s="378">
        <f>IF(N89="","", IF(ARBITRAGES!$H89="pendle",O88+ARBITRAGES!$K89,O88))</f>
        <v>169.7471597</v>
      </c>
      <c r="P89" s="378">
        <f>IF(O89="","", IF(ARBITRAGES!$H89="BOME",P88+ARBITRAGES!$K89,P88))</f>
        <v>0.02891989199</v>
      </c>
      <c r="Q89" s="378">
        <f>IF(P89="","", IF(ARBITRAGES!$H89="PEPE",Q88+ARBITRAGES!$K89,Q88))</f>
        <v>24130000</v>
      </c>
      <c r="R89" s="378">
        <f>IF(Q89="","", IF(ARBITRAGES!$H89="WIF",R88+ARBITRAGES!$K89,R88))</f>
        <v>0</v>
      </c>
      <c r="S89" s="378">
        <f>IF(R89="","", IF(ARBITRAGES!$H89="RAY",S88+ARBITRAGES!$K89,S88))</f>
        <v>0</v>
      </c>
      <c r="T89" s="360"/>
      <c r="U89" s="360"/>
      <c r="V89" s="360"/>
      <c r="W89" s="360"/>
      <c r="X89" s="360"/>
      <c r="Y89" s="360"/>
      <c r="Z89" s="360"/>
      <c r="AA89" s="360"/>
      <c r="AB89" s="360"/>
      <c r="AC89" s="360"/>
      <c r="AD89" s="360"/>
      <c r="AE89" s="360"/>
      <c r="AF89" s="360"/>
      <c r="AG89" s="360"/>
      <c r="AH89" s="360"/>
    </row>
    <row r="90" ht="18.75" customHeight="1">
      <c r="A90" s="365">
        <f>IF(ARBITRAGES!E90=0,"",ARBITRAGES!E90)</f>
        <v>45847</v>
      </c>
      <c r="B90" s="375">
        <f>IF(A90="","", IF(ARBITRAGES!$H90="BTC",B89+ARBITRAGES!$K90,B89))</f>
        <v>0.2119344896</v>
      </c>
      <c r="C90" s="375">
        <f>IF(B90="","", IF(ARBITRAGES!$H90="eth",C89+ARBITRAGES!$K90,C89))</f>
        <v>3.0805</v>
      </c>
      <c r="D90" s="376">
        <f>IF(C90="","", IF(ARBITRAGES!$H90="ton",D89-ARBITRAGES!$K90,D89))</f>
        <v>376.2284725</v>
      </c>
      <c r="E90" s="383">
        <f>IF(D90="","", IF(ARBITRAGES!$H90="sol",E89+ARBITRAGES!$K90,E89))</f>
        <v>21.714</v>
      </c>
      <c r="F90" s="377">
        <f>IF(E90="","", IF(ARBITRAGES!$H90="tao",F89+ARBITRAGES!$K90,F89))</f>
        <v>10.24011974</v>
      </c>
      <c r="G90" s="378">
        <f>IF(F90="","", IF(ARBITRAGES!$H90="ron",G89+ARBITRAGES!$K90,G89))</f>
        <v>0</v>
      </c>
      <c r="H90" s="378">
        <f>IF(G90="","", IF(ARBITRAGES!$H90="link",H89+ARBITRAGES!$K90,H89))</f>
        <v>100.0797</v>
      </c>
      <c r="I90" s="378">
        <f>IF(H90="","", IF(ARBITRAGES!$H90="doge",I89+ARBITRAGES!$K90,I89))</f>
        <v>3151.58</v>
      </c>
      <c r="J90" s="378">
        <f>IF(I90="","", IF(ARBITRAGES!$H90="shib",J89-ARBITRAGES!$K90,J89))</f>
        <v>20503076</v>
      </c>
      <c r="K90" s="378">
        <f>IF(J90="","", IF(ARBITRAGES!$H90="cake",K89+ARBITRAGES!$K90,K89))</f>
        <v>127.0804432</v>
      </c>
      <c r="L90" s="378">
        <f>IF(K90="","", IF(ARBITRAGES!$H90="JUP",L89+ARBITRAGES!$K90,L89))</f>
        <v>0</v>
      </c>
      <c r="M90" s="376">
        <f>IF(L90="","", IF(ARBITRAGES!$H90="aave",M89+ARBITRAGES!$K90,M89))</f>
        <v>5.351038596</v>
      </c>
      <c r="N90" s="378">
        <f>IF(M90="","", IF(ARBITRAGES!$H90="ckb",N89+ARBITRAGES!$K90,N89))</f>
        <v>0</v>
      </c>
      <c r="O90" s="378">
        <f>IF(N90="","", IF(ARBITRAGES!$H90="pendle",O89+ARBITRAGES!$K90,O89))</f>
        <v>169.7471597</v>
      </c>
      <c r="P90" s="378">
        <f>IF(O90="","", IF(ARBITRAGES!$H90="BOME",P89+ARBITRAGES!$K90,P89))</f>
        <v>0.02891989199</v>
      </c>
      <c r="Q90" s="378">
        <f>IF(P90="","", IF(ARBITRAGES!$H90="PEPE",Q89+ARBITRAGES!$K90,Q89))</f>
        <v>24130000</v>
      </c>
      <c r="R90" s="378">
        <f>IF(Q90="","", IF(ARBITRAGES!$H90="WIF",R89+ARBITRAGES!$K90,R89))</f>
        <v>0</v>
      </c>
      <c r="S90" s="378">
        <f>IF(R90="","", IF(ARBITRAGES!$H90="RAY",S89+ARBITRAGES!$K90,S89))</f>
        <v>0</v>
      </c>
      <c r="T90" s="360"/>
      <c r="U90" s="360"/>
      <c r="V90" s="360"/>
      <c r="W90" s="360"/>
      <c r="X90" s="360"/>
      <c r="Y90" s="360"/>
      <c r="Z90" s="360"/>
      <c r="AA90" s="360"/>
      <c r="AB90" s="360"/>
      <c r="AC90" s="360"/>
      <c r="AD90" s="360"/>
      <c r="AE90" s="360"/>
      <c r="AF90" s="360"/>
      <c r="AG90" s="360"/>
      <c r="AH90" s="360"/>
    </row>
    <row r="91" ht="18.75" customHeight="1">
      <c r="A91" s="365">
        <f>IF(ARBITRAGES!E91=0,"",ARBITRAGES!E91)</f>
        <v>45848</v>
      </c>
      <c r="B91" s="375">
        <f>IF(A91="","", IF(ARBITRAGES!$H91="BTC",B90+ARBITRAGES!$K91,B90))</f>
        <v>0.2119344896</v>
      </c>
      <c r="C91" s="375">
        <f>IF(B91="","", IF(ARBITRAGES!$H91="eth",C90+ARBITRAGES!$K91,C90))</f>
        <v>3.0805</v>
      </c>
      <c r="D91" s="376">
        <f>IF(C91="","", IF(ARBITRAGES!$H91="ton",D90-ARBITRAGES!$K91,D90))</f>
        <v>246.4039111</v>
      </c>
      <c r="E91" s="376">
        <f>IF(D91="","", IF(ARBITRAGES!$H91="sol",E90+ARBITRAGES!$K91,E90))</f>
        <v>21.714</v>
      </c>
      <c r="F91" s="377">
        <f>IF(E91="","", IF(ARBITRAGES!$H91="tao",F90+ARBITRAGES!$K91,F90))</f>
        <v>10.24011974</v>
      </c>
      <c r="G91" s="378">
        <f>IF(F91="","", IF(ARBITRAGES!$H91="ron",G90+ARBITRAGES!$K91,G90))</f>
        <v>0</v>
      </c>
      <c r="H91" s="378">
        <f>IF(G91="","", IF(ARBITRAGES!$H91="link",H90+ARBITRAGES!$K91,H90))</f>
        <v>100.0797</v>
      </c>
      <c r="I91" s="378">
        <f>IF(H91="","", IF(ARBITRAGES!$H91="doge",I90+ARBITRAGES!$K91,I90))</f>
        <v>3151.58</v>
      </c>
      <c r="J91" s="378">
        <f>IF(I91="","", IF(ARBITRAGES!$H91="shib",J90-ARBITRAGES!$K91,J90))</f>
        <v>20503076</v>
      </c>
      <c r="K91" s="378">
        <f>IF(J91="","", IF(ARBITRAGES!$H91="cake",K90+ARBITRAGES!$K91,K90))</f>
        <v>127.0804432</v>
      </c>
      <c r="L91" s="378">
        <f>IF(K91="","", IF(ARBITRAGES!$H91="JUP",L90+ARBITRAGES!$K91,L90))</f>
        <v>0</v>
      </c>
      <c r="M91" s="376">
        <f>IF(L91="","", IF(ARBITRAGES!$H91="aave",M90+ARBITRAGES!$K91,M90))</f>
        <v>5.351038596</v>
      </c>
      <c r="N91" s="378">
        <f>IF(M91="","", IF(ARBITRAGES!$H91="ckb",N90+ARBITRAGES!$K91,N90))</f>
        <v>0</v>
      </c>
      <c r="O91" s="378">
        <f>IF(N91="","", IF(ARBITRAGES!$H91="pendle",O90+ARBITRAGES!$K91,O90))</f>
        <v>169.7471597</v>
      </c>
      <c r="P91" s="378">
        <f>IF(O91="","", IF(ARBITRAGES!$H91="BOME",P90+ARBITRAGES!$K91,P90))</f>
        <v>0.02891989199</v>
      </c>
      <c r="Q91" s="378">
        <f>IF(P91="","", IF(ARBITRAGES!$H91="PEPE",Q90+ARBITRAGES!$K91,Q90))</f>
        <v>24130000</v>
      </c>
      <c r="R91" s="378">
        <f>IF(Q91="","", IF(ARBITRAGES!$H91="WIF",R90+ARBITRAGES!$K91,R90))</f>
        <v>0</v>
      </c>
      <c r="S91" s="378">
        <f>IF(R91="","", IF(ARBITRAGES!$H91="RAY",S90+ARBITRAGES!$K91,S90))</f>
        <v>0</v>
      </c>
      <c r="T91" s="360"/>
      <c r="U91" s="360"/>
      <c r="V91" s="360"/>
      <c r="W91" s="360"/>
      <c r="X91" s="360"/>
      <c r="Y91" s="360"/>
      <c r="Z91" s="360"/>
      <c r="AA91" s="360"/>
      <c r="AB91" s="360"/>
      <c r="AC91" s="360"/>
      <c r="AD91" s="360"/>
      <c r="AE91" s="360"/>
      <c r="AF91" s="360"/>
      <c r="AG91" s="360"/>
      <c r="AH91" s="360"/>
    </row>
    <row r="92" ht="18.75" customHeight="1">
      <c r="A92" s="365">
        <f>IF(ARBITRAGES!E92=0,"",ARBITRAGES!E92)</f>
        <v>45849</v>
      </c>
      <c r="B92" s="393">
        <f>IF(A92="","", IF(ARBITRAGES!$H92="BTC",B91-ARBITRAGES!$K92,B91))</f>
        <v>0.2079233201</v>
      </c>
      <c r="C92" s="375">
        <f>IF(B92="","", IF(ARBITRAGES!$H92="eth",C91+ARBITRAGES!$K92,C91))</f>
        <v>3.0805</v>
      </c>
      <c r="D92" s="376">
        <f>IF(C92="","", IF(ARBITRAGES!$H92="ton",D91+ARBITRAGES!$K92,D91))</f>
        <v>246.4039111</v>
      </c>
      <c r="E92" s="376">
        <f>IF(D92="","", IF(ARBITRAGES!$H92="sol",E91+ARBITRAGES!$K92,E91))</f>
        <v>21.714</v>
      </c>
      <c r="F92" s="377">
        <f>IF(E92="","", IF(ARBITRAGES!$H92="tao",F91+ARBITRAGES!$K92,F91))</f>
        <v>10.24011974</v>
      </c>
      <c r="G92" s="378">
        <f>IF(F92="","", IF(ARBITRAGES!$H92="ron",G91+ARBITRAGES!$K92,G91))</f>
        <v>0</v>
      </c>
      <c r="H92" s="378">
        <f>IF(G92="","", IF(ARBITRAGES!$H92="link",H91+ARBITRAGES!$K92,H91))</f>
        <v>100.0797</v>
      </c>
      <c r="I92" s="378">
        <f>IF(H92="","", IF(ARBITRAGES!$H92="doge",I91+ARBITRAGES!$K92,I91))</f>
        <v>3151.58</v>
      </c>
      <c r="J92" s="378">
        <f>IF(I92="","", IF(ARBITRAGES!$H92="shib",J91-ARBITRAGES!$K92,J91))</f>
        <v>20503076</v>
      </c>
      <c r="K92" s="378">
        <f>IF(J92="","", IF(ARBITRAGES!$H92="cake",K91+ARBITRAGES!$K92,K91))</f>
        <v>127.0804432</v>
      </c>
      <c r="L92" s="378">
        <f>IF(K92="","", IF(ARBITRAGES!$H92="JUP",L91+ARBITRAGES!$K92,L91))</f>
        <v>0</v>
      </c>
      <c r="M92" s="376">
        <f>IF(L92="","", IF(ARBITRAGES!$H92="aave",M91+ARBITRAGES!$K92,M91))</f>
        <v>5.351038596</v>
      </c>
      <c r="N92" s="378">
        <f>IF(M92="","", IF(ARBITRAGES!$H92="ckb",N91+ARBITRAGES!$K92,N91))</f>
        <v>0</v>
      </c>
      <c r="O92" s="378">
        <f>IF(N92="","", IF(ARBITRAGES!$H92="pendle",O91+ARBITRAGES!$K92,O91))</f>
        <v>169.7471597</v>
      </c>
      <c r="P92" s="378">
        <f>IF(O92="","", IF(ARBITRAGES!$H92="BOME",P91+ARBITRAGES!$K92,P91))</f>
        <v>0.02891989199</v>
      </c>
      <c r="Q92" s="378">
        <f>IF(P92="","", IF(ARBITRAGES!$H92="PEPE",Q91+ARBITRAGES!$K92,Q91))</f>
        <v>24130000</v>
      </c>
      <c r="R92" s="378">
        <f>IF(Q92="","", IF(ARBITRAGES!$H92="WIF",R91+ARBITRAGES!$K92,R91))</f>
        <v>0</v>
      </c>
      <c r="S92" s="378">
        <f>IF(R92="","", IF(ARBITRAGES!$H92="RAY",S91+ARBITRAGES!$K92,S91))</f>
        <v>0</v>
      </c>
      <c r="T92" s="360"/>
      <c r="U92" s="360"/>
      <c r="V92" s="360"/>
      <c r="W92" s="360"/>
      <c r="X92" s="360"/>
      <c r="Y92" s="360"/>
      <c r="Z92" s="360"/>
      <c r="AA92" s="360"/>
      <c r="AB92" s="360"/>
      <c r="AC92" s="360"/>
      <c r="AD92" s="360"/>
      <c r="AE92" s="360"/>
      <c r="AF92" s="360"/>
      <c r="AG92" s="360"/>
      <c r="AH92" s="360"/>
    </row>
    <row r="93" ht="18.75" customHeight="1">
      <c r="A93" s="365">
        <f>IF(ARBITRAGES!E93=0,"",ARBITRAGES!E93)</f>
        <v>45849</v>
      </c>
      <c r="B93" s="393">
        <f>IF(A93="","", IF(ARBITRAGES!$H93="BTC",B92-ARBITRAGES!$K93,B92))</f>
        <v>0.2037039101</v>
      </c>
      <c r="C93" s="375">
        <f>IF(B93="","", IF(ARBITRAGES!$H93="eth",C92+ARBITRAGES!$K93,C92))</f>
        <v>3.0805</v>
      </c>
      <c r="D93" s="376">
        <f>IF(C93="","", IF(ARBITRAGES!$H93="ton",D92+ARBITRAGES!$K93,D92))</f>
        <v>246.4039111</v>
      </c>
      <c r="E93" s="376">
        <f>IF(D93="","", IF(ARBITRAGES!$H93="sol",E92+ARBITRAGES!$K93,E92))</f>
        <v>21.714</v>
      </c>
      <c r="F93" s="377">
        <f>IF(E93="","", IF(ARBITRAGES!$H93="tao",F92+ARBITRAGES!$K93,F92))</f>
        <v>10.24011974</v>
      </c>
      <c r="G93" s="378">
        <f>IF(F93="","", IF(ARBITRAGES!$H93="ron",G92+ARBITRAGES!$K93,G92))</f>
        <v>0</v>
      </c>
      <c r="H93" s="378">
        <f>IF(G93="","", IF(ARBITRAGES!$H93="link",H92+ARBITRAGES!$K93,H92))</f>
        <v>100.0797</v>
      </c>
      <c r="I93" s="378">
        <f>IF(H93="","", IF(ARBITRAGES!$H93="doge",I92+ARBITRAGES!$K93,I92))</f>
        <v>3151.58</v>
      </c>
      <c r="J93" s="378">
        <f>IF(I93="","", IF(ARBITRAGES!$H93="shib",J92-ARBITRAGES!$K93,J92))</f>
        <v>20503076</v>
      </c>
      <c r="K93" s="378">
        <f>IF(J93="","", IF(ARBITRAGES!$H93="cake",K92+ARBITRAGES!$K93,K92))</f>
        <v>127.0804432</v>
      </c>
      <c r="L93" s="378">
        <f>IF(K93="","", IF(ARBITRAGES!$H93="JUP",L92+ARBITRAGES!$K93,L92))</f>
        <v>0</v>
      </c>
      <c r="M93" s="376">
        <f>IF(L93="","", IF(ARBITRAGES!$H93="aave",M92+ARBITRAGES!$K93,M92))</f>
        <v>5.351038596</v>
      </c>
      <c r="N93" s="378">
        <f>IF(M93="","", IF(ARBITRAGES!$H93="ckb",N92+ARBITRAGES!$K93,N92))</f>
        <v>0</v>
      </c>
      <c r="O93" s="378">
        <f>IF(N93="","", IF(ARBITRAGES!$H93="pendle",O92+ARBITRAGES!$K93,O92))</f>
        <v>169.7471597</v>
      </c>
      <c r="P93" s="378">
        <f>IF(O93="","", IF(ARBITRAGES!$H93="BOME",P92+ARBITRAGES!$K93,P92))</f>
        <v>0.02891989199</v>
      </c>
      <c r="Q93" s="378">
        <f>IF(P93="","", IF(ARBITRAGES!$H93="PEPE",Q92+ARBITRAGES!$K93,Q92))</f>
        <v>24130000</v>
      </c>
      <c r="R93" s="378">
        <f>IF(Q93="","", IF(ARBITRAGES!$H93="WIF",R92+ARBITRAGES!$K93,R92))</f>
        <v>0</v>
      </c>
      <c r="S93" s="378">
        <f>IF(R93="","", IF(ARBITRAGES!$H93="RAY",S92+ARBITRAGES!$K93,S92))</f>
        <v>0</v>
      </c>
      <c r="T93" s="360"/>
      <c r="U93" s="360"/>
      <c r="V93" s="360"/>
      <c r="W93" s="360"/>
      <c r="X93" s="360"/>
      <c r="Y93" s="360"/>
      <c r="Z93" s="360"/>
      <c r="AA93" s="360"/>
      <c r="AB93" s="360"/>
      <c r="AC93" s="360"/>
      <c r="AD93" s="360"/>
      <c r="AE93" s="360"/>
      <c r="AF93" s="360"/>
      <c r="AG93" s="360"/>
      <c r="AH93" s="360"/>
    </row>
    <row r="94" ht="18.75" customHeight="1">
      <c r="A94" s="365">
        <f>IF(ARBITRAGES!E94=0,"",ARBITRAGES!E94)</f>
        <v>45850</v>
      </c>
      <c r="B94" s="393">
        <f>IF(A94="","", IF(ARBITRAGES!$H94="BTC",B93-ARBITRAGES!$K94,B93))</f>
        <v>0.2009344901</v>
      </c>
      <c r="C94" s="375">
        <f>IF(B94="","", IF(ARBITRAGES!$H94="eth",C93+ARBITRAGES!$K94,C93))</f>
        <v>3.0805</v>
      </c>
      <c r="D94" s="376">
        <f>IF(C94="","", IF(ARBITRAGES!$H94="ton",D93+ARBITRAGES!$K94,D93))</f>
        <v>246.4039111</v>
      </c>
      <c r="E94" s="376">
        <f>IF(D94="","", IF(ARBITRAGES!$H94="sol",E93+ARBITRAGES!$K94,E93))</f>
        <v>21.714</v>
      </c>
      <c r="F94" s="377">
        <f>IF(E94="","", IF(ARBITRAGES!$H94="tao",F93+ARBITRAGES!$K94,F93))</f>
        <v>10.24011974</v>
      </c>
      <c r="G94" s="378">
        <f>IF(F94="","", IF(ARBITRAGES!$H94="ron",G93+ARBITRAGES!$K94,G93))</f>
        <v>0</v>
      </c>
      <c r="H94" s="378">
        <f>IF(G94="","", IF(ARBITRAGES!$H94="link",H93+ARBITRAGES!$K94,H93))</f>
        <v>100.0797</v>
      </c>
      <c r="I94" s="378">
        <f>IF(H94="","", IF(ARBITRAGES!$H94="doge",I93+ARBITRAGES!$K94,I93))</f>
        <v>3151.58</v>
      </c>
      <c r="J94" s="378">
        <f>IF(I94="","", IF(ARBITRAGES!$H94="shib",J93-ARBITRAGES!$K94,J93))</f>
        <v>20503076</v>
      </c>
      <c r="K94" s="378">
        <f>IF(J94="","", IF(ARBITRAGES!$H94="cake",K93+ARBITRAGES!$K94,K93))</f>
        <v>127.0804432</v>
      </c>
      <c r="L94" s="378">
        <f>IF(K94="","", IF(ARBITRAGES!$H94="JUP",L93+ARBITRAGES!$K94,L93))</f>
        <v>0</v>
      </c>
      <c r="M94" s="376">
        <f>IF(L94="","", IF(ARBITRAGES!$H94="aave",M93+ARBITRAGES!$K94,M93))</f>
        <v>5.351038596</v>
      </c>
      <c r="N94" s="378">
        <f>IF(M94="","", IF(ARBITRAGES!$H94="ckb",N93+ARBITRAGES!$K94,N93))</f>
        <v>0</v>
      </c>
      <c r="O94" s="378">
        <f>IF(N94="","", IF(ARBITRAGES!$H94="pendle",O93+ARBITRAGES!$K94,O93))</f>
        <v>169.7471597</v>
      </c>
      <c r="P94" s="378">
        <f>IF(O94="","", IF(ARBITRAGES!$H94="BOME",P93+ARBITRAGES!$K94,P93))</f>
        <v>0.02891989199</v>
      </c>
      <c r="Q94" s="378">
        <f>IF(P94="","", IF(ARBITRAGES!$H94="PEPE",Q93+ARBITRAGES!$K94,Q93))</f>
        <v>24130000</v>
      </c>
      <c r="R94" s="378">
        <f>IF(Q94="","", IF(ARBITRAGES!$H94="WIF",R93+ARBITRAGES!$K94,R93))</f>
        <v>0</v>
      </c>
      <c r="S94" s="378">
        <f>IF(R94="","", IF(ARBITRAGES!$H94="RAY",S93+ARBITRAGES!$K94,S93))</f>
        <v>0</v>
      </c>
      <c r="T94" s="360"/>
      <c r="U94" s="360"/>
      <c r="V94" s="360"/>
      <c r="W94" s="360"/>
      <c r="X94" s="360"/>
      <c r="Y94" s="360"/>
      <c r="Z94" s="360"/>
      <c r="AA94" s="360"/>
      <c r="AB94" s="360"/>
      <c r="AC94" s="360"/>
      <c r="AD94" s="360"/>
      <c r="AE94" s="360"/>
      <c r="AF94" s="360"/>
      <c r="AG94" s="360"/>
      <c r="AH94" s="360"/>
    </row>
    <row r="95" ht="18.75" customHeight="1">
      <c r="A95" s="365">
        <f>IF(ARBITRAGES!E95=0,"",ARBITRAGES!E95)</f>
        <v>45852</v>
      </c>
      <c r="B95" s="374">
        <f>IF(A95="","", IF(ARBITRAGES!$H95="BTC",B94+ARBITRAGES!$K95,B94))</f>
        <v>0.2091989529</v>
      </c>
      <c r="C95" s="375">
        <f>IF(B95="","", IF(ARBITRAGES!$H95="eth",C94+ARBITRAGES!$K95,C94))</f>
        <v>3.0805</v>
      </c>
      <c r="D95" s="376">
        <f>IF(C95="","", IF(ARBITRAGES!$H95="ton",D94+ARBITRAGES!$K95,D94))</f>
        <v>246.4039111</v>
      </c>
      <c r="E95" s="376">
        <f>IF(D95="","", IF(ARBITRAGES!$H95="sol",E94+ARBITRAGES!$K95,E94))</f>
        <v>21.714</v>
      </c>
      <c r="F95" s="377">
        <f>IF(E95="","", IF(ARBITRAGES!$H95="tao",F94+ARBITRAGES!$K95,F94))</f>
        <v>10.24011974</v>
      </c>
      <c r="G95" s="378">
        <f>IF(F95="","", IF(ARBITRAGES!$H95="ron",G94+ARBITRAGES!$K95,G94))</f>
        <v>0</v>
      </c>
      <c r="H95" s="378">
        <f>IF(G95="","", IF(ARBITRAGES!$H95="link",H94+ARBITRAGES!$K95,H94))</f>
        <v>100.0797</v>
      </c>
      <c r="I95" s="378">
        <f>IF(H95="","", IF(ARBITRAGES!$H95="doge",I94+ARBITRAGES!$K95,I94))</f>
        <v>3151.58</v>
      </c>
      <c r="J95" s="378">
        <f>IF(I95="","", IF(ARBITRAGES!$H95="shib",J94-ARBITRAGES!$K95,J94))</f>
        <v>20503076</v>
      </c>
      <c r="K95" s="378">
        <f>IF(J95="","", IF(ARBITRAGES!$H95="cake",K94+ARBITRAGES!$K95,K94))</f>
        <v>127.0804432</v>
      </c>
      <c r="L95" s="378">
        <f>IF(K95="","", IF(ARBITRAGES!$H95="JUP",L94+ARBITRAGES!$K95,L94))</f>
        <v>0</v>
      </c>
      <c r="M95" s="376">
        <f>IF(L95="","", IF(ARBITRAGES!$H95="aave",M94+ARBITRAGES!$K95,M94))</f>
        <v>5.351038596</v>
      </c>
      <c r="N95" s="378">
        <f>IF(M95="","", IF(ARBITRAGES!$H95="ckb",N94+ARBITRAGES!$K95,N94))</f>
        <v>0</v>
      </c>
      <c r="O95" s="378">
        <f>IF(N95="","", IF(ARBITRAGES!$H95="pendle",O94+ARBITRAGES!$K95,O94))</f>
        <v>169.7471597</v>
      </c>
      <c r="P95" s="378">
        <f>IF(O95="","", IF(ARBITRAGES!$H95="BOME",P94+ARBITRAGES!$K95,P94))</f>
        <v>0.02891989199</v>
      </c>
      <c r="Q95" s="378">
        <f>IF(P95="","", IF(ARBITRAGES!$H95="PEPE",Q94+ARBITRAGES!$K95,Q94))</f>
        <v>24130000</v>
      </c>
      <c r="R95" s="378">
        <f>IF(Q95="","", IF(ARBITRAGES!$H95="WIF",R94+ARBITRAGES!$K95,R94))</f>
        <v>0</v>
      </c>
      <c r="S95" s="378">
        <f>IF(R95="","", IF(ARBITRAGES!$H95="RAY",S94+ARBITRAGES!$K95,S94))</f>
        <v>0</v>
      </c>
      <c r="T95" s="360"/>
      <c r="U95" s="360"/>
      <c r="V95" s="360"/>
      <c r="W95" s="360"/>
      <c r="X95" s="360"/>
      <c r="Y95" s="360"/>
      <c r="Z95" s="360"/>
      <c r="AA95" s="360"/>
      <c r="AB95" s="360"/>
      <c r="AC95" s="360"/>
      <c r="AD95" s="360"/>
      <c r="AE95" s="360"/>
      <c r="AF95" s="360"/>
      <c r="AG95" s="360"/>
      <c r="AH95" s="360"/>
    </row>
    <row r="96" ht="18.75" customHeight="1">
      <c r="A96" s="365">
        <f>IF(ARBITRAGES!E96=0,"",ARBITRAGES!E96)</f>
        <v>45852</v>
      </c>
      <c r="B96" s="375">
        <f>IF(A96="","", IF(ARBITRAGES!$H96="BTC",B95+ARBITRAGES!$K96,B95))</f>
        <v>0.2091989529</v>
      </c>
      <c r="C96" s="375">
        <f>IF(B96="","", IF(ARBITRAGES!$H96="eth",C95+ARBITRAGES!$K96,C95))</f>
        <v>3.0805</v>
      </c>
      <c r="D96" s="376">
        <f>IF(C96="","", IF(ARBITRAGES!$H96="ton",D95+ARBITRAGES!$K96,D95))</f>
        <v>246.4039111</v>
      </c>
      <c r="E96" s="376">
        <f>IF(D96="","", IF(ARBITRAGES!$H96="sol",E95+ARBITRAGES!$K96,E95))</f>
        <v>21.714</v>
      </c>
      <c r="F96" s="377">
        <f>IF(E96="","", IF(ARBITRAGES!$H96="tao",F95+ARBITRAGES!$K96,F95))</f>
        <v>10.24011974</v>
      </c>
      <c r="G96" s="378">
        <f>IF(F96="","", IF(ARBITRAGES!$H96="ron",G95+ARBITRAGES!$K96,G95))</f>
        <v>0</v>
      </c>
      <c r="H96" s="378">
        <f>IF(G96="","", IF(ARBITRAGES!$H96="link",H95+ARBITRAGES!$K96,H95))</f>
        <v>100.0797</v>
      </c>
      <c r="I96" s="389">
        <f>IF(H96="","", IF(ARBITRAGES!$H96="doge",I95+ARBITRAGES!$K96+1,I95))</f>
        <v>4177.58</v>
      </c>
      <c r="J96" s="378">
        <f>IF(I96="","", IF(ARBITRAGES!$H96="shib",J95-ARBITRAGES!$K96,J95))</f>
        <v>20503076</v>
      </c>
      <c r="K96" s="378">
        <f>IF(J96="","", IF(ARBITRAGES!$H96="cake",K95+ARBITRAGES!$K96,K95))</f>
        <v>127.0804432</v>
      </c>
      <c r="L96" s="378">
        <f>IF(K96="","", IF(ARBITRAGES!$H96="JUP",L95+ARBITRAGES!$K96,L95))</f>
        <v>0</v>
      </c>
      <c r="M96" s="376">
        <f>IF(L96="","", IF(ARBITRAGES!$H96="aave",M95+ARBITRAGES!$K96,M95))</f>
        <v>5.351038596</v>
      </c>
      <c r="N96" s="378">
        <f>IF(M96="","", IF(ARBITRAGES!$H96="ckb",N95+ARBITRAGES!$K96,N95))</f>
        <v>0</v>
      </c>
      <c r="O96" s="378">
        <f>IF(N96="","", IF(ARBITRAGES!$H96="pendle",O95+ARBITRAGES!$K96,O95))</f>
        <v>169.7471597</v>
      </c>
      <c r="P96" s="378">
        <f>IF(O96="","", IF(ARBITRAGES!$H96="BOME",P95+ARBITRAGES!$K96,P95))</f>
        <v>0.02891989199</v>
      </c>
      <c r="Q96" s="378">
        <f>IF(P96="","", IF(ARBITRAGES!$H96="PEPE",Q95+ARBITRAGES!$K96,Q95))</f>
        <v>24130000</v>
      </c>
      <c r="R96" s="378">
        <f>IF(Q96="","", IF(ARBITRAGES!$H96="WIF",R95+ARBITRAGES!$K96,R95))</f>
        <v>0</v>
      </c>
      <c r="S96" s="378">
        <f>IF(R96="","", IF(ARBITRAGES!$H96="RAY",S95+ARBITRAGES!$K96,S95))</f>
        <v>0</v>
      </c>
      <c r="T96" s="360"/>
      <c r="U96" s="360"/>
      <c r="V96" s="360"/>
      <c r="W96" s="360"/>
      <c r="X96" s="360"/>
      <c r="Y96" s="360"/>
      <c r="Z96" s="360"/>
      <c r="AA96" s="360"/>
      <c r="AB96" s="360"/>
      <c r="AC96" s="360"/>
      <c r="AD96" s="360"/>
      <c r="AE96" s="360"/>
      <c r="AF96" s="360"/>
      <c r="AG96" s="360"/>
      <c r="AH96" s="360"/>
    </row>
    <row r="97" ht="18.75" customHeight="1">
      <c r="A97" s="365">
        <f>IF(ARBITRAGES!E97=0,"",ARBITRAGES!E97)</f>
        <v>45852</v>
      </c>
      <c r="B97" s="375">
        <f>IF(A97="","", IF(ARBITRAGES!$H97="BTC",B96+ARBITRAGES!$K97,B96))</f>
        <v>0.2091989529</v>
      </c>
      <c r="C97" s="375">
        <f>IF(B97="","", IF(ARBITRAGES!$H97="eth",C96+ARBITRAGES!$K97,C96))</f>
        <v>3.0805</v>
      </c>
      <c r="D97" s="376">
        <f>IF(C97="","", IF(ARBITRAGES!$H97="ton",D96+ARBITRAGES!$K97,D96))</f>
        <v>246.4039111</v>
      </c>
      <c r="E97" s="383">
        <f>IF(D97="","", IF(ARBITRAGES!$H97="sol",E96+ARBITRAGES!$K97,E96))</f>
        <v>23.49039752</v>
      </c>
      <c r="F97" s="377">
        <f>IF(E97="","", IF(ARBITRAGES!$H97="tao",F96+ARBITRAGES!$K97,F96))</f>
        <v>10.24011974</v>
      </c>
      <c r="G97" s="378">
        <f>IF(F97="","", IF(ARBITRAGES!$H97="ron",G96+ARBITRAGES!$K97,G96))</f>
        <v>0</v>
      </c>
      <c r="H97" s="378">
        <f>IF(G97="","", IF(ARBITRAGES!$H97="link",H96+ARBITRAGES!$K97,H96))</f>
        <v>100.0797</v>
      </c>
      <c r="I97" s="378">
        <f>IF(H97="","", IF(ARBITRAGES!$H97="doge",I96+ARBITRAGES!$K97,I96))</f>
        <v>4177.58</v>
      </c>
      <c r="J97" s="378">
        <f>IF(I97="","", IF(ARBITRAGES!$H97="shib",J96-ARBITRAGES!$K97,J96))</f>
        <v>20503076</v>
      </c>
      <c r="K97" s="378">
        <f>IF(J97="","", IF(ARBITRAGES!$H97="cake",K96+ARBITRAGES!$K97,K96))</f>
        <v>127.0804432</v>
      </c>
      <c r="L97" s="378">
        <f>IF(K97="","", IF(ARBITRAGES!$H97="JUP",L96+ARBITRAGES!$K97,L96))</f>
        <v>0</v>
      </c>
      <c r="M97" s="376">
        <f>IF(L97="","", IF(ARBITRAGES!$H97="aave",M96+ARBITRAGES!$K97,M96))</f>
        <v>5.351038596</v>
      </c>
      <c r="N97" s="378">
        <f>IF(M97="","", IF(ARBITRAGES!$H97="ckb",N96+ARBITRAGES!$K97,N96))</f>
        <v>0</v>
      </c>
      <c r="O97" s="378">
        <f>IF(N97="","", IF(ARBITRAGES!$H97="pendle",O96+ARBITRAGES!$K97,O96))</f>
        <v>169.7471597</v>
      </c>
      <c r="P97" s="378">
        <f>IF(O97="","", IF(ARBITRAGES!$H97="BOME",P96+ARBITRAGES!$K97,P96))</f>
        <v>0.02891989199</v>
      </c>
      <c r="Q97" s="378">
        <f>IF(P97="","", IF(ARBITRAGES!$H97="PEPE",Q96+ARBITRAGES!$K97,Q96))</f>
        <v>24130000</v>
      </c>
      <c r="R97" s="378">
        <f>IF(Q97="","", IF(ARBITRAGES!$H97="WIF",R96+ARBITRAGES!$K97,R96))</f>
        <v>0</v>
      </c>
      <c r="S97" s="378">
        <f>IF(R97="","", IF(ARBITRAGES!$H97="RAY",S96+ARBITRAGES!$K97,S96))</f>
        <v>0</v>
      </c>
      <c r="T97" s="360"/>
      <c r="U97" s="360"/>
      <c r="V97" s="360"/>
      <c r="W97" s="360"/>
      <c r="X97" s="360"/>
      <c r="Y97" s="360"/>
      <c r="Z97" s="360"/>
      <c r="AA97" s="360"/>
      <c r="AB97" s="360"/>
      <c r="AC97" s="360"/>
      <c r="AD97" s="360"/>
      <c r="AE97" s="360"/>
      <c r="AF97" s="360"/>
      <c r="AG97" s="360"/>
      <c r="AH97" s="360"/>
    </row>
    <row r="98" ht="18.75" customHeight="1">
      <c r="A98" s="365">
        <f>IF(ARBITRAGES!E98=0,"",ARBITRAGES!E98)</f>
        <v>45852</v>
      </c>
      <c r="B98" s="374">
        <f>IF(A98="","", IF(ARBITRAGES!$H98="BTC",B97+ARBITRAGES!$K98,B97))</f>
        <v>0.2109127489</v>
      </c>
      <c r="C98" s="375">
        <f>IF(B98="","", IF(ARBITRAGES!$H98="eth",C97+ARBITRAGES!$K98,C97))</f>
        <v>3.0805</v>
      </c>
      <c r="D98" s="376">
        <f>IF(C98="","", IF(ARBITRAGES!$H98="ton",D97+ARBITRAGES!$K98,D97))</f>
        <v>246.4039111</v>
      </c>
      <c r="E98" s="376">
        <f>IF(D98="","", IF(ARBITRAGES!$H98="sol",E97+ARBITRAGES!$K98,E97))</f>
        <v>23.49039752</v>
      </c>
      <c r="F98" s="377">
        <f>IF(E98="","", IF(ARBITRAGES!$H98="tao",F97+ARBITRAGES!$K98,F97))</f>
        <v>10.24011974</v>
      </c>
      <c r="G98" s="378">
        <f>IF(F98="","", IF(ARBITRAGES!$H98="ron",G97+ARBITRAGES!$K98,G97))</f>
        <v>0</v>
      </c>
      <c r="H98" s="378">
        <f>IF(G98="","", IF(ARBITRAGES!$H98="link",H97+ARBITRAGES!$K98,H97))</f>
        <v>100.0797</v>
      </c>
      <c r="I98" s="378">
        <f>IF(H98="","", IF(ARBITRAGES!$H98="doge",I97+ARBITRAGES!$K98,I97))</f>
        <v>4177.58</v>
      </c>
      <c r="J98" s="378">
        <f>IF(I98="","", IF(ARBITRAGES!$H98="shib",J97-ARBITRAGES!$K98,J97))</f>
        <v>20503076</v>
      </c>
      <c r="K98" s="378">
        <f>IF(J98="","", IF(ARBITRAGES!$H98="cake",K97+ARBITRAGES!$K98,K97))</f>
        <v>127.0804432</v>
      </c>
      <c r="L98" s="378">
        <f>IF(K98="","", IF(ARBITRAGES!$H98="JUP",L97+ARBITRAGES!$K98,L97))</f>
        <v>0</v>
      </c>
      <c r="M98" s="376">
        <f>IF(L98="","", IF(ARBITRAGES!$H98="aave",M97+ARBITRAGES!$K98,M97))</f>
        <v>5.351038596</v>
      </c>
      <c r="N98" s="378">
        <f>IF(M98="","", IF(ARBITRAGES!$H98="ckb",N97+ARBITRAGES!$K98,N97))</f>
        <v>0</v>
      </c>
      <c r="O98" s="378">
        <f>IF(N98="","", IF(ARBITRAGES!$H98="pendle",O97+ARBITRAGES!$K98,O97))</f>
        <v>169.7471597</v>
      </c>
      <c r="P98" s="378">
        <f>IF(O98="","", IF(ARBITRAGES!$H98="BOME",P97+ARBITRAGES!$K98,P97))</f>
        <v>0.02891989199</v>
      </c>
      <c r="Q98" s="378">
        <f>IF(P98="","", IF(ARBITRAGES!$H98="PEPE",Q97+ARBITRAGES!$K98,Q97))</f>
        <v>24130000</v>
      </c>
      <c r="R98" s="378">
        <f>IF(Q98="","", IF(ARBITRAGES!$H98="WIF",R97+ARBITRAGES!$K98,R97))</f>
        <v>0</v>
      </c>
      <c r="S98" s="378">
        <f>IF(R98="","", IF(ARBITRAGES!$H98="RAY",S97+ARBITRAGES!$K98,S97))</f>
        <v>0</v>
      </c>
      <c r="T98" s="360"/>
      <c r="U98" s="360"/>
      <c r="V98" s="360"/>
      <c r="W98" s="360"/>
      <c r="X98" s="360"/>
      <c r="Y98" s="360"/>
      <c r="Z98" s="360"/>
      <c r="AA98" s="360"/>
      <c r="AB98" s="360"/>
      <c r="AC98" s="360"/>
      <c r="AD98" s="360"/>
      <c r="AE98" s="360"/>
      <c r="AF98" s="360"/>
      <c r="AG98" s="360"/>
      <c r="AH98" s="360"/>
    </row>
    <row r="99" ht="18.75" customHeight="1">
      <c r="A99" s="365">
        <f>IF(ARBITRAGES!E99=0,"",ARBITRAGES!E99)</f>
        <v>45853</v>
      </c>
      <c r="B99" s="374">
        <f>IF(A99="","", IF(ARBITRAGES!$H99="BTC",B98+ARBITRAGES!$K99,B98))</f>
        <v>0.2134878562</v>
      </c>
      <c r="C99" s="375">
        <f>IF(B99="","", IF(ARBITRAGES!$H99="eth",C98+ARBITRAGES!$K99,C98))</f>
        <v>3.0805</v>
      </c>
      <c r="D99" s="376">
        <f>IF(C99="","", IF(ARBITRAGES!$H99="ton",D98+ARBITRAGES!$K99,D98))</f>
        <v>246.4039111</v>
      </c>
      <c r="E99" s="376">
        <f>IF(D99="","", IF(ARBITRAGES!$H99="sol",E98+ARBITRAGES!$K99,E98))</f>
        <v>23.49039752</v>
      </c>
      <c r="F99" s="377">
        <f>IF(E99="","", IF(ARBITRAGES!$H99="tao",F98+ARBITRAGES!$K99,F98))</f>
        <v>10.24011974</v>
      </c>
      <c r="G99" s="378">
        <f>IF(F99="","", IF(ARBITRAGES!$H99="ron",G98+ARBITRAGES!$K99,G98))</f>
        <v>0</v>
      </c>
      <c r="H99" s="378">
        <f>IF(G99="","", IF(ARBITRAGES!$H99="link",H98+ARBITRAGES!$K99,H98))</f>
        <v>100.0797</v>
      </c>
      <c r="I99" s="378">
        <f>IF(H99="","", IF(ARBITRAGES!$H99="doge",I98+ARBITRAGES!$K99,I98))</f>
        <v>4177.58</v>
      </c>
      <c r="J99" s="378">
        <f>IF(I99="","", IF(ARBITRAGES!$H99="shib",J98-ARBITRAGES!$K99,J98))</f>
        <v>20503076</v>
      </c>
      <c r="K99" s="378">
        <f>IF(J99="","", IF(ARBITRAGES!$H99="cake",K98+ARBITRAGES!$K99,K98))</f>
        <v>127.0804432</v>
      </c>
      <c r="L99" s="378">
        <f>IF(K99="","", IF(ARBITRAGES!$H99="JUP",L98+ARBITRAGES!$K99,L98))</f>
        <v>0</v>
      </c>
      <c r="M99" s="376">
        <f>IF(L99="","", IF(ARBITRAGES!$H99="aave",M98+ARBITRAGES!$K99,M98))</f>
        <v>5.351038596</v>
      </c>
      <c r="N99" s="378">
        <f>IF(M99="","", IF(ARBITRAGES!$H99="ckb",N98+ARBITRAGES!$K99,N98))</f>
        <v>0</v>
      </c>
      <c r="O99" s="378">
        <f>IF(N99="","", IF(ARBITRAGES!$H99="pendle",O98+ARBITRAGES!$K99,O98))</f>
        <v>169.7471597</v>
      </c>
      <c r="P99" s="378">
        <f>IF(O99="","", IF(ARBITRAGES!$H99="BOME",P98+ARBITRAGES!$K99,P98))</f>
        <v>0.02891989199</v>
      </c>
      <c r="Q99" s="378">
        <f>IF(P99="","", IF(ARBITRAGES!$H99="PEPE",Q98+ARBITRAGES!$K99,Q98))</f>
        <v>24130000</v>
      </c>
      <c r="R99" s="378">
        <f>IF(Q99="","", IF(ARBITRAGES!$H99="WIF",R98+ARBITRAGES!$K99,R98))</f>
        <v>0</v>
      </c>
      <c r="S99" s="378">
        <f>IF(R99="","", IF(ARBITRAGES!$H99="RAY",S98+ARBITRAGES!$K99,S98))</f>
        <v>0</v>
      </c>
      <c r="T99" s="360"/>
      <c r="U99" s="360"/>
      <c r="V99" s="360"/>
      <c r="W99" s="360"/>
      <c r="X99" s="360"/>
      <c r="Y99" s="360"/>
      <c r="Z99" s="360"/>
      <c r="AA99" s="360"/>
      <c r="AB99" s="360"/>
      <c r="AC99" s="360"/>
      <c r="AD99" s="360"/>
      <c r="AE99" s="360"/>
      <c r="AF99" s="360"/>
      <c r="AG99" s="360"/>
      <c r="AH99" s="360"/>
    </row>
    <row r="100" ht="18.75" customHeight="1">
      <c r="A100" s="365">
        <f>IF(ARBITRAGES!E100=0,"",ARBITRAGES!E100)</f>
        <v>45854</v>
      </c>
      <c r="B100" s="374">
        <f>IF(A100="","", IF(ARBITRAGES!$H100="BTC",B99+ARBITRAGES!$K100,B99))</f>
        <v>0.217798201</v>
      </c>
      <c r="C100" s="375">
        <f>IF(B100="","", IF(ARBITRAGES!$H100="eth",C99+ARBITRAGES!$K100,C99))</f>
        <v>3.0805</v>
      </c>
      <c r="D100" s="376">
        <f>IF(C100="","", IF(ARBITRAGES!$H100="ton",D99+ARBITRAGES!$K100,D99))</f>
        <v>246.4039111</v>
      </c>
      <c r="E100" s="376">
        <f>IF(D100="","", IF(ARBITRAGES!$H100="sol",E99+ARBITRAGES!$K100,E99))</f>
        <v>23.49039752</v>
      </c>
      <c r="F100" s="377">
        <f>IF(E100="","", IF(ARBITRAGES!$H100="tao",F99+ARBITRAGES!$K100,F99))</f>
        <v>10.24011974</v>
      </c>
      <c r="G100" s="378">
        <f>IF(F100="","", IF(ARBITRAGES!$H100="ron",G99+ARBITRAGES!$K100,G99))</f>
        <v>0</v>
      </c>
      <c r="H100" s="378">
        <f>IF(G100="","", IF(ARBITRAGES!$H100="link",H99+ARBITRAGES!$K100,H99))</f>
        <v>100.0797</v>
      </c>
      <c r="I100" s="378">
        <f>IF(H100="","", IF(ARBITRAGES!$H100="doge",I99+ARBITRAGES!$K100,I99))</f>
        <v>4177.58</v>
      </c>
      <c r="J100" s="378">
        <f>IF(I100="","", IF(ARBITRAGES!$H100="shib",J99-ARBITRAGES!$K100,J99))</f>
        <v>20503076</v>
      </c>
      <c r="K100" s="378">
        <f>IF(J100="","", IF(ARBITRAGES!$H100="cake",K99+ARBITRAGES!$K100,K99))</f>
        <v>127.0804432</v>
      </c>
      <c r="L100" s="378">
        <f>IF(K100="","", IF(ARBITRAGES!$H100="JUP",L99+ARBITRAGES!$K100,L99))</f>
        <v>0</v>
      </c>
      <c r="M100" s="376">
        <f>IF(L100="","", IF(ARBITRAGES!$H100="aave",M99+ARBITRAGES!$K100,M99))</f>
        <v>5.351038596</v>
      </c>
      <c r="N100" s="378">
        <f>IF(M100="","", IF(ARBITRAGES!$H100="ckb",N99+ARBITRAGES!$K100,N99))</f>
        <v>0</v>
      </c>
      <c r="O100" s="378">
        <f>IF(N100="","", IF(ARBITRAGES!$H100="pendle",O99+ARBITRAGES!$K100,O99))</f>
        <v>169.7471597</v>
      </c>
      <c r="P100" s="378">
        <f>IF(O100="","", IF(ARBITRAGES!$H100="BOME",P99+ARBITRAGES!$K100,P99))</f>
        <v>0.02891989199</v>
      </c>
      <c r="Q100" s="378">
        <f>IF(P100="","", IF(ARBITRAGES!$H100="PEPE",Q99+ARBITRAGES!$K100,Q99))</f>
        <v>24130000</v>
      </c>
      <c r="R100" s="378">
        <f>IF(Q100="","", IF(ARBITRAGES!$H100="WIF",R99+ARBITRAGES!$K100,R99))</f>
        <v>0</v>
      </c>
      <c r="S100" s="378">
        <f>IF(R100="","", IF(ARBITRAGES!$H100="RAY",S99+ARBITRAGES!$K100,S99))</f>
        <v>0</v>
      </c>
      <c r="T100" s="360"/>
      <c r="U100" s="360"/>
      <c r="V100" s="360"/>
      <c r="W100" s="360"/>
      <c r="X100" s="360"/>
      <c r="Y100" s="360"/>
      <c r="Z100" s="360"/>
      <c r="AA100" s="360"/>
      <c r="AB100" s="360"/>
      <c r="AC100" s="360"/>
      <c r="AD100" s="360"/>
      <c r="AE100" s="360"/>
      <c r="AF100" s="360"/>
      <c r="AG100" s="360"/>
      <c r="AH100" s="360"/>
    </row>
    <row r="101" ht="18.75" customHeight="1">
      <c r="A101" s="365">
        <f>IF(ARBITRAGES!E101=0,"",ARBITRAGES!E101)</f>
        <v>45856</v>
      </c>
      <c r="B101" s="375">
        <f>IF(A101="","", IF(ARBITRAGES!$H101="BTC",B100+ARBITRAGES!$K101,B100))</f>
        <v>0.217798201</v>
      </c>
      <c r="C101" s="393">
        <f>IF(B101="","", IF(ARBITRAGES!$H101="eth",C100-ARBITRAGES!$K101,C100))</f>
        <v>3.01056993</v>
      </c>
      <c r="D101" s="376">
        <f>IF(C101="","", IF(ARBITRAGES!$H101="ton",D100+ARBITRAGES!$K101,D100))</f>
        <v>246.4039111</v>
      </c>
      <c r="E101" s="376">
        <f>IF(D101="","", IF(ARBITRAGES!$H101="sol",E100+ARBITRAGES!$K101,E100))</f>
        <v>23.49039752</v>
      </c>
      <c r="F101" s="377">
        <f>IF(E101="","", IF(ARBITRAGES!$H101="tao",F100+ARBITRAGES!$K101,F100))</f>
        <v>10.24011974</v>
      </c>
      <c r="G101" s="378">
        <f>IF(F101="","", IF(ARBITRAGES!$H101="ron",G100+ARBITRAGES!$K101,G100))</f>
        <v>0</v>
      </c>
      <c r="H101" s="378">
        <f>IF(G101="","", IF(ARBITRAGES!$H101="link",H100+ARBITRAGES!$K101,H100))</f>
        <v>100.0797</v>
      </c>
      <c r="I101" s="378">
        <f>IF(H101="","", IF(ARBITRAGES!$H101="doge",I100+ARBITRAGES!$K101,I100))</f>
        <v>4177.58</v>
      </c>
      <c r="J101" s="378">
        <f>IF(I101="","", IF(ARBITRAGES!$H101="shib",J100-ARBITRAGES!$K101,J100))</f>
        <v>20503076</v>
      </c>
      <c r="K101" s="378">
        <f>IF(J101="","", IF(ARBITRAGES!$H101="cake",K100+ARBITRAGES!$K101,K100))</f>
        <v>127.0804432</v>
      </c>
      <c r="L101" s="378">
        <f>IF(K101="","", IF(ARBITRAGES!$H101="JUP",L100+ARBITRAGES!$K101,L100))</f>
        <v>0</v>
      </c>
      <c r="M101" s="376">
        <f>IF(L101="","", IF(ARBITRAGES!$H101="aave",M100+ARBITRAGES!$K101,M100))</f>
        <v>5.351038596</v>
      </c>
      <c r="N101" s="378">
        <f>IF(M101="","", IF(ARBITRAGES!$H101="ckb",N100+ARBITRAGES!$K101,N100))</f>
        <v>0</v>
      </c>
      <c r="O101" s="378">
        <f>IF(N101="","", IF(ARBITRAGES!$H101="pendle",O100+ARBITRAGES!$K101,O100))</f>
        <v>169.7471597</v>
      </c>
      <c r="P101" s="378">
        <f>IF(O101="","", IF(ARBITRAGES!$H101="BOME",P100+ARBITRAGES!$K101,P100))</f>
        <v>0.02891989199</v>
      </c>
      <c r="Q101" s="378">
        <f>IF(P101="","", IF(ARBITRAGES!$H101="PEPE",Q100+ARBITRAGES!$K101,Q100))</f>
        <v>24130000</v>
      </c>
      <c r="R101" s="378">
        <f>IF(Q101="","", IF(ARBITRAGES!$H101="WIF",R100+ARBITRAGES!$K101,R100))</f>
        <v>0</v>
      </c>
      <c r="S101" s="378">
        <f>IF(R101="","", IF(ARBITRAGES!$H101="RAY",S100+ARBITRAGES!$K101,S100))</f>
        <v>0</v>
      </c>
      <c r="T101" s="360"/>
      <c r="U101" s="360"/>
      <c r="V101" s="360"/>
      <c r="W101" s="360"/>
      <c r="X101" s="360"/>
      <c r="Y101" s="360"/>
      <c r="Z101" s="360"/>
      <c r="AA101" s="360"/>
      <c r="AB101" s="360"/>
      <c r="AC101" s="360"/>
      <c r="AD101" s="360"/>
      <c r="AE101" s="360"/>
      <c r="AF101" s="360"/>
      <c r="AG101" s="360"/>
      <c r="AH101" s="360"/>
    </row>
    <row r="102" ht="18.75" customHeight="1">
      <c r="A102" s="365">
        <f>IF(ARBITRAGES!E102=0,"",ARBITRAGES!E102)</f>
        <v>45856</v>
      </c>
      <c r="B102" s="375">
        <f>IF(A102="","", IF(ARBITRAGES!$H102="BTC",B101+ARBITRAGES!$K102,B101))</f>
        <v>0.217798201</v>
      </c>
      <c r="C102" s="393">
        <f>IF(B102="","", IF(ARBITRAGES!$H102="eth",C101-ARBITRAGES!$K102,C101))</f>
        <v>2.941699407</v>
      </c>
      <c r="D102" s="376">
        <f>IF(C102="","", IF(ARBITRAGES!$H102="ton",D101+ARBITRAGES!$K102,D101))</f>
        <v>246.4039111</v>
      </c>
      <c r="E102" s="376">
        <f>IF(D102="","", IF(ARBITRAGES!$H102="sol",E101+ARBITRAGES!$K102,E101))</f>
        <v>23.49039752</v>
      </c>
      <c r="F102" s="377">
        <f>IF(E102="","", IF(ARBITRAGES!$H102="tao",F101+ARBITRAGES!$K102,F101))</f>
        <v>10.24011974</v>
      </c>
      <c r="G102" s="378">
        <f>IF(F102="","", IF(ARBITRAGES!$H102="ron",G101+ARBITRAGES!$K102,G101))</f>
        <v>0</v>
      </c>
      <c r="H102" s="378">
        <f>IF(G102="","", IF(ARBITRAGES!$H102="link",H101+ARBITRAGES!$K102,H101))</f>
        <v>100.0797</v>
      </c>
      <c r="I102" s="378">
        <f>IF(H102="","", IF(ARBITRAGES!$H102="doge",I101+ARBITRAGES!$K102,I101))</f>
        <v>4177.58</v>
      </c>
      <c r="J102" s="378">
        <f>IF(I102="","", IF(ARBITRAGES!$H102="shib",J101-ARBITRAGES!$K102,J101))</f>
        <v>20503076</v>
      </c>
      <c r="K102" s="378">
        <f>IF(J102="","", IF(ARBITRAGES!$H102="cake",K101+ARBITRAGES!$K102,K101))</f>
        <v>127.0804432</v>
      </c>
      <c r="L102" s="378">
        <f>IF(K102="","", IF(ARBITRAGES!$H102="JUP",L101+ARBITRAGES!$K102,L101))</f>
        <v>0</v>
      </c>
      <c r="M102" s="376">
        <f>IF(L102="","", IF(ARBITRAGES!$H102="aave",M101+ARBITRAGES!$K102,M101))</f>
        <v>5.351038596</v>
      </c>
      <c r="N102" s="378">
        <f>IF(M102="","", IF(ARBITRAGES!$H102="ckb",N101+ARBITRAGES!$K102,N101))</f>
        <v>0</v>
      </c>
      <c r="O102" s="378">
        <f>IF(N102="","", IF(ARBITRAGES!$H102="pendle",O101+ARBITRAGES!$K102,O101))</f>
        <v>169.7471597</v>
      </c>
      <c r="P102" s="378">
        <f>IF(O102="","", IF(ARBITRAGES!$H102="BOME",P101+ARBITRAGES!$K102,P101))</f>
        <v>0.02891989199</v>
      </c>
      <c r="Q102" s="378">
        <f>IF(P102="","", IF(ARBITRAGES!$H102="PEPE",Q101+ARBITRAGES!$K102,Q101))</f>
        <v>24130000</v>
      </c>
      <c r="R102" s="378">
        <f>IF(Q102="","", IF(ARBITRAGES!$H102="WIF",R101+ARBITRAGES!$K102,R101))</f>
        <v>0</v>
      </c>
      <c r="S102" s="378">
        <f>IF(R102="","", IF(ARBITRAGES!$H102="RAY",S101+ARBITRAGES!$K102,S101))</f>
        <v>0</v>
      </c>
      <c r="T102" s="360"/>
      <c r="U102" s="360"/>
      <c r="V102" s="360"/>
      <c r="W102" s="360"/>
      <c r="X102" s="360"/>
      <c r="Y102" s="360"/>
      <c r="Z102" s="360"/>
      <c r="AA102" s="360"/>
      <c r="AB102" s="360"/>
      <c r="AC102" s="360"/>
      <c r="AD102" s="360"/>
      <c r="AE102" s="360"/>
      <c r="AF102" s="360"/>
      <c r="AG102" s="360"/>
      <c r="AH102" s="360"/>
    </row>
    <row r="103" ht="18.75" customHeight="1">
      <c r="A103" s="365">
        <f>IF(ARBITRAGES!E103=0,"",ARBITRAGES!E103)</f>
        <v>45857</v>
      </c>
      <c r="B103" s="375">
        <f>IF(A103="","", IF(ARBITRAGES!$H103="BTC",B102+ARBITRAGES!$K103,B102))</f>
        <v>0.217798201</v>
      </c>
      <c r="C103" s="393">
        <f>IF(B103="","", IF(ARBITRAGES!$H103="eth",C102-ARBITRAGES!$K103,C102))</f>
        <v>2.866254407</v>
      </c>
      <c r="D103" s="376">
        <f>IF(C103="","", IF(ARBITRAGES!$H103="ton",D102+ARBITRAGES!$K103,D102))</f>
        <v>246.4039111</v>
      </c>
      <c r="E103" s="376">
        <f>IF(D103="","", IF(ARBITRAGES!$H103="sol",E102+ARBITRAGES!$K103,E102))</f>
        <v>23.49039752</v>
      </c>
      <c r="F103" s="377">
        <f>IF(E103="","", IF(ARBITRAGES!$H103="tao",F102+ARBITRAGES!$K103,F102))</f>
        <v>10.24011974</v>
      </c>
      <c r="G103" s="378">
        <f>IF(F103="","", IF(ARBITRAGES!$H103="ron",G102+ARBITRAGES!$K103,G102))</f>
        <v>0</v>
      </c>
      <c r="H103" s="378">
        <f>IF(G103="","", IF(ARBITRAGES!$H103="link",H102+ARBITRAGES!$K103,H102))</f>
        <v>100.0797</v>
      </c>
      <c r="I103" s="378">
        <f>IF(H103="","", IF(ARBITRAGES!$H103="doge",I102+ARBITRAGES!$K103,I102))</f>
        <v>4177.58</v>
      </c>
      <c r="J103" s="378">
        <f>IF(I103="","", IF(ARBITRAGES!$H103="shib",J102-ARBITRAGES!$K103,J102))</f>
        <v>20503076</v>
      </c>
      <c r="K103" s="378">
        <f>IF(J103="","", IF(ARBITRAGES!$H103="cake",K102+ARBITRAGES!$K103,K102))</f>
        <v>127.0804432</v>
      </c>
      <c r="L103" s="378">
        <f>IF(K103="","", IF(ARBITRAGES!$H103="JUP",L102+ARBITRAGES!$K103,L102))</f>
        <v>0</v>
      </c>
      <c r="M103" s="376">
        <f>IF(L103="","", IF(ARBITRAGES!$H103="aave",M102+ARBITRAGES!$K103,M102))</f>
        <v>5.351038596</v>
      </c>
      <c r="N103" s="378">
        <f>IF(M103="","", IF(ARBITRAGES!$H103="ckb",N102+ARBITRAGES!$K103,N102))</f>
        <v>0</v>
      </c>
      <c r="O103" s="378">
        <f>IF(N103="","", IF(ARBITRAGES!$H103="pendle",O102+ARBITRAGES!$K103,O102))</f>
        <v>169.7471597</v>
      </c>
      <c r="P103" s="378">
        <f>IF(O103="","", IF(ARBITRAGES!$H103="BOME",P102+ARBITRAGES!$K103,P102))</f>
        <v>0.02891989199</v>
      </c>
      <c r="Q103" s="378">
        <f>IF(P103="","", IF(ARBITRAGES!$H103="PEPE",Q102+ARBITRAGES!$K103,Q102))</f>
        <v>24130000</v>
      </c>
      <c r="R103" s="378">
        <f>IF(Q103="","", IF(ARBITRAGES!$H103="WIF",R102+ARBITRAGES!$K103,R102))</f>
        <v>0</v>
      </c>
      <c r="S103" s="378">
        <f>IF(R103="","", IF(ARBITRAGES!$H103="RAY",S102+ARBITRAGES!$K103,S102))</f>
        <v>0</v>
      </c>
      <c r="T103" s="360"/>
      <c r="U103" s="360"/>
      <c r="V103" s="360"/>
      <c r="W103" s="360"/>
      <c r="X103" s="360"/>
      <c r="Y103" s="360"/>
      <c r="Z103" s="360"/>
      <c r="AA103" s="360"/>
      <c r="AB103" s="360"/>
      <c r="AC103" s="360"/>
      <c r="AD103" s="360"/>
      <c r="AE103" s="360"/>
      <c r="AF103" s="360"/>
      <c r="AG103" s="360"/>
      <c r="AH103" s="360"/>
    </row>
    <row r="104" ht="18.75" customHeight="1">
      <c r="A104" s="365">
        <f>IF(ARBITRAGES!E104=0,"",ARBITRAGES!E104)</f>
        <v>45858</v>
      </c>
      <c r="B104" s="375">
        <f>IF(A104="","", IF(ARBITRAGES!$H104="BTC",B103+ARBITRAGES!$K104,B103))</f>
        <v>0.217798201</v>
      </c>
      <c r="C104" s="393">
        <f>IF(B104="","", IF(ARBITRAGES!$H104="eth",C103-ARBITRAGES!$K104,C103))</f>
        <v>2.786254407</v>
      </c>
      <c r="D104" s="376">
        <f>IF(C104="","", IF(ARBITRAGES!$H104="ton",D103+ARBITRAGES!$K104,D103))</f>
        <v>246.4039111</v>
      </c>
      <c r="E104" s="376">
        <f>IF(D104="","", IF(ARBITRAGES!$H104="sol",E103+ARBITRAGES!$K104,E103))</f>
        <v>23.49039752</v>
      </c>
      <c r="F104" s="377">
        <f>IF(E104="","", IF(ARBITRAGES!$H104="tao",F103+ARBITRAGES!$K104,F103))</f>
        <v>10.24011974</v>
      </c>
      <c r="G104" s="378">
        <f>IF(F104="","", IF(ARBITRAGES!$H104="ron",G103+ARBITRAGES!$K104,G103))</f>
        <v>0</v>
      </c>
      <c r="H104" s="378">
        <f>IF(G104="","", IF(ARBITRAGES!$H104="link",H103+ARBITRAGES!$K104,H103))</f>
        <v>100.0797</v>
      </c>
      <c r="I104" s="378">
        <f>IF(H104="","", IF(ARBITRAGES!$H104="doge",I103+ARBITRAGES!$K104,I103))</f>
        <v>4177.58</v>
      </c>
      <c r="J104" s="378">
        <f>IF(I104="","", IF(ARBITRAGES!$H104="shib",J103-ARBITRAGES!$K104,J103))</f>
        <v>20503076</v>
      </c>
      <c r="K104" s="378">
        <f>IF(J104="","", IF(ARBITRAGES!$H104="cake",K103+ARBITRAGES!$K104,K103))</f>
        <v>127.0804432</v>
      </c>
      <c r="L104" s="378">
        <f>IF(K104="","", IF(ARBITRAGES!$H104="JUP",L103+ARBITRAGES!$K104,L103))</f>
        <v>0</v>
      </c>
      <c r="M104" s="376">
        <f>IF(L104="","", IF(ARBITRAGES!$H104="aave",M103+ARBITRAGES!$K104,M103))</f>
        <v>5.351038596</v>
      </c>
      <c r="N104" s="378">
        <f>IF(M104="","", IF(ARBITRAGES!$H104="ckb",N103+ARBITRAGES!$K104,N103))</f>
        <v>0</v>
      </c>
      <c r="O104" s="378">
        <f>IF(N104="","", IF(ARBITRAGES!$H104="pendle",O103+ARBITRAGES!$K104,O103))</f>
        <v>169.7471597</v>
      </c>
      <c r="P104" s="378">
        <f>IF(O104="","", IF(ARBITRAGES!$H104="BOME",P103+ARBITRAGES!$K104,P103))</f>
        <v>0.02891989199</v>
      </c>
      <c r="Q104" s="378">
        <f>IF(P104="","", IF(ARBITRAGES!$H104="PEPE",Q103+ARBITRAGES!$K104,Q103))</f>
        <v>24130000</v>
      </c>
      <c r="R104" s="378">
        <f>IF(Q104="","", IF(ARBITRAGES!$H104="WIF",R103+ARBITRAGES!$K104,R103))</f>
        <v>0</v>
      </c>
      <c r="S104" s="378">
        <f>IF(R104="","", IF(ARBITRAGES!$H104="RAY",S103+ARBITRAGES!$K104,S103))</f>
        <v>0</v>
      </c>
      <c r="T104" s="360"/>
      <c r="U104" s="360"/>
      <c r="V104" s="360"/>
      <c r="W104" s="360"/>
      <c r="X104" s="360"/>
      <c r="Y104" s="360"/>
      <c r="Z104" s="360"/>
      <c r="AA104" s="360"/>
      <c r="AB104" s="360"/>
      <c r="AC104" s="360"/>
      <c r="AD104" s="360"/>
      <c r="AE104" s="360"/>
      <c r="AF104" s="360"/>
      <c r="AG104" s="360"/>
      <c r="AH104" s="360"/>
    </row>
    <row r="105" ht="18.75" customHeight="1">
      <c r="A105" s="365">
        <f>IF(ARBITRAGES!E105=0,"",ARBITRAGES!E105)</f>
        <v>45858</v>
      </c>
      <c r="B105" s="375">
        <f>IF(A105="","", IF(ARBITRAGES!$H105="BTC",B104+ARBITRAGES!$K105,B104))</f>
        <v>0.217798201</v>
      </c>
      <c r="C105" s="393">
        <f>IF(B105="","", IF(ARBITRAGES!$H105="eth",C104-ARBITRAGES!$K105,C104))</f>
        <v>2.719254407</v>
      </c>
      <c r="D105" s="376">
        <f>IF(C105="","", IF(ARBITRAGES!$H105="ton",D104+ARBITRAGES!$K105,D104))</f>
        <v>246.4039111</v>
      </c>
      <c r="E105" s="376">
        <f>IF(D105="","", IF(ARBITRAGES!$H105="sol",E104+ARBITRAGES!$K105,E104))</f>
        <v>23.49039752</v>
      </c>
      <c r="F105" s="377">
        <f>IF(E105="","", IF(ARBITRAGES!$H105="tao",F104+ARBITRAGES!$K105,F104))</f>
        <v>10.24011974</v>
      </c>
      <c r="G105" s="378">
        <f>IF(F105="","", IF(ARBITRAGES!$H105="ron",G104+ARBITRAGES!$K105,G104))</f>
        <v>0</v>
      </c>
      <c r="H105" s="378">
        <f>IF(G105="","", IF(ARBITRAGES!$H105="link",H104+ARBITRAGES!$K105,H104))</f>
        <v>100.0797</v>
      </c>
      <c r="I105" s="378">
        <f>IF(H105="","", IF(ARBITRAGES!$H105="doge",I104+ARBITRAGES!$K105,I104))</f>
        <v>4177.58</v>
      </c>
      <c r="J105" s="378">
        <f>IF(I105="","", IF(ARBITRAGES!$H105="shib",J104-ARBITRAGES!$K105,J104))</f>
        <v>20503076</v>
      </c>
      <c r="K105" s="378">
        <f>IF(J105="","", IF(ARBITRAGES!$H105="cake",K104+ARBITRAGES!$K105,K104))</f>
        <v>127.0804432</v>
      </c>
      <c r="L105" s="378">
        <f>IF(K105="","", IF(ARBITRAGES!$H105="JUP",L104+ARBITRAGES!$K105,L104))</f>
        <v>0</v>
      </c>
      <c r="M105" s="376">
        <f>IF(L105="","", IF(ARBITRAGES!$H105="aave",M104+ARBITRAGES!$K105,M104))</f>
        <v>5.351038596</v>
      </c>
      <c r="N105" s="378">
        <f>IF(M105="","", IF(ARBITRAGES!$H105="ckb",N104+ARBITRAGES!$K105,N104))</f>
        <v>0</v>
      </c>
      <c r="O105" s="378">
        <f>IF(N105="","", IF(ARBITRAGES!$H105="pendle",O104+ARBITRAGES!$K105,O104))</f>
        <v>169.7471597</v>
      </c>
      <c r="P105" s="378">
        <f>IF(O105="","", IF(ARBITRAGES!$H105="BOME",P104+ARBITRAGES!$K105,P104))</f>
        <v>0.02891989199</v>
      </c>
      <c r="Q105" s="378">
        <f>IF(P105="","", IF(ARBITRAGES!$H105="PEPE",Q104+ARBITRAGES!$K105,Q104))</f>
        <v>24130000</v>
      </c>
      <c r="R105" s="378">
        <f>IF(Q105="","", IF(ARBITRAGES!$H105="WIF",R104+ARBITRAGES!$K105,R104))</f>
        <v>0</v>
      </c>
      <c r="S105" s="378">
        <f>IF(R105="","", IF(ARBITRAGES!$H105="RAY",S104+ARBITRAGES!$K105,S104))</f>
        <v>0</v>
      </c>
      <c r="T105" s="360"/>
      <c r="U105" s="360"/>
      <c r="V105" s="360"/>
      <c r="W105" s="360"/>
      <c r="X105" s="360"/>
      <c r="Y105" s="360"/>
      <c r="Z105" s="360"/>
      <c r="AA105" s="360"/>
      <c r="AB105" s="360"/>
      <c r="AC105" s="360"/>
      <c r="AD105" s="360"/>
      <c r="AE105" s="360"/>
      <c r="AF105" s="360"/>
      <c r="AG105" s="360"/>
      <c r="AH105" s="360"/>
    </row>
    <row r="106" ht="18.75" customHeight="1">
      <c r="A106" s="365">
        <f>IF(ARBITRAGES!E106=0,"",ARBITRAGES!E106)</f>
        <v>45858</v>
      </c>
      <c r="B106" s="375">
        <f>IF(A106="","", IF(ARBITRAGES!$H106="BTC",B105+ARBITRAGES!$K106,B105))</f>
        <v>0.217798201</v>
      </c>
      <c r="C106" s="393">
        <f>IF(B106="","", IF(ARBITRAGES!$H106="eth",C105-ARBITRAGES!$K106,C105))</f>
        <v>2.619254407</v>
      </c>
      <c r="D106" s="376">
        <f>IF(C106="","", IF(ARBITRAGES!$H106="ton",D105+ARBITRAGES!$K106,D105))</f>
        <v>246.4039111</v>
      </c>
      <c r="E106" s="376">
        <f>IF(D106="","", IF(ARBITRAGES!$H106="sol",E105+ARBITRAGES!$K106,E105))</f>
        <v>23.49039752</v>
      </c>
      <c r="F106" s="377">
        <f>IF(E106="","", IF(ARBITRAGES!$H106="tao",F105+ARBITRAGES!$K106,F105))</f>
        <v>10.24011974</v>
      </c>
      <c r="G106" s="378">
        <f>IF(F106="","", IF(ARBITRAGES!$H106="ron",G105+ARBITRAGES!$K106,G105))</f>
        <v>0</v>
      </c>
      <c r="H106" s="378">
        <f>IF(G106="","", IF(ARBITRAGES!$H106="link",H105+ARBITRAGES!$K106,H105))</f>
        <v>100.0797</v>
      </c>
      <c r="I106" s="378">
        <f>IF(H106="","", IF(ARBITRAGES!$H106="doge",I105+ARBITRAGES!$K106,I105))</f>
        <v>4177.58</v>
      </c>
      <c r="J106" s="378">
        <f>IF(I106="","", IF(ARBITRAGES!$H106="shib",J105-ARBITRAGES!$K106,J105))</f>
        <v>20503076</v>
      </c>
      <c r="K106" s="378">
        <f>IF(J106="","", IF(ARBITRAGES!$H106="cake",K105+ARBITRAGES!$K106,K105))</f>
        <v>127.0804432</v>
      </c>
      <c r="L106" s="378">
        <f>IF(K106="","", IF(ARBITRAGES!$H106="JUP",L105+ARBITRAGES!$K106,L105))</f>
        <v>0</v>
      </c>
      <c r="M106" s="376">
        <f>IF(L106="","", IF(ARBITRAGES!$H106="aave",M105+ARBITRAGES!$K106,M105))</f>
        <v>5.351038596</v>
      </c>
      <c r="N106" s="378">
        <f>IF(M106="","", IF(ARBITRAGES!$H106="ckb",N105+ARBITRAGES!$K106,N105))</f>
        <v>0</v>
      </c>
      <c r="O106" s="378">
        <f>IF(N106="","", IF(ARBITRAGES!$H106="pendle",O105+ARBITRAGES!$K106,O105))</f>
        <v>169.7471597</v>
      </c>
      <c r="P106" s="378">
        <f>IF(O106="","", IF(ARBITRAGES!$H106="BOME",P105+ARBITRAGES!$K106,P105))</f>
        <v>0.02891989199</v>
      </c>
      <c r="Q106" s="378">
        <f>IF(P106="","", IF(ARBITRAGES!$H106="PEPE",Q105+ARBITRAGES!$K106,Q105))</f>
        <v>24130000</v>
      </c>
      <c r="R106" s="378">
        <f>IF(Q106="","", IF(ARBITRAGES!$H106="WIF",R105+ARBITRAGES!$K106,R105))</f>
        <v>0</v>
      </c>
      <c r="S106" s="378">
        <f>IF(R106="","", IF(ARBITRAGES!$H106="RAY",S105+ARBITRAGES!$K106,S105))</f>
        <v>0</v>
      </c>
      <c r="T106" s="360"/>
      <c r="U106" s="360"/>
      <c r="V106" s="360"/>
      <c r="W106" s="360"/>
      <c r="X106" s="360"/>
      <c r="Y106" s="360"/>
      <c r="Z106" s="360"/>
      <c r="AA106" s="360"/>
      <c r="AB106" s="360"/>
      <c r="AC106" s="360"/>
      <c r="AD106" s="360"/>
      <c r="AE106" s="360"/>
      <c r="AF106" s="360"/>
      <c r="AG106" s="360"/>
      <c r="AH106" s="360"/>
    </row>
    <row r="107" ht="18.75" customHeight="1">
      <c r="A107" s="365">
        <f>IF(ARBITRAGES!E107=0,"",ARBITRAGES!E107)</f>
        <v>45858</v>
      </c>
      <c r="B107" s="375">
        <f>IF(A107="","", IF(ARBITRAGES!$H107="BTC",B106+ARBITRAGES!$K107,B106))</f>
        <v>0.217798201</v>
      </c>
      <c r="C107" s="393">
        <f>IF(B107="","", IF(ARBITRAGES!$H107="eth",C106-ARBITRAGES!$K107,C106))</f>
        <v>2.575055015</v>
      </c>
      <c r="D107" s="376">
        <f>IF(C107="","", IF(ARBITRAGES!$H107="ton",D106+ARBITRAGES!$K107,D106))</f>
        <v>246.4039111</v>
      </c>
      <c r="E107" s="376">
        <f>IF(D107="","", IF(ARBITRAGES!$H107="sol",E106+ARBITRAGES!$K107,E106))</f>
        <v>23.49039752</v>
      </c>
      <c r="F107" s="377">
        <f>IF(E107="","", IF(ARBITRAGES!$H107="tao",F106+ARBITRAGES!$K107,F106))</f>
        <v>10.24011974</v>
      </c>
      <c r="G107" s="378">
        <f>IF(F107="","", IF(ARBITRAGES!$H107="ron",G106+ARBITRAGES!$K107,G106))</f>
        <v>0</v>
      </c>
      <c r="H107" s="378">
        <f>IF(G107="","", IF(ARBITRAGES!$H107="link",H106+ARBITRAGES!$K107,H106))</f>
        <v>100.0797</v>
      </c>
      <c r="I107" s="378">
        <f>IF(H107="","", IF(ARBITRAGES!$H107="doge",I106+ARBITRAGES!$K107,I106))</f>
        <v>4177.58</v>
      </c>
      <c r="J107" s="378">
        <f>IF(I107="","", IF(ARBITRAGES!$H107="shib",J106-ARBITRAGES!$K107,J106))</f>
        <v>20503076</v>
      </c>
      <c r="K107" s="378">
        <f>IF(J107="","", IF(ARBITRAGES!$H107="cake",K106+ARBITRAGES!$K107,K106))</f>
        <v>127.0804432</v>
      </c>
      <c r="L107" s="378">
        <f>IF(K107="","", IF(ARBITRAGES!$H107="JUP",L106+ARBITRAGES!$K107,L106))</f>
        <v>0</v>
      </c>
      <c r="M107" s="376">
        <f>IF(L107="","", IF(ARBITRAGES!$H107="aave",M106+ARBITRAGES!$K107,M106))</f>
        <v>5.351038596</v>
      </c>
      <c r="N107" s="378">
        <f>IF(M107="","", IF(ARBITRAGES!$H107="ckb",N106+ARBITRAGES!$K107,N106))</f>
        <v>0</v>
      </c>
      <c r="O107" s="378">
        <f>IF(N107="","", IF(ARBITRAGES!$H107="pendle",O106+ARBITRAGES!$K107,O106))</f>
        <v>169.7471597</v>
      </c>
      <c r="P107" s="378">
        <f>IF(O107="","", IF(ARBITRAGES!$H107="BOME",P106+ARBITRAGES!$K107,P106))</f>
        <v>0.02891989199</v>
      </c>
      <c r="Q107" s="378">
        <f>IF(P107="","", IF(ARBITRAGES!$H107="PEPE",Q106+ARBITRAGES!$K107,Q106))</f>
        <v>24130000</v>
      </c>
      <c r="R107" s="378">
        <f>IF(Q107="","", IF(ARBITRAGES!$H107="WIF",R106+ARBITRAGES!$K107,R106))</f>
        <v>0</v>
      </c>
      <c r="S107" s="378">
        <f>IF(R107="","", IF(ARBITRAGES!$H107="RAY",S106+ARBITRAGES!$K107,S106))</f>
        <v>0</v>
      </c>
      <c r="T107" s="360"/>
      <c r="U107" s="360"/>
      <c r="V107" s="360"/>
      <c r="W107" s="360"/>
      <c r="X107" s="360"/>
      <c r="Y107" s="360"/>
      <c r="Z107" s="360"/>
      <c r="AA107" s="360"/>
      <c r="AB107" s="360"/>
      <c r="AC107" s="360"/>
      <c r="AD107" s="360"/>
      <c r="AE107" s="360"/>
      <c r="AF107" s="360"/>
      <c r="AG107" s="360"/>
      <c r="AH107" s="360"/>
    </row>
    <row r="108" ht="18.75" customHeight="1">
      <c r="A108" s="365">
        <f>IF(ARBITRAGES!E108=0,"",ARBITRAGES!E108)</f>
        <v>45859</v>
      </c>
      <c r="B108" s="375">
        <f>IF(A108="","", IF(ARBITRAGES!$H108="BTC",B107+ARBITRAGES!$K108,B107))</f>
        <v>0.217798201</v>
      </c>
      <c r="C108" s="393">
        <f>IF(B108="","", IF(ARBITRAGES!$H108="eth",C107-ARBITRAGES!$K108+0.00415,C107))</f>
        <v>2.479205015</v>
      </c>
      <c r="D108" s="376">
        <f>IF(C108="","", IF(ARBITRAGES!$H108="ton",D107+ARBITRAGES!$K108,D107))</f>
        <v>246.4039111</v>
      </c>
      <c r="E108" s="376">
        <f>IF(D108="","", IF(ARBITRAGES!$H108="sol",E107+ARBITRAGES!$K108,E107))</f>
        <v>23.49039752</v>
      </c>
      <c r="F108" s="377">
        <f>IF(E108="","", IF(ARBITRAGES!$H108="tao",F107+ARBITRAGES!$K108,F107))</f>
        <v>10.24011974</v>
      </c>
      <c r="G108" s="378">
        <f>IF(F108="","", IF(ARBITRAGES!$H108="ron",G107+ARBITRAGES!$K108,G107))</f>
        <v>0</v>
      </c>
      <c r="H108" s="378">
        <f>IF(G108="","", IF(ARBITRAGES!$H108="link",H107+ARBITRAGES!$K108,H107))</f>
        <v>100.0797</v>
      </c>
      <c r="I108" s="378">
        <f>IF(H108="","", IF(ARBITRAGES!$H108="doge",I107+ARBITRAGES!$K108,I107))</f>
        <v>4177.58</v>
      </c>
      <c r="J108" s="378">
        <f>IF(I108="","", IF(ARBITRAGES!$H108="shib",J107-ARBITRAGES!$K108,J107))</f>
        <v>20503076</v>
      </c>
      <c r="K108" s="378">
        <f>IF(J108="","", IF(ARBITRAGES!$H108="cake",K107+ARBITRAGES!$K108,K107))</f>
        <v>127.0804432</v>
      </c>
      <c r="L108" s="378">
        <f>IF(K108="","", IF(ARBITRAGES!$H108="JUP",L107+ARBITRAGES!$K108,L107))</f>
        <v>0</v>
      </c>
      <c r="M108" s="376">
        <f>IF(L108="","", IF(ARBITRAGES!$H108="aave",M107+ARBITRAGES!$K108,M107))</f>
        <v>5.351038596</v>
      </c>
      <c r="N108" s="378">
        <f>IF(M108="","", IF(ARBITRAGES!$H108="ckb",N107+ARBITRAGES!$K108,N107))</f>
        <v>0</v>
      </c>
      <c r="O108" s="378">
        <f>IF(N108="","", IF(ARBITRAGES!$H108="pendle",O107+ARBITRAGES!$K108,O107))</f>
        <v>169.7471597</v>
      </c>
      <c r="P108" s="378">
        <f>IF(O108="","", IF(ARBITRAGES!$H108="BOME",P107+ARBITRAGES!$K108,P107))</f>
        <v>0.02891989199</v>
      </c>
      <c r="Q108" s="378">
        <f>IF(P108="","", IF(ARBITRAGES!$H108="PEPE",Q107+ARBITRAGES!$K108,Q107))</f>
        <v>24130000</v>
      </c>
      <c r="R108" s="378">
        <f>IF(Q108="","", IF(ARBITRAGES!$H108="WIF",R107+ARBITRAGES!$K108,R107))</f>
        <v>0</v>
      </c>
      <c r="S108" s="378">
        <f>IF(R108="","", IF(ARBITRAGES!$H108="RAY",S107+ARBITRAGES!$K108,S107))</f>
        <v>0</v>
      </c>
      <c r="T108" s="360"/>
      <c r="U108" s="360"/>
      <c r="V108" s="360"/>
      <c r="W108" s="360"/>
      <c r="X108" s="360"/>
      <c r="Y108" s="360"/>
      <c r="Z108" s="360"/>
      <c r="AA108" s="360"/>
      <c r="AB108" s="360"/>
      <c r="AC108" s="360"/>
      <c r="AD108" s="360"/>
      <c r="AE108" s="360"/>
      <c r="AF108" s="360"/>
      <c r="AG108" s="360"/>
      <c r="AH108" s="360"/>
    </row>
    <row r="109" ht="18.75" customHeight="1">
      <c r="A109" s="365">
        <f>IF(ARBITRAGES!E109=0,"",ARBITRAGES!E109)</f>
        <v>45860</v>
      </c>
      <c r="B109" s="375">
        <f>IF(A109="","", IF(ARBITRAGES!$H109="BTC",B108+ARBITRAGES!$K109,B108))</f>
        <v>0.217798201</v>
      </c>
      <c r="C109" s="375">
        <f>IF(B109="","", IF(ARBITRAGES!$H109="eth",C108+ARBITRAGES!$K109,C108))</f>
        <v>2.479205015</v>
      </c>
      <c r="D109" s="376">
        <f>IF(C109="","", IF(ARBITRAGES!$H109="ton",D108+ARBITRAGES!$K109,D108))</f>
        <v>246.4039111</v>
      </c>
      <c r="E109" s="392">
        <f>IF(D109="","", IF(ARBITRAGES!$H109="sol",E108-ARBITRAGES!$K109+0.1,E108))</f>
        <v>21.02780558</v>
      </c>
      <c r="F109" s="377">
        <f>IF(E109="","", IF(ARBITRAGES!$H109="tao",F108+ARBITRAGES!$K109,F108))</f>
        <v>10.24011974</v>
      </c>
      <c r="G109" s="378">
        <f>IF(F109="","", IF(ARBITRAGES!$H109="ron",G108+ARBITRAGES!$K109,G108))</f>
        <v>0</v>
      </c>
      <c r="H109" s="378">
        <f>IF(G109="","", IF(ARBITRAGES!$H109="link",H108+ARBITRAGES!$K109,H108))</f>
        <v>100.0797</v>
      </c>
      <c r="I109" s="378">
        <f>IF(H109="","", IF(ARBITRAGES!$H109="doge",I108+ARBITRAGES!$K109,I108))</f>
        <v>4177.58</v>
      </c>
      <c r="J109" s="378">
        <f>IF(I109="","", IF(ARBITRAGES!$H109="shib",J108-ARBITRAGES!$K109,J108))</f>
        <v>20503076</v>
      </c>
      <c r="K109" s="378">
        <f>IF(J109="","", IF(ARBITRAGES!$H109="cake",K108+ARBITRAGES!$K109,K108))</f>
        <v>127.0804432</v>
      </c>
      <c r="L109" s="378">
        <f>IF(K109="","", IF(ARBITRAGES!$H109="JUP",L108+ARBITRAGES!$K109,L108))</f>
        <v>0</v>
      </c>
      <c r="M109" s="376">
        <f>IF(L109="","", IF(ARBITRAGES!$H109="aave",M108+ARBITRAGES!$K109,M108))</f>
        <v>5.351038596</v>
      </c>
      <c r="N109" s="378">
        <f>IF(M109="","", IF(ARBITRAGES!$H109="ckb",N108+ARBITRAGES!$K109,N108))</f>
        <v>0</v>
      </c>
      <c r="O109" s="378">
        <f>IF(N109="","", IF(ARBITRAGES!$H109="pendle",O108+ARBITRAGES!$K109,O108))</f>
        <v>169.7471597</v>
      </c>
      <c r="P109" s="378">
        <f>IF(O109="","", IF(ARBITRAGES!$H109="BOME",P108+ARBITRAGES!$K109,P108))</f>
        <v>0.02891989199</v>
      </c>
      <c r="Q109" s="378">
        <f>IF(P109="","", IF(ARBITRAGES!$H109="PEPE",Q108+ARBITRAGES!$K109,Q108))</f>
        <v>24130000</v>
      </c>
      <c r="R109" s="378">
        <f>IF(Q109="","", IF(ARBITRAGES!$H109="WIF",R108+ARBITRAGES!$K109,R108))</f>
        <v>0</v>
      </c>
      <c r="S109" s="378">
        <f>IF(R109="","", IF(ARBITRAGES!$H109="RAY",S108+ARBITRAGES!$K109,S108))</f>
        <v>0</v>
      </c>
      <c r="T109" s="360"/>
      <c r="U109" s="360"/>
      <c r="V109" s="360"/>
      <c r="W109" s="360"/>
      <c r="X109" s="360"/>
      <c r="Y109" s="360"/>
      <c r="Z109" s="360"/>
      <c r="AA109" s="360"/>
      <c r="AB109" s="360"/>
      <c r="AC109" s="360"/>
      <c r="AD109" s="360"/>
      <c r="AE109" s="360"/>
      <c r="AF109" s="360"/>
      <c r="AG109" s="360"/>
      <c r="AH109" s="360"/>
    </row>
    <row r="110" ht="18.75" customHeight="1">
      <c r="A110" s="365">
        <f>IF(ARBITRAGES!E110=0,"",ARBITRAGES!E110)</f>
        <v>45861</v>
      </c>
      <c r="B110" s="375">
        <f>IF(A110="","", IF(ARBITRAGES!$H110="BTC",B109+ARBITRAGES!$K110,B109))</f>
        <v>0.217798201</v>
      </c>
      <c r="C110" s="375">
        <f>IF(B110="","", IF(ARBITRAGES!$H110="eth",C109+ARBITRAGES!$K110,C109))</f>
        <v>2.479205015</v>
      </c>
      <c r="D110" s="376">
        <f>IF(C110="","", IF(ARBITRAGES!$H110="ton",D109+ARBITRAGES!$K110,D109))</f>
        <v>246.4039111</v>
      </c>
      <c r="E110" s="376">
        <f>IF(D110="","", IF(ARBITRAGES!$H110="sol",E109+ARBITRAGES!$K110,E109))</f>
        <v>21.02780558</v>
      </c>
      <c r="F110" s="377">
        <f>IF(E110="","", IF(ARBITRAGES!$H110="tao",F109+ARBITRAGES!$K110,F109))</f>
        <v>10.24011974</v>
      </c>
      <c r="G110" s="378">
        <f>IF(F110="","", IF(ARBITRAGES!$H110="ron",G109+ARBITRAGES!$K110,G109))</f>
        <v>0</v>
      </c>
      <c r="H110" s="378">
        <f>IF(G110="","", IF(ARBITRAGES!$H110="link",H109+ARBITRAGES!$K110,H109))</f>
        <v>100.0797</v>
      </c>
      <c r="I110" s="378">
        <f>IF(H110="","", IF(ARBITRAGES!$H110="doge",I109+ARBITRAGES!$K110,I109))</f>
        <v>4177.58</v>
      </c>
      <c r="J110" s="378">
        <f>IF(I110="","", IF(ARBITRAGES!$H110="shib",J109-ARBITRAGES!$K110,J109))</f>
        <v>20503076</v>
      </c>
      <c r="K110" s="378">
        <f>IF(J110="","", IF(ARBITRAGES!$H110="cake",K109+ARBITRAGES!$K110,K109))</f>
        <v>127.0804432</v>
      </c>
      <c r="L110" s="378">
        <f>IF(K110="","", IF(ARBITRAGES!$H110="JUP",L109+ARBITRAGES!$K110,L109))</f>
        <v>0</v>
      </c>
      <c r="M110" s="383">
        <f>IF(L110="","", IF(ARBITRAGES!$H110="aave",M109+ARBITRAGES!$K110,M109))</f>
        <v>6.851038596</v>
      </c>
      <c r="N110" s="378">
        <f>IF(M110="","", IF(ARBITRAGES!$H110="ckb",N109+ARBITRAGES!$K110,N109))</f>
        <v>0</v>
      </c>
      <c r="O110" s="378">
        <f>IF(N110="","", IF(ARBITRAGES!$H110="pendle",O109+ARBITRAGES!$K110,O109))</f>
        <v>169.7471597</v>
      </c>
      <c r="P110" s="378">
        <f>IF(O110="","", IF(ARBITRAGES!$H110="BOME",P109+ARBITRAGES!$K110,P109))</f>
        <v>0.02891989199</v>
      </c>
      <c r="Q110" s="378">
        <f>IF(P110="","", IF(ARBITRAGES!$H110="PEPE",Q109+ARBITRAGES!$K110,Q109))</f>
        <v>24130000</v>
      </c>
      <c r="R110" s="378">
        <f>IF(Q110="","", IF(ARBITRAGES!$H110="WIF",R109+ARBITRAGES!$K110,R109))</f>
        <v>0</v>
      </c>
      <c r="S110" s="378">
        <f>IF(R110="","", IF(ARBITRAGES!$H110="RAY",S109+ARBITRAGES!$K110,S109))</f>
        <v>0</v>
      </c>
      <c r="T110" s="360"/>
      <c r="U110" s="360"/>
      <c r="V110" s="360"/>
      <c r="W110" s="360"/>
      <c r="X110" s="360"/>
      <c r="Y110" s="360"/>
      <c r="Z110" s="360"/>
      <c r="AA110" s="360"/>
      <c r="AB110" s="360"/>
      <c r="AC110" s="360"/>
      <c r="AD110" s="360"/>
      <c r="AE110" s="360"/>
      <c r="AF110" s="360"/>
      <c r="AG110" s="360"/>
      <c r="AH110" s="360"/>
    </row>
    <row r="111" ht="18.75" customHeight="1">
      <c r="A111" s="365">
        <f>IF(ARBITRAGES!E111=0,"",ARBITRAGES!E111)</f>
        <v>45863</v>
      </c>
      <c r="B111" s="374">
        <f>IF(A111="","", IF(ARBITRAGES!$H111="BTC",B110+ARBITRAGES!$K111,B110))</f>
        <v>0.2195373315</v>
      </c>
      <c r="C111" s="375">
        <f>IF(B111="","", IF(ARBITRAGES!$H111="eth",C110+ARBITRAGES!$K111,C110))</f>
        <v>2.479205015</v>
      </c>
      <c r="D111" s="376">
        <f>IF(C111="","", IF(ARBITRAGES!$H111="ton",D110+ARBITRAGES!$K111,D110))</f>
        <v>246.4039111</v>
      </c>
      <c r="E111" s="376">
        <f>IF(D111="","", IF(ARBITRAGES!$H111="sol",E110+ARBITRAGES!$K111,E110))</f>
        <v>21.02780558</v>
      </c>
      <c r="F111" s="377">
        <f>IF(E111="","", IF(ARBITRAGES!$H111="tao",F110+ARBITRAGES!$K111,F110+0.01))</f>
        <v>10.25011974</v>
      </c>
      <c r="G111" s="378">
        <f>IF(F111="","", IF(ARBITRAGES!$H111="ron",G110+ARBITRAGES!$K111,G110))</f>
        <v>0</v>
      </c>
      <c r="H111" s="378">
        <f>IF(G111="","", IF(ARBITRAGES!$H111="link",H110+ARBITRAGES!$K111,H110))</f>
        <v>100.0797</v>
      </c>
      <c r="I111" s="378">
        <f>IF(H111="","", IF(ARBITRAGES!$H111="doge",I110+ARBITRAGES!$K111,I110))</f>
        <v>4177.58</v>
      </c>
      <c r="J111" s="378">
        <f>IF(I111="","", IF(ARBITRAGES!$H111="shib",J110-ARBITRAGES!$K111,J110))</f>
        <v>20503076</v>
      </c>
      <c r="K111" s="378">
        <f>IF(J111="","", IF(ARBITRAGES!$H111="cake",K110+ARBITRAGES!$K111,K110))</f>
        <v>127.0804432</v>
      </c>
      <c r="L111" s="378">
        <f>IF(K111="","", IF(ARBITRAGES!$H111="JUP",L110+ARBITRAGES!$K111,L110))</f>
        <v>0</v>
      </c>
      <c r="M111" s="376">
        <f>IF(L111="","", IF(ARBITRAGES!$H111="aave",M110+ARBITRAGES!$K111,M110))</f>
        <v>6.851038596</v>
      </c>
      <c r="N111" s="378">
        <f>IF(M111="","", IF(ARBITRAGES!$H111="ckb",N110+ARBITRAGES!$K111,N110))</f>
        <v>0</v>
      </c>
      <c r="O111" s="378">
        <f>IF(N111="","", IF(ARBITRAGES!$H111="pendle",O110+ARBITRAGES!$K111,O110))</f>
        <v>169.7471597</v>
      </c>
      <c r="P111" s="378">
        <f>IF(O111="","", IF(ARBITRAGES!$H111="BOME",P110+ARBITRAGES!$K111,P110))</f>
        <v>0.02891989199</v>
      </c>
      <c r="Q111" s="378">
        <f>IF(P111="","", IF(ARBITRAGES!$H111="PEPE",Q110+ARBITRAGES!$K111,Q110))</f>
        <v>24130000</v>
      </c>
      <c r="R111" s="378">
        <f>IF(Q111="","", IF(ARBITRAGES!$H111="WIF",R110+ARBITRAGES!$K111,R110))</f>
        <v>0</v>
      </c>
      <c r="S111" s="378">
        <f>IF(R111="","", IF(ARBITRAGES!$H111="RAY",S110+ARBITRAGES!$K111,S110))</f>
        <v>0</v>
      </c>
      <c r="T111" s="360"/>
      <c r="U111" s="360"/>
      <c r="V111" s="360"/>
      <c r="W111" s="360"/>
      <c r="X111" s="360"/>
      <c r="Y111" s="360"/>
      <c r="Z111" s="360"/>
      <c r="AA111" s="360"/>
      <c r="AB111" s="360"/>
      <c r="AC111" s="360"/>
      <c r="AD111" s="360"/>
      <c r="AE111" s="360"/>
      <c r="AF111" s="360"/>
      <c r="AG111" s="360"/>
      <c r="AH111" s="360"/>
    </row>
    <row r="112" ht="18.75" customHeight="1">
      <c r="A112" s="365">
        <f>IF(ARBITRAGES!E112=0,"",ARBITRAGES!E112)</f>
        <v>45867</v>
      </c>
      <c r="B112" s="375">
        <f>IF(A112="","", IF(ARBITRAGES!$H112="BTC",B111+ARBITRAGES!$K112,B111))</f>
        <v>0.2195373315</v>
      </c>
      <c r="C112" s="375">
        <f>IF(B112="","", IF(ARBITRAGES!$H112="eth",C111+ARBITRAGES!$K112,C111))</f>
        <v>2.479205015</v>
      </c>
      <c r="D112" s="376">
        <f>IF(C112="","", IF(ARBITRAGES!$H112="ton",D111+ARBITRAGES!$K112,D111))</f>
        <v>246.4039111</v>
      </c>
      <c r="E112" s="376">
        <f>IF(D112="","", IF(ARBITRAGES!$H112="sol",E111+ARBITRAGES!$K112,E111))</f>
        <v>21.02780558</v>
      </c>
      <c r="F112" s="385">
        <f>IF(E112="","", IF(ARBITRAGES!$H112="tao",F111+ARBITRAGES!$K112,F111))</f>
        <v>10.75011974</v>
      </c>
      <c r="G112" s="378">
        <f>IF(F112="","", IF(ARBITRAGES!$H112="ron",G111+ARBITRAGES!$K112,G111))</f>
        <v>0</v>
      </c>
      <c r="H112" s="378">
        <f>IF(G112="","", IF(ARBITRAGES!$H112="link",H111+ARBITRAGES!$K112,H111))</f>
        <v>100.0797</v>
      </c>
      <c r="I112" s="378">
        <f>IF(H112="","", IF(ARBITRAGES!$H112="doge",I111+ARBITRAGES!$K112,I111))</f>
        <v>4177.58</v>
      </c>
      <c r="J112" s="378">
        <f>IF(I112="","", IF(ARBITRAGES!$H112="shib",J111-ARBITRAGES!$K112,J111))</f>
        <v>20503076</v>
      </c>
      <c r="K112" s="378">
        <f>IF(J112="","", IF(ARBITRAGES!$H112="cake",K111+ARBITRAGES!$K112,K111))</f>
        <v>127.0804432</v>
      </c>
      <c r="L112" s="378">
        <f>IF(K112="","", IF(ARBITRAGES!$H112="JUP",L111+ARBITRAGES!$K112,L111))</f>
        <v>0</v>
      </c>
      <c r="M112" s="376">
        <f>IF(L112="","", IF(ARBITRAGES!$H112="aave",M111+ARBITRAGES!$K112,M111))</f>
        <v>6.851038596</v>
      </c>
      <c r="N112" s="378">
        <f>IF(M112="","", IF(ARBITRAGES!$H112="ckb",N111+ARBITRAGES!$K112,N111))</f>
        <v>0</v>
      </c>
      <c r="O112" s="378">
        <f>IF(N112="","", IF(ARBITRAGES!$H112="pendle",O111+ARBITRAGES!$K112,O111))</f>
        <v>169.7471597</v>
      </c>
      <c r="P112" s="378">
        <f>IF(O112="","", IF(ARBITRAGES!$H112="BOME",P111+ARBITRAGES!$K112,P111))</f>
        <v>0.02891989199</v>
      </c>
      <c r="Q112" s="378">
        <f>IF(P112="","", IF(ARBITRAGES!$H112="PEPE",Q111+ARBITRAGES!$K112,Q111))</f>
        <v>24130000</v>
      </c>
      <c r="R112" s="378">
        <f>IF(Q112="","", IF(ARBITRAGES!$H112="WIF",R111+ARBITRAGES!$K112,R111))</f>
        <v>0</v>
      </c>
      <c r="S112" s="378">
        <f>IF(R112="","", IF(ARBITRAGES!$H112="RAY",S111+ARBITRAGES!$K112,S111))</f>
        <v>0</v>
      </c>
      <c r="T112" s="360"/>
      <c r="U112" s="360"/>
      <c r="V112" s="360"/>
      <c r="W112" s="360"/>
      <c r="X112" s="360"/>
      <c r="Y112" s="360"/>
      <c r="Z112" s="360"/>
      <c r="AA112" s="360"/>
      <c r="AB112" s="360"/>
      <c r="AC112" s="360"/>
      <c r="AD112" s="360"/>
      <c r="AE112" s="360"/>
      <c r="AF112" s="360"/>
      <c r="AG112" s="360"/>
      <c r="AH112" s="360"/>
    </row>
    <row r="113" ht="18.75" customHeight="1">
      <c r="A113" s="365">
        <f>IF(ARBITRAGES!E113=0,"",ARBITRAGES!E113)</f>
        <v>45868</v>
      </c>
      <c r="B113" s="375">
        <f>IF(A113="","", IF(ARBITRAGES!$H113="BTC",B112+ARBITRAGES!$K113,B112))</f>
        <v>0.2195373315</v>
      </c>
      <c r="C113" s="375">
        <f>IF(B113="","", IF(ARBITRAGES!$H113="eth",C112+ARBITRAGES!$K113,C112))</f>
        <v>2.479205015</v>
      </c>
      <c r="D113" s="376">
        <f>IF(C113="","", IF(ARBITRAGES!$H113="ton",D112+ARBITRAGES!$K113,D112))</f>
        <v>246.4039111</v>
      </c>
      <c r="E113" s="376">
        <f>IF(D113="","", IF(ARBITRAGES!$H113="sol",E112+ARBITRAGES!$K113,E112))</f>
        <v>21.02780558</v>
      </c>
      <c r="F113" s="385">
        <f>IF(E113="","", IF(ARBITRAGES!$H113="tao",F112+ARBITRAGES!$K113,F112))</f>
        <v>11.53011974</v>
      </c>
      <c r="G113" s="378">
        <f>IF(F113="","", IF(ARBITRAGES!$H113="ron",G112+ARBITRAGES!$K113,G112))</f>
        <v>0</v>
      </c>
      <c r="H113" s="378">
        <f>IF(G113="","", IF(ARBITRAGES!$H113="link",H112+ARBITRAGES!$K113,H112))</f>
        <v>100.0797</v>
      </c>
      <c r="I113" s="378">
        <f>IF(H113="","", IF(ARBITRAGES!$H113="doge",I112+ARBITRAGES!$K113,I112))</f>
        <v>4177.58</v>
      </c>
      <c r="J113" s="378">
        <f>IF(I113="","", IF(ARBITRAGES!$H113="shib",J112-ARBITRAGES!$K113,J112))</f>
        <v>20503076</v>
      </c>
      <c r="K113" s="378">
        <f>IF(J113="","", IF(ARBITRAGES!$H113="cake",K112+ARBITRAGES!$K113,K112))</f>
        <v>127.0804432</v>
      </c>
      <c r="L113" s="378">
        <f>IF(K113="","", IF(ARBITRAGES!$H113="JUP",L112+ARBITRAGES!$K113,L112))</f>
        <v>0</v>
      </c>
      <c r="M113" s="376">
        <f>IF(L113="","", IF(ARBITRAGES!$H113="aave",M112+ARBITRAGES!$K113,M112))</f>
        <v>6.851038596</v>
      </c>
      <c r="N113" s="378">
        <f>IF(M113="","", IF(ARBITRAGES!$H113="ckb",N112+ARBITRAGES!$K113,N112))</f>
        <v>0</v>
      </c>
      <c r="O113" s="378">
        <f>IF(N113="","", IF(ARBITRAGES!$H113="pendle",O112+ARBITRAGES!$K113,O112))</f>
        <v>169.7471597</v>
      </c>
      <c r="P113" s="378">
        <f>IF(O113="","", IF(ARBITRAGES!$H113="BOME",P112+ARBITRAGES!$K113,P112))</f>
        <v>0.02891989199</v>
      </c>
      <c r="Q113" s="378">
        <f>IF(P113="","", IF(ARBITRAGES!$H113="PEPE",Q112+ARBITRAGES!$K113,Q112))</f>
        <v>24130000</v>
      </c>
      <c r="R113" s="378">
        <f>IF(Q113="","", IF(ARBITRAGES!$H113="WIF",R112+ARBITRAGES!$K113,R112))</f>
        <v>0</v>
      </c>
      <c r="S113" s="378">
        <f>IF(R113="","", IF(ARBITRAGES!$H113="RAY",S112+ARBITRAGES!$K113,S112))</f>
        <v>0</v>
      </c>
      <c r="T113" s="360"/>
      <c r="U113" s="360"/>
      <c r="V113" s="360"/>
      <c r="W113" s="360"/>
      <c r="X113" s="360"/>
      <c r="Y113" s="360"/>
      <c r="Z113" s="360"/>
      <c r="AA113" s="360"/>
      <c r="AB113" s="360"/>
      <c r="AC113" s="360"/>
      <c r="AD113" s="360"/>
      <c r="AE113" s="360"/>
      <c r="AF113" s="360"/>
      <c r="AG113" s="360"/>
      <c r="AH113" s="360"/>
    </row>
    <row r="114" ht="18.75" customHeight="1">
      <c r="A114" s="365">
        <f>IF(ARBITRAGES!E114=0,"",ARBITRAGES!E114)</f>
        <v>45869</v>
      </c>
      <c r="B114" s="375">
        <f>IF(A114="","", IF(ARBITRAGES!$H114="BTC",B113+ARBITRAGES!$K114,B113))</f>
        <v>0.2195373315</v>
      </c>
      <c r="C114" s="375">
        <f>IF(B114="","", IF(ARBITRAGES!$H114="eth",C113+ARBITRAGES!$K114,C113))</f>
        <v>2.479205015</v>
      </c>
      <c r="D114" s="376">
        <f>IF(C114="","", IF(ARBITRAGES!$H114="ton",D113+ARBITRAGES!$K114,D113))</f>
        <v>246.4039111</v>
      </c>
      <c r="E114" s="376">
        <f>IF(D114="","", IF(ARBITRAGES!$H114="sol",E113+ARBITRAGES!$K114,E113))</f>
        <v>21.02780558</v>
      </c>
      <c r="F114" s="377">
        <f>IF(E114="","", IF(ARBITRAGES!$H114="tao",F113+ARBITRAGES!$K114,F113))</f>
        <v>11.53011974</v>
      </c>
      <c r="G114" s="378">
        <f>IF(F114="","", IF(ARBITRAGES!$H114="ron",G113+ARBITRAGES!$K114,G113))</f>
        <v>0</v>
      </c>
      <c r="H114" s="378">
        <f>IF(G114="","", IF(ARBITRAGES!$H114="link",H113+ARBITRAGES!$K114,H113))</f>
        <v>100.0797</v>
      </c>
      <c r="I114" s="378">
        <f>IF(H114="","", IF(ARBITRAGES!$H114="doge",I113+ARBITRAGES!$K114,I113))</f>
        <v>4177.58</v>
      </c>
      <c r="J114" s="378">
        <f>IF(I114="","", IF(ARBITRAGES!$H114="shib",J113-ARBITRAGES!$K114,J113))</f>
        <v>20503076</v>
      </c>
      <c r="K114" s="378">
        <f>IF(J114="","", IF(ARBITRAGES!$H114="cake",K113+ARBITRAGES!$K114,K113))</f>
        <v>127.0804432</v>
      </c>
      <c r="L114" s="378">
        <f>IF(K114="","", IF(ARBITRAGES!$H114="JUP",L113+ARBITRAGES!$K114,L113))</f>
        <v>0</v>
      </c>
      <c r="M114" s="383">
        <f>IF(L114="","", IF(ARBITRAGES!$H114="aave",M113+ARBITRAGES!$K114,M113))</f>
        <v>7.031038596</v>
      </c>
      <c r="N114" s="378">
        <f>IF(M114="","", IF(ARBITRAGES!$H114="ckb",N113+ARBITRAGES!$K114,N113))</f>
        <v>0</v>
      </c>
      <c r="O114" s="378">
        <f>IF(N114="","", IF(ARBITRAGES!$H114="pendle",O113+ARBITRAGES!$K114,O113))</f>
        <v>169.7471597</v>
      </c>
      <c r="P114" s="378">
        <f>IF(O114="","", IF(ARBITRAGES!$H114="BOME",P113+ARBITRAGES!$K114,P113))</f>
        <v>0.02891989199</v>
      </c>
      <c r="Q114" s="378">
        <f>IF(P114="","", IF(ARBITRAGES!$H114="PEPE",Q113+ARBITRAGES!$K114,Q113))</f>
        <v>24130000</v>
      </c>
      <c r="R114" s="378">
        <f>IF(Q114="","", IF(ARBITRAGES!$H114="WIF",R113+ARBITRAGES!$K114,R113))</f>
        <v>0</v>
      </c>
      <c r="S114" s="378">
        <f>IF(R114="","", IF(ARBITRAGES!$H114="RAY",S113+ARBITRAGES!$K114,S113))</f>
        <v>0</v>
      </c>
      <c r="T114" s="360"/>
      <c r="U114" s="360"/>
      <c r="V114" s="360"/>
      <c r="W114" s="360"/>
      <c r="X114" s="360"/>
      <c r="Y114" s="360"/>
      <c r="Z114" s="360"/>
      <c r="AA114" s="360"/>
      <c r="AB114" s="360"/>
      <c r="AC114" s="360"/>
      <c r="AD114" s="360"/>
      <c r="AE114" s="360"/>
      <c r="AF114" s="360"/>
      <c r="AG114" s="360"/>
      <c r="AH114" s="360"/>
    </row>
    <row r="115" ht="18.75" customHeight="1">
      <c r="A115" s="365">
        <f>IF(ARBITRAGES!E115=0,"",ARBITRAGES!E115)</f>
        <v>45869</v>
      </c>
      <c r="B115" s="375">
        <f>IF(A115="","", IF(ARBITRAGES!$H115="BTC",B114+ARBITRAGES!$K115,B114))</f>
        <v>0.2195373315</v>
      </c>
      <c r="C115" s="375">
        <f>IF(B115="","", IF(ARBITRAGES!$H115="eth",C114+ARBITRAGES!$K115,C114))</f>
        <v>2.479205015</v>
      </c>
      <c r="D115" s="376">
        <f>IF(C115="","", IF(ARBITRAGES!$H115="ton",D114+ARBITRAGES!$K115,D114))</f>
        <v>246.4039111</v>
      </c>
      <c r="E115" s="376">
        <f>IF(D115="","", IF(ARBITRAGES!$H115="sol",E114+ARBITRAGES!$K115,E114))</f>
        <v>21.02780558</v>
      </c>
      <c r="F115" s="385">
        <f>IF(E115="","", IF(ARBITRAGES!$H115="tao",F114+ARBITRAGES!$K115+0.0055,F114))</f>
        <v>11.80561974</v>
      </c>
      <c r="G115" s="378">
        <f>IF(F115="","", IF(ARBITRAGES!$H115="ron",G114+ARBITRAGES!$K115,G114))</f>
        <v>0</v>
      </c>
      <c r="H115" s="378">
        <f>IF(G115="","", IF(ARBITRAGES!$H115="link",H114+ARBITRAGES!$K115,H114))</f>
        <v>100.0797</v>
      </c>
      <c r="I115" s="378">
        <f>IF(H115="","", IF(ARBITRAGES!$H115="doge",I114+ARBITRAGES!$K115,I114))</f>
        <v>4177.58</v>
      </c>
      <c r="J115" s="378">
        <f>IF(I115="","", IF(ARBITRAGES!$H115="shib",J114-ARBITRAGES!$K115,J114))</f>
        <v>20503076</v>
      </c>
      <c r="K115" s="378">
        <f>IF(J115="","", IF(ARBITRAGES!$H115="cake",K114+ARBITRAGES!$K115,K114))</f>
        <v>127.0804432</v>
      </c>
      <c r="L115" s="378">
        <f>IF(K115="","", IF(ARBITRAGES!$H115="JUP",L114+ARBITRAGES!$K115,L114))</f>
        <v>0</v>
      </c>
      <c r="M115" s="376">
        <f>IF(L115="","", IF(ARBITRAGES!$H115="aave",M114+ARBITRAGES!$K115,M114))</f>
        <v>7.031038596</v>
      </c>
      <c r="N115" s="378">
        <f>IF(M115="","", IF(ARBITRAGES!$H115="ckb",N114+ARBITRAGES!$K115,N114))</f>
        <v>0</v>
      </c>
      <c r="O115" s="378">
        <f>IF(N115="","", IF(ARBITRAGES!$H115="pendle",O114+ARBITRAGES!$K115,O114))</f>
        <v>169.7471597</v>
      </c>
      <c r="P115" s="378">
        <f>IF(O115="","", IF(ARBITRAGES!$H115="BOME",P114+ARBITRAGES!$K115,P114))</f>
        <v>0.02891989199</v>
      </c>
      <c r="Q115" s="378">
        <f>IF(P115="","", IF(ARBITRAGES!$H115="PEPE",Q114+ARBITRAGES!$K115,Q114))</f>
        <v>24130000</v>
      </c>
      <c r="R115" s="378">
        <f>IF(Q115="","", IF(ARBITRAGES!$H115="WIF",R114+ARBITRAGES!$K115,R114))</f>
        <v>0</v>
      </c>
      <c r="S115" s="378">
        <f>IF(R115="","", IF(ARBITRAGES!$H115="RAY",S114+ARBITRAGES!$K115,S114))</f>
        <v>0</v>
      </c>
      <c r="T115" s="360"/>
      <c r="U115" s="360"/>
      <c r="V115" s="360"/>
      <c r="W115" s="360"/>
      <c r="X115" s="360"/>
      <c r="Y115" s="360"/>
      <c r="Z115" s="360"/>
      <c r="AA115" s="360"/>
      <c r="AB115" s="360"/>
      <c r="AC115" s="360"/>
      <c r="AD115" s="360"/>
      <c r="AE115" s="360"/>
      <c r="AF115" s="360"/>
      <c r="AG115" s="360"/>
      <c r="AH115" s="360"/>
    </row>
    <row r="116" ht="18.75" customHeight="1">
      <c r="A116" s="365">
        <f>IF(ARBITRAGES!E116=0,"",ARBITRAGES!E116)</f>
        <v>45869</v>
      </c>
      <c r="B116" s="375">
        <f>IF(A116="","", IF(ARBITRAGES!$H116="BTC",B115+ARBITRAGES!$K116,B115))</f>
        <v>0.2195373315</v>
      </c>
      <c r="C116" s="375">
        <f>IF(B116="","", IF(ARBITRAGES!$H116="eth",C115+ARBITRAGES!$K116,C115))</f>
        <v>2.479205015</v>
      </c>
      <c r="D116" s="376">
        <f>IF(C116="","", IF(ARBITRAGES!$H116="ton",D115+ARBITRAGES!$K116,D115))</f>
        <v>246.4039111</v>
      </c>
      <c r="E116" s="376">
        <f>IF(D116="","", IF(ARBITRAGES!$H116="sol",E115+ARBITRAGES!$K116,E115))</f>
        <v>21.02780558</v>
      </c>
      <c r="F116" s="377">
        <f>IF(E116="","", IF(ARBITRAGES!$H116="tao",F115+ARBITRAGES!$K116,F115))</f>
        <v>11.80561974</v>
      </c>
      <c r="G116" s="378">
        <f>IF(F116="","", IF(ARBITRAGES!$H116="ron",G115+ARBITRAGES!$K116,G115))</f>
        <v>0</v>
      </c>
      <c r="H116" s="378">
        <f>IF(G116="","", IF(ARBITRAGES!$H116="link",H115+ARBITRAGES!$K116,H115))</f>
        <v>100.0797</v>
      </c>
      <c r="I116" s="378">
        <f>IF(H116="","", IF(ARBITRAGES!$H116="doge",I115+ARBITRAGES!$K116,I115))</f>
        <v>4177.58</v>
      </c>
      <c r="J116" s="378">
        <f>IF(I116="","", IF(ARBITRAGES!$H116="shib",J115-ARBITRAGES!$K116,J115))</f>
        <v>20503076</v>
      </c>
      <c r="K116" s="378">
        <f>IF(J116="","", IF(ARBITRAGES!$H116="cake",K115+ARBITRAGES!$K116,K115))</f>
        <v>127.0804432</v>
      </c>
      <c r="L116" s="378">
        <f>IF(K116="","", IF(ARBITRAGES!$H116="JUP",L115+ARBITRAGES!$K116,L115))</f>
        <v>0</v>
      </c>
      <c r="M116" s="383">
        <f>IF(L116="","", IF(ARBITRAGES!$H116="aave",M115+ARBITRAGES!$K116,M115))</f>
        <v>7.601038596</v>
      </c>
      <c r="N116" s="378">
        <f>IF(M116="","", IF(ARBITRAGES!$H116="ckb",N115+ARBITRAGES!$K116,N115))</f>
        <v>0</v>
      </c>
      <c r="O116" s="378">
        <f>IF(N116="","", IF(ARBITRAGES!$H116="pendle",O115+ARBITRAGES!$K116,O115))</f>
        <v>169.7471597</v>
      </c>
      <c r="P116" s="378">
        <f>IF(O116="","", IF(ARBITRAGES!$H116="BOME",P115+ARBITRAGES!$K116,P115))</f>
        <v>0.02891989199</v>
      </c>
      <c r="Q116" s="378">
        <f>IF(P116="","", IF(ARBITRAGES!$H116="PEPE",Q115+ARBITRAGES!$K116,Q115))</f>
        <v>24130000</v>
      </c>
      <c r="R116" s="378">
        <f>IF(Q116="","", IF(ARBITRAGES!$H116="WIF",R115+ARBITRAGES!$K116,R115))</f>
        <v>0</v>
      </c>
      <c r="S116" s="378">
        <f>IF(R116="","", IF(ARBITRAGES!$H116="RAY",S115+ARBITRAGES!$K116,S115))</f>
        <v>0</v>
      </c>
      <c r="T116" s="360"/>
      <c r="U116" s="360"/>
      <c r="V116" s="360"/>
      <c r="W116" s="360"/>
      <c r="X116" s="360"/>
      <c r="Y116" s="360"/>
      <c r="Z116" s="360"/>
      <c r="AA116" s="360"/>
      <c r="AB116" s="360"/>
      <c r="AC116" s="360"/>
      <c r="AD116" s="360"/>
      <c r="AE116" s="360"/>
      <c r="AF116" s="360"/>
      <c r="AG116" s="360"/>
      <c r="AH116" s="360"/>
    </row>
    <row r="117" ht="18.75" customHeight="1">
      <c r="A117" s="365">
        <f>IF(ARBITRAGES!E117=0,"",ARBITRAGES!E117)</f>
        <v>45870</v>
      </c>
      <c r="B117" s="374">
        <f>IF(A117="","", IF(ARBITRAGES!$H117="BTC",B116+ARBITRAGES!$K117,B116))</f>
        <v>0.2221574188</v>
      </c>
      <c r="C117" s="375">
        <f>IF(B117="","", IF(ARBITRAGES!$H117="eth",C116+ARBITRAGES!$K117,C116))</f>
        <v>2.479205015</v>
      </c>
      <c r="D117" s="376">
        <f>IF(C117="","", IF(ARBITRAGES!$H117="ton",D116+ARBITRAGES!$K117,D116))</f>
        <v>246.4039111</v>
      </c>
      <c r="E117" s="376">
        <f>IF(D117="","", IF(ARBITRAGES!$H117="sol",E116+ARBITRAGES!$K117,E116))</f>
        <v>21.02780558</v>
      </c>
      <c r="F117" s="377">
        <f>IF(E117="","", IF(ARBITRAGES!$H117="tao",F116+ARBITRAGES!$K117,F116))</f>
        <v>11.80561974</v>
      </c>
      <c r="G117" s="378">
        <f>IF(F117="","", IF(ARBITRAGES!$H117="ron",G116+ARBITRAGES!$K117,G116))</f>
        <v>0</v>
      </c>
      <c r="H117" s="378">
        <f>IF(G117="","", IF(ARBITRAGES!$H117="link",H116+ARBITRAGES!$K117,H116))</f>
        <v>100.0797</v>
      </c>
      <c r="I117" s="378">
        <f>IF(H117="","", IF(ARBITRAGES!$H117="doge",I116+ARBITRAGES!$K117,I116))</f>
        <v>4177.58</v>
      </c>
      <c r="J117" s="378">
        <f>IF(I117="","", IF(ARBITRAGES!$H117="shib",J116-ARBITRAGES!$K117,J116))</f>
        <v>20503076</v>
      </c>
      <c r="K117" s="378">
        <f>IF(J117="","", IF(ARBITRAGES!$H117="cake",K116+ARBITRAGES!$K117,K116))</f>
        <v>127.0804432</v>
      </c>
      <c r="L117" s="378">
        <f>IF(K117="","", IF(ARBITRAGES!$H117="JUP",L116+ARBITRAGES!$K117,L116))</f>
        <v>0</v>
      </c>
      <c r="M117" s="376">
        <f>IF(L117="","", IF(ARBITRAGES!$H117="aave",M116+ARBITRAGES!$K117,M116))</f>
        <v>7.601038596</v>
      </c>
      <c r="N117" s="378">
        <f>IF(M117="","", IF(ARBITRAGES!$H117="ckb",N116+ARBITRAGES!$K117,N116))</f>
        <v>0</v>
      </c>
      <c r="O117" s="378">
        <f>IF(N117="","", IF(ARBITRAGES!$H117="pendle",O116+ARBITRAGES!$K117,O116))</f>
        <v>169.7471597</v>
      </c>
      <c r="P117" s="378">
        <f>IF(O117="","", IF(ARBITRAGES!$H117="BOME",P116+ARBITRAGES!$K117,P116))</f>
        <v>0.02891989199</v>
      </c>
      <c r="Q117" s="378">
        <f>IF(P117="","", IF(ARBITRAGES!$H117="PEPE",Q116+ARBITRAGES!$K117,Q116))</f>
        <v>24130000</v>
      </c>
      <c r="R117" s="378">
        <f>IF(Q117="","", IF(ARBITRAGES!$H117="WIF",R116+ARBITRAGES!$K117,R116))</f>
        <v>0</v>
      </c>
      <c r="S117" s="378">
        <f>IF(R117="","", IF(ARBITRAGES!$H117="RAY",S116+ARBITRAGES!$K117,S116))</f>
        <v>0</v>
      </c>
      <c r="T117" s="360"/>
      <c r="U117" s="360"/>
      <c r="V117" s="360"/>
      <c r="W117" s="360"/>
      <c r="X117" s="360"/>
      <c r="Y117" s="360"/>
      <c r="Z117" s="360"/>
      <c r="AA117" s="360"/>
      <c r="AB117" s="360"/>
      <c r="AC117" s="360"/>
      <c r="AD117" s="360"/>
      <c r="AE117" s="360"/>
      <c r="AF117" s="360"/>
      <c r="AG117" s="360"/>
      <c r="AH117" s="360"/>
    </row>
    <row r="118" ht="18.75" customHeight="1">
      <c r="A118" s="365">
        <f>IF(ARBITRAGES!E118=0,"",ARBITRAGES!E118)</f>
        <v>45871</v>
      </c>
      <c r="B118" s="375">
        <f>IF(A118="","", IF(ARBITRAGES!$H118="BTC",B117+ARBITRAGES!$K118,B117))</f>
        <v>0.2221574188</v>
      </c>
      <c r="C118" s="375">
        <f>IF(B118="","", IF(ARBITRAGES!$H118="eth",C117+ARBITRAGES!$K118,C117))</f>
        <v>2.479205015</v>
      </c>
      <c r="D118" s="376">
        <f>IF(C118="","", IF(ARBITRAGES!$H118="ton",D117+ARBITRAGES!$K118,D117))</f>
        <v>246.4039111</v>
      </c>
      <c r="E118" s="383">
        <f>IF(D118="","", IF(ARBITRAGES!$H118="sol",E117+ARBITRAGES!$K118,E117))</f>
        <v>22.88780558</v>
      </c>
      <c r="F118" s="377">
        <f>IF(E118="","", IF(ARBITRAGES!$H118="tao",F117+ARBITRAGES!$K118,F117))</f>
        <v>11.80561974</v>
      </c>
      <c r="G118" s="378">
        <f>IF(F118="","", IF(ARBITRAGES!$H118="ron",G117+ARBITRAGES!$K118,G117))</f>
        <v>0</v>
      </c>
      <c r="H118" s="378">
        <f>IF(G118="","", IF(ARBITRAGES!$H118="link",H117+ARBITRAGES!$K118,H117))</f>
        <v>100.0797</v>
      </c>
      <c r="I118" s="378">
        <f>IF(H118="","", IF(ARBITRAGES!$H118="doge",I117+ARBITRAGES!$K118,I117))</f>
        <v>4177.58</v>
      </c>
      <c r="J118" s="378">
        <f>IF(I118="","", IF(ARBITRAGES!$H118="shib",J117-ARBITRAGES!$K118,J117))</f>
        <v>20503076</v>
      </c>
      <c r="K118" s="378">
        <f>IF(J118="","", IF(ARBITRAGES!$H118="cake",K117+ARBITRAGES!$K118,K117))</f>
        <v>127.0804432</v>
      </c>
      <c r="L118" s="378">
        <f>IF(K118="","", IF(ARBITRAGES!$H118="JUP",L117+ARBITRAGES!$K118,L117))</f>
        <v>0</v>
      </c>
      <c r="M118" s="376">
        <f>IF(L118="","", IF(ARBITRAGES!$H118="aave",M117+ARBITRAGES!$K118,M117))</f>
        <v>7.601038596</v>
      </c>
      <c r="N118" s="378">
        <f>IF(M118="","", IF(ARBITRAGES!$H118="ckb",N117+ARBITRAGES!$K118,N117))</f>
        <v>0</v>
      </c>
      <c r="O118" s="378">
        <f>IF(N118="","", IF(ARBITRAGES!$H118="pendle",O117+ARBITRAGES!$K118,O117))</f>
        <v>169.7471597</v>
      </c>
      <c r="P118" s="378">
        <f>IF(O118="","", IF(ARBITRAGES!$H118="BOME",P117+ARBITRAGES!$K118,P117))</f>
        <v>0.02891989199</v>
      </c>
      <c r="Q118" s="378">
        <f>IF(P118="","", IF(ARBITRAGES!$H118="PEPE",Q117+ARBITRAGES!$K118,Q117))</f>
        <v>24130000</v>
      </c>
      <c r="R118" s="378">
        <f>IF(Q118="","", IF(ARBITRAGES!$H118="WIF",R117+ARBITRAGES!$K118,R117))</f>
        <v>0</v>
      </c>
      <c r="S118" s="378">
        <f>IF(R118="","", IF(ARBITRAGES!$H118="RAY",S117+ARBITRAGES!$K118,S117))</f>
        <v>0</v>
      </c>
      <c r="T118" s="360"/>
      <c r="U118" s="360"/>
      <c r="V118" s="360"/>
      <c r="W118" s="360"/>
      <c r="X118" s="360"/>
      <c r="Y118" s="360"/>
      <c r="Z118" s="360"/>
      <c r="AA118" s="360"/>
      <c r="AB118" s="360"/>
      <c r="AC118" s="360"/>
      <c r="AD118" s="360"/>
      <c r="AE118" s="360"/>
      <c r="AF118" s="360"/>
      <c r="AG118" s="360"/>
      <c r="AH118" s="360"/>
    </row>
    <row r="119" ht="18.75" customHeight="1">
      <c r="A119" s="365">
        <f>IF(ARBITRAGES!E119=0,"",ARBITRAGES!E119)</f>
        <v>45875</v>
      </c>
      <c r="B119" s="375">
        <f>IF(A119="","", IF(ARBITRAGES!$H119="BTC",B118+ARBITRAGES!$K119,B118))</f>
        <v>0.2221574188</v>
      </c>
      <c r="C119" s="375">
        <f>IF(B119="","", IF(ARBITRAGES!$H119="eth",C118+ARBITRAGES!$K119,C118))</f>
        <v>2.479205015</v>
      </c>
      <c r="D119" s="376">
        <f>IF(C119="","", IF(ARBITRAGES!$H119="ton",D118+ARBITRAGES!$K119,D118))</f>
        <v>246.4039111</v>
      </c>
      <c r="E119" s="376">
        <f>IF(D119="","", IF(ARBITRAGES!$H119="sol",E118+ARBITRAGES!$K119,E118))</f>
        <v>22.88780558</v>
      </c>
      <c r="F119" s="377">
        <f>IF(E119="","", IF(ARBITRAGES!$H119="tao",F118+ARBITRAGES!$K119,F118))</f>
        <v>11.80561974</v>
      </c>
      <c r="G119" s="378">
        <f>IF(F119="","", IF(ARBITRAGES!$H119="ron",G118+ARBITRAGES!$K119,G118))</f>
        <v>0</v>
      </c>
      <c r="H119" s="378">
        <f>IF(G119="","", IF(ARBITRAGES!$H119="link",H118+ARBITRAGES!$K119,H118))</f>
        <v>100.0797</v>
      </c>
      <c r="I119" s="378">
        <f>IF(H119="","", IF(ARBITRAGES!$H119="doge",I118+ARBITRAGES!$K119,I118))</f>
        <v>4177.58</v>
      </c>
      <c r="J119" s="378">
        <f>IF(I119="","", IF(ARBITRAGES!$H119="shib",J118-ARBITRAGES!$K119,J118))</f>
        <v>20503076</v>
      </c>
      <c r="K119" s="378">
        <f>IF(J119="","", IF(ARBITRAGES!$H119="cake",K118+ARBITRAGES!$K119,K118))</f>
        <v>127.0804432</v>
      </c>
      <c r="L119" s="378">
        <f>IF(K119="","", IF(ARBITRAGES!$H119="JUP",L118+ARBITRAGES!$K119,L118))</f>
        <v>0</v>
      </c>
      <c r="M119" s="383">
        <f>IF(L119="","", IF(ARBITRAGES!$H119="aave",M118+ARBITRAGES!$K119+1,M118))</f>
        <v>9.141038596</v>
      </c>
      <c r="N119" s="378">
        <f>IF(M119="","", IF(ARBITRAGES!$H119="ckb",N118+ARBITRAGES!$K119,N118))</f>
        <v>0</v>
      </c>
      <c r="O119" s="378">
        <f>IF(N119="","", IF(ARBITRAGES!$H119="pendle",O118+ARBITRAGES!$K119,O118))</f>
        <v>169.7471597</v>
      </c>
      <c r="P119" s="378">
        <f>IF(O119="","", IF(ARBITRAGES!$H119="BOME",P118+ARBITRAGES!$K119,P118))</f>
        <v>0.02891989199</v>
      </c>
      <c r="Q119" s="378">
        <f>IF(P119="","", IF(ARBITRAGES!$H119="PEPE",Q118+ARBITRAGES!$K119,Q118))</f>
        <v>24130000</v>
      </c>
      <c r="R119" s="378">
        <f>IF(Q119="","", IF(ARBITRAGES!$H119="WIF",R118+ARBITRAGES!$K119,R118))</f>
        <v>0</v>
      </c>
      <c r="S119" s="378">
        <f>IF(R119="","", IF(ARBITRAGES!$H119="RAY",S118+ARBITRAGES!$K119,S118))</f>
        <v>0</v>
      </c>
      <c r="T119" s="360"/>
      <c r="U119" s="360"/>
      <c r="V119" s="360"/>
      <c r="W119" s="360"/>
      <c r="X119" s="360"/>
      <c r="Y119" s="360"/>
      <c r="Z119" s="360"/>
      <c r="AA119" s="360"/>
      <c r="AB119" s="360"/>
      <c r="AC119" s="360"/>
      <c r="AD119" s="360"/>
      <c r="AE119" s="360"/>
      <c r="AF119" s="360"/>
      <c r="AG119" s="360"/>
      <c r="AH119" s="360"/>
    </row>
    <row r="120" ht="18.75" customHeight="1">
      <c r="A120" s="365">
        <f>IF(ARBITRAGES!E120=0,"",ARBITRAGES!E120)</f>
        <v>45876</v>
      </c>
      <c r="B120" s="393">
        <f>IF(A120="","", IF(ARBITRAGES!$H120="BTC",B119-ARBITRAGES!$K120,B119))</f>
        <v>0.2121574188</v>
      </c>
      <c r="C120" s="375">
        <f>IF(B120="","", IF(ARBITRAGES!$H120="eth",C119+ARBITRAGES!$K120,C119))</f>
        <v>2.479205015</v>
      </c>
      <c r="D120" s="376">
        <f>IF(C120="","", IF(ARBITRAGES!$H120="ton",D119+ARBITRAGES!$K120,D119))</f>
        <v>246.4039111</v>
      </c>
      <c r="E120" s="376">
        <f>IF(D120="","", IF(ARBITRAGES!$H120="sol",E119+ARBITRAGES!$K120,E119))</f>
        <v>22.88780558</v>
      </c>
      <c r="F120" s="377">
        <f>IF(E120="","", IF(ARBITRAGES!$H120="tao",F119+ARBITRAGES!$K120,F119))</f>
        <v>11.80561974</v>
      </c>
      <c r="G120" s="378">
        <f>IF(F120="","", IF(ARBITRAGES!$H120="ron",G119+ARBITRAGES!$K120,G119))</f>
        <v>0</v>
      </c>
      <c r="H120" s="378">
        <f>IF(G120="","", IF(ARBITRAGES!$H120="link",H119+ARBITRAGES!$K120,H119))</f>
        <v>100.0797</v>
      </c>
      <c r="I120" s="378">
        <f>IF(H120="","", IF(ARBITRAGES!$H120="doge",I119+ARBITRAGES!$K120,I119))</f>
        <v>4177.58</v>
      </c>
      <c r="J120" s="378">
        <f>IF(I120="","", IF(ARBITRAGES!$H120="shib",J119-ARBITRAGES!$K120,J119))</f>
        <v>20503076</v>
      </c>
      <c r="K120" s="378">
        <f>IF(J120="","", IF(ARBITRAGES!$H120="cake",K119+ARBITRAGES!$K120,K119))</f>
        <v>127.0804432</v>
      </c>
      <c r="L120" s="378">
        <f>IF(K120="","", IF(ARBITRAGES!$H120="JUP",L119+ARBITRAGES!$K120,L119))</f>
        <v>0</v>
      </c>
      <c r="M120" s="376">
        <f>IF(L120="","", IF(ARBITRAGES!$H120="aave",M119+ARBITRAGES!$K120,M119))</f>
        <v>9.141038596</v>
      </c>
      <c r="N120" s="378">
        <f>IF(M120="","", IF(ARBITRAGES!$H120="ckb",N119+ARBITRAGES!$K120,N119))</f>
        <v>0</v>
      </c>
      <c r="O120" s="378">
        <f>IF(N120="","", IF(ARBITRAGES!$H120="pendle",O119+ARBITRAGES!$K120,O119))</f>
        <v>169.7471597</v>
      </c>
      <c r="P120" s="378">
        <f>IF(O120="","", IF(ARBITRAGES!$H120="BOME",P119+ARBITRAGES!$K120,P119))</f>
        <v>0.02891989199</v>
      </c>
      <c r="Q120" s="378">
        <f>IF(P120="","", IF(ARBITRAGES!$H120="PEPE",Q119+ARBITRAGES!$K120,Q119))</f>
        <v>24130000</v>
      </c>
      <c r="R120" s="378">
        <f>IF(Q120="","", IF(ARBITRAGES!$H120="WIF",R119+ARBITRAGES!$K120,R119))</f>
        <v>0</v>
      </c>
      <c r="S120" s="378">
        <f>IF(R120="","", IF(ARBITRAGES!$H120="RAY",S119+ARBITRAGES!$K120,S119))</f>
        <v>0</v>
      </c>
      <c r="T120" s="360"/>
      <c r="U120" s="360"/>
      <c r="V120" s="360"/>
      <c r="W120" s="360"/>
      <c r="X120" s="360"/>
      <c r="Y120" s="360"/>
      <c r="Z120" s="360"/>
      <c r="AA120" s="360"/>
      <c r="AB120" s="360"/>
      <c r="AC120" s="360"/>
      <c r="AD120" s="360"/>
      <c r="AE120" s="360"/>
      <c r="AF120" s="360"/>
      <c r="AG120" s="360"/>
      <c r="AH120" s="360"/>
    </row>
    <row r="121" ht="18.75" customHeight="1">
      <c r="A121" s="365">
        <f>IF(ARBITRAGES!E121=0,"",ARBITRAGES!E121)</f>
        <v>45876</v>
      </c>
      <c r="B121" s="375">
        <f>IF(A121="","", IF(ARBITRAGES!$H121="BTC",B120-ARBITRAGES!$K121,B120))</f>
        <v>0.2121574188</v>
      </c>
      <c r="C121" s="393">
        <f>IF(B121="","", IF(ARBITRAGES!$H121="eth",C120-ARBITRAGES!$K121,C120))</f>
        <v>2.179205015</v>
      </c>
      <c r="D121" s="376">
        <f>IF(C121="","", IF(ARBITRAGES!$H121="ton",D120+ARBITRAGES!$K121,D120))</f>
        <v>246.4039111</v>
      </c>
      <c r="E121" s="376">
        <f>IF(D121="","", IF(ARBITRAGES!$H121="sol",E120+ARBITRAGES!$K121,E120))</f>
        <v>22.88780558</v>
      </c>
      <c r="F121" s="377">
        <f>IF(E121="","", IF(ARBITRAGES!$H121="tao",F120+ARBITRAGES!$K121,F120))</f>
        <v>11.80561974</v>
      </c>
      <c r="G121" s="378">
        <f>IF(F121="","", IF(ARBITRAGES!$H121="ron",G120+ARBITRAGES!$K121,G120))</f>
        <v>0</v>
      </c>
      <c r="H121" s="378">
        <f>IF(G121="","", IF(ARBITRAGES!$H121="link",H120+ARBITRAGES!$K121,H120))</f>
        <v>100.0797</v>
      </c>
      <c r="I121" s="378">
        <f>IF(H121="","", IF(ARBITRAGES!$H121="doge",I120+ARBITRAGES!$K121,I120))</f>
        <v>4177.58</v>
      </c>
      <c r="J121" s="378">
        <f>IF(I121="","", IF(ARBITRAGES!$H121="shib",J120-ARBITRAGES!$K121,J120))</f>
        <v>20503076</v>
      </c>
      <c r="K121" s="378">
        <f>IF(J121="","", IF(ARBITRAGES!$H121="cake",K120+ARBITRAGES!$K121,K120))</f>
        <v>127.0804432</v>
      </c>
      <c r="L121" s="378">
        <f>IF(K121="","", IF(ARBITRAGES!$H121="JUP",L120+ARBITRAGES!$K121,L120))</f>
        <v>0</v>
      </c>
      <c r="M121" s="376">
        <f>IF(L121="","", IF(ARBITRAGES!$H121="aave",M120+ARBITRAGES!$K121,M120))</f>
        <v>9.141038596</v>
      </c>
      <c r="N121" s="378">
        <f>IF(M121="","", IF(ARBITRAGES!$H121="ckb",N120+ARBITRAGES!$K121,N120))</f>
        <v>0</v>
      </c>
      <c r="O121" s="378">
        <f>IF(N121="","", IF(ARBITRAGES!$H121="pendle",O120+ARBITRAGES!$K121,O120))</f>
        <v>169.7471597</v>
      </c>
      <c r="P121" s="378">
        <f>IF(O121="","", IF(ARBITRAGES!$H121="BOME",P120+ARBITRAGES!$K121,P120))</f>
        <v>0.02891989199</v>
      </c>
      <c r="Q121" s="378">
        <f>IF(P121="","", IF(ARBITRAGES!$H121="PEPE",Q120+ARBITRAGES!$K121,Q120))</f>
        <v>24130000</v>
      </c>
      <c r="R121" s="378">
        <f>IF(Q121="","", IF(ARBITRAGES!$H121="WIF",R120+ARBITRAGES!$K121,R120))</f>
        <v>0</v>
      </c>
      <c r="S121" s="378">
        <f>IF(R121="","", IF(ARBITRAGES!$H121="RAY",S120+ARBITRAGES!$K121,S120))</f>
        <v>0</v>
      </c>
      <c r="T121" s="360"/>
      <c r="U121" s="360"/>
      <c r="V121" s="360"/>
      <c r="W121" s="360"/>
      <c r="X121" s="360"/>
      <c r="Y121" s="360"/>
      <c r="Z121" s="360"/>
      <c r="AA121" s="360"/>
      <c r="AB121" s="360"/>
      <c r="AC121" s="360"/>
      <c r="AD121" s="360"/>
      <c r="AE121" s="360"/>
      <c r="AF121" s="360"/>
      <c r="AG121" s="360"/>
      <c r="AH121" s="360"/>
    </row>
    <row r="122" ht="18.75" customHeight="1">
      <c r="A122" s="365">
        <f>IF(ARBITRAGES!E122=0,"",ARBITRAGES!E122)</f>
        <v>45877</v>
      </c>
      <c r="B122" s="375">
        <f>IF(A122="","", IF(ARBITRAGES!$H122="BTC",B121-ARBITRAGES!$K122,B121))</f>
        <v>0.2121574188</v>
      </c>
      <c r="C122" s="393">
        <f>IF(B122="","", IF(ARBITRAGES!$H122="eth",C121-ARBITRAGES!$K122,C121))</f>
        <v>1.879205015</v>
      </c>
      <c r="D122" s="376">
        <f>IF(C122="","", IF(ARBITRAGES!$H122="ton",D121+ARBITRAGES!$K122,D121))</f>
        <v>246.4039111</v>
      </c>
      <c r="E122" s="376">
        <f>IF(D122="","", IF(ARBITRAGES!$H122="sol",E121+ARBITRAGES!$K122,E121))</f>
        <v>22.88780558</v>
      </c>
      <c r="F122" s="377">
        <f>IF(E122="","", IF(ARBITRAGES!$H122="tao",F121+ARBITRAGES!$K122,F121))</f>
        <v>11.80561974</v>
      </c>
      <c r="G122" s="378">
        <f>IF(F122="","", IF(ARBITRAGES!$H122="ron",G121+ARBITRAGES!$K122,G121))</f>
        <v>0</v>
      </c>
      <c r="H122" s="378">
        <f>IF(G122="","", IF(ARBITRAGES!$H122="link",H121+ARBITRAGES!$K122,H121))</f>
        <v>100.0797</v>
      </c>
      <c r="I122" s="378">
        <f>IF(H122="","", IF(ARBITRAGES!$H122="doge",I121+ARBITRAGES!$K122,I121))</f>
        <v>4177.58</v>
      </c>
      <c r="J122" s="378">
        <f>IF(I122="","", IF(ARBITRAGES!$H122="shib",J121-ARBITRAGES!$K122,J121))</f>
        <v>20503076</v>
      </c>
      <c r="K122" s="378">
        <f>IF(J122="","", IF(ARBITRAGES!$H122="cake",K121+ARBITRAGES!$K122,K121))</f>
        <v>127.0804432</v>
      </c>
      <c r="L122" s="378">
        <f>IF(K122="","", IF(ARBITRAGES!$H122="JUP",L121+ARBITRAGES!$K122,L121))</f>
        <v>0</v>
      </c>
      <c r="M122" s="376">
        <f>IF(L122="","", IF(ARBITRAGES!$H122="aave",M121+ARBITRAGES!$K122,M121))</f>
        <v>9.141038596</v>
      </c>
      <c r="N122" s="378">
        <f>IF(M122="","", IF(ARBITRAGES!$H122="ckb",N121+ARBITRAGES!$K122,N121))</f>
        <v>0</v>
      </c>
      <c r="O122" s="378">
        <f>IF(N122="","", IF(ARBITRAGES!$H122="pendle",O121+ARBITRAGES!$K122,O121))</f>
        <v>169.7471597</v>
      </c>
      <c r="P122" s="378">
        <f>IF(O122="","", IF(ARBITRAGES!$H122="BOME",P121+ARBITRAGES!$K122,P121))</f>
        <v>0.02891989199</v>
      </c>
      <c r="Q122" s="378">
        <f>IF(P122="","", IF(ARBITRAGES!$H122="PEPE",Q121+ARBITRAGES!$K122,Q121))</f>
        <v>24130000</v>
      </c>
      <c r="R122" s="378">
        <f>IF(Q122="","", IF(ARBITRAGES!$H122="WIF",R121+ARBITRAGES!$K122,R121))</f>
        <v>0</v>
      </c>
      <c r="S122" s="378">
        <f>IF(R122="","", IF(ARBITRAGES!$H122="RAY",S121+ARBITRAGES!$K122,S121))</f>
        <v>0</v>
      </c>
      <c r="T122" s="360"/>
      <c r="U122" s="360"/>
      <c r="V122" s="360"/>
      <c r="W122" s="360"/>
      <c r="X122" s="360"/>
      <c r="Y122" s="360"/>
      <c r="Z122" s="360"/>
      <c r="AA122" s="360"/>
      <c r="AB122" s="360"/>
      <c r="AC122" s="360"/>
      <c r="AD122" s="360"/>
      <c r="AE122" s="360"/>
      <c r="AF122" s="360"/>
      <c r="AG122" s="360"/>
      <c r="AH122" s="360"/>
    </row>
    <row r="123" ht="18.75" customHeight="1">
      <c r="A123" s="365">
        <f>IF(ARBITRAGES!E123=0,"",ARBITRAGES!E123)</f>
        <v>45877</v>
      </c>
      <c r="B123" s="375">
        <f>IF(A123="","", IF(ARBITRAGES!$H123="BTC",B122-ARBITRAGES!$K123,B122))</f>
        <v>0.2121574188</v>
      </c>
      <c r="C123" s="393">
        <f>IF(B123="","", IF(ARBITRAGES!$H123="eth",C122-ARBITRAGES!$K123,C122))</f>
        <v>1.809204475</v>
      </c>
      <c r="D123" s="376">
        <f>IF(C123="","", IF(ARBITRAGES!$H123="ton",D122+ARBITRAGES!$K123,D122))</f>
        <v>246.4039111</v>
      </c>
      <c r="E123" s="376">
        <f>IF(D123="","", IF(ARBITRAGES!$H123="sol",E122+ARBITRAGES!$K123,E122))</f>
        <v>22.88780558</v>
      </c>
      <c r="F123" s="377">
        <f>IF(E123="","", IF(ARBITRAGES!$H123="tao",F122+ARBITRAGES!$K123,F122))</f>
        <v>11.80561974</v>
      </c>
      <c r="G123" s="378">
        <f>IF(F123="","", IF(ARBITRAGES!$H123="ron",G122+ARBITRAGES!$K123,G122))</f>
        <v>0</v>
      </c>
      <c r="H123" s="378">
        <f>IF(G123="","", IF(ARBITRAGES!$H123="link",H122+ARBITRAGES!$K123,H122))</f>
        <v>100.0797</v>
      </c>
      <c r="I123" s="378">
        <f>IF(H123="","", IF(ARBITRAGES!$H123="doge",I122+ARBITRAGES!$K123,I122))</f>
        <v>4177.58</v>
      </c>
      <c r="J123" s="378">
        <f>IF(I123="","", IF(ARBITRAGES!$H123="shib",J122-ARBITRAGES!$K123,J122))</f>
        <v>20503076</v>
      </c>
      <c r="K123" s="378">
        <f>IF(J123="","", IF(ARBITRAGES!$H123="cake",K122+ARBITRAGES!$K123,K122))</f>
        <v>127.0804432</v>
      </c>
      <c r="L123" s="378">
        <f>IF(K123="","", IF(ARBITRAGES!$H123="JUP",L122+ARBITRAGES!$K123,L122))</f>
        <v>0</v>
      </c>
      <c r="M123" s="376">
        <f>IF(L123="","", IF(ARBITRAGES!$H123="aave",M122+ARBITRAGES!$K123,M122))</f>
        <v>9.141038596</v>
      </c>
      <c r="N123" s="378">
        <f>IF(M123="","", IF(ARBITRAGES!$H123="ckb",N122+ARBITRAGES!$K123,N122))</f>
        <v>0</v>
      </c>
      <c r="O123" s="378">
        <f>IF(N123="","", IF(ARBITRAGES!$H123="pendle",O122+ARBITRAGES!$K123,O122))</f>
        <v>169.7471597</v>
      </c>
      <c r="P123" s="378">
        <f>IF(O123="","", IF(ARBITRAGES!$H123="BOME",P122+ARBITRAGES!$K123,P122))</f>
        <v>0.02891989199</v>
      </c>
      <c r="Q123" s="378">
        <f>IF(P123="","", IF(ARBITRAGES!$H123="PEPE",Q122+ARBITRAGES!$K123,Q122))</f>
        <v>24130000</v>
      </c>
      <c r="R123" s="378">
        <f>IF(Q123="","", IF(ARBITRAGES!$H123="WIF",R122+ARBITRAGES!$K123,R122))</f>
        <v>0</v>
      </c>
      <c r="S123" s="378">
        <f>IF(R123="","", IF(ARBITRAGES!$H123="RAY",S122+ARBITRAGES!$K123,S122))</f>
        <v>0</v>
      </c>
      <c r="T123" s="360"/>
      <c r="U123" s="360"/>
      <c r="V123" s="360"/>
      <c r="W123" s="360"/>
      <c r="X123" s="360"/>
      <c r="Y123" s="360"/>
      <c r="Z123" s="360"/>
      <c r="AA123" s="360"/>
      <c r="AB123" s="360"/>
      <c r="AC123" s="360"/>
      <c r="AD123" s="360"/>
      <c r="AE123" s="360"/>
      <c r="AF123" s="360"/>
      <c r="AG123" s="360"/>
      <c r="AH123" s="360"/>
    </row>
    <row r="124" ht="18.75" customHeight="1">
      <c r="A124" s="365">
        <f>IF(ARBITRAGES!E124=0,"",ARBITRAGES!E124)</f>
        <v>45878</v>
      </c>
      <c r="B124" s="393">
        <f>IF(A124="","", IF(ARBITRAGES!$H124="BTC",B123-ARBITRAGES!$K124,B123))</f>
        <v>0.2001573588</v>
      </c>
      <c r="C124" s="375">
        <f>IF(B124="","", IF(ARBITRAGES!$H124="eth",C123+ARBITRAGES!$K124,C123))</f>
        <v>1.809204475</v>
      </c>
      <c r="D124" s="376">
        <f>IF(C124="","", IF(ARBITRAGES!$H124="ton",D123+ARBITRAGES!$K124,D123))</f>
        <v>246.4039111</v>
      </c>
      <c r="E124" s="376">
        <f>IF(D124="","", IF(ARBITRAGES!$H124="sol",E123+ARBITRAGES!$K124,E123))</f>
        <v>22.88780558</v>
      </c>
      <c r="F124" s="377">
        <f>IF(E124="","", IF(ARBITRAGES!$H124="tao",F123+ARBITRAGES!$K124,F123))</f>
        <v>11.80561974</v>
      </c>
      <c r="G124" s="378">
        <f>IF(F124="","", IF(ARBITRAGES!$H124="ron",G123+ARBITRAGES!$K124,G123))</f>
        <v>0</v>
      </c>
      <c r="H124" s="378">
        <f>IF(G124="","", IF(ARBITRAGES!$H124="link",H123+ARBITRAGES!$K124,H123))</f>
        <v>100.0797</v>
      </c>
      <c r="I124" s="378">
        <f>IF(H124="","", IF(ARBITRAGES!$H124="doge",I123+ARBITRAGES!$K124,I123))</f>
        <v>4177.58</v>
      </c>
      <c r="J124" s="378">
        <f>IF(I124="","", IF(ARBITRAGES!$H124="shib",J123-ARBITRAGES!$K124,J123))</f>
        <v>20503076</v>
      </c>
      <c r="K124" s="378">
        <f>IF(J124="","", IF(ARBITRAGES!$H124="cake",K123+ARBITRAGES!$K124,K123))</f>
        <v>127.0804432</v>
      </c>
      <c r="L124" s="378">
        <f>IF(K124="","", IF(ARBITRAGES!$H124="JUP",L123+ARBITRAGES!$K124,L123))</f>
        <v>0</v>
      </c>
      <c r="M124" s="376">
        <f>IF(L124="","", IF(ARBITRAGES!$H124="aave",M123+ARBITRAGES!$K124,M123))</f>
        <v>9.141038596</v>
      </c>
      <c r="N124" s="378">
        <f>IF(M124="","", IF(ARBITRAGES!$H124="ckb",N123+ARBITRAGES!$K124,N123))</f>
        <v>0</v>
      </c>
      <c r="O124" s="378">
        <f>IF(N124="","", IF(ARBITRAGES!$H124="pendle",O123+ARBITRAGES!$K124,O123))</f>
        <v>169.7471597</v>
      </c>
      <c r="P124" s="378">
        <f>IF(O124="","", IF(ARBITRAGES!$H124="BOME",P123+ARBITRAGES!$K124,P123))</f>
        <v>0.02891989199</v>
      </c>
      <c r="Q124" s="378">
        <f>IF(P124="","", IF(ARBITRAGES!$H124="PEPE",Q123+ARBITRAGES!$K124,Q123))</f>
        <v>24130000</v>
      </c>
      <c r="R124" s="378">
        <f>IF(Q124="","", IF(ARBITRAGES!$H124="WIF",R123+ARBITRAGES!$K124,R123))</f>
        <v>0</v>
      </c>
      <c r="S124" s="378">
        <f>IF(R124="","", IF(ARBITRAGES!$H124="RAY",S123+ARBITRAGES!$K124,S123))</f>
        <v>0</v>
      </c>
      <c r="T124" s="360"/>
      <c r="U124" s="360"/>
      <c r="V124" s="360"/>
      <c r="W124" s="360"/>
      <c r="X124" s="360"/>
      <c r="Y124" s="360"/>
      <c r="Z124" s="360"/>
      <c r="AA124" s="360"/>
      <c r="AB124" s="360"/>
      <c r="AC124" s="360"/>
      <c r="AD124" s="360"/>
      <c r="AE124" s="360"/>
      <c r="AF124" s="360"/>
      <c r="AG124" s="360"/>
      <c r="AH124" s="360"/>
    </row>
    <row r="125" ht="18.75" customHeight="1">
      <c r="A125" s="365">
        <f>IF(ARBITRAGES!E125=0,"",ARBITRAGES!E125)</f>
        <v>45879</v>
      </c>
      <c r="B125" s="393">
        <f>IF(A125="","", IF(ARBITRAGES!$H125="BTC",B124-ARBITRAGES!$K125,B124))</f>
        <v>0.1901573588</v>
      </c>
      <c r="C125" s="375">
        <f>IF(B125="","", IF(ARBITRAGES!$H125="eth",C124+ARBITRAGES!$K125,C124))</f>
        <v>1.809204475</v>
      </c>
      <c r="D125" s="376">
        <f>IF(C125="","", IF(ARBITRAGES!$H125="ton",D124+ARBITRAGES!$K125,D124))</f>
        <v>246.4039111</v>
      </c>
      <c r="E125" s="376">
        <f>IF(D125="","", IF(ARBITRAGES!$H125="sol",E124+ARBITRAGES!$K125,E124))</f>
        <v>22.88780558</v>
      </c>
      <c r="F125" s="377">
        <f>IF(E125="","", IF(ARBITRAGES!$H125="tao",F124+ARBITRAGES!$K125,F124))</f>
        <v>11.80561974</v>
      </c>
      <c r="G125" s="378">
        <f>IF(F125="","", IF(ARBITRAGES!$H125="ron",G124+ARBITRAGES!$K125,G124))</f>
        <v>0</v>
      </c>
      <c r="H125" s="378">
        <f>IF(G125="","", IF(ARBITRAGES!$H125="link",H124+ARBITRAGES!$K125,H124))</f>
        <v>100.0797</v>
      </c>
      <c r="I125" s="378">
        <f>IF(H125="","", IF(ARBITRAGES!$H125="doge",I124+ARBITRAGES!$K125,I124))</f>
        <v>4177.58</v>
      </c>
      <c r="J125" s="378">
        <f>IF(I125="","", IF(ARBITRAGES!$H125="shib",J124-ARBITRAGES!$K125,J124))</f>
        <v>20503076</v>
      </c>
      <c r="K125" s="378">
        <f>IF(J125="","", IF(ARBITRAGES!$H125="cake",K124+ARBITRAGES!$K125,K124))</f>
        <v>127.0804432</v>
      </c>
      <c r="L125" s="378">
        <f>IF(K125="","", IF(ARBITRAGES!$H125="JUP",L124+ARBITRAGES!$K125,L124))</f>
        <v>0</v>
      </c>
      <c r="M125" s="376">
        <f>IF(L125="","", IF(ARBITRAGES!$H125="aave",M124+ARBITRAGES!$K125,M124))</f>
        <v>9.141038596</v>
      </c>
      <c r="N125" s="378">
        <f>IF(M125="","", IF(ARBITRAGES!$H125="ckb",N124+ARBITRAGES!$K125,N124))</f>
        <v>0</v>
      </c>
      <c r="O125" s="378">
        <f>IF(N125="","", IF(ARBITRAGES!$H125="pendle",O124+ARBITRAGES!$K125,O124))</f>
        <v>169.7471597</v>
      </c>
      <c r="P125" s="378">
        <f>IF(O125="","", IF(ARBITRAGES!$H125="BOME",P124+ARBITRAGES!$K125,P124))</f>
        <v>0.02891989199</v>
      </c>
      <c r="Q125" s="378">
        <f>IF(P125="","", IF(ARBITRAGES!$H125="PEPE",Q124+ARBITRAGES!$K125,Q124))</f>
        <v>24130000</v>
      </c>
      <c r="R125" s="378">
        <f>IF(Q125="","", IF(ARBITRAGES!$H125="WIF",R124+ARBITRAGES!$K125,R124))</f>
        <v>0</v>
      </c>
      <c r="S125" s="378">
        <f>IF(R125="","", IF(ARBITRAGES!$H125="RAY",S124+ARBITRAGES!$K125,S124))</f>
        <v>0</v>
      </c>
      <c r="T125" s="360"/>
      <c r="U125" s="360"/>
      <c r="V125" s="360"/>
      <c r="W125" s="360"/>
      <c r="X125" s="360"/>
      <c r="Y125" s="360"/>
      <c r="Z125" s="360"/>
      <c r="AA125" s="360"/>
      <c r="AB125" s="360"/>
      <c r="AC125" s="360"/>
      <c r="AD125" s="360"/>
      <c r="AE125" s="360"/>
      <c r="AF125" s="360"/>
      <c r="AG125" s="360"/>
      <c r="AH125" s="360"/>
    </row>
    <row r="126" ht="18.75" customHeight="1">
      <c r="A126" s="365">
        <f>IF(ARBITRAGES!E126=0,"",ARBITRAGES!E126)</f>
        <v>45880</v>
      </c>
      <c r="B126" s="393">
        <f>IF(A126="","", IF(ARBITRAGES!$H126="BTC",B125-ARBITRAGES!$K126,B125))</f>
        <v>0.1751573588</v>
      </c>
      <c r="C126" s="375">
        <f>IF(B126="","", IF(ARBITRAGES!$H126="eth",C125+ARBITRAGES!$K126,C125))</f>
        <v>1.809204475</v>
      </c>
      <c r="D126" s="376">
        <f>IF(C126="","", IF(ARBITRAGES!$H126="ton",D125+ARBITRAGES!$K126,D125))</f>
        <v>246.4039111</v>
      </c>
      <c r="E126" s="376">
        <f>IF(D126="","", IF(ARBITRAGES!$H126="sol",E125+ARBITRAGES!$K126,E125))</f>
        <v>22.88780558</v>
      </c>
      <c r="F126" s="377">
        <f>IF(E126="","", IF(ARBITRAGES!$H126="tao",F125+ARBITRAGES!$K126,F125))</f>
        <v>11.80561974</v>
      </c>
      <c r="G126" s="378">
        <f>IF(F126="","", IF(ARBITRAGES!$H126="ron",G125+ARBITRAGES!$K126,G125))</f>
        <v>0</v>
      </c>
      <c r="H126" s="378">
        <f>IF(G126="","", IF(ARBITRAGES!$H126="link",H125+ARBITRAGES!$K126,H125))</f>
        <v>100.0797</v>
      </c>
      <c r="I126" s="378">
        <f>IF(H126="","", IF(ARBITRAGES!$H126="doge",I125+ARBITRAGES!$K126,I125))</f>
        <v>4177.58</v>
      </c>
      <c r="J126" s="378">
        <f>IF(I126="","", IF(ARBITRAGES!$H126="shib",J125-ARBITRAGES!$K126,J125))</f>
        <v>20503076</v>
      </c>
      <c r="K126" s="378">
        <f>IF(J126="","", IF(ARBITRAGES!$H126="cake",K125+ARBITRAGES!$K126,K125))</f>
        <v>127.0804432</v>
      </c>
      <c r="L126" s="378">
        <f>IF(K126="","", IF(ARBITRAGES!$H126="JUP",L125+ARBITRAGES!$K126,L125))</f>
        <v>0</v>
      </c>
      <c r="M126" s="376">
        <f>IF(L126="","", IF(ARBITRAGES!$H126="aave",M125+ARBITRAGES!$K126,M125))</f>
        <v>9.141038596</v>
      </c>
      <c r="N126" s="378">
        <f>IF(M126="","", IF(ARBITRAGES!$H126="ckb",N125+ARBITRAGES!$K126,N125))</f>
        <v>0</v>
      </c>
      <c r="O126" s="378">
        <f>IF(N126="","", IF(ARBITRAGES!$H126="pendle",O125+ARBITRAGES!$K126,O125))</f>
        <v>169.7471597</v>
      </c>
      <c r="P126" s="378">
        <f>IF(O126="","", IF(ARBITRAGES!$H126="BOME",P125+ARBITRAGES!$K126,P125))</f>
        <v>0.02891989199</v>
      </c>
      <c r="Q126" s="378">
        <f>IF(P126="","", IF(ARBITRAGES!$H126="PEPE",Q125+ARBITRAGES!$K126,Q125))</f>
        <v>24130000</v>
      </c>
      <c r="R126" s="378">
        <f>IF(Q126="","", IF(ARBITRAGES!$H126="WIF",R125+ARBITRAGES!$K126,R125))</f>
        <v>0</v>
      </c>
      <c r="S126" s="378">
        <f>IF(R126="","", IF(ARBITRAGES!$H126="RAY",S125+ARBITRAGES!$K126,S125))</f>
        <v>0</v>
      </c>
      <c r="T126" s="360"/>
      <c r="U126" s="360"/>
      <c r="V126" s="360"/>
      <c r="W126" s="360"/>
      <c r="X126" s="360"/>
      <c r="Y126" s="360"/>
      <c r="Z126" s="360"/>
      <c r="AA126" s="360"/>
      <c r="AB126" s="360"/>
      <c r="AC126" s="360"/>
      <c r="AD126" s="360"/>
      <c r="AE126" s="360"/>
      <c r="AF126" s="360"/>
      <c r="AG126" s="360"/>
      <c r="AH126" s="360"/>
    </row>
    <row r="127" ht="18.75" customHeight="1">
      <c r="A127" s="365">
        <f>IF(ARBITRAGES!E127=0,"",ARBITRAGES!E127)</f>
        <v>45880</v>
      </c>
      <c r="B127" s="374">
        <f>IF(A127="","", IF(ARBITRAGES!$H127="BTC",B126+ARBITRAGES!$K127,B126))</f>
        <v>0.1766573588</v>
      </c>
      <c r="C127" s="375">
        <f>IF(B127="","", IF(ARBITRAGES!$H127="eth",C126+ARBITRAGES!$K127,C126))</f>
        <v>1.809204475</v>
      </c>
      <c r="D127" s="376">
        <f>IF(C127="","", IF(ARBITRAGES!$H127="ton",D126+ARBITRAGES!$K127,D126))</f>
        <v>246.4039111</v>
      </c>
      <c r="E127" s="376">
        <f>IF(D127="","", IF(ARBITRAGES!$H127="sol",E126+ARBITRAGES!$K127,E126))</f>
        <v>22.88780558</v>
      </c>
      <c r="F127" s="377">
        <f>IF(E127="","", IF(ARBITRAGES!$H127="tao",F126+ARBITRAGES!$K127,F126))</f>
        <v>11.80561974</v>
      </c>
      <c r="G127" s="378">
        <f>IF(F127="","", IF(ARBITRAGES!$H127="ron",G126+ARBITRAGES!$K127,G126))</f>
        <v>0</v>
      </c>
      <c r="H127" s="378">
        <f>IF(G127="","", IF(ARBITRAGES!$H127="link",H126+ARBITRAGES!$K127,H126))</f>
        <v>100.0797</v>
      </c>
      <c r="I127" s="378">
        <f>IF(H127="","", IF(ARBITRAGES!$H127="doge",I126+ARBITRAGES!$K127,I126))</f>
        <v>4177.58</v>
      </c>
      <c r="J127" s="378">
        <f>IF(I127="","", IF(ARBITRAGES!$H127="shib",J126-ARBITRAGES!$K127,J126))</f>
        <v>20503076</v>
      </c>
      <c r="K127" s="378">
        <f>IF(J127="","", IF(ARBITRAGES!$H127="cake",K126+ARBITRAGES!$K127,K126))</f>
        <v>127.0804432</v>
      </c>
      <c r="L127" s="378">
        <f>IF(K127="","", IF(ARBITRAGES!$H127="JUP",L126+ARBITRAGES!$K127,L126))</f>
        <v>0</v>
      </c>
      <c r="M127" s="376">
        <f>IF(L127="","", IF(ARBITRAGES!$H127="aave",M126+ARBITRAGES!$K127,M126))</f>
        <v>9.141038596</v>
      </c>
      <c r="N127" s="378">
        <f>IF(M127="","", IF(ARBITRAGES!$H127="ckb",N126+ARBITRAGES!$K127,N126))</f>
        <v>0</v>
      </c>
      <c r="O127" s="378">
        <f>IF(N127="","", IF(ARBITRAGES!$H127="pendle",O126+ARBITRAGES!$K127,O126))</f>
        <v>169.7471597</v>
      </c>
      <c r="P127" s="378">
        <f>IF(O127="","", IF(ARBITRAGES!$H127="BOME",P126+ARBITRAGES!$K127,P126))</f>
        <v>0.02891989199</v>
      </c>
      <c r="Q127" s="378">
        <f>IF(P127="","", IF(ARBITRAGES!$H127="PEPE",Q126+ARBITRAGES!$K127,Q126))</f>
        <v>24130000</v>
      </c>
      <c r="R127" s="378">
        <f>IF(Q127="","", IF(ARBITRAGES!$H127="WIF",R126+ARBITRAGES!$K127,R126))</f>
        <v>0</v>
      </c>
      <c r="S127" s="378">
        <f>IF(R127="","", IF(ARBITRAGES!$H127="RAY",S126+ARBITRAGES!$K127,S126))</f>
        <v>0</v>
      </c>
      <c r="T127" s="360"/>
      <c r="U127" s="360"/>
      <c r="V127" s="360"/>
      <c r="W127" s="360"/>
      <c r="X127" s="360"/>
      <c r="Y127" s="360"/>
      <c r="Z127" s="360"/>
      <c r="AA127" s="360"/>
      <c r="AB127" s="360"/>
      <c r="AC127" s="360"/>
      <c r="AD127" s="360"/>
      <c r="AE127" s="360"/>
      <c r="AF127" s="360"/>
      <c r="AG127" s="360"/>
      <c r="AH127" s="360"/>
    </row>
    <row r="128" ht="18.75" customHeight="1">
      <c r="A128" s="365">
        <f>IF(ARBITRAGES!E128=0,"",ARBITRAGES!E128)</f>
        <v>45880</v>
      </c>
      <c r="B128" s="374">
        <f>IF(A128="","", IF(ARBITRAGES!$H128="BTC",B127+ARBITRAGES!$K128,B127))</f>
        <v>0.1816579446</v>
      </c>
      <c r="C128" s="375">
        <f>IF(B128="","", IF(ARBITRAGES!$H128="eth",C127+ARBITRAGES!$K128,C127))</f>
        <v>1.809204475</v>
      </c>
      <c r="D128" s="376">
        <f>IF(C128="","", IF(ARBITRAGES!$H128="ton",D127+ARBITRAGES!$K128,D127))</f>
        <v>246.4039111</v>
      </c>
      <c r="E128" s="376">
        <f>IF(D128="","", IF(ARBITRAGES!$H128="sol",E127+ARBITRAGES!$K128,E127))</f>
        <v>22.88780558</v>
      </c>
      <c r="F128" s="377">
        <f>IF(E128="","", IF(ARBITRAGES!$H128="tao",F127+ARBITRAGES!$K128,F127))</f>
        <v>11.80561974</v>
      </c>
      <c r="G128" s="378">
        <f>IF(F128="","", IF(ARBITRAGES!$H128="ron",G127+ARBITRAGES!$K128,G127))</f>
        <v>0</v>
      </c>
      <c r="H128" s="378">
        <f>IF(G128="","", IF(ARBITRAGES!$H128="link",H127+ARBITRAGES!$K128,H127))</f>
        <v>100.0797</v>
      </c>
      <c r="I128" s="378">
        <f>IF(H128="","", IF(ARBITRAGES!$H128="doge",I127+ARBITRAGES!$K128,I127))</f>
        <v>4177.58</v>
      </c>
      <c r="J128" s="378">
        <f>IF(I128="","", IF(ARBITRAGES!$H128="shib",J127-ARBITRAGES!$K128,J127))</f>
        <v>20503076</v>
      </c>
      <c r="K128" s="378">
        <f>IF(J128="","", IF(ARBITRAGES!$H128="cake",K127+ARBITRAGES!$K128,K127))</f>
        <v>127.0804432</v>
      </c>
      <c r="L128" s="378">
        <f>IF(K128="","", IF(ARBITRAGES!$H128="JUP",L127+ARBITRAGES!$K128,L127))</f>
        <v>0</v>
      </c>
      <c r="M128" s="376">
        <f>IF(L128="","", IF(ARBITRAGES!$H128="aave",M127+ARBITRAGES!$K128,M127))</f>
        <v>9.141038596</v>
      </c>
      <c r="N128" s="378">
        <f>IF(M128="","", IF(ARBITRAGES!$H128="ckb",N127+ARBITRAGES!$K128,N127))</f>
        <v>0</v>
      </c>
      <c r="O128" s="378">
        <f>IF(N128="","", IF(ARBITRAGES!$H128="pendle",O127+ARBITRAGES!$K128,O127))</f>
        <v>169.7471597</v>
      </c>
      <c r="P128" s="378">
        <f>IF(O128="","", IF(ARBITRAGES!$H128="BOME",P127+ARBITRAGES!$K128,P127))</f>
        <v>0.02891989199</v>
      </c>
      <c r="Q128" s="378">
        <f>IF(P128="","", IF(ARBITRAGES!$H128="PEPE",Q127+ARBITRAGES!$K128,Q127))</f>
        <v>24130000</v>
      </c>
      <c r="R128" s="378">
        <f>IF(Q128="","", IF(ARBITRAGES!$H128="WIF",R127+ARBITRAGES!$K128,R127))</f>
        <v>0</v>
      </c>
      <c r="S128" s="378">
        <f>IF(R128="","", IF(ARBITRAGES!$H128="RAY",S127+ARBITRAGES!$K128,S127))</f>
        <v>0</v>
      </c>
      <c r="T128" s="360"/>
      <c r="U128" s="360"/>
      <c r="V128" s="360"/>
      <c r="W128" s="360"/>
      <c r="X128" s="360"/>
      <c r="Y128" s="360"/>
      <c r="Z128" s="360"/>
      <c r="AA128" s="360"/>
      <c r="AB128" s="360"/>
      <c r="AC128" s="360"/>
      <c r="AD128" s="360"/>
      <c r="AE128" s="360"/>
      <c r="AF128" s="360"/>
      <c r="AG128" s="360"/>
      <c r="AH128" s="360"/>
    </row>
    <row r="129" ht="18.75" customHeight="1">
      <c r="A129" s="365">
        <f>IF(ARBITRAGES!E129=0,"",ARBITRAGES!E129)</f>
        <v>45881</v>
      </c>
      <c r="B129" s="374">
        <f>IF(A129="","", IF(ARBITRAGES!$H129="BTC",B128+ARBITRAGES!$K129,B128))</f>
        <v>0.185405313</v>
      </c>
      <c r="C129" s="375">
        <f>IF(B129="","", IF(ARBITRAGES!$H129="eth",C128+ARBITRAGES!$K129,C128))</f>
        <v>1.809204475</v>
      </c>
      <c r="D129" s="376">
        <f>IF(C129="","", IF(ARBITRAGES!$H129="ton",D128+ARBITRAGES!$K129,D128))</f>
        <v>246.4039111</v>
      </c>
      <c r="E129" s="376">
        <f>IF(D129="","", IF(ARBITRAGES!$H129="sol",E128+ARBITRAGES!$K129,E128))</f>
        <v>22.88780558</v>
      </c>
      <c r="F129" s="377">
        <f>IF(E129="","", IF(ARBITRAGES!$H129="tao",F128+ARBITRAGES!$K129,F128))</f>
        <v>11.80561974</v>
      </c>
      <c r="G129" s="378">
        <f>IF(F129="","", IF(ARBITRAGES!$H129="ron",G128+ARBITRAGES!$K129,G128))</f>
        <v>0</v>
      </c>
      <c r="H129" s="378">
        <f>IF(G129="","", IF(ARBITRAGES!$H129="link",H128+ARBITRAGES!$K129,H128))</f>
        <v>100.0797</v>
      </c>
      <c r="I129" s="378">
        <f>IF(H129="","", IF(ARBITRAGES!$H129="doge",I128+ARBITRAGES!$K129,I128))</f>
        <v>4177.58</v>
      </c>
      <c r="J129" s="378">
        <f>IF(I129="","", IF(ARBITRAGES!$H129="shib",J128-ARBITRAGES!$K129,J128))</f>
        <v>20503076</v>
      </c>
      <c r="K129" s="378">
        <f>IF(J129="","", IF(ARBITRAGES!$H129="cake",K128+ARBITRAGES!$K129,K128))</f>
        <v>127.0804432</v>
      </c>
      <c r="L129" s="378">
        <f>IF(K129="","", IF(ARBITRAGES!$H129="JUP",L128+ARBITRAGES!$K129,L128))</f>
        <v>0</v>
      </c>
      <c r="M129" s="376">
        <f>IF(L129="","", IF(ARBITRAGES!$H129="aave",M128+ARBITRAGES!$K129,M128))</f>
        <v>9.141038596</v>
      </c>
      <c r="N129" s="378">
        <f>IF(M129="","", IF(ARBITRAGES!$H129="ckb",N128+ARBITRAGES!$K129,N128))</f>
        <v>0</v>
      </c>
      <c r="O129" s="378">
        <f>IF(N129="","", IF(ARBITRAGES!$H129="pendle",O128+ARBITRAGES!$K129,O128))</f>
        <v>169.7471597</v>
      </c>
      <c r="P129" s="378">
        <f>IF(O129="","", IF(ARBITRAGES!$H129="BOME",P128+ARBITRAGES!$K129,P128))</f>
        <v>0.02891989199</v>
      </c>
      <c r="Q129" s="378">
        <f>IF(P129="","", IF(ARBITRAGES!$H129="PEPE",Q128+ARBITRAGES!$K129,Q128))</f>
        <v>24130000</v>
      </c>
      <c r="R129" s="378">
        <f>IF(Q129="","", IF(ARBITRAGES!$H129="WIF",R128+ARBITRAGES!$K129,R128))</f>
        <v>0</v>
      </c>
      <c r="S129" s="378">
        <f>IF(R129="","", IF(ARBITRAGES!$H129="RAY",S128+ARBITRAGES!$K129,S128))</f>
        <v>0</v>
      </c>
      <c r="T129" s="360"/>
      <c r="U129" s="360"/>
      <c r="V129" s="360"/>
      <c r="W129" s="360"/>
      <c r="X129" s="360"/>
      <c r="Y129" s="360"/>
      <c r="Z129" s="360"/>
      <c r="AA129" s="360"/>
      <c r="AB129" s="360"/>
      <c r="AC129" s="360"/>
      <c r="AD129" s="360"/>
      <c r="AE129" s="360"/>
      <c r="AF129" s="360"/>
      <c r="AG129" s="360"/>
      <c r="AH129" s="360"/>
    </row>
    <row r="130" ht="18.75" customHeight="1">
      <c r="A130" s="365">
        <f>IF(ARBITRAGES!E130=0,"",ARBITRAGES!E130)</f>
        <v>45882</v>
      </c>
      <c r="B130" s="375">
        <f>IF(A130="","", IF(ARBITRAGES!$H130="BTC",B129+ARBITRAGES!$K130,B129))</f>
        <v>0.185405313</v>
      </c>
      <c r="C130" s="393">
        <f>IF(B130="","", IF(ARBITRAGES!$H130="eth",C129-ARBITRAGES!$K130,C129))</f>
        <v>1.599204475</v>
      </c>
      <c r="D130" s="376">
        <f>IF(C130="","", IF(ARBITRAGES!$H130="ton",D129+ARBITRAGES!$K130,D129))</f>
        <v>246.4039111</v>
      </c>
      <c r="E130" s="376">
        <f>IF(D130="","", IF(ARBITRAGES!$H130="sol",E129+ARBITRAGES!$K130,E129))</f>
        <v>22.88780558</v>
      </c>
      <c r="F130" s="377">
        <f>IF(E130="","", IF(ARBITRAGES!$H130="tao",F129+ARBITRAGES!$K130,F129))</f>
        <v>11.80561974</v>
      </c>
      <c r="G130" s="378">
        <f>IF(F130="","", IF(ARBITRAGES!$H130="ron",G129+ARBITRAGES!$K130,G129))</f>
        <v>0</v>
      </c>
      <c r="H130" s="378">
        <f>IF(G130="","", IF(ARBITRAGES!$H130="link",H129+ARBITRAGES!$K130,H129))</f>
        <v>100.0797</v>
      </c>
      <c r="I130" s="378">
        <f>IF(H130="","", IF(ARBITRAGES!$H130="doge",I129+ARBITRAGES!$K130,I129))</f>
        <v>4177.58</v>
      </c>
      <c r="J130" s="378">
        <f>IF(I130="","", IF(ARBITRAGES!$H130="shib",J129-ARBITRAGES!$K130,J129))</f>
        <v>20503076</v>
      </c>
      <c r="K130" s="378">
        <f>IF(J130="","", IF(ARBITRAGES!$H130="cake",K129+ARBITRAGES!$K130,K129))</f>
        <v>127.0804432</v>
      </c>
      <c r="L130" s="378">
        <f>IF(K130="","", IF(ARBITRAGES!$H130="JUP",L129+ARBITRAGES!$K130,L129))</f>
        <v>0</v>
      </c>
      <c r="M130" s="376">
        <f>IF(L130="","", IF(ARBITRAGES!$H130="aave",M129+ARBITRAGES!$K130,M129))</f>
        <v>9.141038596</v>
      </c>
      <c r="N130" s="378">
        <f>IF(M130="","", IF(ARBITRAGES!$H130="ckb",N129+ARBITRAGES!$K130,N129))</f>
        <v>0</v>
      </c>
      <c r="O130" s="378">
        <f>IF(N130="","", IF(ARBITRAGES!$H130="pendle",O129+ARBITRAGES!$K130,O129))</f>
        <v>169.7471597</v>
      </c>
      <c r="P130" s="378">
        <f>IF(O130="","", IF(ARBITRAGES!$H130="BOME",P129+ARBITRAGES!$K130,P129))</f>
        <v>0.02891989199</v>
      </c>
      <c r="Q130" s="378">
        <f>IF(P130="","", IF(ARBITRAGES!$H130="PEPE",Q129+ARBITRAGES!$K130,Q129))</f>
        <v>24130000</v>
      </c>
      <c r="R130" s="378">
        <f>IF(Q130="","", IF(ARBITRAGES!$H130="WIF",R129+ARBITRAGES!$K130,R129))</f>
        <v>0</v>
      </c>
      <c r="S130" s="378">
        <f>IF(R130="","", IF(ARBITRAGES!$H130="RAY",S129+ARBITRAGES!$K130,S129))</f>
        <v>0</v>
      </c>
      <c r="T130" s="360"/>
      <c r="U130" s="360"/>
      <c r="V130" s="360"/>
      <c r="W130" s="360"/>
      <c r="X130" s="360"/>
      <c r="Y130" s="360"/>
      <c r="Z130" s="360"/>
      <c r="AA130" s="360"/>
      <c r="AB130" s="360"/>
      <c r="AC130" s="360"/>
      <c r="AD130" s="360"/>
      <c r="AE130" s="360"/>
      <c r="AF130" s="360"/>
      <c r="AG130" s="360"/>
      <c r="AH130" s="360"/>
    </row>
    <row r="131" ht="18.75" customHeight="1">
      <c r="A131" s="365">
        <f>IF(ARBITRAGES!E131=0,"",ARBITRAGES!E131)</f>
        <v>45882</v>
      </c>
      <c r="B131" s="375">
        <f>IF(A131="","", IF(ARBITRAGES!$H131="BTC",B130+ARBITRAGES!$K131,B130))</f>
        <v>0.185405313</v>
      </c>
      <c r="C131" s="375">
        <f>IF(B131="","", IF(ARBITRAGES!$H131="eth",C130+ARBITRAGES!$K131,C130))</f>
        <v>1.599204475</v>
      </c>
      <c r="D131" s="376">
        <f>IF(C131="","", IF(ARBITRAGES!$H131="ton",D130+ARBITRAGES!$K131,D130))</f>
        <v>246.4039111</v>
      </c>
      <c r="E131" s="392">
        <f>IF(D131="","", IF(ARBITRAGES!$H131="sol",E130-ARBITRAGES!$K131+0.03,E130))</f>
        <v>21.05780558</v>
      </c>
      <c r="F131" s="377">
        <f>IF(E131="","", IF(ARBITRAGES!$H131="tao",F130+ARBITRAGES!$K131,F130))</f>
        <v>11.80561974</v>
      </c>
      <c r="G131" s="378">
        <f>IF(F131="","", IF(ARBITRAGES!$H131="ron",G130+ARBITRAGES!$K131,G130))</f>
        <v>0</v>
      </c>
      <c r="H131" s="378">
        <f>IF(G131="","", IF(ARBITRAGES!$H131="link",H130+ARBITRAGES!$K131,H130))</f>
        <v>100.0797</v>
      </c>
      <c r="I131" s="378">
        <f>IF(H131="","", IF(ARBITRAGES!$H131="doge",I130+ARBITRAGES!$K131,I130))</f>
        <v>4177.58</v>
      </c>
      <c r="J131" s="378">
        <f>IF(I131="","", IF(ARBITRAGES!$H131="shib",J130-ARBITRAGES!$K131,J130))</f>
        <v>20503076</v>
      </c>
      <c r="K131" s="378">
        <f>IF(J131="","", IF(ARBITRAGES!$H131="cake",K130+ARBITRAGES!$K131,K130))</f>
        <v>127.0804432</v>
      </c>
      <c r="L131" s="378">
        <f>IF(K131="","", IF(ARBITRAGES!$H131="JUP",L130+ARBITRAGES!$K131,L130))</f>
        <v>0</v>
      </c>
      <c r="M131" s="376">
        <f>IF(L131="","", IF(ARBITRAGES!$H131="aave",M130+ARBITRAGES!$K131,M130))</f>
        <v>9.141038596</v>
      </c>
      <c r="N131" s="378">
        <f>IF(M131="","", IF(ARBITRAGES!$H131="ckb",N130+ARBITRAGES!$K131,N130))</f>
        <v>0</v>
      </c>
      <c r="O131" s="378">
        <f>IF(N131="","", IF(ARBITRAGES!$H131="pendle",O130+ARBITRAGES!$K131,O130))</f>
        <v>169.7471597</v>
      </c>
      <c r="P131" s="378">
        <f>IF(O131="","", IF(ARBITRAGES!$H131="BOME",P130+ARBITRAGES!$K131,P130))</f>
        <v>0.02891989199</v>
      </c>
      <c r="Q131" s="378">
        <f>IF(P131="","", IF(ARBITRAGES!$H131="PEPE",Q130+ARBITRAGES!$K131,Q130))</f>
        <v>24130000</v>
      </c>
      <c r="R131" s="378">
        <f>IF(Q131="","", IF(ARBITRAGES!$H131="WIF",R130+ARBITRAGES!$K131,R130))</f>
        <v>0</v>
      </c>
      <c r="S131" s="378">
        <f>IF(R131="","", IF(ARBITRAGES!$H131="RAY",S130+ARBITRAGES!$K131,S130))</f>
        <v>0</v>
      </c>
      <c r="T131" s="360"/>
      <c r="U131" s="360"/>
      <c r="V131" s="360"/>
      <c r="W131" s="360"/>
      <c r="X131" s="360"/>
      <c r="Y131" s="360"/>
      <c r="Z131" s="360"/>
      <c r="AA131" s="360"/>
      <c r="AB131" s="360"/>
      <c r="AC131" s="360"/>
      <c r="AD131" s="360"/>
      <c r="AE131" s="360"/>
      <c r="AF131" s="360"/>
      <c r="AG131" s="360"/>
      <c r="AH131" s="360"/>
    </row>
    <row r="132" ht="18.75" customHeight="1">
      <c r="A132" s="365">
        <f>IF(ARBITRAGES!E132=0,"",ARBITRAGES!E132)</f>
        <v>45882</v>
      </c>
      <c r="B132" s="375">
        <f>IF(A132="","", IF(ARBITRAGES!$H132="BTC",B131+ARBITRAGES!$K132,B131))</f>
        <v>0.185405313</v>
      </c>
      <c r="C132" s="393">
        <f>IF(B132="","", IF(ARBITRAGES!$H132="eth",C131-ARBITRAGES!$K132+0.0023,C131))</f>
        <v>1.501497995</v>
      </c>
      <c r="D132" s="376">
        <f>IF(C132="","", IF(ARBITRAGES!$H132="ton",D131+ARBITRAGES!$K132,D131))</f>
        <v>246.4039111</v>
      </c>
      <c r="E132" s="376">
        <f>IF(D132="","", IF(ARBITRAGES!$H132="sol",E131+ARBITRAGES!$K132,E131))</f>
        <v>21.05780558</v>
      </c>
      <c r="F132" s="377">
        <f>IF(E132="","", IF(ARBITRAGES!$H132="tao",F131+ARBITRAGES!$K132,F131))</f>
        <v>11.80561974</v>
      </c>
      <c r="G132" s="378">
        <f>IF(F132="","", IF(ARBITRAGES!$H132="ron",G131+ARBITRAGES!$K132,G131))</f>
        <v>0</v>
      </c>
      <c r="H132" s="378">
        <f>IF(G132="","", IF(ARBITRAGES!$H132="link",H131+ARBITRAGES!$K132,H131))</f>
        <v>100.0797</v>
      </c>
      <c r="I132" s="378">
        <f>IF(H132="","", IF(ARBITRAGES!$H132="doge",I131+ARBITRAGES!$K132,I131))</f>
        <v>4177.58</v>
      </c>
      <c r="J132" s="378">
        <f>IF(I132="","", IF(ARBITRAGES!$H132="shib",J131-ARBITRAGES!$K132,J131))</f>
        <v>20503076</v>
      </c>
      <c r="K132" s="378">
        <f>IF(J132="","", IF(ARBITRAGES!$H132="cake",K131+ARBITRAGES!$K132,K131))</f>
        <v>127.0804432</v>
      </c>
      <c r="L132" s="378">
        <f>IF(K132="","", IF(ARBITRAGES!$H132="JUP",L131+ARBITRAGES!$K132,L131))</f>
        <v>0</v>
      </c>
      <c r="M132" s="376">
        <f>IF(L132="","", IF(ARBITRAGES!$H132="aave",M131+ARBITRAGES!$K132,M131))</f>
        <v>9.141038596</v>
      </c>
      <c r="N132" s="378">
        <f>IF(M132="","", IF(ARBITRAGES!$H132="ckb",N131+ARBITRAGES!$K132,N131))</f>
        <v>0</v>
      </c>
      <c r="O132" s="378">
        <f>IF(N132="","", IF(ARBITRAGES!$H132="pendle",O131+ARBITRAGES!$K132,O131))</f>
        <v>169.7471597</v>
      </c>
      <c r="P132" s="378">
        <f>IF(O132="","", IF(ARBITRAGES!$H132="BOME",P131+ARBITRAGES!$K132,P131))</f>
        <v>0.02891989199</v>
      </c>
      <c r="Q132" s="378">
        <f>IF(P132="","", IF(ARBITRAGES!$H132="PEPE",Q131+ARBITRAGES!$K132,Q131))</f>
        <v>24130000</v>
      </c>
      <c r="R132" s="378">
        <f>IF(Q132="","", IF(ARBITRAGES!$H132="WIF",R131+ARBITRAGES!$K132,R131))</f>
        <v>0</v>
      </c>
      <c r="S132" s="378">
        <f>IF(R132="","", IF(ARBITRAGES!$H132="RAY",S131+ARBITRAGES!$K132,S131))</f>
        <v>0</v>
      </c>
      <c r="T132" s="360"/>
      <c r="U132" s="360"/>
      <c r="V132" s="360"/>
      <c r="W132" s="360"/>
      <c r="X132" s="360"/>
      <c r="Y132" s="360"/>
      <c r="Z132" s="360"/>
      <c r="AA132" s="360"/>
      <c r="AB132" s="360"/>
      <c r="AC132" s="360"/>
      <c r="AD132" s="360"/>
      <c r="AE132" s="360"/>
      <c r="AF132" s="360"/>
      <c r="AG132" s="360"/>
      <c r="AH132" s="360"/>
    </row>
    <row r="133" ht="18.75" customHeight="1">
      <c r="A133" s="365">
        <f>IF(ARBITRAGES!E133=0,"",ARBITRAGES!E133)</f>
        <v>45883</v>
      </c>
      <c r="B133" s="375">
        <f>IF(A133="","", IF(ARBITRAGES!$H133="BTC",B132+ARBITRAGES!$K133,B132))</f>
        <v>0.185405313</v>
      </c>
      <c r="C133" s="375">
        <f>IF(B133="","", IF(ARBITRAGES!$H133="eth",C132+ARBITRAGES!$K133,C132))</f>
        <v>1.501497995</v>
      </c>
      <c r="D133" s="376">
        <f>IF(C133="","", IF(ARBITRAGES!$H133="ton",D132+ARBITRAGES!$K133,D132))</f>
        <v>246.4039111</v>
      </c>
      <c r="E133" s="376">
        <f>IF(D133="","", IF(ARBITRAGES!$H133="sol",E132+ARBITRAGES!$K133,E132))</f>
        <v>21.05780558</v>
      </c>
      <c r="F133" s="377">
        <f>IF(E133="","", IF(ARBITRAGES!$H133="tao",F132+ARBITRAGES!$K133,F132))</f>
        <v>11.80561974</v>
      </c>
      <c r="G133" s="378">
        <f>IF(F133="","", IF(ARBITRAGES!$H133="ron",G132+ARBITRAGES!$K133,G132))</f>
        <v>0</v>
      </c>
      <c r="H133" s="378">
        <f>IF(G133="","", IF(ARBITRAGES!$H133="link",H132+ARBITRAGES!$K133,H132))</f>
        <v>100.0797</v>
      </c>
      <c r="I133" s="378">
        <f>IF(H133="","", IF(ARBITRAGES!$H133="doge",I132+ARBITRAGES!$K133,I132))</f>
        <v>4177.58</v>
      </c>
      <c r="J133" s="378">
        <f>IF(I133="","", IF(ARBITRAGES!$H133="shib",J132-ARBITRAGES!$K133,J132))</f>
        <v>20503076</v>
      </c>
      <c r="K133" s="378">
        <f>IF(J133="","", IF(ARBITRAGES!$H133="cake",K132+ARBITRAGES!$K133,K132))</f>
        <v>127.0804432</v>
      </c>
      <c r="L133" s="378">
        <f>IF(K133="","", IF(ARBITRAGES!$H133="JUP",L132+ARBITRAGES!$K133,L132))</f>
        <v>0</v>
      </c>
      <c r="M133" s="392">
        <f>IF(L133="","", IF(ARBITRAGES!$H133="aave",M132-ARBITRAGES!$K133,M132))</f>
        <v>8.001038596</v>
      </c>
      <c r="N133" s="378">
        <f>IF(M133="","", IF(ARBITRAGES!$H133="ckb",N132+ARBITRAGES!$K133,N132))</f>
        <v>0</v>
      </c>
      <c r="O133" s="378">
        <f>IF(N133="","", IF(ARBITRAGES!$H133="pendle",O132+ARBITRAGES!$K133,O132))</f>
        <v>169.7471597</v>
      </c>
      <c r="P133" s="378">
        <f>IF(O133="","", IF(ARBITRAGES!$H133="BOME",P132+ARBITRAGES!$K133,P132))</f>
        <v>0.02891989199</v>
      </c>
      <c r="Q133" s="378">
        <f>IF(P133="","", IF(ARBITRAGES!$H133="PEPE",Q132+ARBITRAGES!$K133,Q132))</f>
        <v>24130000</v>
      </c>
      <c r="R133" s="378">
        <f>IF(Q133="","", IF(ARBITRAGES!$H133="WIF",R132+ARBITRAGES!$K133,R132))</f>
        <v>0</v>
      </c>
      <c r="S133" s="378">
        <f>IF(R133="","", IF(ARBITRAGES!$H133="RAY",S132+ARBITRAGES!$K133,S132))</f>
        <v>0</v>
      </c>
      <c r="T133" s="360"/>
      <c r="U133" s="360"/>
      <c r="V133" s="360"/>
      <c r="W133" s="360"/>
      <c r="X133" s="360"/>
      <c r="Y133" s="360"/>
      <c r="Z133" s="360"/>
      <c r="AA133" s="360"/>
      <c r="AB133" s="360"/>
      <c r="AC133" s="360"/>
      <c r="AD133" s="360"/>
      <c r="AE133" s="360"/>
      <c r="AF133" s="360"/>
      <c r="AG133" s="360"/>
      <c r="AH133" s="360"/>
    </row>
    <row r="134" ht="18.75" customHeight="1">
      <c r="A134" s="365">
        <f>IF(ARBITRAGES!E134=0,"",ARBITRAGES!E134)</f>
        <v>45886</v>
      </c>
      <c r="B134" s="375">
        <f>IF(A134="","", IF(ARBITRAGES!$H134="BTC",B133+ARBITRAGES!$K134,B133))</f>
        <v>0.185405313</v>
      </c>
      <c r="C134" s="375">
        <f>IF(B134="","", IF(ARBITRAGES!$H134="eth",C133+ARBITRAGES!$K134,C133))</f>
        <v>1.501497995</v>
      </c>
      <c r="D134" s="376">
        <f>IF(C134="","", IF(ARBITRAGES!$H134="ton",D133+ARBITRAGES!$K134,D133))</f>
        <v>246.4039111</v>
      </c>
      <c r="E134" s="376">
        <f>IF(D134="","", IF(ARBITRAGES!$H134="sol",E133+ARBITRAGES!$K134,E133))</f>
        <v>21.05780558</v>
      </c>
      <c r="F134" s="377">
        <f>IF(E134="","", IF(ARBITRAGES!$H134="tao",F133+ARBITRAGES!$K134,F133))</f>
        <v>11.80561974</v>
      </c>
      <c r="G134" s="378">
        <f>IF(F134="","", IF(ARBITRAGES!$H134="ron",G133+ARBITRAGES!$K134,G133))</f>
        <v>0</v>
      </c>
      <c r="H134" s="394">
        <f>IF(G134="","", IF(ARBITRAGES!$H134="link",H133-ARBITRAGES!$K134,H133))</f>
        <v>90.0797</v>
      </c>
      <c r="I134" s="378">
        <f>IF(H134="","", IF(ARBITRAGES!$H134="doge",I133+ARBITRAGES!$K134,I133))</f>
        <v>4177.58</v>
      </c>
      <c r="J134" s="378">
        <f>IF(I134="","", IF(ARBITRAGES!$H134="shib",J133-ARBITRAGES!$K134,J133))</f>
        <v>20503076</v>
      </c>
      <c r="K134" s="378">
        <f>IF(J134="","", IF(ARBITRAGES!$H134="cake",K133+ARBITRAGES!$K134,K133))</f>
        <v>127.0804432</v>
      </c>
      <c r="L134" s="378">
        <f>IF(K134="","", IF(ARBITRAGES!$H134="JUP",L133+ARBITRAGES!$K134,L133))</f>
        <v>0</v>
      </c>
      <c r="M134" s="376">
        <f>IF(L134="","", IF(ARBITRAGES!$H134="aave",M133+ARBITRAGES!$K134,M133))</f>
        <v>8.001038596</v>
      </c>
      <c r="N134" s="378">
        <f>IF(M134="","", IF(ARBITRAGES!$H134="ckb",N133+ARBITRAGES!$K134,N133))</f>
        <v>0</v>
      </c>
      <c r="O134" s="378">
        <f>IF(N134="","", IF(ARBITRAGES!$H134="pendle",O133+ARBITRAGES!$K134,O133))</f>
        <v>169.7471597</v>
      </c>
      <c r="P134" s="378">
        <f>IF(O134="","", IF(ARBITRAGES!$H134="BOME",P133+ARBITRAGES!$K134,P133))</f>
        <v>0.02891989199</v>
      </c>
      <c r="Q134" s="378">
        <f>IF(P134="","", IF(ARBITRAGES!$H134="PEPE",Q133+ARBITRAGES!$K134,Q133))</f>
        <v>24130000</v>
      </c>
      <c r="R134" s="378">
        <f>IF(Q134="","", IF(ARBITRAGES!$H134="WIF",R133+ARBITRAGES!$K134,R133))</f>
        <v>0</v>
      </c>
      <c r="S134" s="378">
        <f>IF(R134="","", IF(ARBITRAGES!$H134="RAY",S133+ARBITRAGES!$K134,S133))</f>
        <v>0</v>
      </c>
      <c r="T134" s="360"/>
      <c r="U134" s="360"/>
      <c r="V134" s="360"/>
      <c r="W134" s="360"/>
      <c r="X134" s="360"/>
      <c r="Y134" s="360"/>
      <c r="Z134" s="360"/>
      <c r="AA134" s="360"/>
      <c r="AB134" s="360"/>
      <c r="AC134" s="360"/>
      <c r="AD134" s="360"/>
      <c r="AE134" s="360"/>
      <c r="AF134" s="360"/>
      <c r="AG134" s="360"/>
      <c r="AH134" s="360"/>
    </row>
    <row r="135" ht="18.75" customHeight="1">
      <c r="A135" s="365">
        <f>IF(ARBITRAGES!E135=0,"",ARBITRAGES!E135)</f>
        <v>45887</v>
      </c>
      <c r="B135" s="375">
        <f>IF(A135="","", IF(ARBITRAGES!$H135="BTC",B134+ARBITRAGES!$K135,B134))</f>
        <v>0.185405313</v>
      </c>
      <c r="C135" s="374">
        <f>IF(B135="","", IF(ARBITRAGES!$H135="eth",C134+ARBITRAGES!$K135,C134))</f>
        <v>1.571497995</v>
      </c>
      <c r="D135" s="376">
        <f>IF(C135="","", IF(ARBITRAGES!$H135="ton",D134+ARBITRAGES!$K135,D134))</f>
        <v>246.4039111</v>
      </c>
      <c r="E135" s="376">
        <f>IF(D135="","", IF(ARBITRAGES!$H135="sol",E134+ARBITRAGES!$K135,E134))</f>
        <v>21.05780558</v>
      </c>
      <c r="F135" s="377">
        <f>IF(E135="","", IF(ARBITRAGES!$H135="tao",F134+ARBITRAGES!$K135,F134))</f>
        <v>11.80561974</v>
      </c>
      <c r="G135" s="378">
        <f>IF(F135="","", IF(ARBITRAGES!$H135="ron",G134+ARBITRAGES!$K135,G134))</f>
        <v>0</v>
      </c>
      <c r="H135" s="378">
        <f>IF(G135="","", IF(ARBITRAGES!$H135="link",H134+ARBITRAGES!$K135,H134))</f>
        <v>90.0797</v>
      </c>
      <c r="I135" s="378">
        <f>IF(H135="","", IF(ARBITRAGES!$H135="doge",I134+ARBITRAGES!$K135,I134))</f>
        <v>4177.58</v>
      </c>
      <c r="J135" s="378">
        <f>IF(I135="","", IF(ARBITRAGES!$H135="shib",J134-ARBITRAGES!$K135,J134))</f>
        <v>20503076</v>
      </c>
      <c r="K135" s="378">
        <f>IF(J135="","", IF(ARBITRAGES!$H135="cake",K134+ARBITRAGES!$K135,K134))</f>
        <v>127.0804432</v>
      </c>
      <c r="L135" s="378">
        <f>IF(K135="","", IF(ARBITRAGES!$H135="JUP",L134+ARBITRAGES!$K135,L134))</f>
        <v>0</v>
      </c>
      <c r="M135" s="376">
        <f>IF(L135="","", IF(ARBITRAGES!$H135="aave",M134+ARBITRAGES!$K135,M134))</f>
        <v>8.001038596</v>
      </c>
      <c r="N135" s="378">
        <f>IF(M135="","", IF(ARBITRAGES!$H135="ckb",N134+ARBITRAGES!$K135,N134))</f>
        <v>0</v>
      </c>
      <c r="O135" s="378">
        <f>IF(N135="","", IF(ARBITRAGES!$H135="pendle",O134+ARBITRAGES!$K135,O134))</f>
        <v>169.7471597</v>
      </c>
      <c r="P135" s="378">
        <f>IF(O135="","", IF(ARBITRAGES!$H135="BOME",P134+ARBITRAGES!$K135,P134))</f>
        <v>0.02891989199</v>
      </c>
      <c r="Q135" s="378">
        <f>IF(P135="","", IF(ARBITRAGES!$H135="PEPE",Q134+ARBITRAGES!$K135,Q134))</f>
        <v>24130000</v>
      </c>
      <c r="R135" s="378">
        <f>IF(Q135="","", IF(ARBITRAGES!$H135="WIF",R134+ARBITRAGES!$K135,R134))</f>
        <v>0</v>
      </c>
      <c r="S135" s="378">
        <f>IF(R135="","", IF(ARBITRAGES!$H135="RAY",S134+ARBITRAGES!$K135,S134))</f>
        <v>0</v>
      </c>
      <c r="T135" s="360"/>
      <c r="U135" s="360"/>
      <c r="V135" s="360"/>
      <c r="W135" s="360"/>
      <c r="X135" s="360"/>
      <c r="Y135" s="360"/>
      <c r="Z135" s="360"/>
      <c r="AA135" s="360"/>
      <c r="AB135" s="360"/>
      <c r="AC135" s="360"/>
      <c r="AD135" s="360"/>
      <c r="AE135" s="360"/>
      <c r="AF135" s="360"/>
      <c r="AG135" s="360"/>
      <c r="AH135" s="360"/>
    </row>
    <row r="136" ht="18.75" customHeight="1">
      <c r="A136" s="365">
        <f>IF(ARBITRAGES!E136=0,"",ARBITRAGES!E136)</f>
        <v>45887</v>
      </c>
      <c r="B136" s="375">
        <f>IF(A136="","", IF(ARBITRAGES!$H136="BTC",B135+ARBITRAGES!$K136,B135))</f>
        <v>0.185405313</v>
      </c>
      <c r="C136" s="374">
        <f>IF(B136="","", IF(ARBITRAGES!$H136="eth",C135+ARBITRAGES!$K136,C135))</f>
        <v>1.671497995</v>
      </c>
      <c r="D136" s="376">
        <f>IF(C136="","", IF(ARBITRAGES!$H136="ton",D135+ARBITRAGES!$K136,D135))</f>
        <v>246.4039111</v>
      </c>
      <c r="E136" s="376">
        <f>IF(D136="","", IF(ARBITRAGES!$H136="sol",E135+ARBITRAGES!$K136,E135))</f>
        <v>21.05780558</v>
      </c>
      <c r="F136" s="377">
        <f>IF(E136="","", IF(ARBITRAGES!$H136="tao",F135+ARBITRAGES!$K136,F135))</f>
        <v>11.80561974</v>
      </c>
      <c r="G136" s="378">
        <f>IF(F136="","", IF(ARBITRAGES!$H136="ron",G135+ARBITRAGES!$K136,G135))</f>
        <v>0</v>
      </c>
      <c r="H136" s="378">
        <f>IF(G136="","", IF(ARBITRAGES!$H136="link",H135+ARBITRAGES!$K136,H135))</f>
        <v>90.0797</v>
      </c>
      <c r="I136" s="378">
        <f>IF(H136="","", IF(ARBITRAGES!$H136="doge",I135+ARBITRAGES!$K136,I135))</f>
        <v>4177.58</v>
      </c>
      <c r="J136" s="378">
        <f>IF(I136="","", IF(ARBITRAGES!$H136="shib",J135-ARBITRAGES!$K136,J135))</f>
        <v>20503076</v>
      </c>
      <c r="K136" s="378">
        <f>IF(J136="","", IF(ARBITRAGES!$H136="cake",K135+ARBITRAGES!$K136,K135))</f>
        <v>127.0804432</v>
      </c>
      <c r="L136" s="378">
        <f>IF(K136="","", IF(ARBITRAGES!$H136="JUP",L135+ARBITRAGES!$K136,L135))</f>
        <v>0</v>
      </c>
      <c r="M136" s="376">
        <f>IF(L136="","", IF(ARBITRAGES!$H136="aave",M135+ARBITRAGES!$K136,M135))</f>
        <v>8.001038596</v>
      </c>
      <c r="N136" s="378">
        <f>IF(M136="","", IF(ARBITRAGES!$H136="ckb",N135+ARBITRAGES!$K136,N135))</f>
        <v>0</v>
      </c>
      <c r="O136" s="378">
        <f>IF(N136="","", IF(ARBITRAGES!$H136="pendle",O135+ARBITRAGES!$K136,O135))</f>
        <v>169.7471597</v>
      </c>
      <c r="P136" s="378">
        <f>IF(O136="","", IF(ARBITRAGES!$H136="BOME",P135+ARBITRAGES!$K136,P135))</f>
        <v>0.02891989199</v>
      </c>
      <c r="Q136" s="378">
        <f>IF(P136="","", IF(ARBITRAGES!$H136="PEPE",Q135+ARBITRAGES!$K136,Q135))</f>
        <v>24130000</v>
      </c>
      <c r="R136" s="378">
        <f>IF(Q136="","", IF(ARBITRAGES!$H136="WIF",R135+ARBITRAGES!$K136,R135))</f>
        <v>0</v>
      </c>
      <c r="S136" s="378">
        <f>IF(R136="","", IF(ARBITRAGES!$H136="RAY",S135+ARBITRAGES!$K136,S135))</f>
        <v>0</v>
      </c>
      <c r="T136" s="360"/>
      <c r="U136" s="360"/>
      <c r="V136" s="360"/>
      <c r="W136" s="360"/>
      <c r="X136" s="360"/>
      <c r="Y136" s="360"/>
      <c r="Z136" s="360"/>
      <c r="AA136" s="360"/>
      <c r="AB136" s="360"/>
      <c r="AC136" s="360"/>
      <c r="AD136" s="360"/>
      <c r="AE136" s="360"/>
      <c r="AF136" s="360"/>
      <c r="AG136" s="360"/>
      <c r="AH136" s="360"/>
    </row>
    <row r="137" ht="18.75" customHeight="1">
      <c r="A137" s="365">
        <f>IF(ARBITRAGES!E137=0,"",ARBITRAGES!E137)</f>
        <v>45887</v>
      </c>
      <c r="B137" s="374">
        <f>IF(A137="","", IF(ARBITRAGES!$H137="BTC",B136+ARBITRAGES!$K137,B136))</f>
        <v>0.188905313</v>
      </c>
      <c r="C137" s="375">
        <f>IF(B137="","", IF(ARBITRAGES!$H137="eth",C136+ARBITRAGES!$K137,C136))</f>
        <v>1.671497995</v>
      </c>
      <c r="D137" s="376">
        <f>IF(C137="","", IF(ARBITRAGES!$H137="ton",D136+ARBITRAGES!$K137,D136))</f>
        <v>246.4039111</v>
      </c>
      <c r="E137" s="376">
        <f>IF(D137="","", IF(ARBITRAGES!$H137="sol",E136+ARBITRAGES!$K137,E136))</f>
        <v>21.05780558</v>
      </c>
      <c r="F137" s="377">
        <f>IF(E137="","", IF(ARBITRAGES!$H137="tao",F136+ARBITRAGES!$K137,F136))</f>
        <v>11.80561974</v>
      </c>
      <c r="G137" s="378">
        <f>IF(F137="","", IF(ARBITRAGES!$H137="ron",G136+ARBITRAGES!$K137,G136))</f>
        <v>0</v>
      </c>
      <c r="H137" s="378">
        <f>IF(G137="","", IF(ARBITRAGES!$H137="link",H136+ARBITRAGES!$K137,H136))</f>
        <v>90.0797</v>
      </c>
      <c r="I137" s="378">
        <f>IF(H137="","", IF(ARBITRAGES!$H137="doge",I136+ARBITRAGES!$K137,I136))</f>
        <v>4177.58</v>
      </c>
      <c r="J137" s="378">
        <f>IF(I137="","", IF(ARBITRAGES!$H137="shib",J136-ARBITRAGES!$K137,J136))</f>
        <v>20503076</v>
      </c>
      <c r="K137" s="378">
        <f>IF(J137="","", IF(ARBITRAGES!$H137="cake",K136+ARBITRAGES!$K137,K136))</f>
        <v>127.0804432</v>
      </c>
      <c r="L137" s="378">
        <f>IF(K137="","", IF(ARBITRAGES!$H137="JUP",L136+ARBITRAGES!$K137,L136))</f>
        <v>0</v>
      </c>
      <c r="M137" s="376">
        <f>IF(L137="","", IF(ARBITRAGES!$H137="aave",M136+ARBITRAGES!$K137,M136))</f>
        <v>8.001038596</v>
      </c>
      <c r="N137" s="378">
        <f>IF(M137="","", IF(ARBITRAGES!$H137="ckb",N136+ARBITRAGES!$K137,N136))</f>
        <v>0</v>
      </c>
      <c r="O137" s="378">
        <f>IF(N137="","", IF(ARBITRAGES!$H137="pendle",O136+ARBITRAGES!$K137,O136))</f>
        <v>169.7471597</v>
      </c>
      <c r="P137" s="378">
        <f>IF(O137="","", IF(ARBITRAGES!$H137="BOME",P136+ARBITRAGES!$K137,P136))</f>
        <v>0.02891989199</v>
      </c>
      <c r="Q137" s="378">
        <f>IF(P137="","", IF(ARBITRAGES!$H137="PEPE",Q136+ARBITRAGES!$K137,Q136))</f>
        <v>24130000</v>
      </c>
      <c r="R137" s="378">
        <f>IF(Q137="","", IF(ARBITRAGES!$H137="WIF",R136+ARBITRAGES!$K137,R136))</f>
        <v>0</v>
      </c>
      <c r="S137" s="378">
        <f>IF(R137="","", IF(ARBITRAGES!$H137="RAY",S136+ARBITRAGES!$K137,S136))</f>
        <v>0</v>
      </c>
      <c r="T137" s="360"/>
      <c r="U137" s="360"/>
      <c r="V137" s="360"/>
      <c r="W137" s="360"/>
      <c r="X137" s="360"/>
      <c r="Y137" s="360"/>
      <c r="Z137" s="360"/>
      <c r="AA137" s="360"/>
      <c r="AB137" s="360"/>
      <c r="AC137" s="360"/>
      <c r="AD137" s="360"/>
      <c r="AE137" s="360"/>
      <c r="AF137" s="360"/>
      <c r="AG137" s="360"/>
      <c r="AH137" s="360"/>
    </row>
    <row r="138" ht="18.75" customHeight="1">
      <c r="A138" s="365">
        <f>IF(ARBITRAGES!E138=0,"",ARBITRAGES!E138)</f>
        <v>45888</v>
      </c>
      <c r="B138" s="375">
        <f>IF(A138="","", IF(ARBITRAGES!$H138="BTC",B137+ARBITRAGES!$K138,B137))</f>
        <v>0.188905313</v>
      </c>
      <c r="C138" s="375">
        <f>IF(B138="","", IF(ARBITRAGES!$H138="eth",C137+ARBITRAGES!$K138,C137))</f>
        <v>1.671497995</v>
      </c>
      <c r="D138" s="376">
        <f>IF(C138="","", IF(ARBITRAGES!$H138="ton",D137+ARBITRAGES!$K138,D137))</f>
        <v>246.4039111</v>
      </c>
      <c r="E138" s="383">
        <f>IF(D138="","", IF(ARBITRAGES!$H138="sol",E137+ARBITRAGES!$K138,E137))</f>
        <v>22.05780558</v>
      </c>
      <c r="F138" s="377">
        <f>IF(E138="","", IF(ARBITRAGES!$H138="tao",F137+ARBITRAGES!$K138,F137))</f>
        <v>11.80561974</v>
      </c>
      <c r="G138" s="378">
        <f>IF(F138="","", IF(ARBITRAGES!$H138="ron",G137+ARBITRAGES!$K138,G137))</f>
        <v>0</v>
      </c>
      <c r="H138" s="378">
        <f>IF(G138="","", IF(ARBITRAGES!$H138="link",H137+ARBITRAGES!$K138,H137))</f>
        <v>90.0797</v>
      </c>
      <c r="I138" s="378">
        <f>IF(H138="","", IF(ARBITRAGES!$H138="doge",I137+ARBITRAGES!$K138,I137))</f>
        <v>4177.58</v>
      </c>
      <c r="J138" s="378">
        <f>IF(I138="","", IF(ARBITRAGES!$H138="shib",J137-ARBITRAGES!$K138,J137))</f>
        <v>20503076</v>
      </c>
      <c r="K138" s="378">
        <f>IF(J138="","", IF(ARBITRAGES!$H138="cake",K137+ARBITRAGES!$K138,K137))</f>
        <v>127.0804432</v>
      </c>
      <c r="L138" s="378">
        <f>IF(K138="","", IF(ARBITRAGES!$H138="JUP",L137+ARBITRAGES!$K138,L137))</f>
        <v>0</v>
      </c>
      <c r="M138" s="376">
        <f>IF(L138="","", IF(ARBITRAGES!$H138="aave",M137+ARBITRAGES!$K138,M137))</f>
        <v>8.001038596</v>
      </c>
      <c r="N138" s="378">
        <f>IF(M138="","", IF(ARBITRAGES!$H138="ckb",N137+ARBITRAGES!$K138,N137))</f>
        <v>0</v>
      </c>
      <c r="O138" s="378">
        <f>IF(N138="","", IF(ARBITRAGES!$H138="pendle",O137+ARBITRAGES!$K138,O137))</f>
        <v>169.7471597</v>
      </c>
      <c r="P138" s="378">
        <f>IF(O138="","", IF(ARBITRAGES!$H138="BOME",P137+ARBITRAGES!$K138,P137))</f>
        <v>0.02891989199</v>
      </c>
      <c r="Q138" s="378">
        <f>IF(P138="","", IF(ARBITRAGES!$H138="PEPE",Q137+ARBITRAGES!$K138,Q137))</f>
        <v>24130000</v>
      </c>
      <c r="R138" s="378">
        <f>IF(Q138="","", IF(ARBITRAGES!$H138="WIF",R137+ARBITRAGES!$K138,R137))</f>
        <v>0</v>
      </c>
      <c r="S138" s="378">
        <f>IF(R138="","", IF(ARBITRAGES!$H138="RAY",S137+ARBITRAGES!$K138,S137))</f>
        <v>0</v>
      </c>
      <c r="T138" s="360"/>
      <c r="U138" s="360"/>
      <c r="V138" s="360"/>
      <c r="W138" s="360"/>
      <c r="X138" s="360"/>
      <c r="Y138" s="360"/>
      <c r="Z138" s="360"/>
      <c r="AA138" s="360"/>
      <c r="AB138" s="360"/>
      <c r="AC138" s="360"/>
      <c r="AD138" s="360"/>
      <c r="AE138" s="360"/>
      <c r="AF138" s="360"/>
      <c r="AG138" s="360"/>
      <c r="AH138" s="360"/>
    </row>
    <row r="139" ht="18.75" customHeight="1">
      <c r="A139" s="365">
        <f>IF(ARBITRAGES!E139=0,"",ARBITRAGES!E139)</f>
        <v>45888</v>
      </c>
      <c r="B139" s="374">
        <f>IF(A139="","", IF(ARBITRAGES!$H139="BTC",B138+ARBITRAGES!$K139,B138))</f>
        <v>0.192405313</v>
      </c>
      <c r="C139" s="375">
        <f>IF(B139="","", IF(ARBITRAGES!$H139="eth",C138+ARBITRAGES!$K139,C138))</f>
        <v>1.671497995</v>
      </c>
      <c r="D139" s="376">
        <f>IF(C139="","", IF(ARBITRAGES!$H139="ton",D138+ARBITRAGES!$K139,D138))</f>
        <v>246.4039111</v>
      </c>
      <c r="E139" s="376">
        <f>IF(D139="","", IF(ARBITRAGES!$H139="sol",E138+ARBITRAGES!$K139,E138))</f>
        <v>22.05780558</v>
      </c>
      <c r="F139" s="377">
        <f>IF(E139="","", IF(ARBITRAGES!$H139="tao",F138+ARBITRAGES!$K139,F138))</f>
        <v>11.80561974</v>
      </c>
      <c r="G139" s="378">
        <f>IF(F139="","", IF(ARBITRAGES!$H139="ron",G138+ARBITRAGES!$K139,G138))</f>
        <v>0</v>
      </c>
      <c r="H139" s="378">
        <f>IF(G139="","", IF(ARBITRAGES!$H139="link",H138+ARBITRAGES!$K139,H138))</f>
        <v>90.0797</v>
      </c>
      <c r="I139" s="378">
        <f>IF(H139="","", IF(ARBITRAGES!$H139="doge",I138+ARBITRAGES!$K139,I138))</f>
        <v>4177.58</v>
      </c>
      <c r="J139" s="378">
        <f>IF(I139="","", IF(ARBITRAGES!$H139="shib",J138-ARBITRAGES!$K139,J138))</f>
        <v>20503076</v>
      </c>
      <c r="K139" s="378">
        <f>IF(J139="","", IF(ARBITRAGES!$H139="cake",K138+ARBITRAGES!$K139,K138))</f>
        <v>127.0804432</v>
      </c>
      <c r="L139" s="378">
        <f>IF(K139="","", IF(ARBITRAGES!$H139="JUP",L138+ARBITRAGES!$K139,L138))</f>
        <v>0</v>
      </c>
      <c r="M139" s="376">
        <f>IF(L139="","", IF(ARBITRAGES!$H139="aave",M138+ARBITRAGES!$K139,M138))</f>
        <v>8.001038596</v>
      </c>
      <c r="N139" s="378">
        <f>IF(M139="","", IF(ARBITRAGES!$H139="ckb",N138+ARBITRAGES!$K139,N138))</f>
        <v>0</v>
      </c>
      <c r="O139" s="378">
        <f>IF(N139="","", IF(ARBITRAGES!$H139="pendle",O138+ARBITRAGES!$K139,O138))</f>
        <v>169.7471597</v>
      </c>
      <c r="P139" s="378">
        <f>IF(O139="","", IF(ARBITRAGES!$H139="BOME",P138+ARBITRAGES!$K139,P138))</f>
        <v>0.02891989199</v>
      </c>
      <c r="Q139" s="378">
        <f>IF(P139="","", IF(ARBITRAGES!$H139="PEPE",Q138+ARBITRAGES!$K139,Q138))</f>
        <v>24130000</v>
      </c>
      <c r="R139" s="378">
        <f>IF(Q139="","", IF(ARBITRAGES!$H139="WIF",R138+ARBITRAGES!$K139,R138))</f>
        <v>0</v>
      </c>
      <c r="S139" s="378">
        <f>IF(R139="","", IF(ARBITRAGES!$H139="RAY",S138+ARBITRAGES!$K139,S138))</f>
        <v>0</v>
      </c>
      <c r="T139" s="360"/>
      <c r="U139" s="360"/>
      <c r="V139" s="360"/>
      <c r="W139" s="360"/>
      <c r="X139" s="360"/>
      <c r="Y139" s="360"/>
      <c r="Z139" s="360"/>
      <c r="AA139" s="360"/>
      <c r="AB139" s="360"/>
      <c r="AC139" s="360"/>
      <c r="AD139" s="360"/>
      <c r="AE139" s="360"/>
      <c r="AF139" s="360"/>
      <c r="AG139" s="360"/>
      <c r="AH139" s="360"/>
    </row>
    <row r="140" ht="18.75" customHeight="1">
      <c r="A140" s="365">
        <f>IF(ARBITRAGES!E140=0,"",ARBITRAGES!E140)</f>
        <v>45889</v>
      </c>
      <c r="B140" s="375">
        <f>IF(A140="","", IF(ARBITRAGES!$H140="BTC",B139+ARBITRAGES!$K140,B139))</f>
        <v>0.192405313</v>
      </c>
      <c r="C140" s="375">
        <f>IF(B140="","", IF(ARBITRAGES!$H140="eth",C139+ARBITRAGES!$K140,C139))</f>
        <v>1.671497995</v>
      </c>
      <c r="D140" s="376">
        <f>IF(C140="","", IF(ARBITRAGES!$H140="ton",D139+ARBITRAGES!$K140,D139))</f>
        <v>246.4039111</v>
      </c>
      <c r="E140" s="383">
        <f>IF(D140="","", IF(ARBITRAGES!$H140="sol",E139+ARBITRAGES!$K140,E139))</f>
        <v>23.05780558</v>
      </c>
      <c r="F140" s="377">
        <f>IF(E140="","", IF(ARBITRAGES!$H140="tao",F139+ARBITRAGES!$K140,F139))</f>
        <v>11.80561974</v>
      </c>
      <c r="G140" s="378">
        <f>IF(F140="","", IF(ARBITRAGES!$H140="ron",G139+ARBITRAGES!$K140,G139))</f>
        <v>0</v>
      </c>
      <c r="H140" s="378">
        <f>IF(G140="","", IF(ARBITRAGES!$H140="link",H139+ARBITRAGES!$K140,H139))</f>
        <v>90.0797</v>
      </c>
      <c r="I140" s="378">
        <f>IF(H140="","", IF(ARBITRAGES!$H140="doge",I139+ARBITRAGES!$K140,I139))</f>
        <v>4177.58</v>
      </c>
      <c r="J140" s="378">
        <f>IF(I140="","", IF(ARBITRAGES!$H140="shib",J139-ARBITRAGES!$K140,J139))</f>
        <v>20503076</v>
      </c>
      <c r="K140" s="378">
        <f>IF(J140="","", IF(ARBITRAGES!$H140="cake",K139+ARBITRAGES!$K140,K139))</f>
        <v>127.0804432</v>
      </c>
      <c r="L140" s="378">
        <f>IF(K140="","", IF(ARBITRAGES!$H140="JUP",L139+ARBITRAGES!$K140,L139))</f>
        <v>0</v>
      </c>
      <c r="M140" s="376">
        <f>IF(L140="","", IF(ARBITRAGES!$H140="aave",M139+ARBITRAGES!$K140,M139))</f>
        <v>8.001038596</v>
      </c>
      <c r="N140" s="378">
        <f>IF(M140="","", IF(ARBITRAGES!$H140="ckb",N139+ARBITRAGES!$K140,N139))</f>
        <v>0</v>
      </c>
      <c r="O140" s="378">
        <f>IF(N140="","", IF(ARBITRAGES!$H140="pendle",O139+ARBITRAGES!$K140,O139))</f>
        <v>169.7471597</v>
      </c>
      <c r="P140" s="378">
        <f>IF(O140="","", IF(ARBITRAGES!$H140="BOME",P139+ARBITRAGES!$K140,P139))</f>
        <v>0.02891989199</v>
      </c>
      <c r="Q140" s="378">
        <f>IF(P140="","", IF(ARBITRAGES!$H140="PEPE",Q139+ARBITRAGES!$K140,Q139))</f>
        <v>24130000</v>
      </c>
      <c r="R140" s="378">
        <f>IF(Q140="","", IF(ARBITRAGES!$H140="WIF",R139+ARBITRAGES!$K140,R139))</f>
        <v>0</v>
      </c>
      <c r="S140" s="378">
        <f>IF(R140="","", IF(ARBITRAGES!$H140="RAY",S139+ARBITRAGES!$K140,S139))</f>
        <v>0</v>
      </c>
      <c r="T140" s="360"/>
      <c r="U140" s="360"/>
      <c r="V140" s="360"/>
      <c r="W140" s="360"/>
      <c r="X140" s="360"/>
      <c r="Y140" s="360"/>
      <c r="Z140" s="360"/>
      <c r="AA140" s="360"/>
      <c r="AB140" s="360"/>
      <c r="AC140" s="360"/>
      <c r="AD140" s="360"/>
      <c r="AE140" s="360"/>
      <c r="AF140" s="360"/>
      <c r="AG140" s="360"/>
      <c r="AH140" s="360"/>
    </row>
    <row r="141" ht="18.75" customHeight="1">
      <c r="A141" s="365">
        <f>IF(ARBITRAGES!E141=0,"",ARBITRAGES!E141)</f>
        <v>45891</v>
      </c>
      <c r="B141" s="375">
        <f>IF(A141="","", IF(ARBITRAGES!$H141="BTC",B140+ARBITRAGES!$K141,B140))</f>
        <v>0.192405313</v>
      </c>
      <c r="C141" s="375">
        <f>IF(B141="","", IF(ARBITRAGES!$H141="eth",C140+ARBITRAGES!$K141,C140))</f>
        <v>1.671497995</v>
      </c>
      <c r="D141" s="376">
        <f>IF(C141="","", IF(ARBITRAGES!$H141="ton",D140+ARBITRAGES!$K141,D140))</f>
        <v>246.4039111</v>
      </c>
      <c r="E141" s="376">
        <f>IF(D141="","", IF(ARBITRAGES!$H141="sol",E140+ARBITRAGES!$K141,E140))</f>
        <v>23.05780558</v>
      </c>
      <c r="F141" s="377">
        <f>IF(E141="","", IF(ARBITRAGES!$H141="tao",F140+ARBITRAGES!$K141,F140))</f>
        <v>11.80561974</v>
      </c>
      <c r="G141" s="378">
        <f>IF(F141="","", IF(ARBITRAGES!$H141="ron",G140+ARBITRAGES!$K141,G140))</f>
        <v>0</v>
      </c>
      <c r="H141" s="378">
        <f>IF(G141="","", IF(ARBITRAGES!$H141="link",H140+ARBITRAGES!$K141,H140))</f>
        <v>90.0797</v>
      </c>
      <c r="I141" s="378">
        <f>IF(H141="","", IF(ARBITRAGES!$H141="doge",I140+ARBITRAGES!$K141,I140))</f>
        <v>4177.58</v>
      </c>
      <c r="J141" s="378">
        <f>IF(I141="","", IF(ARBITRAGES!$H141="shib",J140-ARBITRAGES!$K141,J140))</f>
        <v>20503076</v>
      </c>
      <c r="K141" s="378">
        <f>IF(J141="","", IF(ARBITRAGES!$H141="cake",K140+ARBITRAGES!$K141,K140))</f>
        <v>127.0804432</v>
      </c>
      <c r="L141" s="378">
        <f>IF(K141="","", IF(ARBITRAGES!$H141="JUP",L140+ARBITRAGES!$K141,L140))</f>
        <v>0</v>
      </c>
      <c r="M141" s="392">
        <f>IF(L141="","", IF(ARBITRAGES!$H141="aave",M140-ARBITRAGES!$K141,M140))</f>
        <v>7.751038596</v>
      </c>
      <c r="N141" s="378">
        <f>IF(M141="","", IF(ARBITRAGES!$H141="ckb",N140+ARBITRAGES!$K141,N140))</f>
        <v>0</v>
      </c>
      <c r="O141" s="378">
        <f>IF(N141="","", IF(ARBITRAGES!$H141="pendle",O140+ARBITRAGES!$K141,O140))</f>
        <v>169.7471597</v>
      </c>
      <c r="P141" s="378">
        <f>IF(O141="","", IF(ARBITRAGES!$H141="BOME",P140+ARBITRAGES!$K141,P140))</f>
        <v>0.02891989199</v>
      </c>
      <c r="Q141" s="378">
        <f>IF(P141="","", IF(ARBITRAGES!$H141="PEPE",Q140+ARBITRAGES!$K141,Q140))</f>
        <v>24130000</v>
      </c>
      <c r="R141" s="378">
        <f>IF(Q141="","", IF(ARBITRAGES!$H141="WIF",R140+ARBITRAGES!$K141,R140))</f>
        <v>0</v>
      </c>
      <c r="S141" s="378">
        <f>IF(R141="","", IF(ARBITRAGES!$H141="RAY",S140+ARBITRAGES!$K141,S140))</f>
        <v>0</v>
      </c>
      <c r="T141" s="360"/>
      <c r="U141" s="360"/>
      <c r="V141" s="360"/>
      <c r="W141" s="360"/>
      <c r="X141" s="360"/>
      <c r="Y141" s="360"/>
      <c r="Z141" s="360"/>
      <c r="AA141" s="360"/>
      <c r="AB141" s="360"/>
      <c r="AC141" s="360"/>
      <c r="AD141" s="360"/>
      <c r="AE141" s="360"/>
      <c r="AF141" s="360"/>
      <c r="AG141" s="360"/>
      <c r="AH141" s="360"/>
    </row>
    <row r="142" ht="18.75" customHeight="1">
      <c r="A142" s="365">
        <f>IF(ARBITRAGES!E142=0,"",ARBITRAGES!E142)</f>
        <v>45891</v>
      </c>
      <c r="B142" s="375">
        <f>IF(A142="","", IF(ARBITRAGES!$H142="BTC",B141+ARBITRAGES!$K142,B141))</f>
        <v>0.192405313</v>
      </c>
      <c r="C142" s="375">
        <f>IF(B142="","", IF(ARBITRAGES!$H142="eth",C141+ARBITRAGES!$K142,C141))</f>
        <v>1.671497995</v>
      </c>
      <c r="D142" s="376">
        <f>IF(C142="","", IF(ARBITRAGES!$H142="ton",D141+ARBITRAGES!$K142,D141))</f>
        <v>246.4039111</v>
      </c>
      <c r="E142" s="376">
        <f>IF(D142="","", IF(ARBITRAGES!$H142="sol",E141+ARBITRAGES!$K142,E141))</f>
        <v>23.05780558</v>
      </c>
      <c r="F142" s="377">
        <f>IF(E142="","", IF(ARBITRAGES!$H142="tao",F141+ARBITRAGES!$K142,F141))</f>
        <v>11.80561974</v>
      </c>
      <c r="G142" s="378">
        <f>IF(F142="","", IF(ARBITRAGES!$H142="ron",G141+ARBITRAGES!$K142,G141))</f>
        <v>0</v>
      </c>
      <c r="H142" s="378">
        <f>IF(G142="","", IF(ARBITRAGES!$H142="link",H141+ARBITRAGES!$K142,H141))</f>
        <v>90.0797</v>
      </c>
      <c r="I142" s="378">
        <f>IF(H142="","", IF(ARBITRAGES!$H142="doge",I141+ARBITRAGES!$K142,I141))</f>
        <v>4177.58</v>
      </c>
      <c r="J142" s="378">
        <f>IF(I142="","", IF(ARBITRAGES!$H142="shib",J141-ARBITRAGES!$K142,J141))</f>
        <v>20503076</v>
      </c>
      <c r="K142" s="378">
        <f>IF(J142="","", IF(ARBITRAGES!$H142="cake",K141+ARBITRAGES!$K142,K141))</f>
        <v>127.0804432</v>
      </c>
      <c r="L142" s="378">
        <f>IF(K142="","", IF(ARBITRAGES!$H142="JUP",L141+ARBITRAGES!$K142,L141))</f>
        <v>0</v>
      </c>
      <c r="M142" s="376">
        <f>IF(L142="","", IF(ARBITRAGES!$H142="aave",M141+ARBITRAGES!$K142,M141))</f>
        <v>7.751038596</v>
      </c>
      <c r="N142" s="378">
        <f>IF(M142="","", IF(ARBITRAGES!$H142="ckb",N141+ARBITRAGES!$K142,N141))</f>
        <v>0</v>
      </c>
      <c r="O142" s="394">
        <f>IF(N142="","", IF(ARBITRAGES!$H142="pendle",O141-ARBITRAGES!$K142,O141))</f>
        <v>159.7471597</v>
      </c>
      <c r="P142" s="378">
        <f>IF(O142="","", IF(ARBITRAGES!$H142="BOME",P141+ARBITRAGES!$K142,P141))</f>
        <v>0.02891989199</v>
      </c>
      <c r="Q142" s="378">
        <f>IF(P142="","", IF(ARBITRAGES!$H142="PEPE",Q141+ARBITRAGES!$K142,Q141))</f>
        <v>24130000</v>
      </c>
      <c r="R142" s="378">
        <f>IF(Q142="","", IF(ARBITRAGES!$H142="WIF",R141+ARBITRAGES!$K142,R141))</f>
        <v>0</v>
      </c>
      <c r="S142" s="378">
        <f>IF(R142="","", IF(ARBITRAGES!$H142="RAY",S141+ARBITRAGES!$K142,S141))</f>
        <v>0</v>
      </c>
      <c r="T142" s="360"/>
      <c r="U142" s="360"/>
      <c r="V142" s="360"/>
      <c r="W142" s="360"/>
      <c r="X142" s="360"/>
      <c r="Y142" s="360"/>
      <c r="Z142" s="360"/>
      <c r="AA142" s="360"/>
      <c r="AB142" s="360"/>
      <c r="AC142" s="360"/>
      <c r="AD142" s="360"/>
      <c r="AE142" s="360"/>
      <c r="AF142" s="360"/>
      <c r="AG142" s="360"/>
      <c r="AH142" s="360"/>
    </row>
    <row r="143" ht="18.75" customHeight="1">
      <c r="A143" s="365">
        <f>IF(ARBITRAGES!E143=0,"",ARBITRAGES!E143)</f>
        <v>45892</v>
      </c>
      <c r="B143" s="375">
        <f>IF(A143="","", IF(ARBITRAGES!$H143="BTC",B142+ARBITRAGES!$K143,B142))</f>
        <v>0.192405313</v>
      </c>
      <c r="C143" s="375">
        <f>IF(B143="","", IF(ARBITRAGES!$H143="eth",C142+ARBITRAGES!$K143,C142))</f>
        <v>1.671497995</v>
      </c>
      <c r="D143" s="376">
        <f>IF(C143="","", IF(ARBITRAGES!$H143="ton",D142+ARBITRAGES!$K143,D142))</f>
        <v>246.4039111</v>
      </c>
      <c r="E143" s="376">
        <f>IF(D143="","", IF(ARBITRAGES!$H143="sol",E142+ARBITRAGES!$K143,E142))</f>
        <v>23.05780558</v>
      </c>
      <c r="F143" s="377">
        <f>IF(E143="","", IF(ARBITRAGES!$H143="tao",F142+ARBITRAGES!$K143,F142))</f>
        <v>11.80561974</v>
      </c>
      <c r="G143" s="378">
        <f>IF(F143="","", IF(ARBITRAGES!$H143="ron",G142+ARBITRAGES!$K143,G142))</f>
        <v>0</v>
      </c>
      <c r="H143" s="378">
        <f>IF(G143="","", IF(ARBITRAGES!$H143="link",H142+ARBITRAGES!$K143,H142))</f>
        <v>90.0797</v>
      </c>
      <c r="I143" s="378">
        <f>IF(H143="","", IF(ARBITRAGES!$H143="doge",I142+ARBITRAGES!$K143,I142))</f>
        <v>4177.58</v>
      </c>
      <c r="J143" s="378">
        <f>IF(I143="","", IF(ARBITRAGES!$H143="shib",J142-ARBITRAGES!$K143,J142))</f>
        <v>20503076</v>
      </c>
      <c r="K143" s="378">
        <f>IF(J143="","", IF(ARBITRAGES!$H143="cake",K142+ARBITRAGES!$K143,K142))</f>
        <v>127.0804432</v>
      </c>
      <c r="L143" s="378">
        <f>IF(K143="","", IF(ARBITRAGES!$H143="JUP",L142+ARBITRAGES!$K143,L142))</f>
        <v>0</v>
      </c>
      <c r="M143" s="376">
        <f>IF(L143="","", IF(ARBITRAGES!$H143="aave",M142+ARBITRAGES!$K143,M142))</f>
        <v>7.751038596</v>
      </c>
      <c r="N143" s="378">
        <f>IF(M143="","", IF(ARBITRAGES!$H143="ckb",N142+ARBITRAGES!$K143,N142))</f>
        <v>0</v>
      </c>
      <c r="O143" s="394">
        <f>IF(N143="","", IF(ARBITRAGES!$H143="pendle",O142-ARBITRAGES!$K143,O142))</f>
        <v>144.7471597</v>
      </c>
      <c r="P143" s="378">
        <f>IF(O143="","", IF(ARBITRAGES!$H143="BOME",P142+ARBITRAGES!$K143,P142))</f>
        <v>0.02891989199</v>
      </c>
      <c r="Q143" s="378">
        <f>IF(P143="","", IF(ARBITRAGES!$H143="PEPE",Q142+ARBITRAGES!$K143,Q142))</f>
        <v>24130000</v>
      </c>
      <c r="R143" s="378">
        <f>IF(Q143="","", IF(ARBITRAGES!$H143="WIF",R142+ARBITRAGES!$K143,R142))</f>
        <v>0</v>
      </c>
      <c r="S143" s="378">
        <f>IF(R143="","", IF(ARBITRAGES!$H143="RAY",S142+ARBITRAGES!$K143,S142))</f>
        <v>0</v>
      </c>
      <c r="T143" s="360"/>
      <c r="U143" s="360"/>
      <c r="V143" s="360"/>
      <c r="W143" s="360"/>
      <c r="X143" s="360"/>
      <c r="Y143" s="360"/>
      <c r="Z143" s="360"/>
      <c r="AA143" s="360"/>
      <c r="AB143" s="360"/>
      <c r="AC143" s="360"/>
      <c r="AD143" s="360"/>
      <c r="AE143" s="360"/>
      <c r="AF143" s="360"/>
      <c r="AG143" s="360"/>
      <c r="AH143" s="360"/>
    </row>
    <row r="144" ht="18.75" customHeight="1">
      <c r="A144" s="365">
        <f>IF(ARBITRAGES!E144=0,"",ARBITRAGES!E144)</f>
        <v>45894</v>
      </c>
      <c r="B144" s="375">
        <f>IF(A144="","", IF(ARBITRAGES!$H144="BTC",B143+ARBITRAGES!$K144,B143))</f>
        <v>0.192405313</v>
      </c>
      <c r="C144" s="375">
        <f>IF(B144="","", IF(ARBITRAGES!$H144="eth",C143+ARBITRAGES!$K144,C143))</f>
        <v>1.671497995</v>
      </c>
      <c r="D144" s="376">
        <f>IF(C144="","", IF(ARBITRAGES!$H144="ton",D143+ARBITRAGES!$K144,D143))</f>
        <v>246.4039111</v>
      </c>
      <c r="E144" s="376">
        <f>IF(D144="","", IF(ARBITRAGES!$H144="sol",E143+ARBITRAGES!$K144,E143))</f>
        <v>23.05780558</v>
      </c>
      <c r="F144" s="377">
        <f>IF(E144="","", IF(ARBITRAGES!$H144="tao",F143+ARBITRAGES!$K144,F143))</f>
        <v>11.80561974</v>
      </c>
      <c r="G144" s="378">
        <f>IF(F144="","", IF(ARBITRAGES!$H144="ron",G143+ARBITRAGES!$K144,G143))</f>
        <v>0</v>
      </c>
      <c r="H144" s="378">
        <f>IF(G144="","", IF(ARBITRAGES!$H144="link",H143+ARBITRAGES!$K144,H143))</f>
        <v>90.0797</v>
      </c>
      <c r="I144" s="389">
        <f>IF(H144="","", IF(ARBITRAGES!$H144="doge",I143+ARBITRAGES!$K144,I143))</f>
        <v>5177.58</v>
      </c>
      <c r="J144" s="378">
        <f>IF(I144="","", IF(ARBITRAGES!$H144="shib",J143-ARBITRAGES!$K144,J143))</f>
        <v>20503076</v>
      </c>
      <c r="K144" s="378">
        <f>IF(J144="","", IF(ARBITRAGES!$H144="cake",K143+ARBITRAGES!$K144,K143))</f>
        <v>127.0804432</v>
      </c>
      <c r="L144" s="378">
        <f>IF(K144="","", IF(ARBITRAGES!$H144="JUP",L143+ARBITRAGES!$K144,L143))</f>
        <v>0</v>
      </c>
      <c r="M144" s="376">
        <f>IF(L144="","", IF(ARBITRAGES!$H144="aave",M143+ARBITRAGES!$K144,M143))</f>
        <v>7.751038596</v>
      </c>
      <c r="N144" s="378">
        <f>IF(M144="","", IF(ARBITRAGES!$H144="ckb",N143+ARBITRAGES!$K144,N143))</f>
        <v>0</v>
      </c>
      <c r="O144" s="378">
        <f>IF(N144="","", IF(ARBITRAGES!$H144="pendle",O143+ARBITRAGES!$K144,O143))</f>
        <v>144.7471597</v>
      </c>
      <c r="P144" s="378">
        <f>IF(O144="","", IF(ARBITRAGES!$H144="BOME",P143+ARBITRAGES!$K144,P143))</f>
        <v>0.02891989199</v>
      </c>
      <c r="Q144" s="378">
        <f>IF(P144="","", IF(ARBITRAGES!$H144="PEPE",Q143+ARBITRAGES!$K144,Q143))</f>
        <v>24130000</v>
      </c>
      <c r="R144" s="378">
        <f>IF(Q144="","", IF(ARBITRAGES!$H144="WIF",R143+ARBITRAGES!$K144,R143))</f>
        <v>0</v>
      </c>
      <c r="S144" s="378">
        <f>IF(R144="","", IF(ARBITRAGES!$H144="RAY",S143+ARBITRAGES!$K144,S143))</f>
        <v>0</v>
      </c>
      <c r="T144" s="360"/>
      <c r="U144" s="360"/>
      <c r="V144" s="360"/>
      <c r="W144" s="360"/>
      <c r="X144" s="360"/>
      <c r="Y144" s="360"/>
      <c r="Z144" s="360"/>
      <c r="AA144" s="360"/>
      <c r="AB144" s="360"/>
      <c r="AC144" s="360"/>
      <c r="AD144" s="360"/>
      <c r="AE144" s="360"/>
      <c r="AF144" s="360"/>
      <c r="AG144" s="360"/>
      <c r="AH144" s="360"/>
    </row>
    <row r="145" ht="18.75" customHeight="1">
      <c r="A145" s="365">
        <f>IF(ARBITRAGES!E145=0,"",ARBITRAGES!E145)</f>
        <v>45894</v>
      </c>
      <c r="B145" s="375">
        <f>IF(A145="","", IF(ARBITRAGES!$H145="BTC",B144+ARBITRAGES!$K145,B144))</f>
        <v>0.192405313</v>
      </c>
      <c r="C145" s="374">
        <f>IF(B145="","", IF(ARBITRAGES!$H145="eth",C144+ARBITRAGES!$K145,C144))</f>
        <v>1.741497995</v>
      </c>
      <c r="D145" s="376">
        <f>IF(C145="","", IF(ARBITRAGES!$H145="ton",D144+ARBITRAGES!$K145,D144))</f>
        <v>246.4039111</v>
      </c>
      <c r="E145" s="376">
        <f>IF(D145="","", IF(ARBITRAGES!$H145="sol",E144+ARBITRAGES!$K145,E144))</f>
        <v>23.05780558</v>
      </c>
      <c r="F145" s="377">
        <f>IF(E145="","", IF(ARBITRAGES!$H145="tao",F144+ARBITRAGES!$K145,F144))</f>
        <v>11.80561974</v>
      </c>
      <c r="G145" s="378">
        <f>IF(F145="","", IF(ARBITRAGES!$H145="ron",G144+ARBITRAGES!$K145,G144))</f>
        <v>0</v>
      </c>
      <c r="H145" s="378">
        <f>IF(G145="","", IF(ARBITRAGES!$H145="link",H144+ARBITRAGES!$K145,H144))</f>
        <v>90.0797</v>
      </c>
      <c r="I145" s="378">
        <f>IF(H145="","", IF(ARBITRAGES!$H145="doge",I144+ARBITRAGES!$K145,I144))</f>
        <v>5177.58</v>
      </c>
      <c r="J145" s="378">
        <f>IF(I145="","", IF(ARBITRAGES!$H145="shib",J144-ARBITRAGES!$K145,J144))</f>
        <v>20503076</v>
      </c>
      <c r="K145" s="378">
        <f>IF(J145="","", IF(ARBITRAGES!$H145="cake",K144+ARBITRAGES!$K145,K144))</f>
        <v>127.0804432</v>
      </c>
      <c r="L145" s="378">
        <f>IF(K145="","", IF(ARBITRAGES!$H145="JUP",L144+ARBITRAGES!$K145,L144))</f>
        <v>0</v>
      </c>
      <c r="M145" s="376">
        <f>IF(L145="","", IF(ARBITRAGES!$H145="aave",M144+ARBITRAGES!$K145,M144))</f>
        <v>7.751038596</v>
      </c>
      <c r="N145" s="378">
        <f>IF(M145="","", IF(ARBITRAGES!$H145="ckb",N144+ARBITRAGES!$K145,N144))</f>
        <v>0</v>
      </c>
      <c r="O145" s="378">
        <f>IF(N145="","", IF(ARBITRAGES!$H145="pendle",O144+ARBITRAGES!$K145,O144))</f>
        <v>144.7471597</v>
      </c>
      <c r="P145" s="378">
        <f>IF(O145="","", IF(ARBITRAGES!$H145="BOME",P144+ARBITRAGES!$K145,P144))</f>
        <v>0.02891989199</v>
      </c>
      <c r="Q145" s="378">
        <f>IF(P145="","", IF(ARBITRAGES!$H145="PEPE",Q144+ARBITRAGES!$K145,Q144))</f>
        <v>24130000</v>
      </c>
      <c r="R145" s="378">
        <f>IF(Q145="","", IF(ARBITRAGES!$H145="WIF",R144+ARBITRAGES!$K145,R144))</f>
        <v>0</v>
      </c>
      <c r="S145" s="378">
        <f>IF(R145="","", IF(ARBITRAGES!$H145="RAY",S144+ARBITRAGES!$K145,S144))</f>
        <v>0</v>
      </c>
      <c r="T145" s="360"/>
      <c r="U145" s="360"/>
      <c r="V145" s="360"/>
      <c r="W145" s="360"/>
      <c r="X145" s="360"/>
      <c r="Y145" s="360"/>
      <c r="Z145" s="360"/>
      <c r="AA145" s="360"/>
      <c r="AB145" s="360"/>
      <c r="AC145" s="360"/>
      <c r="AD145" s="360"/>
      <c r="AE145" s="360"/>
      <c r="AF145" s="360"/>
      <c r="AG145" s="360"/>
      <c r="AH145" s="360"/>
    </row>
    <row r="146" ht="18.75" customHeight="1">
      <c r="A146" s="365">
        <f>IF(ARBITRAGES!E146=0,"",ARBITRAGES!E146)</f>
        <v>45894</v>
      </c>
      <c r="B146" s="374">
        <f>IF(A146="","", IF(ARBITRAGES!$H146="BTC",B145+ARBITRAGES!$K146,B145))</f>
        <v>0.1951001004</v>
      </c>
      <c r="C146" s="375">
        <f>IF(B146="","", IF(ARBITRAGES!$H146="eth",C145+ARBITRAGES!$K146,C145))</f>
        <v>1.741497995</v>
      </c>
      <c r="D146" s="376">
        <f>IF(C146="","", IF(ARBITRAGES!$H146="ton",D145+ARBITRAGES!$K146,D145))</f>
        <v>246.4039111</v>
      </c>
      <c r="E146" s="376">
        <f>IF(D146="","", IF(ARBITRAGES!$H146="sol",E145+ARBITRAGES!$K146,E145))</f>
        <v>23.05780558</v>
      </c>
      <c r="F146" s="377">
        <f>IF(E146="","", IF(ARBITRAGES!$H146="tao",F145+ARBITRAGES!$K146,F145))</f>
        <v>11.80561974</v>
      </c>
      <c r="G146" s="378">
        <f>IF(F146="","", IF(ARBITRAGES!$H146="ron",G145+ARBITRAGES!$K146,G145))</f>
        <v>0</v>
      </c>
      <c r="H146" s="378">
        <f>IF(G146="","", IF(ARBITRAGES!$H146="link",H145+ARBITRAGES!$K146,H145))</f>
        <v>90.0797</v>
      </c>
      <c r="I146" s="378">
        <f>IF(H146="","", IF(ARBITRAGES!$H146="doge",I145+ARBITRAGES!$K146,I145))</f>
        <v>5177.58</v>
      </c>
      <c r="J146" s="378">
        <f>IF(I146="","", IF(ARBITRAGES!$H146="shib",J145-ARBITRAGES!$K146,J145))</f>
        <v>20503076</v>
      </c>
      <c r="K146" s="378">
        <f>IF(J146="","", IF(ARBITRAGES!$H146="cake",K145+ARBITRAGES!$K146,K145))</f>
        <v>127.0804432</v>
      </c>
      <c r="L146" s="378">
        <f>IF(K146="","", IF(ARBITRAGES!$H146="JUP",L145+ARBITRAGES!$K146,L145))</f>
        <v>0</v>
      </c>
      <c r="M146" s="376">
        <f>IF(L146="","", IF(ARBITRAGES!$H146="aave",M145+ARBITRAGES!$K146,M145))</f>
        <v>7.751038596</v>
      </c>
      <c r="N146" s="378">
        <f>IF(M146="","", IF(ARBITRAGES!$H146="ckb",N145+ARBITRAGES!$K146,N145))</f>
        <v>0</v>
      </c>
      <c r="O146" s="378">
        <f>IF(N146="","", IF(ARBITRAGES!$H146="pendle",O145+ARBITRAGES!$K146,O145))</f>
        <v>144.7471597</v>
      </c>
      <c r="P146" s="378">
        <f>IF(O146="","", IF(ARBITRAGES!$H146="BOME",P145+ARBITRAGES!$K146,P145))</f>
        <v>0.02891989199</v>
      </c>
      <c r="Q146" s="378">
        <f>IF(P146="","", IF(ARBITRAGES!$H146="PEPE",Q145+ARBITRAGES!$K146,Q145))</f>
        <v>24130000</v>
      </c>
      <c r="R146" s="378">
        <f>IF(Q146="","", IF(ARBITRAGES!$H146="WIF",R145+ARBITRAGES!$K146,R145))</f>
        <v>0</v>
      </c>
      <c r="S146" s="378">
        <f>IF(R146="","", IF(ARBITRAGES!$H146="RAY",S145+ARBITRAGES!$K146,S145))</f>
        <v>0</v>
      </c>
      <c r="T146" s="360"/>
      <c r="U146" s="360"/>
      <c r="V146" s="360"/>
      <c r="W146" s="360"/>
      <c r="X146" s="360"/>
      <c r="Y146" s="360"/>
      <c r="Z146" s="360"/>
      <c r="AA146" s="360"/>
      <c r="AB146" s="360"/>
      <c r="AC146" s="360"/>
      <c r="AD146" s="360"/>
      <c r="AE146" s="360"/>
      <c r="AF146" s="360"/>
      <c r="AG146" s="360"/>
      <c r="AH146" s="360"/>
    </row>
    <row r="147" ht="18.75" customHeight="1">
      <c r="A147" s="365">
        <f>IF(ARBITRAGES!E147=0,"",ARBITRAGES!E147)</f>
        <v>45894</v>
      </c>
      <c r="B147" s="375">
        <f>IF(A147="","", IF(ARBITRAGES!$H147="BTC",B146+ARBITRAGES!$K147,B146))</f>
        <v>0.1951001004</v>
      </c>
      <c r="C147" s="375">
        <f>IF(B147="","", IF(ARBITRAGES!$H147="eth",C146+ARBITRAGES!$K147,C146))</f>
        <v>1.741497995</v>
      </c>
      <c r="D147" s="376">
        <f>IF(C147="","", IF(ARBITRAGES!$H147="ton",D146+ARBITRAGES!$K147,D146))</f>
        <v>246.4039111</v>
      </c>
      <c r="E147" s="376">
        <f>IF(D147="","", IF(ARBITRAGES!$H147="sol",E146+ARBITRAGES!$K147,E146))</f>
        <v>23.05780558</v>
      </c>
      <c r="F147" s="385">
        <f>IF(E147="","", IF(ARBITRAGES!$H147="tao",F146+ARBITRAGES!$K147,F146))</f>
        <v>13.30561974</v>
      </c>
      <c r="G147" s="378">
        <f>IF(F147="","", IF(ARBITRAGES!$H147="ron",G146+ARBITRAGES!$K147,G146))</f>
        <v>0</v>
      </c>
      <c r="H147" s="378">
        <f>IF(G147="","", IF(ARBITRAGES!$H147="link",H146+ARBITRAGES!$K147,H146))</f>
        <v>90.0797</v>
      </c>
      <c r="I147" s="378">
        <f>IF(H147="","", IF(ARBITRAGES!$H147="doge",I146+ARBITRAGES!$K147,I146))</f>
        <v>5177.58</v>
      </c>
      <c r="J147" s="378">
        <f>IF(I147="","", IF(ARBITRAGES!$H147="shib",J146-ARBITRAGES!$K147,J146))</f>
        <v>20503076</v>
      </c>
      <c r="K147" s="378">
        <f>IF(J147="","", IF(ARBITRAGES!$H147="cake",K146+ARBITRAGES!$K147,K146))</f>
        <v>127.0804432</v>
      </c>
      <c r="L147" s="378">
        <f>IF(K147="","", IF(ARBITRAGES!$H147="JUP",L146+ARBITRAGES!$K147,L146))</f>
        <v>0</v>
      </c>
      <c r="M147" s="376">
        <f>IF(L147="","", IF(ARBITRAGES!$H147="aave",M146+ARBITRAGES!$K147,M146))</f>
        <v>7.751038596</v>
      </c>
      <c r="N147" s="378">
        <f>IF(M147="","", IF(ARBITRAGES!$H147="ckb",N146+ARBITRAGES!$K147,N146))</f>
        <v>0</v>
      </c>
      <c r="O147" s="378">
        <f>IF(N147="","", IF(ARBITRAGES!$H147="pendle",O146+ARBITRAGES!$K147,O146))</f>
        <v>144.7471597</v>
      </c>
      <c r="P147" s="378">
        <f>IF(O147="","", IF(ARBITRAGES!$H147="BOME",P146+ARBITRAGES!$K147,P146))</f>
        <v>0.02891989199</v>
      </c>
      <c r="Q147" s="378">
        <f>IF(P147="","", IF(ARBITRAGES!$H147="PEPE",Q146+ARBITRAGES!$K147,Q146))</f>
        <v>24130000</v>
      </c>
      <c r="R147" s="378">
        <f>IF(Q147="","", IF(ARBITRAGES!$H147="WIF",R146+ARBITRAGES!$K147,R146))</f>
        <v>0</v>
      </c>
      <c r="S147" s="378">
        <f>IF(R147="","", IF(ARBITRAGES!$H147="RAY",S146+ARBITRAGES!$K147,S146))</f>
        <v>0</v>
      </c>
      <c r="T147" s="360"/>
      <c r="U147" s="360"/>
      <c r="V147" s="360"/>
      <c r="W147" s="360"/>
      <c r="X147" s="360"/>
      <c r="Y147" s="360"/>
      <c r="Z147" s="360"/>
      <c r="AA147" s="360"/>
      <c r="AB147" s="360"/>
      <c r="AC147" s="360"/>
      <c r="AD147" s="360"/>
      <c r="AE147" s="360"/>
      <c r="AF147" s="360"/>
      <c r="AG147" s="360"/>
      <c r="AH147" s="360"/>
    </row>
    <row r="148" ht="18.75" customHeight="1">
      <c r="A148" s="365">
        <f>IF(ARBITRAGES!E148=0,"",ARBITRAGES!E148)</f>
        <v>45895</v>
      </c>
      <c r="B148" s="374">
        <f>IF(A148="","", IF(ARBITRAGES!$H148="BTC",B147+ARBITRAGES!$K148+0.00181,B147))</f>
        <v>0.2014101004</v>
      </c>
      <c r="C148" s="375">
        <f>IF(B148="","", IF(ARBITRAGES!$H148="eth",C147+ARBITRAGES!$K148,C147))</f>
        <v>1.741497995</v>
      </c>
      <c r="D148" s="376">
        <f>IF(C148="","", IF(ARBITRAGES!$H148="ton",D147+ARBITRAGES!$K148,D147))</f>
        <v>246.4039111</v>
      </c>
      <c r="E148" s="376">
        <f>IF(D148="","", IF(ARBITRAGES!$H148="sol",E147+ARBITRAGES!$K148,E147))</f>
        <v>23.05780558</v>
      </c>
      <c r="F148" s="377">
        <f>IF(E148="","", IF(ARBITRAGES!$H148="tao",F147+ARBITRAGES!$K148,F147))</f>
        <v>13.30561974</v>
      </c>
      <c r="G148" s="378">
        <f>IF(F148="","", IF(ARBITRAGES!$H148="ron",G147+ARBITRAGES!$K148,G147))</f>
        <v>0</v>
      </c>
      <c r="H148" s="378">
        <f>IF(G148="","", IF(ARBITRAGES!$H148="link",H147+ARBITRAGES!$K148,H147))</f>
        <v>90.0797</v>
      </c>
      <c r="I148" s="378">
        <f>IF(H148="","", IF(ARBITRAGES!$H148="doge",I147+ARBITRAGES!$K148,I147))</f>
        <v>5177.58</v>
      </c>
      <c r="J148" s="378">
        <f>IF(I148="","", IF(ARBITRAGES!$H148="shib",J147-ARBITRAGES!$K148,J147))</f>
        <v>20503076</v>
      </c>
      <c r="K148" s="378">
        <f>IF(J148="","", IF(ARBITRAGES!$H148="cake",K147+ARBITRAGES!$K148,K147))</f>
        <v>127.0804432</v>
      </c>
      <c r="L148" s="378">
        <f>IF(K148="","", IF(ARBITRAGES!$H148="JUP",L147+ARBITRAGES!$K148,L147))</f>
        <v>0</v>
      </c>
      <c r="M148" s="376">
        <f>IF(L148="","", IF(ARBITRAGES!$H148="aave",M147+ARBITRAGES!$K148,M147))</f>
        <v>7.751038596</v>
      </c>
      <c r="N148" s="378">
        <f>IF(M148="","", IF(ARBITRAGES!$H148="ckb",N147+ARBITRAGES!$K148,N147))</f>
        <v>0</v>
      </c>
      <c r="O148" s="378">
        <f>IF(N148="","", IF(ARBITRAGES!$H148="pendle",O147+ARBITRAGES!$K148,O147))</f>
        <v>144.7471597</v>
      </c>
      <c r="P148" s="378">
        <f>IF(O148="","", IF(ARBITRAGES!$H148="BOME",P147+ARBITRAGES!$K148,P147))</f>
        <v>0.02891989199</v>
      </c>
      <c r="Q148" s="378">
        <f>IF(P148="","", IF(ARBITRAGES!$H148="PEPE",Q147+ARBITRAGES!$K148,Q147))</f>
        <v>24130000</v>
      </c>
      <c r="R148" s="378">
        <f>IF(Q148="","", IF(ARBITRAGES!$H148="WIF",R147+ARBITRAGES!$K148,R147))</f>
        <v>0</v>
      </c>
      <c r="S148" s="378">
        <f>IF(R148="","", IF(ARBITRAGES!$H148="RAY",S147+ARBITRAGES!$K148,S147))</f>
        <v>0</v>
      </c>
      <c r="T148" s="360"/>
      <c r="U148" s="360"/>
      <c r="V148" s="360"/>
      <c r="W148" s="360"/>
      <c r="X148" s="360"/>
      <c r="Y148" s="360"/>
      <c r="Z148" s="360"/>
      <c r="AA148" s="360"/>
      <c r="AB148" s="360"/>
      <c r="AC148" s="360"/>
      <c r="AD148" s="360"/>
      <c r="AE148" s="360"/>
      <c r="AF148" s="360"/>
      <c r="AG148" s="360"/>
      <c r="AH148" s="360"/>
    </row>
    <row r="149" ht="18.75" customHeight="1">
      <c r="A149" s="365">
        <f>IF(ARBITRAGES!E149=0,"",ARBITRAGES!E149)</f>
        <v>45908</v>
      </c>
      <c r="B149" s="375">
        <f>IF(A149="","", IF(ARBITRAGES!$H149="BTC",B148+ARBITRAGES!$K149,B148))</f>
        <v>0.2014101004</v>
      </c>
      <c r="C149" s="374">
        <f>IF(B149="","", IF(ARBITRAGES!$H149="eth",C148+ARBITRAGES!$K149,C148))</f>
        <v>1.787475006</v>
      </c>
      <c r="D149" s="376">
        <f>IF(C149="","", IF(ARBITRAGES!$H149="ton",D148+ARBITRAGES!$K149,D148))</f>
        <v>246.4039111</v>
      </c>
      <c r="E149" s="376">
        <f>IF(D149="","", IF(ARBITRAGES!$H149="sol",E148+ARBITRAGES!$K149,E148))</f>
        <v>23.05780558</v>
      </c>
      <c r="F149" s="377">
        <f>IF(E149="","", IF(ARBITRAGES!$H149="tao",F148+ARBITRAGES!$K149,F148))</f>
        <v>13.30561974</v>
      </c>
      <c r="G149" s="378">
        <f>IF(F149="","", IF(ARBITRAGES!$H149="ron",G148+ARBITRAGES!$K149,G148))</f>
        <v>0</v>
      </c>
      <c r="H149" s="378">
        <f>IF(G149="","", IF(ARBITRAGES!$H149="link",H148+ARBITRAGES!$K149,H148))</f>
        <v>90.0797</v>
      </c>
      <c r="I149" s="378">
        <f>IF(H149="","", IF(ARBITRAGES!$H149="doge",I148+ARBITRAGES!$K149,I148))</f>
        <v>5177.58</v>
      </c>
      <c r="J149" s="378">
        <f>IF(I149="","", IF(ARBITRAGES!$H149="shib",J148-ARBITRAGES!$K149,J148))</f>
        <v>20503076</v>
      </c>
      <c r="K149" s="378">
        <f>IF(J149="","", IF(ARBITRAGES!$H149="cake",K148+ARBITRAGES!$K149,K148))</f>
        <v>127.0804432</v>
      </c>
      <c r="L149" s="378">
        <f>IF(K149="","", IF(ARBITRAGES!$H149="JUP",L148+ARBITRAGES!$K149,L148))</f>
        <v>0</v>
      </c>
      <c r="M149" s="376">
        <f>IF(L149="","", IF(ARBITRAGES!$H149="aave",M148+ARBITRAGES!$K149,M148))</f>
        <v>7.751038596</v>
      </c>
      <c r="N149" s="378">
        <f>IF(M149="","", IF(ARBITRAGES!$H149="ckb",N148+ARBITRAGES!$K149,N148))</f>
        <v>0</v>
      </c>
      <c r="O149" s="378">
        <f>IF(N149="","", IF(ARBITRAGES!$H149="pendle",O148+ARBITRAGES!$K149,O148))</f>
        <v>144.7471597</v>
      </c>
      <c r="P149" s="378">
        <f>IF(O149="","", IF(ARBITRAGES!$H149="BOME",P148+ARBITRAGES!$K149,P148))</f>
        <v>0.02891989199</v>
      </c>
      <c r="Q149" s="378">
        <f>IF(P149="","", IF(ARBITRAGES!$H149="PEPE",Q148+ARBITRAGES!$K149,Q148))</f>
        <v>24130000</v>
      </c>
      <c r="R149" s="378">
        <f>IF(Q149="","", IF(ARBITRAGES!$H149="WIF",R148+ARBITRAGES!$K149,R148))</f>
        <v>0</v>
      </c>
      <c r="S149" s="378">
        <f>IF(R149="","", IF(ARBITRAGES!$H149="RAY",S148+ARBITRAGES!$K149,S148))</f>
        <v>0</v>
      </c>
      <c r="T149" s="360"/>
      <c r="U149" s="360"/>
      <c r="V149" s="360"/>
      <c r="W149" s="360"/>
      <c r="X149" s="360"/>
      <c r="Y149" s="360"/>
      <c r="Z149" s="360"/>
      <c r="AA149" s="360"/>
      <c r="AB149" s="360"/>
      <c r="AC149" s="360"/>
      <c r="AD149" s="360"/>
      <c r="AE149" s="360"/>
      <c r="AF149" s="360"/>
      <c r="AG149" s="360"/>
      <c r="AH149" s="360"/>
    </row>
    <row r="150" ht="18.75" customHeight="1">
      <c r="A150" s="365">
        <f>IF(ARBITRAGES!E150=0,"",ARBITRAGES!E150)</f>
        <v>45908</v>
      </c>
      <c r="B150" s="375">
        <f>IF(A150="","", IF(ARBITRAGES!$H150="BTC",B149+ARBITRAGES!$K150,B149))</f>
        <v>0.2014101004</v>
      </c>
      <c r="C150" s="374">
        <f>IF(B150="","", IF(ARBITRAGES!$H150="eth",C149+ARBITRAGES!$K150,C149))</f>
        <v>1.856839168</v>
      </c>
      <c r="D150" s="376">
        <f>IF(C150="","", IF(ARBITRAGES!$H150="ton",D149+ARBITRAGES!$K150,D149))</f>
        <v>246.4039111</v>
      </c>
      <c r="E150" s="376">
        <f>IF(D150="","", IF(ARBITRAGES!$H150="sol",E149+ARBITRAGES!$K150,E149))</f>
        <v>23.05780558</v>
      </c>
      <c r="F150" s="377">
        <f>IF(E150="","", IF(ARBITRAGES!$H150="tao",F149+ARBITRAGES!$K150,F149))</f>
        <v>13.30561974</v>
      </c>
      <c r="G150" s="378">
        <f>IF(F150="","", IF(ARBITRAGES!$H150="ron",G149+ARBITRAGES!$K150,G149))</f>
        <v>0</v>
      </c>
      <c r="H150" s="378">
        <f>IF(G150="","", IF(ARBITRAGES!$H150="link",H149+ARBITRAGES!$K150,H149))</f>
        <v>90.0797</v>
      </c>
      <c r="I150" s="378">
        <f>IF(H150="","", IF(ARBITRAGES!$H150="doge",I149+ARBITRAGES!$K150,I149))</f>
        <v>5177.58</v>
      </c>
      <c r="J150" s="378">
        <f>IF(I150="","", IF(ARBITRAGES!$H150="shib",J149-ARBITRAGES!$K150,J149))</f>
        <v>20503076</v>
      </c>
      <c r="K150" s="378">
        <f>IF(J150="","", IF(ARBITRAGES!$H150="cake",K149+ARBITRAGES!$K150,K149))</f>
        <v>127.0804432</v>
      </c>
      <c r="L150" s="378">
        <f>IF(K150="","", IF(ARBITRAGES!$H150="JUP",L149+ARBITRAGES!$K150,L149))</f>
        <v>0</v>
      </c>
      <c r="M150" s="376">
        <f>IF(L150="","", IF(ARBITRAGES!$H150="aave",M149+ARBITRAGES!$K150,M149))</f>
        <v>7.751038596</v>
      </c>
      <c r="N150" s="378">
        <f>IF(M150="","", IF(ARBITRAGES!$H150="ckb",N149+ARBITRAGES!$K150,N149))</f>
        <v>0</v>
      </c>
      <c r="O150" s="378">
        <f>IF(N150="","", IF(ARBITRAGES!$H150="pendle",O149+ARBITRAGES!$K150,O149))</f>
        <v>144.7471597</v>
      </c>
      <c r="P150" s="378">
        <f>IF(O150="","", IF(ARBITRAGES!$H150="BOME",P149+ARBITRAGES!$K150,P149))</f>
        <v>0.02891989199</v>
      </c>
      <c r="Q150" s="378">
        <f>IF(P150="","", IF(ARBITRAGES!$H150="PEPE",Q149+ARBITRAGES!$K150,Q149))</f>
        <v>24130000</v>
      </c>
      <c r="R150" s="378">
        <f>IF(Q150="","", IF(ARBITRAGES!$H150="WIF",R149+ARBITRAGES!$K150,R149))</f>
        <v>0</v>
      </c>
      <c r="S150" s="378">
        <f>IF(R150="","", IF(ARBITRAGES!$H150="RAY",S149+ARBITRAGES!$K150,S149))</f>
        <v>0</v>
      </c>
      <c r="T150" s="360"/>
      <c r="U150" s="360"/>
      <c r="V150" s="360"/>
      <c r="W150" s="360"/>
      <c r="X150" s="360"/>
      <c r="Y150" s="360"/>
      <c r="Z150" s="360"/>
      <c r="AA150" s="360"/>
      <c r="AB150" s="360"/>
      <c r="AC150" s="360"/>
      <c r="AD150" s="360"/>
      <c r="AE150" s="360"/>
      <c r="AF150" s="360"/>
      <c r="AG150" s="360"/>
      <c r="AH150" s="360"/>
    </row>
    <row r="151" ht="18.75" customHeight="1">
      <c r="A151" s="365">
        <f>IF(ARBITRAGES!E151=0,"",ARBITRAGES!E151)</f>
        <v>45909</v>
      </c>
      <c r="B151" s="375">
        <f>IF(A151="","", IF(ARBITRAGES!$H151="BTC",B150+ARBITRAGES!$K151,B150))</f>
        <v>0.2014101004</v>
      </c>
      <c r="C151" s="375">
        <f>IF(B151="","", IF(ARBITRAGES!$H151="eth",C150+ARBITRAGES!$K151,C150))</f>
        <v>1.856839168</v>
      </c>
      <c r="D151" s="376">
        <f>IF(C151="","", IF(ARBITRAGES!$H151="ton",D150+ARBITRAGES!$K151,D150))</f>
        <v>246.4039111</v>
      </c>
      <c r="E151" s="392">
        <f>IF(D151="","", IF(ARBITRAGES!$H151="sol",E150-ARBITRAGES!$K151,E150))</f>
        <v>21.9720223</v>
      </c>
      <c r="F151" s="377">
        <f>IF(E151="","", IF(ARBITRAGES!$H151="tao",F150+ARBITRAGES!$K151,F150))</f>
        <v>13.30561974</v>
      </c>
      <c r="G151" s="378">
        <f>IF(F151="","", IF(ARBITRAGES!$H151="ron",G150+ARBITRAGES!$K151,G150))</f>
        <v>0</v>
      </c>
      <c r="H151" s="378">
        <f>IF(G151="","", IF(ARBITRAGES!$H151="link",H150+ARBITRAGES!$K151,H150))</f>
        <v>90.0797</v>
      </c>
      <c r="I151" s="378">
        <f>IF(H151="","", IF(ARBITRAGES!$H151="doge",I150+ARBITRAGES!$K151,I150))</f>
        <v>5177.58</v>
      </c>
      <c r="J151" s="378">
        <f>IF(I151="","", IF(ARBITRAGES!$H151="shib",J150-ARBITRAGES!$K151,J150))</f>
        <v>20503076</v>
      </c>
      <c r="K151" s="378">
        <f>IF(J151="","", IF(ARBITRAGES!$H151="cake",K150+ARBITRAGES!$K151,K150))</f>
        <v>127.0804432</v>
      </c>
      <c r="L151" s="378">
        <f>IF(K151="","", IF(ARBITRAGES!$H151="JUP",L150+ARBITRAGES!$K151,L150))</f>
        <v>0</v>
      </c>
      <c r="M151" s="376">
        <f>IF(L151="","", IF(ARBITRAGES!$H151="aave",M150+ARBITRAGES!$K151,M150))</f>
        <v>7.751038596</v>
      </c>
      <c r="N151" s="378">
        <f>IF(M151="","", IF(ARBITRAGES!$H151="ckb",N150+ARBITRAGES!$K151,N150))</f>
        <v>0</v>
      </c>
      <c r="O151" s="378">
        <f>IF(N151="","", IF(ARBITRAGES!$H151="pendle",O150+ARBITRAGES!$K151,O150))</f>
        <v>144.7471597</v>
      </c>
      <c r="P151" s="378">
        <f>IF(O151="","", IF(ARBITRAGES!$H151="BOME",P150+ARBITRAGES!$K151,P150))</f>
        <v>0.02891989199</v>
      </c>
      <c r="Q151" s="378">
        <f>IF(P151="","", IF(ARBITRAGES!$H151="PEPE",Q150+ARBITRAGES!$K151,Q150))</f>
        <v>24130000</v>
      </c>
      <c r="R151" s="378">
        <f>IF(Q151="","", IF(ARBITRAGES!$H151="WIF",R150+ARBITRAGES!$K151,R150))</f>
        <v>0</v>
      </c>
      <c r="S151" s="378">
        <f>IF(R151="","", IF(ARBITRAGES!$H151="RAY",S150+ARBITRAGES!$K151,S150))</f>
        <v>0</v>
      </c>
      <c r="T151" s="360"/>
      <c r="U151" s="360"/>
      <c r="V151" s="360"/>
      <c r="W151" s="360"/>
      <c r="X151" s="360"/>
      <c r="Y151" s="360"/>
      <c r="Z151" s="360"/>
      <c r="AA151" s="360"/>
      <c r="AB151" s="360"/>
      <c r="AC151" s="360"/>
      <c r="AD151" s="360"/>
      <c r="AE151" s="360"/>
      <c r="AF151" s="360"/>
      <c r="AG151" s="360"/>
      <c r="AH151" s="360"/>
    </row>
    <row r="152" ht="18.75" customHeight="1">
      <c r="A152" s="365">
        <f>IF(ARBITRAGES!E152=0,"",ARBITRAGES!E152)</f>
        <v>45911</v>
      </c>
      <c r="B152" s="375">
        <f>IF(A152="","", IF(ARBITRAGES!$H152="BTC",B151+ARBITRAGES!$K152,B151))</f>
        <v>0.2014101004</v>
      </c>
      <c r="C152" s="375">
        <f>IF(B152="","", IF(ARBITRAGES!$H152="eth",C151+ARBITRAGES!$K152,C151))</f>
        <v>1.856839168</v>
      </c>
      <c r="D152" s="376">
        <f>IF(C152="","", IF(ARBITRAGES!$H152="ton",D151+ARBITRAGES!$K152,D151))</f>
        <v>246.4039111</v>
      </c>
      <c r="E152" s="376">
        <f>IF(D152="","", IF(ARBITRAGES!$H152="sol",E151+ARBITRAGES!$K152,E151))</f>
        <v>21.9720223</v>
      </c>
      <c r="F152" s="377">
        <f>IF(E152="","", IF(ARBITRAGES!$H152="tao",F151+ARBITRAGES!$K152,F151))</f>
        <v>13.30561974</v>
      </c>
      <c r="G152" s="378">
        <f>IF(F152="","", IF(ARBITRAGES!$H152="ron",G151+ARBITRAGES!$K152,G151))</f>
        <v>0</v>
      </c>
      <c r="H152" s="378">
        <f>IF(G152="","", IF(ARBITRAGES!$H152="link",H151+ARBITRAGES!$K152,H151))</f>
        <v>90.0797</v>
      </c>
      <c r="I152" s="394">
        <f>IF(H152="","", IF(ARBITRAGES!$H152="doge",I151-ARBITRAGES!$K152,I151))</f>
        <v>4677.58</v>
      </c>
      <c r="J152" s="378">
        <f>IF(I152="","", IF(ARBITRAGES!$H152="shib",J151-ARBITRAGES!$K152,J151))</f>
        <v>20503076</v>
      </c>
      <c r="K152" s="378">
        <f>IF(J152="","", IF(ARBITRAGES!$H152="cake",K151+ARBITRAGES!$K152,K151))</f>
        <v>127.0804432</v>
      </c>
      <c r="L152" s="378">
        <f>IF(K152="","", IF(ARBITRAGES!$H152="JUP",L151+ARBITRAGES!$K152,L151))</f>
        <v>0</v>
      </c>
      <c r="M152" s="376">
        <f>IF(L152="","", IF(ARBITRAGES!$H152="aave",M151+ARBITRAGES!$K152,M151))</f>
        <v>7.751038596</v>
      </c>
      <c r="N152" s="378">
        <f>IF(M152="","", IF(ARBITRAGES!$H152="ckb",N151+ARBITRAGES!$K152,N151))</f>
        <v>0</v>
      </c>
      <c r="O152" s="378">
        <f>IF(N152="","", IF(ARBITRAGES!$H152="pendle",O151+ARBITRAGES!$K152,O151))</f>
        <v>144.7471597</v>
      </c>
      <c r="P152" s="378">
        <f>IF(O152="","", IF(ARBITRAGES!$H152="BOME",P151+ARBITRAGES!$K152,P151))</f>
        <v>0.02891989199</v>
      </c>
      <c r="Q152" s="378">
        <f>IF(P152="","", IF(ARBITRAGES!$H152="PEPE",Q151+ARBITRAGES!$K152,Q151))</f>
        <v>24130000</v>
      </c>
      <c r="R152" s="378">
        <f>IF(Q152="","", IF(ARBITRAGES!$H152="WIF",R151+ARBITRAGES!$K152,R151))</f>
        <v>0</v>
      </c>
      <c r="S152" s="378">
        <f>IF(R152="","", IF(ARBITRAGES!$H152="RAY",S151+ARBITRAGES!$K152,S151))</f>
        <v>0</v>
      </c>
      <c r="T152" s="360"/>
      <c r="U152" s="360"/>
      <c r="V152" s="360"/>
      <c r="W152" s="360"/>
      <c r="X152" s="360"/>
      <c r="Y152" s="360"/>
      <c r="Z152" s="360"/>
      <c r="AA152" s="360"/>
      <c r="AB152" s="360"/>
      <c r="AC152" s="360"/>
      <c r="AD152" s="360"/>
      <c r="AE152" s="360"/>
      <c r="AF152" s="360"/>
      <c r="AG152" s="360"/>
      <c r="AH152" s="360"/>
    </row>
    <row r="153" ht="18.75" customHeight="1">
      <c r="A153" s="365">
        <f>IF(ARBITRAGES!E153=0,"",ARBITRAGES!E153)</f>
        <v>45911</v>
      </c>
      <c r="B153" s="375">
        <f>IF(A153="","", IF(ARBITRAGES!$H153="BTC",B152+ARBITRAGES!$K153,B152))</f>
        <v>0.2014101004</v>
      </c>
      <c r="C153" s="374">
        <f>IF(B153="","", IF(ARBITRAGES!$H153="eth",C152+ARBITRAGES!$K153,1.92967836))</f>
        <v>1.92967836</v>
      </c>
      <c r="D153" s="376">
        <f>IF(C153="","", IF(ARBITRAGES!$H153="ton",D152+ARBITRAGES!$K153,D152))</f>
        <v>246.4039111</v>
      </c>
      <c r="E153" s="376">
        <f>IF(D153="","", IF(ARBITRAGES!$H153="sol",E152+ARBITRAGES!$K153,E152))</f>
        <v>21.9720223</v>
      </c>
      <c r="F153" s="377">
        <f>IF(E153="","", IF(ARBITRAGES!$H153="tao",F152+ARBITRAGES!$K153,F152))</f>
        <v>13.30561974</v>
      </c>
      <c r="G153" s="378">
        <f>IF(F153="","", IF(ARBITRAGES!$H153="ron",G152+ARBITRAGES!$K153,G152))</f>
        <v>0</v>
      </c>
      <c r="H153" s="378">
        <f>IF(G153="","", IF(ARBITRAGES!$H153="link",H152+ARBITRAGES!$K153,H152))</f>
        <v>90.0797</v>
      </c>
      <c r="I153" s="378">
        <f>IF(H153="","", IF(ARBITRAGES!$H153="doge",I152+ARBITRAGES!$K153,I152))</f>
        <v>4677.58</v>
      </c>
      <c r="J153" s="378">
        <f>IF(I153="","", IF(ARBITRAGES!$H153="shib",J152-ARBITRAGES!$K153,J152))</f>
        <v>20503076</v>
      </c>
      <c r="K153" s="378">
        <f>IF(J153="","", IF(ARBITRAGES!$H153="cake",K152+ARBITRAGES!$K153,K152))</f>
        <v>127.0804432</v>
      </c>
      <c r="L153" s="378">
        <f>IF(K153="","", IF(ARBITRAGES!$H153="JUP",L152+ARBITRAGES!$K153,L152))</f>
        <v>0</v>
      </c>
      <c r="M153" s="376">
        <f>IF(L153="","", IF(ARBITRAGES!$H153="aave",M152+ARBITRAGES!$K153,M152))</f>
        <v>7.751038596</v>
      </c>
      <c r="N153" s="378">
        <f>IF(M153="","", IF(ARBITRAGES!$H153="ckb",N152+ARBITRAGES!$K153,N152))</f>
        <v>0</v>
      </c>
      <c r="O153" s="394">
        <f>IF(N153="","", IF(ARBITRAGES!$H153="pendle",O152-ARBITRAGES!$K153+0.01,O152))</f>
        <v>124.7571597</v>
      </c>
      <c r="P153" s="378">
        <f>IF(O153="","", IF(ARBITRAGES!$H153="BOME",P152+ARBITRAGES!$K153,P152))</f>
        <v>0.02891989199</v>
      </c>
      <c r="Q153" s="378">
        <f>IF(P153="","", IF(ARBITRAGES!$H153="PEPE",Q152+ARBITRAGES!$K153,Q152))</f>
        <v>24130000</v>
      </c>
      <c r="R153" s="378">
        <f>IF(Q153="","", IF(ARBITRAGES!$H153="WIF",R152+ARBITRAGES!$K153,R152))</f>
        <v>0</v>
      </c>
      <c r="S153" s="378">
        <f>IF(R153="","", IF(ARBITRAGES!$H153="RAY",S152+ARBITRAGES!$K153,S152))</f>
        <v>0</v>
      </c>
      <c r="T153" s="360"/>
      <c r="U153" s="360"/>
      <c r="V153" s="360"/>
      <c r="W153" s="360"/>
      <c r="X153" s="360"/>
      <c r="Y153" s="360"/>
      <c r="Z153" s="360"/>
      <c r="AA153" s="360"/>
      <c r="AB153" s="360"/>
      <c r="AC153" s="360"/>
      <c r="AD153" s="360"/>
      <c r="AE153" s="360"/>
      <c r="AF153" s="360"/>
      <c r="AG153" s="360"/>
      <c r="AH153" s="360"/>
    </row>
    <row r="154" ht="18.75" customHeight="1">
      <c r="A154" s="365">
        <f>IF(ARBITRAGES!E154=0,"",ARBITRAGES!E154)</f>
        <v>45911</v>
      </c>
      <c r="B154" s="375">
        <f>IF(A154="","", IF(ARBITRAGES!$H154="BTC",B153+ARBITRAGES!$K154,B153))</f>
        <v>0.2014101004</v>
      </c>
      <c r="C154" s="375">
        <f>IF(B154="","", IF(ARBITRAGES!$H154="eth",C153+ARBITRAGES!$K154,C153))</f>
        <v>1.92967836</v>
      </c>
      <c r="D154" s="376">
        <f>IF(C154="","", IF(ARBITRAGES!$H154="ton",D153+ARBITRAGES!$K154,D153))</f>
        <v>246.4039111</v>
      </c>
      <c r="E154" s="392">
        <f>IF(D154="","", IF(ARBITRAGES!$H154="sol",E153-ARBITRAGES!$K154,E153))</f>
        <v>20.9720223</v>
      </c>
      <c r="F154" s="377">
        <f>IF(E154="","", IF(ARBITRAGES!$H154="tao",F153+ARBITRAGES!$K154,F153))</f>
        <v>13.30561974</v>
      </c>
      <c r="G154" s="378">
        <f>IF(F154="","", IF(ARBITRAGES!$H154="ron",G153+ARBITRAGES!$K154,G153))</f>
        <v>0</v>
      </c>
      <c r="H154" s="378">
        <f>IF(G154="","", IF(ARBITRAGES!$H154="link",H153+ARBITRAGES!$K154,H153))</f>
        <v>90.0797</v>
      </c>
      <c r="I154" s="378">
        <f>IF(H154="","", IF(ARBITRAGES!$H154="doge",I153+ARBITRAGES!$K154,I153))</f>
        <v>4677.58</v>
      </c>
      <c r="J154" s="378">
        <f>IF(I154="","", IF(ARBITRAGES!$H154="shib",J153-ARBITRAGES!$K154,J153))</f>
        <v>20503076</v>
      </c>
      <c r="K154" s="378">
        <f>IF(J154="","", IF(ARBITRAGES!$H154="cake",K153+ARBITRAGES!$K154,K153))</f>
        <v>127.0804432</v>
      </c>
      <c r="L154" s="378">
        <f>IF(K154="","", IF(ARBITRAGES!$H154="JUP",L153+ARBITRAGES!$K154,L153))</f>
        <v>0</v>
      </c>
      <c r="M154" s="376">
        <f>IF(L154="","", IF(ARBITRAGES!$H154="aave",M153+ARBITRAGES!$K154,M153))</f>
        <v>7.751038596</v>
      </c>
      <c r="N154" s="378">
        <f>IF(M154="","", IF(ARBITRAGES!$H154="ckb",N153+ARBITRAGES!$K154,N153))</f>
        <v>0</v>
      </c>
      <c r="O154" s="378">
        <f>IF(N154="","", IF(ARBITRAGES!$H154="pendle",O153+ARBITRAGES!$K154,O153))</f>
        <v>124.7571597</v>
      </c>
      <c r="P154" s="378">
        <f>IF(O154="","", IF(ARBITRAGES!$H154="BOME",P153+ARBITRAGES!$K154,P153))</f>
        <v>0.02891989199</v>
      </c>
      <c r="Q154" s="378">
        <f>IF(P154="","", IF(ARBITRAGES!$H154="PEPE",Q153+ARBITRAGES!$K154,Q153))</f>
        <v>24130000</v>
      </c>
      <c r="R154" s="378">
        <f>IF(Q154="","", IF(ARBITRAGES!$H154="WIF",R153+ARBITRAGES!$K154,R153))</f>
        <v>0</v>
      </c>
      <c r="S154" s="378">
        <f>IF(R154="","", IF(ARBITRAGES!$H154="RAY",S153+ARBITRAGES!$K154,S153))</f>
        <v>0</v>
      </c>
      <c r="T154" s="360"/>
      <c r="U154" s="360"/>
      <c r="V154" s="360"/>
      <c r="W154" s="360"/>
      <c r="X154" s="360"/>
      <c r="Y154" s="360"/>
      <c r="Z154" s="360"/>
      <c r="AA154" s="360"/>
      <c r="AB154" s="360"/>
      <c r="AC154" s="360"/>
      <c r="AD154" s="360"/>
      <c r="AE154" s="360"/>
      <c r="AF154" s="360"/>
      <c r="AG154" s="360"/>
      <c r="AH154" s="360"/>
    </row>
    <row r="155" ht="18.75" customHeight="1">
      <c r="A155" s="365">
        <f>IF(ARBITRAGES!E155=0,"",ARBITRAGES!E155)</f>
        <v>45912</v>
      </c>
      <c r="B155" s="375">
        <f>IF(A155="","", IF(ARBITRAGES!$H155="BTC",B154+ARBITRAGES!$K155,B154))</f>
        <v>0.2014101004</v>
      </c>
      <c r="C155" s="375">
        <f>IF(B155="","", IF(ARBITRAGES!$H155="eth",C154+ARBITRAGES!$K155,C154))</f>
        <v>1.92967836</v>
      </c>
      <c r="D155" s="376">
        <f>IF(C155="","", IF(ARBITRAGES!$H155="ton",D154+ARBITRAGES!$K155,D154+0.15))</f>
        <v>246.5539111</v>
      </c>
      <c r="E155" s="392">
        <f>IF(D155="","", IF(ARBITRAGES!$H155="sol",E154-ARBITRAGES!$K155-0.965,E154))</f>
        <v>19.0070223</v>
      </c>
      <c r="F155" s="377">
        <f>IF(E155="","", IF(ARBITRAGES!$H155="tao",F154+ARBITRAGES!$K155,F154))</f>
        <v>13.30561974</v>
      </c>
      <c r="G155" s="378">
        <f>IF(F155="","", IF(ARBITRAGES!$H155="ron",G154+ARBITRAGES!$K155,G154))</f>
        <v>0</v>
      </c>
      <c r="H155" s="378">
        <f>IF(G155="","", IF(ARBITRAGES!$H155="link",H154+ARBITRAGES!$K155,H154))</f>
        <v>90.0797</v>
      </c>
      <c r="I155" s="378">
        <f>IF(H155="","", IF(ARBITRAGES!$H155="doge",I154+ARBITRAGES!$K155,I154))</f>
        <v>4677.58</v>
      </c>
      <c r="J155" s="378">
        <f>IF(I155="","", IF(ARBITRAGES!$H155="shib",J154-ARBITRAGES!$K155,J154))</f>
        <v>20503076</v>
      </c>
      <c r="K155" s="378">
        <f>IF(J155="","", IF(ARBITRAGES!$H155="cake",K154+ARBITRAGES!$K155,K154))</f>
        <v>127.0804432</v>
      </c>
      <c r="L155" s="378">
        <f>IF(K155="","", IF(ARBITRAGES!$H155="JUP",L154+ARBITRAGES!$K155,L154))</f>
        <v>0</v>
      </c>
      <c r="M155" s="376">
        <f>IF(L155="","", IF(ARBITRAGES!$H155="aave",M154+ARBITRAGES!$K155,M154))</f>
        <v>7.751038596</v>
      </c>
      <c r="N155" s="378">
        <f>IF(M155="","", IF(ARBITRAGES!$H155="ckb",N154+ARBITRAGES!$K155,N154))</f>
        <v>0</v>
      </c>
      <c r="O155" s="378">
        <f>IF(N155="","", IF(ARBITRAGES!$H155="pendle",O154+ARBITRAGES!$K155,O154))</f>
        <v>124.7571597</v>
      </c>
      <c r="P155" s="378">
        <f>IF(O155="","", IF(ARBITRAGES!$H155="BOME",P154+ARBITRAGES!$K155,P154))</f>
        <v>0.02891989199</v>
      </c>
      <c r="Q155" s="378">
        <f>IF(P155="","", IF(ARBITRAGES!$H155="PEPE",Q154+ARBITRAGES!$K155,Q154+15000))</f>
        <v>24145000</v>
      </c>
      <c r="R155" s="378">
        <f>IF(Q155="","", IF(ARBITRAGES!$H155="WIF",R154+ARBITRAGES!$K155,R154))</f>
        <v>0</v>
      </c>
      <c r="S155" s="378">
        <f>IF(R155="","", IF(ARBITRAGES!$H155="RAY",S154+ARBITRAGES!$K155,S154))</f>
        <v>0</v>
      </c>
      <c r="T155" s="360"/>
      <c r="U155" s="360"/>
      <c r="V155" s="360"/>
      <c r="W155" s="360"/>
      <c r="X155" s="360"/>
      <c r="Y155" s="360"/>
      <c r="Z155" s="360"/>
      <c r="AA155" s="360"/>
      <c r="AB155" s="360"/>
      <c r="AC155" s="360"/>
      <c r="AD155" s="360"/>
      <c r="AE155" s="360"/>
      <c r="AF155" s="360"/>
      <c r="AG155" s="360"/>
      <c r="AH155" s="360"/>
    </row>
    <row r="156" ht="18.75" customHeight="1">
      <c r="A156" s="365">
        <f>IF(ARBITRAGES!E156=0,"",ARBITRAGES!E156)</f>
        <v>45914</v>
      </c>
      <c r="B156" s="375">
        <f>IF(A156="","", IF(ARBITRAGES!$H156="BTC",B155+ARBITRAGES!$K156,B155))</f>
        <v>0.2014101004</v>
      </c>
      <c r="C156" s="375">
        <f>IF(B156="","", IF(ARBITRAGES!$H156="eth",C155+ARBITRAGES!$K156,C155))</f>
        <v>1.92967836</v>
      </c>
      <c r="D156" s="376">
        <f>IF(C156="","", IF(ARBITRAGES!$H156="ton",D155+ARBITRAGES!$K156,D155))</f>
        <v>246.5539111</v>
      </c>
      <c r="E156" s="392">
        <f>IF(D156="","", IF(ARBITRAGES!$H156="sol",E155-ARBITRAGES!$K156,E155))</f>
        <v>18.0070223</v>
      </c>
      <c r="F156" s="377">
        <f>IF(E156="","", IF(ARBITRAGES!$H156="tao",F155+ARBITRAGES!$K156,F155))</f>
        <v>13.30561974</v>
      </c>
      <c r="G156" s="378">
        <f>IF(F156="","", IF(ARBITRAGES!$H156="ron",G155+ARBITRAGES!$K156,G155))</f>
        <v>0</v>
      </c>
      <c r="H156" s="378">
        <f>IF(G156="","", IF(ARBITRAGES!$H156="link",H155+ARBITRAGES!$K156,H155))</f>
        <v>90.0797</v>
      </c>
      <c r="I156" s="378">
        <f>IF(H156="","", IF(ARBITRAGES!$H156="doge",I155+ARBITRAGES!$K156,I155))</f>
        <v>4677.58</v>
      </c>
      <c r="J156" s="378">
        <f>IF(I156="","", IF(ARBITRAGES!$H156="shib",J155-ARBITRAGES!$K156,J155))</f>
        <v>20503076</v>
      </c>
      <c r="K156" s="378">
        <f>IF(J156="","", IF(ARBITRAGES!$H156="cake",K155+ARBITRAGES!$K156,K155))</f>
        <v>127.0804432</v>
      </c>
      <c r="L156" s="378">
        <f>IF(K156="","", IF(ARBITRAGES!$H156="JUP",L155+ARBITRAGES!$K156,L155))</f>
        <v>0</v>
      </c>
      <c r="M156" s="376">
        <f>IF(L156="","", IF(ARBITRAGES!$H156="aave",M155+ARBITRAGES!$K156,M155))</f>
        <v>7.751038596</v>
      </c>
      <c r="N156" s="378">
        <f>IF(M156="","", IF(ARBITRAGES!$H156="ckb",N155+ARBITRAGES!$K156,N155))</f>
        <v>0</v>
      </c>
      <c r="O156" s="378">
        <f>IF(N156="","", IF(ARBITRAGES!$H156="pendle",O155+ARBITRAGES!$K156,O155))</f>
        <v>124.7571597</v>
      </c>
      <c r="P156" s="378">
        <f>IF(O156="","", IF(ARBITRAGES!$H156="BOME",P155+ARBITRAGES!$K156,P155))</f>
        <v>0.02891989199</v>
      </c>
      <c r="Q156" s="378">
        <f>IF(P156="","", IF(ARBITRAGES!$H156="PEPE",Q155+ARBITRAGES!$K156,Q155))</f>
        <v>24145000</v>
      </c>
      <c r="R156" s="378">
        <f>IF(Q156="","", IF(ARBITRAGES!$H156="WIF",R155+ARBITRAGES!$K156,R155))</f>
        <v>0</v>
      </c>
      <c r="S156" s="378">
        <f>IF(R156="","", IF(ARBITRAGES!$H156="RAY",S155+ARBITRAGES!$K156,S155))</f>
        <v>0</v>
      </c>
      <c r="T156" s="360"/>
      <c r="U156" s="360"/>
      <c r="V156" s="360"/>
      <c r="W156" s="360"/>
      <c r="X156" s="360"/>
      <c r="Y156" s="360"/>
      <c r="Z156" s="360"/>
      <c r="AA156" s="360"/>
      <c r="AB156" s="360"/>
      <c r="AC156" s="360"/>
      <c r="AD156" s="360"/>
      <c r="AE156" s="360"/>
      <c r="AF156" s="360"/>
      <c r="AG156" s="360"/>
      <c r="AH156" s="360"/>
    </row>
    <row r="157" ht="18.75" customHeight="1">
      <c r="A157" s="365">
        <f>IF(ARBITRAGES!E157=0,"",ARBITRAGES!E157)</f>
        <v>45918</v>
      </c>
      <c r="B157" s="375">
        <f>IF(A157="","", IF(ARBITRAGES!$H157="BTC",B156+ARBITRAGES!$K157,B156))</f>
        <v>0.2014101004</v>
      </c>
      <c r="C157" s="375">
        <f>IF(B157="","", IF(ARBITRAGES!$H157="eth",C156+ARBITRAGES!$K157,C156))</f>
        <v>1.92967836</v>
      </c>
      <c r="D157" s="376">
        <f>IF(C157="","", IF(ARBITRAGES!$H157="ton",D156+ARBITRAGES!$K157,D156))</f>
        <v>246.5539111</v>
      </c>
      <c r="E157" s="376">
        <f>IF(D157="","", IF(ARBITRAGES!$H157="sol",E156+ARBITRAGES!$K157,E156))</f>
        <v>18.0070223</v>
      </c>
      <c r="F157" s="391">
        <f>IF(E157="","", IF(ARBITRAGES!$H157="tao",F156-ARBITRAGES!$K157,F156))</f>
        <v>12.70561974</v>
      </c>
      <c r="G157" s="378">
        <f>IF(F157="","", IF(ARBITRAGES!$H157="ron",G156+ARBITRAGES!$K157,G156))</f>
        <v>0</v>
      </c>
      <c r="H157" s="378">
        <f>IF(G157="","", IF(ARBITRAGES!$H157="link",H156+ARBITRAGES!$K157,H156))</f>
        <v>90.0797</v>
      </c>
      <c r="I157" s="378">
        <f>IF(H157="","", IF(ARBITRAGES!$H157="doge",I156+ARBITRAGES!$K157,I156))</f>
        <v>4677.58</v>
      </c>
      <c r="J157" s="378">
        <f>IF(I157="","", IF(ARBITRAGES!$H157="shib",J156-ARBITRAGES!$K157,J156))</f>
        <v>20503076</v>
      </c>
      <c r="K157" s="378">
        <f>IF(J157="","", IF(ARBITRAGES!$H157="cake",K156+ARBITRAGES!$K157,K156))</f>
        <v>127.0804432</v>
      </c>
      <c r="L157" s="378">
        <f>IF(K157="","", IF(ARBITRAGES!$H157="JUP",L156+ARBITRAGES!$K157,L156))</f>
        <v>0</v>
      </c>
      <c r="M157" s="376">
        <f>IF(L157="","", IF(ARBITRAGES!$H157="aave",M156+ARBITRAGES!$K157,M156))</f>
        <v>7.751038596</v>
      </c>
      <c r="N157" s="378">
        <f>IF(M157="","", IF(ARBITRAGES!$H157="ckb",N156+ARBITRAGES!$K157,N156))</f>
        <v>0</v>
      </c>
      <c r="O157" s="378">
        <f>IF(N157="","", IF(ARBITRAGES!$H157="pendle",O156+ARBITRAGES!$K157,O156))</f>
        <v>124.7571597</v>
      </c>
      <c r="P157" s="378">
        <f>IF(O157="","", IF(ARBITRAGES!$H157="BOME",P156+ARBITRAGES!$K157,P156))</f>
        <v>0.02891989199</v>
      </c>
      <c r="Q157" s="378">
        <f>IF(P157="","", IF(ARBITRAGES!$H157="PEPE",Q156+ARBITRAGES!$K157,Q156))</f>
        <v>24145000</v>
      </c>
      <c r="R157" s="378">
        <f>IF(Q157="","", IF(ARBITRAGES!$H157="WIF",R156+ARBITRAGES!$K157,R156))</f>
        <v>0</v>
      </c>
      <c r="S157" s="378">
        <f>IF(R157="","", IF(ARBITRAGES!$H157="RAY",S156+ARBITRAGES!$K157,S156))</f>
        <v>0</v>
      </c>
      <c r="T157" s="360"/>
      <c r="U157" s="360"/>
      <c r="V157" s="360"/>
      <c r="W157" s="360"/>
      <c r="X157" s="360"/>
      <c r="Y157" s="360"/>
      <c r="Z157" s="360"/>
      <c r="AA157" s="360"/>
      <c r="AB157" s="360"/>
      <c r="AC157" s="360"/>
      <c r="AD157" s="360"/>
      <c r="AE157" s="360"/>
      <c r="AF157" s="360"/>
      <c r="AG157" s="360"/>
      <c r="AH157" s="360"/>
    </row>
    <row r="158" ht="18.75" customHeight="1">
      <c r="A158" s="365">
        <f>IF(ARBITRAGES!E158=0,"",ARBITRAGES!E158)</f>
        <v>45918</v>
      </c>
      <c r="B158" s="375">
        <f>IF(A158="","", IF(ARBITRAGES!$H158="BTC",B157+ARBITRAGES!$K158,B157))</f>
        <v>0.2014101004</v>
      </c>
      <c r="C158" s="375">
        <f>IF(B158="","", IF(ARBITRAGES!$H158="eth",C157+ARBITRAGES!$K158,C157))</f>
        <v>1.92967836</v>
      </c>
      <c r="D158" s="376">
        <f>IF(C158="","", IF(ARBITRAGES!$H158="ton",D157+ARBITRAGES!$K158,D157))</f>
        <v>246.5539111</v>
      </c>
      <c r="E158" s="392">
        <f>IF(D158="","", IF(ARBITRAGES!$H158="sol",E157-ARBITRAGES!$K158,E157))</f>
        <v>17.0070223</v>
      </c>
      <c r="F158" s="377">
        <f>IF(E158="","", IF(ARBITRAGES!$H158="tao",F157+ARBITRAGES!$K158,F157))</f>
        <v>12.70561974</v>
      </c>
      <c r="G158" s="378">
        <f>IF(F158="","", IF(ARBITRAGES!$H158="ron",G157+ARBITRAGES!$K158,G157))</f>
        <v>0</v>
      </c>
      <c r="H158" s="378">
        <f>IF(G158="","", IF(ARBITRAGES!$H158="link",H157+ARBITRAGES!$K158,H157))</f>
        <v>90.0797</v>
      </c>
      <c r="I158" s="378">
        <f>IF(H158="","", IF(ARBITRAGES!$H158="doge",I157+ARBITRAGES!$K158,I157))</f>
        <v>4677.58</v>
      </c>
      <c r="J158" s="378">
        <f>IF(I158="","", IF(ARBITRAGES!$H158="shib",J157-ARBITRAGES!$K158,J157))</f>
        <v>20503076</v>
      </c>
      <c r="K158" s="378">
        <f>IF(J158="","", IF(ARBITRAGES!$H158="cake",K157+ARBITRAGES!$K158,K157))</f>
        <v>127.0804432</v>
      </c>
      <c r="L158" s="378">
        <f>IF(K158="","", IF(ARBITRAGES!$H158="JUP",L157+ARBITRAGES!$K158,L157))</f>
        <v>0</v>
      </c>
      <c r="M158" s="376">
        <f>IF(L158="","", IF(ARBITRAGES!$H158="aave",M157+ARBITRAGES!$K158,M157))</f>
        <v>7.751038596</v>
      </c>
      <c r="N158" s="378">
        <f>IF(M158="","", IF(ARBITRAGES!$H158="ckb",N157+ARBITRAGES!$K158,N157))</f>
        <v>0</v>
      </c>
      <c r="O158" s="378">
        <f>IF(N158="","", IF(ARBITRAGES!$H158="pendle",O157+ARBITRAGES!$K158,O157))</f>
        <v>124.7571597</v>
      </c>
      <c r="P158" s="378">
        <f>IF(O158="","", IF(ARBITRAGES!$H158="BOME",P157+ARBITRAGES!$K158,P157))</f>
        <v>0.02891989199</v>
      </c>
      <c r="Q158" s="378">
        <f>IF(P158="","", IF(ARBITRAGES!$H158="PEPE",Q157+ARBITRAGES!$K158,Q157))</f>
        <v>24145000</v>
      </c>
      <c r="R158" s="378">
        <f>IF(Q158="","", IF(ARBITRAGES!$H158="WIF",R157+ARBITRAGES!$K158,R157))</f>
        <v>0</v>
      </c>
      <c r="S158" s="378">
        <f>IF(R158="","", IF(ARBITRAGES!$H158="RAY",S157+ARBITRAGES!$K158,S157))</f>
        <v>0</v>
      </c>
      <c r="T158" s="360"/>
      <c r="U158" s="360"/>
      <c r="V158" s="360"/>
      <c r="W158" s="360"/>
      <c r="X158" s="360"/>
      <c r="Y158" s="360"/>
      <c r="Z158" s="360"/>
      <c r="AA158" s="360"/>
      <c r="AB158" s="360"/>
      <c r="AC158" s="360"/>
      <c r="AD158" s="360"/>
      <c r="AE158" s="360"/>
      <c r="AF158" s="360"/>
      <c r="AG158" s="360"/>
      <c r="AH158" s="360"/>
    </row>
    <row r="159" ht="18.75" customHeight="1">
      <c r="A159" s="365">
        <f>IF(ARBITRAGES!E159=0,"",ARBITRAGES!E159)</f>
        <v>45919</v>
      </c>
      <c r="B159" s="375">
        <f>IF(A159="","", IF(ARBITRAGES!$H159="BTC",B158+ARBITRAGES!$K159,B158))</f>
        <v>0.2014101004</v>
      </c>
      <c r="C159" s="375">
        <f>IF(B159="","", IF(ARBITRAGES!$H159="eth",C158+ARBITRAGES!$K159,C158))</f>
        <v>1.92967836</v>
      </c>
      <c r="D159" s="376">
        <f>IF(C159="","", IF(ARBITRAGES!$H159="ton",D158+ARBITRAGES!$K159,D158))</f>
        <v>246.5539111</v>
      </c>
      <c r="E159" s="376">
        <f>IF(D159="","", IF(ARBITRAGES!$H159="sol",E158+ARBITRAGES!$K159,E158))</f>
        <v>17.0070223</v>
      </c>
      <c r="F159" s="391">
        <f>IF(E159="","", IF(ARBITRAGES!$H159="tao",F158-ARBITRAGES!$K159+0.001,F158))</f>
        <v>12.00661974</v>
      </c>
      <c r="G159" s="378">
        <f>IF(F159="","", IF(ARBITRAGES!$H159="ron",G158+ARBITRAGES!$K159,G158))</f>
        <v>0</v>
      </c>
      <c r="H159" s="378">
        <f>IF(G159="","", IF(ARBITRAGES!$H159="link",H158+ARBITRAGES!$K159,H158))</f>
        <v>90.0797</v>
      </c>
      <c r="I159" s="378">
        <f>IF(H159="","", IF(ARBITRAGES!$H159="doge",I158+ARBITRAGES!$K159,I158))</f>
        <v>4677.58</v>
      </c>
      <c r="J159" s="378">
        <f>IF(I159="","", IF(ARBITRAGES!$H159="shib",J158-ARBITRAGES!$K159,J158))</f>
        <v>20503076</v>
      </c>
      <c r="K159" s="378">
        <f>IF(J159="","", IF(ARBITRAGES!$H159="cake",K158+ARBITRAGES!$K159,K158))</f>
        <v>127.0804432</v>
      </c>
      <c r="L159" s="378">
        <f>IF(K159="","", IF(ARBITRAGES!$H159="JUP",L158+ARBITRAGES!$K159,L158))</f>
        <v>0</v>
      </c>
      <c r="M159" s="376">
        <f>IF(L159="","", IF(ARBITRAGES!$H159="aave",M158+ARBITRAGES!$K159,M158))</f>
        <v>7.751038596</v>
      </c>
      <c r="N159" s="378">
        <f>IF(M159="","", IF(ARBITRAGES!$H159="ckb",N158+ARBITRAGES!$K159,N158))</f>
        <v>0</v>
      </c>
      <c r="O159" s="378">
        <f>IF(N159="","", IF(ARBITRAGES!$H159="pendle",O158+ARBITRAGES!$K159,O158))</f>
        <v>124.7571597</v>
      </c>
      <c r="P159" s="378">
        <f>IF(O159="","", IF(ARBITRAGES!$H159="BOME",P158+ARBITRAGES!$K159,P158))</f>
        <v>0.02891989199</v>
      </c>
      <c r="Q159" s="378">
        <f>IF(P159="","", IF(ARBITRAGES!$H159="PEPE",Q158+ARBITRAGES!$K159,Q158))</f>
        <v>24145000</v>
      </c>
      <c r="R159" s="378">
        <f>IF(Q159="","", IF(ARBITRAGES!$H159="WIF",R158+ARBITRAGES!$K159,R158))</f>
        <v>0</v>
      </c>
      <c r="S159" s="378">
        <f>IF(R159="","", IF(ARBITRAGES!$H159="RAY",S158+ARBITRAGES!$K159,S158))</f>
        <v>0</v>
      </c>
      <c r="T159" s="360"/>
      <c r="U159" s="360"/>
      <c r="V159" s="360"/>
      <c r="W159" s="360"/>
      <c r="X159" s="360"/>
      <c r="Y159" s="360"/>
      <c r="Z159" s="360"/>
      <c r="AA159" s="360"/>
      <c r="AB159" s="360"/>
      <c r="AC159" s="360"/>
      <c r="AD159" s="360"/>
      <c r="AE159" s="360"/>
      <c r="AF159" s="360"/>
      <c r="AG159" s="360"/>
      <c r="AH159" s="360"/>
    </row>
    <row r="160" ht="18.75" customHeight="1">
      <c r="A160" s="365">
        <f>IF(ARBITRAGES!E160=0,"",ARBITRAGES!E160)</f>
        <v>45922</v>
      </c>
      <c r="B160" s="375">
        <f>IF(A160="","", IF(ARBITRAGES!$H160="BTC",B159+ARBITRAGES!$K160,B159))</f>
        <v>0.2014101004</v>
      </c>
      <c r="C160" s="374">
        <f>IF(B160="","", IF(ARBITRAGES!$H160="eth",C159+ARBITRAGES!$K160+0.1,C159))</f>
        <v>2.09967836</v>
      </c>
      <c r="D160" s="376">
        <f>IF(C160="","", IF(ARBITRAGES!$H160="ton",D159+ARBITRAGES!$K160,D159))</f>
        <v>246.5539111</v>
      </c>
      <c r="E160" s="376">
        <f>IF(D160="","", IF(ARBITRAGES!$H160="sol",E159+ARBITRAGES!$K160,E159))</f>
        <v>17.0070223</v>
      </c>
      <c r="F160" s="377">
        <f>IF(E160="","", IF(ARBITRAGES!$H160="tao",F159+ARBITRAGES!$K160,F159))</f>
        <v>12.00661974</v>
      </c>
      <c r="G160" s="378">
        <f>IF(F160="","", IF(ARBITRAGES!$H160="ron",G159+ARBITRAGES!$K160,G159))</f>
        <v>0</v>
      </c>
      <c r="H160" s="378">
        <f>IF(G160="","", IF(ARBITRAGES!$H160="link",H159+ARBITRAGES!$K160,H159))</f>
        <v>90.0797</v>
      </c>
      <c r="I160" s="378">
        <f>IF(H160="","", IF(ARBITRAGES!$H160="doge",I159+ARBITRAGES!$K160,I159))</f>
        <v>4677.58</v>
      </c>
      <c r="J160" s="378">
        <f>IF(I160="","", IF(ARBITRAGES!$H160="shib",J159-ARBITRAGES!$K160,J159))</f>
        <v>20503076</v>
      </c>
      <c r="K160" s="378">
        <f>IF(J160="","", IF(ARBITRAGES!$H160="cake",K159+ARBITRAGES!$K160,K159))</f>
        <v>127.0804432</v>
      </c>
      <c r="L160" s="378">
        <f>IF(K160="","", IF(ARBITRAGES!$H160="JUP",L159+ARBITRAGES!$K160,L159))</f>
        <v>0</v>
      </c>
      <c r="M160" s="376">
        <f>IF(L160="","", IF(ARBITRAGES!$H160="aave",M159+ARBITRAGES!$K160,M159))</f>
        <v>7.751038596</v>
      </c>
      <c r="N160" s="378">
        <f>IF(M160="","", IF(ARBITRAGES!$H160="ckb",N159+ARBITRAGES!$K160,N159))</f>
        <v>0</v>
      </c>
      <c r="O160" s="378">
        <f>IF(N160="","", IF(ARBITRAGES!$H160="pendle",O159+ARBITRAGES!$K160,O159))</f>
        <v>124.7571597</v>
      </c>
      <c r="P160" s="378">
        <f>IF(O160="","", IF(ARBITRAGES!$H160="BOME",P159+ARBITRAGES!$K160,P159))</f>
        <v>0.02891989199</v>
      </c>
      <c r="Q160" s="378">
        <f>IF(P160="","", IF(ARBITRAGES!$H160="PEPE",Q159+ARBITRAGES!$K160,Q159))</f>
        <v>24145000</v>
      </c>
      <c r="R160" s="378">
        <f>IF(Q160="","", IF(ARBITRAGES!$H160="WIF",R159+ARBITRAGES!$K160,R159))</f>
        <v>0</v>
      </c>
      <c r="S160" s="378">
        <f>IF(R160="","", IF(ARBITRAGES!$H160="RAY",S159+ARBITRAGES!$K160,S159))</f>
        <v>0</v>
      </c>
      <c r="T160" s="360"/>
      <c r="U160" s="360"/>
      <c r="V160" s="360"/>
      <c r="W160" s="360"/>
      <c r="X160" s="360"/>
      <c r="Y160" s="360"/>
      <c r="Z160" s="360"/>
      <c r="AA160" s="360"/>
      <c r="AB160" s="360"/>
      <c r="AC160" s="360"/>
      <c r="AD160" s="360"/>
      <c r="AE160" s="360"/>
      <c r="AF160" s="360"/>
      <c r="AG160" s="360"/>
      <c r="AH160" s="360"/>
    </row>
    <row r="161" ht="18.75" customHeight="1">
      <c r="A161" s="365">
        <f>IF(ARBITRAGES!E161=0,"",ARBITRAGES!E161)</f>
        <v>45923</v>
      </c>
      <c r="B161" s="375">
        <f>IF(A161="","", IF(ARBITRAGES!$H161="BTC",B160+ARBITRAGES!$K161,B160+0.000008))</f>
        <v>0.2014181004</v>
      </c>
      <c r="C161" s="375">
        <f>IF(B161="","", IF(ARBITRAGES!$H161="eth",C160+ARBITRAGES!$K161,C160))</f>
        <v>2.09967836</v>
      </c>
      <c r="D161" s="376">
        <f>IF(C161="","", IF(ARBITRAGES!$H161="ton",D160+ARBITRAGES!$K161,D160))</f>
        <v>246.5539111</v>
      </c>
      <c r="E161" s="383">
        <f>IF(D161="","", IF(ARBITRAGES!$H161="sol",E160+ARBITRAGES!$K161+0.015,E160))</f>
        <v>17.5220223</v>
      </c>
      <c r="F161" s="377">
        <f>IF(E161="","", IF(ARBITRAGES!$H161="tao",F160+ARBITRAGES!$K161,F160))</f>
        <v>12.00661974</v>
      </c>
      <c r="G161" s="378">
        <f>IF(F161="","", IF(ARBITRAGES!$H161="ron",G160+ARBITRAGES!$K161,G160))</f>
        <v>0</v>
      </c>
      <c r="H161" s="378">
        <f>IF(G161="","", IF(ARBITRAGES!$H161="link",H160+ARBITRAGES!$K161,H160))</f>
        <v>90.0797</v>
      </c>
      <c r="I161" s="378">
        <f>IF(H161="","", IF(ARBITRAGES!$H161="doge",I160+ARBITRAGES!$K161,I160))</f>
        <v>4677.58</v>
      </c>
      <c r="J161" s="378">
        <f>IF(I161="","", IF(ARBITRAGES!$H161="shib",J160-ARBITRAGES!$K161,J160))</f>
        <v>20503076</v>
      </c>
      <c r="K161" s="378">
        <f>IF(J161="","", IF(ARBITRAGES!$H161="cake",K160+ARBITRAGES!$K161,K160))</f>
        <v>127.0804432</v>
      </c>
      <c r="L161" s="378">
        <f>IF(K161="","", IF(ARBITRAGES!$H161="JUP",L160+ARBITRAGES!$K161,L160))</f>
        <v>0</v>
      </c>
      <c r="M161" s="376">
        <f>IF(L161="","", IF(ARBITRAGES!$H161="aave",M160+ARBITRAGES!$K161,M160))</f>
        <v>7.751038596</v>
      </c>
      <c r="N161" s="378">
        <f>IF(M161="","", IF(ARBITRAGES!$H161="ckb",N160+ARBITRAGES!$K161,N160))</f>
        <v>0</v>
      </c>
      <c r="O161" s="378">
        <f>IF(N161="","", IF(ARBITRAGES!$H161="pendle",O160+ARBITRAGES!$K161,O160))</f>
        <v>124.7571597</v>
      </c>
      <c r="P161" s="378">
        <f>IF(O161="","", IF(ARBITRAGES!$H161="BOME",P160+ARBITRAGES!$K161,P160))</f>
        <v>0.02891989199</v>
      </c>
      <c r="Q161" s="378">
        <f>IF(P161="","", IF(ARBITRAGES!$H161="PEPE",Q160+ARBITRAGES!$K161,Q160))</f>
        <v>24145000</v>
      </c>
      <c r="R161" s="378">
        <f>IF(Q161="","", IF(ARBITRAGES!$H161="WIF",R160+ARBITRAGES!$K161,R160))</f>
        <v>0</v>
      </c>
      <c r="S161" s="378">
        <f>IF(R161="","", IF(ARBITRAGES!$H161="RAY",S160+ARBITRAGES!$K161,S160))</f>
        <v>0</v>
      </c>
      <c r="T161" s="360"/>
      <c r="U161" s="360"/>
      <c r="V161" s="360"/>
      <c r="W161" s="360"/>
      <c r="X161" s="360"/>
      <c r="Y161" s="360"/>
      <c r="Z161" s="360"/>
      <c r="AA161" s="360"/>
      <c r="AB161" s="360"/>
      <c r="AC161" s="360"/>
      <c r="AD161" s="360"/>
      <c r="AE161" s="360"/>
      <c r="AF161" s="360"/>
      <c r="AG161" s="360"/>
      <c r="AH161" s="360"/>
    </row>
    <row r="162" ht="18.75" customHeight="1">
      <c r="A162" s="365">
        <f>IF(ARBITRAGES!E162=0,"",ARBITRAGES!E162)</f>
        <v>45924</v>
      </c>
      <c r="B162" s="375">
        <f>IF(A162="","", IF(ARBITRAGES!$H162="BTC",B161+ARBITRAGES!$K162,B161))</f>
        <v>0.2014181004</v>
      </c>
      <c r="C162" s="375">
        <f>IF(B162="","", IF(ARBITRAGES!$H162="eth",C161+ARBITRAGES!$K162,C161))</f>
        <v>2.09967836</v>
      </c>
      <c r="D162" s="376">
        <f>IF(C162="","", IF(ARBITRAGES!$H162="ton",D161+ARBITRAGES!$K162,D161))</f>
        <v>246.5539111</v>
      </c>
      <c r="E162" s="376">
        <f>IF(D162="","", IF(ARBITRAGES!$H162="sol",E161+ARBITRAGES!$K162,E161))</f>
        <v>17.5220223</v>
      </c>
      <c r="F162" s="385">
        <f>IF(E162="","", IF(ARBITRAGES!$H162="tao",F161+ARBITRAGES!$K162,F161))</f>
        <v>12.50661974</v>
      </c>
      <c r="G162" s="378">
        <f>IF(F162="","", IF(ARBITRAGES!$H162="ron",G161+ARBITRAGES!$K162,G161))</f>
        <v>0</v>
      </c>
      <c r="H162" s="378">
        <f>IF(G162="","", IF(ARBITRAGES!$H162="link",H161+ARBITRAGES!$K162,H161))</f>
        <v>90.0797</v>
      </c>
      <c r="I162" s="378">
        <f>IF(H162="","", IF(ARBITRAGES!$H162="doge",I161+ARBITRAGES!$K162,I161))</f>
        <v>4677.58</v>
      </c>
      <c r="J162" s="378">
        <f>IF(I162="","", IF(ARBITRAGES!$H162="shib",J161-ARBITRAGES!$K162,J161))</f>
        <v>20503076</v>
      </c>
      <c r="K162" s="378">
        <f>IF(J162="","", IF(ARBITRAGES!$H162="cake",K161+ARBITRAGES!$K162,K161))</f>
        <v>127.0804432</v>
      </c>
      <c r="L162" s="378">
        <f>IF(K162="","", IF(ARBITRAGES!$H162="JUP",L161+ARBITRAGES!$K162,L161))</f>
        <v>0</v>
      </c>
      <c r="M162" s="376">
        <f>IF(L162="","", IF(ARBITRAGES!$H162="aave",M161+ARBITRAGES!$K162,M161))</f>
        <v>7.751038596</v>
      </c>
      <c r="N162" s="378">
        <f>IF(M162="","", IF(ARBITRAGES!$H162="ckb",N161+ARBITRAGES!$K162,N161))</f>
        <v>0</v>
      </c>
      <c r="O162" s="378">
        <f>IF(N162="","", IF(ARBITRAGES!$H162="pendle",O161+ARBITRAGES!$K162,O161))</f>
        <v>124.7571597</v>
      </c>
      <c r="P162" s="378">
        <f>IF(O162="","", IF(ARBITRAGES!$H162="BOME",P161+ARBITRAGES!$K162,P161))</f>
        <v>0.02891989199</v>
      </c>
      <c r="Q162" s="378">
        <f>IF(P162="","", IF(ARBITRAGES!$H162="PEPE",Q161+ARBITRAGES!$K162,Q161))</f>
        <v>24145000</v>
      </c>
      <c r="R162" s="378">
        <f>IF(Q162="","", IF(ARBITRAGES!$H162="WIF",R161+ARBITRAGES!$K162,R161))</f>
        <v>0</v>
      </c>
      <c r="S162" s="378">
        <f>IF(R162="","", IF(ARBITRAGES!$H162="RAY",S161+ARBITRAGES!$K162,S161))</f>
        <v>0</v>
      </c>
      <c r="T162" s="360"/>
      <c r="U162" s="360"/>
      <c r="V162" s="360"/>
      <c r="W162" s="360"/>
      <c r="X162" s="360"/>
      <c r="Y162" s="360"/>
      <c r="Z162" s="360"/>
      <c r="AA162" s="360"/>
      <c r="AB162" s="360"/>
      <c r="AC162" s="360"/>
      <c r="AD162" s="360"/>
      <c r="AE162" s="360"/>
      <c r="AF162" s="360"/>
      <c r="AG162" s="360"/>
      <c r="AH162" s="360"/>
    </row>
    <row r="163" ht="18.75" customHeight="1">
      <c r="A163" s="365">
        <f>IF(ARBITRAGES!E163=0,"",ARBITRAGES!E163)</f>
        <v>45925</v>
      </c>
      <c r="B163" s="375">
        <f>IF(A163="","", IF(ARBITRAGES!$H163="BTC",B162+ARBITRAGES!$K163,B162))</f>
        <v>0.2014181004</v>
      </c>
      <c r="C163" s="375">
        <f>IF(B163="","", IF(ARBITRAGES!$H163="eth",C162+ARBITRAGES!$K163,C162))</f>
        <v>2.09967836</v>
      </c>
      <c r="D163" s="376">
        <f>IF(C163="","", IF(ARBITRAGES!$H163="ton",D162+ARBITRAGES!$K163,D162))</f>
        <v>246.5539111</v>
      </c>
      <c r="E163" s="376">
        <f>IF(D163="","", IF(ARBITRAGES!$H163="sol",E162+ARBITRAGES!$K163,E162))</f>
        <v>17.5220223</v>
      </c>
      <c r="F163" s="377">
        <f>IF(E163="","", IF(ARBITRAGES!$H163="tao",F162+ARBITRAGES!$K163,F162))</f>
        <v>12.50661974</v>
      </c>
      <c r="G163" s="378">
        <f>IF(F163="","", IF(ARBITRAGES!$H163="ron",G162+ARBITRAGES!$K163,G162))</f>
        <v>0</v>
      </c>
      <c r="H163" s="378">
        <f>IF(G163="","", IF(ARBITRAGES!$H163="link",H162+ARBITRAGES!$K163,H162))</f>
        <v>90.0797</v>
      </c>
      <c r="I163" s="389">
        <f>IF(H163="","", IF(ARBITRAGES!$H163="doge",I162+ARBITRAGES!$K163+1,I162))</f>
        <v>4928.58</v>
      </c>
      <c r="J163" s="378">
        <f>IF(I163="","", IF(ARBITRAGES!$H163="shib",J162-ARBITRAGES!$K163,J162))</f>
        <v>20503076</v>
      </c>
      <c r="K163" s="378">
        <f>IF(J163="","", IF(ARBITRAGES!$H163="cake",K162+ARBITRAGES!$K163,K162))</f>
        <v>127.0804432</v>
      </c>
      <c r="L163" s="378">
        <f>IF(K163="","", IF(ARBITRAGES!$H163="JUP",L162+ARBITRAGES!$K163,L162))</f>
        <v>0</v>
      </c>
      <c r="M163" s="376">
        <f>IF(L163="","", IF(ARBITRAGES!$H163="aave",M162+ARBITRAGES!$K163,M162))</f>
        <v>7.751038596</v>
      </c>
      <c r="N163" s="378">
        <f>IF(M163="","", IF(ARBITRAGES!$H163="ckb",N162+ARBITRAGES!$K163,N162))</f>
        <v>0</v>
      </c>
      <c r="O163" s="378">
        <f>IF(N163="","", IF(ARBITRAGES!$H163="pendle",O162+ARBITRAGES!$K163,O162))</f>
        <v>124.7571597</v>
      </c>
      <c r="P163" s="378">
        <f>IF(O163="","", IF(ARBITRAGES!$H163="BOME",P162+ARBITRAGES!$K163,P162))</f>
        <v>0.02891989199</v>
      </c>
      <c r="Q163" s="378">
        <f>IF(P163="","", IF(ARBITRAGES!$H163="PEPE",Q162+ARBITRAGES!$K163,Q162))</f>
        <v>24145000</v>
      </c>
      <c r="R163" s="378">
        <f>IF(Q163="","", IF(ARBITRAGES!$H163="WIF",R162+ARBITRAGES!$K163,R162))</f>
        <v>0</v>
      </c>
      <c r="S163" s="378">
        <f>IF(R163="","", IF(ARBITRAGES!$H163="RAY",S162+ARBITRAGES!$K163,S162))</f>
        <v>0</v>
      </c>
      <c r="T163" s="360"/>
      <c r="U163" s="360"/>
      <c r="V163" s="360"/>
      <c r="W163" s="360"/>
      <c r="X163" s="360"/>
      <c r="Y163" s="360"/>
      <c r="Z163" s="360"/>
      <c r="AA163" s="360"/>
      <c r="AB163" s="360"/>
      <c r="AC163" s="360"/>
      <c r="AD163" s="360"/>
      <c r="AE163" s="360"/>
      <c r="AF163" s="360"/>
      <c r="AG163" s="360"/>
      <c r="AH163" s="360"/>
    </row>
    <row r="164" ht="18.75" customHeight="1">
      <c r="A164" s="365">
        <f>IF(ARBITRAGES!E164=0,"",ARBITRAGES!E164)</f>
        <v>45928</v>
      </c>
      <c r="B164" s="375">
        <f>IF(A164="","", IF(ARBITRAGES!$H164="BTC",B163+ARBITRAGES!$K164,B163))</f>
        <v>0.2014181004</v>
      </c>
      <c r="C164" s="375">
        <f>IF(B164="","", IF(ARBITRAGES!$H164="eth",C163+ARBITRAGES!$K164,C163))</f>
        <v>2.09967836</v>
      </c>
      <c r="D164" s="376">
        <f>IF(C164="","", IF(ARBITRAGES!$H164="ton",D163+ARBITRAGES!$K164,D163))</f>
        <v>246.5539111</v>
      </c>
      <c r="E164" s="376">
        <f>IF(D164="","", IF(ARBITRAGES!$H164="sol",E163+ARBITRAGES!$K164,E163))</f>
        <v>17.5220223</v>
      </c>
      <c r="F164" s="385">
        <f>IF(E164="","", IF(ARBITRAGES!$H164="tao",F163+ARBITRAGES!$K164,F163))</f>
        <v>13.50661974</v>
      </c>
      <c r="G164" s="378">
        <f>IF(F164="","", IF(ARBITRAGES!$H164="ron",G163+ARBITRAGES!$K164,G163))</f>
        <v>0</v>
      </c>
      <c r="H164" s="378">
        <f>IF(G164="","", IF(ARBITRAGES!$H164="link",H163+ARBITRAGES!$K164,H163))</f>
        <v>90.0797</v>
      </c>
      <c r="I164" s="378">
        <f>IF(H164="","", IF(ARBITRAGES!$H164="doge",I163+ARBITRAGES!$K164,I163))</f>
        <v>4928.58</v>
      </c>
      <c r="J164" s="378">
        <f>IF(I164="","", IF(ARBITRAGES!$H164="shib",J163-ARBITRAGES!$K164,J163))</f>
        <v>20503076</v>
      </c>
      <c r="K164" s="378">
        <f>IF(J164="","", IF(ARBITRAGES!$H164="cake",K163+ARBITRAGES!$K164,K163))</f>
        <v>127.0804432</v>
      </c>
      <c r="L164" s="378">
        <f>IF(K164="","", IF(ARBITRAGES!$H164="JUP",L163+ARBITRAGES!$K164,L163))</f>
        <v>0</v>
      </c>
      <c r="M164" s="376">
        <f>IF(L164="","", IF(ARBITRAGES!$H164="aave",M163+ARBITRAGES!$K164,M163))</f>
        <v>7.751038596</v>
      </c>
      <c r="N164" s="378">
        <f>IF(M164="","", IF(ARBITRAGES!$H164="ckb",N163+ARBITRAGES!$K164,N163))</f>
        <v>0</v>
      </c>
      <c r="O164" s="378">
        <f>IF(N164="","", IF(ARBITRAGES!$H164="pendle",O163+ARBITRAGES!$K164,O163))</f>
        <v>124.7571597</v>
      </c>
      <c r="P164" s="378">
        <f>IF(O164="","", IF(ARBITRAGES!$H164="BOME",P163+ARBITRAGES!$K164,P163))</f>
        <v>0.02891989199</v>
      </c>
      <c r="Q164" s="378">
        <f>IF(P164="","", IF(ARBITRAGES!$H164="PEPE",Q163+ARBITRAGES!$K164,Q163))</f>
        <v>24145000</v>
      </c>
      <c r="R164" s="378">
        <f>IF(Q164="","", IF(ARBITRAGES!$H164="WIF",R163+ARBITRAGES!$K164,R163))</f>
        <v>0</v>
      </c>
      <c r="S164" s="378">
        <f>IF(R164="","", IF(ARBITRAGES!$H164="RAY",S163+ARBITRAGES!$K164,S163))</f>
        <v>0</v>
      </c>
      <c r="T164" s="360"/>
      <c r="U164" s="360"/>
      <c r="V164" s="360"/>
      <c r="W164" s="360"/>
      <c r="X164" s="360"/>
      <c r="Y164" s="360"/>
      <c r="Z164" s="360"/>
      <c r="AA164" s="360"/>
      <c r="AB164" s="360"/>
      <c r="AC164" s="360"/>
      <c r="AD164" s="360"/>
      <c r="AE164" s="360"/>
      <c r="AF164" s="360"/>
      <c r="AG164" s="360"/>
      <c r="AH164" s="360"/>
    </row>
    <row r="165" ht="18.75" customHeight="1">
      <c r="A165" s="365">
        <f>IF(ARBITRAGES!E165=0,"",ARBITRAGES!E165)</f>
        <v>45905</v>
      </c>
      <c r="B165" s="375">
        <f>IF(A165="","", IF(ARBITRAGES!$H165="BTC",B164+ARBITRAGES!$K165,B164))</f>
        <v>0.2014181004</v>
      </c>
      <c r="C165" s="393">
        <f>IF(B165="","", IF(ARBITRAGES!$H165="eth",C164-ARBITRAGES!$K165-0.005,C164))</f>
        <v>2.04467836</v>
      </c>
      <c r="D165" s="376">
        <f>IF(C165="","", IF(ARBITRAGES!$H165="ton",D164+ARBITRAGES!$K165,D164))</f>
        <v>246.5539111</v>
      </c>
      <c r="E165" s="376">
        <f>IF(D165="","", IF(ARBITRAGES!$H165="sol",E164+ARBITRAGES!$K165,E164+0.04))</f>
        <v>17.5620223</v>
      </c>
      <c r="F165" s="377">
        <f>IF(E165="","", IF(ARBITRAGES!$H165="tao",F164+ARBITRAGES!$K165,F164))</f>
        <v>13.50661974</v>
      </c>
      <c r="G165" s="378">
        <f>IF(F165="","", IF(ARBITRAGES!$H165="ron",G164+ARBITRAGES!$K165,G164))</f>
        <v>0</v>
      </c>
      <c r="H165" s="378">
        <f>IF(G165="","", IF(ARBITRAGES!$H165="link",H164+ARBITRAGES!$K165,H164))</f>
        <v>90.0797</v>
      </c>
      <c r="I165" s="378">
        <f>IF(H165="","", IF(ARBITRAGES!$H165="doge",I164+ARBITRAGES!$K165,I164))</f>
        <v>4928.58</v>
      </c>
      <c r="J165" s="378">
        <f>IF(I165="","", IF(ARBITRAGES!$H165="shib",J164-ARBITRAGES!$K165,J164))</f>
        <v>20503076</v>
      </c>
      <c r="K165" s="378">
        <f>IF(J165="","", IF(ARBITRAGES!$H165="cake",K164+ARBITRAGES!$K165,K164))</f>
        <v>127.0804432</v>
      </c>
      <c r="L165" s="378">
        <f>IF(K165="","", IF(ARBITRAGES!$H165="JUP",L164+ARBITRAGES!$K165,L164))</f>
        <v>0</v>
      </c>
      <c r="M165" s="376">
        <f>IF(L165="","", IF(ARBITRAGES!$H165="aave",M164+ARBITRAGES!$K165,M164))</f>
        <v>7.751038596</v>
      </c>
      <c r="N165" s="378">
        <f>IF(M165="","", IF(ARBITRAGES!$H165="ckb",N164+ARBITRAGES!$K165,N164))</f>
        <v>0</v>
      </c>
      <c r="O165" s="378">
        <f>IF(N165="","", IF(ARBITRAGES!$H165="pendle",O164+ARBITRAGES!$K165,O164))</f>
        <v>124.7571597</v>
      </c>
      <c r="P165" s="378">
        <f>IF(O165="","", IF(ARBITRAGES!$H165="BOME",P164+ARBITRAGES!$K165,P164))</f>
        <v>0.02891989199</v>
      </c>
      <c r="Q165" s="378">
        <f>IF(P165="","", IF(ARBITRAGES!$H165="PEPE",Q164+ARBITRAGES!$K165,Q164))</f>
        <v>24145000</v>
      </c>
      <c r="R165" s="378">
        <f>IF(Q165="","", IF(ARBITRAGES!$H165="WIF",R164+ARBITRAGES!$K165,R164))</f>
        <v>0</v>
      </c>
      <c r="S165" s="378">
        <f>IF(R165="","", IF(ARBITRAGES!$H165="RAY",S164+ARBITRAGES!$K165,S164))</f>
        <v>0</v>
      </c>
      <c r="T165" s="360"/>
      <c r="U165" s="360"/>
      <c r="V165" s="360"/>
      <c r="W165" s="360"/>
      <c r="X165" s="360"/>
      <c r="Y165" s="360"/>
      <c r="Z165" s="360"/>
      <c r="AA165" s="360"/>
      <c r="AB165" s="360"/>
      <c r="AC165" s="360"/>
      <c r="AD165" s="360"/>
      <c r="AE165" s="360"/>
      <c r="AF165" s="360"/>
      <c r="AG165" s="360"/>
      <c r="AH165" s="360"/>
    </row>
    <row r="166" ht="18.75" customHeight="1">
      <c r="A166" s="365">
        <f>IF(ARBITRAGES!E166=0,"",ARBITRAGES!E166)</f>
        <v>45939</v>
      </c>
      <c r="B166" s="375">
        <f>IF(A166="","", IF(ARBITRAGES!$H166="BTC",B165+ARBITRAGES!$K166,B165))</f>
        <v>0.2014181004</v>
      </c>
      <c r="C166" s="375">
        <f>IF(B166="","", IF(ARBITRAGES!$H166="eth",C165+ARBITRAGES!$K166,C165))</f>
        <v>2.04467836</v>
      </c>
      <c r="D166" s="376">
        <f>IF(C166="","", IF(ARBITRAGES!$H166="ton",D165+ARBITRAGES!$K166,D165))</f>
        <v>246.5539111</v>
      </c>
      <c r="E166" s="376">
        <f>IF(D166="","", IF(ARBITRAGES!$H166="sol",E165+ARBITRAGES!$K166,E165))</f>
        <v>17.5620223</v>
      </c>
      <c r="F166" s="391">
        <f>IF(E166="","", IF(ARBITRAGES!$H166="tao",F165-ARBITRAGES!$K166,F165))</f>
        <v>13.00661996</v>
      </c>
      <c r="G166" s="378">
        <f>IF(F166="","", IF(ARBITRAGES!$H166="ron",G165+ARBITRAGES!$K166,G165))</f>
        <v>0</v>
      </c>
      <c r="H166" s="378">
        <f>IF(G166="","", IF(ARBITRAGES!$H166="link",H165+ARBITRAGES!$K166,H165))</f>
        <v>90.0797</v>
      </c>
      <c r="I166" s="378">
        <f>IF(H166="","", IF(ARBITRAGES!$H166="doge",I165+ARBITRAGES!$K166,I165))</f>
        <v>4928.58</v>
      </c>
      <c r="J166" s="378">
        <f>IF(I166="","", IF(ARBITRAGES!$H166="shib",J165-ARBITRAGES!$K166,J165))</f>
        <v>20503076</v>
      </c>
      <c r="K166" s="378">
        <f>IF(J166="","", IF(ARBITRAGES!$H166="cake",K165+ARBITRAGES!$K166,K165))</f>
        <v>127.0804432</v>
      </c>
      <c r="L166" s="378">
        <f>IF(K166="","", IF(ARBITRAGES!$H166="JUP",L165+ARBITRAGES!$K166,L165))</f>
        <v>0</v>
      </c>
      <c r="M166" s="376">
        <f>IF(L166="","", IF(ARBITRAGES!$H166="aave",M165+ARBITRAGES!$K166,M165))</f>
        <v>7.751038596</v>
      </c>
      <c r="N166" s="378">
        <f>IF(M166="","", IF(ARBITRAGES!$H166="ckb",N165+ARBITRAGES!$K166,N165))</f>
        <v>0</v>
      </c>
      <c r="O166" s="378">
        <f>IF(N166="","", IF(ARBITRAGES!$H166="pendle",O165+ARBITRAGES!$K166,O165))</f>
        <v>124.7571597</v>
      </c>
      <c r="P166" s="378">
        <f>IF(O166="","", IF(ARBITRAGES!$H166="BOME",P165+ARBITRAGES!$K166,P165))</f>
        <v>0.02891989199</v>
      </c>
      <c r="Q166" s="378">
        <f>IF(P166="","", IF(ARBITRAGES!$H166="PEPE",Q165+ARBITRAGES!$K166,Q165))</f>
        <v>24145000</v>
      </c>
      <c r="R166" s="378">
        <f>IF(Q166="","", IF(ARBITRAGES!$H166="WIF",R165+ARBITRAGES!$K166,R165))</f>
        <v>0</v>
      </c>
      <c r="S166" s="378">
        <f>IF(R166="","", IF(ARBITRAGES!$H166="RAY",S165+ARBITRAGES!$K166,S165))</f>
        <v>0</v>
      </c>
      <c r="T166" s="360"/>
      <c r="U166" s="360"/>
      <c r="V166" s="360"/>
      <c r="W166" s="360"/>
      <c r="X166" s="360"/>
      <c r="Y166" s="360"/>
      <c r="Z166" s="360"/>
      <c r="AA166" s="360"/>
      <c r="AB166" s="360"/>
      <c r="AC166" s="360"/>
      <c r="AD166" s="360"/>
      <c r="AE166" s="360"/>
      <c r="AF166" s="360"/>
      <c r="AG166" s="360"/>
      <c r="AH166" s="360"/>
    </row>
    <row r="167" ht="18.75" customHeight="1">
      <c r="A167" s="365">
        <f>IF(ARBITRAGES!E167=0,"",ARBITRAGES!E167)</f>
        <v>45939</v>
      </c>
      <c r="B167" s="375">
        <f>IF(A167="","", IF(ARBITRAGES!$H167="BTC",B166+ARBITRAGES!$K167,B166))</f>
        <v>0.2014181004</v>
      </c>
      <c r="C167" s="375">
        <f>IF(B167="","", IF(ARBITRAGES!$H167="eth",C166+ARBITRAGES!$K167,C166))</f>
        <v>2.04467836</v>
      </c>
      <c r="D167" s="376">
        <f>IF(C167="","", IF(ARBITRAGES!$H167="ton",D166+ARBITRAGES!$K167,D166))</f>
        <v>246.5539111</v>
      </c>
      <c r="E167" s="376">
        <f>IF(D167="","", IF(ARBITRAGES!$H167="sol",E166+ARBITRAGES!$K167,E166))</f>
        <v>17.5620223</v>
      </c>
      <c r="F167" s="391">
        <f>IF(E167="","", IF(ARBITRAGES!$H167="tao",F166-ARBITRAGES!$K167,F166))</f>
        <v>12.50661996</v>
      </c>
      <c r="G167" s="378">
        <f>IF(F167="","", IF(ARBITRAGES!$H167="ron",G166+ARBITRAGES!$K167,G166))</f>
        <v>0</v>
      </c>
      <c r="H167" s="378">
        <f>IF(G167="","", IF(ARBITRAGES!$H167="link",H166+ARBITRAGES!$K167,H166))</f>
        <v>90.0797</v>
      </c>
      <c r="I167" s="378">
        <f>IF(H167="","", IF(ARBITRAGES!$H167="doge",I166+ARBITRAGES!$K167,I166))</f>
        <v>4928.58</v>
      </c>
      <c r="J167" s="378">
        <f>IF(I167="","", IF(ARBITRAGES!$H167="shib",J166-ARBITRAGES!$K167,J166))</f>
        <v>20503076</v>
      </c>
      <c r="K167" s="378">
        <f>IF(J167="","", IF(ARBITRAGES!$H167="cake",K166+ARBITRAGES!$K167,K166))</f>
        <v>127.0804432</v>
      </c>
      <c r="L167" s="378">
        <f>IF(K167="","", IF(ARBITRAGES!$H167="JUP",L166+ARBITRAGES!$K167,L166))</f>
        <v>0</v>
      </c>
      <c r="M167" s="376">
        <f>IF(L167="","", IF(ARBITRAGES!$H167="aave",M166+ARBITRAGES!$K167,M166))</f>
        <v>7.751038596</v>
      </c>
      <c r="N167" s="378">
        <f>IF(M167="","", IF(ARBITRAGES!$H167="ckb",N166+ARBITRAGES!$K167,N166))</f>
        <v>0</v>
      </c>
      <c r="O167" s="378">
        <f>IF(N167="","", IF(ARBITRAGES!$H167="pendle",O166+ARBITRAGES!$K167,O166))</f>
        <v>124.7571597</v>
      </c>
      <c r="P167" s="378">
        <f>IF(O167="","", IF(ARBITRAGES!$H167="BOME",P166+ARBITRAGES!$K167,P166))</f>
        <v>0.02891989199</v>
      </c>
      <c r="Q167" s="378">
        <f>IF(P167="","", IF(ARBITRAGES!$H167="PEPE",Q166+ARBITRAGES!$K167,Q166))</f>
        <v>24145000</v>
      </c>
      <c r="R167" s="378">
        <f>IF(Q167="","", IF(ARBITRAGES!$H167="WIF",R166+ARBITRAGES!$K167,R166))</f>
        <v>0</v>
      </c>
      <c r="S167" s="378">
        <f>IF(R167="","", IF(ARBITRAGES!$H167="RAY",S166+ARBITRAGES!$K167,S166))</f>
        <v>0</v>
      </c>
      <c r="T167" s="360"/>
      <c r="U167" s="360"/>
      <c r="V167" s="360"/>
      <c r="W167" s="360"/>
      <c r="X167" s="360"/>
      <c r="Y167" s="360"/>
      <c r="Z167" s="360"/>
      <c r="AA167" s="360"/>
      <c r="AB167" s="360"/>
      <c r="AC167" s="360"/>
      <c r="AD167" s="360"/>
      <c r="AE167" s="360"/>
      <c r="AF167" s="360"/>
      <c r="AG167" s="360"/>
      <c r="AH167" s="360"/>
    </row>
    <row r="168" ht="18.75" customHeight="1">
      <c r="A168" s="365">
        <f>IF(ARBITRAGES!E168=0,"",ARBITRAGES!E168)</f>
        <v>45940</v>
      </c>
      <c r="B168" s="375">
        <f>IF(A168="","", IF(ARBITRAGES!$H168="BTC",B167+ARBITRAGES!$K168,B167))</f>
        <v>0.2014181004</v>
      </c>
      <c r="C168" s="393">
        <f>IF(B168="","", IF(ARBITRAGES!$H168="eth",C167-ARBITRAGES!$K168-0.00185,C167))</f>
        <v>1.99282836</v>
      </c>
      <c r="D168" s="376">
        <f>IF(C168="","", IF(ARBITRAGES!$H168="ondo",D167+ARBITRAGES!$K168,D167+0.052))</f>
        <v>246.6059111</v>
      </c>
      <c r="E168" s="376">
        <f>IF(D168="","", IF(ARBITRAGES!$H168="sol",E167+ARBITRAGES!$K168,E167))</f>
        <v>17.5620223</v>
      </c>
      <c r="F168" s="377">
        <f>IF(E168="","", IF(ARBITRAGES!$H168="tao",F167+ARBITRAGES!$K168,F167))</f>
        <v>12.50661996</v>
      </c>
      <c r="G168" s="378">
        <f>IF(F168="","", IF(ARBITRAGES!$H168="ron",G167+ARBITRAGES!$K168,G167))</f>
        <v>0</v>
      </c>
      <c r="H168" s="378">
        <f>IF(G168="","", IF(ARBITRAGES!$H168="link",H167+ARBITRAGES!$K168,H167))</f>
        <v>90.0797</v>
      </c>
      <c r="I168" s="378">
        <f>IF(H168="","", IF(ARBITRAGES!$H168="doge",I167+ARBITRAGES!$K168,I167))</f>
        <v>4928.58</v>
      </c>
      <c r="J168" s="378">
        <f>IF(I168="","", IF(ARBITRAGES!$H168="shib",J167-ARBITRAGES!$K168,J167))</f>
        <v>20503076</v>
      </c>
      <c r="K168" s="378">
        <f>IF(J168="","", IF(ARBITRAGES!$H168="cake",K167+ARBITRAGES!$K168,K167))</f>
        <v>127.0804432</v>
      </c>
      <c r="L168" s="378">
        <f>IF(K168="","", IF(ARBITRAGES!$H168="JUP",L167+ARBITRAGES!$K168,L167))</f>
        <v>0</v>
      </c>
      <c r="M168" s="376">
        <f>IF(L168="","", IF(ARBITRAGES!$H168="aave",M167+ARBITRAGES!$K168,M167))</f>
        <v>7.751038596</v>
      </c>
      <c r="N168" s="378">
        <f>IF(M168="","", IF(ARBITRAGES!$H168="ckb",N167+ARBITRAGES!$K168,N167))</f>
        <v>0</v>
      </c>
      <c r="O168" s="378">
        <f>IF(N168="","", IF(ARBITRAGES!$H168="pendle",O167+ARBITRAGES!$K168,O167))</f>
        <v>124.7571597</v>
      </c>
      <c r="P168" s="378">
        <f>IF(O168="","", IF(ARBITRAGES!$H168="BOME",P167+ARBITRAGES!$K168,P167))</f>
        <v>0.02891989199</v>
      </c>
      <c r="Q168" s="378">
        <f>IF(P168="","", IF(ARBITRAGES!$H168="PEPE",Q167+ARBITRAGES!$K168,Q167))</f>
        <v>24145000</v>
      </c>
      <c r="R168" s="378">
        <f>IF(Q168="","", IF(ARBITRAGES!$H168="WIF",R167+ARBITRAGES!$K168,R167))</f>
        <v>0</v>
      </c>
      <c r="S168" s="378">
        <f>IF(R168="","", IF(ARBITRAGES!$H168="RAY",S167+ARBITRAGES!$K168,S167))</f>
        <v>0</v>
      </c>
      <c r="T168" s="360"/>
      <c r="U168" s="360"/>
      <c r="V168" s="360"/>
      <c r="W168" s="360"/>
      <c r="X168" s="360"/>
      <c r="Y168" s="360"/>
      <c r="Z168" s="360"/>
      <c r="AA168" s="360"/>
      <c r="AB168" s="360"/>
      <c r="AC168" s="360"/>
      <c r="AD168" s="360"/>
      <c r="AE168" s="360"/>
      <c r="AF168" s="360"/>
      <c r="AG168" s="360"/>
      <c r="AH168" s="360"/>
    </row>
    <row r="169" ht="18.75" customHeight="1">
      <c r="A169" s="365">
        <f>IF(ARBITRAGES!E169=0,"",ARBITRAGES!E169)</f>
        <v>45941</v>
      </c>
      <c r="B169" s="375">
        <f>IF(A169="","", IF(ARBITRAGES!$H169="BTC",B168+ARBITRAGES!$K169,B168))</f>
        <v>0.2014181004</v>
      </c>
      <c r="C169" s="374">
        <f>IF(B169="","", IF(ARBITRAGES!$H169="eth",C168+ARBITRAGES!$K169,C168))</f>
        <v>2.01282836</v>
      </c>
      <c r="D169" s="376">
        <f>IF(C169="","", IF(ARBITRAGES!$H169="ondo",D168+ARBITRAGES!$K169,D168))</f>
        <v>246.6059111</v>
      </c>
      <c r="E169" s="376">
        <f>IF(D169="","", IF(ARBITRAGES!$H169="sol",E168+ARBITRAGES!$K169,E168))</f>
        <v>17.5620223</v>
      </c>
      <c r="F169" s="377">
        <f>IF(E169="","", IF(ARBITRAGES!$H169="tao",F168+ARBITRAGES!$K169,F168))</f>
        <v>12.50661996</v>
      </c>
      <c r="G169" s="378">
        <f>IF(F169="","", IF(ARBITRAGES!$H169="ron",G168+ARBITRAGES!$K169,G168))</f>
        <v>0</v>
      </c>
      <c r="H169" s="378">
        <f>IF(G169="","", IF(ARBITRAGES!$H169="link",H168+ARBITRAGES!$K169,H168))</f>
        <v>90.0797</v>
      </c>
      <c r="I169" s="378">
        <f>IF(H169="","", IF(ARBITRAGES!$H169="doge",I168+ARBITRAGES!$K169,I168))</f>
        <v>4928.58</v>
      </c>
      <c r="J169" s="378">
        <f>IF(I169="","", IF(ARBITRAGES!$H169="shib",J168-ARBITRAGES!$K169,J168))</f>
        <v>20503076</v>
      </c>
      <c r="K169" s="378">
        <f>IF(J169="","", IF(ARBITRAGES!$H169="cake",K168+ARBITRAGES!$K169,K168))</f>
        <v>127.0804432</v>
      </c>
      <c r="L169" s="378">
        <f>IF(K169="","", IF(ARBITRAGES!$H169="JUP",L168+ARBITRAGES!$K169,L168))</f>
        <v>0</v>
      </c>
      <c r="M169" s="376">
        <f>IF(L169="","", IF(ARBITRAGES!$H169="aave",M168+ARBITRAGES!$K169,M168))</f>
        <v>7.751038596</v>
      </c>
      <c r="N169" s="378">
        <f>IF(M169="","", IF(ARBITRAGES!$H169="ckb",N168+ARBITRAGES!$K169,N168))</f>
        <v>0</v>
      </c>
      <c r="O169" s="378">
        <f>IF(N169="","", IF(ARBITRAGES!$H169="pendle",O168+ARBITRAGES!$K169,O168))</f>
        <v>124.7571597</v>
      </c>
      <c r="P169" s="378">
        <f>IF(O169="","", IF(ARBITRAGES!$H169="BOME",P168+ARBITRAGES!$K169,P168))</f>
        <v>0.02891989199</v>
      </c>
      <c r="Q169" s="378">
        <f>IF(P169="","", IF(ARBITRAGES!$H169="PEPE",Q168+ARBITRAGES!$K169,Q168))</f>
        <v>24145000</v>
      </c>
      <c r="R169" s="378">
        <f>IF(Q169="","", IF(ARBITRAGES!$H169="WIF",R168+ARBITRAGES!$K169,R168))</f>
        <v>0</v>
      </c>
      <c r="S169" s="378">
        <f>IF(R169="","", IF(ARBITRAGES!$H169="RAY",S168+ARBITRAGES!$K169,S168))</f>
        <v>0</v>
      </c>
      <c r="T169" s="360"/>
      <c r="U169" s="360"/>
      <c r="V169" s="360"/>
      <c r="W169" s="360"/>
      <c r="X169" s="360"/>
      <c r="Y169" s="360"/>
      <c r="Z169" s="360"/>
      <c r="AA169" s="360"/>
      <c r="AB169" s="360"/>
      <c r="AC169" s="360"/>
      <c r="AD169" s="360"/>
      <c r="AE169" s="360"/>
      <c r="AF169" s="360"/>
      <c r="AG169" s="360"/>
      <c r="AH169" s="360"/>
    </row>
    <row r="170" ht="18.75" customHeight="1">
      <c r="A170" s="365">
        <f>IF(ARBITRAGES!E170=0,"",ARBITRAGES!E170)</f>
        <v>45941</v>
      </c>
      <c r="B170" s="375">
        <f>IF(A170="","", IF(ARBITRAGES!$H170="BTC",B169+ARBITRAGES!$K170,B169))</f>
        <v>0.2014181004</v>
      </c>
      <c r="C170" s="374">
        <f>IF(B170="","", IF(ARBITRAGES!$H170="eth",C169+ARBITRAGES!$K170,C169))</f>
        <v>2.03782836</v>
      </c>
      <c r="D170" s="376">
        <f>IF(C170="","", IF(ARBITRAGES!$H170="ondo",D169+ARBITRAGES!$K170,D169))</f>
        <v>246.6059111</v>
      </c>
      <c r="E170" s="376">
        <f>IF(D170="","", IF(ARBITRAGES!$H170="sol",E169+ARBITRAGES!$K170,E169))</f>
        <v>17.5620223</v>
      </c>
      <c r="F170" s="377">
        <f>IF(E170="","", IF(ARBITRAGES!$H170="tao",F169+ARBITRAGES!$K170,F169))</f>
        <v>12.50661996</v>
      </c>
      <c r="G170" s="378">
        <f>IF(F170="","", IF(ARBITRAGES!$H170="ron",G169+ARBITRAGES!$K170,G169))</f>
        <v>0</v>
      </c>
      <c r="H170" s="378">
        <f>IF(G170="","", IF(ARBITRAGES!$H170="link",H169+ARBITRAGES!$K170,H169))</f>
        <v>90.0797</v>
      </c>
      <c r="I170" s="378">
        <f>IF(H170="","", IF(ARBITRAGES!$H170="doge",I169+ARBITRAGES!$K170,I169))</f>
        <v>4928.58</v>
      </c>
      <c r="J170" s="378">
        <f>IF(I170="","", IF(ARBITRAGES!$H170="shib",J169-ARBITRAGES!$K170,J169))</f>
        <v>20503076</v>
      </c>
      <c r="K170" s="378">
        <f>IF(J170="","", IF(ARBITRAGES!$H170="cake",K169+ARBITRAGES!$K170,K169))</f>
        <v>127.0804432</v>
      </c>
      <c r="L170" s="378">
        <f>IF(K170="","", IF(ARBITRAGES!$H170="JUP",L169+ARBITRAGES!$K170,L169))</f>
        <v>0</v>
      </c>
      <c r="M170" s="376">
        <f>IF(L170="","", IF(ARBITRAGES!$H170="aave",M169+ARBITRAGES!$K170,M169))</f>
        <v>7.751038596</v>
      </c>
      <c r="N170" s="378">
        <f>IF(M170="","", IF(ARBITRAGES!$H170="ckb",N169+ARBITRAGES!$K170,N169))</f>
        <v>0</v>
      </c>
      <c r="O170" s="378">
        <f>IF(N170="","", IF(ARBITRAGES!$H170="pendle",O169+ARBITRAGES!$K170,O169))</f>
        <v>124.7571597</v>
      </c>
      <c r="P170" s="378">
        <f>IF(O170="","", IF(ARBITRAGES!$H170="BOME",P169+ARBITRAGES!$K170,P169))</f>
        <v>0.02891989199</v>
      </c>
      <c r="Q170" s="378">
        <f>IF(P170="","", IF(ARBITRAGES!$H170="PEPE",Q169+ARBITRAGES!$K170,Q169))</f>
        <v>24145000</v>
      </c>
      <c r="R170" s="378">
        <f>IF(Q170="","", IF(ARBITRAGES!$H170="WIF",R169+ARBITRAGES!$K170,R169))</f>
        <v>0</v>
      </c>
      <c r="S170" s="378">
        <f>IF(R170="","", IF(ARBITRAGES!$H170="RAY",S169+ARBITRAGES!$K170,S169))</f>
        <v>0</v>
      </c>
      <c r="T170" s="360"/>
      <c r="U170" s="360"/>
      <c r="V170" s="360"/>
      <c r="W170" s="360"/>
      <c r="X170" s="360"/>
      <c r="Y170" s="360"/>
      <c r="Z170" s="360"/>
      <c r="AA170" s="360"/>
      <c r="AB170" s="360"/>
      <c r="AC170" s="360"/>
      <c r="AD170" s="360"/>
      <c r="AE170" s="360"/>
      <c r="AF170" s="360"/>
      <c r="AG170" s="360"/>
      <c r="AH170" s="360"/>
    </row>
    <row r="171" ht="18.75" customHeight="1">
      <c r="A171" s="365">
        <f>IF(ARBITRAGES!E171=0,"",ARBITRAGES!E171)</f>
        <v>45942</v>
      </c>
      <c r="B171" s="375">
        <f>IF(A171="","", IF(ARBITRAGES!$H171="BTC",B170+ARBITRAGES!$K171,B170))</f>
        <v>0.2014181004</v>
      </c>
      <c r="C171" s="374">
        <f>IF(B171="","", IF(ARBITRAGES!$H171="eth",C170+ARBITRAGES!$K171+0.0002,C170))</f>
        <v>2.06502836</v>
      </c>
      <c r="D171" s="376">
        <f>IF(C171="","", IF(ARBITRAGES!$H171="ondo",D170+ARBITRAGES!$K171,D170))</f>
        <v>246.6059111</v>
      </c>
      <c r="E171" s="376">
        <f>IF(D171="","", IF(ARBITRAGES!$H171="sol",E170+ARBITRAGES!$K171,E170))</f>
        <v>17.5620223</v>
      </c>
      <c r="F171" s="377">
        <f>IF(E171="","", IF(ARBITRAGES!$H171="tao",F170+ARBITRAGES!$K171,F170))</f>
        <v>12.50661996</v>
      </c>
      <c r="G171" s="378">
        <f>IF(F171="","", IF(ARBITRAGES!$H171="ron",G170+ARBITRAGES!$K171,G170))</f>
        <v>0</v>
      </c>
      <c r="H171" s="378">
        <f>IF(G171="","", IF(ARBITRAGES!$H171="link",H170+ARBITRAGES!$K171,H170))</f>
        <v>90.0797</v>
      </c>
      <c r="I171" s="378">
        <f>IF(H171="","", IF(ARBITRAGES!$H171="doge",I170+ARBITRAGES!$K171,I170))</f>
        <v>4928.58</v>
      </c>
      <c r="J171" s="378">
        <f>IF(I171="","", IF(ARBITRAGES!$H171="shib",J170-ARBITRAGES!$K171,J170))</f>
        <v>20503076</v>
      </c>
      <c r="K171" s="378">
        <f>IF(J171="","", IF(ARBITRAGES!$H171="cake",K170+ARBITRAGES!$K171,K170))</f>
        <v>127.0804432</v>
      </c>
      <c r="L171" s="378">
        <f>IF(K171="","", IF(ARBITRAGES!$H171="JUP",L170+ARBITRAGES!$K171,L170))</f>
        <v>0</v>
      </c>
      <c r="M171" s="376">
        <f>IF(L171="","", IF(ARBITRAGES!$H171="aave",M170+ARBITRAGES!$K171,M170))</f>
        <v>7.751038596</v>
      </c>
      <c r="N171" s="378">
        <f>IF(M171="","", IF(ARBITRAGES!$H171="ckb",N170+ARBITRAGES!$K171,N170))</f>
        <v>0</v>
      </c>
      <c r="O171" s="378">
        <f>IF(N171="","", IF(ARBITRAGES!$H171="pendle",O170+ARBITRAGES!$K171,O170))</f>
        <v>124.7571597</v>
      </c>
      <c r="P171" s="378">
        <f>IF(O171="","", IF(ARBITRAGES!$H171="BOME",P170+ARBITRAGES!$K171,P170))</f>
        <v>0.02891989199</v>
      </c>
      <c r="Q171" s="378">
        <f>IF(P171="","", IF(ARBITRAGES!$H171="PEPE",Q170+ARBITRAGES!$K171,Q170))</f>
        <v>24145000</v>
      </c>
      <c r="R171" s="378">
        <f>IF(Q171="","", IF(ARBITRAGES!$H171="WIF",R170+ARBITRAGES!$K171,R170))</f>
        <v>0</v>
      </c>
      <c r="S171" s="378">
        <f>IF(R171="","", IF(ARBITRAGES!$H171="RAY",S170+ARBITRAGES!$K171,S170))</f>
        <v>0</v>
      </c>
      <c r="T171" s="360"/>
      <c r="U171" s="360"/>
      <c r="V171" s="360"/>
      <c r="W171" s="360"/>
      <c r="X171" s="360"/>
      <c r="Y171" s="360"/>
      <c r="Z171" s="360"/>
      <c r="AA171" s="360"/>
      <c r="AB171" s="360"/>
      <c r="AC171" s="360"/>
      <c r="AD171" s="360"/>
      <c r="AE171" s="360"/>
      <c r="AF171" s="360"/>
      <c r="AG171" s="360"/>
      <c r="AH171" s="360"/>
    </row>
    <row r="172" ht="18.75" customHeight="1">
      <c r="A172" s="365">
        <f>IF(ARBITRAGES!E172=0,"",ARBITRAGES!E172)</f>
        <v>45945</v>
      </c>
      <c r="B172" s="375">
        <f>IF(A172="","", IF(ARBITRAGES!$H172="BTC",B171+ARBITRAGES!$K172,B171))</f>
        <v>0.2014181004</v>
      </c>
      <c r="C172" s="375">
        <f>IF(B172="","", IF(ARBITRAGES!$H172="eth",C171+ARBITRAGES!$K172,C171))</f>
        <v>2.06502836</v>
      </c>
      <c r="D172" s="376">
        <f>IF(C172="","", IF(ARBITRAGES!$H172="ondo",D171+ARBITRAGES!$K172,D171))</f>
        <v>246.6059111</v>
      </c>
      <c r="E172" s="376">
        <f>IF(D172="","", IF(ARBITRAGES!$H172="sol",E171+ARBITRAGES!$K172,E171))</f>
        <v>17.5620223</v>
      </c>
      <c r="F172" s="391">
        <f>IF(E172="","", IF(ARBITRAGES!$H172="tao",F171-ARBITRAGES!$K172,F171))</f>
        <v>12.00661996</v>
      </c>
      <c r="G172" s="378">
        <f>IF(F172="","", IF(ARBITRAGES!$H172="ron",G171+ARBITRAGES!$K172,G171))</f>
        <v>0</v>
      </c>
      <c r="H172" s="378">
        <f>IF(G172="","", IF(ARBITRAGES!$H172="link",H171+ARBITRAGES!$K172,H171))</f>
        <v>90.0797</v>
      </c>
      <c r="I172" s="378">
        <f>IF(H172="","", IF(ARBITRAGES!$H172="doge",I171+ARBITRAGES!$K172,I171))</f>
        <v>4928.58</v>
      </c>
      <c r="J172" s="378">
        <f>IF(I172="","", IF(ARBITRAGES!$H172="shib",J171-ARBITRAGES!$K172,J171))</f>
        <v>20503076</v>
      </c>
      <c r="K172" s="378">
        <f>IF(J172="","", IF(ARBITRAGES!$H172="cake",K171+ARBITRAGES!$K172,K171))</f>
        <v>127.0804432</v>
      </c>
      <c r="L172" s="378">
        <f>IF(K172="","", IF(ARBITRAGES!$H172="JUP",L171+ARBITRAGES!$K172,L171))</f>
        <v>0</v>
      </c>
      <c r="M172" s="376">
        <f>IF(L172="","", IF(ARBITRAGES!$H172="aave",M171+ARBITRAGES!$K172,M171))</f>
        <v>7.751038596</v>
      </c>
      <c r="N172" s="378">
        <f>IF(M172="","", IF(ARBITRAGES!$H172="ckb",N171+ARBITRAGES!$K172,N171))</f>
        <v>0</v>
      </c>
      <c r="O172" s="378">
        <f>IF(N172="","", IF(ARBITRAGES!$H172="pendle",O171+ARBITRAGES!$K172,O171))</f>
        <v>124.7571597</v>
      </c>
      <c r="P172" s="378">
        <f>IF(O172="","", IF(ARBITRAGES!$H172="BOME",P171+ARBITRAGES!$K172,P171))</f>
        <v>0.02891989199</v>
      </c>
      <c r="Q172" s="378">
        <f>IF(P172="","", IF(ARBITRAGES!$H172="PEPE",Q171+ARBITRAGES!$K172,Q171))</f>
        <v>24145000</v>
      </c>
      <c r="R172" s="378">
        <f>IF(Q172="","", IF(ARBITRAGES!$H172="WIF",R171+ARBITRAGES!$K172,R171))</f>
        <v>0</v>
      </c>
      <c r="S172" s="378">
        <f>IF(R172="","", IF(ARBITRAGES!$H172="RAY",S171+ARBITRAGES!$K172,S171))</f>
        <v>0</v>
      </c>
      <c r="T172" s="360"/>
      <c r="U172" s="360"/>
      <c r="V172" s="360"/>
      <c r="W172" s="360"/>
      <c r="X172" s="360"/>
      <c r="Y172" s="360"/>
      <c r="Z172" s="360"/>
      <c r="AA172" s="360"/>
      <c r="AB172" s="360"/>
      <c r="AC172" s="360"/>
      <c r="AD172" s="360"/>
      <c r="AE172" s="360"/>
      <c r="AF172" s="360"/>
      <c r="AG172" s="360"/>
      <c r="AH172" s="360"/>
    </row>
    <row r="173" ht="18.75" customHeight="1">
      <c r="A173" s="365">
        <f>IF(ARBITRAGES!E173=0,"",ARBITRAGES!E173)</f>
        <v>45949</v>
      </c>
      <c r="B173" s="375">
        <f>IF(A173="","", IF(ARBITRAGES!$H173="BTC",B172+ARBITRAGES!$K173,B172))</f>
        <v>0.2014181004</v>
      </c>
      <c r="C173" s="375">
        <f>IF(B173="","", IF(ARBITRAGES!$H173="eth",C172+ARBITRAGES!$K173,C172))</f>
        <v>2.06502836</v>
      </c>
      <c r="D173" s="376">
        <f>IF(C173="","", IF(ARBITRAGES!$H173="ondo",D172+ARBITRAGES!$K173,D172))</f>
        <v>246.6059111</v>
      </c>
      <c r="E173" s="376">
        <f>IF(D173="","", IF(ARBITRAGES!$H173="sol",E172+ARBITRAGES!$K173,E172))</f>
        <v>17.5620223</v>
      </c>
      <c r="F173" s="391">
        <f>IF(E173="","", IF(ARBITRAGES!$H173="tao",F172-ARBITRAGES!$K173,F172))</f>
        <v>11.50661996</v>
      </c>
      <c r="G173" s="378">
        <f>IF(F173="","", IF(ARBITRAGES!$H173="ron",G172+ARBITRAGES!$K173,G172))</f>
        <v>0</v>
      </c>
      <c r="H173" s="378">
        <f>IF(G173="","", IF(ARBITRAGES!$H173="link",H172+ARBITRAGES!$K173,H172))</f>
        <v>90.0797</v>
      </c>
      <c r="I173" s="378">
        <f>IF(H173="","", IF(ARBITRAGES!$H173="doge",I172+ARBITRAGES!$K173,I172))</f>
        <v>4928.58</v>
      </c>
      <c r="J173" s="378">
        <f>IF(I173="","", IF(ARBITRAGES!$H173="shib",J172-ARBITRAGES!$K173,J172))</f>
        <v>20503076</v>
      </c>
      <c r="K173" s="378">
        <f>IF(J173="","", IF(ARBITRAGES!$H173="cake",K172+ARBITRAGES!$K173,K172))</f>
        <v>127.0804432</v>
      </c>
      <c r="L173" s="378">
        <f>IF(K173="","", IF(ARBITRAGES!$H173="JUP",L172+ARBITRAGES!$K173,L172))</f>
        <v>0</v>
      </c>
      <c r="M173" s="376">
        <f>IF(L173="","", IF(ARBITRAGES!$H173="aave",M172+ARBITRAGES!$K173,M172))</f>
        <v>7.751038596</v>
      </c>
      <c r="N173" s="378">
        <f>IF(M173="","", IF(ARBITRAGES!$H173="ckb",N172+ARBITRAGES!$K173,N172))</f>
        <v>0</v>
      </c>
      <c r="O173" s="378">
        <f>IF(N173="","", IF(ARBITRAGES!$H173="pendle",O172+ARBITRAGES!$K173,O172))</f>
        <v>124.7571597</v>
      </c>
      <c r="P173" s="378">
        <f>IF(O173="","", IF(ARBITRAGES!$H173="BOME",P172+ARBITRAGES!$K173,P172))</f>
        <v>0.02891989199</v>
      </c>
      <c r="Q173" s="378">
        <f>IF(P173="","", IF(ARBITRAGES!$H173="PEPE",Q172+ARBITRAGES!$K173,Q172))</f>
        <v>24145000</v>
      </c>
      <c r="R173" s="378">
        <f>IF(Q173="","", IF(ARBITRAGES!$H173="WIF",R172+ARBITRAGES!$K173,R172))</f>
        <v>0</v>
      </c>
      <c r="S173" s="378">
        <f>IF(R173="","", IF(ARBITRAGES!$H173="RAY",S172+ARBITRAGES!$K173,S172))</f>
        <v>0</v>
      </c>
      <c r="T173" s="360"/>
      <c r="U173" s="360"/>
      <c r="V173" s="360"/>
      <c r="W173" s="360"/>
      <c r="X173" s="360"/>
      <c r="Y173" s="360"/>
      <c r="Z173" s="360"/>
      <c r="AA173" s="360"/>
      <c r="AB173" s="360"/>
      <c r="AC173" s="360"/>
      <c r="AD173" s="360"/>
      <c r="AE173" s="360"/>
      <c r="AF173" s="360"/>
      <c r="AG173" s="360"/>
      <c r="AH173" s="360"/>
    </row>
    <row r="174" ht="18.75" customHeight="1">
      <c r="A174" s="365">
        <f>IF(ARBITRAGES!E174=0,"",ARBITRAGES!E174)</f>
        <v>45950</v>
      </c>
      <c r="B174" s="375">
        <f>IF(A174="","", IF(ARBITRAGES!$H174="BTC",B173+ARBITRAGES!$K174,B173))</f>
        <v>0.2014181004</v>
      </c>
      <c r="C174" s="375">
        <f>IF(B174="","", IF(ARBITRAGES!$H174="eth",C173+ARBITRAGES!$K174,C173))</f>
        <v>2.06502836</v>
      </c>
      <c r="D174" s="376">
        <f>IF(C174="","", IF(ARBITRAGES!$H174="ondo",D173+ARBITRAGES!$K174,D173))</f>
        <v>246.6059111</v>
      </c>
      <c r="E174" s="376">
        <f>IF(D174="","", IF(ARBITRAGES!$H174="sol",E173+ARBITRAGES!$K174,E173))</f>
        <v>17.5620223</v>
      </c>
      <c r="F174" s="391">
        <f>IF(E174="","", IF(ARBITRAGES!$H174="tao",F173-ARBITRAGES!$K174,F173))</f>
        <v>11.00661996</v>
      </c>
      <c r="G174" s="378">
        <f>IF(F174="","", IF(ARBITRAGES!$H174="ron",G173+ARBITRAGES!$K174,G173))</f>
        <v>0</v>
      </c>
      <c r="H174" s="378">
        <f>IF(G174="","", IF(ARBITRAGES!$H174="link",H173+ARBITRAGES!$K174,H173))</f>
        <v>90.0797</v>
      </c>
      <c r="I174" s="378">
        <f>IF(H174="","", IF(ARBITRAGES!$H174="doge",I173+ARBITRAGES!$K174,I173))</f>
        <v>4928.58</v>
      </c>
      <c r="J174" s="378">
        <f>IF(I174="","", IF(ARBITRAGES!$H174="shib",J173-ARBITRAGES!$K174,J173))</f>
        <v>20503076</v>
      </c>
      <c r="K174" s="378">
        <f>IF(J174="","", IF(ARBITRAGES!$H174="cake",K173+ARBITRAGES!$K174,K173))</f>
        <v>127.0804432</v>
      </c>
      <c r="L174" s="378">
        <f>IF(K174="","", IF(ARBITRAGES!$H174="JUP",L173+ARBITRAGES!$K174,L173))</f>
        <v>0</v>
      </c>
      <c r="M174" s="376">
        <f>IF(L174="","", IF(ARBITRAGES!$H174="aave",M173+ARBITRAGES!$K174,M173))</f>
        <v>7.751038596</v>
      </c>
      <c r="N174" s="378">
        <f>IF(M174="","", IF(ARBITRAGES!$H174="ckb",N173+ARBITRAGES!$K174,N173))</f>
        <v>0</v>
      </c>
      <c r="O174" s="378">
        <f>IF(N174="","", IF(ARBITRAGES!$H174="pendle",O173+ARBITRAGES!$K174,O173))</f>
        <v>124.7571597</v>
      </c>
      <c r="P174" s="378">
        <f>IF(O174="","", IF(ARBITRAGES!$H174="BOME",P173+ARBITRAGES!$K174,P173))</f>
        <v>0.02891989199</v>
      </c>
      <c r="Q174" s="378">
        <f>IF(P174="","", IF(ARBITRAGES!$H174="PEPE",Q173+ARBITRAGES!$K174,Q173))</f>
        <v>24145000</v>
      </c>
      <c r="R174" s="378">
        <f>IF(Q174="","", IF(ARBITRAGES!$H174="WIF",R173+ARBITRAGES!$K174,R173))</f>
        <v>0</v>
      </c>
      <c r="S174" s="378">
        <f>IF(R174="","", IF(ARBITRAGES!$H174="RAY",S173+ARBITRAGES!$K174,S173))</f>
        <v>0</v>
      </c>
      <c r="T174" s="360"/>
      <c r="U174" s="360"/>
      <c r="V174" s="360"/>
      <c r="W174" s="360"/>
      <c r="X174" s="360"/>
      <c r="Y174" s="360"/>
      <c r="Z174" s="360"/>
      <c r="AA174" s="360"/>
      <c r="AB174" s="360"/>
      <c r="AC174" s="360"/>
      <c r="AD174" s="360"/>
      <c r="AE174" s="360"/>
      <c r="AF174" s="360"/>
      <c r="AG174" s="360"/>
      <c r="AH174" s="360"/>
    </row>
    <row r="175" ht="18.75" customHeight="1">
      <c r="A175" s="365">
        <f>IF(ARBITRAGES!E175=0,"",ARBITRAGES!E175)</f>
        <v>45952</v>
      </c>
      <c r="B175" s="375">
        <f>IF(A175="","", IF(ARBITRAGES!$H175="BTC",B174+ARBITRAGES!$K175,B174))</f>
        <v>0.2014181004</v>
      </c>
      <c r="C175" s="375">
        <f>IF(B175="","", IF(ARBITRAGES!$H175="eth",C174+ARBITRAGES!$K175,C174))</f>
        <v>2.06502836</v>
      </c>
      <c r="D175" s="392">
        <f>IF(C175="","", IF(ARBITRAGES!$H175="ton",D174-ARBITRAGES!$K175+0.025,D174))</f>
        <v>0.001390269174</v>
      </c>
      <c r="E175" s="376">
        <f>IF(D175="","", IF(ARBITRAGES!$H175="sol",E174+ARBITRAGES!$K175,E174))</f>
        <v>17.5620223</v>
      </c>
      <c r="F175" s="377">
        <f>IF(E175="","", IF(ARBITRAGES!$H175="tao",F174+ARBITRAGES!$K175,F174))</f>
        <v>11.00661996</v>
      </c>
      <c r="G175" s="378">
        <f>IF(F175="","", IF(ARBITRAGES!$H175="ron",G174+ARBITRAGES!$K175,G174))</f>
        <v>0</v>
      </c>
      <c r="H175" s="378">
        <f>IF(G175="","", IF(ARBITRAGES!$H175="link",H174+ARBITRAGES!$K175,H174))</f>
        <v>90.0797</v>
      </c>
      <c r="I175" s="378">
        <f>IF(H175="","", IF(ARBITRAGES!$H175="doge",I174+ARBITRAGES!$K175,I174))</f>
        <v>4928.58</v>
      </c>
      <c r="J175" s="378">
        <f>IF(I175="","", IF(ARBITRAGES!$H175="shib",J174-ARBITRAGES!$K175,J174))</f>
        <v>20503076</v>
      </c>
      <c r="K175" s="378">
        <f>IF(J175="","", IF(ARBITRAGES!$H175="cake",K174+ARBITRAGES!$K175,K174))</f>
        <v>127.0804432</v>
      </c>
      <c r="L175" s="378">
        <f>IF(K175="","", IF(ARBITRAGES!$H175="JUP",L174+ARBITRAGES!$K175,L174))</f>
        <v>0</v>
      </c>
      <c r="M175" s="376">
        <f>IF(L175="","", IF(ARBITRAGES!$H175="aave",M174+ARBITRAGES!$K175,M174))</f>
        <v>7.751038596</v>
      </c>
      <c r="N175" s="378">
        <f>IF(M175="","", IF(ARBITRAGES!$H175="ckb",N174+ARBITRAGES!$K175,N174))</f>
        <v>0</v>
      </c>
      <c r="O175" s="378">
        <f>IF(N175="","", IF(ARBITRAGES!$H175="pendle",O174+ARBITRAGES!$K175,O174))</f>
        <v>124.7571597</v>
      </c>
      <c r="P175" s="378">
        <f>IF(O175="","", IF(ARBITRAGES!$H175="BOME",P174+ARBITRAGES!$K175,P174))</f>
        <v>0.02891989199</v>
      </c>
      <c r="Q175" s="378">
        <f>IF(P175="","", IF(ARBITRAGES!$H175="PEPE",Q174+ARBITRAGES!$K175,Q174))</f>
        <v>24145000</v>
      </c>
      <c r="R175" s="378">
        <f>IF(Q175="","", IF(ARBITRAGES!$H175="WIF",R174+ARBITRAGES!$K175,R174))</f>
        <v>0</v>
      </c>
      <c r="S175" s="378">
        <f>IF(R175="","", IF(ARBITRAGES!$H175="RAY",S174+ARBITRAGES!$K175,S174))</f>
        <v>0</v>
      </c>
      <c r="T175" s="360"/>
      <c r="U175" s="360"/>
      <c r="V175" s="360"/>
      <c r="W175" s="360"/>
      <c r="X175" s="360"/>
      <c r="Y175" s="360"/>
      <c r="Z175" s="360"/>
      <c r="AA175" s="360"/>
      <c r="AB175" s="360"/>
      <c r="AC175" s="360"/>
      <c r="AD175" s="360"/>
      <c r="AE175" s="360"/>
      <c r="AF175" s="360"/>
      <c r="AG175" s="360"/>
      <c r="AH175" s="360"/>
    </row>
    <row r="176" ht="18.75" customHeight="1">
      <c r="A176" s="365">
        <f>IF(ARBITRAGES!E176=0,"",ARBITRAGES!E176)</f>
        <v>45953</v>
      </c>
      <c r="B176" s="375">
        <f>IF(A176="","", IF(ARBITRAGES!$H176="BTC",B175+ARBITRAGES!$K176,B175))</f>
        <v>0.2014181004</v>
      </c>
      <c r="C176" s="375">
        <f>IF(B176="","", IF(ARBITRAGES!$H176="eth",C175+ARBITRAGES!$K176,C175))</f>
        <v>2.06502836</v>
      </c>
      <c r="D176" s="376">
        <f>IF(C176="","", IF(ARBITRAGES!$H176="ondo",D175+ARBITRAGES!$K176,D175))</f>
        <v>0.001390269174</v>
      </c>
      <c r="E176" s="376">
        <f>IF(D176="","", IF(ARBITRAGES!$H176="sol",E175+ARBITRAGES!$K176,E175))</f>
        <v>17.5620223</v>
      </c>
      <c r="F176" s="377">
        <f>IF(E176="","", IF(ARBITRAGES!$H176="tao",F175+ARBITRAGES!$K176,F175))</f>
        <v>11.00661996</v>
      </c>
      <c r="G176" s="378">
        <f>IF(F176="","", IF(ARBITRAGES!$H176="ron",G175+ARBITRAGES!$K176,G175))</f>
        <v>0</v>
      </c>
      <c r="H176" s="378">
        <f>IF(G176="","", IF(ARBITRAGES!$H176="link",H175+ARBITRAGES!$K176,H175))</f>
        <v>90.0797</v>
      </c>
      <c r="I176" s="378">
        <f>IF(H176="","", IF(ARBITRAGES!$H176="doge",I175+ARBITRAGES!$K176,I175))</f>
        <v>4928.58</v>
      </c>
      <c r="J176" s="378">
        <f>IF(I176="","", IF(ARBITRAGES!$H176="shib",J175-ARBITRAGES!$K176,J175))</f>
        <v>20503076</v>
      </c>
      <c r="K176" s="378">
        <f>IF(J176="","", IF(ARBITRAGES!$H176="cake",K175+ARBITRAGES!$K176,K175))</f>
        <v>127.0804432</v>
      </c>
      <c r="L176" s="378">
        <f>IF(K176="","", IF(ARBITRAGES!$H176="JUP",L175+ARBITRAGES!$K176,L175))</f>
        <v>0</v>
      </c>
      <c r="M176" s="376">
        <f>IF(L176="","", IF(ARBITRAGES!$H176="aave",M175+ARBITRAGES!$K176,M175))</f>
        <v>7.751038596</v>
      </c>
      <c r="N176" s="378">
        <f>IF(M176="","", IF(ARBITRAGES!$H176="ckb",N175+ARBITRAGES!$K176,N175))</f>
        <v>0</v>
      </c>
      <c r="O176" s="378">
        <f>IF(N176="","", IF(ARBITRAGES!$H176="pendle",O175+ARBITRAGES!$K176,O175))</f>
        <v>124.7571597</v>
      </c>
      <c r="P176" s="378">
        <f>IF(O176="","", IF(ARBITRAGES!$H176="BOME",P175+ARBITRAGES!$K176,P175))</f>
        <v>0.02891989199</v>
      </c>
      <c r="Q176" s="394">
        <f>IF(P176="","", IF(ARBITRAGES!$H176="PEPE",Q175-ARBITRAGES!$K176-1161.4,Q175))</f>
        <v>0.03999999762</v>
      </c>
      <c r="R176" s="378">
        <f>IF(Q176="","", IF(ARBITRAGES!$H176="WIF",R175+ARBITRAGES!$K176,R175))</f>
        <v>0</v>
      </c>
      <c r="S176" s="378">
        <f>IF(R176="","", IF(ARBITRAGES!$H176="RAY",S175+ARBITRAGES!$K176,S175))</f>
        <v>0</v>
      </c>
      <c r="T176" s="360"/>
      <c r="U176" s="360"/>
      <c r="V176" s="360"/>
      <c r="W176" s="360"/>
      <c r="X176" s="360"/>
      <c r="Y176" s="360"/>
      <c r="Z176" s="360"/>
      <c r="AA176" s="360"/>
      <c r="AB176" s="360"/>
      <c r="AC176" s="360"/>
      <c r="AD176" s="360"/>
      <c r="AE176" s="360"/>
      <c r="AF176" s="360"/>
      <c r="AG176" s="360"/>
      <c r="AH176" s="360"/>
    </row>
    <row r="177" ht="18.75" customHeight="1">
      <c r="A177" s="365">
        <f>IF(ARBITRAGES!E177=0,"",ARBITRAGES!E177)</f>
        <v>45957</v>
      </c>
      <c r="B177" s="393">
        <f>IF(A177="","", IF(ARBITRAGES!$H177="BTC",B176-ARBITRAGES!$K177,B176))</f>
        <v>0.1914181004</v>
      </c>
      <c r="C177" s="375">
        <f>IF(B177="","", IF(ARBITRAGES!$H177="eth",C176+ARBITRAGES!$K177,C176))</f>
        <v>2.06502836</v>
      </c>
      <c r="D177" s="376">
        <f>IF(C177="","", IF(ARBITRAGES!$H177="ondo",D176+ARBITRAGES!$K177,D176))</f>
        <v>0.001390269174</v>
      </c>
      <c r="E177" s="376">
        <f>IF(D177="","", IF(ARBITRAGES!$H177="sol",E176+ARBITRAGES!$K177,E176))</f>
        <v>17.5620223</v>
      </c>
      <c r="F177" s="377">
        <f>IF(E177="","", IF(ARBITRAGES!$H177="tao",F176+ARBITRAGES!$K177,F176))</f>
        <v>11.00661996</v>
      </c>
      <c r="G177" s="378">
        <f>IF(F177="","", IF(ARBITRAGES!$H177="ron",G176+ARBITRAGES!$K177,G176))</f>
        <v>0</v>
      </c>
      <c r="H177" s="378">
        <f>IF(G177="","", IF(ARBITRAGES!$H177="link",H176+ARBITRAGES!$K177,H176))</f>
        <v>90.0797</v>
      </c>
      <c r="I177" s="378">
        <f>IF(H177="","", IF(ARBITRAGES!$H177="doge",I176+ARBITRAGES!$K177,I176))</f>
        <v>4928.58</v>
      </c>
      <c r="J177" s="378">
        <f>IF(I177="","", IF(ARBITRAGES!$H177="shib",J176-ARBITRAGES!$K177,J176))</f>
        <v>20503076</v>
      </c>
      <c r="K177" s="378">
        <f>IF(J177="","", IF(ARBITRAGES!$H177="cake",K176+ARBITRAGES!$K177,K176))</f>
        <v>127.0804432</v>
      </c>
      <c r="L177" s="378">
        <f>IF(K177="","", IF(ARBITRAGES!$H177="JUP",L176+ARBITRAGES!$K177,L176))</f>
        <v>0</v>
      </c>
      <c r="M177" s="376">
        <f>IF(L177="","", IF(ARBITRAGES!$H177="aave",M176+ARBITRAGES!$K177,M176))</f>
        <v>7.751038596</v>
      </c>
      <c r="N177" s="378">
        <f>IF(M177="","", IF(ARBITRAGES!$H177="ckb",N176+ARBITRAGES!$K177,N176))</f>
        <v>0</v>
      </c>
      <c r="O177" s="378">
        <f>IF(N177="","", IF(ARBITRAGES!$H177="pendle",O176+ARBITRAGES!$K177,O176))</f>
        <v>124.7571597</v>
      </c>
      <c r="P177" s="378">
        <f>IF(O177="","", IF(ARBITRAGES!$H177="BOME",P176+ARBITRAGES!$K177,P176))</f>
        <v>0.02891989199</v>
      </c>
      <c r="Q177" s="378">
        <f>IF(P177="","", IF(ARBITRAGES!$H177="PEPE",Q176+ARBITRAGES!$K177,Q176))</f>
        <v>0.03999999762</v>
      </c>
      <c r="R177" s="378">
        <f>IF(Q177="","", IF(ARBITRAGES!$H177="WIF",R176+ARBITRAGES!$K177,R176))</f>
        <v>0</v>
      </c>
      <c r="S177" s="378">
        <f>IF(R177="","", IF(ARBITRAGES!$H177="RAY",S176+ARBITRAGES!$K177,S176))</f>
        <v>0</v>
      </c>
      <c r="T177" s="360"/>
      <c r="U177" s="360"/>
      <c r="V177" s="360"/>
      <c r="W177" s="360"/>
      <c r="X177" s="360"/>
      <c r="Y177" s="360"/>
      <c r="Z177" s="360"/>
      <c r="AA177" s="360"/>
      <c r="AB177" s="360"/>
      <c r="AC177" s="360"/>
      <c r="AD177" s="360"/>
      <c r="AE177" s="360"/>
      <c r="AF177" s="360"/>
      <c r="AG177" s="360"/>
      <c r="AH177" s="360"/>
    </row>
    <row r="178" ht="18.75" customHeight="1">
      <c r="A178" s="365">
        <f>IF(ARBITRAGES!E178=0,"",ARBITRAGES!E178)</f>
        <v>45957</v>
      </c>
      <c r="B178" s="375">
        <f>IF(A178="","", IF(ARBITRAGES!$H178="BTC",B177+ARBITRAGES!$K178,B177))</f>
        <v>0.1914181004</v>
      </c>
      <c r="C178" s="393">
        <f>IF(B178="","", IF(ARBITRAGES!$H178="eth",C177-ARBITRAGES!$K178,C177))</f>
        <v>1.86502836</v>
      </c>
      <c r="D178" s="376">
        <f>IF(C178="","", IF(ARBITRAGES!$H178="ondo",D177+ARBITRAGES!$K178,D177))</f>
        <v>0.001390269174</v>
      </c>
      <c r="E178" s="376">
        <f>IF(D178="","", IF(ARBITRAGES!$H178="sol",E177+ARBITRAGES!$K178,E177))</f>
        <v>17.5620223</v>
      </c>
      <c r="F178" s="377">
        <f>IF(E178="","", IF(ARBITRAGES!$H178="tao",F177+ARBITRAGES!$K178,F177))</f>
        <v>11.00661996</v>
      </c>
      <c r="G178" s="378">
        <f>IF(F178="","", IF(ARBITRAGES!$H178="ron",G177+ARBITRAGES!$K178,G177))</f>
        <v>0</v>
      </c>
      <c r="H178" s="378">
        <f>IF(G178="","", IF(ARBITRAGES!$H178="link",H177+ARBITRAGES!$K178,H177))</f>
        <v>90.0797</v>
      </c>
      <c r="I178" s="378">
        <f>IF(H178="","", IF(ARBITRAGES!$H178="doge",I177+ARBITRAGES!$K178,I177))</f>
        <v>4928.58</v>
      </c>
      <c r="J178" s="378">
        <f>IF(I178="","", IF(ARBITRAGES!$H178="shib",J177-ARBITRAGES!$K178,J177))</f>
        <v>20503076</v>
      </c>
      <c r="K178" s="378">
        <f>IF(J178="","", IF(ARBITRAGES!$H178="cake",K177+ARBITRAGES!$K178,K177))</f>
        <v>127.0804432</v>
      </c>
      <c r="L178" s="378">
        <f>IF(K178="","", IF(ARBITRAGES!$H178="JUP",L177+ARBITRAGES!$K178,L177))</f>
        <v>0</v>
      </c>
      <c r="M178" s="376">
        <f>IF(L178="","", IF(ARBITRAGES!$H178="aave",M177+ARBITRAGES!$K178,M177))</f>
        <v>7.751038596</v>
      </c>
      <c r="N178" s="378">
        <f>IF(M178="","", IF(ARBITRAGES!$H178="ckb",N177+ARBITRAGES!$K178,N177))</f>
        <v>0</v>
      </c>
      <c r="O178" s="378">
        <f>IF(N178="","", IF(ARBITRAGES!$H178="pendle",O177+ARBITRAGES!$K178,O177))</f>
        <v>124.7571597</v>
      </c>
      <c r="P178" s="378">
        <f>IF(O178="","", IF(ARBITRAGES!$H178="BOME",P177+ARBITRAGES!$K178,P177))</f>
        <v>0.02891989199</v>
      </c>
      <c r="Q178" s="378">
        <f>IF(P178="","", IF(ARBITRAGES!$H178="PEPE",Q177+ARBITRAGES!$K178,Q177))</f>
        <v>0.03999999762</v>
      </c>
      <c r="R178" s="378">
        <f>IF(Q178="","", IF(ARBITRAGES!$H178="WIF",R177+ARBITRAGES!$K178,R177))</f>
        <v>0</v>
      </c>
      <c r="S178" s="378">
        <f>IF(R178="","", IF(ARBITRAGES!$H178="RAY",S177+ARBITRAGES!$K178,S177))</f>
        <v>0</v>
      </c>
      <c r="T178" s="360"/>
      <c r="U178" s="360"/>
      <c r="V178" s="360"/>
      <c r="W178" s="360"/>
      <c r="X178" s="360"/>
      <c r="Y178" s="360"/>
      <c r="Z178" s="360"/>
      <c r="AA178" s="360"/>
      <c r="AB178" s="360"/>
      <c r="AC178" s="360"/>
      <c r="AD178" s="360"/>
      <c r="AE178" s="360"/>
      <c r="AF178" s="360"/>
      <c r="AG178" s="360"/>
      <c r="AH178" s="360"/>
    </row>
    <row r="179" ht="18.75" customHeight="1">
      <c r="A179" s="365">
        <f>IF(ARBITRAGES!E179=0,"",ARBITRAGES!E179)</f>
        <v>45958</v>
      </c>
      <c r="B179" s="375">
        <f>IF(A179="","", IF(ARBITRAGES!$H179="BTC",B178+ARBITRAGES!$K179,B178))</f>
        <v>0.1914181004</v>
      </c>
      <c r="C179" s="375">
        <f>IF(B179="","", IF(ARBITRAGES!$H179="eth",C178+ARBITRAGES!$K179,C178))</f>
        <v>1.86502836</v>
      </c>
      <c r="D179" s="376">
        <f>IF(C179="","", IF(ARBITRAGES!$H179="ondo",D178+ARBITRAGES!$K179,D178))</f>
        <v>0.001390269174</v>
      </c>
      <c r="E179" s="376">
        <f>IF(D179="","", IF(ARBITRAGES!$H179="sol",E178+ARBITRAGES!$K179,E178))</f>
        <v>17.5620223</v>
      </c>
      <c r="F179" s="391">
        <f>IF(E179="","", IF(ARBITRAGES!$H179="tao",F178-ARBITRAGES!$K179+0.002,F178))</f>
        <v>10.00861996</v>
      </c>
      <c r="G179" s="378">
        <f>IF(F179="","", IF(ARBITRAGES!$H179="ron",G178+ARBITRAGES!$K179,G178))</f>
        <v>0</v>
      </c>
      <c r="H179" s="378">
        <f>IF(G179="","", IF(ARBITRAGES!$H179="link",H178+ARBITRAGES!$K179,H178))</f>
        <v>90.0797</v>
      </c>
      <c r="I179" s="378">
        <f>IF(H179="","", IF(ARBITRAGES!$H179="doge",I178+ARBITRAGES!$K179,I178))</f>
        <v>4928.58</v>
      </c>
      <c r="J179" s="378">
        <f>IF(I179="","", IF(ARBITRAGES!$H179="shib",J178-ARBITRAGES!$K179,J178))</f>
        <v>20503076</v>
      </c>
      <c r="K179" s="378">
        <f>IF(J179="","", IF(ARBITRAGES!$H179="cake",K178+ARBITRAGES!$K179,K178))</f>
        <v>127.0804432</v>
      </c>
      <c r="L179" s="378">
        <f>IF(K179="","", IF(ARBITRAGES!$H179="JUP",L178+ARBITRAGES!$K179,L178))</f>
        <v>0</v>
      </c>
      <c r="M179" s="376">
        <f>IF(L179="","", IF(ARBITRAGES!$H179="aave",M178+ARBITRAGES!$K179,M178))</f>
        <v>7.751038596</v>
      </c>
      <c r="N179" s="378">
        <f>IF(M179="","", IF(ARBITRAGES!$H179="ckb",N178+ARBITRAGES!$K179,N178))</f>
        <v>0</v>
      </c>
      <c r="O179" s="378">
        <f>IF(N179="","", IF(ARBITRAGES!$H179="pendle",O178+ARBITRAGES!$K179,O178))</f>
        <v>124.7571597</v>
      </c>
      <c r="P179" s="378">
        <f>IF(O179="","", IF(ARBITRAGES!$H179="BOME",P178+ARBITRAGES!$K179,P178))</f>
        <v>0.02891989199</v>
      </c>
      <c r="Q179" s="378">
        <f>IF(P179="","", IF(ARBITRAGES!$H179="PEPE",Q178+ARBITRAGES!$K179,Q178))</f>
        <v>0.03999999762</v>
      </c>
      <c r="R179" s="378">
        <f>IF(Q179="","", IF(ARBITRAGES!$H179="WIF",R178+ARBITRAGES!$K179,R178))</f>
        <v>0</v>
      </c>
      <c r="S179" s="378">
        <f>IF(R179="","", IF(ARBITRAGES!$H179="RAY",S178+ARBITRAGES!$K179,S178))</f>
        <v>0</v>
      </c>
      <c r="T179" s="360"/>
      <c r="U179" s="360"/>
      <c r="V179" s="360"/>
      <c r="W179" s="360"/>
      <c r="X179" s="360"/>
      <c r="Y179" s="360"/>
      <c r="Z179" s="360"/>
      <c r="AA179" s="360"/>
      <c r="AB179" s="360"/>
      <c r="AC179" s="360"/>
      <c r="AD179" s="360"/>
      <c r="AE179" s="360"/>
      <c r="AF179" s="360"/>
      <c r="AG179" s="360"/>
      <c r="AH179" s="360"/>
    </row>
    <row r="180" ht="18.75" customHeight="1">
      <c r="A180" s="365">
        <f>IF(ARBITRAGES!E180=0,"",ARBITRAGES!E180)</f>
        <v>45960</v>
      </c>
      <c r="B180" s="375">
        <f>IF(A180="","", IF(ARBITRAGES!$H180="BTC",B179+ARBITRAGES!$K180,B179))</f>
        <v>0.1914181004</v>
      </c>
      <c r="C180" s="375">
        <f>IF(B180="","", IF(ARBITRAGES!$H180="eth",C179+ARBITRAGES!$K180,C179))</f>
        <v>1.86502836</v>
      </c>
      <c r="D180" s="376">
        <f>IF(C180="","", IF(ARBITRAGES!$H180="ondo",D179+ARBITRAGES!$K180,D179))</f>
        <v>0.001390269174</v>
      </c>
      <c r="E180" s="376">
        <f>IF(D180="","", IF(ARBITRAGES!$H180="sol",E179+ARBITRAGES!$K180,E179))</f>
        <v>17.5620223</v>
      </c>
      <c r="F180" s="391">
        <f>IF(E180="","", IF(ARBITRAGES!$H180="tao",F179-ARBITRAGES!$K180+0.002,F179))</f>
        <v>9.010619964</v>
      </c>
      <c r="G180" s="378">
        <f>IF(F180="","", IF(ARBITRAGES!$H180="ron",G179+ARBITRAGES!$K180,G179))</f>
        <v>0</v>
      </c>
      <c r="H180" s="378">
        <f>IF(G180="","", IF(ARBITRAGES!$H180="link",H179+ARBITRAGES!$K180,H179))</f>
        <v>90.0797</v>
      </c>
      <c r="I180" s="378">
        <f>IF(H180="","", IF(ARBITRAGES!$H180="doge",I179+ARBITRAGES!$K180,I179))</f>
        <v>4928.58</v>
      </c>
      <c r="J180" s="378">
        <f>IF(I180="","", IF(ARBITRAGES!$H180="shib",J179-ARBITRAGES!$K180,J179))</f>
        <v>20503076</v>
      </c>
      <c r="K180" s="378">
        <f>IF(J180="","", IF(ARBITRAGES!$H180="cake",K179+ARBITRAGES!$K180,K179))</f>
        <v>127.0804432</v>
      </c>
      <c r="L180" s="378">
        <f>IF(K180="","", IF(ARBITRAGES!$H180="JUP",L179+ARBITRAGES!$K180,L179))</f>
        <v>0</v>
      </c>
      <c r="M180" s="376">
        <f>IF(L180="","", IF(ARBITRAGES!$H180="aave",M179+ARBITRAGES!$K180,M179))</f>
        <v>7.751038596</v>
      </c>
      <c r="N180" s="378">
        <f>IF(M180="","", IF(ARBITRAGES!$H180="ckb",N179+ARBITRAGES!$K180,N179))</f>
        <v>0</v>
      </c>
      <c r="O180" s="378">
        <f>IF(N180="","", IF(ARBITRAGES!$H180="pendle",O179+ARBITRAGES!$K180,O179))</f>
        <v>124.7571597</v>
      </c>
      <c r="P180" s="378">
        <f>IF(O180="","", IF(ARBITRAGES!$H180="BOME",P179+ARBITRAGES!$K180,P179))</f>
        <v>0.02891989199</v>
      </c>
      <c r="Q180" s="378">
        <f>IF(P180="","", IF(ARBITRAGES!$H180="PEPE",Q179+ARBITRAGES!$K180,Q179))</f>
        <v>0.03999999762</v>
      </c>
      <c r="R180" s="378">
        <f>IF(Q180="","", IF(ARBITRAGES!$H180="WIF",R179+ARBITRAGES!$K180,R179))</f>
        <v>0</v>
      </c>
      <c r="S180" s="378">
        <f>IF(R180="","", IF(ARBITRAGES!$H180="RAY",S179+ARBITRAGES!$K180,S179))</f>
        <v>0</v>
      </c>
      <c r="T180" s="360"/>
      <c r="U180" s="360"/>
      <c r="V180" s="360"/>
      <c r="W180" s="360"/>
      <c r="X180" s="360"/>
      <c r="Y180" s="360"/>
      <c r="Z180" s="360"/>
      <c r="AA180" s="360"/>
      <c r="AB180" s="360"/>
      <c r="AC180" s="360"/>
      <c r="AD180" s="360"/>
      <c r="AE180" s="360"/>
      <c r="AF180" s="360"/>
      <c r="AG180" s="360"/>
      <c r="AH180" s="360"/>
    </row>
    <row r="181" ht="18.75" customHeight="1">
      <c r="A181" s="365">
        <f>IF(ARBITRAGES!E181=0,"",ARBITRAGES!E181)</f>
        <v>45961</v>
      </c>
      <c r="B181" s="375">
        <f>IF(A181="","", IF(ARBITRAGES!$H181="BTC",B180+ARBITRAGES!$K181,B180))</f>
        <v>0.1914181004</v>
      </c>
      <c r="C181" s="375">
        <f>IF(B181="","", IF(ARBITRAGES!$H181="eth",C180+ARBITRAGES!$K181,C180))</f>
        <v>1.86502836</v>
      </c>
      <c r="D181" s="376">
        <f>IF(C181="","", IF(ARBITRAGES!$H181="ondo",D180+ARBITRAGES!$K181,D180))</f>
        <v>0.001390269174</v>
      </c>
      <c r="E181" s="376">
        <f>IF(D181="","", IF(ARBITRAGES!$H181="sol",E180+ARBITRAGES!$K181,E180))</f>
        <v>17.5620223</v>
      </c>
      <c r="F181" s="391">
        <f>IF(E181="","", IF(ARBITRAGES!$H181="tao",F180-ARBITRAGES!$K181+0.002,F180))</f>
        <v>7.512619964</v>
      </c>
      <c r="G181" s="378">
        <f>IF(F181="","", IF(ARBITRAGES!$H181="ron",G180+ARBITRAGES!$K181,G180))</f>
        <v>0</v>
      </c>
      <c r="H181" s="378">
        <f>IF(G181="","", IF(ARBITRAGES!$H181="link",H180+ARBITRAGES!$K181,H180))</f>
        <v>90.0797</v>
      </c>
      <c r="I181" s="378">
        <f>IF(H181="","", IF(ARBITRAGES!$H181="doge",I180+ARBITRAGES!$K181,I180))</f>
        <v>4928.58</v>
      </c>
      <c r="J181" s="378">
        <f>IF(I181="","", IF(ARBITRAGES!$H181="shib",J180-ARBITRAGES!$K181,J180))</f>
        <v>20503076</v>
      </c>
      <c r="K181" s="378">
        <f>IF(J181="","", IF(ARBITRAGES!$H181="cake",K180+ARBITRAGES!$K181,K180))</f>
        <v>127.0804432</v>
      </c>
      <c r="L181" s="378">
        <f>IF(K181="","", IF(ARBITRAGES!$H181="JUP",L180+ARBITRAGES!$K181,L180))</f>
        <v>0</v>
      </c>
      <c r="M181" s="376">
        <f>IF(L181="","", IF(ARBITRAGES!$H181="aave",M180+ARBITRAGES!$K181,M180))</f>
        <v>7.751038596</v>
      </c>
      <c r="N181" s="378">
        <f>IF(M181="","", IF(ARBITRAGES!$H181="ckb",N180+ARBITRAGES!$K181,N180))</f>
        <v>0</v>
      </c>
      <c r="O181" s="378">
        <f>IF(N181="","", IF(ARBITRAGES!$H181="pendle",O180+ARBITRAGES!$K181,O180))</f>
        <v>124.7571597</v>
      </c>
      <c r="P181" s="378">
        <f>IF(O181="","", IF(ARBITRAGES!$H181="BOME",P180+ARBITRAGES!$K181,P180))</f>
        <v>0.02891989199</v>
      </c>
      <c r="Q181" s="378">
        <f>IF(P181="","", IF(ARBITRAGES!$H181="PEPE",Q180+ARBITRAGES!$K181,Q180))</f>
        <v>0.03999999762</v>
      </c>
      <c r="R181" s="378">
        <f>IF(Q181="","", IF(ARBITRAGES!$H181="WIF",R180+ARBITRAGES!$K181,R180))</f>
        <v>0</v>
      </c>
      <c r="S181" s="378">
        <f>IF(R181="","", IF(ARBITRAGES!$H181="RAY",S180+ARBITRAGES!$K181,S180))</f>
        <v>0</v>
      </c>
      <c r="T181" s="360"/>
      <c r="U181" s="360"/>
      <c r="V181" s="360"/>
      <c r="W181" s="360"/>
      <c r="X181" s="360"/>
      <c r="Y181" s="360"/>
      <c r="Z181" s="360"/>
      <c r="AA181" s="360"/>
      <c r="AB181" s="360"/>
      <c r="AC181" s="360"/>
      <c r="AD181" s="360"/>
      <c r="AE181" s="360"/>
      <c r="AF181" s="360"/>
      <c r="AG181" s="360"/>
      <c r="AH181" s="360"/>
    </row>
    <row r="182" ht="18.75" customHeight="1">
      <c r="A182" s="365">
        <f>IF(ARBITRAGES!E182=0,"",ARBITRAGES!E182)</f>
        <v>45961</v>
      </c>
      <c r="B182" s="375">
        <f>IF(A182="","", IF(ARBITRAGES!$H182="BTC",B181+ARBITRAGES!$K182,B181))</f>
        <v>0.1914181004</v>
      </c>
      <c r="C182" s="375">
        <f>IF(B182="","", IF(ARBITRAGES!$H182="eth",C181+ARBITRAGES!$K182,C181))</f>
        <v>1.86502836</v>
      </c>
      <c r="D182" s="376">
        <f>IF(C182="","", IF(ARBITRAGES!$H182="ondo",D181+ARBITRAGES!$K182,D181))</f>
        <v>0.001390269174</v>
      </c>
      <c r="E182" s="376">
        <f>IF(D182="","", IF(ARBITRAGES!$H182="sol",E181+ARBITRAGES!$K182,E181))</f>
        <v>17.5620223</v>
      </c>
      <c r="F182" s="391">
        <f>IF(E182="","", IF(ARBITRAGES!$H182="tao",F181-ARBITRAGES!$K182+0.002,F181))</f>
        <v>6.714619964</v>
      </c>
      <c r="G182" s="378">
        <f>IF(F182="","", IF(ARBITRAGES!$H182="ron",G181+ARBITRAGES!$K182,G181))</f>
        <v>0</v>
      </c>
      <c r="H182" s="378">
        <f>IF(G182="","", IF(ARBITRAGES!$H182="link",H181+ARBITRAGES!$K182,H181))</f>
        <v>90.0797</v>
      </c>
      <c r="I182" s="378">
        <f>IF(H182="","", IF(ARBITRAGES!$H182="doge",I181+ARBITRAGES!$K182,I181))</f>
        <v>4928.58</v>
      </c>
      <c r="J182" s="378">
        <f>IF(I182="","", IF(ARBITRAGES!$H182="shib",J181-ARBITRAGES!$K182,J181))</f>
        <v>20503076</v>
      </c>
      <c r="K182" s="378">
        <f>IF(J182="","", IF(ARBITRAGES!$H182="cake",K181+ARBITRAGES!$K182,K181))</f>
        <v>127.0804432</v>
      </c>
      <c r="L182" s="378">
        <f>IF(K182="","", IF(ARBITRAGES!$H182="JUP",L181+ARBITRAGES!$K182,L181))</f>
        <v>0</v>
      </c>
      <c r="M182" s="376">
        <f>IF(L182="","", IF(ARBITRAGES!$H182="aave",M181+ARBITRAGES!$K182,M181))</f>
        <v>7.751038596</v>
      </c>
      <c r="N182" s="378">
        <f>IF(M182="","", IF(ARBITRAGES!$H182="ckb",N181+ARBITRAGES!$K182,N181))</f>
        <v>0</v>
      </c>
      <c r="O182" s="378">
        <f>IF(N182="","", IF(ARBITRAGES!$H182="pendle",O181+ARBITRAGES!$K182,O181))</f>
        <v>124.7571597</v>
      </c>
      <c r="P182" s="378">
        <f>IF(O182="","", IF(ARBITRAGES!$H182="BOME",P181+ARBITRAGES!$K182,P181))</f>
        <v>0.02891989199</v>
      </c>
      <c r="Q182" s="378">
        <f>IF(P182="","", IF(ARBITRAGES!$H182="PEPE",Q181+ARBITRAGES!$K182,Q181))</f>
        <v>0.03999999762</v>
      </c>
      <c r="R182" s="378">
        <f>IF(Q182="","", IF(ARBITRAGES!$H182="WIF",R181+ARBITRAGES!$K182,R181))</f>
        <v>0</v>
      </c>
      <c r="S182" s="378">
        <f>IF(R182="","", IF(ARBITRAGES!$H182="RAY",S181+ARBITRAGES!$K182,S181))</f>
        <v>0</v>
      </c>
      <c r="T182" s="360"/>
      <c r="U182" s="360"/>
      <c r="V182" s="360"/>
      <c r="W182" s="360"/>
      <c r="X182" s="360"/>
      <c r="Y182" s="360"/>
      <c r="Z182" s="360"/>
      <c r="AA182" s="360"/>
      <c r="AB182" s="360"/>
      <c r="AC182" s="360"/>
      <c r="AD182" s="360"/>
      <c r="AE182" s="360"/>
      <c r="AF182" s="360"/>
      <c r="AG182" s="360"/>
      <c r="AH182" s="360"/>
    </row>
    <row r="183" ht="18.75" customHeight="1">
      <c r="A183" s="365">
        <f>IF(ARBITRAGES!E183=0,"",ARBITRAGES!E183)</f>
        <v>45962</v>
      </c>
      <c r="B183" s="375">
        <f>IF(A183="","", IF(ARBITRAGES!$H183="BTC",B182+ARBITRAGES!$K183,B182))</f>
        <v>0.1914181004</v>
      </c>
      <c r="C183" s="375">
        <f>IF(B183="","", IF(ARBITRAGES!$H183="eth",C182+ARBITRAGES!$K183,C182))</f>
        <v>1.86502836</v>
      </c>
      <c r="D183" s="376">
        <f>IF(C183="","", IF(ARBITRAGES!$H183="ondo",D182+ARBITRAGES!$K183,D182))</f>
        <v>0.001390269174</v>
      </c>
      <c r="E183" s="376">
        <f>IF(D183="","", IF(ARBITRAGES!$H183="sol",E182+ARBITRAGES!$K183,E182))</f>
        <v>17.5620223</v>
      </c>
      <c r="F183" s="391">
        <f>IF(E183="","", IF(ARBITRAGES!$H183="tao",F182-ARBITRAGES!$K183-0.005,F182))</f>
        <v>6.209619964</v>
      </c>
      <c r="G183" s="378">
        <f>IF(F183="","", IF(ARBITRAGES!$H183="ron",G182+ARBITRAGES!$K183,G182))</f>
        <v>0</v>
      </c>
      <c r="H183" s="378">
        <f>IF(G183="","", IF(ARBITRAGES!$H183="link",H182+ARBITRAGES!$K183,H182))</f>
        <v>90.0797</v>
      </c>
      <c r="I183" s="378">
        <f>IF(H183="","", IF(ARBITRAGES!$H183="doge",I182+ARBITRAGES!$K183,I182))</f>
        <v>4928.58</v>
      </c>
      <c r="J183" s="378">
        <f>IF(I183="","", IF(ARBITRAGES!$H183="shib",J182-ARBITRAGES!$K183,J182))</f>
        <v>20503076</v>
      </c>
      <c r="K183" s="378">
        <f>IF(J183="","", IF(ARBITRAGES!$H183="cake",K182+ARBITRAGES!$K183,K182))</f>
        <v>127.0804432</v>
      </c>
      <c r="L183" s="378">
        <f>IF(K183="","", IF(ARBITRAGES!$H183="JUP",L182+ARBITRAGES!$K183,L182))</f>
        <v>0</v>
      </c>
      <c r="M183" s="376">
        <f>IF(L183="","", IF(ARBITRAGES!$H183="aave",M182+ARBITRAGES!$K183,M182))</f>
        <v>7.751038596</v>
      </c>
      <c r="N183" s="378">
        <f>IF(M183="","", IF(ARBITRAGES!$H183="ckb",N182+ARBITRAGES!$K183,N182))</f>
        <v>0</v>
      </c>
      <c r="O183" s="378">
        <f>IF(N183="","", IF(ARBITRAGES!$H183="pendle",O182+ARBITRAGES!$K183,O182))</f>
        <v>124.7571597</v>
      </c>
      <c r="P183" s="378">
        <f>IF(O183="","", IF(ARBITRAGES!$H183="BOME",P182+ARBITRAGES!$K183,P182))</f>
        <v>0.02891989199</v>
      </c>
      <c r="Q183" s="378">
        <f>IF(P183="","", IF(ARBITRAGES!$H183="PEPE",Q182+ARBITRAGES!$K183,Q182))</f>
        <v>0.03999999762</v>
      </c>
      <c r="R183" s="378">
        <f>IF(Q183="","", IF(ARBITRAGES!$H183="WIF",R182+ARBITRAGES!$K183,R182))</f>
        <v>0</v>
      </c>
      <c r="S183" s="378">
        <f>IF(R183="","", IF(ARBITRAGES!$H183="RAY",S182+ARBITRAGES!$K183,S182))</f>
        <v>0</v>
      </c>
      <c r="T183" s="360"/>
      <c r="U183" s="360"/>
      <c r="V183" s="360"/>
      <c r="W183" s="360"/>
      <c r="X183" s="360"/>
      <c r="Y183" s="360"/>
      <c r="Z183" s="360"/>
      <c r="AA183" s="360"/>
      <c r="AB183" s="360"/>
      <c r="AC183" s="360"/>
      <c r="AD183" s="360"/>
      <c r="AE183" s="360"/>
      <c r="AF183" s="360"/>
      <c r="AG183" s="360"/>
      <c r="AH183" s="360"/>
    </row>
    <row r="184" ht="18.75" customHeight="1">
      <c r="A184" s="365">
        <f>IF(ARBITRAGES!E184=0,"",ARBITRAGES!E184)</f>
        <v>45963</v>
      </c>
      <c r="B184" s="375">
        <f>IF(A184="","", IF(ARBITRAGES!$H184="BTC",B183+ARBITRAGES!$K184,B183))</f>
        <v>0.1914181004</v>
      </c>
      <c r="C184" s="375">
        <f>IF(B184="","", IF(ARBITRAGES!$H184="eth",C183+ARBITRAGES!$K184,C183))</f>
        <v>1.86502836</v>
      </c>
      <c r="D184" s="376">
        <f>IF(C184="","", IF(ARBITRAGES!$H184="ondo",D183+ARBITRAGES!$K184,D183))</f>
        <v>0.001390269174</v>
      </c>
      <c r="E184" s="376">
        <f>IF(D184="","", IF(ARBITRAGES!$H184="sol",E183+ARBITRAGES!$K184,E183))</f>
        <v>17.5620223</v>
      </c>
      <c r="F184" s="377">
        <f>IF(E184="","", IF(ARBITRAGES!$H184="tao",F183+ARBITRAGES!$K184,F183))</f>
        <v>6.209619964</v>
      </c>
      <c r="G184" s="378">
        <f>IF(F184="","", IF(ARBITRAGES!$H184="ron",G183+ARBITRAGES!$K184,G183))</f>
        <v>0</v>
      </c>
      <c r="H184" s="378">
        <f>IF(G184="","", IF(ARBITRAGES!$H184="link",H183+ARBITRAGES!$K184,H183))</f>
        <v>90.0797</v>
      </c>
      <c r="I184" s="378">
        <f>IF(H184="","", IF(ARBITRAGES!$H184="doge",I183+ARBITRAGES!$K184,I183))</f>
        <v>4928.58</v>
      </c>
      <c r="J184" s="394">
        <f>IF(I184="","", IF(ARBITRAGES!$H184="shib",J183-ARBITRAGES!$K184+1221.7,J183))</f>
        <v>-0.01945258975</v>
      </c>
      <c r="K184" s="378">
        <f>IF(J184="","", IF(ARBITRAGES!$H184="cake",K183+ARBITRAGES!$K184,K183))</f>
        <v>127.0804432</v>
      </c>
      <c r="L184" s="378">
        <f>IF(K184="","", IF(ARBITRAGES!$H184="JUP",L183+ARBITRAGES!$K184,L183))</f>
        <v>0</v>
      </c>
      <c r="M184" s="376">
        <f>IF(L184="","", IF(ARBITRAGES!$H184="aave",M183+ARBITRAGES!$K184,M183))</f>
        <v>7.751038596</v>
      </c>
      <c r="N184" s="378">
        <f>IF(M184="","", IF(ARBITRAGES!$H184="ckb",N183+ARBITRAGES!$K184,N183))</f>
        <v>0</v>
      </c>
      <c r="O184" s="378">
        <f>IF(N184="","", IF(ARBITRAGES!$H184="pendle",O183+ARBITRAGES!$K184,O183))</f>
        <v>124.7571597</v>
      </c>
      <c r="P184" s="378">
        <f>IF(O184="","", IF(ARBITRAGES!$H184="BOME",P183+ARBITRAGES!$K184,P183))</f>
        <v>0.02891989199</v>
      </c>
      <c r="Q184" s="378">
        <f>IF(P184="","", IF(ARBITRAGES!$H184="PEPE",Q183+ARBITRAGES!$K184,Q183))</f>
        <v>0.03999999762</v>
      </c>
      <c r="R184" s="378">
        <f>IF(Q184="","", IF(ARBITRAGES!$H184="WIF",R183+ARBITRAGES!$K184,R183))</f>
        <v>0</v>
      </c>
      <c r="S184" s="378">
        <f>IF(R184="","", IF(ARBITRAGES!$H184="RAY",S183+ARBITRAGES!$K184,S183))</f>
        <v>0</v>
      </c>
      <c r="T184" s="360"/>
      <c r="U184" s="360"/>
      <c r="V184" s="360"/>
      <c r="W184" s="360"/>
      <c r="X184" s="360"/>
      <c r="Y184" s="360"/>
      <c r="Z184" s="360"/>
      <c r="AA184" s="360"/>
      <c r="AB184" s="360"/>
      <c r="AC184" s="360"/>
      <c r="AD184" s="360"/>
      <c r="AE184" s="360"/>
      <c r="AF184" s="360"/>
      <c r="AG184" s="360"/>
      <c r="AH184" s="360"/>
    </row>
    <row r="185" ht="18.75" customHeight="1">
      <c r="A185" s="365">
        <f>IF(ARBITRAGES!E185=0,"",ARBITRAGES!E185)</f>
        <v>45964</v>
      </c>
      <c r="B185" s="374">
        <f>IF(A185="","", IF(ARBITRAGES!$H185="BTC",B184+ARBITRAGES!$K185,B184))</f>
        <v>0.1944181004</v>
      </c>
      <c r="C185" s="375">
        <f>IF(B185="","", IF(ARBITRAGES!$H185="eth",C184+ARBITRAGES!$K185,C184))</f>
        <v>1.86502836</v>
      </c>
      <c r="D185" s="376">
        <f>IF(C185="","", IF(ARBITRAGES!$H185="ondo",D184+ARBITRAGES!$K185,D184))</f>
        <v>0.001390269174</v>
      </c>
      <c r="E185" s="376">
        <f>IF(D185="","", IF(ARBITRAGES!$H185="sol",E184+ARBITRAGES!$K185,E184))</f>
        <v>17.5620223</v>
      </c>
      <c r="F185" s="377">
        <f>IF(E185="","", IF(ARBITRAGES!$H185="tao",F184+ARBITRAGES!$K185,F184))</f>
        <v>6.209619964</v>
      </c>
      <c r="G185" s="378">
        <f>IF(F185="","", IF(ARBITRAGES!$H185="ron",G184+ARBITRAGES!$K185,G184))</f>
        <v>0</v>
      </c>
      <c r="H185" s="378">
        <f>IF(G185="","", IF(ARBITRAGES!$H185="link",H184+ARBITRAGES!$K185,H184))</f>
        <v>90.0797</v>
      </c>
      <c r="I185" s="378">
        <f>IF(H185="","", IF(ARBITRAGES!$H185="doge",I184+ARBITRAGES!$K185,I184))</f>
        <v>4928.58</v>
      </c>
      <c r="J185" s="378">
        <f>IF(I185="","", IF(ARBITRAGES!$H185="shib",J184-ARBITRAGES!$K185,J184))</f>
        <v>-0.01945258975</v>
      </c>
      <c r="K185" s="378">
        <f>IF(J185="","", IF(ARBITRAGES!$H185="cake",K184+ARBITRAGES!$K185,K184))</f>
        <v>127.0804432</v>
      </c>
      <c r="L185" s="378">
        <f>IF(K185="","", IF(ARBITRAGES!$H185="JUP",L184+ARBITRAGES!$K185,L184))</f>
        <v>0</v>
      </c>
      <c r="M185" s="376">
        <f>IF(L185="","", IF(ARBITRAGES!$H185="aave",M184+ARBITRAGES!$K185,M184))</f>
        <v>7.751038596</v>
      </c>
      <c r="N185" s="378">
        <f>IF(M185="","", IF(ARBITRAGES!$H185="ckb",N184+ARBITRAGES!$K185,N184))</f>
        <v>0</v>
      </c>
      <c r="O185" s="378">
        <f>IF(N185="","", IF(ARBITRAGES!$H185="pendle",O184+ARBITRAGES!$K185,O184))</f>
        <v>124.7571597</v>
      </c>
      <c r="P185" s="378">
        <f>IF(O185="","", IF(ARBITRAGES!$H185="BOME",P184+ARBITRAGES!$K185,P184))</f>
        <v>0.02891989199</v>
      </c>
      <c r="Q185" s="378">
        <f>IF(P185="","", IF(ARBITRAGES!$H185="PEPE",Q184+ARBITRAGES!$K185,Q184))</f>
        <v>0.03999999762</v>
      </c>
      <c r="R185" s="378">
        <f>IF(Q185="","", IF(ARBITRAGES!$H185="WIF",R184+ARBITRAGES!$K185,R184))</f>
        <v>0</v>
      </c>
      <c r="S185" s="378">
        <f>IF(R185="","", IF(ARBITRAGES!$H185="RAY",S184+ARBITRAGES!$K185,S184))</f>
        <v>0</v>
      </c>
      <c r="T185" s="360"/>
      <c r="U185" s="360"/>
      <c r="V185" s="360"/>
      <c r="W185" s="360"/>
      <c r="X185" s="360"/>
      <c r="Y185" s="360"/>
      <c r="Z185" s="360"/>
      <c r="AA185" s="360"/>
      <c r="AB185" s="360"/>
      <c r="AC185" s="360"/>
      <c r="AD185" s="360"/>
      <c r="AE185" s="360"/>
      <c r="AF185" s="360"/>
      <c r="AG185" s="360"/>
      <c r="AH185" s="360"/>
    </row>
    <row r="186" ht="18.75" customHeight="1">
      <c r="A186" s="365">
        <f>IF(ARBITRAGES!E186=0,"",ARBITRAGES!E186)</f>
        <v>45964</v>
      </c>
      <c r="B186" s="374">
        <f>IF(A186="","", IF(ARBITRAGES!$H186="BTC",B185+ARBITRAGES!$K186,B185))</f>
        <v>0.2044231029</v>
      </c>
      <c r="C186" s="375">
        <f>IF(B186="","", IF(ARBITRAGES!$H186="eth",C185+ARBITRAGES!$K186,C185))</f>
        <v>1.86502836</v>
      </c>
      <c r="D186" s="376">
        <f>IF(C186="","", IF(ARBITRAGES!$H186="ondo",D185+ARBITRAGES!$K186,D185))</f>
        <v>0.001390269174</v>
      </c>
      <c r="E186" s="376">
        <f>IF(D186="","", IF(ARBITRAGES!$H186="sol",E185+ARBITRAGES!$K186,E185))</f>
        <v>17.5620223</v>
      </c>
      <c r="F186" s="377">
        <f>IF(E186="","", IF(ARBITRAGES!$H186="tao",F185+ARBITRAGES!$K186,F185))</f>
        <v>6.209619964</v>
      </c>
      <c r="G186" s="378">
        <f>IF(F186="","", IF(ARBITRAGES!$H186="ron",G185+ARBITRAGES!$K186,G185))</f>
        <v>0</v>
      </c>
      <c r="H186" s="378">
        <f>IF(G186="","", IF(ARBITRAGES!$H186="link",H185+ARBITRAGES!$K186,H185))</f>
        <v>90.0797</v>
      </c>
      <c r="I186" s="378">
        <f>IF(H186="","", IF(ARBITRAGES!$H186="doge",I185+ARBITRAGES!$K186,I185))</f>
        <v>4928.58</v>
      </c>
      <c r="J186" s="378">
        <f>IF(I186="","", IF(ARBITRAGES!$H186="shib",J185-ARBITRAGES!$K186,J185))</f>
        <v>-0.01945258975</v>
      </c>
      <c r="K186" s="378">
        <f>IF(J186="","", IF(ARBITRAGES!$H186="cake",K185+ARBITRAGES!$K186,K185))</f>
        <v>127.0804432</v>
      </c>
      <c r="L186" s="378">
        <f>IF(K186="","", IF(ARBITRAGES!$H186="JUP",L185+ARBITRAGES!$K186,L185))</f>
        <v>0</v>
      </c>
      <c r="M186" s="376">
        <f>IF(L186="","", IF(ARBITRAGES!$H186="aave",M185+ARBITRAGES!$K186,M185))</f>
        <v>7.751038596</v>
      </c>
      <c r="N186" s="378">
        <f>IF(M186="","", IF(ARBITRAGES!$H186="ckb",N185+ARBITRAGES!$K186,N185))</f>
        <v>0</v>
      </c>
      <c r="O186" s="378">
        <f>IF(N186="","", IF(ARBITRAGES!$H186="pendle",O185+ARBITRAGES!$K186,O185))</f>
        <v>124.7571597</v>
      </c>
      <c r="P186" s="378">
        <f>IF(O186="","", IF(ARBITRAGES!$H186="BOME",P185+ARBITRAGES!$K186,P185))</f>
        <v>0.02891989199</v>
      </c>
      <c r="Q186" s="378">
        <f>IF(P186="","", IF(ARBITRAGES!$H186="PEPE",Q185+ARBITRAGES!$K186,Q185))</f>
        <v>0.03999999762</v>
      </c>
      <c r="R186" s="378">
        <f>IF(Q186="","", IF(ARBITRAGES!$H186="WIF",R185+ARBITRAGES!$K186,R185))</f>
        <v>0</v>
      </c>
      <c r="S186" s="378">
        <f>IF(R186="","", IF(ARBITRAGES!$H186="RAY",S185+ARBITRAGES!$K186,S185))</f>
        <v>0</v>
      </c>
      <c r="T186" s="360"/>
      <c r="U186" s="360"/>
      <c r="V186" s="360"/>
      <c r="W186" s="360"/>
      <c r="X186" s="360"/>
      <c r="Y186" s="360"/>
      <c r="Z186" s="360"/>
      <c r="AA186" s="360"/>
      <c r="AB186" s="360"/>
      <c r="AC186" s="360"/>
      <c r="AD186" s="360"/>
      <c r="AE186" s="360"/>
      <c r="AF186" s="360"/>
      <c r="AG186" s="360"/>
      <c r="AH186" s="360"/>
    </row>
    <row r="187" ht="18.75" customHeight="1">
      <c r="A187" s="365">
        <f>IF(ARBITRAGES!E187=0,"",ARBITRAGES!E187)</f>
        <v>45964</v>
      </c>
      <c r="B187" s="375">
        <f>IF(A187="","", IF(ARBITRAGES!$H187="BTC",B186+ARBITRAGES!$K187,B186))</f>
        <v>0.2044231029</v>
      </c>
      <c r="C187" s="374">
        <f>IF(B187="","", IF(ARBITRAGES!$H187="eth",C186+ARBITRAGES!$K187,C186))</f>
        <v>1.99502836</v>
      </c>
      <c r="D187" s="376">
        <f>IF(C187="","", IF(ARBITRAGES!$H187="ondo",D186+ARBITRAGES!$K187,D186))</f>
        <v>0.001390269174</v>
      </c>
      <c r="E187" s="376">
        <f>IF(D187="","", IF(ARBITRAGES!$H187="sol",E186+ARBITRAGES!$K187,E186))</f>
        <v>17.5620223</v>
      </c>
      <c r="F187" s="377">
        <f>IF(E187="","", IF(ARBITRAGES!$H187="tao",F186+ARBITRAGES!$K187,F186))</f>
        <v>6.209619964</v>
      </c>
      <c r="G187" s="378">
        <f>IF(F187="","", IF(ARBITRAGES!$H187="ron",G186+ARBITRAGES!$K187,G186))</f>
        <v>0</v>
      </c>
      <c r="H187" s="378">
        <f>IF(G187="","", IF(ARBITRAGES!$H187="link",H186+ARBITRAGES!$K187,H186))</f>
        <v>90.0797</v>
      </c>
      <c r="I187" s="378">
        <f>IF(H187="","", IF(ARBITRAGES!$H187="doge",I186+ARBITRAGES!$K187,I186))</f>
        <v>4928.58</v>
      </c>
      <c r="J187" s="378">
        <f>IF(I187="","", IF(ARBITRAGES!$H187="shib",J186-ARBITRAGES!$K187,J186))</f>
        <v>-0.01945258975</v>
      </c>
      <c r="K187" s="378">
        <f>IF(J187="","", IF(ARBITRAGES!$H187="cake",K186+ARBITRAGES!$K187,K186))</f>
        <v>127.0804432</v>
      </c>
      <c r="L187" s="378">
        <f>IF(K187="","", IF(ARBITRAGES!$H187="JUP",L186+ARBITRAGES!$K187,L186))</f>
        <v>0</v>
      </c>
      <c r="M187" s="376">
        <f>IF(L187="","", IF(ARBITRAGES!$H187="aave",M186+ARBITRAGES!$K187,M186))</f>
        <v>7.751038596</v>
      </c>
      <c r="N187" s="378">
        <f>IF(M187="","", IF(ARBITRAGES!$H187="ckb",N186+ARBITRAGES!$K187,N186))</f>
        <v>0</v>
      </c>
      <c r="O187" s="378">
        <f>IF(N187="","", IF(ARBITRAGES!$H187="pendle",O186+ARBITRAGES!$K187,O186))</f>
        <v>124.7571597</v>
      </c>
      <c r="P187" s="378">
        <f>IF(O187="","", IF(ARBITRAGES!$H187="BOME",P186+ARBITRAGES!$K187,P186))</f>
        <v>0.02891989199</v>
      </c>
      <c r="Q187" s="378">
        <f>IF(P187="","", IF(ARBITRAGES!$H187="PEPE",Q186+ARBITRAGES!$K187,Q186))</f>
        <v>0.03999999762</v>
      </c>
      <c r="R187" s="378">
        <f>IF(Q187="","", IF(ARBITRAGES!$H187="WIF",R186+ARBITRAGES!$K187,R186))</f>
        <v>0</v>
      </c>
      <c r="S187" s="378">
        <f>IF(R187="","", IF(ARBITRAGES!$H187="RAY",S186+ARBITRAGES!$K187,S186))</f>
        <v>0</v>
      </c>
      <c r="T187" s="360"/>
      <c r="U187" s="360"/>
      <c r="V187" s="360"/>
      <c r="W187" s="360"/>
      <c r="X187" s="360"/>
      <c r="Y187" s="360"/>
      <c r="Z187" s="360"/>
      <c r="AA187" s="360"/>
      <c r="AB187" s="360"/>
      <c r="AC187" s="360"/>
      <c r="AD187" s="360"/>
      <c r="AE187" s="360"/>
      <c r="AF187" s="360"/>
      <c r="AG187" s="360"/>
      <c r="AH187" s="360"/>
    </row>
    <row r="188" ht="18.75" customHeight="1">
      <c r="A188" s="365">
        <f>IF(ARBITRAGES!E188=0,"",ARBITRAGES!E188)</f>
        <v>45965</v>
      </c>
      <c r="B188" s="374">
        <f>IF(A188="","", IF(ARBITRAGES!$H188="BTC",B187+ARBITRAGES!$K188,B187))</f>
        <v>0.2074534059</v>
      </c>
      <c r="C188" s="375">
        <f>IF(B188="","", IF(ARBITRAGES!$H188="eth",C187+ARBITRAGES!$K188,C187))</f>
        <v>1.99502836</v>
      </c>
      <c r="D188" s="376">
        <f>IF(C188="","", IF(ARBITRAGES!$H188="ondo",D187+ARBITRAGES!$K188,D187))</f>
        <v>0.001390269174</v>
      </c>
      <c r="E188" s="376">
        <f>IF(D188="","", IF(ARBITRAGES!$H188="sol",E187+ARBITRAGES!$K188,E187))</f>
        <v>17.5620223</v>
      </c>
      <c r="F188" s="377">
        <f>IF(E188="","", IF(ARBITRAGES!$H188="tao",F187+ARBITRAGES!$K188,F187))</f>
        <v>6.209619964</v>
      </c>
      <c r="G188" s="378">
        <f>IF(F188="","", IF(ARBITRAGES!$H188="ron",G187+ARBITRAGES!$K188,G187))</f>
        <v>0</v>
      </c>
      <c r="H188" s="378">
        <f>IF(G188="","", IF(ARBITRAGES!$H188="link",H187+ARBITRAGES!$K188,H187))</f>
        <v>90.0797</v>
      </c>
      <c r="I188" s="378">
        <f>IF(H188="","", IF(ARBITRAGES!$H188="doge",I187+ARBITRAGES!$K188,I187))</f>
        <v>4928.58</v>
      </c>
      <c r="J188" s="378">
        <f>IF(I188="","", IF(ARBITRAGES!$H188="shib",J187-ARBITRAGES!$K188,J187))</f>
        <v>-0.01945258975</v>
      </c>
      <c r="K188" s="378">
        <f>IF(J188="","", IF(ARBITRAGES!$H188="cake",K187+ARBITRAGES!$K188,K187))</f>
        <v>127.0804432</v>
      </c>
      <c r="L188" s="378">
        <f>IF(K188="","", IF(ARBITRAGES!$H188="JUP",L187+ARBITRAGES!$K188,L187))</f>
        <v>0</v>
      </c>
      <c r="M188" s="376">
        <f>IF(L188="","", IF(ARBITRAGES!$H188="aave",M187+ARBITRAGES!$K188,M187))</f>
        <v>7.751038596</v>
      </c>
      <c r="N188" s="378">
        <f>IF(M188="","", IF(ARBITRAGES!$H188="ckb",N187+ARBITRAGES!$K188,N187))</f>
        <v>0</v>
      </c>
      <c r="O188" s="378">
        <f>IF(N188="","", IF(ARBITRAGES!$H188="pendle",O187+ARBITRAGES!$K188,O187))</f>
        <v>124.7571597</v>
      </c>
      <c r="P188" s="378">
        <f>IF(O188="","", IF(ARBITRAGES!$H188="BOME",P187+ARBITRAGES!$K188,P187))</f>
        <v>0.02891989199</v>
      </c>
      <c r="Q188" s="378">
        <f>IF(P188="","", IF(ARBITRAGES!$H188="PEPE",Q187+ARBITRAGES!$K188,Q187))</f>
        <v>0.03999999762</v>
      </c>
      <c r="R188" s="378">
        <f>IF(Q188="","", IF(ARBITRAGES!$H188="WIF",R187+ARBITRAGES!$K188,R187))</f>
        <v>0</v>
      </c>
      <c r="S188" s="378">
        <f>IF(R188="","", IF(ARBITRAGES!$H188="RAY",S187+ARBITRAGES!$K188,S187))</f>
        <v>0</v>
      </c>
      <c r="T188" s="360"/>
      <c r="U188" s="360"/>
      <c r="V188" s="360"/>
      <c r="W188" s="360"/>
      <c r="X188" s="360"/>
      <c r="Y188" s="360"/>
      <c r="Z188" s="360"/>
      <c r="AA188" s="360"/>
      <c r="AB188" s="360"/>
      <c r="AC188" s="360"/>
      <c r="AD188" s="360"/>
      <c r="AE188" s="360"/>
      <c r="AF188" s="360"/>
      <c r="AG188" s="360"/>
      <c r="AH188" s="360"/>
    </row>
    <row r="189" ht="18.75" customHeight="1">
      <c r="A189" s="365">
        <f>IF(ARBITRAGES!E189=0,"",ARBITRAGES!E189)</f>
        <v>45968</v>
      </c>
      <c r="B189" s="374">
        <f>IF(A189="","", IF(ARBITRAGES!$H189="BTC",B188+ARBITRAGES!$K189,B188))</f>
        <v>0.217354396</v>
      </c>
      <c r="C189" s="375">
        <f>IF(B189="","", IF(ARBITRAGES!$H189="eth",C188+ARBITRAGES!$K189,C188))</f>
        <v>1.99502836</v>
      </c>
      <c r="D189" s="376">
        <f>IF(C189="","", IF(ARBITRAGES!$H189="ondo",D188+ARBITRAGES!$K189,D188))</f>
        <v>0.001390269174</v>
      </c>
      <c r="E189" s="376">
        <f>IF(D189="","", IF(ARBITRAGES!$H189="sol",E188+ARBITRAGES!$K189,E188))</f>
        <v>17.5620223</v>
      </c>
      <c r="F189" s="377">
        <f>IF(E189="","", IF(ARBITRAGES!$H189="tao",F188+ARBITRAGES!$K189,F188))</f>
        <v>6.209619964</v>
      </c>
      <c r="G189" s="378">
        <f>IF(F189="","", IF(ARBITRAGES!$H189="ron",G188+ARBITRAGES!$K189,G188))</f>
        <v>0</v>
      </c>
      <c r="H189" s="378">
        <f>IF(G189="","", IF(ARBITRAGES!$H189="link",H188+ARBITRAGES!$K189,H188))</f>
        <v>90.0797</v>
      </c>
      <c r="I189" s="378">
        <f>IF(H189="","", IF(ARBITRAGES!$H189="doge",I188+ARBITRAGES!$K189,I188))</f>
        <v>4928.58</v>
      </c>
      <c r="J189" s="378">
        <f>IF(I189="","", IF(ARBITRAGES!$H189="shib",J188-ARBITRAGES!$K189,J188))</f>
        <v>-0.01945258975</v>
      </c>
      <c r="K189" s="378">
        <f>IF(J189="","", IF(ARBITRAGES!$H189="cake",K188+ARBITRAGES!$K189,K188))</f>
        <v>127.0804432</v>
      </c>
      <c r="L189" s="378">
        <f>IF(K189="","", IF(ARBITRAGES!$H189="JUP",L188+ARBITRAGES!$K189,L188))</f>
        <v>0</v>
      </c>
      <c r="M189" s="376">
        <f>IF(L189="","", IF(ARBITRAGES!$H189="aave",M188+ARBITRAGES!$K189,M188))</f>
        <v>7.751038596</v>
      </c>
      <c r="N189" s="378">
        <f>IF(M189="","", IF(ARBITRAGES!$H189="ckb",N188+ARBITRAGES!$K189,N188))</f>
        <v>0</v>
      </c>
      <c r="O189" s="378">
        <f>IF(N189="","", IF(ARBITRAGES!$H189="pendle",O188+ARBITRAGES!$K189,O188))</f>
        <v>124.7571597</v>
      </c>
      <c r="P189" s="378">
        <f>IF(O189="","", IF(ARBITRAGES!$H189="BOME",P188+ARBITRAGES!$K189,P188))</f>
        <v>0.02891989199</v>
      </c>
      <c r="Q189" s="378">
        <f>IF(P189="","", IF(ARBITRAGES!$H189="PEPE",Q188+ARBITRAGES!$K189,Q188))</f>
        <v>0.03999999762</v>
      </c>
      <c r="R189" s="378">
        <f>IF(Q189="","", IF(ARBITRAGES!$H189="WIF",R188+ARBITRAGES!$K189,R188))</f>
        <v>0</v>
      </c>
      <c r="S189" s="378">
        <f>IF(R189="","", IF(ARBITRAGES!$H189="RAY",S188+ARBITRAGES!$K189,S188))</f>
        <v>0</v>
      </c>
      <c r="T189" s="360"/>
      <c r="U189" s="360"/>
      <c r="V189" s="360"/>
      <c r="W189" s="360"/>
      <c r="X189" s="360"/>
      <c r="Y189" s="360"/>
      <c r="Z189" s="360"/>
      <c r="AA189" s="360"/>
      <c r="AB189" s="360"/>
      <c r="AC189" s="360"/>
      <c r="AD189" s="360"/>
      <c r="AE189" s="360"/>
      <c r="AF189" s="360"/>
      <c r="AG189" s="360"/>
      <c r="AH189" s="360"/>
    </row>
    <row r="190" ht="18.75" customHeight="1">
      <c r="A190" s="365">
        <f>IF(ARBITRAGES!E190=0,"",ARBITRAGES!E190)</f>
        <v>45970</v>
      </c>
      <c r="B190" s="374">
        <f>IF(A190="","", IF(ARBITRAGES!$H190="BTC",B189+ARBITRAGES!$K190,B189))</f>
        <v>0.2211279809</v>
      </c>
      <c r="C190" s="375">
        <f>IF(B190="","", IF(ARBITRAGES!$H190="eth",C189+ARBITRAGES!$K190,C189))</f>
        <v>1.99502836</v>
      </c>
      <c r="D190" s="376">
        <f>IF(C190="","", IF(ARBITRAGES!$H190="ondo",D189+ARBITRAGES!$K190,D189))</f>
        <v>0.001390269174</v>
      </c>
      <c r="E190" s="376">
        <f>IF(D190="","", IF(ARBITRAGES!$H190="sol",E189+ARBITRAGES!$K190,E189))</f>
        <v>17.5620223</v>
      </c>
      <c r="F190" s="377">
        <f>IF(E190="","", IF(ARBITRAGES!$H190="tao",F189+ARBITRAGES!$K190,F189))</f>
        <v>6.209619964</v>
      </c>
      <c r="G190" s="378">
        <f>IF(F190="","", IF(ARBITRAGES!$H190="ron",G189+ARBITRAGES!$K190,G189))</f>
        <v>0</v>
      </c>
      <c r="H190" s="378">
        <f>IF(G190="","", IF(ARBITRAGES!$H190="link",H189+ARBITRAGES!$K190,H189))</f>
        <v>90.0797</v>
      </c>
      <c r="I190" s="378">
        <f>IF(H190="","", IF(ARBITRAGES!$H190="doge",I189+ARBITRAGES!$K190,I189))</f>
        <v>4928.58</v>
      </c>
      <c r="J190" s="378">
        <f>IF(I190="","", IF(ARBITRAGES!$H190="shib",J189-ARBITRAGES!$K190,J189))</f>
        <v>-0.01945258975</v>
      </c>
      <c r="K190" s="378">
        <f>IF(J190="","", IF(ARBITRAGES!$H190="cake",K189+ARBITRAGES!$K190,K189))</f>
        <v>127.0804432</v>
      </c>
      <c r="L190" s="378">
        <f>IF(K190="","", IF(ARBITRAGES!$H190="JUP",L189+ARBITRAGES!$K190,L189))</f>
        <v>0</v>
      </c>
      <c r="M190" s="376">
        <f>IF(L190="","", IF(ARBITRAGES!$H190="aave",M189+ARBITRAGES!$K190,M189))</f>
        <v>7.751038596</v>
      </c>
      <c r="N190" s="378">
        <f>IF(M190="","", IF(ARBITRAGES!$H190="ckb",N189+ARBITRAGES!$K190,N189))</f>
        <v>0</v>
      </c>
      <c r="O190" s="378">
        <f>IF(N190="","", IF(ARBITRAGES!$H190="pendle",O189+ARBITRAGES!$K190,O189))</f>
        <v>124.7571597</v>
      </c>
      <c r="P190" s="378">
        <f>IF(O190="","", IF(ARBITRAGES!$H190="BOME",P189+ARBITRAGES!$K190,P189))</f>
        <v>0.02891989199</v>
      </c>
      <c r="Q190" s="378">
        <f>IF(P190="","", IF(ARBITRAGES!$H190="PEPE",Q189+ARBITRAGES!$K190,Q189))</f>
        <v>0.03999999762</v>
      </c>
      <c r="R190" s="378">
        <f>IF(Q190="","", IF(ARBITRAGES!$H190="WIF",R189+ARBITRAGES!$K190,R189))</f>
        <v>0</v>
      </c>
      <c r="S190" s="378">
        <f>IF(R190="","", IF(ARBITRAGES!$H190="RAY",S189+ARBITRAGES!$K190,S189))</f>
        <v>0</v>
      </c>
      <c r="T190" s="360"/>
      <c r="U190" s="360"/>
      <c r="V190" s="360"/>
      <c r="W190" s="360"/>
      <c r="X190" s="360"/>
      <c r="Y190" s="360"/>
      <c r="Z190" s="360"/>
      <c r="AA190" s="360"/>
      <c r="AB190" s="360"/>
      <c r="AC190" s="360"/>
      <c r="AD190" s="360"/>
      <c r="AE190" s="360"/>
      <c r="AF190" s="360"/>
      <c r="AG190" s="360"/>
      <c r="AH190" s="360"/>
    </row>
    <row r="191" ht="18.75" customHeight="1">
      <c r="A191" s="365">
        <f>IF(ARBITRAGES!E191=0,"",ARBITRAGES!E191)</f>
        <v>45971</v>
      </c>
      <c r="B191" s="396">
        <f>IF(A191="","", IF(ARBITRAGES!$H191="BTC",B190+ARBITRAGES!$K191,B190))</f>
        <v>0.2211279809</v>
      </c>
      <c r="C191" s="375">
        <f>IF(B191="","", IF(ARBITRAGES!$H191="eth",C190+ARBITRAGES!$K191,C190))</f>
        <v>1.99502836</v>
      </c>
      <c r="D191" s="376">
        <f>IF(C191="","", IF(ARBITRAGES!$H191="ondo",D190+ARBITRAGES!$K191,D190))</f>
        <v>0.001390269174</v>
      </c>
      <c r="E191" s="376">
        <f>IF(D191="","", IF(ARBITRAGES!$H191="sol",E190+ARBITRAGES!$K191,E190))</f>
        <v>17.5620223</v>
      </c>
      <c r="F191" s="377">
        <f>IF(E191="","", IF(ARBITRAGES!$H191="tao",F190+ARBITRAGES!$K191,F190))</f>
        <v>6.209619964</v>
      </c>
      <c r="G191" s="378">
        <f>IF(F191="","", IF(ARBITRAGES!$H191="ron",G190+ARBITRAGES!$K191,G190))</f>
        <v>0</v>
      </c>
      <c r="H191" s="378">
        <f>IF(G191="","", IF(ARBITRAGES!$H191="link",H190+ARBITRAGES!$K191,H190))</f>
        <v>90.0797</v>
      </c>
      <c r="I191" s="378">
        <f>IF(H191="","", IF(ARBITRAGES!$H191="doge",I190+ARBITRAGES!$K191,I190))</f>
        <v>4928.58</v>
      </c>
      <c r="J191" s="378">
        <f>IF(I191="","", IF(ARBITRAGES!$H191="shib",J190-ARBITRAGES!$K191,J190))</f>
        <v>-0.01945258975</v>
      </c>
      <c r="K191" s="378">
        <f>IF(J191="","", IF(ARBITRAGES!$H191="cake",K190+ARBITRAGES!$K191,K190))</f>
        <v>127.0804432</v>
      </c>
      <c r="L191" s="378">
        <f>IF(K191="","", IF(ARBITRAGES!$H191="JUP",L190+ARBITRAGES!$K191,L190))</f>
        <v>0</v>
      </c>
      <c r="M191" s="376">
        <f>IF(L191="","", IF(ARBITRAGES!$H191="aave",M190+ARBITRAGES!$K191,M190))</f>
        <v>7.751038596</v>
      </c>
      <c r="N191" s="378">
        <f>IF(M191="","", IF(ARBITRAGES!$H191="ckb",N190+ARBITRAGES!$K191,N190))</f>
        <v>0</v>
      </c>
      <c r="O191" s="394">
        <f>IF(N191="","", IF(ARBITRAGES!$H191="pendle",O190-ARBITRAGES!$K191+0.091,O190))</f>
        <v>0.001461291462</v>
      </c>
      <c r="P191" s="378">
        <f>IF(O191="","", IF(ARBITRAGES!$H191="BOME",P190+ARBITRAGES!$K191,P190))</f>
        <v>0.02891989199</v>
      </c>
      <c r="Q191" s="378">
        <f>IF(P191="","", IF(ARBITRAGES!$H191="PEPE",Q190+ARBITRAGES!$K191,Q190))</f>
        <v>0.03999999762</v>
      </c>
      <c r="R191" s="378">
        <f>IF(Q191="","", IF(ARBITRAGES!$H191="WIF",R190+ARBITRAGES!$K191,R190))</f>
        <v>0</v>
      </c>
      <c r="S191" s="378">
        <f>IF(R191="","", IF(ARBITRAGES!$H191="RAY",S190+ARBITRAGES!$K191,S190))</f>
        <v>0</v>
      </c>
      <c r="T191" s="360"/>
      <c r="U191" s="360"/>
      <c r="V191" s="360"/>
      <c r="W191" s="360"/>
      <c r="X191" s="360"/>
      <c r="Y191" s="360"/>
      <c r="Z191" s="360"/>
      <c r="AA191" s="360"/>
      <c r="AB191" s="360"/>
      <c r="AC191" s="360"/>
      <c r="AD191" s="360"/>
      <c r="AE191" s="360"/>
      <c r="AF191" s="360"/>
      <c r="AG191" s="360"/>
      <c r="AH191" s="360"/>
    </row>
    <row r="192" ht="18.75" customHeight="1">
      <c r="A192" s="365">
        <f>IF(ARBITRAGES!E192=0,"",ARBITRAGES!E192)</f>
        <v>45971</v>
      </c>
      <c r="B192" s="397">
        <f>IF(A192="","", IF(ARBITRAGES!$H192="BTC",B191+ARBITRAGES!$K192,B191))</f>
        <v>0.2221279809</v>
      </c>
      <c r="C192" s="375">
        <f>IF(B192="","", IF(ARBITRAGES!$H192="eth",C191+ARBITRAGES!$K192,C191))</f>
        <v>1.99502836</v>
      </c>
      <c r="D192" s="376">
        <f>IF(C192="","", IF(ARBITRAGES!$H192="ondo",D191+ARBITRAGES!$K192,D191))</f>
        <v>0.001390269174</v>
      </c>
      <c r="E192" s="376">
        <f>IF(D192="","", IF(ARBITRAGES!$H192="sol",E191+ARBITRAGES!$K192,E191))</f>
        <v>17.5620223</v>
      </c>
      <c r="F192" s="377">
        <f>IF(E192="","", IF(ARBITRAGES!$H192="tao",F191+ARBITRAGES!$K192,F191))</f>
        <v>6.209619964</v>
      </c>
      <c r="G192" s="378">
        <f>IF(F192="","", IF(ARBITRAGES!$H192="ron",G191+ARBITRAGES!$K192,G191))</f>
        <v>0</v>
      </c>
      <c r="H192" s="378">
        <f>IF(G192="","", IF(ARBITRAGES!$H192="link",H191+ARBITRAGES!$K192,H191))</f>
        <v>90.0797</v>
      </c>
      <c r="I192" s="378">
        <f>IF(H192="","", IF(ARBITRAGES!$H192="doge",I191+ARBITRAGES!$K192,I191))</f>
        <v>4928.58</v>
      </c>
      <c r="J192" s="378">
        <f>IF(I192="","", IF(ARBITRAGES!$H192="shib",J191-ARBITRAGES!$K192,J191))</f>
        <v>-0.01945258975</v>
      </c>
      <c r="K192" s="378">
        <f>IF(J192="","", IF(ARBITRAGES!$H192="cake",K191+ARBITRAGES!$K192,K191))</f>
        <v>127.0804432</v>
      </c>
      <c r="L192" s="378">
        <f>IF(K192="","", IF(ARBITRAGES!$H192="JUP",L191+ARBITRAGES!$K192,L191))</f>
        <v>0</v>
      </c>
      <c r="M192" s="376">
        <f>IF(L192="","", IF(ARBITRAGES!$H192="aave",M191+ARBITRAGES!$K192,M191))</f>
        <v>7.751038596</v>
      </c>
      <c r="N192" s="378">
        <f>IF(M192="","", IF(ARBITRAGES!$H192="ckb",N191+ARBITRAGES!$K192,N191))</f>
        <v>0</v>
      </c>
      <c r="O192" s="378">
        <f>IF(N192="","", IF(ARBITRAGES!$H192="pendle",O191-ARBITRAGES!$K192+0.1,O191))</f>
        <v>0.001461291462</v>
      </c>
      <c r="P192" s="378">
        <f>IF(O192="","", IF(ARBITRAGES!$H192="BOME",P191+ARBITRAGES!$K192,P191))</f>
        <v>0.02891989199</v>
      </c>
      <c r="Q192" s="378">
        <f>IF(P192="","", IF(ARBITRAGES!$H192="PEPE",Q191+ARBITRAGES!$K192,Q191))</f>
        <v>0.03999999762</v>
      </c>
      <c r="R192" s="378">
        <f>IF(Q192="","", IF(ARBITRAGES!$H192="WIF",R191+ARBITRAGES!$K192,R191))</f>
        <v>0</v>
      </c>
      <c r="S192" s="378">
        <f>IF(R192="","", IF(ARBITRAGES!$H192="RAY",S191+ARBITRAGES!$K192,S191))</f>
        <v>0</v>
      </c>
      <c r="T192" s="360"/>
      <c r="U192" s="360"/>
      <c r="V192" s="360"/>
      <c r="W192" s="360"/>
      <c r="X192" s="360"/>
      <c r="Y192" s="360"/>
      <c r="Z192" s="360"/>
      <c r="AA192" s="360"/>
      <c r="AB192" s="360"/>
      <c r="AC192" s="360"/>
      <c r="AD192" s="360"/>
      <c r="AE192" s="360"/>
      <c r="AF192" s="360"/>
      <c r="AG192" s="360"/>
      <c r="AH192" s="360"/>
    </row>
    <row r="193" ht="18.75" customHeight="1">
      <c r="A193" s="365">
        <f>IF(ARBITRAGES!E193=0,"",ARBITRAGES!E193)</f>
        <v>45972</v>
      </c>
      <c r="B193" s="397">
        <f>IF(A193="","", IF(ARBITRAGES!$H193="BTC",B192+ARBITRAGES!$K193,B192))</f>
        <v>0.2241279809</v>
      </c>
      <c r="C193" s="375">
        <f>IF(B193="","", IF(ARBITRAGES!$H193="eth",C192+ARBITRAGES!$K193,C192))</f>
        <v>1.99502836</v>
      </c>
      <c r="D193" s="376">
        <f>IF(C193="","", IF(ARBITRAGES!$H193="ondo",D192+ARBITRAGES!$K193,D192))</f>
        <v>0.001390269174</v>
      </c>
      <c r="E193" s="376">
        <f>IF(D193="","", IF(ARBITRAGES!$H193="sol",E192+ARBITRAGES!$K193,E192))</f>
        <v>17.5620223</v>
      </c>
      <c r="F193" s="377">
        <f>IF(E193="","", IF(ARBITRAGES!$H193="tao",F192+ARBITRAGES!$K193,F192))</f>
        <v>6.209619964</v>
      </c>
      <c r="G193" s="378">
        <f>IF(F193="","", IF(ARBITRAGES!$H193="ron",G192+ARBITRAGES!$K193,G192))</f>
        <v>0</v>
      </c>
      <c r="H193" s="378">
        <f>IF(G193="","", IF(ARBITRAGES!$H193="link",H192+ARBITRAGES!$K193,H192))</f>
        <v>90.0797</v>
      </c>
      <c r="I193" s="378">
        <f>IF(H193="","", IF(ARBITRAGES!$H193="doge",I192+ARBITRAGES!$K193,I192))</f>
        <v>4928.58</v>
      </c>
      <c r="J193" s="378">
        <f>IF(I193="","", IF(ARBITRAGES!$H193="shib",J192-ARBITRAGES!$K193,J192))</f>
        <v>-0.01945258975</v>
      </c>
      <c r="K193" s="378">
        <f>IF(J193="","", IF(ARBITRAGES!$H193="cake",K192+ARBITRAGES!$K193,K192))</f>
        <v>127.0804432</v>
      </c>
      <c r="L193" s="378">
        <f>IF(K193="","", IF(ARBITRAGES!$H193="JUP",L192+ARBITRAGES!$K193,L192))</f>
        <v>0</v>
      </c>
      <c r="M193" s="376">
        <f>IF(L193="","", IF(ARBITRAGES!$H193="aave",M192+ARBITRAGES!$K193,M192))</f>
        <v>7.751038596</v>
      </c>
      <c r="N193" s="378">
        <f>IF(M193="","", IF(ARBITRAGES!$H193="ckb",N192+ARBITRAGES!$K193,N192))</f>
        <v>0</v>
      </c>
      <c r="O193" s="378">
        <f>IF(N193="","", IF(ARBITRAGES!$H193="pendle",O192-ARBITRAGES!$K193+0.1,O192))</f>
        <v>0.001461291462</v>
      </c>
      <c r="P193" s="378">
        <f>IF(O193="","", IF(ARBITRAGES!$H193="BOME",P192+ARBITRAGES!$K193,P192))</f>
        <v>0.02891989199</v>
      </c>
      <c r="Q193" s="378">
        <f>IF(P193="","", IF(ARBITRAGES!$H193="PEPE",Q192+ARBITRAGES!$K193,Q192))</f>
        <v>0.03999999762</v>
      </c>
      <c r="R193" s="378">
        <f>IF(Q193="","", IF(ARBITRAGES!$H193="WIF",R192+ARBITRAGES!$K193,R192))</f>
        <v>0</v>
      </c>
      <c r="S193" s="378">
        <f>IF(R193="","", IF(ARBITRAGES!$H193="RAY",S192+ARBITRAGES!$K193,S192))</f>
        <v>0</v>
      </c>
      <c r="T193" s="360"/>
      <c r="U193" s="360"/>
      <c r="V193" s="360"/>
      <c r="W193" s="360"/>
      <c r="X193" s="360"/>
      <c r="Y193" s="360"/>
      <c r="Z193" s="360"/>
      <c r="AA193" s="360"/>
      <c r="AB193" s="360"/>
      <c r="AC193" s="360"/>
      <c r="AD193" s="360"/>
      <c r="AE193" s="360"/>
      <c r="AF193" s="360"/>
      <c r="AG193" s="360"/>
      <c r="AH193" s="360"/>
    </row>
    <row r="194" ht="18.75" customHeight="1">
      <c r="A194" s="365">
        <f>IF(ARBITRAGES!E194=0,"",ARBITRAGES!E194)</f>
        <v>45974</v>
      </c>
      <c r="B194" s="397">
        <f>IF(A194="","", IF(ARBITRAGES!$H194="BTC",B193+ARBITRAGES!$K194,B193))</f>
        <v>0.2353524707</v>
      </c>
      <c r="C194" s="375">
        <f>IF(B194="","", IF(ARBITRAGES!$H194="eth",C193+ARBITRAGES!$K194,C193))</f>
        <v>1.99502836</v>
      </c>
      <c r="D194" s="376">
        <f>IF(C194="","", IF(ARBITRAGES!$H194="ondo",D193+ARBITRAGES!$K194,D193))</f>
        <v>0.001390269174</v>
      </c>
      <c r="E194" s="376">
        <f>IF(D194="","", IF(ARBITRAGES!$H194="sol",E193+ARBITRAGES!$K194,E193))</f>
        <v>17.5620223</v>
      </c>
      <c r="F194" s="377">
        <f>IF(E194="","", IF(ARBITRAGES!$H194="tao",F193+ARBITRAGES!$K194,F193))</f>
        <v>6.209619964</v>
      </c>
      <c r="G194" s="378">
        <f>IF(F194="","", IF(ARBITRAGES!$H194="ron",G193+ARBITRAGES!$K194,G193))</f>
        <v>0</v>
      </c>
      <c r="H194" s="378">
        <f>IF(G194="","", IF(ARBITRAGES!$H194="link",H193+ARBITRAGES!$K194,H193))</f>
        <v>90.0797</v>
      </c>
      <c r="I194" s="378">
        <f>IF(H194="","", IF(ARBITRAGES!$H194="doge",I193+ARBITRAGES!$K194,I193))</f>
        <v>4928.58</v>
      </c>
      <c r="J194" s="378">
        <f>IF(I194="","", IF(ARBITRAGES!$H194="shib",J193-ARBITRAGES!$K194,J193))</f>
        <v>-0.01945258975</v>
      </c>
      <c r="K194" s="378">
        <f>IF(J194="","", IF(ARBITRAGES!$H194="cake",K193+ARBITRAGES!$K194,K193))</f>
        <v>127.0804432</v>
      </c>
      <c r="L194" s="378">
        <f>IF(K194="","", IF(ARBITRAGES!$H194="JUP",L193+ARBITRAGES!$K194,L193))</f>
        <v>0</v>
      </c>
      <c r="M194" s="376">
        <f>IF(L194="","", IF(ARBITRAGES!$H194="aave",M193+ARBITRAGES!$K194,M193))</f>
        <v>7.751038596</v>
      </c>
      <c r="N194" s="378">
        <f>IF(M194="","", IF(ARBITRAGES!$H194="ckb",N193+ARBITRAGES!$K194,N193))</f>
        <v>0</v>
      </c>
      <c r="O194" s="378">
        <f>IF(N194="","", IF(ARBITRAGES!$H194="pendle",O193-ARBITRAGES!$K194+0.1,O193))</f>
        <v>0.001461291462</v>
      </c>
      <c r="P194" s="378">
        <f>IF(O194="","", IF(ARBITRAGES!$H194="BOME",P193+ARBITRAGES!$K194,P193))</f>
        <v>0.02891989199</v>
      </c>
      <c r="Q194" s="378">
        <f>IF(P194="","", IF(ARBITRAGES!$H194="PEPE",Q193+ARBITRAGES!$K194,Q193))</f>
        <v>0.03999999762</v>
      </c>
      <c r="R194" s="378">
        <f>IF(Q194="","", IF(ARBITRAGES!$H194="WIF",R193+ARBITRAGES!$K194,R193))</f>
        <v>0</v>
      </c>
      <c r="S194" s="378">
        <f>IF(R194="","", IF(ARBITRAGES!$H194="RAY",S193+ARBITRAGES!$K194,S193))</f>
        <v>0</v>
      </c>
      <c r="T194" s="360"/>
      <c r="U194" s="360"/>
      <c r="V194" s="360"/>
      <c r="W194" s="360"/>
      <c r="X194" s="360"/>
      <c r="Y194" s="360"/>
      <c r="Z194" s="360"/>
      <c r="AA194" s="360"/>
      <c r="AB194" s="360"/>
      <c r="AC194" s="360"/>
      <c r="AD194" s="360"/>
      <c r="AE194" s="360"/>
      <c r="AF194" s="360"/>
      <c r="AG194" s="360"/>
      <c r="AH194" s="360"/>
    </row>
    <row r="195" ht="18.75" customHeight="1">
      <c r="A195" s="365">
        <f>IF(ARBITRAGES!E195=0,"",ARBITRAGES!E195)</f>
        <v>45974</v>
      </c>
      <c r="B195" s="397">
        <f>IF(A195="","", IF(ARBITRAGES!$H195="BTC",B194+ARBITRAGES!$K195,B194))</f>
        <v>0.2455105165</v>
      </c>
      <c r="C195" s="375">
        <f>IF(B195="","", IF(ARBITRAGES!$H195="eth",C194+ARBITRAGES!$K195,C194))</f>
        <v>1.99502836</v>
      </c>
      <c r="D195" s="376">
        <f>IF(C195="","", IF(ARBITRAGES!$H195="ondo",D194+ARBITRAGES!$K195,D194))</f>
        <v>0.001390269174</v>
      </c>
      <c r="E195" s="376">
        <f>IF(D195="","", IF(ARBITRAGES!$H195="sol",E194+ARBITRAGES!$K195,E194))</f>
        <v>17.5620223</v>
      </c>
      <c r="F195" s="377">
        <f>IF(E195="","", IF(ARBITRAGES!$H195="tao",F194+ARBITRAGES!$K195,F194))</f>
        <v>6.209619964</v>
      </c>
      <c r="G195" s="378">
        <f>IF(F195="","", IF(ARBITRAGES!$H195="ron",G194+ARBITRAGES!$K195,G194))</f>
        <v>0</v>
      </c>
      <c r="H195" s="378">
        <f>IF(G195="","", IF(ARBITRAGES!$H195="link",H194+ARBITRAGES!$K195,H194))</f>
        <v>90.0797</v>
      </c>
      <c r="I195" s="378">
        <f>IF(H195="","", IF(ARBITRAGES!$H195="doge",I194+ARBITRAGES!$K195,I194))</f>
        <v>4928.58</v>
      </c>
      <c r="J195" s="378">
        <f>IF(I195="","", IF(ARBITRAGES!$H195="shib",J194-ARBITRAGES!$K195,J194))</f>
        <v>-0.01945258975</v>
      </c>
      <c r="K195" s="378">
        <f>IF(J195="","", IF(ARBITRAGES!$H195="cake",K194+ARBITRAGES!$K195,K194))</f>
        <v>127.0804432</v>
      </c>
      <c r="L195" s="378">
        <f>IF(K195="","", IF(ARBITRAGES!$H195="JUP",L194+ARBITRAGES!$K195,L194))</f>
        <v>0</v>
      </c>
      <c r="M195" s="376">
        <f>IF(L195="","", IF(ARBITRAGES!$H195="aave",M194+ARBITRAGES!$K195,M194))</f>
        <v>7.751038596</v>
      </c>
      <c r="N195" s="378">
        <f>IF(M195="","", IF(ARBITRAGES!$H195="ckb",N194+ARBITRAGES!$K195,N194))</f>
        <v>0</v>
      </c>
      <c r="O195" s="378">
        <f>IF(N195="","", IF(ARBITRAGES!$H195="pendle",O194-ARBITRAGES!$K195+0.1,O194))</f>
        <v>0.001461291462</v>
      </c>
      <c r="P195" s="378">
        <f>IF(O195="","", IF(ARBITRAGES!$H195="BOME",P194+ARBITRAGES!$K195,P194))</f>
        <v>0.02891989199</v>
      </c>
      <c r="Q195" s="378">
        <f>IF(P195="","", IF(ARBITRAGES!$H195="PEPE",Q194+ARBITRAGES!$K195,Q194))</f>
        <v>0.03999999762</v>
      </c>
      <c r="R195" s="378">
        <f>IF(Q195="","", IF(ARBITRAGES!$H195="WIF",R194+ARBITRAGES!$K195,R194))</f>
        <v>0</v>
      </c>
      <c r="S195" s="378">
        <f>IF(R195="","", IF(ARBITRAGES!$H195="RAY",S194+ARBITRAGES!$K195,S194))</f>
        <v>0</v>
      </c>
      <c r="T195" s="360"/>
      <c r="U195" s="360"/>
      <c r="V195" s="360"/>
      <c r="W195" s="360"/>
      <c r="X195" s="360"/>
      <c r="Y195" s="360"/>
      <c r="Z195" s="360"/>
      <c r="AA195" s="360"/>
      <c r="AB195" s="360"/>
      <c r="AC195" s="360"/>
      <c r="AD195" s="360"/>
      <c r="AE195" s="360"/>
      <c r="AF195" s="360"/>
      <c r="AG195" s="360"/>
      <c r="AH195" s="360"/>
    </row>
    <row r="196" ht="18.75" customHeight="1">
      <c r="A196" s="365">
        <f>IF(ARBITRAGES!E196=0,"",ARBITRAGES!E196)</f>
        <v>45974</v>
      </c>
      <c r="B196" s="375">
        <f>IF(A196="","", IF(ARBITRAGES!$H196="BTC",B195+ARBITRAGES!$K196,B195))</f>
        <v>0.2455105165</v>
      </c>
      <c r="C196" s="374">
        <f>IF(B196="","", IF(ARBITRAGES!$H196="eth",C195+ARBITRAGES!$K196,C195))</f>
        <v>2.215326442</v>
      </c>
      <c r="D196" s="376">
        <f>IF(C196="","", IF(ARBITRAGES!$H196="ondo",D195+ARBITRAGES!$K196,D195))</f>
        <v>0.001390269174</v>
      </c>
      <c r="E196" s="376">
        <f>IF(D196="","", IF(ARBITRAGES!$H196="sol",E195+ARBITRAGES!$K196,E195))</f>
        <v>17.5620223</v>
      </c>
      <c r="F196" s="377">
        <f>IF(E196="","", IF(ARBITRAGES!$H196="tao",F195+ARBITRAGES!$K196,F195))</f>
        <v>6.209619964</v>
      </c>
      <c r="G196" s="378">
        <f>IF(F196="","", IF(ARBITRAGES!$H196="ron",G195+ARBITRAGES!$K196,G195))</f>
        <v>0</v>
      </c>
      <c r="H196" s="378">
        <f>IF(G196="","", IF(ARBITRAGES!$H196="link",H195+ARBITRAGES!$K196,H195))</f>
        <v>90.0797</v>
      </c>
      <c r="I196" s="378">
        <f>IF(H196="","", IF(ARBITRAGES!$H196="doge",I195+ARBITRAGES!$K196,I195))</f>
        <v>4928.58</v>
      </c>
      <c r="J196" s="378">
        <f>IF(I196="","", IF(ARBITRAGES!$H196="shib",J195-ARBITRAGES!$K196,J195))</f>
        <v>-0.01945258975</v>
      </c>
      <c r="K196" s="378">
        <f>IF(J196="","", IF(ARBITRAGES!$H196="cake",K195+ARBITRAGES!$K196,K195))</f>
        <v>127.0804432</v>
      </c>
      <c r="L196" s="378">
        <f>IF(K196="","", IF(ARBITRAGES!$H196="JUP",L195+ARBITRAGES!$K196,L195))</f>
        <v>0</v>
      </c>
      <c r="M196" s="376">
        <f>IF(L196="","", IF(ARBITRAGES!$H196="aave",M195+ARBITRAGES!$K196,M195))</f>
        <v>7.751038596</v>
      </c>
      <c r="N196" s="378">
        <f>IF(M196="","", IF(ARBITRAGES!$H196="ckb",N195+ARBITRAGES!$K196,N195))</f>
        <v>0</v>
      </c>
      <c r="O196" s="378">
        <f>IF(N196="","", IF(ARBITRAGES!$H196="pendle",O195-ARBITRAGES!$K196+0.1,O195))</f>
        <v>0.001461291462</v>
      </c>
      <c r="P196" s="378">
        <f>IF(O196="","", IF(ARBITRAGES!$H196="BOME",P195+ARBITRAGES!$K196,P195))</f>
        <v>0.02891989199</v>
      </c>
      <c r="Q196" s="378">
        <f>IF(P196="","", IF(ARBITRAGES!$H196="PEPE",Q195+ARBITRAGES!$K196,Q195))</f>
        <v>0.03999999762</v>
      </c>
      <c r="R196" s="378">
        <f>IF(Q196="","", IF(ARBITRAGES!$H196="WIF",R195+ARBITRAGES!$K196,R195))</f>
        <v>0</v>
      </c>
      <c r="S196" s="378">
        <f>IF(R196="","", IF(ARBITRAGES!$H196="RAY",S195+ARBITRAGES!$K196,S195))</f>
        <v>0</v>
      </c>
      <c r="T196" s="360"/>
      <c r="U196" s="360"/>
      <c r="V196" s="360"/>
      <c r="W196" s="360"/>
      <c r="X196" s="360"/>
      <c r="Y196" s="360"/>
      <c r="Z196" s="360"/>
      <c r="AA196" s="360"/>
      <c r="AB196" s="360"/>
      <c r="AC196" s="360"/>
      <c r="AD196" s="360"/>
      <c r="AE196" s="360"/>
      <c r="AF196" s="360"/>
      <c r="AG196" s="360"/>
      <c r="AH196" s="360"/>
    </row>
    <row r="197" ht="18.75" customHeight="1">
      <c r="A197" s="365">
        <f>IF(ARBITRAGES!E197=0,"",ARBITRAGES!E197)</f>
        <v>45974</v>
      </c>
      <c r="B197" s="374">
        <f>IF(A197="","", IF(ARBITRAGES!$H197="BTC",B196+ARBITRAGES!$K197,B196))</f>
        <v>0.2558732108</v>
      </c>
      <c r="C197" s="375">
        <f>IF(B197="","", IF(ARBITRAGES!$H197="eth",C196+ARBITRAGES!$K197,C196))</f>
        <v>2.215326442</v>
      </c>
      <c r="D197" s="376">
        <f>IF(C197="","", IF(ARBITRAGES!$H197="ondo",D196+ARBITRAGES!$K197,D196))</f>
        <v>0.001390269174</v>
      </c>
      <c r="E197" s="376">
        <f>IF(D197="","", IF(ARBITRAGES!$H197="sol",E196+ARBITRAGES!$K197,E196))</f>
        <v>17.5620223</v>
      </c>
      <c r="F197" s="377">
        <f>IF(E197="","", IF(ARBITRAGES!$H197="tao",F196+ARBITRAGES!$K197,F196))</f>
        <v>6.209619964</v>
      </c>
      <c r="G197" s="378">
        <f>IF(F197="","", IF(ARBITRAGES!$H197="ron",G196+ARBITRAGES!$K197,G196))</f>
        <v>0</v>
      </c>
      <c r="H197" s="378">
        <f>IF(G197="","", IF(ARBITRAGES!$H197="link",H196+ARBITRAGES!$K197,H196))</f>
        <v>90.0797</v>
      </c>
      <c r="I197" s="378">
        <f>IF(H197="","", IF(ARBITRAGES!$H197="doge",I196+ARBITRAGES!$K197,I196))</f>
        <v>4928.58</v>
      </c>
      <c r="J197" s="378">
        <f>IF(I197="","", IF(ARBITRAGES!$H197="shib",J196-ARBITRAGES!$K197,J196))</f>
        <v>-0.01945258975</v>
      </c>
      <c r="K197" s="378">
        <f>IF(J197="","", IF(ARBITRAGES!$H197="cake",K196+ARBITRAGES!$K197,K196))</f>
        <v>127.0804432</v>
      </c>
      <c r="L197" s="378">
        <f>IF(K197="","", IF(ARBITRAGES!$H197="JUP",L196+ARBITRAGES!$K197,L196))</f>
        <v>0</v>
      </c>
      <c r="M197" s="376">
        <f>IF(L197="","", IF(ARBITRAGES!$H197="aave",M196+ARBITRAGES!$K197,M196))</f>
        <v>7.751038596</v>
      </c>
      <c r="N197" s="378">
        <f>IF(M197="","", IF(ARBITRAGES!$H197="ckb",N196+ARBITRAGES!$K197,N196))</f>
        <v>0</v>
      </c>
      <c r="O197" s="378">
        <f>IF(N197="","", IF(ARBITRAGES!$H197="pendle",O196-ARBITRAGES!$K197+0.1,O196))</f>
        <v>0.001461291462</v>
      </c>
      <c r="P197" s="378">
        <f>IF(O197="","", IF(ARBITRAGES!$H197="BOME",P196+ARBITRAGES!$K197,P196))</f>
        <v>0.02891989199</v>
      </c>
      <c r="Q197" s="378">
        <f>IF(P197="","", IF(ARBITRAGES!$H197="PEPE",Q196+ARBITRAGES!$K197,Q196))</f>
        <v>0.03999999762</v>
      </c>
      <c r="R197" s="378">
        <f>IF(Q197="","", IF(ARBITRAGES!$H197="WIF",R196+ARBITRAGES!$K197,R196))</f>
        <v>0</v>
      </c>
      <c r="S197" s="378">
        <f>IF(R197="","", IF(ARBITRAGES!$H197="RAY",S196+ARBITRAGES!$K197,S196))</f>
        <v>0</v>
      </c>
      <c r="T197" s="360"/>
      <c r="U197" s="360"/>
      <c r="V197" s="360"/>
      <c r="W197" s="360"/>
      <c r="X197" s="360"/>
      <c r="Y197" s="360"/>
      <c r="Z197" s="360"/>
      <c r="AA197" s="360"/>
      <c r="AB197" s="360"/>
      <c r="AC197" s="360"/>
      <c r="AD197" s="360"/>
      <c r="AE197" s="360"/>
      <c r="AF197" s="360"/>
      <c r="AG197" s="360"/>
      <c r="AH197" s="360"/>
    </row>
    <row r="198" ht="18.75" customHeight="1">
      <c r="A198" s="365">
        <f>IF(ARBITRAGES!E198=0,"",ARBITRAGES!E198)</f>
        <v>45974</v>
      </c>
      <c r="B198" s="374">
        <f>IF(A198="","", IF(ARBITRAGES!$H198="BTC",B197+ARBITRAGES!$K198,B197))</f>
        <v>0.2662898775</v>
      </c>
      <c r="C198" s="375">
        <f>IF(B198="","", IF(ARBITRAGES!$H198="eth",C197+ARBITRAGES!$K198,C197))</f>
        <v>2.215326442</v>
      </c>
      <c r="D198" s="376">
        <f>IF(C198="","", IF(ARBITRAGES!$H198="ondo",D197+ARBITRAGES!$K198,D197))</f>
        <v>0.001390269174</v>
      </c>
      <c r="E198" s="376">
        <f>IF(D198="","", IF(ARBITRAGES!$H198="sol",E197+ARBITRAGES!$K198,E197))</f>
        <v>17.5620223</v>
      </c>
      <c r="F198" s="377">
        <f>IF(E198="","", IF(ARBITRAGES!$H198="tao",F197+ARBITRAGES!$K198,F197))</f>
        <v>6.209619964</v>
      </c>
      <c r="G198" s="378">
        <f>IF(F198="","", IF(ARBITRAGES!$H198="ron",G197+ARBITRAGES!$K198,G197))</f>
        <v>0</v>
      </c>
      <c r="H198" s="378">
        <f>IF(G198="","", IF(ARBITRAGES!$H198="link",H197+ARBITRAGES!$K198,H197))</f>
        <v>90.0797</v>
      </c>
      <c r="I198" s="378">
        <f>IF(H198="","", IF(ARBITRAGES!$H198="doge",I197+ARBITRAGES!$K198,I197))</f>
        <v>4928.58</v>
      </c>
      <c r="J198" s="378">
        <f>IF(I198="","", IF(ARBITRAGES!$H198="shib",J197-ARBITRAGES!$K198,J197))</f>
        <v>-0.01945258975</v>
      </c>
      <c r="K198" s="378">
        <f>IF(J198="","", IF(ARBITRAGES!$H198="cake",K197+ARBITRAGES!$K198,K197))</f>
        <v>127.0804432</v>
      </c>
      <c r="L198" s="378">
        <f>IF(K198="","", IF(ARBITRAGES!$H198="JUP",L197+ARBITRAGES!$K198,L197))</f>
        <v>0</v>
      </c>
      <c r="M198" s="376">
        <f>IF(L198="","", IF(ARBITRAGES!$H198="aave",M197+ARBITRAGES!$K198,M197))</f>
        <v>7.751038596</v>
      </c>
      <c r="N198" s="378">
        <f>IF(M198="","", IF(ARBITRAGES!$H198="ckb",N197+ARBITRAGES!$K198,N197))</f>
        <v>0</v>
      </c>
      <c r="O198" s="378">
        <f>IF(N198="","", IF(ARBITRAGES!$H198="pendle",O197-ARBITRAGES!$K198+0.1,O197))</f>
        <v>0.001461291462</v>
      </c>
      <c r="P198" s="378">
        <f>IF(O198="","", IF(ARBITRAGES!$H198="BOME",P197+ARBITRAGES!$K198,P197))</f>
        <v>0.02891989199</v>
      </c>
      <c r="Q198" s="378">
        <f>IF(P198="","", IF(ARBITRAGES!$H198="PEPE",Q197+ARBITRAGES!$K198,Q197))</f>
        <v>0.03999999762</v>
      </c>
      <c r="R198" s="378">
        <f>IF(Q198="","", IF(ARBITRAGES!$H198="WIF",R197+ARBITRAGES!$K198,R197))</f>
        <v>0</v>
      </c>
      <c r="S198" s="378">
        <f>IF(R198="","", IF(ARBITRAGES!$H198="RAY",S197+ARBITRAGES!$K198,S197))</f>
        <v>0</v>
      </c>
      <c r="T198" s="360"/>
      <c r="U198" s="360"/>
      <c r="V198" s="360"/>
      <c r="W198" s="360"/>
      <c r="X198" s="360"/>
      <c r="Y198" s="360"/>
      <c r="Z198" s="360"/>
      <c r="AA198" s="360"/>
      <c r="AB198" s="360"/>
      <c r="AC198" s="360"/>
      <c r="AD198" s="360"/>
      <c r="AE198" s="360"/>
      <c r="AF198" s="360"/>
      <c r="AG198" s="360"/>
      <c r="AH198" s="360"/>
    </row>
    <row r="199" ht="18.75" customHeight="1">
      <c r="A199" s="365">
        <f>IF(ARBITRAGES!E199=0,"",ARBITRAGES!E199)</f>
        <v>45974</v>
      </c>
      <c r="B199" s="374">
        <f>IF(A199="","", IF(ARBITRAGES!$H199="BTC",B198+ARBITRAGES!$K199,B198))</f>
        <v>0.2715254796</v>
      </c>
      <c r="C199" s="375">
        <f>IF(B199="","", IF(ARBITRAGES!$H199="eth",C198+ARBITRAGES!$K199,C198))</f>
        <v>2.215326442</v>
      </c>
      <c r="D199" s="376">
        <f>IF(C199="","", IF(ARBITRAGES!$H199="ondo",D198+ARBITRAGES!$K199,D198))</f>
        <v>0.001390269174</v>
      </c>
      <c r="E199" s="376">
        <f>IF(D199="","", IF(ARBITRAGES!$H199="sol",E198+ARBITRAGES!$K199,E198))</f>
        <v>17.5620223</v>
      </c>
      <c r="F199" s="377">
        <f>IF(E199="","", IF(ARBITRAGES!$H199="tao",F198+ARBITRAGES!$K199,F198))</f>
        <v>6.209619964</v>
      </c>
      <c r="G199" s="378">
        <f>IF(F199="","", IF(ARBITRAGES!$H199="ron",G198+ARBITRAGES!$K199,G198))</f>
        <v>0</v>
      </c>
      <c r="H199" s="378">
        <f>IF(G199="","", IF(ARBITRAGES!$H199="link",H198+ARBITRAGES!$K199,H198))</f>
        <v>90.0797</v>
      </c>
      <c r="I199" s="378">
        <f>IF(H199="","", IF(ARBITRAGES!$H199="doge",I198+ARBITRAGES!$K199,I198))</f>
        <v>4928.58</v>
      </c>
      <c r="J199" s="378">
        <f>IF(I199="","", IF(ARBITRAGES!$H199="shib",J198-ARBITRAGES!$K199,J198))</f>
        <v>-0.01945258975</v>
      </c>
      <c r="K199" s="378">
        <f>IF(J199="","", IF(ARBITRAGES!$H199="cake",K198+ARBITRAGES!$K199,K198))</f>
        <v>127.0804432</v>
      </c>
      <c r="L199" s="378">
        <f>IF(K199="","", IF(ARBITRAGES!$H199="JUP",L198+ARBITRAGES!$K199,L198))</f>
        <v>0</v>
      </c>
      <c r="M199" s="376">
        <f>IF(L199="","", IF(ARBITRAGES!$H199="aave",M198+ARBITRAGES!$K199,M198))</f>
        <v>7.751038596</v>
      </c>
      <c r="N199" s="378">
        <f>IF(M199="","", IF(ARBITRAGES!$H199="ckb",N198+ARBITRAGES!$K199,N198))</f>
        <v>0</v>
      </c>
      <c r="O199" s="378">
        <f>IF(N199="","", IF(ARBITRAGES!$H199="pendle",O198-ARBITRAGES!$K199+0.1,O198))</f>
        <v>0.001461291462</v>
      </c>
      <c r="P199" s="378">
        <f>IF(O199="","", IF(ARBITRAGES!$H199="BOME",P198+ARBITRAGES!$K199,P198))</f>
        <v>0.02891989199</v>
      </c>
      <c r="Q199" s="378">
        <f>IF(P199="","", IF(ARBITRAGES!$H199="PEPE",Q198+ARBITRAGES!$K199,Q198))</f>
        <v>0.03999999762</v>
      </c>
      <c r="R199" s="378">
        <f>IF(Q199="","", IF(ARBITRAGES!$H199="WIF",R198+ARBITRAGES!$K199,R198))</f>
        <v>0</v>
      </c>
      <c r="S199" s="378">
        <f>IF(R199="","", IF(ARBITRAGES!$H199="RAY",S198+ARBITRAGES!$K199,S198))</f>
        <v>0</v>
      </c>
      <c r="T199" s="360"/>
      <c r="U199" s="360"/>
      <c r="V199" s="360"/>
      <c r="W199" s="360"/>
      <c r="X199" s="360"/>
      <c r="Y199" s="360"/>
      <c r="Z199" s="360"/>
      <c r="AA199" s="360"/>
      <c r="AB199" s="360"/>
      <c r="AC199" s="360"/>
      <c r="AD199" s="360"/>
      <c r="AE199" s="360"/>
      <c r="AF199" s="360"/>
      <c r="AG199" s="360"/>
      <c r="AH199" s="360"/>
    </row>
    <row r="200" ht="18.75" customHeight="1">
      <c r="A200" s="365">
        <f>IF(ARBITRAGES!E200=0,"",ARBITRAGES!E200)</f>
        <v>45974</v>
      </c>
      <c r="B200" s="374">
        <f>IF(A200="","", IF(ARBITRAGES!$H200="BTC",B199+ARBITRAGES!$K200,B199))</f>
        <v>0.2820517954</v>
      </c>
      <c r="C200" s="375">
        <f>IF(B200="","", IF(ARBITRAGES!$H200="eth",C199+ARBITRAGES!$K200,C199))</f>
        <v>2.215326442</v>
      </c>
      <c r="D200" s="376">
        <f>IF(C200="","", IF(ARBITRAGES!$H200="ondo",D199+ARBITRAGES!$K200,D199))</f>
        <v>0.001390269174</v>
      </c>
      <c r="E200" s="376">
        <f>IF(D200="","", IF(ARBITRAGES!$H200="sol",E199+ARBITRAGES!$K200,E199))</f>
        <v>17.5620223</v>
      </c>
      <c r="F200" s="377">
        <f>IF(E200="","", IF(ARBITRAGES!$H200="tao",F199+ARBITRAGES!$K200,F199))</f>
        <v>6.209619964</v>
      </c>
      <c r="G200" s="378">
        <f>IF(F200="","", IF(ARBITRAGES!$H200="ron",G199+ARBITRAGES!$K200,G199))</f>
        <v>0</v>
      </c>
      <c r="H200" s="378">
        <f>IF(G200="","", IF(ARBITRAGES!$H200="link",H199+ARBITRAGES!$K200,H199))</f>
        <v>90.0797</v>
      </c>
      <c r="I200" s="378">
        <f>IF(H200="","", IF(ARBITRAGES!$H200="doge",I199+ARBITRAGES!$K200,I199))</f>
        <v>4928.58</v>
      </c>
      <c r="J200" s="378">
        <f>IF(I200="","", IF(ARBITRAGES!$H200="shib",J199-ARBITRAGES!$K200,J199))</f>
        <v>-0.01945258975</v>
      </c>
      <c r="K200" s="378">
        <f>IF(J200="","", IF(ARBITRAGES!$H200="cake",K199+ARBITRAGES!$K200,K199))</f>
        <v>127.0804432</v>
      </c>
      <c r="L200" s="378">
        <f>IF(K200="","", IF(ARBITRAGES!$H200="JUP",L199+ARBITRAGES!$K200,L199))</f>
        <v>0</v>
      </c>
      <c r="M200" s="376">
        <f>IF(L200="","", IF(ARBITRAGES!$H200="aave",M199+ARBITRAGES!$K200,M199))</f>
        <v>7.751038596</v>
      </c>
      <c r="N200" s="378">
        <f>IF(M200="","", IF(ARBITRAGES!$H200="ckb",N199+ARBITRAGES!$K200,N199))</f>
        <v>0</v>
      </c>
      <c r="O200" s="378">
        <f>IF(N200="","", IF(ARBITRAGES!$H200="pendle",O199-ARBITRAGES!$K200+0.1,O199))</f>
        <v>0.001461291462</v>
      </c>
      <c r="P200" s="378">
        <f>IF(O200="","", IF(ARBITRAGES!$H200="BOME",P199+ARBITRAGES!$K200,P199))</f>
        <v>0.02891989199</v>
      </c>
      <c r="Q200" s="378">
        <f>IF(P200="","", IF(ARBITRAGES!$H200="PEPE",Q199+ARBITRAGES!$K200,Q199))</f>
        <v>0.03999999762</v>
      </c>
      <c r="R200" s="378">
        <f>IF(Q200="","", IF(ARBITRAGES!$H200="WIF",R199+ARBITRAGES!$K200,R199))</f>
        <v>0</v>
      </c>
      <c r="S200" s="378">
        <f>IF(R200="","", IF(ARBITRAGES!$H200="RAY",S199+ARBITRAGES!$K200,S199))</f>
        <v>0</v>
      </c>
      <c r="T200" s="360"/>
      <c r="U200" s="360"/>
      <c r="V200" s="360"/>
      <c r="W200" s="360"/>
      <c r="X200" s="360"/>
      <c r="Y200" s="360"/>
      <c r="Z200" s="360"/>
      <c r="AA200" s="360"/>
      <c r="AB200" s="360"/>
      <c r="AC200" s="360"/>
      <c r="AD200" s="360"/>
      <c r="AE200" s="360"/>
      <c r="AF200" s="360"/>
      <c r="AG200" s="360"/>
      <c r="AH200" s="360"/>
    </row>
    <row r="201" ht="18.75" customHeight="1">
      <c r="A201" s="365">
        <f>IF(ARBITRAGES!E201=0,"",ARBITRAGES!E201)</f>
        <v>45974</v>
      </c>
      <c r="B201" s="374">
        <f>IF(A201="","", IF(ARBITRAGES!$H201="BTC",B200+ARBITRAGES!$K201,B200))</f>
        <v>0.2852163523</v>
      </c>
      <c r="C201" s="375">
        <f>IF(B201="","", IF(ARBITRAGES!$H201="eth",C200+ARBITRAGES!$K201,C200))</f>
        <v>2.215326442</v>
      </c>
      <c r="D201" s="376">
        <f>IF(C201="","", IF(ARBITRAGES!$H201="ondo",D200+ARBITRAGES!$K201,D200))</f>
        <v>0.001390269174</v>
      </c>
      <c r="E201" s="376">
        <f>IF(D201="","", IF(ARBITRAGES!$H201="sol",E200+ARBITRAGES!$K201,E200))</f>
        <v>17.5620223</v>
      </c>
      <c r="F201" s="377">
        <f>IF(E201="","", IF(ARBITRAGES!$H201="tao",F200+ARBITRAGES!$K201,F200))</f>
        <v>6.209619964</v>
      </c>
      <c r="G201" s="378">
        <f>IF(F201="","", IF(ARBITRAGES!$H201="ron",G200+ARBITRAGES!$K201,G200))</f>
        <v>0</v>
      </c>
      <c r="H201" s="378">
        <f>IF(G201="","", IF(ARBITRAGES!$H201="link",H200+ARBITRAGES!$K201,H200))</f>
        <v>90.0797</v>
      </c>
      <c r="I201" s="378">
        <f>IF(H201="","", IF(ARBITRAGES!$H201="doge",I200+ARBITRAGES!$K201,I200))</f>
        <v>4928.58</v>
      </c>
      <c r="J201" s="378">
        <f>IF(I201="","", IF(ARBITRAGES!$H201="shib",J200-ARBITRAGES!$K201,J200))</f>
        <v>-0.01945258975</v>
      </c>
      <c r="K201" s="378">
        <f>IF(J201="","", IF(ARBITRAGES!$H201="cake",K200+ARBITRAGES!$K201,K200))</f>
        <v>127.0804432</v>
      </c>
      <c r="L201" s="378">
        <f>IF(K201="","", IF(ARBITRAGES!$H201="JUP",L200+ARBITRAGES!$K201,L200))</f>
        <v>0</v>
      </c>
      <c r="M201" s="376">
        <f>IF(L201="","", IF(ARBITRAGES!$H201="aave",M200+ARBITRAGES!$K201,M200))</f>
        <v>7.751038596</v>
      </c>
      <c r="N201" s="378">
        <f>IF(M201="","", IF(ARBITRAGES!$H201="ckb",N200+ARBITRAGES!$K201,N200))</f>
        <v>0</v>
      </c>
      <c r="O201" s="378">
        <f>IF(N201="","", IF(ARBITRAGES!$H201="pendle",O200-ARBITRAGES!$K201+0.1,O200))</f>
        <v>0.001461291462</v>
      </c>
      <c r="P201" s="378">
        <f>IF(O201="","", IF(ARBITRAGES!$H201="BOME",P200+ARBITRAGES!$K201,P200))</f>
        <v>0.02891989199</v>
      </c>
      <c r="Q201" s="378">
        <f>IF(P201="","", IF(ARBITRAGES!$H201="PEPE",Q200+ARBITRAGES!$K201,Q200))</f>
        <v>0.03999999762</v>
      </c>
      <c r="R201" s="378">
        <f>IF(Q201="","", IF(ARBITRAGES!$H201="WIF",R200+ARBITRAGES!$K201,R200))</f>
        <v>0</v>
      </c>
      <c r="S201" s="378">
        <f>IF(R201="","", IF(ARBITRAGES!$H201="RAY",S200+ARBITRAGES!$K201,S200))</f>
        <v>0</v>
      </c>
      <c r="T201" s="360"/>
      <c r="U201" s="360"/>
      <c r="V201" s="360"/>
      <c r="W201" s="360"/>
      <c r="X201" s="360"/>
      <c r="Y201" s="360"/>
      <c r="Z201" s="360"/>
      <c r="AA201" s="360"/>
      <c r="AB201" s="360"/>
      <c r="AC201" s="360"/>
      <c r="AD201" s="360"/>
      <c r="AE201" s="360"/>
      <c r="AF201" s="360"/>
      <c r="AG201" s="360"/>
      <c r="AH201" s="360"/>
    </row>
    <row r="202" ht="18.75" customHeight="1">
      <c r="A202" s="365">
        <f>IF(ARBITRAGES!E202=0,"",ARBITRAGES!E202)</f>
        <v>45975</v>
      </c>
      <c r="B202" s="374">
        <f>IF(A202="","", IF(ARBITRAGES!$H202="BTC",B201+ARBITRAGES!$K202,B201))</f>
        <v>0.2905017646</v>
      </c>
      <c r="C202" s="375">
        <f>IF(B202="","", IF(ARBITRAGES!$H202="eth",C201+ARBITRAGES!$K202,C201))</f>
        <v>2.215326442</v>
      </c>
      <c r="D202" s="376">
        <f>IF(C202="","", IF(ARBITRAGES!$H202="ondo",D201+ARBITRAGES!$K202,D201))</f>
        <v>0.001390269174</v>
      </c>
      <c r="E202" s="376">
        <f>IF(D202="","", IF(ARBITRAGES!$H202="sol",E201+ARBITRAGES!$K202,E201))</f>
        <v>17.5620223</v>
      </c>
      <c r="F202" s="377">
        <f>IF(E202="","", IF(ARBITRAGES!$H202="tao",F201+ARBITRAGES!$K202,F201))</f>
        <v>6.209619964</v>
      </c>
      <c r="G202" s="378">
        <f>IF(F202="","", IF(ARBITRAGES!$H202="ron",G201+ARBITRAGES!$K202,G201))</f>
        <v>0</v>
      </c>
      <c r="H202" s="378">
        <f>IF(G202="","", IF(ARBITRAGES!$H202="link",H201+ARBITRAGES!$K202,H201))</f>
        <v>90.0797</v>
      </c>
      <c r="I202" s="378">
        <f>IF(H202="","", IF(ARBITRAGES!$H202="doge",I201+ARBITRAGES!$K202,I201))</f>
        <v>4928.58</v>
      </c>
      <c r="J202" s="378">
        <f>IF(I202="","", IF(ARBITRAGES!$H202="shib",J201-ARBITRAGES!$K202,J201))</f>
        <v>-0.01945258975</v>
      </c>
      <c r="K202" s="378">
        <f>IF(J202="","", IF(ARBITRAGES!$H202="cake",K201+ARBITRAGES!$K202,K201))</f>
        <v>127.0804432</v>
      </c>
      <c r="L202" s="378">
        <f>IF(K202="","", IF(ARBITRAGES!$H202="JUP",L201+ARBITRAGES!$K202,L201))</f>
        <v>0</v>
      </c>
      <c r="M202" s="376">
        <f>IF(L202="","", IF(ARBITRAGES!$H202="aave",M201+ARBITRAGES!$K202,M201))</f>
        <v>7.751038596</v>
      </c>
      <c r="N202" s="378">
        <f>IF(M202="","", IF(ARBITRAGES!$H202="ckb",N201+ARBITRAGES!$K202,N201))</f>
        <v>0</v>
      </c>
      <c r="O202" s="378">
        <f>IF(N202="","", IF(ARBITRAGES!$H202="pendle",O201-ARBITRAGES!$K202+0.1,O201))</f>
        <v>0.001461291462</v>
      </c>
      <c r="P202" s="378">
        <f>IF(O202="","", IF(ARBITRAGES!$H202="BOME",P201+ARBITRAGES!$K202,P201))</f>
        <v>0.02891989199</v>
      </c>
      <c r="Q202" s="378">
        <f>IF(P202="","", IF(ARBITRAGES!$H202="PEPE",Q201+ARBITRAGES!$K202,Q201))</f>
        <v>0.03999999762</v>
      </c>
      <c r="R202" s="378">
        <f>IF(Q202="","", IF(ARBITRAGES!$H202="WIF",R201+ARBITRAGES!$K202,R201))</f>
        <v>0</v>
      </c>
      <c r="S202" s="378">
        <f>IF(R202="","", IF(ARBITRAGES!$H202="RAY",S201+ARBITRAGES!$K202,S201))</f>
        <v>0</v>
      </c>
      <c r="T202" s="360"/>
      <c r="U202" s="360"/>
      <c r="V202" s="360"/>
      <c r="W202" s="360"/>
      <c r="X202" s="360"/>
      <c r="Y202" s="360"/>
      <c r="Z202" s="360"/>
      <c r="AA202" s="360"/>
      <c r="AB202" s="360"/>
      <c r="AC202" s="360"/>
      <c r="AD202" s="360"/>
      <c r="AE202" s="360"/>
      <c r="AF202" s="360"/>
      <c r="AG202" s="360"/>
      <c r="AH202" s="360"/>
    </row>
    <row r="203" ht="18.75" customHeight="1">
      <c r="A203" s="365">
        <f>IF(ARBITRAGES!E203=0,"",ARBITRAGES!E203)</f>
        <v>45977</v>
      </c>
      <c r="B203" s="374">
        <f>IF(A203="","", IF(ARBITRAGES!$H203="BTC",B202+ARBITRAGES!$K203,B202))</f>
        <v>0.2957724673</v>
      </c>
      <c r="C203" s="375">
        <f>IF(B203="","", IF(ARBITRAGES!$H203="eth",C202+ARBITRAGES!$K203,C202))</f>
        <v>2.215326442</v>
      </c>
      <c r="D203" s="376">
        <f>IF(C203="","", IF(ARBITRAGES!$H203="ondo",D202+ARBITRAGES!$K203,D202))</f>
        <v>0.001390269174</v>
      </c>
      <c r="E203" s="376">
        <f>IF(D203="","", IF(ARBITRAGES!$H203="sol",E202+ARBITRAGES!$K203,E202))</f>
        <v>17.5620223</v>
      </c>
      <c r="F203" s="377">
        <f>IF(E203="","", IF(ARBITRAGES!$H203="tao",F202+ARBITRAGES!$K203,F202))</f>
        <v>6.209619964</v>
      </c>
      <c r="G203" s="378">
        <f>IF(F203="","", IF(ARBITRAGES!$H203="ron",G202+ARBITRAGES!$K203,G202))</f>
        <v>0</v>
      </c>
      <c r="H203" s="378">
        <f>IF(G203="","", IF(ARBITRAGES!$H203="link",H202+ARBITRAGES!$K203,H202))</f>
        <v>90.0797</v>
      </c>
      <c r="I203" s="378">
        <f>IF(H203="","", IF(ARBITRAGES!$H203="doge",I202+ARBITRAGES!$K203,I202))</f>
        <v>4928.58</v>
      </c>
      <c r="J203" s="378">
        <f>IF(I203="","", IF(ARBITRAGES!$H203="shib",J202-ARBITRAGES!$K203,J202))</f>
        <v>-0.01945258975</v>
      </c>
      <c r="K203" s="378">
        <f>IF(J203="","", IF(ARBITRAGES!$H203="cake",K202+ARBITRAGES!$K203,K202))</f>
        <v>127.0804432</v>
      </c>
      <c r="L203" s="378">
        <f>IF(K203="","", IF(ARBITRAGES!$H203="JUP",L202+ARBITRAGES!$K203,L202))</f>
        <v>0</v>
      </c>
      <c r="M203" s="376">
        <f>IF(L203="","", IF(ARBITRAGES!$H203="aave",M202+ARBITRAGES!$K203,M202))</f>
        <v>7.751038596</v>
      </c>
      <c r="N203" s="378">
        <f>IF(M203="","", IF(ARBITRAGES!$H203="ckb",N202+ARBITRAGES!$K203,N202))</f>
        <v>0</v>
      </c>
      <c r="O203" s="378">
        <f>IF(N203="","", IF(ARBITRAGES!$H203="pendle",O202-ARBITRAGES!$K203+0.1,O202))</f>
        <v>0.001461291462</v>
      </c>
      <c r="P203" s="378">
        <f>IF(O203="","", IF(ARBITRAGES!$H203="BOME",P202+ARBITRAGES!$K203,P202))</f>
        <v>0.02891989199</v>
      </c>
      <c r="Q203" s="378">
        <f>IF(P203="","", IF(ARBITRAGES!$H203="PEPE",Q202+ARBITRAGES!$K203,Q202))</f>
        <v>0.03999999762</v>
      </c>
      <c r="R203" s="378">
        <f>IF(Q203="","", IF(ARBITRAGES!$H203="WIF",R202+ARBITRAGES!$K203,R202))</f>
        <v>0</v>
      </c>
      <c r="S203" s="378">
        <f>IF(R203="","", IF(ARBITRAGES!$H203="RAY",S202+ARBITRAGES!$K203,S202))</f>
        <v>0</v>
      </c>
      <c r="T203" s="360"/>
      <c r="U203" s="360"/>
      <c r="V203" s="360"/>
      <c r="W203" s="360"/>
      <c r="X203" s="360"/>
      <c r="Y203" s="360"/>
      <c r="Z203" s="360"/>
      <c r="AA203" s="360"/>
      <c r="AB203" s="360"/>
      <c r="AC203" s="360"/>
      <c r="AD203" s="360"/>
      <c r="AE203" s="360"/>
      <c r="AF203" s="360"/>
      <c r="AG203" s="360"/>
      <c r="AH203" s="360"/>
    </row>
    <row r="204" ht="18.75" customHeight="1">
      <c r="A204" s="365">
        <f>IF(ARBITRAGES!E204=0,"",ARBITRAGES!E204)</f>
        <v>45977</v>
      </c>
      <c r="B204" s="375">
        <f>IF(A204="","", IF(ARBITRAGES!$H204="BTC",B203+ARBITRAGES!$K204,B203))</f>
        <v>0.2957724673</v>
      </c>
      <c r="C204" s="374">
        <f>IF(B204="","", IF(ARBITRAGES!$H204="eth",C203+ARBITRAGES!$K204+0.002,C203))</f>
        <v>2.357326442</v>
      </c>
      <c r="D204" s="376">
        <f>IF(C204="","", IF(ARBITRAGES!$H204="ondo",D203+ARBITRAGES!$K204,D203))</f>
        <v>0.001390269174</v>
      </c>
      <c r="E204" s="376">
        <f>IF(D204="","", IF(ARBITRAGES!$H204="sol",E203+ARBITRAGES!$K204,E203))</f>
        <v>17.5620223</v>
      </c>
      <c r="F204" s="377">
        <f>IF(E204="","", IF(ARBITRAGES!$H204="tao",F203+ARBITRAGES!$K204,F203))</f>
        <v>6.209619964</v>
      </c>
      <c r="G204" s="378">
        <f>IF(F204="","", IF(ARBITRAGES!$H204="ron",G203+ARBITRAGES!$K204,G203))</f>
        <v>0</v>
      </c>
      <c r="H204" s="378">
        <f>IF(G204="","", IF(ARBITRAGES!$H204="link",H203+ARBITRAGES!$K204,H203))</f>
        <v>90.0797</v>
      </c>
      <c r="I204" s="378">
        <f>IF(H204="","", IF(ARBITRAGES!$H204="doge",I203+ARBITRAGES!$K204,I203))</f>
        <v>4928.58</v>
      </c>
      <c r="J204" s="378">
        <f>IF(I204="","", IF(ARBITRAGES!$H204="shib",J203-ARBITRAGES!$K204,J203))</f>
        <v>-0.01945258975</v>
      </c>
      <c r="K204" s="378">
        <f>IF(J204="","", IF(ARBITRAGES!$H204="cake",K203+ARBITRAGES!$K204,K203))</f>
        <v>127.0804432</v>
      </c>
      <c r="L204" s="378">
        <f>IF(K204="","", IF(ARBITRAGES!$H204="JUP",L203+ARBITRAGES!$K204,L203))</f>
        <v>0</v>
      </c>
      <c r="M204" s="376">
        <f>IF(L204="","", IF(ARBITRAGES!$H204="aave",M203+ARBITRAGES!$K204,M203))</f>
        <v>7.751038596</v>
      </c>
      <c r="N204" s="378">
        <f>IF(M204="","", IF(ARBITRAGES!$H204="ckb",N203+ARBITRAGES!$K204,N203))</f>
        <v>0</v>
      </c>
      <c r="O204" s="378">
        <f>IF(N204="","", IF(ARBITRAGES!$H204="pendle",O203-ARBITRAGES!$K204+0.1,O203))</f>
        <v>0.001461291462</v>
      </c>
      <c r="P204" s="378">
        <f>IF(O204="","", IF(ARBITRAGES!$H204="BOME",P203+ARBITRAGES!$K204,P203))</f>
        <v>0.02891989199</v>
      </c>
      <c r="Q204" s="378">
        <f>IF(P204="","", IF(ARBITRAGES!$H204="PEPE",Q203+ARBITRAGES!$K204,Q203))</f>
        <v>0.03999999762</v>
      </c>
      <c r="R204" s="378">
        <f>IF(Q204="","", IF(ARBITRAGES!$H204="WIF",R203+ARBITRAGES!$K204,R203))</f>
        <v>0</v>
      </c>
      <c r="S204" s="378">
        <f>IF(R204="","", IF(ARBITRAGES!$H204="RAY",S203+ARBITRAGES!$K204,S203))</f>
        <v>0</v>
      </c>
      <c r="T204" s="360"/>
      <c r="U204" s="360"/>
      <c r="V204" s="360"/>
      <c r="W204" s="360"/>
      <c r="X204" s="360"/>
      <c r="Y204" s="360"/>
      <c r="Z204" s="360"/>
      <c r="AA204" s="360"/>
      <c r="AB204" s="360"/>
      <c r="AC204" s="360"/>
      <c r="AD204" s="360"/>
      <c r="AE204" s="360"/>
      <c r="AF204" s="360"/>
      <c r="AG204" s="360"/>
      <c r="AH204" s="360"/>
    </row>
    <row r="205" ht="18.75" customHeight="1">
      <c r="A205" s="365">
        <f>IF(ARBITRAGES!E205=0,"",ARBITRAGES!E205)</f>
        <v>45978</v>
      </c>
      <c r="B205" s="375">
        <f>IF(A205="","", IF(ARBITRAGES!$H205="BTC",B204+ARBITRAGES!$K205,B204))</f>
        <v>0.2957724673</v>
      </c>
      <c r="C205" s="375">
        <f>IF(B205="","", IF(ARBITRAGES!$H205="eth",C204+ARBITRAGES!$K205,C204))</f>
        <v>2.357326442</v>
      </c>
      <c r="D205" s="376">
        <f>IF(C205="","", IF(ARBITRAGES!$H205="ondo",D204+ARBITRAGES!$K205,D204))</f>
        <v>0.001390269174</v>
      </c>
      <c r="E205" s="376">
        <f>IF(D205="","", IF(ARBITRAGES!$H205="sol",E204+ARBITRAGES!$K205,E204))</f>
        <v>17.5620223</v>
      </c>
      <c r="F205" s="377">
        <f>IF(E205="","", IF(ARBITRAGES!$H205="tao",F204+ARBITRAGES!$K205,F204))</f>
        <v>6.209619964</v>
      </c>
      <c r="G205" s="378">
        <f>IF(F205="","", IF(ARBITRAGES!$H205="ron",G204+ARBITRAGES!$K205,G204))</f>
        <v>0</v>
      </c>
      <c r="H205" s="378">
        <f>IF(G205="","", IF(ARBITRAGES!$H205="link",H204+ARBITRAGES!$K205,H204))</f>
        <v>90.0797</v>
      </c>
      <c r="I205" s="378">
        <f>IF(H205="","", IF(ARBITRAGES!$H205="doge",I204+ARBITRAGES!$K205,I204))</f>
        <v>4928.58</v>
      </c>
      <c r="J205" s="378">
        <f>IF(I205="","", IF(ARBITRAGES!$H205="shib",J204-ARBITRAGES!$K205,J204))</f>
        <v>-0.01945258975</v>
      </c>
      <c r="K205" s="394">
        <f>IF(J205="","", IF(ARBITRAGES!$H205="cake",0,K204))</f>
        <v>0</v>
      </c>
      <c r="L205" s="378">
        <f>IF(K205="","", IF(ARBITRAGES!$H205="JUP",L204+ARBITRAGES!$K205,L204))</f>
        <v>0</v>
      </c>
      <c r="M205" s="376">
        <f>IF(L205="","", IF(ARBITRAGES!$H205="aave",M204+ARBITRAGES!$K205,M204))</f>
        <v>7.751038596</v>
      </c>
      <c r="N205" s="378">
        <f>IF(M205="","", IF(ARBITRAGES!$H205="ckb",N204+ARBITRAGES!$K205,N204))</f>
        <v>0</v>
      </c>
      <c r="O205" s="378">
        <f>IF(N205="","", IF(ARBITRAGES!$H205="pendle",O204-ARBITRAGES!$K205+0.1,O204))</f>
        <v>0.001461291462</v>
      </c>
      <c r="P205" s="378">
        <f>IF(O205="","", IF(ARBITRAGES!$H205="BOME",P204+ARBITRAGES!$K205,P204))</f>
        <v>0.02891989199</v>
      </c>
      <c r="Q205" s="378">
        <f>IF(P205="","", IF(ARBITRAGES!$H205="PEPE",Q204+ARBITRAGES!$K205,Q204))</f>
        <v>0.03999999762</v>
      </c>
      <c r="R205" s="378">
        <f>IF(Q205="","", IF(ARBITRAGES!$H205="WIF",R204+ARBITRAGES!$K205,R204))</f>
        <v>0</v>
      </c>
      <c r="S205" s="378">
        <f>IF(R205="","", IF(ARBITRAGES!$H205="RAY",S204+ARBITRAGES!$K205,S204))</f>
        <v>0</v>
      </c>
      <c r="T205" s="360"/>
      <c r="U205" s="360"/>
      <c r="V205" s="360"/>
      <c r="W205" s="360"/>
      <c r="X205" s="360"/>
      <c r="Y205" s="360"/>
      <c r="Z205" s="360"/>
      <c r="AA205" s="360"/>
      <c r="AB205" s="360"/>
      <c r="AC205" s="360"/>
      <c r="AD205" s="360"/>
      <c r="AE205" s="360"/>
      <c r="AF205" s="360"/>
      <c r="AG205" s="360"/>
      <c r="AH205" s="360"/>
    </row>
    <row r="206" ht="18.75" customHeight="1">
      <c r="A206" s="365">
        <f>IF(ARBITRAGES!E206=0,"",ARBITRAGES!E206)</f>
        <v>45978</v>
      </c>
      <c r="B206" s="375">
        <f>IF(A206="","", IF(ARBITRAGES!$H206="BTC",B205+ARBITRAGES!$K206,B205))</f>
        <v>0.2957724673</v>
      </c>
      <c r="C206" s="375">
        <f>IF(B206="","", IF(ARBITRAGES!$H206="eth",C205+ARBITRAGES!$K206,C205))</f>
        <v>2.357326442</v>
      </c>
      <c r="D206" s="376">
        <f>IF(C206="","", IF(ARBITRAGES!$H206="ondo",D205+ARBITRAGES!$K206,D205))</f>
        <v>0.001390269174</v>
      </c>
      <c r="E206" s="392">
        <f>IF(D206="","", IF(ARBITRAGES!$H206="sol",E205-ARBITRAGES!$K206,E205))</f>
        <v>15.0620223</v>
      </c>
      <c r="F206" s="377">
        <f>IF(E206="","", IF(ARBITRAGES!$H206="tao",F205+ARBITRAGES!$K206,F205))</f>
        <v>6.209619964</v>
      </c>
      <c r="G206" s="378">
        <f>IF(F206="","", IF(ARBITRAGES!$H206="ron",G205+ARBITRAGES!$K206,G205))</f>
        <v>0</v>
      </c>
      <c r="H206" s="378">
        <f>IF(G206="","", IF(ARBITRAGES!$H206="link",H205+ARBITRAGES!$K206,H205))</f>
        <v>90.0797</v>
      </c>
      <c r="I206" s="378">
        <f>IF(H206="","", IF(ARBITRAGES!$H206="doge",I205+ARBITRAGES!$K206,I205))</f>
        <v>4928.58</v>
      </c>
      <c r="J206" s="378">
        <f>IF(I206="","", IF(ARBITRAGES!$H206="shib",J205-ARBITRAGES!$K206,J205))</f>
        <v>-0.01945258975</v>
      </c>
      <c r="K206" s="378">
        <f>IF(J206="","", IF(ARBITRAGES!$H206="cake",K205+ARBITRAGES!$K206,K205))</f>
        <v>0</v>
      </c>
      <c r="L206" s="378">
        <f>IF(K206="","", IF(ARBITRAGES!$H206="JUP",L205+ARBITRAGES!$K206,L205))</f>
        <v>0</v>
      </c>
      <c r="M206" s="376">
        <f>IF(L206="","", IF(ARBITRAGES!$H206="aave",M205+ARBITRAGES!$K206,M205))</f>
        <v>7.751038596</v>
      </c>
      <c r="N206" s="378">
        <f>IF(M206="","", IF(ARBITRAGES!$H206="ckb",N205+ARBITRAGES!$K206,N205))</f>
        <v>0</v>
      </c>
      <c r="O206" s="378">
        <f>IF(N206="","", IF(ARBITRAGES!$H206="pendle",O205-ARBITRAGES!$K206+0.1,O205))</f>
        <v>0.001461291462</v>
      </c>
      <c r="P206" s="378">
        <f>IF(O206="","", IF(ARBITRAGES!$H206="BOME",P205+ARBITRAGES!$K206,P205))</f>
        <v>0.02891989199</v>
      </c>
      <c r="Q206" s="378">
        <f>IF(P206="","", IF(ARBITRAGES!$H206="PEPE",Q205+ARBITRAGES!$K206,Q205))</f>
        <v>0.03999999762</v>
      </c>
      <c r="R206" s="378">
        <f>IF(Q206="","", IF(ARBITRAGES!$H206="WIF",R205+ARBITRAGES!$K206,R205))</f>
        <v>0</v>
      </c>
      <c r="S206" s="378">
        <f>IF(R206="","", IF(ARBITRAGES!$H206="RAY",S205+ARBITRAGES!$K206,S205))</f>
        <v>0</v>
      </c>
      <c r="T206" s="360"/>
      <c r="U206" s="360"/>
      <c r="V206" s="360"/>
      <c r="W206" s="360"/>
      <c r="X206" s="360"/>
      <c r="Y206" s="360"/>
      <c r="Z206" s="360"/>
      <c r="AA206" s="360"/>
      <c r="AB206" s="360"/>
      <c r="AC206" s="360"/>
      <c r="AD206" s="360"/>
      <c r="AE206" s="360"/>
      <c r="AF206" s="360"/>
      <c r="AG206" s="360"/>
      <c r="AH206" s="360"/>
    </row>
    <row r="207" ht="18.75" customHeight="1">
      <c r="A207" s="365">
        <f>IF(ARBITRAGES!E207=0,"",ARBITRAGES!E207)</f>
        <v>45978</v>
      </c>
      <c r="B207" s="375">
        <f>IF(A207="","", IF(ARBITRAGES!$H207="BTC",B206+ARBITRAGES!$K207,B206))</f>
        <v>0.2957724673</v>
      </c>
      <c r="C207" s="375">
        <f>IF(B207="","", IF(ARBITRAGES!$H207="eth",C206+ARBITRAGES!$K207,C206))</f>
        <v>2.357326442</v>
      </c>
      <c r="D207" s="376">
        <f>IF(C207="","", IF(ARBITRAGES!$H207="ondo",D206+ARBITRAGES!$K207,D206))</f>
        <v>0.001390269174</v>
      </c>
      <c r="E207" s="392">
        <f>IF(D207="","", IF(ARBITRAGES!$H207="sol",E206-ARBITRAGES!$K207+0.025,E206))</f>
        <v>13.0870223</v>
      </c>
      <c r="F207" s="377">
        <f>IF(E207="","", IF(ARBITRAGES!$H207="tao",F206+ARBITRAGES!$K207,F206))</f>
        <v>6.209619964</v>
      </c>
      <c r="G207" s="378">
        <f>IF(F207="","", IF(ARBITRAGES!$H207="ron",G206+ARBITRAGES!$K207,G206))</f>
        <v>0</v>
      </c>
      <c r="H207" s="378">
        <f>IF(G207="","", IF(ARBITRAGES!$H207="link",H206+ARBITRAGES!$K207,H206))</f>
        <v>90.0797</v>
      </c>
      <c r="I207" s="378">
        <f>IF(H207="","", IF(ARBITRAGES!$H207="doge",I206+ARBITRAGES!$K207,I206))</f>
        <v>4928.58</v>
      </c>
      <c r="J207" s="378">
        <f>IF(I207="","", IF(ARBITRAGES!$H207="shib",J206-ARBITRAGES!$K207,J206))</f>
        <v>-0.01945258975</v>
      </c>
      <c r="K207" s="378">
        <f>IF(J207="","", IF(ARBITRAGES!$H207="cake",K206+ARBITRAGES!$K207,K206))</f>
        <v>0</v>
      </c>
      <c r="L207" s="378">
        <f>IF(K207="","", IF(ARBITRAGES!$H207="JUP",L206+ARBITRAGES!$K207,L206))</f>
        <v>0</v>
      </c>
      <c r="M207" s="376">
        <f>IF(L207="","", IF(ARBITRAGES!$H207="aave",M206+ARBITRAGES!$K207,M206))</f>
        <v>7.751038596</v>
      </c>
      <c r="N207" s="378">
        <f>IF(M207="","", IF(ARBITRAGES!$H207="ckb",N206+ARBITRAGES!$K207,N206))</f>
        <v>0</v>
      </c>
      <c r="O207" s="378">
        <f>IF(N207="","", IF(ARBITRAGES!$H207="pendle",O206-ARBITRAGES!$K207+0.1,O206))</f>
        <v>0.001461291462</v>
      </c>
      <c r="P207" s="378">
        <f>IF(O207="","", IF(ARBITRAGES!$H207="BOME",P206+ARBITRAGES!$K207,P206))</f>
        <v>0.02891989199</v>
      </c>
      <c r="Q207" s="378">
        <f>IF(P207="","", IF(ARBITRAGES!$H207="PEPE",Q206+ARBITRAGES!$K207,Q206))</f>
        <v>0.03999999762</v>
      </c>
      <c r="R207" s="378">
        <f>IF(Q207="","", IF(ARBITRAGES!$H207="WIF",R206+ARBITRAGES!$K207,R206))</f>
        <v>0</v>
      </c>
      <c r="S207" s="378">
        <f>IF(R207="","", IF(ARBITRAGES!$H207="RAY",S206+ARBITRAGES!$K207,S206))</f>
        <v>0</v>
      </c>
      <c r="T207" s="360"/>
      <c r="U207" s="360"/>
      <c r="V207" s="360"/>
      <c r="W207" s="360"/>
      <c r="X207" s="360"/>
      <c r="Y207" s="360"/>
      <c r="Z207" s="360"/>
      <c r="AA207" s="360"/>
      <c r="AB207" s="360"/>
      <c r="AC207" s="360"/>
      <c r="AD207" s="360"/>
      <c r="AE207" s="360"/>
      <c r="AF207" s="360"/>
      <c r="AG207" s="360"/>
      <c r="AH207" s="360"/>
    </row>
    <row r="208" ht="18.75" customHeight="1">
      <c r="A208" s="365">
        <f>IF(ARBITRAGES!E208=0,"",ARBITRAGES!E208)</f>
        <v>45979</v>
      </c>
      <c r="B208" s="375">
        <f>IF(A208="","", IF(ARBITRAGES!$H208="BTC",B207+ARBITRAGES!$K208,B207))</f>
        <v>0.2957724673</v>
      </c>
      <c r="C208" s="375">
        <f>IF(B208="","", IF(ARBITRAGES!$H208="eth",C207+ARBITRAGES!$K208,C207))</f>
        <v>2.357326442</v>
      </c>
      <c r="D208" s="376">
        <f>IF(C208="","", IF(ARBITRAGES!$H208="ondo",D207+ARBITRAGES!$K208,D207))</f>
        <v>0.001390269174</v>
      </c>
      <c r="E208" s="376">
        <f>IF(D208="","", IF(ARBITRAGES!$H208="sol",E207+ARBITRAGES!$K208,E207))</f>
        <v>13.0870223</v>
      </c>
      <c r="F208" s="391">
        <f>IF(E208="","", IF(ARBITRAGES!$H208="tao",F207-ARBITRAGES!$K208,F207))</f>
        <v>5.509619964</v>
      </c>
      <c r="G208" s="378">
        <f>IF(F208="","", IF(ARBITRAGES!$H208="ron",G207+ARBITRAGES!$K208,G207))</f>
        <v>0</v>
      </c>
      <c r="H208" s="378">
        <f>IF(G208="","", IF(ARBITRAGES!$H208="link",H207+ARBITRAGES!$K208,H207))</f>
        <v>90.0797</v>
      </c>
      <c r="I208" s="378">
        <f>IF(H208="","", IF(ARBITRAGES!$H208="doge",I207+ARBITRAGES!$K208,I207))</f>
        <v>4928.58</v>
      </c>
      <c r="J208" s="378">
        <f>IF(I208="","", IF(ARBITRAGES!$H208="shib",J207-ARBITRAGES!$K208,J207))</f>
        <v>-0.01945258975</v>
      </c>
      <c r="K208" s="378">
        <f>IF(J208="","", IF(ARBITRAGES!$H208="cake",K207+ARBITRAGES!$K208,K207))</f>
        <v>0</v>
      </c>
      <c r="L208" s="378">
        <f>IF(K208="","", IF(ARBITRAGES!$H208="JUP",L207+ARBITRAGES!$K208,L207))</f>
        <v>0</v>
      </c>
      <c r="M208" s="376">
        <f>IF(L208="","", IF(ARBITRAGES!$H208="aave",M207+ARBITRAGES!$K208,M207))</f>
        <v>7.751038596</v>
      </c>
      <c r="N208" s="378">
        <f>IF(M208="","", IF(ARBITRAGES!$H208="ckb",N207+ARBITRAGES!$K208,N207))</f>
        <v>0</v>
      </c>
      <c r="O208" s="378">
        <f>IF(N208="","", IF(ARBITRAGES!$H208="pendle",O207-ARBITRAGES!$K208+0.1,O207))</f>
        <v>0.001461291462</v>
      </c>
      <c r="P208" s="378">
        <f>IF(O208="","", IF(ARBITRAGES!$H208="BOME",P207+ARBITRAGES!$K208,P207))</f>
        <v>0.02891989199</v>
      </c>
      <c r="Q208" s="378">
        <f>IF(P208="","", IF(ARBITRAGES!$H208="PEPE",Q207+ARBITRAGES!$K208,Q207))</f>
        <v>0.03999999762</v>
      </c>
      <c r="R208" s="378">
        <f>IF(Q208="","", IF(ARBITRAGES!$H208="WIF",R207+ARBITRAGES!$K208,R207))</f>
        <v>0</v>
      </c>
      <c r="S208" s="378">
        <f>IF(R208="","", IF(ARBITRAGES!$H208="RAY",S207+ARBITRAGES!$K208,S207))</f>
        <v>0</v>
      </c>
      <c r="T208" s="360"/>
      <c r="U208" s="360"/>
      <c r="V208" s="360"/>
      <c r="W208" s="360"/>
      <c r="X208" s="360"/>
      <c r="Y208" s="360"/>
      <c r="Z208" s="360"/>
      <c r="AA208" s="360"/>
      <c r="AB208" s="360"/>
      <c r="AC208" s="360"/>
      <c r="AD208" s="360"/>
      <c r="AE208" s="360"/>
      <c r="AF208" s="360"/>
      <c r="AG208" s="360"/>
      <c r="AH208" s="360"/>
    </row>
    <row r="209" ht="18.75" customHeight="1">
      <c r="A209" s="365">
        <f>IF(ARBITRAGES!E209=0,"",ARBITRAGES!E209)</f>
        <v>45980</v>
      </c>
      <c r="B209" s="374">
        <f>IF(A209="","", IF(ARBITRAGES!$H209="BTC",B208+ARBITRAGES!$K209,B208))</f>
        <v>0.2991815582</v>
      </c>
      <c r="C209" s="375">
        <f>IF(B209="","", IF(ARBITRAGES!$H209="eth",C208+ARBITRAGES!$K209,C208))</f>
        <v>2.357326442</v>
      </c>
      <c r="D209" s="376">
        <f>IF(C209="","", IF(ARBITRAGES!$H209="ondo",D208+ARBITRAGES!$K209,D208))</f>
        <v>0.001390269174</v>
      </c>
      <c r="E209" s="376">
        <f>IF(D209="","", IF(ARBITRAGES!$H209="sol",E208+ARBITRAGES!$K209,E208))</f>
        <v>13.0870223</v>
      </c>
      <c r="F209" s="377">
        <f>IF(E209="","", IF(ARBITRAGES!$H209="tao",F208+ARBITRAGES!$K209,F208))</f>
        <v>5.509619964</v>
      </c>
      <c r="G209" s="378">
        <f>IF(F209="","", IF(ARBITRAGES!$H209="ron",G208+ARBITRAGES!$K209,G208))</f>
        <v>0</v>
      </c>
      <c r="H209" s="378">
        <f>IF(G209="","", IF(ARBITRAGES!$H209="link",H208+ARBITRAGES!$K209,H208))</f>
        <v>90.0797</v>
      </c>
      <c r="I209" s="378">
        <f>IF(H209="","", IF(ARBITRAGES!$H209="doge",I208+ARBITRAGES!$K209,I208))</f>
        <v>4928.58</v>
      </c>
      <c r="J209" s="378">
        <f>IF(I209="","", IF(ARBITRAGES!$H209="shib",J208-ARBITRAGES!$K209,J208))</f>
        <v>-0.01945258975</v>
      </c>
      <c r="K209" s="378">
        <f>IF(J209="","", IF(ARBITRAGES!$H209="cake",K208+ARBITRAGES!$K209,K208))</f>
        <v>0</v>
      </c>
      <c r="L209" s="378">
        <f>IF(K209="","", IF(ARBITRAGES!$H209="JUP",L208+ARBITRAGES!$K209,L208))</f>
        <v>0</v>
      </c>
      <c r="M209" s="376">
        <f>IF(L209="","", IF(ARBITRAGES!$H209="aave",M208+ARBITRAGES!$K209,M208))</f>
        <v>7.751038596</v>
      </c>
      <c r="N209" s="378">
        <f>IF(M209="","", IF(ARBITRAGES!$H209="ckb",N208+ARBITRAGES!$K209,N208))</f>
        <v>0</v>
      </c>
      <c r="O209" s="378">
        <f>IF(N209="","", IF(ARBITRAGES!$H209="pendle",O208-ARBITRAGES!$K209+0.1,O208))</f>
        <v>0.001461291462</v>
      </c>
      <c r="P209" s="378">
        <f>IF(O209="","", IF(ARBITRAGES!$H209="BOME",P208+ARBITRAGES!$K209,P208))</f>
        <v>0.02891989199</v>
      </c>
      <c r="Q209" s="378">
        <f>IF(P209="","", IF(ARBITRAGES!$H209="PEPE",Q208+ARBITRAGES!$K209,Q208))</f>
        <v>0.03999999762</v>
      </c>
      <c r="R209" s="378">
        <f>IF(Q209="","", IF(ARBITRAGES!$H209="WIF",R208+ARBITRAGES!$K209,R208))</f>
        <v>0</v>
      </c>
      <c r="S209" s="378">
        <f>IF(R209="","", IF(ARBITRAGES!$H209="RAY",S208+ARBITRAGES!$K209,S208))</f>
        <v>0</v>
      </c>
      <c r="T209" s="360"/>
      <c r="U209" s="360"/>
      <c r="V209" s="360"/>
      <c r="W209" s="360"/>
      <c r="X209" s="360"/>
      <c r="Y209" s="360"/>
      <c r="Z209" s="360"/>
      <c r="AA209" s="360"/>
      <c r="AB209" s="360"/>
      <c r="AC209" s="360"/>
      <c r="AD209" s="360"/>
      <c r="AE209" s="360"/>
      <c r="AF209" s="360"/>
      <c r="AG209" s="360"/>
      <c r="AH209" s="360"/>
    </row>
    <row r="210" ht="18.75" customHeight="1">
      <c r="A210" s="365">
        <f>IF(ARBITRAGES!E210=0,"",ARBITRAGES!E210)</f>
        <v>45981</v>
      </c>
      <c r="B210" s="374">
        <f>IF(A210="","", IF(ARBITRAGES!$H210="BTC",B209+ARBITRAGES!$K210,B209))</f>
        <v>0.3026298341</v>
      </c>
      <c r="C210" s="375">
        <f>IF(B210="","", IF(ARBITRAGES!$H210="eth",C209+ARBITRAGES!$K210,C209))</f>
        <v>2.357326442</v>
      </c>
      <c r="D210" s="376">
        <f>IF(C210="","", IF(ARBITRAGES!$H210="ondo",D209+ARBITRAGES!$K210,D209))</f>
        <v>0.001390269174</v>
      </c>
      <c r="E210" s="376">
        <f>IF(D210="","", IF(ARBITRAGES!$H210="sol",E209+ARBITRAGES!$K210,E209))</f>
        <v>13.0870223</v>
      </c>
      <c r="F210" s="377">
        <f>IF(E210="","", IF(ARBITRAGES!$H210="tao",F209+ARBITRAGES!$K210,F209))</f>
        <v>5.509619964</v>
      </c>
      <c r="G210" s="378">
        <f>IF(F210="","", IF(ARBITRAGES!$H210="ron",G209+ARBITRAGES!$K210,G209))</f>
        <v>0</v>
      </c>
      <c r="H210" s="378">
        <f>IF(G210="","", IF(ARBITRAGES!$H210="link",H209+ARBITRAGES!$K210,H209))</f>
        <v>90.0797</v>
      </c>
      <c r="I210" s="378">
        <f>IF(H210="","", IF(ARBITRAGES!$H210="doge",I209+ARBITRAGES!$K210,I209))</f>
        <v>4928.58</v>
      </c>
      <c r="J210" s="378">
        <f>IF(I210="","", IF(ARBITRAGES!$H210="shib",J209-ARBITRAGES!$K210,J209))</f>
        <v>-0.01945258975</v>
      </c>
      <c r="K210" s="378">
        <f>IF(J210="","", IF(ARBITRAGES!$H210="cake",K209+ARBITRAGES!$K210,K209))</f>
        <v>0</v>
      </c>
      <c r="L210" s="378">
        <f>IF(K210="","", IF(ARBITRAGES!$H210="JUP",L209+ARBITRAGES!$K210,L209))</f>
        <v>0</v>
      </c>
      <c r="M210" s="376">
        <f>IF(L210="","", IF(ARBITRAGES!$H210="aave",M209+ARBITRAGES!$K210,M209))</f>
        <v>7.751038596</v>
      </c>
      <c r="N210" s="378">
        <f>IF(M210="","", IF(ARBITRAGES!$H210="ckb",N209+ARBITRAGES!$K210,N209))</f>
        <v>0</v>
      </c>
      <c r="O210" s="378">
        <f>IF(N210="","", IF(ARBITRAGES!$H210="pendle",O209-ARBITRAGES!$K210+0.1,O209))</f>
        <v>0.001461291462</v>
      </c>
      <c r="P210" s="378">
        <f>IF(O210="","", IF(ARBITRAGES!$H210="BOME",P209+ARBITRAGES!$K210,P209))</f>
        <v>0.02891989199</v>
      </c>
      <c r="Q210" s="378">
        <f>IF(P210="","", IF(ARBITRAGES!$H210="PEPE",Q209+ARBITRAGES!$K210,Q209))</f>
        <v>0.03999999762</v>
      </c>
      <c r="R210" s="378">
        <f>IF(Q210="","", IF(ARBITRAGES!$H210="WIF",R209+ARBITRAGES!$K210,R209))</f>
        <v>0</v>
      </c>
      <c r="S210" s="378">
        <f>IF(R210="","", IF(ARBITRAGES!$H210="RAY",S209+ARBITRAGES!$K210,S209))</f>
        <v>0</v>
      </c>
      <c r="T210" s="360"/>
      <c r="U210" s="360"/>
      <c r="V210" s="360"/>
      <c r="W210" s="360"/>
      <c r="X210" s="360"/>
      <c r="Y210" s="360"/>
      <c r="Z210" s="360"/>
      <c r="AA210" s="360"/>
      <c r="AB210" s="360"/>
      <c r="AC210" s="360"/>
      <c r="AD210" s="360"/>
      <c r="AE210" s="360"/>
      <c r="AF210" s="360"/>
      <c r="AG210" s="360"/>
      <c r="AH210" s="360"/>
    </row>
    <row r="211" ht="18.75" customHeight="1">
      <c r="A211" s="365">
        <f>IF(ARBITRAGES!E211=0,"",ARBITRAGES!E211)</f>
        <v>45981</v>
      </c>
      <c r="B211" s="374">
        <f>IF(A211="","", IF(ARBITRAGES!$H211="BTC",B210+ARBITRAGES!$K211,B210))</f>
        <v>0.3084437875</v>
      </c>
      <c r="C211" s="375">
        <f>IF(B211="","", IF(ARBITRAGES!$H211="eth",C210+ARBITRAGES!$K211,C210))</f>
        <v>2.357326442</v>
      </c>
      <c r="D211" s="376">
        <f>IF(C211="","", IF(ARBITRAGES!$H211="ondo",D210+ARBITRAGES!$K211,D210))</f>
        <v>0.001390269174</v>
      </c>
      <c r="E211" s="376">
        <f>IF(D211="","", IF(ARBITRAGES!$H211="sol",E210+ARBITRAGES!$K211,E210))</f>
        <v>13.0870223</v>
      </c>
      <c r="F211" s="377">
        <f>IF(E211="","", IF(ARBITRAGES!$H211="tao",F210+ARBITRAGES!$K211,F210))</f>
        <v>5.509619964</v>
      </c>
      <c r="G211" s="378">
        <f>IF(F211="","", IF(ARBITRAGES!$H211="ron",G210+ARBITRAGES!$K211,G210))</f>
        <v>0</v>
      </c>
      <c r="H211" s="378">
        <f>IF(G211="","", IF(ARBITRAGES!$H211="link",H210+ARBITRAGES!$K211,H210))</f>
        <v>90.0797</v>
      </c>
      <c r="I211" s="378">
        <f>IF(H211="","", IF(ARBITRAGES!$H211="doge",I210+ARBITRAGES!$K211,I210))</f>
        <v>4928.58</v>
      </c>
      <c r="J211" s="378">
        <f>IF(I211="","", IF(ARBITRAGES!$H211="shib",J210-ARBITRAGES!$K211,J210))</f>
        <v>-0.01945258975</v>
      </c>
      <c r="K211" s="378">
        <f>IF(J211="","", IF(ARBITRAGES!$H211="cake",K210+ARBITRAGES!$K211,K210))</f>
        <v>0</v>
      </c>
      <c r="L211" s="378">
        <f>IF(K211="","", IF(ARBITRAGES!$H211="JUP",L210+ARBITRAGES!$K211,L210))</f>
        <v>0</v>
      </c>
      <c r="M211" s="376">
        <f>IF(L211="","", IF(ARBITRAGES!$H211="aave",M210+ARBITRAGES!$K211,M210))</f>
        <v>7.751038596</v>
      </c>
      <c r="N211" s="378">
        <f>IF(M211="","", IF(ARBITRAGES!$H211="ckb",N210+ARBITRAGES!$K211,N210))</f>
        <v>0</v>
      </c>
      <c r="O211" s="378">
        <f>IF(N211="","", IF(ARBITRAGES!$H211="pendle",O210-ARBITRAGES!$K211+0.1,O210))</f>
        <v>0.001461291462</v>
      </c>
      <c r="P211" s="378">
        <f>IF(O211="","", IF(ARBITRAGES!$H211="BOME",P210+ARBITRAGES!$K211,P210))</f>
        <v>0.02891989199</v>
      </c>
      <c r="Q211" s="378">
        <f>IF(P211="","", IF(ARBITRAGES!$H211="PEPE",Q210+ARBITRAGES!$K211,Q210))</f>
        <v>0.03999999762</v>
      </c>
      <c r="R211" s="378">
        <f>IF(Q211="","", IF(ARBITRAGES!$H211="WIF",R210+ARBITRAGES!$K211,R210))</f>
        <v>0</v>
      </c>
      <c r="S211" s="378">
        <f>IF(R211="","", IF(ARBITRAGES!$H211="RAY",S210+ARBITRAGES!$K211,S210))</f>
        <v>0</v>
      </c>
      <c r="T211" s="360"/>
      <c r="U211" s="360"/>
      <c r="V211" s="360"/>
      <c r="W211" s="360"/>
      <c r="X211" s="360"/>
      <c r="Y211" s="360"/>
      <c r="Z211" s="360"/>
      <c r="AA211" s="360"/>
      <c r="AB211" s="360"/>
      <c r="AC211" s="360"/>
      <c r="AD211" s="360"/>
      <c r="AE211" s="360"/>
      <c r="AF211" s="360"/>
      <c r="AG211" s="360"/>
      <c r="AH211" s="360"/>
    </row>
    <row r="212" ht="18.75" customHeight="1">
      <c r="A212" s="365">
        <f>IF(ARBITRAGES!E212=0,"",ARBITRAGES!E212)</f>
        <v>45981</v>
      </c>
      <c r="B212" s="375">
        <f>IF(A212="","", IF(ARBITRAGES!$H212="BTC",B211+ARBITRAGES!$K212,B211))</f>
        <v>0.3084437875</v>
      </c>
      <c r="C212" s="375">
        <f>IF(B212="","", IF(ARBITRAGES!$H212="eth",C211+ARBITRAGES!$K212,C211))</f>
        <v>2.357326442</v>
      </c>
      <c r="D212" s="376">
        <f>IF(C212="","", IF(ARBITRAGES!$H212="ondo",D211+ARBITRAGES!$K212,D211))</f>
        <v>0.001390269174</v>
      </c>
      <c r="E212" s="383">
        <f>IF(D212="","", IF(ARBITRAGES!$H212="sol",E211+ARBITRAGES!$K212,E211))</f>
        <v>14.0870223</v>
      </c>
      <c r="F212" s="377">
        <f>IF(E212="","", IF(ARBITRAGES!$H212="tao",F211+ARBITRAGES!$K212,F211))</f>
        <v>5.509619964</v>
      </c>
      <c r="G212" s="378">
        <f>IF(F212="","", IF(ARBITRAGES!$H212="ron",G211+ARBITRAGES!$K212,G211))</f>
        <v>0</v>
      </c>
      <c r="H212" s="378">
        <f>IF(G212="","", IF(ARBITRAGES!$H212="link",H211+ARBITRAGES!$K212,H211))</f>
        <v>90.0797</v>
      </c>
      <c r="I212" s="378">
        <f>IF(H212="","", IF(ARBITRAGES!$H212="doge",I211+ARBITRAGES!$K212,I211))</f>
        <v>4928.58</v>
      </c>
      <c r="J212" s="378">
        <f>IF(I212="","", IF(ARBITRAGES!$H212="shib",J211-ARBITRAGES!$K212,J211))</f>
        <v>-0.01945258975</v>
      </c>
      <c r="K212" s="378">
        <f>IF(J212="","", IF(ARBITRAGES!$H212="cake",K211+ARBITRAGES!$K212,K211))</f>
        <v>0</v>
      </c>
      <c r="L212" s="378">
        <f>IF(K212="","", IF(ARBITRAGES!$H212="JUP",L211+ARBITRAGES!$K212,L211))</f>
        <v>0</v>
      </c>
      <c r="M212" s="376">
        <f>IF(L212="","", IF(ARBITRAGES!$H212="aave",M211+ARBITRAGES!$K212,M211))</f>
        <v>7.751038596</v>
      </c>
      <c r="N212" s="378">
        <f>IF(M212="","", IF(ARBITRAGES!$H212="ckb",N211+ARBITRAGES!$K212,N211))</f>
        <v>0</v>
      </c>
      <c r="O212" s="378">
        <f>IF(N212="","", IF(ARBITRAGES!$H212="pendle",O211-ARBITRAGES!$K212+0.1,O211))</f>
        <v>0.001461291462</v>
      </c>
      <c r="P212" s="378">
        <f>IF(O212="","", IF(ARBITRAGES!$H212="BOME",P211+ARBITRAGES!$K212,P211))</f>
        <v>0.02891989199</v>
      </c>
      <c r="Q212" s="378">
        <f>IF(P212="","", IF(ARBITRAGES!$H212="PEPE",Q211+ARBITRAGES!$K212,Q211))</f>
        <v>0.03999999762</v>
      </c>
      <c r="R212" s="378">
        <f>IF(Q212="","", IF(ARBITRAGES!$H212="WIF",R211+ARBITRAGES!$K212,R211))</f>
        <v>0</v>
      </c>
      <c r="S212" s="378">
        <f>IF(R212="","", IF(ARBITRAGES!$H212="RAY",S211+ARBITRAGES!$K212,S211))</f>
        <v>0</v>
      </c>
      <c r="T212" s="360"/>
      <c r="U212" s="360"/>
      <c r="V212" s="360"/>
      <c r="W212" s="360"/>
      <c r="X212" s="360"/>
      <c r="Y212" s="360"/>
      <c r="Z212" s="360"/>
      <c r="AA212" s="360"/>
      <c r="AB212" s="360"/>
      <c r="AC212" s="360"/>
      <c r="AD212" s="360"/>
      <c r="AE212" s="360"/>
      <c r="AF212" s="360"/>
      <c r="AG212" s="360"/>
      <c r="AH212" s="360"/>
    </row>
    <row r="213" ht="18.75" customHeight="1">
      <c r="A213" s="365">
        <f>IF(ARBITRAGES!E213=0,"",ARBITRAGES!E213)</f>
        <v>45981</v>
      </c>
      <c r="B213" s="374">
        <f>IF(A213="","", IF(ARBITRAGES!$H213="BTC",B212+ARBITRAGES!$K213,B212))</f>
        <v>0.3116321933</v>
      </c>
      <c r="C213" s="375">
        <f>IF(B213="","", IF(ARBITRAGES!$H213="eth",C212+ARBITRAGES!$K213,C212))</f>
        <v>2.357326442</v>
      </c>
      <c r="D213" s="376">
        <f>IF(C213="","", IF(ARBITRAGES!$H213="ondo",D212+ARBITRAGES!$K213,D212))</f>
        <v>0.001390269174</v>
      </c>
      <c r="E213" s="376">
        <f>IF(D213="","", IF(ARBITRAGES!$H213="sol",E212+ARBITRAGES!$K213,E212))</f>
        <v>14.0870223</v>
      </c>
      <c r="F213" s="377">
        <f>IF(E213="","", IF(ARBITRAGES!$H213="tao",F212+ARBITRAGES!$K213,F212))</f>
        <v>5.509619964</v>
      </c>
      <c r="G213" s="378">
        <f>IF(F213="","", IF(ARBITRAGES!$H213="ron",G212+ARBITRAGES!$K213,G212))</f>
        <v>0</v>
      </c>
      <c r="H213" s="378">
        <f>IF(G213="","", IF(ARBITRAGES!$H213="link",H212+ARBITRAGES!$K213,H212))</f>
        <v>90.0797</v>
      </c>
      <c r="I213" s="378">
        <f>IF(H213="","", IF(ARBITRAGES!$H213="doge",I212+ARBITRAGES!$K213,I212))</f>
        <v>4928.58</v>
      </c>
      <c r="J213" s="378">
        <f>IF(I213="","", IF(ARBITRAGES!$H213="shib",J212-ARBITRAGES!$K213,J212))</f>
        <v>-0.01945258975</v>
      </c>
      <c r="K213" s="378">
        <f>IF(J213="","", IF(ARBITRAGES!$H213="cake",K212+ARBITRAGES!$K213,K212))</f>
        <v>0</v>
      </c>
      <c r="L213" s="378">
        <f>IF(K213="","", IF(ARBITRAGES!$H213="JUP",L212+ARBITRAGES!$K213,L212))</f>
        <v>0</v>
      </c>
      <c r="M213" s="376">
        <f>IF(L213="","", IF(ARBITRAGES!$H213="aave",M212+ARBITRAGES!$K213,M212))</f>
        <v>7.751038596</v>
      </c>
      <c r="N213" s="378">
        <f>IF(M213="","", IF(ARBITRAGES!$H213="ckb",N212+ARBITRAGES!$K213,N212))</f>
        <v>0</v>
      </c>
      <c r="O213" s="378">
        <f>IF(N213="","", IF(ARBITRAGES!$H213="pendle",O212-ARBITRAGES!$K213+0.1,O212))</f>
        <v>0.001461291462</v>
      </c>
      <c r="P213" s="378">
        <f>IF(O213="","", IF(ARBITRAGES!$H213="BOME",P212+ARBITRAGES!$K213,P212))</f>
        <v>0.02891989199</v>
      </c>
      <c r="Q213" s="378">
        <f>IF(P213="","", IF(ARBITRAGES!$H213="PEPE",Q212+ARBITRAGES!$K213,Q212))</f>
        <v>0.03999999762</v>
      </c>
      <c r="R213" s="378">
        <f>IF(Q213="","", IF(ARBITRAGES!$H213="WIF",R212+ARBITRAGES!$K213,R212))</f>
        <v>0</v>
      </c>
      <c r="S213" s="378">
        <f>IF(R213="","", IF(ARBITRAGES!$H213="RAY",S212+ARBITRAGES!$K213,S212))</f>
        <v>0</v>
      </c>
      <c r="T213" s="360"/>
      <c r="U213" s="360"/>
      <c r="V213" s="360"/>
      <c r="W213" s="360"/>
      <c r="X213" s="360"/>
      <c r="Y213" s="360"/>
      <c r="Z213" s="360"/>
      <c r="AA213" s="360"/>
      <c r="AB213" s="360"/>
      <c r="AC213" s="360"/>
      <c r="AD213" s="360"/>
      <c r="AE213" s="360"/>
      <c r="AF213" s="360"/>
      <c r="AG213" s="360"/>
      <c r="AH213" s="360"/>
    </row>
    <row r="214" ht="18.75" customHeight="1">
      <c r="A214" s="365">
        <f>IF(ARBITRAGES!E214=0,"",ARBITRAGES!E214)</f>
        <v>45981</v>
      </c>
      <c r="B214" s="374">
        <f>IF(A214="","", IF(ARBITRAGES!$H214="BTC",B213+ARBITRAGES!$K214,B213))</f>
        <v>0.3128297981</v>
      </c>
      <c r="C214" s="375">
        <f>IF(B214="","", IF(ARBITRAGES!$H214="eth",C213+ARBITRAGES!$K214,C213))</f>
        <v>2.357326442</v>
      </c>
      <c r="D214" s="376">
        <f>IF(C214="","", IF(ARBITRAGES!$H214="ondo",D213+ARBITRAGES!$K214,D213))</f>
        <v>0.001390269174</v>
      </c>
      <c r="E214" s="376">
        <f>IF(D214="","", IF(ARBITRAGES!$H214="sol",E213+ARBITRAGES!$K214,E213))</f>
        <v>14.0870223</v>
      </c>
      <c r="F214" s="377">
        <f>IF(E214="","", IF(ARBITRAGES!$H214="tao",F213+ARBITRAGES!$K214,F213))</f>
        <v>5.509619964</v>
      </c>
      <c r="G214" s="378">
        <f>IF(F214="","", IF(ARBITRAGES!$H214="ron",G213+ARBITRAGES!$K214,G213))</f>
        <v>0</v>
      </c>
      <c r="H214" s="378">
        <f>IF(G214="","", IF(ARBITRAGES!$H214="link",H213+ARBITRAGES!$K214,H213))</f>
        <v>90.0797</v>
      </c>
      <c r="I214" s="378">
        <f>IF(H214="","", IF(ARBITRAGES!$H214="doge",I213+ARBITRAGES!$K214,I213))</f>
        <v>4928.58</v>
      </c>
      <c r="J214" s="378">
        <f>IF(I214="","", IF(ARBITRAGES!$H214="shib",J213-ARBITRAGES!$K214,J213))</f>
        <v>-0.01945258975</v>
      </c>
      <c r="K214" s="378">
        <f>IF(J214="","", IF(ARBITRAGES!$H214="cake",K213+ARBITRAGES!$K214,K213))</f>
        <v>0</v>
      </c>
      <c r="L214" s="378">
        <f>IF(K214="","", IF(ARBITRAGES!$H214="JUP",L213+ARBITRAGES!$K214,L213))</f>
        <v>0</v>
      </c>
      <c r="M214" s="376">
        <f>IF(L214="","", IF(ARBITRAGES!$H214="aave",M213+ARBITRAGES!$K214,M213))</f>
        <v>7.751038596</v>
      </c>
      <c r="N214" s="378">
        <f>IF(M214="","", IF(ARBITRAGES!$H214="ckb",N213+ARBITRAGES!$K214,N213))</f>
        <v>0</v>
      </c>
      <c r="O214" s="378">
        <f>IF(N214="","", IF(ARBITRAGES!$H214="pendle",O213-ARBITRAGES!$K214+0.1,O213))</f>
        <v>0.001461291462</v>
      </c>
      <c r="P214" s="378">
        <f>IF(O214="","", IF(ARBITRAGES!$H214="BOME",P213+ARBITRAGES!$K214,P213))</f>
        <v>0.02891989199</v>
      </c>
      <c r="Q214" s="378">
        <f>IF(P214="","", IF(ARBITRAGES!$H214="PEPE",Q213+ARBITRAGES!$K214,Q213))</f>
        <v>0.03999999762</v>
      </c>
      <c r="R214" s="378">
        <f>IF(Q214="","", IF(ARBITRAGES!$H214="WIF",R213+ARBITRAGES!$K214,R213))</f>
        <v>0</v>
      </c>
      <c r="S214" s="378">
        <f>IF(R214="","", IF(ARBITRAGES!$H214="RAY",S213+ARBITRAGES!$K214,S213))</f>
        <v>0</v>
      </c>
      <c r="T214" s="360"/>
      <c r="U214" s="360"/>
      <c r="V214" s="360"/>
      <c r="W214" s="360"/>
      <c r="X214" s="360"/>
      <c r="Y214" s="360"/>
      <c r="Z214" s="360"/>
      <c r="AA214" s="360"/>
      <c r="AB214" s="360"/>
      <c r="AC214" s="360"/>
      <c r="AD214" s="360"/>
      <c r="AE214" s="360"/>
      <c r="AF214" s="360"/>
      <c r="AG214" s="360"/>
      <c r="AH214" s="360"/>
    </row>
    <row r="215" ht="18.75" customHeight="1">
      <c r="A215" s="365">
        <f>IF(ARBITRAGES!E215=0,"",ARBITRAGES!E215)</f>
        <v>45981</v>
      </c>
      <c r="B215" s="374">
        <f>IF(A215="","", IF(ARBITRAGES!$H215="BTC",B214+ARBITRAGES!$K215,B214))</f>
        <v>0.3158418463</v>
      </c>
      <c r="C215" s="375">
        <f>IF(B215="","", IF(ARBITRAGES!$H215="eth",C214+ARBITRAGES!$K215,C214))</f>
        <v>2.357326442</v>
      </c>
      <c r="D215" s="376">
        <f>IF(C215="","", IF(ARBITRAGES!$H215="ondo",D214+ARBITRAGES!$K215,D214))</f>
        <v>0.001390269174</v>
      </c>
      <c r="E215" s="376">
        <f>IF(D215="","", IF(ARBITRAGES!$H215="sol",E214+ARBITRAGES!$K215,E214))</f>
        <v>14.0870223</v>
      </c>
      <c r="F215" s="377">
        <f>IF(E215="","", IF(ARBITRAGES!$H215="tao",F214+ARBITRAGES!$K215,F214))</f>
        <v>5.509619964</v>
      </c>
      <c r="G215" s="378">
        <f>IF(F215="","", IF(ARBITRAGES!$H215="ron",G214+ARBITRAGES!$K215,G214))</f>
        <v>0</v>
      </c>
      <c r="H215" s="378">
        <f>IF(G215="","", IF(ARBITRAGES!$H215="link",H214+ARBITRAGES!$K215,H214))</f>
        <v>90.0797</v>
      </c>
      <c r="I215" s="378">
        <f>IF(H215="","", IF(ARBITRAGES!$H215="doge",I214+ARBITRAGES!$K215,I214))</f>
        <v>4928.58</v>
      </c>
      <c r="J215" s="378">
        <f>IF(I215="","", IF(ARBITRAGES!$H215="shib",J214-ARBITRAGES!$K215,J214))</f>
        <v>-0.01945258975</v>
      </c>
      <c r="K215" s="378">
        <f>IF(J215="","", IF(ARBITRAGES!$H215="cake",K214+ARBITRAGES!$K215,K214))</f>
        <v>0</v>
      </c>
      <c r="L215" s="378">
        <f>IF(K215="","", IF(ARBITRAGES!$H215="JUP",L214+ARBITRAGES!$K215,L214))</f>
        <v>0</v>
      </c>
      <c r="M215" s="376">
        <f>IF(L215="","", IF(ARBITRAGES!$H215="aave",M214+ARBITRAGES!$K215,M214))</f>
        <v>7.751038596</v>
      </c>
      <c r="N215" s="378">
        <f>IF(M215="","", IF(ARBITRAGES!$H215="ckb",N214+ARBITRAGES!$K215,N214))</f>
        <v>0</v>
      </c>
      <c r="O215" s="378">
        <f>IF(N215="","", IF(ARBITRAGES!$H215="pendle",O214-ARBITRAGES!$K215+0.1,O214))</f>
        <v>0.001461291462</v>
      </c>
      <c r="P215" s="378">
        <f>IF(O215="","", IF(ARBITRAGES!$H215="BOME",P214+ARBITRAGES!$K215,P214))</f>
        <v>0.02891989199</v>
      </c>
      <c r="Q215" s="378">
        <f>IF(P215="","", IF(ARBITRAGES!$H215="PEPE",Q214+ARBITRAGES!$K215,Q214))</f>
        <v>0.03999999762</v>
      </c>
      <c r="R215" s="378">
        <f>IF(Q215="","", IF(ARBITRAGES!$H215="WIF",R214+ARBITRAGES!$K215,R214))</f>
        <v>0</v>
      </c>
      <c r="S215" s="378">
        <f>IF(R215="","", IF(ARBITRAGES!$H215="RAY",S214+ARBITRAGES!$K215,S214))</f>
        <v>0</v>
      </c>
      <c r="T215" s="360"/>
      <c r="U215" s="360"/>
      <c r="V215" s="360"/>
      <c r="W215" s="360"/>
      <c r="X215" s="360"/>
      <c r="Y215" s="360"/>
      <c r="Z215" s="360"/>
      <c r="AA215" s="360"/>
      <c r="AB215" s="360"/>
      <c r="AC215" s="360"/>
      <c r="AD215" s="360"/>
      <c r="AE215" s="360"/>
      <c r="AF215" s="360"/>
      <c r="AG215" s="360"/>
      <c r="AH215" s="360"/>
    </row>
    <row r="216" ht="18.75" customHeight="1">
      <c r="A216" s="365">
        <f>IF(ARBITRAGES!E216=0,"",ARBITRAGES!E216)</f>
        <v>45981</v>
      </c>
      <c r="B216" s="374">
        <f>IF(A216="","", IF(ARBITRAGES!$H216="BTC",B215+ARBITRAGES!$K216,B215))</f>
        <v>0.3176534405</v>
      </c>
      <c r="C216" s="375">
        <f>IF(B216="","", IF(ARBITRAGES!$H216="eth",C215+ARBITRAGES!$K216,C215))</f>
        <v>2.357326442</v>
      </c>
      <c r="D216" s="376">
        <f>IF(C216="","", IF(ARBITRAGES!$H216="ondo",D215+ARBITRAGES!$K216,D215))</f>
        <v>0.001390269174</v>
      </c>
      <c r="E216" s="376">
        <f>IF(D216="","", IF(ARBITRAGES!$H216="sol",E215+ARBITRAGES!$K216,E215))</f>
        <v>14.0870223</v>
      </c>
      <c r="F216" s="377">
        <f>IF(E216="","", IF(ARBITRAGES!$H216="tao",F215+ARBITRAGES!$K216,F215))</f>
        <v>5.509619964</v>
      </c>
      <c r="G216" s="378">
        <f>IF(F216="","", IF(ARBITRAGES!$H216="ron",G215+ARBITRAGES!$K216,G215))</f>
        <v>0</v>
      </c>
      <c r="H216" s="378">
        <f>IF(G216="","", IF(ARBITRAGES!$H216="link",H215+ARBITRAGES!$K216,H215))</f>
        <v>90.0797</v>
      </c>
      <c r="I216" s="378">
        <f>IF(H216="","", IF(ARBITRAGES!$H216="doge",I215+ARBITRAGES!$K216,I215))</f>
        <v>4928.58</v>
      </c>
      <c r="J216" s="378">
        <f>IF(I216="","", IF(ARBITRAGES!$H216="shib",J215-ARBITRAGES!$K216,J215))</f>
        <v>-0.01945258975</v>
      </c>
      <c r="K216" s="378">
        <f>IF(J216="","", IF(ARBITRAGES!$H216="cake",K215+ARBITRAGES!$K216,K215))</f>
        <v>0</v>
      </c>
      <c r="L216" s="378">
        <f>IF(K216="","", IF(ARBITRAGES!$H216="JUP",L215+ARBITRAGES!$K216,L215))</f>
        <v>0</v>
      </c>
      <c r="M216" s="376">
        <f>IF(L216="","", IF(ARBITRAGES!$H216="aave",M215+ARBITRAGES!$K216,M215))</f>
        <v>7.751038596</v>
      </c>
      <c r="N216" s="378">
        <f>IF(M216="","", IF(ARBITRAGES!$H216="ckb",N215+ARBITRAGES!$K216,N215))</f>
        <v>0</v>
      </c>
      <c r="O216" s="378">
        <f>IF(N216="","", IF(ARBITRAGES!$H216="pendle",O215-ARBITRAGES!$K216+0.1,O215))</f>
        <v>0.001461291462</v>
      </c>
      <c r="P216" s="378">
        <f>IF(O216="","", IF(ARBITRAGES!$H216="BOME",P215+ARBITRAGES!$K216,P215))</f>
        <v>0.02891989199</v>
      </c>
      <c r="Q216" s="378">
        <f>IF(P216="","", IF(ARBITRAGES!$H216="PEPE",Q215+ARBITRAGES!$K216,Q215))</f>
        <v>0.03999999762</v>
      </c>
      <c r="R216" s="378">
        <f>IF(Q216="","", IF(ARBITRAGES!$H216="WIF",R215+ARBITRAGES!$K216,R215))</f>
        <v>0</v>
      </c>
      <c r="S216" s="378">
        <f>IF(R216="","", IF(ARBITRAGES!$H216="RAY",S215+ARBITRAGES!$K216,S215))</f>
        <v>0</v>
      </c>
      <c r="T216" s="360"/>
      <c r="U216" s="360"/>
      <c r="V216" s="360"/>
      <c r="W216" s="360"/>
      <c r="X216" s="360"/>
      <c r="Y216" s="360"/>
      <c r="Z216" s="360"/>
      <c r="AA216" s="360"/>
      <c r="AB216" s="360"/>
      <c r="AC216" s="360"/>
      <c r="AD216" s="360"/>
      <c r="AE216" s="360"/>
      <c r="AF216" s="360"/>
      <c r="AG216" s="360"/>
      <c r="AH216" s="360"/>
    </row>
    <row r="217" ht="18.75" customHeight="1">
      <c r="A217" s="365">
        <f>IF(ARBITRAGES!E217=0,"",ARBITRAGES!E217)</f>
        <v>45982</v>
      </c>
      <c r="B217" s="375">
        <f>IF(A217="","", IF(ARBITRAGES!$H217="BTC",B216+ARBITRAGES!$K217,B216))</f>
        <v>0.3176534405</v>
      </c>
      <c r="C217" s="374">
        <f>IF(B217="","", IF(ARBITRAGES!$H217="eth",C216+ARBITRAGES!$K217,C216))</f>
        <v>2.393040727</v>
      </c>
      <c r="D217" s="376">
        <f>IF(C217="","", IF(ARBITRAGES!$H217="ondo",D216+ARBITRAGES!$K217,D216))</f>
        <v>0.001390269174</v>
      </c>
      <c r="E217" s="376">
        <f>IF(D217="","", IF(ARBITRAGES!$H217="sol",E216+ARBITRAGES!$K217,E216))</f>
        <v>14.0870223</v>
      </c>
      <c r="F217" s="377">
        <f>IF(E217="","", IF(ARBITRAGES!$H217="tao",F216+ARBITRAGES!$K217,F216))</f>
        <v>5.509619964</v>
      </c>
      <c r="G217" s="378">
        <f>IF(F217="","", IF(ARBITRAGES!$H217="ron",G216+ARBITRAGES!$K217,G216))</f>
        <v>0</v>
      </c>
      <c r="H217" s="378">
        <f>IF(G217="","", IF(ARBITRAGES!$H217="link",H216+ARBITRAGES!$K217,H216))</f>
        <v>90.0797</v>
      </c>
      <c r="I217" s="378">
        <f>IF(H217="","", IF(ARBITRAGES!$H217="doge",I216+ARBITRAGES!$K217,I216))</f>
        <v>4928.58</v>
      </c>
      <c r="J217" s="378">
        <f>IF(I217="","", IF(ARBITRAGES!$H217="shib",J216-ARBITRAGES!$K217,J216))</f>
        <v>-0.01945258975</v>
      </c>
      <c r="K217" s="378">
        <f>IF(J217="","", IF(ARBITRAGES!$H217="cake",K216+ARBITRAGES!$K217,K216))</f>
        <v>0</v>
      </c>
      <c r="L217" s="378">
        <f>IF(K217="","", IF(ARBITRAGES!$H217="JUP",L216+ARBITRAGES!$K217,L216))</f>
        <v>0</v>
      </c>
      <c r="M217" s="376">
        <f>IF(L217="","", IF(ARBITRAGES!$H217="aave",M216+ARBITRAGES!$K217,M216))</f>
        <v>7.751038596</v>
      </c>
      <c r="N217" s="378">
        <f>IF(M217="","", IF(ARBITRAGES!$H217="ckb",N216+ARBITRAGES!$K217,N216))</f>
        <v>0</v>
      </c>
      <c r="O217" s="378">
        <f>IF(N217="","", IF(ARBITRAGES!$H217="pendle",O216-ARBITRAGES!$K217+0.1,O216))</f>
        <v>0.001461291462</v>
      </c>
      <c r="P217" s="378">
        <f>IF(O217="","", IF(ARBITRAGES!$H217="BOME",P216+ARBITRAGES!$K217,P216))</f>
        <v>0.02891989199</v>
      </c>
      <c r="Q217" s="378">
        <f>IF(P217="","", IF(ARBITRAGES!$H217="PEPE",Q216+ARBITRAGES!$K217,Q216))</f>
        <v>0.03999999762</v>
      </c>
      <c r="R217" s="378">
        <f>IF(Q217="","", IF(ARBITRAGES!$H217="WIF",R216+ARBITRAGES!$K217,R216))</f>
        <v>0</v>
      </c>
      <c r="S217" s="378">
        <f>IF(R217="","", IF(ARBITRAGES!$H217="RAY",S216+ARBITRAGES!$K217,S216))</f>
        <v>0</v>
      </c>
      <c r="T217" s="360"/>
      <c r="U217" s="360"/>
      <c r="V217" s="360"/>
      <c r="W217" s="360"/>
      <c r="X217" s="360"/>
      <c r="Y217" s="360"/>
      <c r="Z217" s="360"/>
      <c r="AA217" s="360"/>
      <c r="AB217" s="360"/>
      <c r="AC217" s="360"/>
      <c r="AD217" s="360"/>
      <c r="AE217" s="360"/>
      <c r="AF217" s="360"/>
      <c r="AG217" s="360"/>
      <c r="AH217" s="360"/>
    </row>
    <row r="218" ht="18.75" customHeight="1">
      <c r="A218" s="365">
        <f>IF(ARBITRAGES!E218=0,"",ARBITRAGES!E218)</f>
        <v>45988</v>
      </c>
      <c r="B218" s="375">
        <f>IF(A218="","", IF(ARBITRAGES!$H218="BTC",B217+ARBITRAGES!$K218,B217))</f>
        <v>0.3176534405</v>
      </c>
      <c r="C218" s="375">
        <f>IF(B218="","", IF(ARBITRAGES!$H218="eth",C217+ARBITRAGES!$K218,C217))</f>
        <v>2.393040727</v>
      </c>
      <c r="D218" s="376">
        <f>IF(C218="","", IF(ARBITRAGES!$H218="ondo",D217+ARBITRAGES!$K218,D217))</f>
        <v>0.001390269174</v>
      </c>
      <c r="E218" s="376">
        <f>IF(D218="","", IF(ARBITRAGES!$H218="sol",E217+ARBITRAGES!$K218,E217))</f>
        <v>14.0870223</v>
      </c>
      <c r="F218" s="391">
        <f>IF(E218="","", IF(ARBITRAGES!$H218="tao",F217-ARBITRAGES!$K218,F217))</f>
        <v>4.999572074</v>
      </c>
      <c r="G218" s="378">
        <f>IF(F218="","", IF(ARBITRAGES!$H218="ron",G217+ARBITRAGES!$K218,G217))</f>
        <v>0</v>
      </c>
      <c r="H218" s="378">
        <f>IF(G218="","", IF(ARBITRAGES!$H218="link",H217+ARBITRAGES!$K218,H217))</f>
        <v>90.0797</v>
      </c>
      <c r="I218" s="378">
        <f>IF(H218="","", IF(ARBITRAGES!$H218="doge",I217+ARBITRAGES!$K218,I217))</f>
        <v>4928.58</v>
      </c>
      <c r="J218" s="378">
        <f>IF(I218="","", IF(ARBITRAGES!$H218="shib",J217-ARBITRAGES!$K218,J217))</f>
        <v>-0.01945258975</v>
      </c>
      <c r="K218" s="378">
        <f>IF(J218="","", IF(ARBITRAGES!$H218="cake",K217+ARBITRAGES!$K218,K217))</f>
        <v>0</v>
      </c>
      <c r="L218" s="378">
        <f>IF(K218="","", IF(ARBITRAGES!$H218="JUP",L217+ARBITRAGES!$K218,L217))</f>
        <v>0</v>
      </c>
      <c r="M218" s="376">
        <f>IF(L218="","", IF(ARBITRAGES!$H218="aave",M217+ARBITRAGES!$K218,M217))</f>
        <v>7.751038596</v>
      </c>
      <c r="N218" s="378">
        <f>IF(M218="","", IF(ARBITRAGES!$H218="ckb",N217+ARBITRAGES!$K218,N217))</f>
        <v>0</v>
      </c>
      <c r="O218" s="378">
        <f>IF(N218="","", IF(ARBITRAGES!$H218="pendle",O217-ARBITRAGES!$K218+0.1,O217))</f>
        <v>0.001461291462</v>
      </c>
      <c r="P218" s="378">
        <f>IF(O218="","", IF(ARBITRAGES!$H218="BOME",P217+ARBITRAGES!$K218,P217))</f>
        <v>0.02891989199</v>
      </c>
      <c r="Q218" s="378">
        <f>IF(P218="","", IF(ARBITRAGES!$H218="PEPE",Q217+ARBITRAGES!$K218,Q217))</f>
        <v>0.03999999762</v>
      </c>
      <c r="R218" s="378">
        <f>IF(Q218="","", IF(ARBITRAGES!$H218="WIF",R217+ARBITRAGES!$K218,R217))</f>
        <v>0</v>
      </c>
      <c r="S218" s="378">
        <f>IF(R218="","", IF(ARBITRAGES!$H218="RAY",S217+ARBITRAGES!$K218,S217))</f>
        <v>0</v>
      </c>
      <c r="T218" s="360"/>
      <c r="U218" s="360"/>
      <c r="V218" s="360"/>
      <c r="W218" s="360"/>
      <c r="X218" s="360"/>
      <c r="Y218" s="360"/>
      <c r="Z218" s="360"/>
      <c r="AA218" s="360"/>
      <c r="AB218" s="360"/>
      <c r="AC218" s="360"/>
      <c r="AD218" s="360"/>
      <c r="AE218" s="360"/>
      <c r="AF218" s="360"/>
      <c r="AG218" s="360"/>
      <c r="AH218" s="360"/>
    </row>
    <row r="219" ht="18.75" customHeight="1">
      <c r="A219" s="365">
        <f>IF(ARBITRAGES!E219=0,"",ARBITRAGES!E219)</f>
        <v>45988</v>
      </c>
      <c r="B219" s="393">
        <f>IF(A219="","", IF(ARBITRAGES!$H219="BTC",B218-ARBITRAGES!$K219,B218))</f>
        <v>0.3156534405</v>
      </c>
      <c r="C219" s="375">
        <f>IF(B219="","", IF(ARBITRAGES!$H219="eth",C218+ARBITRAGES!$K219,C218))</f>
        <v>2.393040727</v>
      </c>
      <c r="D219" s="376">
        <f>IF(C219="","", IF(ARBITRAGES!$H219="ondo",D218+ARBITRAGES!$K219,D218))</f>
        <v>0.001390269174</v>
      </c>
      <c r="E219" s="376">
        <f>IF(D219="","", IF(ARBITRAGES!$H219="sol",E218+ARBITRAGES!$K219,E218))</f>
        <v>14.0870223</v>
      </c>
      <c r="F219" s="377">
        <f>IF(E219="","", IF(ARBITRAGES!$H219="tao",F218+ARBITRAGES!$K219,F218))</f>
        <v>4.999572074</v>
      </c>
      <c r="G219" s="378">
        <f>IF(F219="","", IF(ARBITRAGES!$H219="ron",G218+ARBITRAGES!$K219,G218))</f>
        <v>0</v>
      </c>
      <c r="H219" s="378">
        <f>IF(G219="","", IF(ARBITRAGES!$H219="link",H218+ARBITRAGES!$K219,H218))</f>
        <v>90.0797</v>
      </c>
      <c r="I219" s="378">
        <f>IF(H219="","", IF(ARBITRAGES!$H219="doge",I218+ARBITRAGES!$K219,I218))</f>
        <v>4928.58</v>
      </c>
      <c r="J219" s="378">
        <f>IF(I219="","", IF(ARBITRAGES!$H219="shib",J218-ARBITRAGES!$K219,J218))</f>
        <v>-0.01945258975</v>
      </c>
      <c r="K219" s="378">
        <f>IF(J219="","", IF(ARBITRAGES!$H219="cake",K218+ARBITRAGES!$K219,K218))</f>
        <v>0</v>
      </c>
      <c r="L219" s="378">
        <f>IF(K219="","", IF(ARBITRAGES!$H219="JUP",L218+ARBITRAGES!$K219,L218))</f>
        <v>0</v>
      </c>
      <c r="M219" s="376">
        <f>IF(L219="","", IF(ARBITRAGES!$H219="aave",M218+ARBITRAGES!$K219,M218))</f>
        <v>7.751038596</v>
      </c>
      <c r="N219" s="378">
        <f>IF(M219="","", IF(ARBITRAGES!$H219="ckb",N218+ARBITRAGES!$K219,N218))</f>
        <v>0</v>
      </c>
      <c r="O219" s="378">
        <f>IF(N219="","", IF(ARBITRAGES!$H219="pendle",O218-ARBITRAGES!$K219+0.1,O218))</f>
        <v>0.001461291462</v>
      </c>
      <c r="P219" s="378">
        <f>IF(O219="","", IF(ARBITRAGES!$H219="BOME",P218+ARBITRAGES!$K219,P218))</f>
        <v>0.02891989199</v>
      </c>
      <c r="Q219" s="378">
        <f>IF(P219="","", IF(ARBITRAGES!$H219="PEPE",Q218+ARBITRAGES!$K219,Q218))</f>
        <v>0.03999999762</v>
      </c>
      <c r="R219" s="378">
        <f>IF(Q219="","", IF(ARBITRAGES!$H219="WIF",R218+ARBITRAGES!$K219,R218))</f>
        <v>0</v>
      </c>
      <c r="S219" s="378">
        <f>IF(R219="","", IF(ARBITRAGES!$H219="RAY",S218+ARBITRAGES!$K219,S218))</f>
        <v>0</v>
      </c>
      <c r="T219" s="360"/>
      <c r="U219" s="360"/>
      <c r="V219" s="360"/>
      <c r="W219" s="360"/>
      <c r="X219" s="360"/>
      <c r="Y219" s="360"/>
      <c r="Z219" s="360"/>
      <c r="AA219" s="360"/>
      <c r="AB219" s="360"/>
      <c r="AC219" s="360"/>
      <c r="AD219" s="360"/>
      <c r="AE219" s="360"/>
      <c r="AF219" s="360"/>
      <c r="AG219" s="360"/>
      <c r="AH219" s="360"/>
    </row>
    <row r="220" ht="18.75" customHeight="1">
      <c r="A220" s="365">
        <f>IF(ARBITRAGES!E220=0,"",ARBITRAGES!E220)</f>
        <v>45988</v>
      </c>
      <c r="B220" s="393">
        <f>IF(A220="","", IF(ARBITRAGES!$H220="BTC",B219-ARBITRAGES!$K220,B219))</f>
        <v>0.3126534405</v>
      </c>
      <c r="C220" s="375">
        <f>IF(B220="","", IF(ARBITRAGES!$H220="eth",C219+ARBITRAGES!$K220,C219))</f>
        <v>2.393040727</v>
      </c>
      <c r="D220" s="376">
        <f>IF(C220="","", IF(ARBITRAGES!$H220="ondo",D219+ARBITRAGES!$K220,D219))</f>
        <v>0.001390269174</v>
      </c>
      <c r="E220" s="376">
        <f>IF(D220="","", IF(ARBITRAGES!$H220="sol",E219+ARBITRAGES!$K220,E219))</f>
        <v>14.0870223</v>
      </c>
      <c r="F220" s="377">
        <f>IF(E220="","", IF(ARBITRAGES!$H220="tao",F219+ARBITRAGES!$K220,F219))</f>
        <v>4.999572074</v>
      </c>
      <c r="G220" s="378">
        <f>IF(F220="","", IF(ARBITRAGES!$H220="ron",G219+ARBITRAGES!$K220,G219))</f>
        <v>0</v>
      </c>
      <c r="H220" s="378">
        <f>IF(G220="","", IF(ARBITRAGES!$H220="link",H219+ARBITRAGES!$K220,H219))</f>
        <v>90.0797</v>
      </c>
      <c r="I220" s="378">
        <f>IF(H220="","", IF(ARBITRAGES!$H220="doge",I219+ARBITRAGES!$K220,I219))</f>
        <v>4928.58</v>
      </c>
      <c r="J220" s="378">
        <f>IF(I220="","", IF(ARBITRAGES!$H220="shib",J219-ARBITRAGES!$K220,J219))</f>
        <v>-0.01945258975</v>
      </c>
      <c r="K220" s="378">
        <f>IF(J220="","", IF(ARBITRAGES!$H220="cake",K219+ARBITRAGES!$K220,K219))</f>
        <v>0</v>
      </c>
      <c r="L220" s="378">
        <f>IF(K220="","", IF(ARBITRAGES!$H220="JUP",L219+ARBITRAGES!$K220,L219))</f>
        <v>0</v>
      </c>
      <c r="M220" s="376">
        <f>IF(L220="","", IF(ARBITRAGES!$H220="aave",M219+ARBITRAGES!$K220,M219))</f>
        <v>7.751038596</v>
      </c>
      <c r="N220" s="378">
        <f>IF(M220="","", IF(ARBITRAGES!$H220="ckb",N219+ARBITRAGES!$K220,N219))</f>
        <v>0</v>
      </c>
      <c r="O220" s="378">
        <f>IF(N220="","", IF(ARBITRAGES!$H220="pendle",O219-ARBITRAGES!$K220+0.1,O219))</f>
        <v>0.001461291462</v>
      </c>
      <c r="P220" s="378">
        <f>IF(O220="","", IF(ARBITRAGES!$H220="BOME",P219+ARBITRAGES!$K220,P219))</f>
        <v>0.02891989199</v>
      </c>
      <c r="Q220" s="378">
        <f>IF(P220="","", IF(ARBITRAGES!$H220="PEPE",Q219+ARBITRAGES!$K220,Q219))</f>
        <v>0.03999999762</v>
      </c>
      <c r="R220" s="378">
        <f>IF(Q220="","", IF(ARBITRAGES!$H220="WIF",R219+ARBITRAGES!$K220,R219))</f>
        <v>0</v>
      </c>
      <c r="S220" s="378">
        <f>IF(R220="","", IF(ARBITRAGES!$H220="RAY",S219+ARBITRAGES!$K220,S219))</f>
        <v>0</v>
      </c>
      <c r="T220" s="360"/>
      <c r="U220" s="360"/>
      <c r="V220" s="360"/>
      <c r="W220" s="360"/>
      <c r="X220" s="360"/>
      <c r="Y220" s="360"/>
      <c r="Z220" s="360"/>
      <c r="AA220" s="360"/>
      <c r="AB220" s="360"/>
      <c r="AC220" s="360"/>
      <c r="AD220" s="360"/>
      <c r="AE220" s="360"/>
      <c r="AF220" s="360"/>
      <c r="AG220" s="360"/>
      <c r="AH220" s="360"/>
    </row>
    <row r="221" ht="18.75" customHeight="1">
      <c r="A221" s="365">
        <f>IF(ARBITRAGES!E221=0,"",ARBITRAGES!E221)</f>
        <v>45989</v>
      </c>
      <c r="B221" s="375">
        <f>IF(A221="","", IF(ARBITRAGES!$H221="BTC",B220+ARBITRAGES!$K221,B220))</f>
        <v>0.3126534405</v>
      </c>
      <c r="C221" s="375">
        <f>IF(B221="","", IF(ARBITRAGES!$H221="eth",C220+ARBITRAGES!$K221,C220))</f>
        <v>2.393040727</v>
      </c>
      <c r="D221" s="376">
        <f>IF(C221="","", IF(ARBITRAGES!$H221="ondo",D220+ARBITRAGES!$K221,D220))</f>
        <v>0.001390269174</v>
      </c>
      <c r="E221" s="392">
        <f>IF(D221="","", IF(ARBITRAGES!$H221="sol",E220-ARBITRAGES!$K221,E220))</f>
        <v>11.5870223</v>
      </c>
      <c r="F221" s="377">
        <f>IF(E221="","", IF(ARBITRAGES!$H221="tao",F220+ARBITRAGES!$K221,F220))</f>
        <v>4.999572074</v>
      </c>
      <c r="G221" s="378">
        <f>IF(F221="","", IF(ARBITRAGES!$H221="ron",G220+ARBITRAGES!$K221,G220))</f>
        <v>0</v>
      </c>
      <c r="H221" s="378">
        <f>IF(G221="","", IF(ARBITRAGES!$H221="link",H220+ARBITRAGES!$K221,H220))</f>
        <v>90.0797</v>
      </c>
      <c r="I221" s="378">
        <f>IF(H221="","", IF(ARBITRAGES!$H221="doge",I220+ARBITRAGES!$K221,I220))</f>
        <v>4928.58</v>
      </c>
      <c r="J221" s="378">
        <f>IF(I221="","", IF(ARBITRAGES!$H221="shib",J220-ARBITRAGES!$K221,J220))</f>
        <v>-0.01945258975</v>
      </c>
      <c r="K221" s="378">
        <f>IF(J221="","", IF(ARBITRAGES!$H221="cake",K220+ARBITRAGES!$K221,K220))</f>
        <v>0</v>
      </c>
      <c r="L221" s="378">
        <f>IF(K221="","", IF(ARBITRAGES!$H221="JUP",L220+ARBITRAGES!$K221,L220))</f>
        <v>0</v>
      </c>
      <c r="M221" s="376">
        <f>IF(L221="","", IF(ARBITRAGES!$H221="aave",M220+ARBITRAGES!$K221,M220))</f>
        <v>7.751038596</v>
      </c>
      <c r="N221" s="378">
        <f>IF(M221="","", IF(ARBITRAGES!$H221="ckb",N220+ARBITRAGES!$K221,N220))</f>
        <v>0</v>
      </c>
      <c r="O221" s="378">
        <f>IF(N221="","", IF(ARBITRAGES!$H221="pendle",O220-ARBITRAGES!$K221+0.1,O220))</f>
        <v>0.001461291462</v>
      </c>
      <c r="P221" s="378">
        <f>IF(O221="","", IF(ARBITRAGES!$H221="BOME",P220+ARBITRAGES!$K221,P220))</f>
        <v>0.02891989199</v>
      </c>
      <c r="Q221" s="378">
        <f>IF(P221="","", IF(ARBITRAGES!$H221="PEPE",Q220+ARBITRAGES!$K221,Q220))</f>
        <v>0.03999999762</v>
      </c>
      <c r="R221" s="378">
        <f>IF(Q221="","", IF(ARBITRAGES!$H221="WIF",R220+ARBITRAGES!$K221,R220))</f>
        <v>0</v>
      </c>
      <c r="S221" s="378">
        <f>IF(R221="","", IF(ARBITRAGES!$H221="RAY",S220+ARBITRAGES!$K221,S220))</f>
        <v>0</v>
      </c>
      <c r="T221" s="360"/>
      <c r="U221" s="360"/>
      <c r="V221" s="360"/>
      <c r="W221" s="360"/>
      <c r="X221" s="360"/>
      <c r="Y221" s="360"/>
      <c r="Z221" s="360"/>
      <c r="AA221" s="360"/>
      <c r="AB221" s="360"/>
      <c r="AC221" s="360"/>
      <c r="AD221" s="360"/>
      <c r="AE221" s="360"/>
      <c r="AF221" s="360"/>
      <c r="AG221" s="360"/>
      <c r="AH221" s="360"/>
    </row>
    <row r="222" ht="18.75" customHeight="1">
      <c r="A222" s="365">
        <f>IF(ARBITRAGES!E222=0,"",ARBITRAGES!E222)</f>
        <v>45991</v>
      </c>
      <c r="B222" s="375">
        <f>IF(A222="","", IF(ARBITRAGES!$H222="BTC",B221+ARBITRAGES!$K222,B221))</f>
        <v>0.3126534405</v>
      </c>
      <c r="C222" s="375">
        <f>IF(B222="","", IF(ARBITRAGES!$H222="eth",C221+ARBITRAGES!$K222,C221))</f>
        <v>2.393040727</v>
      </c>
      <c r="D222" s="376">
        <f>IF(C222="","", IF(ARBITRAGES!$H222="ondo",D221+ARBITRAGES!$K222,D221))</f>
        <v>0.001390269174</v>
      </c>
      <c r="E222" s="376">
        <f>IF(D222="","", IF(ARBITRAGES!$H222="sol",E221+ARBITRAGES!$K222,E221))</f>
        <v>11.5870223</v>
      </c>
      <c r="F222" s="377">
        <f>IF(E222="","", IF(ARBITRAGES!$H222="tao",F221+ARBITRAGES!$K222,F221))</f>
        <v>4.999572074</v>
      </c>
      <c r="G222" s="378">
        <f>IF(F222="","", IF(ARBITRAGES!$H222="ron",G221+ARBITRAGES!$K222,G221))</f>
        <v>0</v>
      </c>
      <c r="H222" s="378">
        <f>IF(G222="","", IF(ARBITRAGES!$H222="link",H221+ARBITRAGES!$K222,H221))</f>
        <v>90.0797</v>
      </c>
      <c r="I222" s="389">
        <f>IF(H222="","", IF(ARBITRAGES!$H222="doge",I221+ARBITRAGES!$K222,I221))</f>
        <v>6176.029664</v>
      </c>
      <c r="J222" s="378">
        <f>IF(I222="","", IF(ARBITRAGES!$H222="shib",J221-ARBITRAGES!$K222,J221))</f>
        <v>-0.01945258975</v>
      </c>
      <c r="K222" s="378">
        <f>IF(J222="","", IF(ARBITRAGES!$H222="cake",K221+ARBITRAGES!$K222,K221))</f>
        <v>0</v>
      </c>
      <c r="L222" s="378">
        <f>IF(K222="","", IF(ARBITRAGES!$H222="JUP",L221+ARBITRAGES!$K222,L221))</f>
        <v>0</v>
      </c>
      <c r="M222" s="376">
        <f>IF(L222="","", IF(ARBITRAGES!$H222="aave",M221+ARBITRAGES!$K222,M221))</f>
        <v>7.751038596</v>
      </c>
      <c r="N222" s="378">
        <f>IF(M222="","", IF(ARBITRAGES!$H222="ckb",N221+ARBITRAGES!$K222,N221))</f>
        <v>0</v>
      </c>
      <c r="O222" s="378">
        <f>IF(N222="","", IF(ARBITRAGES!$H222="pendle",O221-ARBITRAGES!$K222+0.1,O221))</f>
        <v>0.001461291462</v>
      </c>
      <c r="P222" s="378">
        <f>IF(O222="","", IF(ARBITRAGES!$H222="BOME",P221+ARBITRAGES!$K222,P221))</f>
        <v>0.02891989199</v>
      </c>
      <c r="Q222" s="378">
        <f>IF(P222="","", IF(ARBITRAGES!$H222="PEPE",Q221+ARBITRAGES!$K222,Q221))</f>
        <v>0.03999999762</v>
      </c>
      <c r="R222" s="378">
        <f>IF(Q222="","", IF(ARBITRAGES!$H222="WIF",R221+ARBITRAGES!$K222,R221))</f>
        <v>0</v>
      </c>
      <c r="S222" s="378">
        <f>IF(R222="","", IF(ARBITRAGES!$H222="RAY",S221+ARBITRAGES!$K222,S221))</f>
        <v>0</v>
      </c>
      <c r="T222" s="360"/>
      <c r="U222" s="360"/>
      <c r="V222" s="360"/>
      <c r="W222" s="360"/>
      <c r="X222" s="360"/>
      <c r="Y222" s="360"/>
      <c r="Z222" s="360"/>
      <c r="AA222" s="360"/>
      <c r="AB222" s="360"/>
      <c r="AC222" s="360"/>
      <c r="AD222" s="360"/>
      <c r="AE222" s="360"/>
      <c r="AF222" s="360"/>
      <c r="AG222" s="360"/>
      <c r="AH222" s="360"/>
    </row>
    <row r="223" ht="18.75" customHeight="1">
      <c r="A223" s="365">
        <f>IF(ARBITRAGES!E223=0,"",ARBITRAGES!E223)</f>
        <v>45992</v>
      </c>
      <c r="B223" s="375">
        <f>IF(A223="","", IF(ARBITRAGES!$H223="BTC",B222+ARBITRAGES!$K223,B222))</f>
        <v>0.3126534405</v>
      </c>
      <c r="C223" s="375">
        <f>IF(B223="","", IF(ARBITRAGES!$H223="eth",C222+ARBITRAGES!$K223,C222))</f>
        <v>2.393040727</v>
      </c>
      <c r="D223" s="376">
        <f>IF(C223="","", IF(ARBITRAGES!$H223="ondo",D222+ARBITRAGES!$K223,D222))</f>
        <v>0.001390269174</v>
      </c>
      <c r="E223" s="376">
        <f>IF(D223="","", IF(ARBITRAGES!$H223="sol",E222+ARBITRAGES!$K223,E222))</f>
        <v>11.5870223</v>
      </c>
      <c r="F223" s="377">
        <f>IF(E223="","", IF(ARBITRAGES!$H223="tao",F222+ARBITRAGES!$K223,F222))</f>
        <v>4.999572074</v>
      </c>
      <c r="G223" s="378">
        <f>IF(F223="","", IF(ARBITRAGES!$H223="ron",G222+ARBITRAGES!$K223,G222))</f>
        <v>0</v>
      </c>
      <c r="H223" s="378">
        <f>IF(G223="","", IF(ARBITRAGES!$H223="link",H222+ARBITRAGES!$K223,H222))</f>
        <v>90.0797</v>
      </c>
      <c r="I223" s="378">
        <f>IF(H223="","", IF(ARBITRAGES!$H223="doge",I222+ARBITRAGES!$K223,I222))</f>
        <v>6176.029664</v>
      </c>
      <c r="J223" s="378">
        <f>IF(I223="","", IF(ARBITRAGES!$H223="shib",J222-ARBITRAGES!$K223,J222))</f>
        <v>-0.01945258975</v>
      </c>
      <c r="K223" s="378">
        <f>IF(J223="","", IF(ARBITRAGES!$H223="cake",K222+ARBITRAGES!$K223,K222))</f>
        <v>0</v>
      </c>
      <c r="L223" s="378">
        <f>IF(K223="","", IF(ARBITRAGES!$H223="JUP",L222+ARBITRAGES!$K223,L222))</f>
        <v>0</v>
      </c>
      <c r="M223" s="392">
        <f>IF(L223="","", IF(ARBITRAGES!$H223="aave",M222-ARBITRAGES!$K223,M222))</f>
        <v>5.001038596</v>
      </c>
      <c r="N223" s="378">
        <f>IF(M223="","", IF(ARBITRAGES!$H223="ckb",N222+ARBITRAGES!$K223,N222))</f>
        <v>0</v>
      </c>
      <c r="O223" s="378">
        <f>IF(N223="","", IF(ARBITRAGES!$H223="pendle",O222-ARBITRAGES!$K223+0.1,O222))</f>
        <v>0.001461291462</v>
      </c>
      <c r="P223" s="378">
        <f>IF(O223="","", IF(ARBITRAGES!$H223="BOME",P222+ARBITRAGES!$K223,P222))</f>
        <v>0.02891989199</v>
      </c>
      <c r="Q223" s="378">
        <f>IF(P223="","", IF(ARBITRAGES!$H223="PEPE",Q222+ARBITRAGES!$K223,Q222))</f>
        <v>0.03999999762</v>
      </c>
      <c r="R223" s="378">
        <f>IF(Q223="","", IF(ARBITRAGES!$H223="WIF",R222+ARBITRAGES!$K223,R222))</f>
        <v>0</v>
      </c>
      <c r="S223" s="378">
        <f>IF(R223="","", IF(ARBITRAGES!$H223="RAY",S222+ARBITRAGES!$K223,S222))</f>
        <v>0</v>
      </c>
      <c r="T223" s="360"/>
      <c r="U223" s="360"/>
      <c r="V223" s="360"/>
      <c r="W223" s="360"/>
      <c r="X223" s="360"/>
      <c r="Y223" s="360"/>
      <c r="Z223" s="360"/>
      <c r="AA223" s="360"/>
      <c r="AB223" s="360"/>
      <c r="AC223" s="360"/>
      <c r="AD223" s="360"/>
      <c r="AE223" s="360"/>
      <c r="AF223" s="360"/>
      <c r="AG223" s="360"/>
      <c r="AH223" s="360"/>
    </row>
    <row r="224" ht="18.75" customHeight="1">
      <c r="A224" s="365">
        <f>IF(ARBITRAGES!E224=0,"",ARBITRAGES!E224)</f>
        <v>45992</v>
      </c>
      <c r="B224" s="375">
        <f>IF(A224="","", IF(ARBITRAGES!$H224="BTC",B223+ARBITRAGES!$K224,B223))</f>
        <v>0.3126534405</v>
      </c>
      <c r="C224" s="375">
        <f>IF(B224="","", IF(ARBITRAGES!$H224="eth",C223+ARBITRAGES!$K224,C223))</f>
        <v>2.393040727</v>
      </c>
      <c r="D224" s="376">
        <f>IF(C224="","", IF(ARBITRAGES!$H224="ondo",D223+ARBITRAGES!$K224,D223))</f>
        <v>0.001390269174</v>
      </c>
      <c r="E224" s="376">
        <f>IF(D224="","", IF(ARBITRAGES!$H224="sol",E223+ARBITRAGES!$K224,E223))</f>
        <v>11.5870223</v>
      </c>
      <c r="F224" s="377">
        <f>IF(E224="","", IF(ARBITRAGES!$H224="tao",F223+ARBITRAGES!$K224,F223))</f>
        <v>4.999572074</v>
      </c>
      <c r="G224" s="378">
        <f>IF(F224="","", IF(ARBITRAGES!$H224="ron",G223+ARBITRAGES!$K224,G223))</f>
        <v>0</v>
      </c>
      <c r="H224" s="394">
        <f>IF(G224="","", IF(ARBITRAGES!$H224="link",H223-ARBITRAGES!$K224,H223))</f>
        <v>40.0797</v>
      </c>
      <c r="I224" s="378">
        <f>IF(H224="","", IF(ARBITRAGES!$H224="doge",I223+ARBITRAGES!$K224,I223))</f>
        <v>6176.029664</v>
      </c>
      <c r="J224" s="378">
        <f>IF(I224="","", IF(ARBITRAGES!$H224="shib",J223-ARBITRAGES!$K224,J223))</f>
        <v>-0.01945258975</v>
      </c>
      <c r="K224" s="378">
        <f>IF(J224="","", IF(ARBITRAGES!$H224="cake",K223+ARBITRAGES!$K224,K223))</f>
        <v>0</v>
      </c>
      <c r="L224" s="378">
        <f>IF(K224="","", IF(ARBITRAGES!$H224="JUP",L223+ARBITRAGES!$K224,L223))</f>
        <v>0</v>
      </c>
      <c r="M224" s="376">
        <f>IF(L224="","", IF(ARBITRAGES!$H224="aave",M223+ARBITRAGES!$K224,M223))</f>
        <v>5.001038596</v>
      </c>
      <c r="N224" s="378">
        <f>IF(M224="","", IF(ARBITRAGES!$H224="ckb",N223+ARBITRAGES!$K224,N223))</f>
        <v>0</v>
      </c>
      <c r="O224" s="378">
        <f>IF(N224="","", IF(ARBITRAGES!$H224="pendle",O223-ARBITRAGES!$K224+0.1,O223))</f>
        <v>0.001461291462</v>
      </c>
      <c r="P224" s="378">
        <f>IF(O224="","", IF(ARBITRAGES!$H224="BOME",P223+ARBITRAGES!$K224,P223))</f>
        <v>0.02891989199</v>
      </c>
      <c r="Q224" s="378">
        <f>IF(P224="","", IF(ARBITRAGES!$H224="PEPE",Q223+ARBITRAGES!$K224,Q223))</f>
        <v>0.03999999762</v>
      </c>
      <c r="R224" s="378">
        <f>IF(Q224="","", IF(ARBITRAGES!$H224="WIF",R223+ARBITRAGES!$K224,R223))</f>
        <v>0</v>
      </c>
      <c r="S224" s="378">
        <f>IF(R224="","", IF(ARBITRAGES!$H224="RAY",S223+ARBITRAGES!$K224,S223))</f>
        <v>0</v>
      </c>
      <c r="T224" s="360"/>
      <c r="U224" s="360"/>
      <c r="V224" s="360"/>
      <c r="W224" s="360"/>
      <c r="X224" s="360"/>
      <c r="Y224" s="360"/>
      <c r="Z224" s="360"/>
      <c r="AA224" s="360"/>
      <c r="AB224" s="360"/>
      <c r="AC224" s="360"/>
      <c r="AD224" s="360"/>
      <c r="AE224" s="360"/>
      <c r="AF224" s="360"/>
      <c r="AG224" s="360"/>
      <c r="AH224" s="360"/>
    </row>
    <row r="225" ht="18.75" customHeight="1">
      <c r="A225" s="365">
        <f>IF(ARBITRAGES!E225=0,"",ARBITRAGES!E225)</f>
        <v>45992</v>
      </c>
      <c r="B225" s="375">
        <f>IF(A225="","", IF(ARBITRAGES!$H225="BTC",B224+ARBITRAGES!$K225,B224))</f>
        <v>0.3126534405</v>
      </c>
      <c r="C225" s="375">
        <f>IF(B225="","", IF(ARBITRAGES!$H225="eth",C224+ARBITRAGES!$K225,C224))</f>
        <v>2.393040727</v>
      </c>
      <c r="D225" s="376">
        <f>IF(C225="","", IF(ARBITRAGES!$H225="ondo",D224+ARBITRAGES!$K225,D224))</f>
        <v>0.001390269174</v>
      </c>
      <c r="E225" s="376">
        <f>IF(D225="","", IF(ARBITRAGES!$H225="sol",E224+ARBITRAGES!$K225,E224))</f>
        <v>11.5870223</v>
      </c>
      <c r="F225" s="377">
        <f>IF(E225="","", IF(ARBITRAGES!$H225="tao",F224+ARBITRAGES!$K225,F224))</f>
        <v>4.999572074</v>
      </c>
      <c r="G225" s="378">
        <f>IF(F225="","", IF(ARBITRAGES!$H225="ron",G224+ARBITRAGES!$K225,G224))</f>
        <v>0</v>
      </c>
      <c r="H225" s="394">
        <f>IF(G225="","", IF(ARBITRAGES!$H225="link",H224-ARBITRAGES!$K225,H224))</f>
        <v>0.0265122702</v>
      </c>
      <c r="I225" s="378">
        <f>IF(H225="","", IF(ARBITRAGES!$H225="doge",I224+ARBITRAGES!$K225,I224))</f>
        <v>6176.029664</v>
      </c>
      <c r="J225" s="378">
        <f>IF(I225="","", IF(ARBITRAGES!$H225="shib",J224-ARBITRAGES!$K225,J224))</f>
        <v>-0.01945258975</v>
      </c>
      <c r="K225" s="378">
        <f>IF(J225="","", IF(ARBITRAGES!$H225="cake",K224+ARBITRAGES!$K225,K224))</f>
        <v>0</v>
      </c>
      <c r="L225" s="378">
        <f>IF(K225="","", IF(ARBITRAGES!$H225="JUP",L224+ARBITRAGES!$K225,L224))</f>
        <v>0</v>
      </c>
      <c r="M225" s="376">
        <f>IF(L225="","", IF(ARBITRAGES!$H225="aave",M224+ARBITRAGES!$K225,M224))</f>
        <v>5.001038596</v>
      </c>
      <c r="N225" s="378">
        <f>IF(M225="","", IF(ARBITRAGES!$H225="ckb",N224+ARBITRAGES!$K225,N224))</f>
        <v>0</v>
      </c>
      <c r="O225" s="378">
        <f>IF(N225="","", IF(ARBITRAGES!$H225="pendle",O224-ARBITRAGES!$K225+0.1,O224))</f>
        <v>0.001461291462</v>
      </c>
      <c r="P225" s="378">
        <f>IF(O225="","", IF(ARBITRAGES!$H225="BOME",P224+ARBITRAGES!$K225,P224))</f>
        <v>0.02891989199</v>
      </c>
      <c r="Q225" s="378">
        <f>IF(P225="","", IF(ARBITRAGES!$H225="PEPE",Q224+ARBITRAGES!$K225,Q224))</f>
        <v>0.03999999762</v>
      </c>
      <c r="R225" s="378">
        <f>IF(Q225="","", IF(ARBITRAGES!$H225="WIF",R224+ARBITRAGES!$K225,R224))</f>
        <v>0</v>
      </c>
      <c r="S225" s="378">
        <f>IF(R225="","", IF(ARBITRAGES!$H225="RAY",S224+ARBITRAGES!$K225,S224))</f>
        <v>0</v>
      </c>
      <c r="T225" s="360"/>
      <c r="U225" s="360"/>
      <c r="V225" s="360"/>
      <c r="W225" s="360"/>
      <c r="X225" s="360"/>
      <c r="Y225" s="360"/>
      <c r="Z225" s="360"/>
      <c r="AA225" s="360"/>
      <c r="AB225" s="360"/>
      <c r="AC225" s="360"/>
      <c r="AD225" s="360"/>
      <c r="AE225" s="360"/>
      <c r="AF225" s="360"/>
      <c r="AG225" s="360"/>
      <c r="AH225" s="360"/>
    </row>
    <row r="226" ht="18.75" customHeight="1">
      <c r="A226" s="365">
        <f>IF(ARBITRAGES!E226=0,"",ARBITRAGES!E226)</f>
        <v>45992</v>
      </c>
      <c r="B226" s="375">
        <f>IF(A226="","", IF(ARBITRAGES!$H226="BTC",B225+ARBITRAGES!$K226,B225))</f>
        <v>0.3126534405</v>
      </c>
      <c r="C226" s="375">
        <f>IF(B226="","", IF(ARBITRAGES!$H226="eth",C225+ARBITRAGES!$K226,C225))</f>
        <v>2.393040727</v>
      </c>
      <c r="D226" s="376">
        <f>IF(C226="","", IF(ARBITRAGES!$H226="ondo",D225+ARBITRAGES!$K226,D225))</f>
        <v>0.001390269174</v>
      </c>
      <c r="E226" s="392">
        <f>IF(D226="","", IF(ARBITRAGES!$H226="sol",E225-ARBITRAGES!$K226+0.001,E225))</f>
        <v>9.995802166</v>
      </c>
      <c r="F226" s="377">
        <f>IF(E226="","", IF(ARBITRAGES!$H226="tao",F225+ARBITRAGES!$K226,F225))</f>
        <v>4.999572074</v>
      </c>
      <c r="G226" s="378">
        <f>IF(F226="","", IF(ARBITRAGES!$H226="ron",G225+ARBITRAGES!$K226,G225))</f>
        <v>0</v>
      </c>
      <c r="H226" s="378">
        <f>IF(G226="","", IF(ARBITRAGES!$H226="link",H225+ARBITRAGES!$K226,H225))</f>
        <v>0.0265122702</v>
      </c>
      <c r="I226" s="378">
        <f>IF(H226="","", IF(ARBITRAGES!$H226="doge",I225+ARBITRAGES!$K226,I225))</f>
        <v>6176.029664</v>
      </c>
      <c r="J226" s="378">
        <f>IF(I226="","", IF(ARBITRAGES!$H226="shib",J225-ARBITRAGES!$K226,J225))</f>
        <v>-0.01945258975</v>
      </c>
      <c r="K226" s="378">
        <f>IF(J226="","", IF(ARBITRAGES!$H226="cake",K225+ARBITRAGES!$K226,K225))</f>
        <v>0</v>
      </c>
      <c r="L226" s="378">
        <f>IF(K226="","", IF(ARBITRAGES!$H226="JUP",L225+ARBITRAGES!$K226,L225))</f>
        <v>0</v>
      </c>
      <c r="M226" s="376">
        <f>IF(L226="","", IF(ARBITRAGES!$H226="aave",M225+ARBITRAGES!$K226,M225))</f>
        <v>5.001038596</v>
      </c>
      <c r="N226" s="378">
        <f>IF(M226="","", IF(ARBITRAGES!$H226="ckb",N225+ARBITRAGES!$K226,N225))</f>
        <v>0</v>
      </c>
      <c r="O226" s="378">
        <f>IF(N226="","", IF(ARBITRAGES!$H226="pendle",O225-ARBITRAGES!$K226+0.1,O225))</f>
        <v>0.001461291462</v>
      </c>
      <c r="P226" s="378">
        <f>IF(O226="","", IF(ARBITRAGES!$H226="BOME",P225+ARBITRAGES!$K226,P225))</f>
        <v>0.02891989199</v>
      </c>
      <c r="Q226" s="378">
        <f>IF(P226="","", IF(ARBITRAGES!$H226="PEPE",Q225+ARBITRAGES!$K226,Q225))</f>
        <v>0.03999999762</v>
      </c>
      <c r="R226" s="378">
        <f>IF(Q226="","", IF(ARBITRAGES!$H226="WIF",R225+ARBITRAGES!$K226,R225))</f>
        <v>0</v>
      </c>
      <c r="S226" s="378">
        <f>IF(R226="","", IF(ARBITRAGES!$H226="RAY",S225+ARBITRAGES!$K226,S225))</f>
        <v>0</v>
      </c>
      <c r="T226" s="360"/>
      <c r="U226" s="360"/>
      <c r="V226" s="360"/>
      <c r="W226" s="360"/>
      <c r="X226" s="360"/>
      <c r="Y226" s="360"/>
      <c r="Z226" s="360"/>
      <c r="AA226" s="360"/>
      <c r="AB226" s="360"/>
      <c r="AC226" s="360"/>
      <c r="AD226" s="360"/>
      <c r="AE226" s="360"/>
      <c r="AF226" s="360"/>
      <c r="AG226" s="360"/>
      <c r="AH226" s="360"/>
    </row>
    <row r="227" ht="18.75" customHeight="1">
      <c r="A227" s="365">
        <f>IF(ARBITRAGES!E227=0,"",ARBITRAGES!E227)</f>
        <v>45993</v>
      </c>
      <c r="B227" s="375">
        <f>IF(A227="","", IF(ARBITRAGES!$H227="BTC",B226+ARBITRAGES!$K227,B226))</f>
        <v>0.3126534405</v>
      </c>
      <c r="C227" s="375">
        <f>IF(B227="","", IF(ARBITRAGES!$H227="eth",C226+ARBITRAGES!$K227,C226))</f>
        <v>2.393040727</v>
      </c>
      <c r="D227" s="376">
        <f>IF(C227="","", IF(ARBITRAGES!$H227="ondo",D226+ARBITRAGES!$K227,D226))</f>
        <v>0.001390269174</v>
      </c>
      <c r="E227" s="392">
        <f>IF(D227="","", IF(ARBITRAGES!$H227="sol",E226-ARBITRAGES!$K227,E226))</f>
        <v>7.995802166</v>
      </c>
      <c r="F227" s="377">
        <f>IF(E227="","", IF(ARBITRAGES!$H227="tao",F226+ARBITRAGES!$K227,F226))</f>
        <v>4.999572074</v>
      </c>
      <c r="G227" s="378">
        <f>IF(F227="","", IF(ARBITRAGES!$H227="ron",G226+ARBITRAGES!$K227,G226))</f>
        <v>0</v>
      </c>
      <c r="H227" s="378">
        <f>IF(G227="","", IF(ARBITRAGES!$H227="link",H226+ARBITRAGES!$K227,H226))</f>
        <v>0.0265122702</v>
      </c>
      <c r="I227" s="378">
        <f>IF(H227="","", IF(ARBITRAGES!$H227="doge",I226+ARBITRAGES!$K227,I226))</f>
        <v>6176.029664</v>
      </c>
      <c r="J227" s="378">
        <f>IF(I227="","", IF(ARBITRAGES!$H227="shib",J226-ARBITRAGES!$K227,J226))</f>
        <v>-0.01945258975</v>
      </c>
      <c r="K227" s="378">
        <f>IF(J227="","", IF(ARBITRAGES!$H227="cake",K226+ARBITRAGES!$K227,K226))</f>
        <v>0</v>
      </c>
      <c r="L227" s="378">
        <f>IF(K227="","", IF(ARBITRAGES!$H227="JUP",L226+ARBITRAGES!$K227,L226))</f>
        <v>0</v>
      </c>
      <c r="M227" s="376">
        <f>IF(L227="","", IF(ARBITRAGES!$H227="aave",M226+ARBITRAGES!$K227,M226))</f>
        <v>5.001038596</v>
      </c>
      <c r="N227" s="378">
        <f>IF(M227="","", IF(ARBITRAGES!$H227="ckb",N226+ARBITRAGES!$K227,N226))</f>
        <v>0</v>
      </c>
      <c r="O227" s="378">
        <f>IF(N227="","", IF(ARBITRAGES!$H227="pendle",O226-ARBITRAGES!$K227+0.1,O226))</f>
        <v>0.001461291462</v>
      </c>
      <c r="P227" s="378">
        <f>IF(O227="","", IF(ARBITRAGES!$H227="BOME",P226+ARBITRAGES!$K227,P226))</f>
        <v>0.02891989199</v>
      </c>
      <c r="Q227" s="378">
        <f>IF(P227="","", IF(ARBITRAGES!$H227="PEPE",Q226+ARBITRAGES!$K227,Q226))</f>
        <v>0.03999999762</v>
      </c>
      <c r="R227" s="378">
        <f>IF(Q227="","", IF(ARBITRAGES!$H227="WIF",R226+ARBITRAGES!$K227,R226))</f>
        <v>0</v>
      </c>
      <c r="S227" s="378">
        <f>IF(R227="","", IF(ARBITRAGES!$H227="RAY",S226+ARBITRAGES!$K227,S226))</f>
        <v>0</v>
      </c>
      <c r="T227" s="360"/>
      <c r="U227" s="360"/>
      <c r="V227" s="360"/>
      <c r="W227" s="360"/>
      <c r="X227" s="360"/>
      <c r="Y227" s="360"/>
      <c r="Z227" s="360"/>
      <c r="AA227" s="360"/>
      <c r="AB227" s="360"/>
      <c r="AC227" s="360"/>
      <c r="AD227" s="360"/>
      <c r="AE227" s="360"/>
      <c r="AF227" s="360"/>
      <c r="AG227" s="360"/>
      <c r="AH227" s="360"/>
    </row>
    <row r="228" ht="18.75" customHeight="1">
      <c r="A228" s="365">
        <f>IF(ARBITRAGES!E228=0,"",ARBITRAGES!E228)</f>
        <v>45993</v>
      </c>
      <c r="B228" s="375">
        <f>IF(A228="","", IF(ARBITRAGES!$H228="BTC",B227+ARBITRAGES!$K228,B227))</f>
        <v>0.3126534405</v>
      </c>
      <c r="C228" s="375">
        <f>IF(B228="","", IF(ARBITRAGES!$H228="eth",C227+ARBITRAGES!$K228,C227))</f>
        <v>2.393040727</v>
      </c>
      <c r="D228" s="376">
        <f>IF(C228="","", IF(ARBITRAGES!$H228="ondo",D227+ARBITRAGES!$K228,D227))</f>
        <v>0.001390269174</v>
      </c>
      <c r="E228" s="376">
        <f>IF(D228="","", IF(ARBITRAGES!$H228="sol",E227+ARBITRAGES!$K228,E227))</f>
        <v>7.995802166</v>
      </c>
      <c r="F228" s="377">
        <f>IF(E228="","", IF(ARBITRAGES!$H228="tao",F227+ARBITRAGES!$K228,F227))</f>
        <v>4.999572074</v>
      </c>
      <c r="G228" s="378">
        <f>IF(F228="","", IF(ARBITRAGES!$H228="ron",G227+ARBITRAGES!$K228,G227))</f>
        <v>0</v>
      </c>
      <c r="H228" s="378">
        <f>IF(G228="","", IF(ARBITRAGES!$H228="link",H227+ARBITRAGES!$K228,H227))</f>
        <v>0.0265122702</v>
      </c>
      <c r="I228" s="378">
        <f>IF(H228="","", IF(ARBITRAGES!$H228="doge",I227+ARBITRAGES!$K228,I227))</f>
        <v>6176.029664</v>
      </c>
      <c r="J228" s="378">
        <f>IF(I228="","", IF(ARBITRAGES!$H228="shib",J227-ARBITRAGES!$K228,J227))</f>
        <v>-0.01945258975</v>
      </c>
      <c r="K228" s="378">
        <f>IF(J228="","", IF(ARBITRAGES!$H228="cake",K227+ARBITRAGES!$K228,K227))</f>
        <v>0</v>
      </c>
      <c r="L228" s="378">
        <f>IF(K228="","", IF(ARBITRAGES!$H228="JUP",L227+ARBITRAGES!$K228,L227))</f>
        <v>0</v>
      </c>
      <c r="M228" s="392">
        <f>IF(L228="","", IF(ARBITRAGES!$H228="aave",M227-ARBITRAGES!$K228+0.0055,M227))</f>
        <v>3.506538596</v>
      </c>
      <c r="N228" s="378">
        <f>IF(M228="","", IF(ARBITRAGES!$H228="ckb",N227+ARBITRAGES!$K228,N227))</f>
        <v>0</v>
      </c>
      <c r="O228" s="378">
        <f>IF(N228="","", IF(ARBITRAGES!$H228="pendle",O227-ARBITRAGES!$K228+0.1,O227))</f>
        <v>0.001461291462</v>
      </c>
      <c r="P228" s="378">
        <f>IF(O228="","", IF(ARBITRAGES!$H228="BOME",P227+ARBITRAGES!$K228,P227))</f>
        <v>0.02891989199</v>
      </c>
      <c r="Q228" s="378">
        <f>IF(P228="","", IF(ARBITRAGES!$H228="PEPE",Q227+ARBITRAGES!$K228,Q227))</f>
        <v>0.03999999762</v>
      </c>
      <c r="R228" s="378">
        <f>IF(Q228="","", IF(ARBITRAGES!$H228="WIF",R227+ARBITRAGES!$K228,R227))</f>
        <v>0</v>
      </c>
      <c r="S228" s="378">
        <f>IF(R228="","", IF(ARBITRAGES!$H228="RAY",S227+ARBITRAGES!$K228,S227))</f>
        <v>0</v>
      </c>
      <c r="T228" s="360"/>
      <c r="U228" s="360"/>
      <c r="V228" s="360"/>
      <c r="W228" s="360"/>
      <c r="X228" s="360"/>
      <c r="Y228" s="360"/>
      <c r="Z228" s="360"/>
      <c r="AA228" s="360"/>
      <c r="AB228" s="360"/>
      <c r="AC228" s="360"/>
      <c r="AD228" s="360"/>
      <c r="AE228" s="360"/>
      <c r="AF228" s="360"/>
      <c r="AG228" s="360"/>
      <c r="AH228" s="360"/>
    </row>
    <row r="229" ht="18.75" customHeight="1">
      <c r="A229" s="365">
        <f>IF(ARBITRAGES!E229=0,"",ARBITRAGES!E229)</f>
        <v>45993</v>
      </c>
      <c r="B229" s="375">
        <f>IF(A229="","", IF(ARBITRAGES!$H229="BTC",B228+ARBITRAGES!$K229,B228))</f>
        <v>0.3126534405</v>
      </c>
      <c r="C229" s="375">
        <f>IF(B229="","", IF(ARBITRAGES!$H229="eth",C228+ARBITRAGES!$K229,C228))</f>
        <v>2.393040727</v>
      </c>
      <c r="D229" s="376">
        <f>IF(C229="","", IF(ARBITRAGES!$H229="ondo",D228+ARBITRAGES!$K229,D228))</f>
        <v>0.001390269174</v>
      </c>
      <c r="E229" s="376">
        <f>IF(D229="","", IF(ARBITRAGES!$H229="sol",E228+ARBITRAGES!$K229,E228))</f>
        <v>7.995802166</v>
      </c>
      <c r="F229" s="377">
        <f>IF(E229="","", IF(ARBITRAGES!$H229="tao",F228+ARBITRAGES!$K229,F228))</f>
        <v>4.999572074</v>
      </c>
      <c r="G229" s="378">
        <f>IF(F229="","", IF(ARBITRAGES!$H229="ron",G228+ARBITRAGES!$K229,G228))</f>
        <v>0</v>
      </c>
      <c r="H229" s="378">
        <f>IF(G229="","", IF(ARBITRAGES!$H229="link",H228+ARBITRAGES!$K229,H228))</f>
        <v>0.0265122702</v>
      </c>
      <c r="I229" s="394">
        <f>IF(H229="","", IF(ARBITRAGES!$H229="doge",I228-ARBITRAGES!$K229-0.2,I228))</f>
        <v>5175.829664</v>
      </c>
      <c r="J229" s="378">
        <f>IF(I229="","", IF(ARBITRAGES!$H229="shib",J228-ARBITRAGES!$K229,J228))</f>
        <v>-0.01945258975</v>
      </c>
      <c r="K229" s="378">
        <f>IF(J229="","", IF(ARBITRAGES!$H229="cake",K228+ARBITRAGES!$K229,K228))</f>
        <v>0</v>
      </c>
      <c r="L229" s="378">
        <f>IF(K229="","", IF(ARBITRAGES!$H229="JUP",L228+ARBITRAGES!$K229,L228))</f>
        <v>0</v>
      </c>
      <c r="M229" s="376">
        <f>IF(L229="","", IF(ARBITRAGES!$H229="aave",M228+ARBITRAGES!$K229,M228))</f>
        <v>3.506538596</v>
      </c>
      <c r="N229" s="378">
        <f>IF(M229="","", IF(ARBITRAGES!$H229="ckb",N228+ARBITRAGES!$K229,N228))</f>
        <v>0</v>
      </c>
      <c r="O229" s="378">
        <f>IF(N229="","", IF(ARBITRAGES!$H229="pendle",O228-ARBITRAGES!$K229+0.1,O228))</f>
        <v>0.001461291462</v>
      </c>
      <c r="P229" s="378">
        <f>IF(O229="","", IF(ARBITRAGES!$H229="BOME",P228+ARBITRAGES!$K229,P228))</f>
        <v>0.02891989199</v>
      </c>
      <c r="Q229" s="378">
        <f>IF(P229="","", IF(ARBITRAGES!$H229="PEPE",Q228+ARBITRAGES!$K229,Q228))</f>
        <v>0.03999999762</v>
      </c>
      <c r="R229" s="378">
        <f>IF(Q229="","", IF(ARBITRAGES!$H229="WIF",R228+ARBITRAGES!$K229,R228))</f>
        <v>0</v>
      </c>
      <c r="S229" s="378">
        <f>IF(R229="","", IF(ARBITRAGES!$H229="RAY",S228+ARBITRAGES!$K229,S228))</f>
        <v>0</v>
      </c>
      <c r="T229" s="360"/>
      <c r="U229" s="360"/>
      <c r="V229" s="360"/>
      <c r="W229" s="360"/>
      <c r="X229" s="360"/>
      <c r="Y229" s="360"/>
      <c r="Z229" s="360"/>
      <c r="AA229" s="360"/>
      <c r="AB229" s="360"/>
      <c r="AC229" s="360"/>
      <c r="AD229" s="360"/>
      <c r="AE229" s="360"/>
      <c r="AF229" s="360"/>
      <c r="AG229" s="360"/>
      <c r="AH229" s="360"/>
    </row>
    <row r="230" ht="18.75" customHeight="1">
      <c r="A230" s="365">
        <f>IF(ARBITRAGES!E230=0,"",ARBITRAGES!E230)</f>
        <v>45994</v>
      </c>
      <c r="B230" s="393">
        <f>IF(A230="","", IF(ARBITRAGES!$H230="BTC",B229-ARBITRAGES!$K230,B229))</f>
        <v>0.3072915105</v>
      </c>
      <c r="C230" s="375">
        <f>IF(B230="","", IF(ARBITRAGES!$H230="eth",C229+ARBITRAGES!$K230,C229))</f>
        <v>2.393040727</v>
      </c>
      <c r="D230" s="376">
        <f>IF(C230="","", IF(ARBITRAGES!$H230="ondo",D229+ARBITRAGES!$K230,D229))</f>
        <v>0.001390269174</v>
      </c>
      <c r="E230" s="376">
        <f>IF(D230="","", IF(ARBITRAGES!$H230="sol",E229+ARBITRAGES!$K230,E229))</f>
        <v>7.995802166</v>
      </c>
      <c r="F230" s="377">
        <f>IF(E230="","", IF(ARBITRAGES!$H230="tao",F229+ARBITRAGES!$K230,F229))</f>
        <v>4.999572074</v>
      </c>
      <c r="G230" s="378">
        <f>IF(F230="","", IF(ARBITRAGES!$H230="ron",G229+ARBITRAGES!$K230,G229))</f>
        <v>0</v>
      </c>
      <c r="H230" s="378">
        <f>IF(G230="","", IF(ARBITRAGES!$H230="link",H229+ARBITRAGES!$K230,H229))</f>
        <v>0.0265122702</v>
      </c>
      <c r="I230" s="378">
        <f>IF(H230="","", IF(ARBITRAGES!$H230="doge",I229+ARBITRAGES!$K230,I229))</f>
        <v>5175.829664</v>
      </c>
      <c r="J230" s="378">
        <f>IF(I230="","", IF(ARBITRAGES!$H230="shib",J229-ARBITRAGES!$K230,J229))</f>
        <v>-0.01945258975</v>
      </c>
      <c r="K230" s="378">
        <f>IF(J230="","", IF(ARBITRAGES!$H230="cake",K229+ARBITRAGES!$K230,K229))</f>
        <v>0</v>
      </c>
      <c r="L230" s="378">
        <f>IF(K230="","", IF(ARBITRAGES!$H230="JUP",L229+ARBITRAGES!$K230,L229))</f>
        <v>0</v>
      </c>
      <c r="M230" s="376">
        <f>IF(L230="","", IF(ARBITRAGES!$H230="aave",M229+ARBITRAGES!$K230,M229))</f>
        <v>3.506538596</v>
      </c>
      <c r="N230" s="378">
        <f>IF(M230="","", IF(ARBITRAGES!$H230="ckb",N229+ARBITRAGES!$K230,N229))</f>
        <v>0</v>
      </c>
      <c r="O230" s="378">
        <f>IF(N230="","", IF(ARBITRAGES!$H230="pendle",O229-ARBITRAGES!$K230+0.1,O229))</f>
        <v>0.001461291462</v>
      </c>
      <c r="P230" s="378">
        <f>IF(O230="","", IF(ARBITRAGES!$H230="BOME",P229+ARBITRAGES!$K230,P229))</f>
        <v>0.02891989199</v>
      </c>
      <c r="Q230" s="378">
        <f>IF(P230="","", IF(ARBITRAGES!$H230="PEPE",Q229+ARBITRAGES!$K230,Q229))</f>
        <v>0.03999999762</v>
      </c>
      <c r="R230" s="378">
        <f>IF(Q230="","", IF(ARBITRAGES!$H230="WIF",R229+ARBITRAGES!$K230,R229))</f>
        <v>0</v>
      </c>
      <c r="S230" s="378">
        <f>IF(R230="","", IF(ARBITRAGES!$H230="RAY",S229+ARBITRAGES!$K230,S229))</f>
        <v>0</v>
      </c>
      <c r="T230" s="360"/>
      <c r="U230" s="360"/>
      <c r="V230" s="360"/>
      <c r="W230" s="360"/>
      <c r="X230" s="360"/>
      <c r="Y230" s="360"/>
      <c r="Z230" s="360"/>
      <c r="AA230" s="360"/>
      <c r="AB230" s="360"/>
      <c r="AC230" s="360"/>
      <c r="AD230" s="360"/>
      <c r="AE230" s="360"/>
      <c r="AF230" s="360"/>
      <c r="AG230" s="360"/>
      <c r="AH230" s="360"/>
    </row>
    <row r="231" ht="18.75" customHeight="1">
      <c r="A231" s="365">
        <f>IF(ARBITRAGES!E231=0,"",ARBITRAGES!E231)</f>
        <v>45994</v>
      </c>
      <c r="B231" s="375">
        <f>IF(A231="","", IF(ARBITRAGES!$H231="BTC",B230+ARBITRAGES!$K231,B230))</f>
        <v>0.3072915105</v>
      </c>
      <c r="C231" s="375">
        <f>IF(B231="","", IF(ARBITRAGES!$H231="eth",C230+ARBITRAGES!$K231,C230))</f>
        <v>2.393040727</v>
      </c>
      <c r="D231" s="376">
        <f>IF(C231="","", IF(ARBITRAGES!$H231="ondo",D230+ARBITRAGES!$K231,D230))</f>
        <v>0.001390269174</v>
      </c>
      <c r="E231" s="376">
        <f>IF(D231="","", IF(ARBITRAGES!$H231="sol",E230+ARBITRAGES!$K231,E230))</f>
        <v>7.995802166</v>
      </c>
      <c r="F231" s="391">
        <f>IF(E231="","", IF(ARBITRAGES!$H231="tao",F230-ARBITRAGES!$K231,F230))</f>
        <v>3.999572074</v>
      </c>
      <c r="G231" s="378">
        <f>IF(F231="","", IF(ARBITRAGES!$H231="ron",G230+ARBITRAGES!$K231,G230))</f>
        <v>0</v>
      </c>
      <c r="H231" s="378">
        <f>IF(G231="","", IF(ARBITRAGES!$H231="link",H230+ARBITRAGES!$K231,H230))</f>
        <v>0.0265122702</v>
      </c>
      <c r="I231" s="378">
        <f>IF(H231="","", IF(ARBITRAGES!$H231="doge",I230+ARBITRAGES!$K231,I230))</f>
        <v>5175.829664</v>
      </c>
      <c r="J231" s="378">
        <f>IF(I231="","", IF(ARBITRAGES!$H231="shib",J230-ARBITRAGES!$K231,J230))</f>
        <v>-0.01945258975</v>
      </c>
      <c r="K231" s="378">
        <f>IF(J231="","", IF(ARBITRAGES!$H231="cake",K230+ARBITRAGES!$K231,K230))</f>
        <v>0</v>
      </c>
      <c r="L231" s="378">
        <f>IF(K231="","", IF(ARBITRAGES!$H231="JUP",L230+ARBITRAGES!$K231,L230))</f>
        <v>0</v>
      </c>
      <c r="M231" s="376">
        <f>IF(L231="","", IF(ARBITRAGES!$H231="aave",M230+ARBITRAGES!$K231,M230))</f>
        <v>3.506538596</v>
      </c>
      <c r="N231" s="378">
        <f>IF(M231="","", IF(ARBITRAGES!$H231="ckb",N230+ARBITRAGES!$K231,N230))</f>
        <v>0</v>
      </c>
      <c r="O231" s="378">
        <f>IF(N231="","", IF(ARBITRAGES!$H231="pendle",O230-ARBITRAGES!$K231+0.1,O230))</f>
        <v>0.001461291462</v>
      </c>
      <c r="P231" s="378">
        <f>IF(O231="","", IF(ARBITRAGES!$H231="BOME",P230+ARBITRAGES!$K231,P230))</f>
        <v>0.02891989199</v>
      </c>
      <c r="Q231" s="378">
        <f>IF(P231="","", IF(ARBITRAGES!$H231="PEPE",Q230+ARBITRAGES!$K231,Q230))</f>
        <v>0.03999999762</v>
      </c>
      <c r="R231" s="378">
        <f>IF(Q231="","", IF(ARBITRAGES!$H231="WIF",R230+ARBITRAGES!$K231,R230))</f>
        <v>0</v>
      </c>
      <c r="S231" s="378">
        <f>IF(R231="","", IF(ARBITRAGES!$H231="RAY",S230+ARBITRAGES!$K231,S230))</f>
        <v>0</v>
      </c>
      <c r="T231" s="360"/>
      <c r="U231" s="360"/>
      <c r="V231" s="360"/>
      <c r="W231" s="360"/>
      <c r="X231" s="360"/>
      <c r="Y231" s="360"/>
      <c r="Z231" s="360"/>
      <c r="AA231" s="360"/>
      <c r="AB231" s="360"/>
      <c r="AC231" s="360"/>
      <c r="AD231" s="360"/>
      <c r="AE231" s="360"/>
      <c r="AF231" s="360"/>
      <c r="AG231" s="360"/>
      <c r="AH231" s="360"/>
    </row>
    <row r="232" ht="18.75" customHeight="1">
      <c r="A232" s="365">
        <f>IF(ARBITRAGES!E232=0,"",ARBITRAGES!E232)</f>
        <v>45995</v>
      </c>
      <c r="B232" s="375">
        <f>IF(A232="","", IF(ARBITRAGES!$H232="BTC",B231+ARBITRAGES!$K232,B231))</f>
        <v>0.3072915105</v>
      </c>
      <c r="C232" s="393">
        <f>IF(B232="","", IF(ARBITRAGES!$H232="eth",C231-ARBITRAGES!$K232,C231))</f>
        <v>2.298658867</v>
      </c>
      <c r="D232" s="376">
        <f>IF(C232="","", IF(ARBITRAGES!$H232="ondo",D231+ARBITRAGES!$K232,D231))</f>
        <v>0.001390269174</v>
      </c>
      <c r="E232" s="376">
        <f>IF(D232="","", IF(ARBITRAGES!$H232="sol",E231+ARBITRAGES!$K232,E231))</f>
        <v>7.995802166</v>
      </c>
      <c r="F232" s="377">
        <f>IF(E232="","", IF(ARBITRAGES!$H232="tao",F231+ARBITRAGES!$K232,F231))</f>
        <v>3.999572074</v>
      </c>
      <c r="G232" s="378">
        <f>IF(F232="","", IF(ARBITRAGES!$H232="ron",G231+ARBITRAGES!$K232,G231))</f>
        <v>0</v>
      </c>
      <c r="H232" s="378">
        <f>IF(G232="","", IF(ARBITRAGES!$H232="link",H231+ARBITRAGES!$K232,H231))</f>
        <v>0.0265122702</v>
      </c>
      <c r="I232" s="378">
        <f>IF(H232="","", IF(ARBITRAGES!$H232="doge",I231+ARBITRAGES!$K232,I231))</f>
        <v>5175.829664</v>
      </c>
      <c r="J232" s="378">
        <f>IF(I232="","", IF(ARBITRAGES!$H232="shib",J231-ARBITRAGES!$K232,J231))</f>
        <v>-0.01945258975</v>
      </c>
      <c r="K232" s="378">
        <f>IF(J232="","", IF(ARBITRAGES!$H232="cake",K231+ARBITRAGES!$K232,K231))</f>
        <v>0</v>
      </c>
      <c r="L232" s="378">
        <f>IF(K232="","", IF(ARBITRAGES!$H232="JUP",L231+ARBITRAGES!$K232,L231))</f>
        <v>0</v>
      </c>
      <c r="M232" s="376">
        <f>IF(L232="","", IF(ARBITRAGES!$H232="aave",M231+ARBITRAGES!$K232,M231))</f>
        <v>3.506538596</v>
      </c>
      <c r="N232" s="378">
        <f>IF(M232="","", IF(ARBITRAGES!$H232="ckb",N231+ARBITRAGES!$K232,N231))</f>
        <v>0</v>
      </c>
      <c r="O232" s="378">
        <f>IF(N232="","", IF(ARBITRAGES!$H232="pendle",O231-ARBITRAGES!$K232+0.1,O231))</f>
        <v>0.001461291462</v>
      </c>
      <c r="P232" s="378">
        <f>IF(O232="","", IF(ARBITRAGES!$H232="BOME",P231+ARBITRAGES!$K232,P231))</f>
        <v>0.02891989199</v>
      </c>
      <c r="Q232" s="378">
        <f>IF(P232="","", IF(ARBITRAGES!$H232="PEPE",Q231+ARBITRAGES!$K232,Q231))</f>
        <v>0.03999999762</v>
      </c>
      <c r="R232" s="378">
        <f>IF(Q232="","", IF(ARBITRAGES!$H232="WIF",R231+ARBITRAGES!$K232,R231))</f>
        <v>0</v>
      </c>
      <c r="S232" s="378">
        <f>IF(R232="","", IF(ARBITRAGES!$H232="RAY",S231+ARBITRAGES!$K232,S231))</f>
        <v>0</v>
      </c>
      <c r="T232" s="360"/>
      <c r="U232" s="360"/>
      <c r="V232" s="360"/>
      <c r="W232" s="360"/>
      <c r="X232" s="360"/>
      <c r="Y232" s="360"/>
      <c r="Z232" s="360"/>
      <c r="AA232" s="360"/>
      <c r="AB232" s="360"/>
      <c r="AC232" s="360"/>
      <c r="AD232" s="360"/>
      <c r="AE232" s="360"/>
      <c r="AF232" s="360"/>
      <c r="AG232" s="360"/>
      <c r="AH232" s="360"/>
    </row>
    <row r="233" ht="18.75" customHeight="1">
      <c r="A233" s="365">
        <f>IF(ARBITRAGES!E233=0,"",ARBITRAGES!E233)</f>
        <v>46001</v>
      </c>
      <c r="B233" s="375">
        <f>IF(A233="","", IF(ARBITRAGES!$H233="BTC",B232+ARBITRAGES!$K233,B232))</f>
        <v>0.3072915105</v>
      </c>
      <c r="C233" s="393">
        <f>IF(B233="","", IF(ARBITRAGES!$H233="eth",C232-ARBITRAGES!$K233+0.002,C232))</f>
        <v>2.200101227</v>
      </c>
      <c r="D233" s="376">
        <f>IF(C233="","", IF(ARBITRAGES!$H233="ondo",D232+ARBITRAGES!$K233,D232))</f>
        <v>0.001390269174</v>
      </c>
      <c r="E233" s="376">
        <f>IF(D233="","", IF(ARBITRAGES!$H233="sol",E232+ARBITRAGES!$K233,E232))</f>
        <v>7.995802166</v>
      </c>
      <c r="F233" s="377">
        <f>IF(E233="","", IF(ARBITRAGES!$H233="tao",F232+ARBITRAGES!$K233,F232))</f>
        <v>3.999572074</v>
      </c>
      <c r="G233" s="378">
        <f>IF(F233="","", IF(ARBITRAGES!$H233="ron",G232+ARBITRAGES!$K233,G232))</f>
        <v>0</v>
      </c>
      <c r="H233" s="378">
        <f>IF(G233="","", IF(ARBITRAGES!$H233="link",H232+ARBITRAGES!$K233,H232))</f>
        <v>0.0265122702</v>
      </c>
      <c r="I233" s="378">
        <f>IF(H233="","", IF(ARBITRAGES!$H233="doge",I232+ARBITRAGES!$K233,I232))</f>
        <v>5175.829664</v>
      </c>
      <c r="J233" s="378">
        <f>IF(I233="","", IF(ARBITRAGES!$H233="shib",J232-ARBITRAGES!$K233,J232))</f>
        <v>-0.01945258975</v>
      </c>
      <c r="K233" s="378">
        <f>IF(J233="","", IF(ARBITRAGES!$H233="cake",K232+ARBITRAGES!$K233,K232))</f>
        <v>0</v>
      </c>
      <c r="L233" s="378">
        <f>IF(K233="","", IF(ARBITRAGES!$H233="JUP",L232+ARBITRAGES!$K233,L232))</f>
        <v>0</v>
      </c>
      <c r="M233" s="376">
        <f>IF(L233="","", IF(ARBITRAGES!$H233="aave",M232+ARBITRAGES!$K233,M232))</f>
        <v>3.506538596</v>
      </c>
      <c r="N233" s="378">
        <f>IF(M233="","", IF(ARBITRAGES!$H233="ckb",N232+ARBITRAGES!$K233,N232))</f>
        <v>0</v>
      </c>
      <c r="O233" s="378">
        <f>IF(N233="","", IF(ARBITRAGES!$H233="pendle",O232-ARBITRAGES!$K233+0.1,O232))</f>
        <v>0.001461291462</v>
      </c>
      <c r="P233" s="378">
        <f>IF(O233="","", IF(ARBITRAGES!$H233="BOME",P232+ARBITRAGES!$K233,P232))</f>
        <v>0.02891989199</v>
      </c>
      <c r="Q233" s="378">
        <f>IF(P233="","", IF(ARBITRAGES!$H233="PEPE",Q232+ARBITRAGES!$K233,Q232))</f>
        <v>0.03999999762</v>
      </c>
      <c r="R233" s="378">
        <f>IF(Q233="","", IF(ARBITRAGES!$H233="WIF",R232+ARBITRAGES!$K233,R232))</f>
        <v>0</v>
      </c>
      <c r="S233" s="378">
        <f>IF(R233="","", IF(ARBITRAGES!$H233="RAY",S232+ARBITRAGES!$K233,S232))</f>
        <v>0</v>
      </c>
      <c r="T233" s="360"/>
      <c r="U233" s="360"/>
      <c r="V233" s="360"/>
      <c r="W233" s="360"/>
      <c r="X233" s="360"/>
      <c r="Y233" s="360"/>
      <c r="Z233" s="360"/>
      <c r="AA233" s="360"/>
      <c r="AB233" s="360"/>
      <c r="AC233" s="360"/>
      <c r="AD233" s="360"/>
      <c r="AE233" s="360"/>
      <c r="AF233" s="360"/>
      <c r="AG233" s="360"/>
      <c r="AH233" s="360"/>
    </row>
    <row r="234" ht="18.75" customHeight="1">
      <c r="A234" s="365">
        <f>IF(ARBITRAGES!E234=0,"",ARBITRAGES!E234)</f>
        <v>46026</v>
      </c>
      <c r="B234" s="393">
        <f>IF(A234="","", IF(ARBITRAGES!$H234="BTC",B233-ARBITRAGES!$K234,B233))</f>
        <v>0.304012822</v>
      </c>
      <c r="C234" s="375">
        <f>IF(B234="","", IF(ARBITRAGES!$H234="eth",C233+ARBITRAGES!$K234,C233))</f>
        <v>2.200101227</v>
      </c>
      <c r="D234" s="376">
        <f>IF(C234="","", IF(ARBITRAGES!$H234="ondo",D233+ARBITRAGES!$K234,D233))</f>
        <v>0.001390269174</v>
      </c>
      <c r="E234" s="376">
        <f>IF(D234="","", IF(ARBITRAGES!$H234="sol",E233+ARBITRAGES!$K234,E233))</f>
        <v>7.995802166</v>
      </c>
      <c r="F234" s="377">
        <f>IF(E234="","", IF(ARBITRAGES!$H234="tao",F233+ARBITRAGES!$K234,F233))</f>
        <v>3.999572074</v>
      </c>
      <c r="G234" s="378">
        <f>IF(F234="","", IF(ARBITRAGES!$H234="ron",G233+ARBITRAGES!$K234,G233))</f>
        <v>0</v>
      </c>
      <c r="H234" s="378">
        <f>IF(G234="","", IF(ARBITRAGES!$H234="link",H233+ARBITRAGES!$K234,H233))</f>
        <v>0.0265122702</v>
      </c>
      <c r="I234" s="378">
        <f>IF(H234="","", IF(ARBITRAGES!$H234="doge",I233+ARBITRAGES!$K234,I233))</f>
        <v>5175.829664</v>
      </c>
      <c r="J234" s="378">
        <f>IF(I234="","", IF(ARBITRAGES!$H234="shib",J233-ARBITRAGES!$K234,J233))</f>
        <v>-0.01945258975</v>
      </c>
      <c r="K234" s="378">
        <f>IF(J234="","", IF(ARBITRAGES!$H234="cake",K233+ARBITRAGES!$K234,K233))</f>
        <v>0</v>
      </c>
      <c r="L234" s="378">
        <f>IF(K234="","", IF(ARBITRAGES!$H234="JUP",L233+ARBITRAGES!$K234,L233))</f>
        <v>0</v>
      </c>
      <c r="M234" s="376">
        <f>IF(L234="","", IF(ARBITRAGES!$H234="aave",M233+ARBITRAGES!$K234,M233))</f>
        <v>3.506538596</v>
      </c>
      <c r="N234" s="378">
        <f>IF(M234="","", IF(ARBITRAGES!$H234="ckb",N233+ARBITRAGES!$K234,N233))</f>
        <v>0</v>
      </c>
      <c r="O234" s="378">
        <f>IF(N234="","", IF(ARBITRAGES!$H234="pendle",O233-ARBITRAGES!$K234+0.1,O233))</f>
        <v>0.001461291462</v>
      </c>
      <c r="P234" s="378">
        <f>IF(O234="","", IF(ARBITRAGES!$H234="BOME",P233+ARBITRAGES!$K234,P233))</f>
        <v>0.02891989199</v>
      </c>
      <c r="Q234" s="378">
        <f>IF(P234="","", IF(ARBITRAGES!$H234="PEPE",Q233+ARBITRAGES!$K234,Q233))</f>
        <v>0.03999999762</v>
      </c>
      <c r="R234" s="378">
        <f>IF(Q234="","", IF(ARBITRAGES!$H234="WIF",R233+ARBITRAGES!$K234,R233))</f>
        <v>0</v>
      </c>
      <c r="S234" s="378">
        <f>IF(R234="","", IF(ARBITRAGES!$H234="RAY",S233+ARBITRAGES!$K234,S233))</f>
        <v>0</v>
      </c>
      <c r="T234" s="360"/>
      <c r="U234" s="360"/>
      <c r="V234" s="360"/>
      <c r="W234" s="360"/>
      <c r="X234" s="360"/>
      <c r="Y234" s="360"/>
      <c r="Z234" s="360"/>
      <c r="AA234" s="360"/>
      <c r="AB234" s="360"/>
      <c r="AC234" s="360"/>
      <c r="AD234" s="360"/>
      <c r="AE234" s="360"/>
      <c r="AF234" s="360"/>
      <c r="AG234" s="360"/>
      <c r="AH234" s="360"/>
    </row>
    <row r="235" ht="18.75" customHeight="1">
      <c r="A235" s="365">
        <f>IF(ARBITRAGES!E235=0,"",ARBITRAGES!E235)</f>
        <v>46039</v>
      </c>
      <c r="B235" s="375">
        <f>IF(A235="","", IF(ARBITRAGES!$H235="BTC",B234+ARBITRAGES!$K235,B234))</f>
        <v>0.304012822</v>
      </c>
      <c r="C235" s="393">
        <f>IF(B235="","", IF(ARBITRAGES!$H235="eth",C234-ARBITRAGES!$K235+0.0041,C234))</f>
        <v>2.104183347</v>
      </c>
      <c r="D235" s="376">
        <f>IF(C235="","", IF(ARBITRAGES!$H235="ondo",D234+ARBITRAGES!$K235,D234))</f>
        <v>0.001390269174</v>
      </c>
      <c r="E235" s="376">
        <f>IF(D235="","", IF(ARBITRAGES!$H235="sol",E234+ARBITRAGES!$K235,E234))</f>
        <v>7.995802166</v>
      </c>
      <c r="F235" s="377">
        <f>IF(E235="","", IF(ARBITRAGES!$H235="tao",F234+ARBITRAGES!$K235,F234))</f>
        <v>3.999572074</v>
      </c>
      <c r="G235" s="378">
        <f>IF(F235="","", IF(ARBITRAGES!$H235="ron",G234+ARBITRAGES!$K235,G234))</f>
        <v>0</v>
      </c>
      <c r="H235" s="378">
        <f>IF(G235="","", IF(ARBITRAGES!$H235="link",H234+ARBITRAGES!$K235,H234))</f>
        <v>0.0265122702</v>
      </c>
      <c r="I235" s="378">
        <f>IF(H235="","", IF(ARBITRAGES!$H235="doge",I234+ARBITRAGES!$K235,I234))</f>
        <v>5175.829664</v>
      </c>
      <c r="J235" s="378">
        <f>IF(I235="","", IF(ARBITRAGES!$H235="shib",J234-ARBITRAGES!$K235,J234))</f>
        <v>-0.01945258975</v>
      </c>
      <c r="K235" s="378">
        <f>IF(J235="","", IF(ARBITRAGES!$H235="cake",K234+ARBITRAGES!$K235,K234))</f>
        <v>0</v>
      </c>
      <c r="L235" s="378">
        <f>IF(K235="","", IF(ARBITRAGES!$H235="JUP",L234+ARBITRAGES!$K235,L234))</f>
        <v>0</v>
      </c>
      <c r="M235" s="376">
        <f>IF(L235="","", IF(ARBITRAGES!$H235="aave",M234+ARBITRAGES!$K235,M234))</f>
        <v>3.506538596</v>
      </c>
      <c r="N235" s="378">
        <f>IF(M235="","", IF(ARBITRAGES!$H235="ckb",N234+ARBITRAGES!$K235,N234))</f>
        <v>0</v>
      </c>
      <c r="O235" s="378">
        <f>IF(N235="","", IF(ARBITRAGES!$H235="pendle",O234-ARBITRAGES!$K235+0.1,O234))</f>
        <v>0.001461291462</v>
      </c>
      <c r="P235" s="378">
        <f>IF(O235="","", IF(ARBITRAGES!$H235="BOME",P234+ARBITRAGES!$K235,P234))</f>
        <v>0.02891989199</v>
      </c>
      <c r="Q235" s="378">
        <f>IF(P235="","", IF(ARBITRAGES!$H235="PEPE",Q234+ARBITRAGES!$K235,Q234))</f>
        <v>0.03999999762</v>
      </c>
      <c r="R235" s="378">
        <f>IF(Q235="","", IF(ARBITRAGES!$H235="WIF",R234+ARBITRAGES!$K235,R234))</f>
        <v>0</v>
      </c>
      <c r="S235" s="378">
        <f>IF(R235="","", IF(ARBITRAGES!$H235="RAY",S234+ARBITRAGES!$K235,S234))</f>
        <v>0</v>
      </c>
      <c r="T235" s="360"/>
      <c r="U235" s="360"/>
      <c r="V235" s="360"/>
      <c r="W235" s="360"/>
      <c r="X235" s="360"/>
      <c r="Y235" s="360"/>
      <c r="Z235" s="360"/>
      <c r="AA235" s="360"/>
      <c r="AB235" s="360"/>
      <c r="AC235" s="360"/>
      <c r="AD235" s="360"/>
      <c r="AE235" s="360"/>
      <c r="AF235" s="360"/>
      <c r="AG235" s="360"/>
      <c r="AH235" s="360"/>
    </row>
    <row r="236" ht="18.75" customHeight="1">
      <c r="A236" s="365">
        <f>IF(ARBITRAGES!E236=0,"",ARBITRAGES!E236)</f>
        <v>46045</v>
      </c>
      <c r="B236" s="375">
        <f>IF(A236="","", IF(ARBITRAGES!$H236="BTC",B235+ARBITRAGES!$K236,B235))</f>
        <v>0.304012822</v>
      </c>
      <c r="C236" s="375">
        <f>IF(B236="","", IF(ARBITRAGES!$H236="eth",C235+ARBITRAGES!$K236,C235))</f>
        <v>2.104183347</v>
      </c>
      <c r="D236" s="376">
        <f>IF(C236="","", IF(ARBITRAGES!$H236="ondo",D235+ARBITRAGES!$K236,D235))</f>
        <v>0.001390269174</v>
      </c>
      <c r="E236" s="376">
        <f>IF(D236="","", IF(ARBITRAGES!$H236="sol",E235+ARBITRAGES!$K236,E235))</f>
        <v>7.995802166</v>
      </c>
      <c r="F236" s="377">
        <f>IF(E236="","", IF(ARBITRAGES!$H236="tao",F235+ARBITRAGES!$K236,F235))</f>
        <v>3.999572074</v>
      </c>
      <c r="G236" s="378">
        <f>IF(F236="","", IF(ARBITRAGES!$H236="ron",G235+ARBITRAGES!$K236,G235))</f>
        <v>0</v>
      </c>
      <c r="H236" s="378">
        <f>IF(G236="","", IF(ARBITRAGES!$H236="link",H235+ARBITRAGES!$K236,H235))</f>
        <v>0.0265122702</v>
      </c>
      <c r="I236" s="394">
        <f>IF(H236="","", IF(ARBITRAGES!$H236="doge",I235-ARBITRAGES!$K236,I235))</f>
        <v>2675.829664</v>
      </c>
      <c r="J236" s="378">
        <f>IF(I236="","", IF(ARBITRAGES!$H236="shib",J235-ARBITRAGES!$K236,J235))</f>
        <v>-0.01945258975</v>
      </c>
      <c r="K236" s="378">
        <f>IF(J236="","", IF(ARBITRAGES!$H236="cake",K235+ARBITRAGES!$K236,K235))</f>
        <v>0</v>
      </c>
      <c r="L236" s="378">
        <f>IF(K236="","", IF(ARBITRAGES!$H236="JUP",L235+ARBITRAGES!$K236,L235))</f>
        <v>0</v>
      </c>
      <c r="M236" s="376">
        <f>IF(L236="","", IF(ARBITRAGES!$H236="aave",M235+ARBITRAGES!$K236,M235))</f>
        <v>3.506538596</v>
      </c>
      <c r="N236" s="378">
        <f>IF(M236="","", IF(ARBITRAGES!$H236="ckb",N235+ARBITRAGES!$K236,N235))</f>
        <v>0</v>
      </c>
      <c r="O236" s="378">
        <f>IF(N236="","", IF(ARBITRAGES!$H236="pendle",O235-ARBITRAGES!$K236+0.1,O235))</f>
        <v>0.001461291462</v>
      </c>
      <c r="P236" s="378">
        <f>IF(O236="","", IF(ARBITRAGES!$H236="BOME",P235+ARBITRAGES!$K236,P235))</f>
        <v>0.02891989199</v>
      </c>
      <c r="Q236" s="378">
        <f>IF(P236="","", IF(ARBITRAGES!$H236="PEPE",Q235+ARBITRAGES!$K236,Q235))</f>
        <v>0.03999999762</v>
      </c>
      <c r="R236" s="378">
        <f>IF(Q236="","", IF(ARBITRAGES!$H236="WIF",R235+ARBITRAGES!$K236,R235))</f>
        <v>0</v>
      </c>
      <c r="S236" s="378">
        <f>IF(R236="","", IF(ARBITRAGES!$H236="RAY",S235+ARBITRAGES!$K236,S235))</f>
        <v>0</v>
      </c>
      <c r="T236" s="360"/>
      <c r="U236" s="360"/>
      <c r="V236" s="360"/>
      <c r="W236" s="360"/>
      <c r="X236" s="360"/>
      <c r="Y236" s="360"/>
      <c r="Z236" s="360"/>
      <c r="AA236" s="360"/>
      <c r="AB236" s="360"/>
      <c r="AC236" s="360"/>
      <c r="AD236" s="360"/>
      <c r="AE236" s="360"/>
      <c r="AF236" s="360"/>
      <c r="AG236" s="360"/>
      <c r="AH236" s="360"/>
    </row>
    <row r="237" ht="18.75" customHeight="1">
      <c r="A237" s="365">
        <f>IF(ARBITRAGES!E237=0,"",ARBITRAGES!E237)</f>
        <v>46046</v>
      </c>
      <c r="B237" s="393">
        <f>IF(A237="","", IF(ARBITRAGES!$H237="BTC",B236-ARBITRAGES!$K237,B236))</f>
        <v>0.292870762</v>
      </c>
      <c r="C237" s="375">
        <f>IF(B237="","", IF(ARBITRAGES!$H237="eth",C236+ARBITRAGES!$K237,C236))</f>
        <v>2.104183347</v>
      </c>
      <c r="D237" s="376">
        <f>IF(C237="","", IF(ARBITRAGES!$H237="ondo",D236+ARBITRAGES!$K237,D236))</f>
        <v>0.001390269174</v>
      </c>
      <c r="E237" s="376">
        <f>IF(D237="","", IF(ARBITRAGES!$H237="sol",E236+ARBITRAGES!$K237,E236))</f>
        <v>7.995802166</v>
      </c>
      <c r="F237" s="377">
        <f>IF(E237="","", IF(ARBITRAGES!$H237="tao",F236+ARBITRAGES!$K237,F236))</f>
        <v>3.999572074</v>
      </c>
      <c r="G237" s="378">
        <f>IF(F237="","", IF(ARBITRAGES!$H237="ron",G236+ARBITRAGES!$K237,G236))</f>
        <v>0</v>
      </c>
      <c r="H237" s="378">
        <f>IF(G237="","", IF(ARBITRAGES!$H237="link",H236+ARBITRAGES!$K237,H236))</f>
        <v>0.0265122702</v>
      </c>
      <c r="I237" s="378">
        <f>IF(H237="","", IF(ARBITRAGES!$H237="doge",I236-ARBITRAGES!$K237,I236))</f>
        <v>2675.829664</v>
      </c>
      <c r="J237" s="378">
        <f>IF(I237="","", IF(ARBITRAGES!$H237="shib",J236-ARBITRAGES!$K237,J236))</f>
        <v>-0.01945258975</v>
      </c>
      <c r="K237" s="378">
        <f>IF(J237="","", IF(ARBITRAGES!$H237="cake",K236+ARBITRAGES!$K237,K236))</f>
        <v>0</v>
      </c>
      <c r="L237" s="378">
        <f>IF(K237="","", IF(ARBITRAGES!$H237="JUP",L236+ARBITRAGES!$K237,L236))</f>
        <v>0</v>
      </c>
      <c r="M237" s="376">
        <f>IF(L237="","", IF(ARBITRAGES!$H237="aave",M236+ARBITRAGES!$K237,M236))</f>
        <v>3.506538596</v>
      </c>
      <c r="N237" s="378">
        <f>IF(M237="","", IF(ARBITRAGES!$H237="ckb",N236+ARBITRAGES!$K237,N236))</f>
        <v>0</v>
      </c>
      <c r="O237" s="378">
        <f>IF(N237="","", IF(ARBITRAGES!$H237="pendle",O236-ARBITRAGES!$K237+0.1,O236))</f>
        <v>0.001461291462</v>
      </c>
      <c r="P237" s="378">
        <f>IF(O237="","", IF(ARBITRAGES!$H237="BOME",P236+ARBITRAGES!$K237,P236))</f>
        <v>0.02891989199</v>
      </c>
      <c r="Q237" s="378">
        <f>IF(P237="","", IF(ARBITRAGES!$H237="PEPE",Q236+ARBITRAGES!$K237,Q236))</f>
        <v>0.03999999762</v>
      </c>
      <c r="R237" s="378">
        <f>IF(Q237="","", IF(ARBITRAGES!$H237="WIF",R236+ARBITRAGES!$K237,R236))</f>
        <v>0</v>
      </c>
      <c r="S237" s="378">
        <f>IF(R237="","", IF(ARBITRAGES!$H237="RAY",S236+ARBITRAGES!$K237,S236))</f>
        <v>0</v>
      </c>
      <c r="T237" s="360"/>
      <c r="U237" s="360"/>
      <c r="V237" s="360"/>
      <c r="W237" s="360"/>
      <c r="X237" s="360"/>
      <c r="Y237" s="360"/>
      <c r="Z237" s="360"/>
      <c r="AA237" s="360"/>
      <c r="AB237" s="360"/>
      <c r="AC237" s="360"/>
      <c r="AD237" s="360"/>
      <c r="AE237" s="360"/>
      <c r="AF237" s="360"/>
      <c r="AG237" s="360"/>
      <c r="AH237" s="360"/>
    </row>
    <row r="238" ht="18.75" customHeight="1">
      <c r="A238" s="365">
        <f>IF(ARBITRAGES!E238=0,"",ARBITRAGES!E238)</f>
        <v>46047</v>
      </c>
      <c r="B238" s="375">
        <f>IF(A238="","", IF(ARBITRAGES!$H238="BTC",B237+ARBITRAGES!$K238,B237))</f>
        <v>0.292870762</v>
      </c>
      <c r="C238" s="375">
        <f>IF(B238="","", IF(ARBITRAGES!$H238="eth",C237+ARBITRAGES!$K238,C237))</f>
        <v>2.104183347</v>
      </c>
      <c r="D238" s="376">
        <f>IF(C238="","", IF(ARBITRAGES!$H238="ondo",D237+ARBITRAGES!$K238,D237))</f>
        <v>0.001390269174</v>
      </c>
      <c r="E238" s="376">
        <f>IF(D238="","", IF(ARBITRAGES!$H238="sol",E237+ARBITRAGES!$K238,E237))</f>
        <v>7.995802166</v>
      </c>
      <c r="F238" s="377">
        <f>IF(E238="","", IF(ARBITRAGES!$H238="tao",F237+ARBITRAGES!$K238,F237))</f>
        <v>3.999572074</v>
      </c>
      <c r="G238" s="378">
        <f>IF(F238="","", IF(ARBITRAGES!$H238="ron",G237+ARBITRAGES!$K238,G237))</f>
        <v>0</v>
      </c>
      <c r="H238" s="398">
        <f>IF(G238="","", IF(ARBITRAGES!$H238="link",H237+ARBITRAGES!$K238,H237))</f>
        <v>25.02651227</v>
      </c>
      <c r="I238" s="378">
        <f>IF(H238="","", IF(ARBITRAGES!$H238="doge",I237+ARBITRAGES!$K238,I237))</f>
        <v>2675.829664</v>
      </c>
      <c r="J238" s="378">
        <f>IF(I238="","", IF(ARBITRAGES!$H238="shib",J237-ARBITRAGES!$K238,J237))</f>
        <v>-0.01945258975</v>
      </c>
      <c r="K238" s="378">
        <f>IF(J238="","", IF(ARBITRAGES!$H238="cake",K237+ARBITRAGES!$K238,K237))</f>
        <v>0</v>
      </c>
      <c r="L238" s="378">
        <f>IF(K238="","", IF(ARBITRAGES!$H238="JUP",L237+ARBITRAGES!$K238,L237))</f>
        <v>0</v>
      </c>
      <c r="M238" s="376">
        <f>IF(L238="","", IF(ARBITRAGES!$H238="aave",M237+ARBITRAGES!$K238,M237))</f>
        <v>3.506538596</v>
      </c>
      <c r="N238" s="378">
        <f>IF(M238="","", IF(ARBITRAGES!$H238="ckb",N237+ARBITRAGES!$K238,N237))</f>
        <v>0</v>
      </c>
      <c r="O238" s="378">
        <f>IF(N238="","", IF(ARBITRAGES!$H238="pendle",O237-ARBITRAGES!$K238+0.1,O237))</f>
        <v>0.001461291462</v>
      </c>
      <c r="P238" s="378">
        <f>IF(O238="","", IF(ARBITRAGES!$H238="BOME",P237+ARBITRAGES!$K238,P237))</f>
        <v>0.02891989199</v>
      </c>
      <c r="Q238" s="378">
        <f>IF(P238="","", IF(ARBITRAGES!$H238="PEPE",Q237+ARBITRAGES!$K238,Q237))</f>
        <v>0.03999999762</v>
      </c>
      <c r="R238" s="378">
        <f>IF(Q238="","", IF(ARBITRAGES!$H238="WIF",R237+ARBITRAGES!$K238,R237))</f>
        <v>0</v>
      </c>
      <c r="S238" s="378">
        <f>IF(R238="","", IF(ARBITRAGES!$H238="RAY",S237+ARBITRAGES!$K238,S237))</f>
        <v>0</v>
      </c>
      <c r="T238" s="360"/>
      <c r="U238" s="360"/>
      <c r="V238" s="360"/>
      <c r="W238" s="360"/>
      <c r="X238" s="360"/>
      <c r="Y238" s="360"/>
      <c r="Z238" s="360"/>
      <c r="AA238" s="360"/>
      <c r="AB238" s="360"/>
      <c r="AC238" s="360"/>
      <c r="AD238" s="360"/>
      <c r="AE238" s="360"/>
      <c r="AF238" s="360"/>
      <c r="AG238" s="360"/>
      <c r="AH238" s="360"/>
    </row>
    <row r="239" ht="18.75" customHeight="1">
      <c r="A239" s="365">
        <f>IF(ARBITRAGES!E239=0,"",ARBITRAGES!E239)</f>
        <v>46048</v>
      </c>
      <c r="B239" s="374">
        <f>IF(A239="","", IF(ARBITRAGES!$H239="BTC",B238+ARBITRAGES!$K239,B238))</f>
        <v>0.2951564763</v>
      </c>
      <c r="C239" s="375">
        <f>IF(B239="","", IF(ARBITRAGES!$H239="eth",C238+ARBITRAGES!$K239,C238))</f>
        <v>2.104183347</v>
      </c>
      <c r="D239" s="376">
        <f>IF(C239="","", IF(ARBITRAGES!$H239="ondo",D238+ARBITRAGES!$K239,D238))</f>
        <v>0.001390269174</v>
      </c>
      <c r="E239" s="376">
        <f>IF(D239="","", IF(ARBITRAGES!$H239="sol",E238+ARBITRAGES!$K239,E238))</f>
        <v>7.995802166</v>
      </c>
      <c r="F239" s="377">
        <f>IF(E239="","", IF(ARBITRAGES!$H239="tao",F238+ARBITRAGES!$K239,F238))</f>
        <v>3.999572074</v>
      </c>
      <c r="G239" s="378">
        <f>IF(F239="","", IF(ARBITRAGES!$H239="ron",G238+ARBITRAGES!$K239,G238))</f>
        <v>0</v>
      </c>
      <c r="H239" s="378">
        <f>IF(G239="","", IF(ARBITRAGES!$H239="link",H238+ARBITRAGES!$K239,H238))</f>
        <v>25.02651227</v>
      </c>
      <c r="I239" s="378">
        <f>IF(H239="","", IF(ARBITRAGES!$H239="doge",I238+ARBITRAGES!$K239,I238))</f>
        <v>2675.829664</v>
      </c>
      <c r="J239" s="378">
        <f>IF(I239="","", IF(ARBITRAGES!$H239="shib",J238-ARBITRAGES!$K239,J238))</f>
        <v>-0.01945258975</v>
      </c>
      <c r="K239" s="378">
        <f>IF(J239="","", IF(ARBITRAGES!$H239="cake",K238+ARBITRAGES!$K239,K238))</f>
        <v>0</v>
      </c>
      <c r="L239" s="378">
        <f>IF(K239="","", IF(ARBITRAGES!$H239="JUP",L238+ARBITRAGES!$K239,L238))</f>
        <v>0</v>
      </c>
      <c r="M239" s="376">
        <f>IF(L239="","", IF(ARBITRAGES!$H239="aave",M238+ARBITRAGES!$K239,M238))</f>
        <v>3.506538596</v>
      </c>
      <c r="N239" s="378">
        <f>IF(M239="","", IF(ARBITRAGES!$H239="ckb",N238+ARBITRAGES!$K239,N238))</f>
        <v>0</v>
      </c>
      <c r="O239" s="378">
        <f>IF(N239="","", IF(ARBITRAGES!$H239="pendle",O238-ARBITRAGES!$K239+0.1,O238))</f>
        <v>0.001461291462</v>
      </c>
      <c r="P239" s="378">
        <f>IF(O239="","", IF(ARBITRAGES!$H239="BOME",P238+ARBITRAGES!$K239,P238))</f>
        <v>0.02891989199</v>
      </c>
      <c r="Q239" s="378">
        <f>IF(P239="","", IF(ARBITRAGES!$H239="PEPE",Q238+ARBITRAGES!$K239,Q238))</f>
        <v>0.03999999762</v>
      </c>
      <c r="R239" s="378">
        <f>IF(Q239="","", IF(ARBITRAGES!$H239="WIF",R238+ARBITRAGES!$K239,R238))</f>
        <v>0</v>
      </c>
      <c r="S239" s="378">
        <f>IF(R239="","", IF(ARBITRAGES!$H239="RAY",S238+ARBITRAGES!$K239,S238))</f>
        <v>0</v>
      </c>
      <c r="T239" s="360"/>
      <c r="U239" s="360"/>
      <c r="V239" s="360"/>
      <c r="W239" s="360"/>
      <c r="X239" s="360"/>
      <c r="Y239" s="360"/>
      <c r="Z239" s="360"/>
      <c r="AA239" s="360"/>
      <c r="AB239" s="360"/>
      <c r="AC239" s="360"/>
      <c r="AD239" s="360"/>
      <c r="AE239" s="360"/>
      <c r="AF239" s="360"/>
      <c r="AG239" s="360"/>
      <c r="AH239" s="360"/>
    </row>
    <row r="240" ht="18.75" customHeight="1">
      <c r="A240" s="365">
        <f>IF(ARBITRAGES!E240=0,"",ARBITRAGES!E240)</f>
        <v>46053</v>
      </c>
      <c r="B240" s="374">
        <f>IF(A240="","", IF(ARBITRAGES!$H240="BTC",B239+ARBITRAGES!$K240,B239))</f>
        <v>0.3084064763</v>
      </c>
      <c r="C240" s="375">
        <f>IF(B240="","", IF(ARBITRAGES!$H240="eth",C239+ARBITRAGES!$K240,C239))</f>
        <v>2.104183347</v>
      </c>
      <c r="D240" s="376">
        <f>IF(C240="","", IF(ARBITRAGES!$H240="ondo",D239+ARBITRAGES!$K240,D239))</f>
        <v>0.001390269174</v>
      </c>
      <c r="E240" s="376">
        <f>IF(D240="","", IF(ARBITRAGES!$H240="sol",E239+ARBITRAGES!$K240,E239))</f>
        <v>7.995802166</v>
      </c>
      <c r="F240" s="377">
        <f>IF(E240="","", IF(ARBITRAGES!$H240="tao",F239+ARBITRAGES!$K240,F239))</f>
        <v>3.999572074</v>
      </c>
      <c r="G240" s="378">
        <f>IF(F240="","", IF(ARBITRAGES!$H240="ron",G239+ARBITRAGES!$K240,G239))</f>
        <v>0</v>
      </c>
      <c r="H240" s="378">
        <f>IF(G240="","", IF(ARBITRAGES!$H240="link",H239+ARBITRAGES!$K240,H239))</f>
        <v>25.02651227</v>
      </c>
      <c r="I240" s="378">
        <f>IF(H240="","", IF(ARBITRAGES!$H240="doge",I239+ARBITRAGES!$K240,I239))</f>
        <v>2675.829664</v>
      </c>
      <c r="J240" s="378">
        <f>IF(I240="","", IF(ARBITRAGES!$H240="shib",J239-ARBITRAGES!$K240,J239))</f>
        <v>-0.01945258975</v>
      </c>
      <c r="K240" s="378">
        <f>IF(J240="","", IF(ARBITRAGES!$H240="cake",K239+ARBITRAGES!$K240,K239))</f>
        <v>0</v>
      </c>
      <c r="L240" s="378">
        <f>IF(K240="","", IF(ARBITRAGES!$H240="JUP",L239+ARBITRAGES!$K240,L239))</f>
        <v>0</v>
      </c>
      <c r="M240" s="376">
        <f>IF(L240="","", IF(ARBITRAGES!$H240="aave",M239+ARBITRAGES!$K240,M239))</f>
        <v>3.506538596</v>
      </c>
      <c r="N240" s="378">
        <f>IF(M240="","", IF(ARBITRAGES!$H240="ckb",N239+ARBITRAGES!$K240,N239))</f>
        <v>0</v>
      </c>
      <c r="O240" s="378">
        <f>IF(N240="","", IF(ARBITRAGES!$H240="pendle",O239-ARBITRAGES!$K240+0.1,O239))</f>
        <v>0.001461291462</v>
      </c>
      <c r="P240" s="378">
        <f>IF(O240="","", IF(ARBITRAGES!$H240="BOME",P239+ARBITRAGES!$K240,P239))</f>
        <v>0.02891989199</v>
      </c>
      <c r="Q240" s="378">
        <f>IF(P240="","", IF(ARBITRAGES!$H240="PEPE",Q239+ARBITRAGES!$K240,Q239))</f>
        <v>0.03999999762</v>
      </c>
      <c r="R240" s="378">
        <f>IF(Q240="","", IF(ARBITRAGES!$H240="WIF",R239+ARBITRAGES!$K240,R239))</f>
        <v>0</v>
      </c>
      <c r="S240" s="378">
        <f>IF(R240="","", IF(ARBITRAGES!$H240="RAY",S239+ARBITRAGES!$K240,S239))</f>
        <v>0</v>
      </c>
      <c r="T240" s="360"/>
      <c r="U240" s="360"/>
      <c r="V240" s="360"/>
      <c r="W240" s="360"/>
      <c r="X240" s="360"/>
      <c r="Y240" s="360"/>
      <c r="Z240" s="360"/>
      <c r="AA240" s="360"/>
      <c r="AB240" s="360"/>
      <c r="AC240" s="360"/>
      <c r="AD240" s="360"/>
      <c r="AE240" s="360"/>
      <c r="AF240" s="360"/>
      <c r="AG240" s="360"/>
      <c r="AH240" s="360"/>
    </row>
    <row r="241" ht="18.75" customHeight="1">
      <c r="A241" s="365">
        <f>IF(ARBITRAGES!E241=0,"",ARBITRAGES!E241)</f>
        <v>46053</v>
      </c>
      <c r="B241" s="375">
        <f>IF(A241="","", IF(ARBITRAGES!$H241="BTC",B240+ARBITRAGES!$K241,B240))</f>
        <v>0.3144064763</v>
      </c>
      <c r="C241" s="375">
        <f>IF(B241="","", IF(ARBITRAGES!$H241="eth",C240+ARBITRAGES!$K241,C240))</f>
        <v>2.104183347</v>
      </c>
      <c r="D241" s="376">
        <f>IF(C241="","", IF(ARBITRAGES!$H241="ondo",D240+ARBITRAGES!$K241,D240))</f>
        <v>0.001390269174</v>
      </c>
      <c r="E241" s="376">
        <f>IF(D241="","", IF(ARBITRAGES!$H241="sol",E240+ARBITRAGES!$K241,E240))</f>
        <v>7.995802166</v>
      </c>
      <c r="F241" s="377">
        <f>IF(E241="","", IF(ARBITRAGES!$H241="tao",F240+ARBITRAGES!$K241,F240))</f>
        <v>3.999572074</v>
      </c>
      <c r="G241" s="378">
        <f>IF(F241="","", IF(ARBITRAGES!$H241="ron",G240+ARBITRAGES!$K241,G240))</f>
        <v>0</v>
      </c>
      <c r="H241" s="394">
        <f>IF(G241="","", IF(ARBITRAGES!$H241="link",H240-ARBITRAGES!$K241,H240))</f>
        <v>25.02651227</v>
      </c>
      <c r="I241" s="378">
        <f>IF(H241="","", IF(ARBITRAGES!$H241="doge",I240+ARBITRAGES!$K241,I240))</f>
        <v>2675.829664</v>
      </c>
      <c r="J241" s="378">
        <f>IF(I241="","", IF(ARBITRAGES!$H241="shib",J240-ARBITRAGES!$K241,J240))</f>
        <v>-0.01945258975</v>
      </c>
      <c r="K241" s="378">
        <f>IF(J241="","", IF(ARBITRAGES!$H241="cake",K240+ARBITRAGES!$K241,K240))</f>
        <v>0</v>
      </c>
      <c r="L241" s="378">
        <f>IF(K241="","", IF(ARBITRAGES!$H241="JUP",L240+ARBITRAGES!$K241,L240))</f>
        <v>0</v>
      </c>
      <c r="M241" s="376">
        <f>IF(L241="","", IF(ARBITRAGES!$H241="aave",M240+ARBITRAGES!$K241,M240))</f>
        <v>3.506538596</v>
      </c>
      <c r="N241" s="378">
        <f>IF(M241="","", IF(ARBITRAGES!$H241="ckb",N240+ARBITRAGES!$K241,N240))</f>
        <v>0</v>
      </c>
      <c r="O241" s="378">
        <f>IF(N241="","", IF(ARBITRAGES!$H241="pendle",O240-ARBITRAGES!$K241+0.1,O240))</f>
        <v>0.001461291462</v>
      </c>
      <c r="P241" s="378">
        <f>IF(O241="","", IF(ARBITRAGES!$H241="BOME",P240+ARBITRAGES!$K241,P240))</f>
        <v>0.02891989199</v>
      </c>
      <c r="Q241" s="378">
        <f>IF(P241="","", IF(ARBITRAGES!$H241="PEPE",Q240+ARBITRAGES!$K241,Q240))</f>
        <v>0.03999999762</v>
      </c>
      <c r="R241" s="378">
        <f>IF(Q241="","", IF(ARBITRAGES!$H241="WIF",R240+ARBITRAGES!$K241,R240))</f>
        <v>0</v>
      </c>
      <c r="S241" s="378">
        <f>IF(R241="","", IF(ARBITRAGES!$H241="RAY",S240+ARBITRAGES!$K241,S240))</f>
        <v>0</v>
      </c>
      <c r="T241" s="360"/>
      <c r="U241" s="360"/>
      <c r="V241" s="360"/>
      <c r="W241" s="360"/>
      <c r="X241" s="360"/>
      <c r="Y241" s="360"/>
      <c r="Z241" s="360"/>
      <c r="AA241" s="360"/>
      <c r="AB241" s="360"/>
      <c r="AC241" s="360"/>
      <c r="AD241" s="360"/>
      <c r="AE241" s="360"/>
      <c r="AF241" s="360"/>
      <c r="AG241" s="360"/>
      <c r="AH241" s="360"/>
    </row>
    <row r="242" ht="18.75" customHeight="1">
      <c r="A242" s="365">
        <f>IF(ARBITRAGES!E242=0,"",ARBITRAGES!E242)</f>
        <v>46053</v>
      </c>
      <c r="B242" s="375">
        <f>IF(A242="","", IF(ARBITRAGES!$H242="BTC",B241+ARBITRAGES!$K242,B241))</f>
        <v>0.3144064763</v>
      </c>
      <c r="C242" s="375">
        <f>IF(B242="","", IF(ARBITRAGES!$H242="eth",C241+ARBITRAGES!$K242,C241))</f>
        <v>2.104183347</v>
      </c>
      <c r="D242" s="376">
        <f>IF(C242="","", IF(ARBITRAGES!$H242="ondo",D241+ARBITRAGES!$K242,D241))</f>
        <v>0.001390269174</v>
      </c>
      <c r="E242" s="376">
        <f>IF(D242="","", IF(ARBITRAGES!$H242="sol",E241+ARBITRAGES!$K242,E241))</f>
        <v>7.995802166</v>
      </c>
      <c r="F242" s="377">
        <f>IF(E242="","", IF(ARBITRAGES!$H242="tao",F241+ARBITRAGES!$K242,F241))</f>
        <v>3.999572074</v>
      </c>
      <c r="G242" s="378">
        <f>IF(F242="","", IF(ARBITRAGES!$H242="ron",G241+ARBITRAGES!$K242,G241))</f>
        <v>0</v>
      </c>
      <c r="H242" s="378">
        <f>IF(G242="","", IF(ARBITRAGES!$H242="link",H241+ARBITRAGES!$K242,H241))</f>
        <v>25.02651227</v>
      </c>
      <c r="I242" s="394">
        <f>IF(H242="","", IF(ARBITRAGES!$H242="doge",I241-ARBITRAGES!$K242+2.7,I241))</f>
        <v>-0.0417641419</v>
      </c>
      <c r="J242" s="378">
        <f>IF(I242="","", IF(ARBITRAGES!$H242="shib",J241-ARBITRAGES!$K242,J241))</f>
        <v>-0.01945258975</v>
      </c>
      <c r="K242" s="378">
        <f>IF(J242="","", IF(ARBITRAGES!$H242="cake",K241+ARBITRAGES!$K242,K241))</f>
        <v>0</v>
      </c>
      <c r="L242" s="378">
        <f>IF(K242="","", IF(ARBITRAGES!$H242="JUP",L241+ARBITRAGES!$K242,L241))</f>
        <v>0</v>
      </c>
      <c r="M242" s="376">
        <f>IF(L242="","", IF(ARBITRAGES!$H242="aave",M241+ARBITRAGES!$K242,M241))</f>
        <v>3.506538596</v>
      </c>
      <c r="N242" s="378">
        <f>IF(M242="","", IF(ARBITRAGES!$H242="ckb",N241+ARBITRAGES!$K242,N241))</f>
        <v>0</v>
      </c>
      <c r="O242" s="378">
        <f>IF(N242="","", IF(ARBITRAGES!$H242="pendle",O241-ARBITRAGES!$K242+0.1,O241))</f>
        <v>0.001461291462</v>
      </c>
      <c r="P242" s="378">
        <f>IF(O242="","", IF(ARBITRAGES!$H242="BOME",P241+ARBITRAGES!$K242,P241))</f>
        <v>0.02891989199</v>
      </c>
      <c r="Q242" s="378">
        <f>IF(P242="","", IF(ARBITRAGES!$H242="PEPE",Q241+ARBITRAGES!$K242,Q241))</f>
        <v>0.03999999762</v>
      </c>
      <c r="R242" s="378">
        <f>IF(Q242="","", IF(ARBITRAGES!$H242="WIF",R241+ARBITRAGES!$K242,R241))</f>
        <v>0</v>
      </c>
      <c r="S242" s="378">
        <f>IF(R242="","", IF(ARBITRAGES!$H242="RAY",S241+ARBITRAGES!$K242,S241))</f>
        <v>0</v>
      </c>
      <c r="T242" s="360"/>
      <c r="U242" s="360"/>
      <c r="V242" s="360"/>
      <c r="W242" s="360"/>
      <c r="X242" s="360"/>
      <c r="Y242" s="360"/>
      <c r="Z242" s="360"/>
      <c r="AA242" s="360"/>
      <c r="AB242" s="360"/>
      <c r="AC242" s="360"/>
      <c r="AD242" s="360"/>
      <c r="AE242" s="360"/>
      <c r="AF242" s="360"/>
      <c r="AG242" s="360"/>
      <c r="AH242" s="360"/>
    </row>
    <row r="243" ht="18.75" customHeight="1">
      <c r="A243" s="365">
        <f>IF(ARBITRAGES!E243=0,"",ARBITRAGES!E243)</f>
        <v>46053</v>
      </c>
      <c r="B243" s="374">
        <f>IF(A243="","", IF(ARBITRAGES!$H243="BTC",B242+ARBITRAGES!$K243,B242))</f>
        <v>0.3333665973</v>
      </c>
      <c r="C243" s="375">
        <f>IF(B243="","", IF(ARBITRAGES!$H243="eth",C242+ARBITRAGES!$K243,C242))</f>
        <v>2.104183347</v>
      </c>
      <c r="D243" s="376">
        <f>IF(C243="","", IF(ARBITRAGES!$H243="ondo",D242+ARBITRAGES!$K243,D242))</f>
        <v>0.001390269174</v>
      </c>
      <c r="E243" s="376">
        <f>IF(D243="","", IF(ARBITRAGES!$H243="sol",E242+ARBITRAGES!$K243,E242))</f>
        <v>7.995802166</v>
      </c>
      <c r="F243" s="377">
        <f>IF(E243="","", IF(ARBITRAGES!$H243="tao",F242+ARBITRAGES!$K243,F242))</f>
        <v>3.999572074</v>
      </c>
      <c r="G243" s="378">
        <f>IF(F243="","", IF(ARBITRAGES!$H243="ron",G242+ARBITRAGES!$K243,G242))</f>
        <v>0</v>
      </c>
      <c r="H243" s="378">
        <f>IF(G243="","", IF(ARBITRAGES!$H243="link",H242+ARBITRAGES!$K243,H242))</f>
        <v>25.02651227</v>
      </c>
      <c r="I243" s="378">
        <f>IF(H243="","", IF(ARBITRAGES!$H243="doge",I242+ARBITRAGES!$K243,I242))</f>
        <v>-0.0417641419</v>
      </c>
      <c r="J243" s="378">
        <f>IF(I243="","", IF(ARBITRAGES!$H243="shib",J242-ARBITRAGES!$K243,J242))</f>
        <v>-0.01945258975</v>
      </c>
      <c r="K243" s="378">
        <f>IF(J243="","", IF(ARBITRAGES!$H243="cake",K242+ARBITRAGES!$K243,K242))</f>
        <v>0</v>
      </c>
      <c r="L243" s="378">
        <f>IF(K243="","", IF(ARBITRAGES!$H243="JUP",L242+ARBITRAGES!$K243,L242))</f>
        <v>0</v>
      </c>
      <c r="M243" s="376">
        <f>IF(L243="","", IF(ARBITRAGES!$H243="aave",M242+ARBITRAGES!$K243,M242))</f>
        <v>3.506538596</v>
      </c>
      <c r="N243" s="378">
        <f>IF(M243="","", IF(ARBITRAGES!$H243="ckb",N242+ARBITRAGES!$K243,N242))</f>
        <v>0</v>
      </c>
      <c r="O243" s="378">
        <f>IF(N243="","", IF(ARBITRAGES!$H243="pendle",O242-ARBITRAGES!$K243+0.1,O242))</f>
        <v>0.001461291462</v>
      </c>
      <c r="P243" s="378">
        <f>IF(O243="","", IF(ARBITRAGES!$H243="BOME",P242+ARBITRAGES!$K243,P242))</f>
        <v>0.02891989199</v>
      </c>
      <c r="Q243" s="378">
        <f>IF(P243="","", IF(ARBITRAGES!$H243="PEPE",Q242+ARBITRAGES!$K243,Q242))</f>
        <v>0.03999999762</v>
      </c>
      <c r="R243" s="378">
        <f>IF(Q243="","", IF(ARBITRAGES!$H243="WIF",R242+ARBITRAGES!$K243,R242))</f>
        <v>0</v>
      </c>
      <c r="S243" s="378">
        <f>IF(R243="","", IF(ARBITRAGES!$H243="RAY",S242+ARBITRAGES!$K243,S242))</f>
        <v>0</v>
      </c>
      <c r="T243" s="360"/>
      <c r="U243" s="360"/>
      <c r="V243" s="360"/>
      <c r="W243" s="360"/>
      <c r="X243" s="360"/>
      <c r="Y243" s="360"/>
      <c r="Z243" s="360"/>
      <c r="AA243" s="360"/>
      <c r="AB243" s="360"/>
      <c r="AC243" s="360"/>
      <c r="AD243" s="360"/>
      <c r="AE243" s="360"/>
      <c r="AF243" s="360"/>
      <c r="AG243" s="360"/>
      <c r="AH243" s="360"/>
    </row>
    <row r="244" ht="18.75" customHeight="1">
      <c r="A244" s="365">
        <f>IF(ARBITRAGES!E244=0,"",ARBITRAGES!E244)</f>
        <v>46053</v>
      </c>
      <c r="B244" s="375">
        <f>IF(A244="","", IF(ARBITRAGES!$H244="BTC",B243+ARBITRAGES!$K244,B243))</f>
        <v>0.3333665973</v>
      </c>
      <c r="C244" s="375">
        <f>IF(B244="","", IF(ARBITRAGES!$H244="eth",C243+ARBITRAGES!$K244,C243))</f>
        <v>2.104183347</v>
      </c>
      <c r="D244" s="376">
        <f>IF(C244="","", IF(ARBITRAGES!$H244="ondo",D243+ARBITRAGES!$K244,D243))</f>
        <v>0.001390269174</v>
      </c>
      <c r="E244" s="376">
        <f>IF(D244="","", IF(ARBITRAGES!$H244="sol",E243+ARBITRAGES!$K244,E243))</f>
        <v>7.995802166</v>
      </c>
      <c r="F244" s="385">
        <f>IF(E244="","", IF(ARBITRAGES!$H244="tao",F243+ARBITRAGES!$K244+0.0016,F243))</f>
        <v>5.001172074</v>
      </c>
      <c r="G244" s="378">
        <f>IF(F244="","", IF(ARBITRAGES!$H244="ron",G243+ARBITRAGES!$K244,G243))</f>
        <v>0</v>
      </c>
      <c r="H244" s="378">
        <f>IF(G244="","", IF(ARBITRAGES!$H244="link",H243+ARBITRAGES!$K244,H243))</f>
        <v>25.02651227</v>
      </c>
      <c r="I244" s="378">
        <f>IF(H244="","", IF(ARBITRAGES!$H244="doge",I243+ARBITRAGES!$K244,I243))</f>
        <v>-0.0417641419</v>
      </c>
      <c r="J244" s="378">
        <f>IF(I244="","", IF(ARBITRAGES!$H244="shib",J243-ARBITRAGES!$K244,J243))</f>
        <v>-0.01945258975</v>
      </c>
      <c r="K244" s="378">
        <f>IF(J244="","", IF(ARBITRAGES!$H244="cake",K243+ARBITRAGES!$K244,K243))</f>
        <v>0</v>
      </c>
      <c r="L244" s="378">
        <f>IF(K244="","", IF(ARBITRAGES!$H244="JUP",L243+ARBITRAGES!$K244,L243))</f>
        <v>0</v>
      </c>
      <c r="M244" s="376">
        <f>IF(L244="","", IF(ARBITRAGES!$H244="aave",M243+ARBITRAGES!$K244,M243))</f>
        <v>3.506538596</v>
      </c>
      <c r="N244" s="378">
        <f>IF(M244="","", IF(ARBITRAGES!$H244="ckb",N243+ARBITRAGES!$K244,N243))</f>
        <v>0</v>
      </c>
      <c r="O244" s="378">
        <f>IF(N244="","", IF(ARBITRAGES!$H244="pendle",O243-ARBITRAGES!$K244+0.1,O243))</f>
        <v>0.001461291462</v>
      </c>
      <c r="P244" s="378">
        <f>IF(O244="","", IF(ARBITRAGES!$H244="BOME",P243+ARBITRAGES!$K244,P243))</f>
        <v>0.02891989199</v>
      </c>
      <c r="Q244" s="378">
        <f>IF(P244="","", IF(ARBITRAGES!$H244="PEPE",Q243+ARBITRAGES!$K244,Q243))</f>
        <v>0.03999999762</v>
      </c>
      <c r="R244" s="378">
        <f>IF(Q244="","", IF(ARBITRAGES!$H244="WIF",R243+ARBITRAGES!$K244,R243))</f>
        <v>0</v>
      </c>
      <c r="S244" s="378">
        <f>IF(R244="","", IF(ARBITRAGES!$H244="RAY",S243+ARBITRAGES!$K244,S243))</f>
        <v>0</v>
      </c>
      <c r="T244" s="360"/>
      <c r="U244" s="360"/>
      <c r="V244" s="360"/>
      <c r="W244" s="360"/>
      <c r="X244" s="360"/>
      <c r="Y244" s="360"/>
      <c r="Z244" s="360"/>
      <c r="AA244" s="360"/>
      <c r="AB244" s="360"/>
      <c r="AC244" s="360"/>
      <c r="AD244" s="360"/>
      <c r="AE244" s="360"/>
      <c r="AF244" s="360"/>
      <c r="AG244" s="360"/>
      <c r="AH244" s="360"/>
    </row>
    <row r="245" ht="18.75" customHeight="1">
      <c r="A245" s="365">
        <f>IF(ARBITRAGES!E245=0,"",ARBITRAGES!E245)</f>
        <v>46053</v>
      </c>
      <c r="B245" s="375">
        <f>IF(A245="","", IF(ARBITRAGES!$H245="BTC",B244+ARBITRAGES!$K245,B244))</f>
        <v>0.3333665973</v>
      </c>
      <c r="C245" s="375">
        <f>IF(B245="","", IF(ARBITRAGES!$H245="eth",C244+ARBITRAGES!$K245,C244))</f>
        <v>2.104183347</v>
      </c>
      <c r="D245" s="376">
        <f>IF(C245="","", IF(ARBITRAGES!$H245="ondo",D244+ARBITRAGES!$K245,D244))</f>
        <v>0.001390269174</v>
      </c>
      <c r="E245" s="383">
        <f>IF(D245="","", IF(ARBITRAGES!$H245="sol",E244+ARBITRAGES!$K245+0.03,E244))</f>
        <v>10.22580217</v>
      </c>
      <c r="F245" s="377">
        <f>IF(E245="","", IF(ARBITRAGES!$H245="tao",F244+ARBITRAGES!$K245,F244))</f>
        <v>5.001172074</v>
      </c>
      <c r="G245" s="378">
        <f>IF(F245="","", IF(ARBITRAGES!$H245="ron",G244+ARBITRAGES!$K245,G244))</f>
        <v>0</v>
      </c>
      <c r="H245" s="378">
        <f>IF(G245="","", IF(ARBITRAGES!$H245="link",H244+ARBITRAGES!$K245,H244))</f>
        <v>25.02651227</v>
      </c>
      <c r="I245" s="378">
        <f>IF(H245="","", IF(ARBITRAGES!$H245="doge",I244+ARBITRAGES!$K245,I244))</f>
        <v>-0.0417641419</v>
      </c>
      <c r="J245" s="378">
        <f>IF(I245="","", IF(ARBITRAGES!$H245="shib",J244-ARBITRAGES!$K245,J244))</f>
        <v>-0.01945258975</v>
      </c>
      <c r="K245" s="378">
        <f>IF(J245="","", IF(ARBITRAGES!$H245="cake",K244+ARBITRAGES!$K245,K244))</f>
        <v>0</v>
      </c>
      <c r="L245" s="378">
        <f>IF(K245="","", IF(ARBITRAGES!$H245="JUP",L244+ARBITRAGES!$K245,L244))</f>
        <v>0</v>
      </c>
      <c r="M245" s="376">
        <f>IF(L245="","", IF(ARBITRAGES!$H245="aave",M244+ARBITRAGES!$K245,M244))</f>
        <v>3.506538596</v>
      </c>
      <c r="N245" s="378">
        <f>IF(M245="","", IF(ARBITRAGES!$H245="ckb",N244+ARBITRAGES!$K245,N244))</f>
        <v>0</v>
      </c>
      <c r="O245" s="378">
        <f>IF(N245="","", IF(ARBITRAGES!$H245="pendle",O244-ARBITRAGES!$K245+0.1,O244))</f>
        <v>0.001461291462</v>
      </c>
      <c r="P245" s="378">
        <f>IF(O245="","", IF(ARBITRAGES!$H245="BOME",P244+ARBITRAGES!$K245,P244))</f>
        <v>0.02891989199</v>
      </c>
      <c r="Q245" s="378">
        <f>IF(P245="","", IF(ARBITRAGES!$H245="PEPE",Q244+ARBITRAGES!$K245,Q244))</f>
        <v>0.03999999762</v>
      </c>
      <c r="R245" s="378">
        <f>IF(Q245="","", IF(ARBITRAGES!$H245="WIF",R244+ARBITRAGES!$K245,R244))</f>
        <v>0</v>
      </c>
      <c r="S245" s="378">
        <f>IF(R245="","", IF(ARBITRAGES!$H245="RAY",S244+ARBITRAGES!$K245,S244))</f>
        <v>0</v>
      </c>
      <c r="T245" s="360"/>
      <c r="U245" s="360"/>
      <c r="V245" s="360"/>
      <c r="W245" s="360"/>
      <c r="X245" s="360"/>
      <c r="Y245" s="360"/>
      <c r="Z245" s="360"/>
      <c r="AA245" s="360"/>
      <c r="AB245" s="360"/>
      <c r="AC245" s="360"/>
      <c r="AD245" s="360"/>
      <c r="AE245" s="360"/>
      <c r="AF245" s="360"/>
      <c r="AG245" s="360"/>
      <c r="AH245" s="360"/>
    </row>
    <row r="246" ht="18.75" customHeight="1">
      <c r="A246" s="365">
        <f>IF(ARBITRAGES!E246=0,"",ARBITRAGES!E246)</f>
        <v>46053</v>
      </c>
      <c r="B246" s="374">
        <f>IF(A246="","", IF(ARBITRAGES!$H246="BTC",B245+ARBITRAGES!$K246,B245))</f>
        <v>0.3333665986</v>
      </c>
      <c r="C246" s="375">
        <f>IF(B246="","", IF(ARBITRAGES!$H246="eth",C245+ARBITRAGES!$K246,C245))</f>
        <v>2.104183347</v>
      </c>
      <c r="D246" s="376">
        <f>IF(C246="","", IF(ARBITRAGES!$H246="ondo",D245+ARBITRAGES!$K246,D245))</f>
        <v>0.001390269174</v>
      </c>
      <c r="E246" s="376">
        <f>IF(D246="","", IF(ARBITRAGES!$H246="sol",E245+ARBITRAGES!$K246,E245))</f>
        <v>10.22580217</v>
      </c>
      <c r="F246" s="377">
        <f>IF(E246="","", IF(ARBITRAGES!$H246="tao",F245+ARBITRAGES!$K246,F245))</f>
        <v>5.001172074</v>
      </c>
      <c r="G246" s="378">
        <f>IF(F246="","", IF(ARBITRAGES!$H246="ron",G245+ARBITRAGES!$K246,G245))</f>
        <v>0</v>
      </c>
      <c r="H246" s="378">
        <f>IF(G246="","", IF(ARBITRAGES!$H246="link",H245+ARBITRAGES!$K246,H245))</f>
        <v>25.02651227</v>
      </c>
      <c r="I246" s="378">
        <f>IF(H246="","", IF(ARBITRAGES!$H246="doge",I245+ARBITRAGES!$K246,I245))</f>
        <v>-0.0417641419</v>
      </c>
      <c r="J246" s="378">
        <f>IF(I246="","", IF(ARBITRAGES!$H246="shib",J245-ARBITRAGES!$K246,J245))</f>
        <v>-0.01945258975</v>
      </c>
      <c r="K246" s="378">
        <f>IF(J246="","", IF(ARBITRAGES!$H246="cake",K245+ARBITRAGES!$K246,K245))</f>
        <v>0</v>
      </c>
      <c r="L246" s="378">
        <f>IF(K246="","", IF(ARBITRAGES!$H246="JUP",L245+ARBITRAGES!$K246,L245))</f>
        <v>0</v>
      </c>
      <c r="M246" s="376">
        <f>IF(L246="","", IF(ARBITRAGES!$H246="aave",M245+ARBITRAGES!$K246,M245))</f>
        <v>3.506538596</v>
      </c>
      <c r="N246" s="378">
        <f>IF(M246="","", IF(ARBITRAGES!$H246="ckb",N245+ARBITRAGES!$K246,N245))</f>
        <v>0</v>
      </c>
      <c r="O246" s="378">
        <f>IF(N246="","", IF(ARBITRAGES!$H246="pendle",O245-ARBITRAGES!$K246+0.1,O245))</f>
        <v>0.001461291462</v>
      </c>
      <c r="P246" s="378">
        <f>IF(O246="","", IF(ARBITRAGES!$H246="BOME",P245+ARBITRAGES!$K246,P245))</f>
        <v>0.02891989199</v>
      </c>
      <c r="Q246" s="378">
        <f>IF(P246="","", IF(ARBITRAGES!$H246="PEPE",Q245+ARBITRAGES!$K246,Q245))</f>
        <v>0.03999999762</v>
      </c>
      <c r="R246" s="378">
        <f>IF(Q246="","", IF(ARBITRAGES!$H246="WIF",R245+ARBITRAGES!$K246,R245))</f>
        <v>0</v>
      </c>
      <c r="S246" s="378">
        <f>IF(R246="","", IF(ARBITRAGES!$H246="RAY",S245+ARBITRAGES!$K246,S245))</f>
        <v>0</v>
      </c>
      <c r="T246" s="360"/>
      <c r="U246" s="360"/>
      <c r="V246" s="360"/>
      <c r="W246" s="360"/>
      <c r="X246" s="360"/>
      <c r="Y246" s="360"/>
      <c r="Z246" s="360"/>
      <c r="AA246" s="360"/>
      <c r="AB246" s="360"/>
      <c r="AC246" s="360"/>
      <c r="AD246" s="360"/>
      <c r="AE246" s="360"/>
      <c r="AF246" s="360"/>
      <c r="AG246" s="360"/>
      <c r="AH246" s="360"/>
    </row>
    <row r="247" ht="18.75" customHeight="1">
      <c r="A247" s="365">
        <f>IF(ARBITRAGES!E247=0,"",ARBITRAGES!E247)</f>
        <v>46054</v>
      </c>
      <c r="B247" s="374">
        <f>IF(A247="","", IF(ARBITRAGES!$H247="BTC",B246+ARBITRAGES!$K247,B246))</f>
        <v>0.3383665986</v>
      </c>
      <c r="C247" s="375">
        <f>IF(B247="","", IF(ARBITRAGES!$H247="eth",C246+ARBITRAGES!$K247,C246))</f>
        <v>2.104183347</v>
      </c>
      <c r="D247" s="376">
        <f>IF(C247="","", IF(ARBITRAGES!$H247="ondo",D246+ARBITRAGES!$K247,D246))</f>
        <v>0.001390269174</v>
      </c>
      <c r="E247" s="376">
        <f>IF(D247="","", IF(ARBITRAGES!$H247="sol",E246+ARBITRAGES!$K247,E246))</f>
        <v>10.22580217</v>
      </c>
      <c r="F247" s="377">
        <f>IF(E247="","", IF(ARBITRAGES!$H247="tao",F246+ARBITRAGES!$K247,F246))</f>
        <v>5.001172074</v>
      </c>
      <c r="G247" s="378">
        <f>IF(F247="","", IF(ARBITRAGES!$H247="ron",G246+ARBITRAGES!$K247,G246))</f>
        <v>0</v>
      </c>
      <c r="H247" s="378">
        <f>IF(G247="","", IF(ARBITRAGES!$H247="link",H246+ARBITRAGES!$K247,H246))</f>
        <v>25.02651227</v>
      </c>
      <c r="I247" s="378">
        <f>IF(H247="","", IF(ARBITRAGES!$H247="doge",I246+ARBITRAGES!$K247,I246))</f>
        <v>-0.0417641419</v>
      </c>
      <c r="J247" s="378">
        <f>IF(I247="","", IF(ARBITRAGES!$H247="shib",J246-ARBITRAGES!$K247,J246))</f>
        <v>-0.01945258975</v>
      </c>
      <c r="K247" s="378">
        <f>IF(J247="","", IF(ARBITRAGES!$H247="cake",K246+ARBITRAGES!$K247,K246))</f>
        <v>0</v>
      </c>
      <c r="L247" s="378">
        <f>IF(K247="","", IF(ARBITRAGES!$H247="JUP",L246+ARBITRAGES!$K247,L246))</f>
        <v>0</v>
      </c>
      <c r="M247" s="376">
        <f>IF(L247="","", IF(ARBITRAGES!$H247="aave",M246+ARBITRAGES!$K247,M246))</f>
        <v>3.506538596</v>
      </c>
      <c r="N247" s="378">
        <f>IF(M247="","", IF(ARBITRAGES!$H247="ckb",N246+ARBITRAGES!$K247,N246))</f>
        <v>0</v>
      </c>
      <c r="O247" s="378">
        <f>IF(N247="","", IF(ARBITRAGES!$H247="pendle",O246-ARBITRAGES!$K247+0.1,O246))</f>
        <v>0.001461291462</v>
      </c>
      <c r="P247" s="378">
        <f>IF(O247="","", IF(ARBITRAGES!$H247="BOME",P246+ARBITRAGES!$K247,P246))</f>
        <v>0.02891989199</v>
      </c>
      <c r="Q247" s="378">
        <f>IF(P247="","", IF(ARBITRAGES!$H247="PEPE",Q246+ARBITRAGES!$K247,Q246))</f>
        <v>0.03999999762</v>
      </c>
      <c r="R247" s="378">
        <f>IF(Q247="","", IF(ARBITRAGES!$H247="WIF",R246+ARBITRAGES!$K247,R246))</f>
        <v>0</v>
      </c>
      <c r="S247" s="378">
        <f>IF(R247="","", IF(ARBITRAGES!$H247="RAY",S246+ARBITRAGES!$K247,S246))</f>
        <v>0</v>
      </c>
      <c r="T247" s="360"/>
      <c r="U247" s="360"/>
      <c r="V247" s="360"/>
      <c r="W247" s="360"/>
      <c r="X247" s="360"/>
      <c r="Y247" s="360"/>
      <c r="Z247" s="360"/>
      <c r="AA247" s="360"/>
      <c r="AB247" s="360"/>
      <c r="AC247" s="360"/>
      <c r="AD247" s="360"/>
      <c r="AE247" s="360"/>
      <c r="AF247" s="360"/>
      <c r="AG247" s="360"/>
      <c r="AH247" s="360"/>
    </row>
    <row r="248" ht="18.75" customHeight="1">
      <c r="A248" s="365">
        <f>IF(ARBITRAGES!E248=0,"",ARBITRAGES!E248)</f>
        <v>46054</v>
      </c>
      <c r="B248" s="375">
        <f>IF(A248="","", IF(ARBITRAGES!$H248="BTC",B247+ARBITRAGES!$K248,B247))</f>
        <v>0.3383665986</v>
      </c>
      <c r="C248" s="374">
        <f>IF(B248="","", IF(ARBITRAGES!$H248="eth",C247+ARBITRAGES!$K248,C247))</f>
        <v>2.153119518</v>
      </c>
      <c r="D248" s="376">
        <f>IF(C248="","", IF(ARBITRAGES!$H248="ondo",D247+ARBITRAGES!$K248,D247))</f>
        <v>0.001390269174</v>
      </c>
      <c r="E248" s="376">
        <f>IF(D248="","", IF(ARBITRAGES!$H248="sol",E247+ARBITRAGES!$K248,E247))</f>
        <v>10.22580217</v>
      </c>
      <c r="F248" s="377">
        <f>IF(E248="","", IF(ARBITRAGES!$H248="tao",F247+ARBITRAGES!$K248,F247))</f>
        <v>5.001172074</v>
      </c>
      <c r="G248" s="378">
        <f>IF(F248="","", IF(ARBITRAGES!$H248="ron",G247+ARBITRAGES!$K248,G247))</f>
        <v>0</v>
      </c>
      <c r="H248" s="378">
        <f>IF(G248="","", IF(ARBITRAGES!$H248="link",H247+ARBITRAGES!$K248,H247))</f>
        <v>25.02651227</v>
      </c>
      <c r="I248" s="378">
        <f>IF(H248="","", IF(ARBITRAGES!$H248="doge",I247+ARBITRAGES!$K248,I247))</f>
        <v>-0.0417641419</v>
      </c>
      <c r="J248" s="378">
        <f>IF(I248="","", IF(ARBITRAGES!$H248="shib",J247-ARBITRAGES!$K248,J247))</f>
        <v>-0.01945258975</v>
      </c>
      <c r="K248" s="378">
        <f>IF(J248="","", IF(ARBITRAGES!$H248="cake",K247+ARBITRAGES!$K248,K247))</f>
        <v>0</v>
      </c>
      <c r="L248" s="378">
        <f>IF(K248="","", IF(ARBITRAGES!$H248="JUP",L247+ARBITRAGES!$K248,L247))</f>
        <v>0</v>
      </c>
      <c r="M248" s="376">
        <f>IF(L248="","", IF(ARBITRAGES!$H248="aave",M247+ARBITRAGES!$K248,M247))</f>
        <v>3.506538596</v>
      </c>
      <c r="N248" s="378">
        <f>IF(M248="","", IF(ARBITRAGES!$H248="ckb",N247+ARBITRAGES!$K248,N247))</f>
        <v>0</v>
      </c>
      <c r="O248" s="378">
        <f>IF(N248="","", IF(ARBITRAGES!$H248="pendle",O247-ARBITRAGES!$K248+0.1,O247))</f>
        <v>0.001461291462</v>
      </c>
      <c r="P248" s="378">
        <f>IF(O248="","", IF(ARBITRAGES!$H248="BOME",P247+ARBITRAGES!$K248,P247))</f>
        <v>0.02891989199</v>
      </c>
      <c r="Q248" s="378">
        <f>IF(P248="","", IF(ARBITRAGES!$H248="PEPE",Q247+ARBITRAGES!$K248,Q247))</f>
        <v>0.03999999762</v>
      </c>
      <c r="R248" s="378">
        <f>IF(Q248="","", IF(ARBITRAGES!$H248="WIF",R247+ARBITRAGES!$K248,R247))</f>
        <v>0</v>
      </c>
      <c r="S248" s="378">
        <f>IF(R248="","", IF(ARBITRAGES!$H248="RAY",S247+ARBITRAGES!$K248,S247))</f>
        <v>0</v>
      </c>
      <c r="T248" s="360"/>
      <c r="U248" s="360"/>
      <c r="V248" s="360"/>
      <c r="W248" s="360"/>
      <c r="X248" s="360"/>
      <c r="Y248" s="360"/>
      <c r="Z248" s="360"/>
      <c r="AA248" s="360"/>
      <c r="AB248" s="360"/>
      <c r="AC248" s="360"/>
      <c r="AD248" s="360"/>
      <c r="AE248" s="360"/>
      <c r="AF248" s="360"/>
      <c r="AG248" s="360"/>
      <c r="AH248" s="360"/>
    </row>
    <row r="249" ht="18.75" customHeight="1">
      <c r="A249" s="365">
        <f>IF(ARBITRAGES!E249=0,"",ARBITRAGES!E249)</f>
        <v>46054</v>
      </c>
      <c r="B249" s="375">
        <f>IF(A249="","", IF(ARBITRAGES!$H249="BTC",B248+ARBITRAGES!$K249,B248))</f>
        <v>0.3383665986</v>
      </c>
      <c r="C249" s="374">
        <f>IF(B249="","", IF(ARBITRAGES!$H249="eth",C248+ARBITRAGES!$K249,C248))</f>
        <v>2.303119518</v>
      </c>
      <c r="D249" s="376">
        <f>IF(C249="","", IF(ARBITRAGES!$H249="ondo",D248+ARBITRAGES!$K249,D248))</f>
        <v>0.001390269174</v>
      </c>
      <c r="E249" s="376">
        <f>IF(D249="","", IF(ARBITRAGES!$H249="sol",E248+ARBITRAGES!$K249,E248))</f>
        <v>10.22580217</v>
      </c>
      <c r="F249" s="377">
        <f>IF(E249="","", IF(ARBITRAGES!$H249="tao",F248+ARBITRAGES!$K249,F248))</f>
        <v>5.001172074</v>
      </c>
      <c r="G249" s="378">
        <f>IF(F249="","", IF(ARBITRAGES!$H249="ron",G248+ARBITRAGES!$K249,G248))</f>
        <v>0</v>
      </c>
      <c r="H249" s="378">
        <f>IF(G249="","", IF(ARBITRAGES!$H249="link",H248+ARBITRAGES!$K249,H248))</f>
        <v>25.02651227</v>
      </c>
      <c r="I249" s="378">
        <f>IF(H249="","", IF(ARBITRAGES!$H249="doge",I248+ARBITRAGES!$K249,I248))</f>
        <v>-0.0417641419</v>
      </c>
      <c r="J249" s="378">
        <f>IF(I249="","", IF(ARBITRAGES!$H249="shib",J248-ARBITRAGES!$K249,J248))</f>
        <v>-0.01945258975</v>
      </c>
      <c r="K249" s="378">
        <f>IF(J249="","", IF(ARBITRAGES!$H249="cake",K248+ARBITRAGES!$K249,K248))</f>
        <v>0</v>
      </c>
      <c r="L249" s="378">
        <f>IF(K249="","", IF(ARBITRAGES!$H249="JUP",L248+ARBITRAGES!$K249,L248))</f>
        <v>0</v>
      </c>
      <c r="M249" s="376">
        <f>IF(L249="","", IF(ARBITRAGES!$H249="aave",M248+ARBITRAGES!$K249,M248))</f>
        <v>3.506538596</v>
      </c>
      <c r="N249" s="378">
        <f>IF(M249="","", IF(ARBITRAGES!$H249="ckb",N248+ARBITRAGES!$K249,N248))</f>
        <v>0</v>
      </c>
      <c r="O249" s="378">
        <f>IF(N249="","", IF(ARBITRAGES!$H249="pendle",O248-ARBITRAGES!$K249+0.1,O248))</f>
        <v>0.001461291462</v>
      </c>
      <c r="P249" s="378">
        <f>IF(O249="","", IF(ARBITRAGES!$H249="BOME",P248+ARBITRAGES!$K249,P248))</f>
        <v>0.02891989199</v>
      </c>
      <c r="Q249" s="378">
        <f>IF(P249="","", IF(ARBITRAGES!$H249="PEPE",Q248+ARBITRAGES!$K249,Q248))</f>
        <v>0.03999999762</v>
      </c>
      <c r="R249" s="378">
        <f>IF(Q249="","", IF(ARBITRAGES!$H249="WIF",R248+ARBITRAGES!$K249,R248))</f>
        <v>0</v>
      </c>
      <c r="S249" s="378">
        <f>IF(R249="","", IF(ARBITRAGES!$H249="RAY",S248+ARBITRAGES!$K249,S248))</f>
        <v>0</v>
      </c>
      <c r="T249" s="360"/>
      <c r="U249" s="360"/>
      <c r="V249" s="360"/>
      <c r="W249" s="360"/>
      <c r="X249" s="360"/>
      <c r="Y249" s="360"/>
      <c r="Z249" s="360"/>
      <c r="AA249" s="360"/>
      <c r="AB249" s="360"/>
      <c r="AC249" s="360"/>
      <c r="AD249" s="360"/>
      <c r="AE249" s="360"/>
      <c r="AF249" s="360"/>
      <c r="AG249" s="360"/>
      <c r="AH249" s="360"/>
    </row>
    <row r="250" ht="18.75" customHeight="1">
      <c r="A250" s="365">
        <f>IF(ARBITRAGES!E250=0,"",ARBITRAGES!E250)</f>
        <v>46055</v>
      </c>
      <c r="B250" s="374">
        <f>IF(A250="","", IF(ARBITRAGES!$H250="BTC",B249+ARBITRAGES!$K250+0.00002,B249))</f>
        <v>0.3423865986</v>
      </c>
      <c r="C250" s="375">
        <f>IF(B250="","", IF(ARBITRAGES!$H250="eth",C249+ARBITRAGES!$K250,C249))</f>
        <v>2.303119518</v>
      </c>
      <c r="D250" s="376">
        <f>IF(C250="","", IF(ARBITRAGES!$H250="ondo",D249+ARBITRAGES!$K250,D249))</f>
        <v>0.001390269174</v>
      </c>
      <c r="E250" s="376">
        <f>IF(D250="","", IF(ARBITRAGES!$H250="sol",E249+ARBITRAGES!$K250,E249))</f>
        <v>10.22580217</v>
      </c>
      <c r="F250" s="377">
        <f>IF(E250="","", IF(ARBITRAGES!$H250="tao",F249+ARBITRAGES!$K250,F249))</f>
        <v>5.001172074</v>
      </c>
      <c r="G250" s="378">
        <f>IF(F250="","", IF(ARBITRAGES!$H250="ron",G249+ARBITRAGES!$K250,G249))</f>
        <v>0</v>
      </c>
      <c r="H250" s="378">
        <f>IF(G250="","", IF(ARBITRAGES!$H250="link",H249+ARBITRAGES!$K250,H249))</f>
        <v>25.02651227</v>
      </c>
      <c r="I250" s="378">
        <f>IF(H250="","", IF(ARBITRAGES!$H250="doge",I249+ARBITRAGES!$K250,I249))</f>
        <v>-0.0417641419</v>
      </c>
      <c r="J250" s="378">
        <f>IF(I250="","", IF(ARBITRAGES!$H250="shib",J249-ARBITRAGES!$K250,J249))</f>
        <v>-0.01945258975</v>
      </c>
      <c r="K250" s="378">
        <f>IF(J250="","", IF(ARBITRAGES!$H250="cake",K249+ARBITRAGES!$K250,K249))</f>
        <v>0</v>
      </c>
      <c r="L250" s="378">
        <f>IF(K250="","", IF(ARBITRAGES!$H250="JUP",L249+ARBITRAGES!$K250,L249))</f>
        <v>0</v>
      </c>
      <c r="M250" s="376">
        <f>IF(L250="","", IF(ARBITRAGES!$H250="aave",M249+ARBITRAGES!$K250,M249))</f>
        <v>3.506538596</v>
      </c>
      <c r="N250" s="378">
        <f>IF(M250="","", IF(ARBITRAGES!$H250="ckb",N249+ARBITRAGES!$K250,N249))</f>
        <v>0</v>
      </c>
      <c r="O250" s="378">
        <f>IF(N250="","", IF(ARBITRAGES!$H250="pendle",O249-ARBITRAGES!$K250+0.1,O249))</f>
        <v>0.001461291462</v>
      </c>
      <c r="P250" s="378">
        <f>IF(O250="","", IF(ARBITRAGES!$H250="BOME",P249+ARBITRAGES!$K250,P249))</f>
        <v>0.02891989199</v>
      </c>
      <c r="Q250" s="378">
        <f>IF(P250="","", IF(ARBITRAGES!$H250="PEPE",Q249+ARBITRAGES!$K250,Q249))</f>
        <v>0.03999999762</v>
      </c>
      <c r="R250" s="378">
        <f>IF(Q250="","", IF(ARBITRAGES!$H250="WIF",R249+ARBITRAGES!$K250,R249))</f>
        <v>0</v>
      </c>
      <c r="S250" s="378">
        <f>IF(R250="","", IF(ARBITRAGES!$H250="RAY",S249+ARBITRAGES!$K250,S249))</f>
        <v>0</v>
      </c>
      <c r="T250" s="360"/>
      <c r="U250" s="360"/>
      <c r="V250" s="360"/>
      <c r="W250" s="360"/>
      <c r="X250" s="360"/>
      <c r="Y250" s="360"/>
      <c r="Z250" s="360"/>
      <c r="AA250" s="360"/>
      <c r="AB250" s="360"/>
      <c r="AC250" s="360"/>
      <c r="AD250" s="360"/>
      <c r="AE250" s="360"/>
      <c r="AF250" s="360"/>
      <c r="AG250" s="360"/>
      <c r="AH250" s="360"/>
    </row>
    <row r="251" ht="18.75" customHeight="1">
      <c r="A251" s="365">
        <f>IF(ARBITRAGES!E251=0,"",ARBITRAGES!E251)</f>
        <v>46055</v>
      </c>
      <c r="B251" s="375">
        <f>IF(A251="","", IF(ARBITRAGES!$H251="BTC",B250+ARBITRAGES!$K251,B250))</f>
        <v>0.3423865986</v>
      </c>
      <c r="C251" s="393">
        <f>IF(B251="","", IF(ARBITRAGES!$H251="eth",C250-ARBITRAGES!$K251,C250))</f>
        <v>2.172967678</v>
      </c>
      <c r="D251" s="376">
        <f>IF(C251="","", IF(ARBITRAGES!$H251="ondo",D250+ARBITRAGES!$K251,D250))</f>
        <v>0.001390269174</v>
      </c>
      <c r="E251" s="376">
        <f>IF(D251="","", IF(ARBITRAGES!$H251="sol",E250+ARBITRAGES!$K251,E250))</f>
        <v>10.22580217</v>
      </c>
      <c r="F251" s="377">
        <f>IF(E251="","", IF(ARBITRAGES!$H251="tao",F250+ARBITRAGES!$K251,F250))</f>
        <v>5.001172074</v>
      </c>
      <c r="G251" s="378">
        <f>IF(F251="","", IF(ARBITRAGES!$H251="ron",G250+ARBITRAGES!$K251,G250))</f>
        <v>0</v>
      </c>
      <c r="H251" s="378">
        <f>IF(G251="","", IF(ARBITRAGES!$H251="link",H250+ARBITRAGES!$K251,H250))</f>
        <v>25.02651227</v>
      </c>
      <c r="I251" s="378">
        <f>IF(H251="","", IF(ARBITRAGES!$H251="doge",I250+ARBITRAGES!$K251,I250))</f>
        <v>-0.0417641419</v>
      </c>
      <c r="J251" s="378">
        <f>IF(I251="","", IF(ARBITRAGES!$H251="shib",J250-ARBITRAGES!$K251,J250))</f>
        <v>-0.01945258975</v>
      </c>
      <c r="K251" s="378">
        <f>IF(J251="","", IF(ARBITRAGES!$H251="cake",K250+ARBITRAGES!$K251,K250))</f>
        <v>0</v>
      </c>
      <c r="L251" s="378">
        <f>IF(K251="","", IF(ARBITRAGES!$H251="JUP",L250+ARBITRAGES!$K251,L250))</f>
        <v>0</v>
      </c>
      <c r="M251" s="376">
        <f>IF(L251="","", IF(ARBITRAGES!$H251="aave",M250+ARBITRAGES!$K251,M250))</f>
        <v>3.506538596</v>
      </c>
      <c r="N251" s="378">
        <f>IF(M251="","", IF(ARBITRAGES!$H251="ckb",N250+ARBITRAGES!$K251,N250))</f>
        <v>0</v>
      </c>
      <c r="O251" s="378">
        <f>IF(N251="","", IF(ARBITRAGES!$H251="pendle",O250-ARBITRAGES!$K251+0.1,O250))</f>
        <v>0.001461291462</v>
      </c>
      <c r="P251" s="378">
        <f>IF(O251="","", IF(ARBITRAGES!$H251="BOME",P250+ARBITRAGES!$K251,P250))</f>
        <v>0.02891989199</v>
      </c>
      <c r="Q251" s="378">
        <f>IF(P251="","", IF(ARBITRAGES!$H251="PEPE",Q250+ARBITRAGES!$K251,Q250))</f>
        <v>0.03999999762</v>
      </c>
      <c r="R251" s="378">
        <f>IF(Q251="","", IF(ARBITRAGES!$H251="WIF",R250+ARBITRAGES!$K251,R250))</f>
        <v>0</v>
      </c>
      <c r="S251" s="378">
        <f>IF(R251="","", IF(ARBITRAGES!$H251="RAY",S250+ARBITRAGES!$K251,S250))</f>
        <v>0</v>
      </c>
      <c r="T251" s="360"/>
      <c r="U251" s="360"/>
      <c r="V251" s="360"/>
      <c r="W251" s="360"/>
      <c r="X251" s="360"/>
      <c r="Y251" s="360"/>
      <c r="Z251" s="360"/>
      <c r="AA251" s="360"/>
      <c r="AB251" s="360"/>
      <c r="AC251" s="360"/>
      <c r="AD251" s="360"/>
      <c r="AE251" s="360"/>
      <c r="AF251" s="360"/>
      <c r="AG251" s="360"/>
      <c r="AH251" s="360"/>
    </row>
    <row r="252" ht="18.75" customHeight="1">
      <c r="A252" s="365">
        <f>IF(ARBITRAGES!E252=0,"",ARBITRAGES!E252)</f>
        <v>46055</v>
      </c>
      <c r="B252" s="374">
        <f>IF(A252="","", IF(ARBITRAGES!$H252="BTC",B251+ARBITRAGES!$K252,B251))</f>
        <v>0.3453865986</v>
      </c>
      <c r="C252" s="375">
        <f>IF(B252="","", IF(ARBITRAGES!$H252="eth",C251+ARBITRAGES!$K252,C251))</f>
        <v>2.172967678</v>
      </c>
      <c r="D252" s="376">
        <f>IF(C252="","", IF(ARBITRAGES!$H252="ondo",D251+ARBITRAGES!$K252,D251))</f>
        <v>0.001390269174</v>
      </c>
      <c r="E252" s="376">
        <f>IF(D252="","", IF(ARBITRAGES!$H252="sol",E251+ARBITRAGES!$K252,E251))</f>
        <v>10.22580217</v>
      </c>
      <c r="F252" s="377">
        <f>IF(E252="","", IF(ARBITRAGES!$H252="tao",F251+ARBITRAGES!$K252,F251))</f>
        <v>5.001172074</v>
      </c>
      <c r="G252" s="378">
        <f>IF(F252="","", IF(ARBITRAGES!$H252="ron",G251+ARBITRAGES!$K252,G251))</f>
        <v>0</v>
      </c>
      <c r="H252" s="378">
        <f>IF(G252="","", IF(ARBITRAGES!$H252="link",H251+ARBITRAGES!$K252,H251))</f>
        <v>25.02651227</v>
      </c>
      <c r="I252" s="378">
        <f>IF(H252="","", IF(ARBITRAGES!$H252="doge",I251+ARBITRAGES!$K252,I251))</f>
        <v>-0.0417641419</v>
      </c>
      <c r="J252" s="378">
        <f>IF(I252="","", IF(ARBITRAGES!$H252="shib",J251-ARBITRAGES!$K252,J251))</f>
        <v>-0.01945258975</v>
      </c>
      <c r="K252" s="378">
        <f>IF(J252="","", IF(ARBITRAGES!$H252="cake",K251+ARBITRAGES!$K252,K251))</f>
        <v>0</v>
      </c>
      <c r="L252" s="378">
        <f>IF(K252="","", IF(ARBITRAGES!$H252="JUP",L251+ARBITRAGES!$K252,L251))</f>
        <v>0</v>
      </c>
      <c r="M252" s="376">
        <f>IF(L252="","", IF(ARBITRAGES!$H252="aave",M251+ARBITRAGES!$K252,M251))</f>
        <v>3.506538596</v>
      </c>
      <c r="N252" s="378">
        <f>IF(M252="","", IF(ARBITRAGES!$H252="ckb",N251+ARBITRAGES!$K252,N251))</f>
        <v>0</v>
      </c>
      <c r="O252" s="378">
        <f>IF(N252="","", IF(ARBITRAGES!$H252="pendle",O251-ARBITRAGES!$K252+0.1,O251))</f>
        <v>0.001461291462</v>
      </c>
      <c r="P252" s="378">
        <f>IF(O252="","", IF(ARBITRAGES!$H252="BOME",P251+ARBITRAGES!$K252,P251))</f>
        <v>0.02891989199</v>
      </c>
      <c r="Q252" s="378">
        <f>IF(P252="","", IF(ARBITRAGES!$H252="PEPE",Q251+ARBITRAGES!$K252,Q251))</f>
        <v>0.03999999762</v>
      </c>
      <c r="R252" s="378">
        <f>IF(Q252="","", IF(ARBITRAGES!$H252="WIF",R251+ARBITRAGES!$K252,R251))</f>
        <v>0</v>
      </c>
      <c r="S252" s="378">
        <f>IF(R252="","", IF(ARBITRAGES!$H252="RAY",S251+ARBITRAGES!$K252,S251))</f>
        <v>0</v>
      </c>
      <c r="T252" s="360"/>
      <c r="U252" s="360"/>
      <c r="V252" s="360"/>
      <c r="W252" s="360"/>
      <c r="X252" s="360"/>
      <c r="Y252" s="360"/>
      <c r="Z252" s="360"/>
      <c r="AA252" s="360"/>
      <c r="AB252" s="360"/>
      <c r="AC252" s="360"/>
      <c r="AD252" s="360"/>
      <c r="AE252" s="360"/>
      <c r="AF252" s="360"/>
      <c r="AG252" s="360"/>
      <c r="AH252" s="360"/>
    </row>
    <row r="253" ht="18.75" customHeight="1">
      <c r="A253" s="365">
        <f>IF(ARBITRAGES!E253=0,"",ARBITRAGES!E253)</f>
        <v>46055</v>
      </c>
      <c r="B253" s="374">
        <f>IF(A253="","", IF(ARBITRAGES!$H253="BTC",B252+ARBITRAGES!$K253,B252))</f>
        <v>0.3488018992</v>
      </c>
      <c r="C253" s="375">
        <f>IF(B253="","", IF(ARBITRAGES!$H253="eth",C252+ARBITRAGES!$K253,C252))</f>
        <v>2.172967678</v>
      </c>
      <c r="D253" s="376">
        <f>IF(C253="","", IF(ARBITRAGES!$H253="ondo",D252+ARBITRAGES!$K253,D252))</f>
        <v>0.001390269174</v>
      </c>
      <c r="E253" s="376">
        <f>IF(D253="","", IF(ARBITRAGES!$H253="sol",E252+ARBITRAGES!$K253,E252))</f>
        <v>10.22580217</v>
      </c>
      <c r="F253" s="377">
        <f>IF(E253="","", IF(ARBITRAGES!$H253="tao",F252+ARBITRAGES!$K253,F252))</f>
        <v>5.001172074</v>
      </c>
      <c r="G253" s="378">
        <f>IF(F253="","", IF(ARBITRAGES!$H253="ron",G252+ARBITRAGES!$K253,G252))</f>
        <v>0</v>
      </c>
      <c r="H253" s="378">
        <f>IF(G253="","", IF(ARBITRAGES!$H253="link",H252+ARBITRAGES!$K253,H252))</f>
        <v>25.02651227</v>
      </c>
      <c r="I253" s="378">
        <f>IF(H253="","", IF(ARBITRAGES!$H253="doge",I252+ARBITRAGES!$K253,I252))</f>
        <v>-0.0417641419</v>
      </c>
      <c r="J253" s="378">
        <f>IF(I253="","", IF(ARBITRAGES!$H253="shib",J252-ARBITRAGES!$K253,J252))</f>
        <v>-0.01945258975</v>
      </c>
      <c r="K253" s="378">
        <f>IF(J253="","", IF(ARBITRAGES!$H253="cake",K252+ARBITRAGES!$K253,K252))</f>
        <v>0</v>
      </c>
      <c r="L253" s="378">
        <f>IF(K253="","", IF(ARBITRAGES!$H253="JUP",L252+ARBITRAGES!$K253,L252))</f>
        <v>0</v>
      </c>
      <c r="M253" s="376">
        <f>IF(L253="","", IF(ARBITRAGES!$H253="aave",M252+ARBITRAGES!$K253,M252))</f>
        <v>3.506538596</v>
      </c>
      <c r="N253" s="378">
        <f>IF(M253="","", IF(ARBITRAGES!$H253="ckb",N252+ARBITRAGES!$K253,N252))</f>
        <v>0</v>
      </c>
      <c r="O253" s="378">
        <f>IF(N253="","", IF(ARBITRAGES!$H253="pendle",O252-ARBITRAGES!$K253+0.1,O252))</f>
        <v>0.001461291462</v>
      </c>
      <c r="P253" s="378">
        <f>IF(O253="","", IF(ARBITRAGES!$H253="BOME",P252+ARBITRAGES!$K253,P252))</f>
        <v>0.02891989199</v>
      </c>
      <c r="Q253" s="378">
        <f>IF(P253="","", IF(ARBITRAGES!$H253="PEPE",Q252+ARBITRAGES!$K253,Q252))</f>
        <v>0.03999999762</v>
      </c>
      <c r="R253" s="378">
        <f>IF(Q253="","", IF(ARBITRAGES!$H253="WIF",R252+ARBITRAGES!$K253,R252))</f>
        <v>0</v>
      </c>
      <c r="S253" s="378">
        <f>IF(R253="","", IF(ARBITRAGES!$H253="RAY",S252+ARBITRAGES!$K253,S252))</f>
        <v>0</v>
      </c>
      <c r="T253" s="360"/>
      <c r="U253" s="360"/>
      <c r="V253" s="360"/>
      <c r="W253" s="360"/>
      <c r="X253" s="360"/>
      <c r="Y253" s="360"/>
      <c r="Z253" s="360"/>
      <c r="AA253" s="360"/>
      <c r="AB253" s="360"/>
      <c r="AC253" s="360"/>
      <c r="AD253" s="360"/>
      <c r="AE253" s="360"/>
      <c r="AF253" s="360"/>
      <c r="AG253" s="360"/>
      <c r="AH253" s="360"/>
    </row>
    <row r="254" ht="18.75" customHeight="1">
      <c r="A254" s="365">
        <f>IF(ARBITRAGES!E254=0,"",ARBITRAGES!E254)</f>
        <v>46055</v>
      </c>
      <c r="B254" s="374">
        <f>IF(A254="","", IF(ARBITRAGES!$H254="BTC",B253+ARBITRAGES!$K254,B253))</f>
        <v>0.3516018992</v>
      </c>
      <c r="C254" s="375">
        <f>IF(B254="","", IF(ARBITRAGES!$H254="eth",C253+ARBITRAGES!$K254,C253))</f>
        <v>2.172967678</v>
      </c>
      <c r="D254" s="376">
        <f>IF(C254="","", IF(ARBITRAGES!$H254="ondo",D253+ARBITRAGES!$K254,D253))</f>
        <v>0.001390269174</v>
      </c>
      <c r="E254" s="376">
        <f>IF(D254="","", IF(ARBITRAGES!$H254="sol",E253+ARBITRAGES!$K254,E253))</f>
        <v>10.22580217</v>
      </c>
      <c r="F254" s="377">
        <f>IF(E254="","", IF(ARBITRAGES!$H254="tao",F253+ARBITRAGES!$K254,F253))</f>
        <v>5.001172074</v>
      </c>
      <c r="G254" s="378">
        <f>IF(F254="","", IF(ARBITRAGES!$H254="ron",G253+ARBITRAGES!$K254,G253))</f>
        <v>0</v>
      </c>
      <c r="H254" s="378">
        <f>IF(G254="","", IF(ARBITRAGES!$H254="link",H253+ARBITRAGES!$K254,H253))</f>
        <v>25.02651227</v>
      </c>
      <c r="I254" s="378">
        <f>IF(H254="","", IF(ARBITRAGES!$H254="doge",I253+ARBITRAGES!$K254,I253))</f>
        <v>-0.0417641419</v>
      </c>
      <c r="J254" s="378">
        <f>IF(I254="","", IF(ARBITRAGES!$H254="shib",J253-ARBITRAGES!$K254,J253))</f>
        <v>-0.01945258975</v>
      </c>
      <c r="K254" s="378">
        <f>IF(J254="","", IF(ARBITRAGES!$H254="cake",K253+ARBITRAGES!$K254,K253))</f>
        <v>0</v>
      </c>
      <c r="L254" s="378">
        <f>IF(K254="","", IF(ARBITRAGES!$H254="JUP",L253+ARBITRAGES!$K254,L253))</f>
        <v>0</v>
      </c>
      <c r="M254" s="376">
        <f>IF(L254="","", IF(ARBITRAGES!$H254="aave",M253+ARBITRAGES!$K254,M253))</f>
        <v>3.506538596</v>
      </c>
      <c r="N254" s="378">
        <f>IF(M254="","", IF(ARBITRAGES!$H254="ckb",N253+ARBITRAGES!$K254,N253))</f>
        <v>0</v>
      </c>
      <c r="O254" s="378">
        <f>IF(N254="","", IF(ARBITRAGES!$H254="pendle",O253-ARBITRAGES!$K254+0.1,O253))</f>
        <v>0.001461291462</v>
      </c>
      <c r="P254" s="378">
        <f>IF(O254="","", IF(ARBITRAGES!$H254="BOME",P253+ARBITRAGES!$K254,P253))</f>
        <v>0.02891989199</v>
      </c>
      <c r="Q254" s="378">
        <f>IF(P254="","", IF(ARBITRAGES!$H254="PEPE",Q253+ARBITRAGES!$K254,Q253))</f>
        <v>0.03999999762</v>
      </c>
      <c r="R254" s="378">
        <f>IF(Q254="","", IF(ARBITRAGES!$H254="WIF",R253+ARBITRAGES!$K254,R253))</f>
        <v>0</v>
      </c>
      <c r="S254" s="378">
        <f>IF(R254="","", IF(ARBITRAGES!$H254="RAY",S253+ARBITRAGES!$K254,S253))</f>
        <v>0</v>
      </c>
      <c r="T254" s="360"/>
      <c r="U254" s="360"/>
      <c r="V254" s="360"/>
      <c r="W254" s="360"/>
      <c r="X254" s="360"/>
      <c r="Y254" s="360"/>
      <c r="Z254" s="360"/>
      <c r="AA254" s="360"/>
      <c r="AB254" s="360"/>
      <c r="AC254" s="360"/>
      <c r="AD254" s="360"/>
      <c r="AE254" s="360"/>
      <c r="AF254" s="360"/>
      <c r="AG254" s="360"/>
      <c r="AH254" s="360"/>
    </row>
    <row r="255" ht="18.75" customHeight="1">
      <c r="A255" s="365">
        <f>IF(ARBITRAGES!E255=0,"",ARBITRAGES!E255)</f>
        <v>46056</v>
      </c>
      <c r="B255" s="374">
        <f>IF(A255="","", IF(ARBITRAGES!$H255="BTC",B254+ARBITRAGES!$K255,B254))</f>
        <v>0.3605018992</v>
      </c>
      <c r="C255" s="375">
        <f>IF(B255="","", IF(ARBITRAGES!$H255="eth",C254+ARBITRAGES!$K255,C254))</f>
        <v>2.172967678</v>
      </c>
      <c r="D255" s="376">
        <f>IF(C255="","", IF(ARBITRAGES!$H255="ondo",D254+ARBITRAGES!$K255,D254))</f>
        <v>0.001390269174</v>
      </c>
      <c r="E255" s="376">
        <f>IF(D255="","", IF(ARBITRAGES!$H255="sol",E254+ARBITRAGES!$K255,E254))</f>
        <v>10.22580217</v>
      </c>
      <c r="F255" s="377">
        <f>IF(E255="","", IF(ARBITRAGES!$H255="tao",F254+ARBITRAGES!$K255,F254))</f>
        <v>5.001172074</v>
      </c>
      <c r="G255" s="378">
        <f>IF(F255="","", IF(ARBITRAGES!$H255="ron",G254+ARBITRAGES!$K255,G254))</f>
        <v>0</v>
      </c>
      <c r="H255" s="378">
        <f>IF(G255="","", IF(ARBITRAGES!$H255="link",H254+ARBITRAGES!$K255,H254))</f>
        <v>25.02651227</v>
      </c>
      <c r="I255" s="378">
        <f>IF(H255="","", IF(ARBITRAGES!$H255="doge",I254+ARBITRAGES!$K255,I254))</f>
        <v>-0.0417641419</v>
      </c>
      <c r="J255" s="378">
        <f>IF(I255="","", IF(ARBITRAGES!$H255="shib",J254-ARBITRAGES!$K255,J254))</f>
        <v>-0.01945258975</v>
      </c>
      <c r="K255" s="378">
        <f>IF(J255="","", IF(ARBITRAGES!$H255="cake",K254+ARBITRAGES!$K255,K254))</f>
        <v>0</v>
      </c>
      <c r="L255" s="378">
        <f>IF(K255="","", IF(ARBITRAGES!$H255="JUP",L254+ARBITRAGES!$K255,L254))</f>
        <v>0</v>
      </c>
      <c r="M255" s="376">
        <f>IF(L255="","", IF(ARBITRAGES!$H255="aave",M254+ARBITRAGES!$K255,M254))</f>
        <v>3.506538596</v>
      </c>
      <c r="N255" s="378">
        <f>IF(M255="","", IF(ARBITRAGES!$H255="ckb",N254+ARBITRAGES!$K255,N254))</f>
        <v>0</v>
      </c>
      <c r="O255" s="378">
        <f>IF(N255="","", IF(ARBITRAGES!$H255="pendle",O254-ARBITRAGES!$K255+0.1,O254))</f>
        <v>0.001461291462</v>
      </c>
      <c r="P255" s="378">
        <f>IF(O255="","", IF(ARBITRAGES!$H255="BOME",P254+ARBITRAGES!$K255,P254))</f>
        <v>0.02891989199</v>
      </c>
      <c r="Q255" s="378">
        <f>IF(P255="","", IF(ARBITRAGES!$H255="PEPE",Q254+ARBITRAGES!$K255,Q254))</f>
        <v>0.03999999762</v>
      </c>
      <c r="R255" s="378">
        <f>IF(Q255="","", IF(ARBITRAGES!$H255="WIF",R254+ARBITRAGES!$K255,R254))</f>
        <v>0</v>
      </c>
      <c r="S255" s="378">
        <f>IF(R255="","", IF(ARBITRAGES!$H255="RAY",S254+ARBITRAGES!$K255,S254))</f>
        <v>0</v>
      </c>
      <c r="T255" s="360"/>
      <c r="U255" s="360"/>
      <c r="V255" s="360"/>
      <c r="W255" s="360"/>
      <c r="X255" s="360"/>
      <c r="Y255" s="360"/>
      <c r="Z255" s="360"/>
      <c r="AA255" s="360"/>
      <c r="AB255" s="360"/>
      <c r="AC255" s="360"/>
      <c r="AD255" s="360"/>
      <c r="AE255" s="360"/>
      <c r="AF255" s="360"/>
      <c r="AG255" s="360"/>
      <c r="AH255" s="360"/>
    </row>
    <row r="256" ht="18.75" customHeight="1">
      <c r="A256" s="365">
        <f>IF(ARBITRAGES!E256=0,"",ARBITRAGES!E256)</f>
        <v>46057</v>
      </c>
      <c r="B256" s="374">
        <f>IF(A256="","", IF(ARBITRAGES!$H256="BTC",B255+ARBITRAGES!$K256,B255))</f>
        <v>0.3650447563</v>
      </c>
      <c r="C256" s="375">
        <f>IF(B256="","", IF(ARBITRAGES!$H256="eth",C255+ARBITRAGES!$K256,C255))</f>
        <v>2.172967678</v>
      </c>
      <c r="D256" s="376">
        <f>IF(C256="","", IF(ARBITRAGES!$H256="ondo",D255+ARBITRAGES!$K256,D255))</f>
        <v>0.001390269174</v>
      </c>
      <c r="E256" s="376">
        <f>IF(D256="","", IF(ARBITRAGES!$H256="sol",E255+ARBITRAGES!$K256,E255))</f>
        <v>10.22580217</v>
      </c>
      <c r="F256" s="377">
        <f>IF(E256="","", IF(ARBITRAGES!$H256="tao",F255+ARBITRAGES!$K256,F255))</f>
        <v>5.001172074</v>
      </c>
      <c r="G256" s="378">
        <f>IF(F256="","", IF(ARBITRAGES!$H256="ron",G255+ARBITRAGES!$K256,G255))</f>
        <v>0</v>
      </c>
      <c r="H256" s="378">
        <f>IF(G256="","", IF(ARBITRAGES!$H256="link",H255+ARBITRAGES!$K256,H255))</f>
        <v>25.02651227</v>
      </c>
      <c r="I256" s="378">
        <f>IF(H256="","", IF(ARBITRAGES!$H256="doge",I255+ARBITRAGES!$K256,I255))</f>
        <v>-0.0417641419</v>
      </c>
      <c r="J256" s="378">
        <f>IF(I256="","", IF(ARBITRAGES!$H256="shib",J255-ARBITRAGES!$K256,J255))</f>
        <v>-0.01945258975</v>
      </c>
      <c r="K256" s="378">
        <f>IF(J256="","", IF(ARBITRAGES!$H256="cake",K255+ARBITRAGES!$K256,K255))</f>
        <v>0</v>
      </c>
      <c r="L256" s="378">
        <f>IF(K256="","", IF(ARBITRAGES!$H256="JUP",L255+ARBITRAGES!$K256,L255))</f>
        <v>0</v>
      </c>
      <c r="M256" s="376">
        <f>IF(L256="","", IF(ARBITRAGES!$H256="aave",M255+ARBITRAGES!$K256,M255))</f>
        <v>3.506538596</v>
      </c>
      <c r="N256" s="378">
        <f>IF(M256="","", IF(ARBITRAGES!$H256="ckb",N255+ARBITRAGES!$K256,N255))</f>
        <v>0</v>
      </c>
      <c r="O256" s="378">
        <f>IF(N256="","", IF(ARBITRAGES!$H256="pendle",O255-ARBITRAGES!$K256+0.1,O255))</f>
        <v>0.001461291462</v>
      </c>
      <c r="P256" s="378">
        <f>IF(O256="","", IF(ARBITRAGES!$H256="BOME",P255+ARBITRAGES!$K256,P255))</f>
        <v>0.02891989199</v>
      </c>
      <c r="Q256" s="378">
        <f>IF(P256="","", IF(ARBITRAGES!$H256="PEPE",Q255+ARBITRAGES!$K256,Q255))</f>
        <v>0.03999999762</v>
      </c>
      <c r="R256" s="378">
        <f>IF(Q256="","", IF(ARBITRAGES!$H256="WIF",R255+ARBITRAGES!$K256,R255))</f>
        <v>0</v>
      </c>
      <c r="S256" s="378">
        <f>IF(R256="","", IF(ARBITRAGES!$H256="RAY",S255+ARBITRAGES!$K256,S255))</f>
        <v>0</v>
      </c>
      <c r="T256" s="360"/>
      <c r="U256" s="360"/>
      <c r="V256" s="360"/>
      <c r="W256" s="360"/>
      <c r="X256" s="360"/>
      <c r="Y256" s="360"/>
      <c r="Z256" s="360"/>
      <c r="AA256" s="360"/>
      <c r="AB256" s="360"/>
      <c r="AC256" s="360"/>
      <c r="AD256" s="360"/>
      <c r="AE256" s="360"/>
      <c r="AF256" s="360"/>
      <c r="AG256" s="360"/>
      <c r="AH256" s="360"/>
    </row>
    <row r="257" ht="18.75" customHeight="1">
      <c r="A257" s="365">
        <f>IF(ARBITRAGES!E257=0,"",ARBITRAGES!E257)</f>
        <v>46058</v>
      </c>
      <c r="B257" s="375">
        <f>IF(A257="","", IF(ARBITRAGES!$H257="BTC",B256+ARBITRAGES!$K257,B256))</f>
        <v>0.3650447563</v>
      </c>
      <c r="C257" s="375">
        <f>IF(B257="","", IF(ARBITRAGES!$H257="eth",C256+ARBITRAGES!$K257,C256))</f>
        <v>2.172967678</v>
      </c>
      <c r="D257" s="376">
        <f>IF(C257="","", IF(ARBITRAGES!$H257="ondo",D256+ARBITRAGES!$K257,D256))</f>
        <v>0.001390269174</v>
      </c>
      <c r="E257" s="376">
        <f>IF(D257="","", IF(ARBITRAGES!$H257="sol",E256+ARBITRAGES!$K257,E256))</f>
        <v>10.22580217</v>
      </c>
      <c r="F257" s="377">
        <f>IF(E257="","", IF(ARBITRAGES!$H257="tao",F256+ARBITRAGES!$K257,F256))</f>
        <v>5.001172074</v>
      </c>
      <c r="G257" s="378">
        <f>IF(F257="","", IF(ARBITRAGES!$H257="ron",G256+ARBITRAGES!$K257,G256))</f>
        <v>0</v>
      </c>
      <c r="H257" s="394">
        <f>IF(G257="","", IF(ARBITRAGES!$H257="link",0,H256))</f>
        <v>0</v>
      </c>
      <c r="I257" s="378">
        <f>IF(H257="","", IF(ARBITRAGES!$H257="doge",I256+ARBITRAGES!$K257,I256))</f>
        <v>-0.0417641419</v>
      </c>
      <c r="J257" s="378">
        <f>IF(I257="","", IF(ARBITRAGES!$H257="shib",J256-ARBITRAGES!$K257,J256))</f>
        <v>-0.01945258975</v>
      </c>
      <c r="K257" s="378">
        <f>IF(J257="","", IF(ARBITRAGES!$H257="cake",K256+ARBITRAGES!$K257,K256))</f>
        <v>0</v>
      </c>
      <c r="L257" s="378">
        <f>IF(K257="","", IF(ARBITRAGES!$H257="JUP",L256+ARBITRAGES!$K257,L256))</f>
        <v>0</v>
      </c>
      <c r="M257" s="376">
        <f>IF(L257="","", IF(ARBITRAGES!$H257="aave",M256+ARBITRAGES!$K257,M256))</f>
        <v>3.506538596</v>
      </c>
      <c r="N257" s="378">
        <f>IF(M257="","", IF(ARBITRAGES!$H257="ckb",N256+ARBITRAGES!$K257,N256))</f>
        <v>0</v>
      </c>
      <c r="O257" s="378">
        <f>IF(N257="","", IF(ARBITRAGES!$H257="pendle",O256-ARBITRAGES!$K257+0.1,O256))</f>
        <v>0.001461291462</v>
      </c>
      <c r="P257" s="378">
        <f>IF(O257="","", IF(ARBITRAGES!$H257="BOME",P256+ARBITRAGES!$K257,P256))</f>
        <v>0.02891989199</v>
      </c>
      <c r="Q257" s="378">
        <f>IF(P257="","", IF(ARBITRAGES!$H257="PEPE",Q256+ARBITRAGES!$K257,Q256))</f>
        <v>0.03999999762</v>
      </c>
      <c r="R257" s="378">
        <f>IF(Q257="","", IF(ARBITRAGES!$H257="WIF",R256+ARBITRAGES!$K257,R256))</f>
        <v>0</v>
      </c>
      <c r="S257" s="378">
        <f>IF(R257="","", IF(ARBITRAGES!$H257="RAY",S256+ARBITRAGES!$K257,S256))</f>
        <v>0</v>
      </c>
      <c r="T257" s="360"/>
      <c r="U257" s="360"/>
      <c r="V257" s="360"/>
      <c r="W257" s="360"/>
      <c r="X257" s="360"/>
      <c r="Y257" s="360"/>
      <c r="Z257" s="360"/>
      <c r="AA257" s="360"/>
      <c r="AB257" s="360"/>
      <c r="AC257" s="360"/>
      <c r="AD257" s="360"/>
      <c r="AE257" s="360"/>
      <c r="AF257" s="360"/>
      <c r="AG257" s="360"/>
      <c r="AH257" s="360"/>
    </row>
    <row r="258" ht="18.75" customHeight="1">
      <c r="A258" s="365">
        <f>IF(ARBITRAGES!E258=0,"",ARBITRAGES!E258)</f>
        <v>46058</v>
      </c>
      <c r="B258" s="374">
        <f>IF(A258="","", IF(ARBITRAGES!$H258="BTC",B257+ARBITRAGES!$K258,B257))</f>
        <v>0.3684798708</v>
      </c>
      <c r="C258" s="375">
        <f>IF(B258="","", IF(ARBITRAGES!$H258="eth",C257+ARBITRAGES!$K258,C257))</f>
        <v>2.172967678</v>
      </c>
      <c r="D258" s="376">
        <f>IF(C258="","", IF(ARBITRAGES!$H258="ondo",D257+ARBITRAGES!$K258,D257))</f>
        <v>0.001390269174</v>
      </c>
      <c r="E258" s="376">
        <f>IF(D258="","", IF(ARBITRAGES!$H258="sol",E257+ARBITRAGES!$K258,E257))</f>
        <v>10.22580217</v>
      </c>
      <c r="F258" s="377">
        <f>IF(E258="","", IF(ARBITRAGES!$H258="tao",F257+ARBITRAGES!$K258,F257))</f>
        <v>5.001172074</v>
      </c>
      <c r="G258" s="378">
        <f>IF(F258="","", IF(ARBITRAGES!$H258="ron",G257+ARBITRAGES!$K258,G257))</f>
        <v>0</v>
      </c>
      <c r="H258" s="378">
        <f>IF(G258="","", IF(ARBITRAGES!$H258="link",H257+ARBITRAGES!$K258,H257))</f>
        <v>0</v>
      </c>
      <c r="I258" s="378">
        <f>IF(H258="","", IF(ARBITRAGES!$H258="doge",I257+ARBITRAGES!$K258,I257))</f>
        <v>-0.0417641419</v>
      </c>
      <c r="J258" s="378">
        <f>IF(I258="","", IF(ARBITRAGES!$H258="shib",J257-ARBITRAGES!$K258,J257))</f>
        <v>-0.01945258975</v>
      </c>
      <c r="K258" s="378">
        <f>IF(J258="","", IF(ARBITRAGES!$H258="cake",K257+ARBITRAGES!$K258,K257))</f>
        <v>0</v>
      </c>
      <c r="L258" s="378">
        <f>IF(K258="","", IF(ARBITRAGES!$H258="JUP",L257+ARBITRAGES!$K258,L257))</f>
        <v>0</v>
      </c>
      <c r="M258" s="376">
        <f>IF(L258="","", IF(ARBITRAGES!$H258="aave",M257+ARBITRAGES!$K258,M257))</f>
        <v>3.506538596</v>
      </c>
      <c r="N258" s="378">
        <f>IF(M258="","", IF(ARBITRAGES!$H258="ckb",N257+ARBITRAGES!$K258,N257))</f>
        <v>0</v>
      </c>
      <c r="O258" s="378">
        <f>IF(N258="","", IF(ARBITRAGES!$H258="pendle",O257-ARBITRAGES!$K258+0.1,O257))</f>
        <v>0.001461291462</v>
      </c>
      <c r="P258" s="378">
        <f>IF(O258="","", IF(ARBITRAGES!$H258="BOME",P257+ARBITRAGES!$K258,P257))</f>
        <v>0.02891989199</v>
      </c>
      <c r="Q258" s="378">
        <f>IF(P258="","", IF(ARBITRAGES!$H258="PEPE",Q257+ARBITRAGES!$K258,Q257))</f>
        <v>0.03999999762</v>
      </c>
      <c r="R258" s="378">
        <f>IF(Q258="","", IF(ARBITRAGES!$H258="WIF",R257+ARBITRAGES!$K258,R257))</f>
        <v>0</v>
      </c>
      <c r="S258" s="378">
        <f>IF(R258="","", IF(ARBITRAGES!$H258="RAY",S257+ARBITRAGES!$K258,S257))</f>
        <v>0</v>
      </c>
      <c r="T258" s="360"/>
      <c r="U258" s="360"/>
      <c r="V258" s="360"/>
      <c r="W258" s="360"/>
      <c r="X258" s="360"/>
      <c r="Y258" s="360"/>
      <c r="Z258" s="360"/>
      <c r="AA258" s="360"/>
      <c r="AB258" s="360"/>
      <c r="AC258" s="360"/>
      <c r="AD258" s="360"/>
      <c r="AE258" s="360"/>
      <c r="AF258" s="360"/>
      <c r="AG258" s="360"/>
      <c r="AH258" s="360"/>
    </row>
    <row r="259" ht="18.75" customHeight="1">
      <c r="A259" s="365">
        <f>IF(ARBITRAGES!E259=0,"",ARBITRAGES!E259)</f>
        <v>46059</v>
      </c>
      <c r="B259" s="374">
        <f>IF(A259="","", IF(ARBITRAGES!$H259="BTC",B258+ARBITRAGES!$K259,B258))</f>
        <v>0.3763538866</v>
      </c>
      <c r="C259" s="375">
        <f>IF(B259="","", IF(ARBITRAGES!$H259="eth",C258+ARBITRAGES!$K259,C258))</f>
        <v>2.172967678</v>
      </c>
      <c r="D259" s="376">
        <f>IF(C259="","", IF(ARBITRAGES!$H259="ondo",D258+ARBITRAGES!$K259,D258))</f>
        <v>0.001390269174</v>
      </c>
      <c r="E259" s="376">
        <f>IF(D259="","", IF(ARBITRAGES!$H259="sol",E258+ARBITRAGES!$K259,E258))</f>
        <v>10.22580217</v>
      </c>
      <c r="F259" s="377">
        <f>IF(E259="","", IF(ARBITRAGES!$H259="tao",F258+ARBITRAGES!$K259,F258))</f>
        <v>5.001172074</v>
      </c>
      <c r="G259" s="378">
        <f>IF(F259="","", IF(ARBITRAGES!$H259="ron",G258+ARBITRAGES!$K259,G258))</f>
        <v>0</v>
      </c>
      <c r="H259" s="378">
        <f>IF(G259="","", IF(ARBITRAGES!$H259="link",H258+ARBITRAGES!$K259,H258))</f>
        <v>0</v>
      </c>
      <c r="I259" s="378">
        <f>IF(H259="","", IF(ARBITRAGES!$H259="doge",I258+ARBITRAGES!$K259,I258))</f>
        <v>-0.0417641419</v>
      </c>
      <c r="J259" s="378">
        <f>IF(I259="","", IF(ARBITRAGES!$H259="shib",J258-ARBITRAGES!$K259,J258))</f>
        <v>-0.01945258975</v>
      </c>
      <c r="K259" s="378">
        <f>IF(J259="","", IF(ARBITRAGES!$H259="cake",K258+ARBITRAGES!$K259,K258))</f>
        <v>0</v>
      </c>
      <c r="L259" s="378">
        <f>IF(K259="","", IF(ARBITRAGES!$H259="JUP",L258+ARBITRAGES!$K259,L258))</f>
        <v>0</v>
      </c>
      <c r="M259" s="376">
        <f>IF(L259="","", IF(ARBITRAGES!$H259="aave",M258+ARBITRAGES!$K259,M258))</f>
        <v>3.506538596</v>
      </c>
      <c r="N259" s="378">
        <f>IF(M259="","", IF(ARBITRAGES!$H259="ckb",N258+ARBITRAGES!$K259,N258))</f>
        <v>0</v>
      </c>
      <c r="O259" s="378">
        <f>IF(N259="","", IF(ARBITRAGES!$H259="pendle",O258-ARBITRAGES!$K259+0.1,O258))</f>
        <v>0.001461291462</v>
      </c>
      <c r="P259" s="378">
        <f>IF(O259="","", IF(ARBITRAGES!$H259="BOME",P258+ARBITRAGES!$K259,P258))</f>
        <v>0.02891989199</v>
      </c>
      <c r="Q259" s="378">
        <f>IF(P259="","", IF(ARBITRAGES!$H259="PEPE",Q258+ARBITRAGES!$K259,Q258))</f>
        <v>0.03999999762</v>
      </c>
      <c r="R259" s="378">
        <f>IF(Q259="","", IF(ARBITRAGES!$H259="WIF",R258+ARBITRAGES!$K259,R258))</f>
        <v>0</v>
      </c>
      <c r="S259" s="378">
        <f>IF(R259="","", IF(ARBITRAGES!$H259="RAY",S258+ARBITRAGES!$K259,S258))</f>
        <v>0</v>
      </c>
      <c r="T259" s="360"/>
      <c r="U259" s="360"/>
      <c r="V259" s="360"/>
      <c r="W259" s="360"/>
      <c r="X259" s="360"/>
      <c r="Y259" s="360"/>
      <c r="Z259" s="360"/>
      <c r="AA259" s="360"/>
      <c r="AB259" s="360"/>
      <c r="AC259" s="360"/>
      <c r="AD259" s="360"/>
      <c r="AE259" s="360"/>
      <c r="AF259" s="360"/>
      <c r="AG259" s="360"/>
      <c r="AH259" s="360"/>
    </row>
    <row r="260" ht="18.75" customHeight="1">
      <c r="A260" s="365">
        <f>IF(ARBITRAGES!E260=0,"",ARBITRAGES!E260)</f>
        <v>46060</v>
      </c>
      <c r="B260" s="375">
        <f>IF(A260="","", IF(ARBITRAGES!$H260="BTC",B259+ARBITRAGES!$K260,B259))</f>
        <v>0.3763538866</v>
      </c>
      <c r="C260" s="375">
        <f>IF(B260="","", IF(ARBITRAGES!$H260="eth",C259+ARBITRAGES!$K260,C259))</f>
        <v>2.172967678</v>
      </c>
      <c r="D260" s="376">
        <f>IF(C260="","", IF(ARBITRAGES!$H260="ondo",D259+ARBITRAGES!$K260,D259))</f>
        <v>0.001390269174</v>
      </c>
      <c r="E260" s="376">
        <f>IF(D260="","", IF(ARBITRAGES!$H260="sol",E259+ARBITRAGES!$K260,E259))</f>
        <v>10.22580217</v>
      </c>
      <c r="F260" s="377">
        <f>IF(E260="","", IF(ARBITRAGES!$H260="tao",F259+ARBITRAGES!$K260,F259))</f>
        <v>5.001172074</v>
      </c>
      <c r="G260" s="378">
        <f>IF(F260="","", IF(ARBITRAGES!$H260="ron",G259+ARBITRAGES!$K260,G259))</f>
        <v>0</v>
      </c>
      <c r="H260" s="378">
        <f>IF(G260="","", IF(ARBITRAGES!$H260="link",H259+ARBITRAGES!$K260,H259))</f>
        <v>0</v>
      </c>
      <c r="I260" s="378">
        <f>IF(H260="","", IF(ARBITRAGES!$H260="doge",I259+ARBITRAGES!$K260,I259))</f>
        <v>-0.0417641419</v>
      </c>
      <c r="J260" s="378">
        <f>IF(I260="","", IF(ARBITRAGES!$H260="shib",J259-ARBITRAGES!$K260,J259))</f>
        <v>-0.01945258975</v>
      </c>
      <c r="K260" s="378">
        <f>IF(J260="","", IF(ARBITRAGES!$H260="cake",K259+ARBITRAGES!$K260,K259))</f>
        <v>0</v>
      </c>
      <c r="L260" s="378">
        <f>IF(K260="","", IF(ARBITRAGES!$H260="JUP",L259+ARBITRAGES!$K260,L259))</f>
        <v>0</v>
      </c>
      <c r="M260" s="392">
        <f>IF(L260="","", IF(ARBITRAGES!$H260="aave",0,M259))</f>
        <v>0</v>
      </c>
      <c r="N260" s="378">
        <f>IF(M260="","", IF(ARBITRAGES!$H260="ckb",N259+ARBITRAGES!$K260,N259))</f>
        <v>0</v>
      </c>
      <c r="O260" s="378">
        <f>IF(N260="","", IF(ARBITRAGES!$H260="pendle",O259-ARBITRAGES!$K260+0.1,O259))</f>
        <v>0.001461291462</v>
      </c>
      <c r="P260" s="378">
        <f>IF(O260="","", IF(ARBITRAGES!$H260="BOME",P259+ARBITRAGES!$K260,P259))</f>
        <v>0.02891989199</v>
      </c>
      <c r="Q260" s="378">
        <f>IF(P260="","", IF(ARBITRAGES!$H260="PEPE",Q259+ARBITRAGES!$K260,Q259))</f>
        <v>0.03999999762</v>
      </c>
      <c r="R260" s="378">
        <f>IF(Q260="","", IF(ARBITRAGES!$H260="WIF",R259+ARBITRAGES!$K260,R259))</f>
        <v>0</v>
      </c>
      <c r="S260" s="378">
        <f>IF(R260="","", IF(ARBITRAGES!$H260="RAY",S259+ARBITRAGES!$K260,S259))</f>
        <v>0</v>
      </c>
      <c r="T260" s="360"/>
      <c r="U260" s="360"/>
      <c r="V260" s="360"/>
      <c r="W260" s="360"/>
      <c r="X260" s="360"/>
      <c r="Y260" s="360"/>
      <c r="Z260" s="360"/>
      <c r="AA260" s="360"/>
      <c r="AB260" s="360"/>
      <c r="AC260" s="360"/>
      <c r="AD260" s="360"/>
      <c r="AE260" s="360"/>
      <c r="AF260" s="360"/>
      <c r="AG260" s="360"/>
      <c r="AH260" s="360"/>
    </row>
    <row r="261" ht="18.75" customHeight="1">
      <c r="A261" s="365">
        <f>IF(ARBITRAGES!E261=0,"",ARBITRAGES!E261)</f>
        <v>46060</v>
      </c>
      <c r="B261" s="375">
        <f>IF(A261="","", IF(ARBITRAGES!$H261="BTC",B260+ARBITRAGES!$K261,B260))</f>
        <v>0.3763538866</v>
      </c>
      <c r="C261" s="375">
        <f>IF(B261="","", IF(ARBITRAGES!$H261="eth",C260+ARBITRAGES!$K261,C260))</f>
        <v>2.172967678</v>
      </c>
      <c r="D261" s="376">
        <f>IF(C261="","", IF(ARBITRAGES!$H261="ondo",D260+ARBITRAGES!$K261,D260))</f>
        <v>0.001390269174</v>
      </c>
      <c r="E261" s="376">
        <f>IF(D261="","", IF(ARBITRAGES!$H261="sol",E260+ARBITRAGES!$K261,E260))</f>
        <v>10.22580217</v>
      </c>
      <c r="F261" s="391">
        <f>IF(E261="","", IF(ARBITRAGES!$H261="tao",0,F260))</f>
        <v>0</v>
      </c>
      <c r="G261" s="378">
        <f>IF(F261="","", IF(ARBITRAGES!$H261="ron",G260+ARBITRAGES!$K261,G260))</f>
        <v>0</v>
      </c>
      <c r="H261" s="378">
        <f>IF(G261="","", IF(ARBITRAGES!$H261="link",H260+ARBITRAGES!$K261,H260))</f>
        <v>0</v>
      </c>
      <c r="I261" s="378">
        <f>IF(H261="","", IF(ARBITRAGES!$H261="doge",I260+ARBITRAGES!$K261,I260))</f>
        <v>-0.0417641419</v>
      </c>
      <c r="J261" s="378">
        <f>IF(I261="","", IF(ARBITRAGES!$H261="shib",J260-ARBITRAGES!$K261,J260))</f>
        <v>-0.01945258975</v>
      </c>
      <c r="K261" s="378">
        <f>IF(J261="","", IF(ARBITRAGES!$H261="cake",K260+ARBITRAGES!$K261,K260))</f>
        <v>0</v>
      </c>
      <c r="L261" s="378">
        <f>IF(K261="","", IF(ARBITRAGES!$H261="JUP",L260+ARBITRAGES!$K261,L260))</f>
        <v>0</v>
      </c>
      <c r="M261" s="376">
        <f>IF(L261="","", IF(ARBITRAGES!$H261="aave",M260+ARBITRAGES!$K261,M260))</f>
        <v>0</v>
      </c>
      <c r="N261" s="378">
        <f>IF(M261="","", IF(ARBITRAGES!$H261="ckb",N260+ARBITRAGES!$K261,N260))</f>
        <v>0</v>
      </c>
      <c r="O261" s="378">
        <f>IF(N261="","", IF(ARBITRAGES!$H261="pendle",O260-ARBITRAGES!$K261+0.1,O260))</f>
        <v>0.001461291462</v>
      </c>
      <c r="P261" s="378">
        <f>IF(O261="","", IF(ARBITRAGES!$H261="BOME",P260+ARBITRAGES!$K261,P260))</f>
        <v>0.02891989199</v>
      </c>
      <c r="Q261" s="378">
        <f>IF(P261="","", IF(ARBITRAGES!$H261="PEPE",Q260+ARBITRAGES!$K261,Q260))</f>
        <v>0.03999999762</v>
      </c>
      <c r="R261" s="378">
        <f>IF(Q261="","", IF(ARBITRAGES!$H261="WIF",R260+ARBITRAGES!$K261,R260))</f>
        <v>0</v>
      </c>
      <c r="S261" s="378">
        <f>IF(R261="","", IF(ARBITRAGES!$H261="RAY",S260+ARBITRAGES!$K261,S260))</f>
        <v>0</v>
      </c>
      <c r="T261" s="360"/>
      <c r="U261" s="360"/>
      <c r="V261" s="360"/>
      <c r="W261" s="360"/>
      <c r="X261" s="360"/>
      <c r="Y261" s="360"/>
      <c r="Z261" s="360"/>
      <c r="AA261" s="360"/>
      <c r="AB261" s="360"/>
      <c r="AC261" s="360"/>
      <c r="AD261" s="360"/>
      <c r="AE261" s="360"/>
      <c r="AF261" s="360"/>
      <c r="AG261" s="360"/>
      <c r="AH261" s="360"/>
    </row>
    <row r="262" ht="18.75" customHeight="1">
      <c r="A262" s="365">
        <f>IF(ARBITRAGES!E262=0,"",ARBITRAGES!E262)</f>
        <v>46061</v>
      </c>
      <c r="B262" s="375">
        <f>IF(A262="","", IF(ARBITRAGES!$H262="BTC",B261+ARBITRAGES!$K262,B261))</f>
        <v>0.3763538866</v>
      </c>
      <c r="C262" s="375">
        <f>IF(B262="","", IF(ARBITRAGES!$H262="eth",C261+ARBITRAGES!$K262,C261))</f>
        <v>2.172967678</v>
      </c>
      <c r="D262" s="376">
        <f>IF(C262="","", IF(ARBITRAGES!$H262="ondo",D261+ARBITRAGES!$K262,D261))</f>
        <v>0.001390269174</v>
      </c>
      <c r="E262" s="392">
        <f>IF(D262="","", IF(ARBITRAGES!$H262="sol",0,E261))</f>
        <v>0</v>
      </c>
      <c r="F262" s="377">
        <f>IF(E262="","", IF(ARBITRAGES!$H262="tao",F261+ARBITRAGES!$K262,F261))</f>
        <v>0</v>
      </c>
      <c r="G262" s="378">
        <f>IF(F262="","", IF(ARBITRAGES!$H262="ron",G261+ARBITRAGES!$K262,G261))</f>
        <v>0</v>
      </c>
      <c r="H262" s="378">
        <f>IF(G262="","", IF(ARBITRAGES!$H262="link",H261+ARBITRAGES!$K262,H261))</f>
        <v>0</v>
      </c>
      <c r="I262" s="378">
        <f>IF(H262="","", IF(ARBITRAGES!$H262="doge",I261+ARBITRAGES!$K262,I261))</f>
        <v>-0.0417641419</v>
      </c>
      <c r="J262" s="378">
        <f>IF(I262="","", IF(ARBITRAGES!$H262="shib",J261-ARBITRAGES!$K262,J261))</f>
        <v>-0.01945258975</v>
      </c>
      <c r="K262" s="378">
        <f>IF(J262="","", IF(ARBITRAGES!$H262="cake",K261+ARBITRAGES!$K262,K261))</f>
        <v>0</v>
      </c>
      <c r="L262" s="378">
        <f>IF(K262="","", IF(ARBITRAGES!$H262="JUP",L261+ARBITRAGES!$K262,L261))</f>
        <v>0</v>
      </c>
      <c r="M262" s="376">
        <f>IF(L262="","", IF(ARBITRAGES!$H262="aave",M261+ARBITRAGES!$K262,M261))</f>
        <v>0</v>
      </c>
      <c r="N262" s="378">
        <f>IF(M262="","", IF(ARBITRAGES!$H262="ckb",N261+ARBITRAGES!$K262,N261))</f>
        <v>0</v>
      </c>
      <c r="O262" s="378">
        <f>IF(N262="","", IF(ARBITRAGES!$H262="pendle",O261-ARBITRAGES!$K262+0.1,O261))</f>
        <v>0.001461291462</v>
      </c>
      <c r="P262" s="378">
        <f>IF(O262="","", IF(ARBITRAGES!$H262="BOME",P261+ARBITRAGES!$K262,P261))</f>
        <v>0.02891989199</v>
      </c>
      <c r="Q262" s="378">
        <f>IF(P262="","", IF(ARBITRAGES!$H262="PEPE",Q261+ARBITRAGES!$K262,Q261))</f>
        <v>0.03999999762</v>
      </c>
      <c r="R262" s="378">
        <f>IF(Q262="","", IF(ARBITRAGES!$H262="WIF",R261+ARBITRAGES!$K262,R261))</f>
        <v>0</v>
      </c>
      <c r="S262" s="378">
        <f>IF(R262="","", IF(ARBITRAGES!$H262="RAY",S261+ARBITRAGES!$K262,S261))</f>
        <v>0</v>
      </c>
      <c r="T262" s="360"/>
      <c r="U262" s="360"/>
      <c r="V262" s="360"/>
      <c r="W262" s="360"/>
      <c r="X262" s="360"/>
      <c r="Y262" s="360"/>
      <c r="Z262" s="360"/>
      <c r="AA262" s="360"/>
      <c r="AB262" s="360"/>
      <c r="AC262" s="360"/>
      <c r="AD262" s="360"/>
      <c r="AE262" s="360"/>
      <c r="AF262" s="360"/>
      <c r="AG262" s="360"/>
      <c r="AH262" s="360"/>
    </row>
    <row r="263" ht="18.75" customHeight="1">
      <c r="A263" s="365">
        <f>IF(ARBITRAGES!E263=0,"",ARBITRAGES!E263)</f>
        <v>46061</v>
      </c>
      <c r="B263" s="375">
        <f>IF(A263="","", IF(ARBITRAGES!$H263="BTC",B262+ARBITRAGES!$K263,B262))</f>
        <v>0.3763538866</v>
      </c>
      <c r="C263" s="393">
        <f>IF(B263="","", IF(ARBITRAGES!$H263="eth",C262-ARBITRAGES!$K263,C262))</f>
        <v>2.104170928</v>
      </c>
      <c r="D263" s="376">
        <f>IF(C263="","", IF(ARBITRAGES!$H263="ondo",D262+ARBITRAGES!$K263,D262))</f>
        <v>0.001390269174</v>
      </c>
      <c r="E263" s="376">
        <f>IF(D263="","", IF(ARBITRAGES!$H263="sol",E262+ARBITRAGES!$K263,E262))</f>
        <v>0</v>
      </c>
      <c r="F263" s="377">
        <f>IF(E263="","", IF(ARBITRAGES!$H263="tao",F262+ARBITRAGES!$K263,F262))</f>
        <v>0</v>
      </c>
      <c r="G263" s="378">
        <f>IF(F263="","", IF(ARBITRAGES!$H263="ron",G262+ARBITRAGES!$K263,G262))</f>
        <v>0</v>
      </c>
      <c r="H263" s="378">
        <f>IF(G263="","", IF(ARBITRAGES!$H263="link",H262+ARBITRAGES!$K263,H262))</f>
        <v>0</v>
      </c>
      <c r="I263" s="378">
        <f>IF(H263="","", IF(ARBITRAGES!$H263="doge",I262+ARBITRAGES!$K263,I262))</f>
        <v>-0.0417641419</v>
      </c>
      <c r="J263" s="378">
        <f>IF(I263="","", IF(ARBITRAGES!$H263="shib",J262-ARBITRAGES!$K263,J262))</f>
        <v>-0.01945258975</v>
      </c>
      <c r="K263" s="378">
        <f>IF(J263="","", IF(ARBITRAGES!$H263="cake",K262+ARBITRAGES!$K263,K262))</f>
        <v>0</v>
      </c>
      <c r="L263" s="378">
        <f>IF(K263="","", IF(ARBITRAGES!$H263="JUP",L262+ARBITRAGES!$K263,L262))</f>
        <v>0</v>
      </c>
      <c r="M263" s="376">
        <f>IF(L263="","", IF(ARBITRAGES!$H263="aave",M262+ARBITRAGES!$K263,M262))</f>
        <v>0</v>
      </c>
      <c r="N263" s="378">
        <f>IF(M263="","", IF(ARBITRAGES!$H263="ckb",N262+ARBITRAGES!$K263,N262))</f>
        <v>0</v>
      </c>
      <c r="O263" s="378">
        <f>IF(N263="","", IF(ARBITRAGES!$H263="pendle",O262-ARBITRAGES!$K263+0.1,O262))</f>
        <v>0.001461291462</v>
      </c>
      <c r="P263" s="378">
        <f>IF(O263="","", IF(ARBITRAGES!$H263="BOME",P262+ARBITRAGES!$K263,P262))</f>
        <v>0.02891989199</v>
      </c>
      <c r="Q263" s="378">
        <f>IF(P263="","", IF(ARBITRAGES!$H263="PEPE",Q262+ARBITRAGES!$K263,Q262))</f>
        <v>0.03999999762</v>
      </c>
      <c r="R263" s="378">
        <f>IF(Q263="","", IF(ARBITRAGES!$H263="WIF",R262+ARBITRAGES!$K263,R262))</f>
        <v>0</v>
      </c>
      <c r="S263" s="378">
        <f>IF(R263="","", IF(ARBITRAGES!$H263="RAY",S262+ARBITRAGES!$K263,S262))</f>
        <v>0</v>
      </c>
      <c r="T263" s="360"/>
      <c r="U263" s="360"/>
      <c r="V263" s="360"/>
      <c r="W263" s="360"/>
      <c r="X263" s="360"/>
      <c r="Y263" s="360"/>
      <c r="Z263" s="360"/>
      <c r="AA263" s="360"/>
      <c r="AB263" s="360"/>
      <c r="AC263" s="360"/>
      <c r="AD263" s="360"/>
      <c r="AE263" s="360"/>
      <c r="AF263" s="360"/>
      <c r="AG263" s="360"/>
      <c r="AH263" s="360"/>
    </row>
    <row r="264" ht="18.75" customHeight="1">
      <c r="A264" s="365">
        <f>IF(ARBITRAGES!E264=0,"",ARBITRAGES!E264)</f>
        <v>46062</v>
      </c>
      <c r="B264" s="393">
        <f>IF(A264="","", IF(ARBITRAGES!$H264="BTC",B263-ARBITRAGES!$K264,B263))</f>
        <v>0.3749454366</v>
      </c>
      <c r="C264" s="375">
        <f>IF(B264="","", IF(ARBITRAGES!$H264="eth",C263+ARBITRAGES!$K264,C263))</f>
        <v>2.104170928</v>
      </c>
      <c r="D264" s="376">
        <f>IF(C264="","", IF(ARBITRAGES!$H264="ondo",D263+ARBITRAGES!$K264,D263))</f>
        <v>0.001390269174</v>
      </c>
      <c r="E264" s="376">
        <f>IF(D264="","", IF(ARBITRAGES!$H264="sol",E263+ARBITRAGES!$K264,E263))</f>
        <v>0</v>
      </c>
      <c r="F264" s="377">
        <f>IF(E264="","", IF(ARBITRAGES!$H264="tao",F263+ARBITRAGES!$K264,F263))</f>
        <v>0</v>
      </c>
      <c r="G264" s="378">
        <f>IF(F264="","", IF(ARBITRAGES!$H264="ron",G263+ARBITRAGES!$K264,G263))</f>
        <v>0</v>
      </c>
      <c r="H264" s="378">
        <f>IF(G264="","", IF(ARBITRAGES!$H264="link",H263+ARBITRAGES!$K264,H263))</f>
        <v>0</v>
      </c>
      <c r="I264" s="378">
        <f>IF(H264="","", IF(ARBITRAGES!$H264="doge",I263+ARBITRAGES!$K264,I263))</f>
        <v>-0.0417641419</v>
      </c>
      <c r="J264" s="378">
        <f>IF(I264="","", IF(ARBITRAGES!$H264="shib",J263-ARBITRAGES!$K264,J263))</f>
        <v>-0.01945258975</v>
      </c>
      <c r="K264" s="378">
        <f>IF(J264="","", IF(ARBITRAGES!$H264="cake",K263+ARBITRAGES!$K264,K263))</f>
        <v>0</v>
      </c>
      <c r="L264" s="378">
        <f>IF(K264="","", IF(ARBITRAGES!$H264="JUP",L263+ARBITRAGES!$K264,L263))</f>
        <v>0</v>
      </c>
      <c r="M264" s="376">
        <f>IF(L264="","", IF(ARBITRAGES!$H264="aave",M263+ARBITRAGES!$K264,M263))</f>
        <v>0</v>
      </c>
      <c r="N264" s="378">
        <f>IF(M264="","", IF(ARBITRAGES!$H264="ckb",N263+ARBITRAGES!$K264,N263))</f>
        <v>0</v>
      </c>
      <c r="O264" s="378">
        <f>IF(N264="","", IF(ARBITRAGES!$H264="pendle",O263-ARBITRAGES!$K264+0.1,O263))</f>
        <v>0.001461291462</v>
      </c>
      <c r="P264" s="378">
        <f>IF(O264="","", IF(ARBITRAGES!$H264="BOME",P263+ARBITRAGES!$K264,P263))</f>
        <v>0.02891989199</v>
      </c>
      <c r="Q264" s="378">
        <f>IF(P264="","", IF(ARBITRAGES!$H264="PEPE",Q263+ARBITRAGES!$K264,Q263))</f>
        <v>0.03999999762</v>
      </c>
      <c r="R264" s="378">
        <f>IF(Q264="","", IF(ARBITRAGES!$H264="WIF",R263+ARBITRAGES!$K264,R263))</f>
        <v>0</v>
      </c>
      <c r="S264" s="378">
        <f>IF(R264="","", IF(ARBITRAGES!$H264="RAY",S263+ARBITRAGES!$K264,S263))</f>
        <v>0</v>
      </c>
      <c r="T264" s="360"/>
      <c r="U264" s="360"/>
      <c r="V264" s="360"/>
      <c r="W264" s="360"/>
      <c r="X264" s="360"/>
      <c r="Y264" s="360"/>
      <c r="Z264" s="360"/>
      <c r="AA264" s="360"/>
      <c r="AB264" s="360"/>
      <c r="AC264" s="360"/>
      <c r="AD264" s="360"/>
      <c r="AE264" s="360"/>
      <c r="AF264" s="360"/>
      <c r="AG264" s="360"/>
      <c r="AH264" s="360"/>
    </row>
    <row r="265" ht="18.75" customHeight="1">
      <c r="A265" s="365">
        <f>IF(ARBITRAGES!E265=0,"",ARBITRAGES!E265)</f>
        <v>46063</v>
      </c>
      <c r="B265" s="375">
        <f>IF(A265="","", IF(ARBITRAGES!$H265="BTC",B264+ARBITRAGES!$K265,B264))</f>
        <v>0.3749454366</v>
      </c>
      <c r="C265" s="375">
        <f>IF(B265="","", IF(ARBITRAGES!$H265="eth",C264+ARBITRAGES!$K265,C264))</f>
        <v>2.104170928</v>
      </c>
      <c r="D265" s="376">
        <f>IF(C265="","", IF(ARBITRAGES!$H265="ondo",D264+ARBITRAGES!$K265,D264))</f>
        <v>0.001390269174</v>
      </c>
      <c r="E265" s="376">
        <f>IF(D265="","", IF(ARBITRAGES!$H265="sol",E264+ARBITRAGES!$K265,E264))</f>
        <v>0</v>
      </c>
      <c r="F265" s="377">
        <f>IF(E265="","", IF(ARBITRAGES!$H265="tao",F264+ARBITRAGES!$K265,F264))</f>
        <v>0</v>
      </c>
      <c r="G265" s="378">
        <f>IF(F265="","", IF(ARBITRAGES!$H265="ron",G264+ARBITRAGES!$K265,G264))</f>
        <v>0</v>
      </c>
      <c r="H265" s="378">
        <f>IF(G265="","", IF(ARBITRAGES!$H265="link",H264+ARBITRAGES!$K265,H264))</f>
        <v>0</v>
      </c>
      <c r="I265" s="389">
        <f>IF(H265="","", IF(ARBITRAGES!$H265="doge",I264+ARBITRAGES!$K265,I264))</f>
        <v>2222.180458</v>
      </c>
      <c r="J265" s="378">
        <f>IF(I265="","", IF(ARBITRAGES!$H265="shib",J264-ARBITRAGES!$K265,J264))</f>
        <v>-0.01945258975</v>
      </c>
      <c r="K265" s="378">
        <f>IF(J265="","", IF(ARBITRAGES!$H265="cake",K264+ARBITRAGES!$K265,K264))</f>
        <v>0</v>
      </c>
      <c r="L265" s="378">
        <f>IF(K265="","", IF(ARBITRAGES!$H265="JUP",L264+ARBITRAGES!$K265,L264))</f>
        <v>0</v>
      </c>
      <c r="M265" s="376">
        <f>IF(L265="","", IF(ARBITRAGES!$H265="aave",M264+ARBITRAGES!$K265,M264))</f>
        <v>0</v>
      </c>
      <c r="N265" s="378">
        <f>IF(M265="","", IF(ARBITRAGES!$H265="ckb",N264+ARBITRAGES!$K265,N264))</f>
        <v>0</v>
      </c>
      <c r="O265" s="378">
        <f>IF(N265="","", IF(ARBITRAGES!$H265="pendle",O264-ARBITRAGES!$K265+0.1,O264))</f>
        <v>0.001461291462</v>
      </c>
      <c r="P265" s="378">
        <f>IF(O265="","", IF(ARBITRAGES!$H265="BOME",P264+ARBITRAGES!$K265,P264))</f>
        <v>0.02891989199</v>
      </c>
      <c r="Q265" s="378">
        <f>IF(P265="","", IF(ARBITRAGES!$H265="PEPE",Q264+ARBITRAGES!$K265,Q264))</f>
        <v>0.03999999762</v>
      </c>
      <c r="R265" s="378">
        <f>IF(Q265="","", IF(ARBITRAGES!$H265="WIF",R264+ARBITRAGES!$K265,R264))</f>
        <v>0</v>
      </c>
      <c r="S265" s="378">
        <f>IF(R265="","", IF(ARBITRAGES!$H265="RAY",S264+ARBITRAGES!$K265,S264))</f>
        <v>0</v>
      </c>
      <c r="T265" s="360"/>
      <c r="U265" s="360"/>
      <c r="V265" s="360"/>
      <c r="W265" s="360"/>
      <c r="X265" s="360"/>
      <c r="Y265" s="360"/>
      <c r="Z265" s="360"/>
      <c r="AA265" s="360"/>
      <c r="AB265" s="360"/>
      <c r="AC265" s="360"/>
      <c r="AD265" s="360"/>
      <c r="AE265" s="360"/>
      <c r="AF265" s="360"/>
      <c r="AG265" s="360"/>
      <c r="AH265" s="360"/>
    </row>
    <row r="266" ht="18.75" customHeight="1">
      <c r="A266" s="365">
        <f>IF(ARBITRAGES!E266=0,"",ARBITRAGES!E266)</f>
        <v>46064</v>
      </c>
      <c r="B266" s="375">
        <f>IF(A266="","", IF(ARBITRAGES!$H266="BTC",B265+ARBITRAGES!$K266,B265))</f>
        <v>0.3749454366</v>
      </c>
      <c r="C266" s="375">
        <f>IF(B266="","", IF(ARBITRAGES!$H266="eth",C265+ARBITRAGES!$K266,C265))</f>
        <v>2.104170928</v>
      </c>
      <c r="D266" s="376">
        <f>IF(C266="","", IF(ARBITRAGES!$H266="ondo",D265+ARBITRAGES!$K266,D265))</f>
        <v>0.001390269174</v>
      </c>
      <c r="E266" s="376">
        <f>IF(D266="","", IF(ARBITRAGES!$H266="sol",E265+ARBITRAGES!$K266,E265))</f>
        <v>0</v>
      </c>
      <c r="F266" s="377">
        <f>IF(E266="","", IF(ARBITRAGES!$H266="tao",F265+ARBITRAGES!$K266,F265))</f>
        <v>0</v>
      </c>
      <c r="G266" s="378">
        <f>IF(F266="","", IF(ARBITRAGES!$H266="ron",G265+ARBITRAGES!$K266,G265))</f>
        <v>0</v>
      </c>
      <c r="H266" s="378">
        <f>IF(G266="","", IF(ARBITRAGES!$H266="link",H265+ARBITRAGES!$K266,H265))</f>
        <v>0</v>
      </c>
      <c r="I266" s="394">
        <f>IF(H266="","", IF(ARBITRAGES!$H266="doge",I265-ARBITRAGES!$K266,I265))</f>
        <v>-0.04176044436</v>
      </c>
      <c r="J266" s="378">
        <f>IF(I266="","", IF(ARBITRAGES!$H266="shib",J265-ARBITRAGES!$K266,J265))</f>
        <v>-0.01945258975</v>
      </c>
      <c r="K266" s="378">
        <f>IF(J266="","", IF(ARBITRAGES!$H266="cake",K265+ARBITRAGES!$K266,K265))</f>
        <v>0</v>
      </c>
      <c r="L266" s="378">
        <f>IF(K266="","", IF(ARBITRAGES!$H266="JUP",L265+ARBITRAGES!$K266,L265))</f>
        <v>0</v>
      </c>
      <c r="M266" s="376">
        <f>IF(L266="","", IF(ARBITRAGES!$H266="aave",M265+ARBITRAGES!$K266,M265))</f>
        <v>0</v>
      </c>
      <c r="N266" s="378">
        <f>IF(M266="","", IF(ARBITRAGES!$H266="ckb",N265+ARBITRAGES!$K266,N265))</f>
        <v>0</v>
      </c>
      <c r="O266" s="378">
        <f>IF(N266="","", IF(ARBITRAGES!$H266="pendle",O265-ARBITRAGES!$K266+0.1,O265))</f>
        <v>0.001461291462</v>
      </c>
      <c r="P266" s="378">
        <f>IF(O266="","", IF(ARBITRAGES!$H266="BOME",P265+ARBITRAGES!$K266,P265))</f>
        <v>0.02891989199</v>
      </c>
      <c r="Q266" s="378">
        <f>IF(P266="","", IF(ARBITRAGES!$H266="PEPE",Q265+ARBITRAGES!$K266,Q265))</f>
        <v>0.03999999762</v>
      </c>
      <c r="R266" s="378">
        <f>IF(Q266="","", IF(ARBITRAGES!$H266="WIF",R265+ARBITRAGES!$K266,R265))</f>
        <v>0</v>
      </c>
      <c r="S266" s="378">
        <f>IF(R266="","", IF(ARBITRAGES!$H266="RAY",S265+ARBITRAGES!$K266,S265))</f>
        <v>0</v>
      </c>
      <c r="T266" s="360"/>
      <c r="U266" s="360"/>
      <c r="V266" s="360"/>
      <c r="W266" s="360"/>
      <c r="X266" s="360"/>
      <c r="Y266" s="360"/>
      <c r="Z266" s="360"/>
      <c r="AA266" s="360"/>
      <c r="AB266" s="360"/>
      <c r="AC266" s="360"/>
      <c r="AD266" s="360"/>
      <c r="AE266" s="360"/>
      <c r="AF266" s="360"/>
      <c r="AG266" s="360"/>
      <c r="AH266" s="360"/>
    </row>
    <row r="267" ht="18.75" customHeight="1">
      <c r="A267" s="365">
        <f>IF(ARBITRAGES!E267=0,"",ARBITRAGES!E267)</f>
        <v>46065</v>
      </c>
      <c r="B267" s="393">
        <f>IF(A267="","", IF(ARBITRAGES!$H267="BTC",B266-ARBITRAGES!$K267,B266))</f>
        <v>0.3699454366</v>
      </c>
      <c r="C267" s="375">
        <f>IF(B267="","", IF(ARBITRAGES!$H267="eth",C266+ARBITRAGES!$K267,C266))</f>
        <v>2.104170928</v>
      </c>
      <c r="D267" s="376">
        <f>IF(C267="","", IF(ARBITRAGES!$H267="ondo",D266+ARBITRAGES!$K267,D266))</f>
        <v>0.001390269174</v>
      </c>
      <c r="E267" s="376">
        <f>IF(D267="","", IF(ARBITRAGES!$H267="sol",E266+ARBITRAGES!$K267,E266))</f>
        <v>0</v>
      </c>
      <c r="F267" s="377">
        <f>IF(E267="","", IF(ARBITRAGES!$H267="tao",F266+ARBITRAGES!$K267,F266))</f>
        <v>0</v>
      </c>
      <c r="G267" s="378">
        <f>IF(F267="","", IF(ARBITRAGES!$H267="ron",G266+ARBITRAGES!$K267,G266))</f>
        <v>0</v>
      </c>
      <c r="H267" s="378">
        <f>IF(G267="","", IF(ARBITRAGES!$H267="link",H266+ARBITRAGES!$K267,H266))</f>
        <v>0</v>
      </c>
      <c r="I267" s="378">
        <f>IF(H267="","", IF(ARBITRAGES!$H267="doge",I266+ARBITRAGES!$K267,I266))</f>
        <v>-0.04176044436</v>
      </c>
      <c r="J267" s="378">
        <f>IF(I267="","", IF(ARBITRAGES!$H267="shib",J266-ARBITRAGES!$K267,J266))</f>
        <v>-0.01945258975</v>
      </c>
      <c r="K267" s="378">
        <f>IF(J267="","", IF(ARBITRAGES!$H267="cake",K266+ARBITRAGES!$K267,K266))</f>
        <v>0</v>
      </c>
      <c r="L267" s="378">
        <f>IF(K267="","", IF(ARBITRAGES!$H267="JUP",L266+ARBITRAGES!$K267,L266))</f>
        <v>0</v>
      </c>
      <c r="M267" s="376">
        <f>IF(L267="","", IF(ARBITRAGES!$H267="aave",M266+ARBITRAGES!$K267,M266))</f>
        <v>0</v>
      </c>
      <c r="N267" s="378">
        <f>IF(M267="","", IF(ARBITRAGES!$H267="ckb",N266+ARBITRAGES!$K267,N266))</f>
        <v>0</v>
      </c>
      <c r="O267" s="378">
        <f>IF(N267="","", IF(ARBITRAGES!$H267="pendle",O266-ARBITRAGES!$K267+0.1,O266))</f>
        <v>0.001461291462</v>
      </c>
      <c r="P267" s="378">
        <f>IF(O267="","", IF(ARBITRAGES!$H267="BOME",P266+ARBITRAGES!$K267,P266))</f>
        <v>0.02891989199</v>
      </c>
      <c r="Q267" s="378">
        <f>IF(P267="","", IF(ARBITRAGES!$H267="PEPE",Q266+ARBITRAGES!$K267,Q266))</f>
        <v>0.03999999762</v>
      </c>
      <c r="R267" s="378">
        <f>IF(Q267="","", IF(ARBITRAGES!$H267="WIF",R266+ARBITRAGES!$K267,R266))</f>
        <v>0</v>
      </c>
      <c r="S267" s="378">
        <f>IF(R267="","", IF(ARBITRAGES!$H267="RAY",S266+ARBITRAGES!$K267,S266))</f>
        <v>0</v>
      </c>
      <c r="T267" s="360"/>
      <c r="U267" s="360"/>
      <c r="V267" s="360"/>
      <c r="W267" s="360"/>
      <c r="X267" s="360"/>
      <c r="Y267" s="360"/>
      <c r="Z267" s="360"/>
      <c r="AA267" s="360"/>
      <c r="AB267" s="360"/>
      <c r="AC267" s="360"/>
      <c r="AD267" s="360"/>
      <c r="AE267" s="360"/>
      <c r="AF267" s="360"/>
      <c r="AG267" s="360"/>
      <c r="AH267" s="360"/>
    </row>
    <row r="268" ht="18.75" customHeight="1">
      <c r="A268" s="365">
        <f>IF(ARBITRAGES!E268=0,"",ARBITRAGES!E268)</f>
        <v>46066</v>
      </c>
      <c r="B268" s="375">
        <f>IF(A268="","", IF(ARBITRAGES!$H268="BTC",B267+ARBITRAGES!$K268,B267))</f>
        <v>0.3699454366</v>
      </c>
      <c r="C268" s="393">
        <f>IF(B268="","", IF(ARBITRAGES!$H268="eth",C267-ARBITRAGES!$K268,C267))</f>
        <v>1.803919221</v>
      </c>
      <c r="D268" s="376">
        <f>IF(C268="","", IF(ARBITRAGES!$H268="ondo",D267+ARBITRAGES!$K268,D267))</f>
        <v>0.001390269174</v>
      </c>
      <c r="E268" s="376">
        <f>IF(D268="","", IF(ARBITRAGES!$H268="sol",E267+ARBITRAGES!$K268,E267))</f>
        <v>0</v>
      </c>
      <c r="F268" s="377">
        <f>IF(E268="","", IF(ARBITRAGES!$H268="tao",F267+ARBITRAGES!$K268,F267))</f>
        <v>0</v>
      </c>
      <c r="G268" s="378">
        <f>IF(F268="","", IF(ARBITRAGES!$H268="ron",G267+ARBITRAGES!$K268,G267))</f>
        <v>0</v>
      </c>
      <c r="H268" s="378">
        <f>IF(G268="","", IF(ARBITRAGES!$H268="link",H267+ARBITRAGES!$K268,H267))</f>
        <v>0</v>
      </c>
      <c r="I268" s="378">
        <f>IF(H268="","", IF(ARBITRAGES!$H268="doge",I267+ARBITRAGES!$K268,I267))</f>
        <v>-0.04176044436</v>
      </c>
      <c r="J268" s="378">
        <f>IF(I268="","", IF(ARBITRAGES!$H268="shib",J267-ARBITRAGES!$K268,J267))</f>
        <v>-0.01945258975</v>
      </c>
      <c r="K268" s="378">
        <f>IF(J268="","", IF(ARBITRAGES!$H268="cake",K267+ARBITRAGES!$K268,K267))</f>
        <v>0</v>
      </c>
      <c r="L268" s="378">
        <f>IF(K268="","", IF(ARBITRAGES!$H268="JUP",L267+ARBITRAGES!$K268,L267))</f>
        <v>0</v>
      </c>
      <c r="M268" s="376">
        <f>IF(L268="","", IF(ARBITRAGES!$H268="aave",M267+ARBITRAGES!$K268,M267))</f>
        <v>0</v>
      </c>
      <c r="N268" s="378">
        <f>IF(M268="","", IF(ARBITRAGES!$H268="ckb",N267+ARBITRAGES!$K268,N267))</f>
        <v>0</v>
      </c>
      <c r="O268" s="378">
        <f>IF(N268="","", IF(ARBITRAGES!$H268="pendle",O267-ARBITRAGES!$K268+0.1,O267))</f>
        <v>0.001461291462</v>
      </c>
      <c r="P268" s="378">
        <f>IF(O268="","", IF(ARBITRAGES!$H268="BOME",P267+ARBITRAGES!$K268,P267))</f>
        <v>0.02891989199</v>
      </c>
      <c r="Q268" s="378">
        <f>IF(P268="","", IF(ARBITRAGES!$H268="PEPE",Q267+ARBITRAGES!$K268,Q267))</f>
        <v>0.03999999762</v>
      </c>
      <c r="R268" s="378">
        <f>IF(Q268="","", IF(ARBITRAGES!$H268="WIF",R267+ARBITRAGES!$K268,R267))</f>
        <v>0</v>
      </c>
      <c r="S268" s="378">
        <f>IF(R268="","", IF(ARBITRAGES!$H268="RAY",S267+ARBITRAGES!$K268,S267))</f>
        <v>0</v>
      </c>
      <c r="T268" s="360"/>
      <c r="U268" s="360"/>
      <c r="V268" s="360"/>
      <c r="W268" s="360"/>
      <c r="X268" s="360"/>
      <c r="Y268" s="360"/>
      <c r="Z268" s="360"/>
      <c r="AA268" s="360"/>
      <c r="AB268" s="360"/>
      <c r="AC268" s="360"/>
      <c r="AD268" s="360"/>
      <c r="AE268" s="360"/>
      <c r="AF268" s="360"/>
      <c r="AG268" s="360"/>
      <c r="AH268" s="360"/>
    </row>
    <row r="269" ht="18.75" customHeight="1">
      <c r="A269" s="365" t="str">
        <f>IF(ARBITRAGES!E269=0,"",ARBITRAGES!E269)</f>
        <v/>
      </c>
      <c r="B269" s="375" t="str">
        <f>IF(A269="","", IF(ARBITRAGES!$H269="BTC",B268+ARBITRAGES!$K269,B268))</f>
        <v/>
      </c>
      <c r="C269" s="375" t="str">
        <f>IF(B269="","", IF(ARBITRAGES!$H269="eth",C268+ARBITRAGES!$K269,C268))</f>
        <v/>
      </c>
      <c r="D269" s="376" t="str">
        <f>IF(C269="","", IF(ARBITRAGES!$H269="ondo",D268+ARBITRAGES!$K269,D268))</f>
        <v/>
      </c>
      <c r="E269" s="376" t="str">
        <f>IF(D269="","", IF(ARBITRAGES!$H269="sol",E268+ARBITRAGES!$K269,E268))</f>
        <v/>
      </c>
      <c r="F269" s="377" t="str">
        <f>IF(E269="","", IF(ARBITRAGES!$H269="tao",F268+ARBITRAGES!$K269,F268))</f>
        <v/>
      </c>
      <c r="G269" s="378" t="str">
        <f>IF(F269="","", IF(ARBITRAGES!$H269="ron",G268+ARBITRAGES!$K269,G268))</f>
        <v/>
      </c>
      <c r="H269" s="378" t="str">
        <f>IF(G269="","", IF(ARBITRAGES!$H269="link",H268+ARBITRAGES!$K269,H268))</f>
        <v/>
      </c>
      <c r="I269" s="378" t="str">
        <f>IF(H269="","", IF(ARBITRAGES!$H269="doge",I268+ARBITRAGES!$K269,I268))</f>
        <v/>
      </c>
      <c r="J269" s="378" t="str">
        <f>IF(I269="","", IF(ARBITRAGES!$H269="shib",J268-ARBITRAGES!$K269,J268))</f>
        <v/>
      </c>
      <c r="K269" s="378" t="str">
        <f>IF(J269="","", IF(ARBITRAGES!$H269="cake",K268+ARBITRAGES!$K269,K268))</f>
        <v/>
      </c>
      <c r="L269" s="378" t="str">
        <f>IF(K269="","", IF(ARBITRAGES!$H269="JUP",L268+ARBITRAGES!$K269,L268))</f>
        <v/>
      </c>
      <c r="M269" s="376" t="str">
        <f>IF(L269="","", IF(ARBITRAGES!$H269="aave",M268+ARBITRAGES!$K269,M268))</f>
        <v/>
      </c>
      <c r="N269" s="378" t="str">
        <f>IF(M269="","", IF(ARBITRAGES!$H269="ckb",N268+ARBITRAGES!$K269,N268))</f>
        <v/>
      </c>
      <c r="O269" s="378" t="str">
        <f>IF(N269="","", IF(ARBITRAGES!$H269="pendle",O268-ARBITRAGES!$K269+0.1,O268))</f>
        <v/>
      </c>
      <c r="P269" s="378" t="str">
        <f>IF(O269="","", IF(ARBITRAGES!$H269="BOME",P268+ARBITRAGES!$K269,P268))</f>
        <v/>
      </c>
      <c r="Q269" s="378" t="str">
        <f>IF(P269="","", IF(ARBITRAGES!$H269="PEPE",Q268+ARBITRAGES!$K269,Q268))</f>
        <v/>
      </c>
      <c r="R269" s="378" t="str">
        <f>IF(Q269="","", IF(ARBITRAGES!$H269="WIF",R268+ARBITRAGES!$K269,R268))</f>
        <v/>
      </c>
      <c r="S269" s="378" t="str">
        <f>IF(R269="","", IF(ARBITRAGES!$H269="RAY",S268+ARBITRAGES!$K269,S268))</f>
        <v/>
      </c>
      <c r="T269" s="360"/>
      <c r="U269" s="360"/>
      <c r="V269" s="360"/>
      <c r="W269" s="360"/>
      <c r="X269" s="360"/>
      <c r="Y269" s="360"/>
      <c r="Z269" s="360"/>
      <c r="AA269" s="360"/>
      <c r="AB269" s="360"/>
      <c r="AC269" s="360"/>
      <c r="AD269" s="360"/>
      <c r="AE269" s="360"/>
      <c r="AF269" s="360"/>
      <c r="AG269" s="360"/>
      <c r="AH269" s="360"/>
    </row>
    <row r="270" ht="18.75" customHeight="1">
      <c r="A270" s="365" t="str">
        <f>IF(ARBITRAGES!E270=0,"",ARBITRAGES!E270)</f>
        <v/>
      </c>
      <c r="B270" s="375" t="str">
        <f>IF(A270="","", IF(ARBITRAGES!$H270="BTC",B269+ARBITRAGES!$K270,B269))</f>
        <v/>
      </c>
      <c r="C270" s="375" t="str">
        <f>IF(B270="","", IF(ARBITRAGES!$H270="eth",C269+ARBITRAGES!$K270,C269))</f>
        <v/>
      </c>
      <c r="D270" s="376" t="str">
        <f>IF(C270="","", IF(ARBITRAGES!$H270="ondo",D269+ARBITRAGES!$K270,D269))</f>
        <v/>
      </c>
      <c r="E270" s="376" t="str">
        <f>IF(D270="","", IF(ARBITRAGES!$H270="sol",E269+ARBITRAGES!$K270,E269))</f>
        <v/>
      </c>
      <c r="F270" s="377" t="str">
        <f>IF(E270="","", IF(ARBITRAGES!$H270="tao",F269+ARBITRAGES!$K270,F269))</f>
        <v/>
      </c>
      <c r="G270" s="378" t="str">
        <f>IF(F270="","", IF(ARBITRAGES!$H270="ron",G269+ARBITRAGES!$K270,G269))</f>
        <v/>
      </c>
      <c r="H270" s="378" t="str">
        <f>IF(G270="","", IF(ARBITRAGES!$H270="link",H269+ARBITRAGES!$K270,H269))</f>
        <v/>
      </c>
      <c r="I270" s="378" t="str">
        <f>IF(H270="","", IF(ARBITRAGES!$H270="doge",I269+ARBITRAGES!$K270,I269))</f>
        <v/>
      </c>
      <c r="J270" s="378" t="str">
        <f>IF(I270="","", IF(ARBITRAGES!$H270="shib",J269-ARBITRAGES!$K270,J269))</f>
        <v/>
      </c>
      <c r="K270" s="378" t="str">
        <f>IF(J270="","", IF(ARBITRAGES!$H270="cake",K269+ARBITRAGES!$K270,K269))</f>
        <v/>
      </c>
      <c r="L270" s="378" t="str">
        <f>IF(K270="","", IF(ARBITRAGES!$H270="JUP",L269+ARBITRAGES!$K270,L269))</f>
        <v/>
      </c>
      <c r="M270" s="376" t="str">
        <f>IF(L270="","", IF(ARBITRAGES!$H270="aave",M269+ARBITRAGES!$K270,M269))</f>
        <v/>
      </c>
      <c r="N270" s="378" t="str">
        <f>IF(M270="","", IF(ARBITRAGES!$H270="ckb",N269+ARBITRAGES!$K270,N269))</f>
        <v/>
      </c>
      <c r="O270" s="378" t="str">
        <f>IF(N270="","", IF(ARBITRAGES!$H270="pendle",O269-ARBITRAGES!$K270+0.1,O269))</f>
        <v/>
      </c>
      <c r="P270" s="378" t="str">
        <f>IF(O270="","", IF(ARBITRAGES!$H270="BOME",P269+ARBITRAGES!$K270,P269))</f>
        <v/>
      </c>
      <c r="Q270" s="378" t="str">
        <f>IF(P270="","", IF(ARBITRAGES!$H270="PEPE",Q269+ARBITRAGES!$K270,Q269))</f>
        <v/>
      </c>
      <c r="R270" s="378" t="str">
        <f>IF(Q270="","", IF(ARBITRAGES!$H270="WIF",R269+ARBITRAGES!$K270,R269))</f>
        <v/>
      </c>
      <c r="S270" s="378" t="str">
        <f>IF(R270="","", IF(ARBITRAGES!$H270="RAY",S269+ARBITRAGES!$K270,S269))</f>
        <v/>
      </c>
      <c r="T270" s="360"/>
      <c r="U270" s="360"/>
      <c r="V270" s="360"/>
      <c r="W270" s="360"/>
      <c r="X270" s="360"/>
      <c r="Y270" s="360"/>
      <c r="Z270" s="360"/>
      <c r="AA270" s="360"/>
      <c r="AB270" s="360"/>
      <c r="AC270" s="360"/>
      <c r="AD270" s="360"/>
      <c r="AE270" s="360"/>
      <c r="AF270" s="360"/>
      <c r="AG270" s="360"/>
      <c r="AH270" s="360"/>
    </row>
    <row r="271" ht="18.75" customHeight="1">
      <c r="A271" s="365" t="str">
        <f>IF(ARBITRAGES!E271=0,"",ARBITRAGES!E271)</f>
        <v/>
      </c>
      <c r="B271" s="375" t="str">
        <f>IF(A271="","", IF(ARBITRAGES!$H271="BTC",B270+ARBITRAGES!$K271,B270))</f>
        <v/>
      </c>
      <c r="C271" s="375" t="str">
        <f>IF(B271="","", IF(ARBITRAGES!$H271="eth",C270+ARBITRAGES!$K271,C270))</f>
        <v/>
      </c>
      <c r="D271" s="376" t="str">
        <f>IF(C271="","", IF(ARBITRAGES!$H271="ondo",D270+ARBITRAGES!$K271,D270))</f>
        <v/>
      </c>
      <c r="E271" s="376" t="str">
        <f>IF(D271="","", IF(ARBITRAGES!$H271="sol",E270+ARBITRAGES!$K271,E270))</f>
        <v/>
      </c>
      <c r="F271" s="377" t="str">
        <f>IF(E271="","", IF(ARBITRAGES!$H271="tao",F270+ARBITRAGES!$K271,F270))</f>
        <v/>
      </c>
      <c r="G271" s="378" t="str">
        <f>IF(F271="","", IF(ARBITRAGES!$H271="ron",G270+ARBITRAGES!$K271,G270))</f>
        <v/>
      </c>
      <c r="H271" s="378" t="str">
        <f>IF(G271="","", IF(ARBITRAGES!$H271="link",H270+ARBITRAGES!$K271,H270))</f>
        <v/>
      </c>
      <c r="I271" s="378" t="str">
        <f>IF(H271="","", IF(ARBITRAGES!$H271="doge",I270+ARBITRAGES!$K271,I270))</f>
        <v/>
      </c>
      <c r="J271" s="378" t="str">
        <f>IF(I271="","", IF(ARBITRAGES!$H271="shib",J270-ARBITRAGES!$K271,J270))</f>
        <v/>
      </c>
      <c r="K271" s="378" t="str">
        <f>IF(J271="","", IF(ARBITRAGES!$H271="cake",K270+ARBITRAGES!$K271,K270))</f>
        <v/>
      </c>
      <c r="L271" s="378" t="str">
        <f>IF(K271="","", IF(ARBITRAGES!$H271="JUP",L270+ARBITRAGES!$K271,L270))</f>
        <v/>
      </c>
      <c r="M271" s="376" t="str">
        <f>IF(L271="","", IF(ARBITRAGES!$H271="aave",M270+ARBITRAGES!$K271,M270))</f>
        <v/>
      </c>
      <c r="N271" s="378" t="str">
        <f>IF(M271="","", IF(ARBITRAGES!$H271="ckb",N270+ARBITRAGES!$K271,N270))</f>
        <v/>
      </c>
      <c r="O271" s="378" t="str">
        <f>IF(N271="","", IF(ARBITRAGES!$H271="pendle",O270-ARBITRAGES!$K271+0.1,O270))</f>
        <v/>
      </c>
      <c r="P271" s="378" t="str">
        <f>IF(O271="","", IF(ARBITRAGES!$H271="BOME",P270+ARBITRAGES!$K271,P270))</f>
        <v/>
      </c>
      <c r="Q271" s="378" t="str">
        <f>IF(P271="","", IF(ARBITRAGES!$H271="PEPE",Q270+ARBITRAGES!$K271,Q270))</f>
        <v/>
      </c>
      <c r="R271" s="378" t="str">
        <f>IF(Q271="","", IF(ARBITRAGES!$H271="WIF",R270+ARBITRAGES!$K271,R270))</f>
        <v/>
      </c>
      <c r="S271" s="378" t="str">
        <f>IF(R271="","", IF(ARBITRAGES!$H271="RAY",S270+ARBITRAGES!$K271,S270))</f>
        <v/>
      </c>
      <c r="T271" s="360"/>
      <c r="U271" s="360"/>
      <c r="V271" s="360"/>
      <c r="W271" s="360"/>
      <c r="X271" s="360"/>
      <c r="Y271" s="360"/>
      <c r="Z271" s="360"/>
      <c r="AA271" s="360"/>
      <c r="AB271" s="360"/>
      <c r="AC271" s="360"/>
      <c r="AD271" s="360"/>
      <c r="AE271" s="360"/>
      <c r="AF271" s="360"/>
      <c r="AG271" s="360"/>
      <c r="AH271" s="360"/>
    </row>
    <row r="272" ht="18.75" customHeight="1">
      <c r="A272" s="365" t="str">
        <f>IF(ARBITRAGES!E272=0,"",ARBITRAGES!E272)</f>
        <v/>
      </c>
      <c r="B272" s="375" t="str">
        <f>IF(A272="","", IF(ARBITRAGES!$H272="BTC",B271+ARBITRAGES!$K272,B271))</f>
        <v/>
      </c>
      <c r="C272" s="375" t="str">
        <f>IF(B272="","", IF(ARBITRAGES!$H272="eth",C271+ARBITRAGES!$K272,C271))</f>
        <v/>
      </c>
      <c r="D272" s="376" t="str">
        <f>IF(C272="","", IF(ARBITRAGES!$H272="ondo",D271+ARBITRAGES!$K272,D271))</f>
        <v/>
      </c>
      <c r="E272" s="376" t="str">
        <f>IF(D272="","", IF(ARBITRAGES!$H272="sol",E271+ARBITRAGES!$K272,E271))</f>
        <v/>
      </c>
      <c r="F272" s="377" t="str">
        <f>IF(E272="","", IF(ARBITRAGES!$H272="tao",F271+ARBITRAGES!$K272,F271))</f>
        <v/>
      </c>
      <c r="G272" s="378" t="str">
        <f>IF(F272="","", IF(ARBITRAGES!$H272="ron",G271+ARBITRAGES!$K272,G271))</f>
        <v/>
      </c>
      <c r="H272" s="378" t="str">
        <f>IF(G272="","", IF(ARBITRAGES!$H272="link",H271+ARBITRAGES!$K272,H271))</f>
        <v/>
      </c>
      <c r="I272" s="378" t="str">
        <f>IF(H272="","", IF(ARBITRAGES!$H272="doge",I271+ARBITRAGES!$K272,I271))</f>
        <v/>
      </c>
      <c r="J272" s="378" t="str">
        <f>IF(I272="","", IF(ARBITRAGES!$H272="shib",J271-ARBITRAGES!$K272,J271))</f>
        <v/>
      </c>
      <c r="K272" s="378" t="str">
        <f>IF(J272="","", IF(ARBITRAGES!$H272="cake",K271+ARBITRAGES!$K272,K271))</f>
        <v/>
      </c>
      <c r="L272" s="378" t="str">
        <f>IF(K272="","", IF(ARBITRAGES!$H272="JUP",L271+ARBITRAGES!$K272,L271))</f>
        <v/>
      </c>
      <c r="M272" s="376" t="str">
        <f>IF(L272="","", IF(ARBITRAGES!$H272="aave",M271+ARBITRAGES!$K272,M271))</f>
        <v/>
      </c>
      <c r="N272" s="378" t="str">
        <f>IF(M272="","", IF(ARBITRAGES!$H272="ckb",N271+ARBITRAGES!$K272,N271))</f>
        <v/>
      </c>
      <c r="O272" s="378" t="str">
        <f>IF(N272="","", IF(ARBITRAGES!$H272="pendle",O271-ARBITRAGES!$K272+0.1,O271))</f>
        <v/>
      </c>
      <c r="P272" s="378" t="str">
        <f>IF(O272="","", IF(ARBITRAGES!$H272="BOME",P271+ARBITRAGES!$K272,P271))</f>
        <v/>
      </c>
      <c r="Q272" s="378" t="str">
        <f>IF(P272="","", IF(ARBITRAGES!$H272="PEPE",Q271+ARBITRAGES!$K272,Q271))</f>
        <v/>
      </c>
      <c r="R272" s="378" t="str">
        <f>IF(Q272="","", IF(ARBITRAGES!$H272="WIF",R271+ARBITRAGES!$K272,R271))</f>
        <v/>
      </c>
      <c r="S272" s="378" t="str">
        <f>IF(R272="","", IF(ARBITRAGES!$H272="RAY",S271+ARBITRAGES!$K272,S271))</f>
        <v/>
      </c>
      <c r="T272" s="360"/>
      <c r="U272" s="360"/>
      <c r="V272" s="360"/>
      <c r="W272" s="360"/>
      <c r="X272" s="360"/>
      <c r="Y272" s="360"/>
      <c r="Z272" s="360"/>
      <c r="AA272" s="360"/>
      <c r="AB272" s="360"/>
      <c r="AC272" s="360"/>
      <c r="AD272" s="360"/>
      <c r="AE272" s="360"/>
      <c r="AF272" s="360"/>
      <c r="AG272" s="360"/>
      <c r="AH272" s="360"/>
    </row>
    <row r="273" ht="18.75" customHeight="1">
      <c r="A273" s="365" t="str">
        <f>IF(ARBITRAGES!E273=0,"",ARBITRAGES!E273)</f>
        <v/>
      </c>
      <c r="B273" s="375" t="str">
        <f>IF(A273="","", IF(ARBITRAGES!$H273="BTC",B272+ARBITRAGES!$K273,B272))</f>
        <v/>
      </c>
      <c r="C273" s="375" t="str">
        <f>IF(B273="","", IF(ARBITRAGES!$H273="eth",C272+ARBITRAGES!$K273,C272))</f>
        <v/>
      </c>
      <c r="D273" s="376" t="str">
        <f>IF(C273="","", IF(ARBITRAGES!$H273="ondo",D272+ARBITRAGES!$K273,D272))</f>
        <v/>
      </c>
      <c r="E273" s="376" t="str">
        <f>IF(D273="","", IF(ARBITRAGES!$H273="sol",E272+ARBITRAGES!$K273,E272))</f>
        <v/>
      </c>
      <c r="F273" s="377" t="str">
        <f>IF(E273="","", IF(ARBITRAGES!$H273="tao",F272+ARBITRAGES!$K273,F272))</f>
        <v/>
      </c>
      <c r="G273" s="378" t="str">
        <f>IF(F273="","", IF(ARBITRAGES!$H273="ron",G272+ARBITRAGES!$K273,G272))</f>
        <v/>
      </c>
      <c r="H273" s="378" t="str">
        <f>IF(G273="","", IF(ARBITRAGES!$H273="link",H272+ARBITRAGES!$K273,H272))</f>
        <v/>
      </c>
      <c r="I273" s="378" t="str">
        <f>IF(H273="","", IF(ARBITRAGES!$H273="doge",I272+ARBITRAGES!$K273,I272))</f>
        <v/>
      </c>
      <c r="J273" s="378" t="str">
        <f>IF(I273="","", IF(ARBITRAGES!$H273="shib",J272-ARBITRAGES!$K273,J272))</f>
        <v/>
      </c>
      <c r="K273" s="378" t="str">
        <f>IF(J273="","", IF(ARBITRAGES!$H273="cake",K272+ARBITRAGES!$K273,K272))</f>
        <v/>
      </c>
      <c r="L273" s="378" t="str">
        <f>IF(K273="","", IF(ARBITRAGES!$H273="JUP",L272+ARBITRAGES!$K273,L272))</f>
        <v/>
      </c>
      <c r="M273" s="376" t="str">
        <f>IF(L273="","", IF(ARBITRAGES!$H273="aave",M272+ARBITRAGES!$K273,M272))</f>
        <v/>
      </c>
      <c r="N273" s="378" t="str">
        <f>IF(M273="","", IF(ARBITRAGES!$H273="ckb",N272+ARBITRAGES!$K273,N272))</f>
        <v/>
      </c>
      <c r="O273" s="378" t="str">
        <f>IF(N273="","", IF(ARBITRAGES!$H273="pendle",O272-ARBITRAGES!$K273+0.1,O272))</f>
        <v/>
      </c>
      <c r="P273" s="378" t="str">
        <f>IF(O273="","", IF(ARBITRAGES!$H273="BOME",P272+ARBITRAGES!$K273,P272))</f>
        <v/>
      </c>
      <c r="Q273" s="378" t="str">
        <f>IF(P273="","", IF(ARBITRAGES!$H273="PEPE",Q272+ARBITRAGES!$K273,Q272))</f>
        <v/>
      </c>
      <c r="R273" s="378" t="str">
        <f>IF(Q273="","", IF(ARBITRAGES!$H273="WIF",R272+ARBITRAGES!$K273,R272))</f>
        <v/>
      </c>
      <c r="S273" s="378" t="str">
        <f>IF(R273="","", IF(ARBITRAGES!$H273="RAY",S272+ARBITRAGES!$K273,S272))</f>
        <v/>
      </c>
      <c r="T273" s="360"/>
      <c r="U273" s="360"/>
      <c r="V273" s="360"/>
      <c r="W273" s="360"/>
      <c r="X273" s="360"/>
      <c r="Y273" s="360"/>
      <c r="Z273" s="360"/>
      <c r="AA273" s="360"/>
      <c r="AB273" s="360"/>
      <c r="AC273" s="360"/>
      <c r="AD273" s="360"/>
      <c r="AE273" s="360"/>
      <c r="AF273" s="360"/>
      <c r="AG273" s="360"/>
      <c r="AH273" s="360"/>
    </row>
    <row r="274" ht="18.75" customHeight="1">
      <c r="A274" s="365" t="str">
        <f>IF(ARBITRAGES!E274=0,"",ARBITRAGES!E274)</f>
        <v/>
      </c>
      <c r="B274" s="375" t="str">
        <f>IF(A274="","", IF(ARBITRAGES!$H274="BTC",B273+ARBITRAGES!$K274,B273))</f>
        <v/>
      </c>
      <c r="C274" s="375" t="str">
        <f>IF(B274="","", IF(ARBITRAGES!$H274="eth",C273+ARBITRAGES!$K274,C273))</f>
        <v/>
      </c>
      <c r="D274" s="376" t="str">
        <f>IF(C274="","", IF(ARBITRAGES!$H274="ondo",D273+ARBITRAGES!$K274,D273))</f>
        <v/>
      </c>
      <c r="E274" s="376" t="str">
        <f>IF(D274="","", IF(ARBITRAGES!$H274="sol",E273+ARBITRAGES!$K274,E273))</f>
        <v/>
      </c>
      <c r="F274" s="377" t="str">
        <f>IF(E274="","", IF(ARBITRAGES!$H274="tao",F273+ARBITRAGES!$K274,F273))</f>
        <v/>
      </c>
      <c r="G274" s="378" t="str">
        <f>IF(F274="","", IF(ARBITRAGES!$H274="ron",G273+ARBITRAGES!$K274,G273))</f>
        <v/>
      </c>
      <c r="H274" s="378" t="str">
        <f>IF(G274="","", IF(ARBITRAGES!$H274="link",H273+ARBITRAGES!$K274,H273))</f>
        <v/>
      </c>
      <c r="I274" s="378" t="str">
        <f>IF(H274="","", IF(ARBITRAGES!$H274="doge",I273+ARBITRAGES!$K274,I273))</f>
        <v/>
      </c>
      <c r="J274" s="378" t="str">
        <f>IF(I274="","", IF(ARBITRAGES!$H274="shib",J273-ARBITRAGES!$K274,J273))</f>
        <v/>
      </c>
      <c r="K274" s="378" t="str">
        <f>IF(J274="","", IF(ARBITRAGES!$H274="cake",K273+ARBITRAGES!$K274,K273))</f>
        <v/>
      </c>
      <c r="L274" s="378" t="str">
        <f>IF(K274="","", IF(ARBITRAGES!$H274="JUP",L273+ARBITRAGES!$K274,L273))</f>
        <v/>
      </c>
      <c r="M274" s="376" t="str">
        <f>IF(L274="","", IF(ARBITRAGES!$H274="aave",M273+ARBITRAGES!$K274,M273))</f>
        <v/>
      </c>
      <c r="N274" s="378" t="str">
        <f>IF(M274="","", IF(ARBITRAGES!$H274="ckb",N273+ARBITRAGES!$K274,N273))</f>
        <v/>
      </c>
      <c r="O274" s="378" t="str">
        <f>IF(N274="","", IF(ARBITRAGES!$H274="pendle",O273-ARBITRAGES!$K274+0.1,O273))</f>
        <v/>
      </c>
      <c r="P274" s="378" t="str">
        <f>IF(O274="","", IF(ARBITRAGES!$H274="BOME",P273+ARBITRAGES!$K274,P273))</f>
        <v/>
      </c>
      <c r="Q274" s="378" t="str">
        <f>IF(P274="","", IF(ARBITRAGES!$H274="PEPE",Q273+ARBITRAGES!$K274,Q273))</f>
        <v/>
      </c>
      <c r="R274" s="378" t="str">
        <f>IF(Q274="","", IF(ARBITRAGES!$H274="WIF",R273+ARBITRAGES!$K274,R273))</f>
        <v/>
      </c>
      <c r="S274" s="378" t="str">
        <f>IF(R274="","", IF(ARBITRAGES!$H274="RAY",S273+ARBITRAGES!$K274,S273))</f>
        <v/>
      </c>
      <c r="T274" s="360"/>
      <c r="U274" s="360"/>
      <c r="V274" s="360"/>
      <c r="W274" s="360"/>
      <c r="X274" s="360"/>
      <c r="Y274" s="360"/>
      <c r="Z274" s="360"/>
      <c r="AA274" s="360"/>
      <c r="AB274" s="360"/>
      <c r="AC274" s="360"/>
      <c r="AD274" s="360"/>
      <c r="AE274" s="360"/>
      <c r="AF274" s="360"/>
      <c r="AG274" s="360"/>
      <c r="AH274" s="360"/>
    </row>
    <row r="275" ht="18.75" customHeight="1">
      <c r="A275" s="365" t="str">
        <f>IF(ARBITRAGES!E275=0,"",ARBITRAGES!E275)</f>
        <v/>
      </c>
      <c r="B275" s="375" t="str">
        <f>IF(A275="","", IF(ARBITRAGES!$H275="BTC",B274+ARBITRAGES!$K275,B274))</f>
        <v/>
      </c>
      <c r="C275" s="375" t="str">
        <f>IF(B275="","", IF(ARBITRAGES!$H275="eth",C274+ARBITRAGES!$K275,C274))</f>
        <v/>
      </c>
      <c r="D275" s="376" t="str">
        <f>IF(C275="","", IF(ARBITRAGES!$H275="ondo",D274+ARBITRAGES!$K275,D274))</f>
        <v/>
      </c>
      <c r="E275" s="376" t="str">
        <f>IF(D275="","", IF(ARBITRAGES!$H275="sol",E274+ARBITRAGES!$K275,E274))</f>
        <v/>
      </c>
      <c r="F275" s="377" t="str">
        <f>IF(E275="","", IF(ARBITRAGES!$H275="tao",F274+ARBITRAGES!$K275,F274))</f>
        <v/>
      </c>
      <c r="G275" s="378" t="str">
        <f>IF(F275="","", IF(ARBITRAGES!$H275="ron",G274+ARBITRAGES!$K275,G274))</f>
        <v/>
      </c>
      <c r="H275" s="378" t="str">
        <f>IF(G275="","", IF(ARBITRAGES!$H275="link",H274+ARBITRAGES!$K275,H274))</f>
        <v/>
      </c>
      <c r="I275" s="378" t="str">
        <f>IF(H275="","", IF(ARBITRAGES!$H275="doge",I274+ARBITRAGES!$K275,I274))</f>
        <v/>
      </c>
      <c r="J275" s="378" t="str">
        <f>IF(I275="","", IF(ARBITRAGES!$H275="shib",J274-ARBITRAGES!$K275,J274))</f>
        <v/>
      </c>
      <c r="K275" s="378" t="str">
        <f>IF(J275="","", IF(ARBITRAGES!$H275="cake",K274+ARBITRAGES!$K275,K274))</f>
        <v/>
      </c>
      <c r="L275" s="378" t="str">
        <f>IF(K275="","", IF(ARBITRAGES!$H275="JUP",L274+ARBITRAGES!$K275,L274))</f>
        <v/>
      </c>
      <c r="M275" s="376" t="str">
        <f>IF(L275="","", IF(ARBITRAGES!$H275="aave",M274+ARBITRAGES!$K275,M274))</f>
        <v/>
      </c>
      <c r="N275" s="378" t="str">
        <f>IF(M275="","", IF(ARBITRAGES!$H275="ckb",N274+ARBITRAGES!$K275,N274))</f>
        <v/>
      </c>
      <c r="O275" s="378" t="str">
        <f>IF(N275="","", IF(ARBITRAGES!$H275="pendle",O274-ARBITRAGES!$K275+0.1,O274))</f>
        <v/>
      </c>
      <c r="P275" s="378" t="str">
        <f>IF(O275="","", IF(ARBITRAGES!$H275="BOME",P274+ARBITRAGES!$K275,P274))</f>
        <v/>
      </c>
      <c r="Q275" s="378" t="str">
        <f>IF(P275="","", IF(ARBITRAGES!$H275="PEPE",Q274+ARBITRAGES!$K275,Q274))</f>
        <v/>
      </c>
      <c r="R275" s="378" t="str">
        <f>IF(Q275="","", IF(ARBITRAGES!$H275="WIF",R274+ARBITRAGES!$K275,R274))</f>
        <v/>
      </c>
      <c r="S275" s="378" t="str">
        <f>IF(R275="","", IF(ARBITRAGES!$H275="RAY",S274+ARBITRAGES!$K275,S274))</f>
        <v/>
      </c>
      <c r="T275" s="360"/>
      <c r="U275" s="360"/>
      <c r="V275" s="360"/>
      <c r="W275" s="360"/>
      <c r="X275" s="360"/>
      <c r="Y275" s="360"/>
      <c r="Z275" s="360"/>
      <c r="AA275" s="360"/>
      <c r="AB275" s="360"/>
      <c r="AC275" s="360"/>
      <c r="AD275" s="360"/>
      <c r="AE275" s="360"/>
      <c r="AF275" s="360"/>
      <c r="AG275" s="360"/>
      <c r="AH275" s="360"/>
    </row>
    <row r="276" ht="18.75" customHeight="1">
      <c r="A276" s="365" t="str">
        <f>IF(ARBITRAGES!E276=0,"",ARBITRAGES!E276)</f>
        <v/>
      </c>
      <c r="B276" s="375" t="str">
        <f>IF(A276="","", IF(ARBITRAGES!$H276="BTC",B275+ARBITRAGES!$K276,B275))</f>
        <v/>
      </c>
      <c r="C276" s="375" t="str">
        <f>IF(B276="","", IF(ARBITRAGES!$H276="eth",C275+ARBITRAGES!$K276,C275))</f>
        <v/>
      </c>
      <c r="D276" s="376" t="str">
        <f>IF(C276="","", IF(ARBITRAGES!$H276="ondo",D275+ARBITRAGES!$K276,D275))</f>
        <v/>
      </c>
      <c r="E276" s="376" t="str">
        <f>IF(D276="","", IF(ARBITRAGES!$H276="sol",E275+ARBITRAGES!$K276,E275))</f>
        <v/>
      </c>
      <c r="F276" s="377" t="str">
        <f>IF(E276="","", IF(ARBITRAGES!$H276="tao",F275+ARBITRAGES!$K276,F275))</f>
        <v/>
      </c>
      <c r="G276" s="378" t="str">
        <f>IF(F276="","", IF(ARBITRAGES!$H276="ron",G275+ARBITRAGES!$K276,G275))</f>
        <v/>
      </c>
      <c r="H276" s="378" t="str">
        <f>IF(G276="","", IF(ARBITRAGES!$H276="link",H275+ARBITRAGES!$K276,H275))</f>
        <v/>
      </c>
      <c r="I276" s="378" t="str">
        <f>IF(H276="","", IF(ARBITRAGES!$H276="doge",I275+ARBITRAGES!$K276,I275))</f>
        <v/>
      </c>
      <c r="J276" s="378" t="str">
        <f>IF(I276="","", IF(ARBITRAGES!$H276="shib",J275-ARBITRAGES!$K276,J275))</f>
        <v/>
      </c>
      <c r="K276" s="378" t="str">
        <f>IF(J276="","", IF(ARBITRAGES!$H276="cake",K275+ARBITRAGES!$K276,K275))</f>
        <v/>
      </c>
      <c r="L276" s="378" t="str">
        <f>IF(K276="","", IF(ARBITRAGES!$H276="JUP",L275+ARBITRAGES!$K276,L275))</f>
        <v/>
      </c>
      <c r="M276" s="376" t="str">
        <f>IF(L276="","", IF(ARBITRAGES!$H276="aave",M275+ARBITRAGES!$K276,M275))</f>
        <v/>
      </c>
      <c r="N276" s="378" t="str">
        <f>IF(M276="","", IF(ARBITRAGES!$H276="ckb",N275+ARBITRAGES!$K276,N275))</f>
        <v/>
      </c>
      <c r="O276" s="378" t="str">
        <f>IF(N276="","", IF(ARBITRAGES!$H276="pendle",O275-ARBITRAGES!$K276+0.1,O275))</f>
        <v/>
      </c>
      <c r="P276" s="378" t="str">
        <f>IF(O276="","", IF(ARBITRAGES!$H276="BOME",P275+ARBITRAGES!$K276,P275))</f>
        <v/>
      </c>
      <c r="Q276" s="378" t="str">
        <f>IF(P276="","", IF(ARBITRAGES!$H276="PEPE",Q275+ARBITRAGES!$K276,Q275))</f>
        <v/>
      </c>
      <c r="R276" s="378" t="str">
        <f>IF(Q276="","", IF(ARBITRAGES!$H276="WIF",R275+ARBITRAGES!$K276,R275))</f>
        <v/>
      </c>
      <c r="S276" s="378" t="str">
        <f>IF(R276="","", IF(ARBITRAGES!$H276="RAY",S275+ARBITRAGES!$K276,S275))</f>
        <v/>
      </c>
      <c r="T276" s="360"/>
      <c r="U276" s="360"/>
      <c r="V276" s="360"/>
      <c r="W276" s="360"/>
      <c r="X276" s="360"/>
      <c r="Y276" s="360"/>
      <c r="Z276" s="360"/>
      <c r="AA276" s="360"/>
      <c r="AB276" s="360"/>
      <c r="AC276" s="360"/>
      <c r="AD276" s="360"/>
      <c r="AE276" s="360"/>
      <c r="AF276" s="360"/>
      <c r="AG276" s="360"/>
      <c r="AH276" s="360"/>
    </row>
    <row r="277" ht="18.75" customHeight="1">
      <c r="A277" s="365" t="str">
        <f>IF(ARBITRAGES!E277=0,"",ARBITRAGES!E277)</f>
        <v/>
      </c>
      <c r="B277" s="375" t="str">
        <f>IF(A277="","", IF(ARBITRAGES!$H277="BTC",B276+ARBITRAGES!$K277,B276))</f>
        <v/>
      </c>
      <c r="C277" s="375" t="str">
        <f>IF(B277="","", IF(ARBITRAGES!$H277="eth",C276+ARBITRAGES!$K277,C276))</f>
        <v/>
      </c>
      <c r="D277" s="376" t="str">
        <f>IF(C277="","", IF(ARBITRAGES!$H277="ondo",D276+ARBITRAGES!$K277,D276))</f>
        <v/>
      </c>
      <c r="E277" s="376" t="str">
        <f>IF(D277="","", IF(ARBITRAGES!$H277="sol",E276+ARBITRAGES!$K277,E276))</f>
        <v/>
      </c>
      <c r="F277" s="377" t="str">
        <f>IF(E277="","", IF(ARBITRAGES!$H277="tao",F276+ARBITRAGES!$K277,F276))</f>
        <v/>
      </c>
      <c r="G277" s="378" t="str">
        <f>IF(F277="","", IF(ARBITRAGES!$H277="ron",G276+ARBITRAGES!$K277,G276))</f>
        <v/>
      </c>
      <c r="H277" s="378" t="str">
        <f>IF(G277="","", IF(ARBITRAGES!$H277="link",H276+ARBITRAGES!$K277,H276))</f>
        <v/>
      </c>
      <c r="I277" s="378" t="str">
        <f>IF(H277="","", IF(ARBITRAGES!$H277="doge",I276+ARBITRAGES!$K277,I276))</f>
        <v/>
      </c>
      <c r="J277" s="378" t="str">
        <f>IF(I277="","", IF(ARBITRAGES!$H277="shib",J276-ARBITRAGES!$K277,J276))</f>
        <v/>
      </c>
      <c r="K277" s="378" t="str">
        <f>IF(J277="","", IF(ARBITRAGES!$H277="cake",K276+ARBITRAGES!$K277,K276))</f>
        <v/>
      </c>
      <c r="L277" s="378" t="str">
        <f>IF(K277="","", IF(ARBITRAGES!$H277="JUP",L276+ARBITRAGES!$K277,L276))</f>
        <v/>
      </c>
      <c r="M277" s="376" t="str">
        <f>IF(L277="","", IF(ARBITRAGES!$H277="aave",M276+ARBITRAGES!$K277,M276))</f>
        <v/>
      </c>
      <c r="N277" s="378" t="str">
        <f>IF(M277="","", IF(ARBITRAGES!$H277="ckb",N276+ARBITRAGES!$K277,N276))</f>
        <v/>
      </c>
      <c r="O277" s="378" t="str">
        <f>IF(N277="","", IF(ARBITRAGES!$H277="pendle",O276-ARBITRAGES!$K277+0.1,O276))</f>
        <v/>
      </c>
      <c r="P277" s="378" t="str">
        <f>IF(O277="","", IF(ARBITRAGES!$H277="BOME",P276+ARBITRAGES!$K277,P276))</f>
        <v/>
      </c>
      <c r="Q277" s="378" t="str">
        <f>IF(P277="","", IF(ARBITRAGES!$H277="PEPE",Q276+ARBITRAGES!$K277,Q276))</f>
        <v/>
      </c>
      <c r="R277" s="378" t="str">
        <f>IF(Q277="","", IF(ARBITRAGES!$H277="WIF",R276+ARBITRAGES!$K277,R276))</f>
        <v/>
      </c>
      <c r="S277" s="378" t="str">
        <f>IF(R277="","", IF(ARBITRAGES!$H277="RAY",S276+ARBITRAGES!$K277,S276))</f>
        <v/>
      </c>
      <c r="T277" s="360"/>
      <c r="U277" s="360"/>
      <c r="V277" s="360"/>
      <c r="W277" s="360"/>
      <c r="X277" s="360"/>
      <c r="Y277" s="360"/>
      <c r="Z277" s="360"/>
      <c r="AA277" s="360"/>
      <c r="AB277" s="360"/>
      <c r="AC277" s="360"/>
      <c r="AD277" s="360"/>
      <c r="AE277" s="360"/>
      <c r="AF277" s="360"/>
      <c r="AG277" s="360"/>
      <c r="AH277" s="360"/>
    </row>
    <row r="278" ht="18.75" customHeight="1">
      <c r="A278" s="365" t="str">
        <f>IF(ARBITRAGES!E278=0,"",ARBITRAGES!E278)</f>
        <v/>
      </c>
      <c r="B278" s="375" t="str">
        <f>IF(A278="","", IF(ARBITRAGES!$H278="BTC",B277+ARBITRAGES!$K278,B277))</f>
        <v/>
      </c>
      <c r="C278" s="375" t="str">
        <f>IF(B278="","", IF(ARBITRAGES!$H278="eth",C277+ARBITRAGES!$K278,C277))</f>
        <v/>
      </c>
      <c r="D278" s="376" t="str">
        <f>IF(C278="","", IF(ARBITRAGES!$H278="ondo",D277+ARBITRAGES!$K278,D277))</f>
        <v/>
      </c>
      <c r="E278" s="376" t="str">
        <f>IF(D278="","", IF(ARBITRAGES!$H278="sol",E277+ARBITRAGES!$K278,E277))</f>
        <v/>
      </c>
      <c r="F278" s="377" t="str">
        <f>IF(E278="","", IF(ARBITRAGES!$H278="tao",F277+ARBITRAGES!$K278,F277))</f>
        <v/>
      </c>
      <c r="G278" s="378" t="str">
        <f>IF(F278="","", IF(ARBITRAGES!$H278="ron",G277+ARBITRAGES!$K278,G277))</f>
        <v/>
      </c>
      <c r="H278" s="378" t="str">
        <f>IF(G278="","", IF(ARBITRAGES!$H278="link",H277+ARBITRAGES!$K278,H277))</f>
        <v/>
      </c>
      <c r="I278" s="378" t="str">
        <f>IF(H278="","", IF(ARBITRAGES!$H278="doge",I277+ARBITRAGES!$K278,I277))</f>
        <v/>
      </c>
      <c r="J278" s="378" t="str">
        <f>IF(I278="","", IF(ARBITRAGES!$H278="shib",J277-ARBITRAGES!$K278,J277))</f>
        <v/>
      </c>
      <c r="K278" s="378" t="str">
        <f>IF(J278="","", IF(ARBITRAGES!$H278="cake",K277+ARBITRAGES!$K278,K277))</f>
        <v/>
      </c>
      <c r="L278" s="378" t="str">
        <f>IF(K278="","", IF(ARBITRAGES!$H278="JUP",L277+ARBITRAGES!$K278,L277))</f>
        <v/>
      </c>
      <c r="M278" s="376" t="str">
        <f>IF(L278="","", IF(ARBITRAGES!$H278="aave",M277+ARBITRAGES!$K278,M277))</f>
        <v/>
      </c>
      <c r="N278" s="378" t="str">
        <f>IF(M278="","", IF(ARBITRAGES!$H278="ckb",N277+ARBITRAGES!$K278,N277))</f>
        <v/>
      </c>
      <c r="O278" s="378" t="str">
        <f>IF(N278="","", IF(ARBITRAGES!$H278="pendle",O277-ARBITRAGES!$K278+0.1,O277))</f>
        <v/>
      </c>
      <c r="P278" s="378" t="str">
        <f>IF(O278="","", IF(ARBITRAGES!$H278="BOME",P277+ARBITRAGES!$K278,P277))</f>
        <v/>
      </c>
      <c r="Q278" s="378" t="str">
        <f>IF(P278="","", IF(ARBITRAGES!$H278="PEPE",Q277+ARBITRAGES!$K278,Q277))</f>
        <v/>
      </c>
      <c r="R278" s="378" t="str">
        <f>IF(Q278="","", IF(ARBITRAGES!$H278="WIF",R277+ARBITRAGES!$K278,R277))</f>
        <v/>
      </c>
      <c r="S278" s="378" t="str">
        <f>IF(R278="","", IF(ARBITRAGES!$H278="RAY",S277+ARBITRAGES!$K278,S277))</f>
        <v/>
      </c>
      <c r="T278" s="360"/>
      <c r="U278" s="360"/>
      <c r="V278" s="360"/>
      <c r="W278" s="360"/>
      <c r="X278" s="360"/>
      <c r="Y278" s="360"/>
      <c r="Z278" s="360"/>
      <c r="AA278" s="360"/>
      <c r="AB278" s="360"/>
      <c r="AC278" s="360"/>
      <c r="AD278" s="360"/>
      <c r="AE278" s="360"/>
      <c r="AF278" s="360"/>
      <c r="AG278" s="360"/>
      <c r="AH278" s="360"/>
    </row>
    <row r="279" ht="18.75" customHeight="1">
      <c r="A279" s="365" t="str">
        <f>IF(ARBITRAGES!E279=0,"",ARBITRAGES!E279)</f>
        <v/>
      </c>
      <c r="B279" s="375" t="str">
        <f>IF(A279="","", IF(ARBITRAGES!$H279="BTC",B278+ARBITRAGES!$K279,B278))</f>
        <v/>
      </c>
      <c r="C279" s="375" t="str">
        <f>IF(B279="","", IF(ARBITRAGES!$H279="eth",C278+ARBITRAGES!$K279,C278))</f>
        <v/>
      </c>
      <c r="D279" s="376" t="str">
        <f>IF(C279="","", IF(ARBITRAGES!$H279="ondo",D278+ARBITRAGES!$K279,D278))</f>
        <v/>
      </c>
      <c r="E279" s="376" t="str">
        <f>IF(D279="","", IF(ARBITRAGES!$H279="sol",E278+ARBITRAGES!$K279,E278))</f>
        <v/>
      </c>
      <c r="F279" s="377" t="str">
        <f>IF(E279="","", IF(ARBITRAGES!$H279="tao",F278+ARBITRAGES!$K279,F278))</f>
        <v/>
      </c>
      <c r="G279" s="378" t="str">
        <f>IF(F279="","", IF(ARBITRAGES!$H279="ron",G278+ARBITRAGES!$K279,G278))</f>
        <v/>
      </c>
      <c r="H279" s="378" t="str">
        <f>IF(G279="","", IF(ARBITRAGES!$H279="link",H278+ARBITRAGES!$K279,H278))</f>
        <v/>
      </c>
      <c r="I279" s="378" t="str">
        <f>IF(H279="","", IF(ARBITRAGES!$H279="doge",I278+ARBITRAGES!$K279,I278))</f>
        <v/>
      </c>
      <c r="J279" s="378" t="str">
        <f>IF(I279="","", IF(ARBITRAGES!$H279="shib",J278-ARBITRAGES!$K279,J278))</f>
        <v/>
      </c>
      <c r="K279" s="378" t="str">
        <f>IF(J279="","", IF(ARBITRAGES!$H279="cake",K278+ARBITRAGES!$K279,K278))</f>
        <v/>
      </c>
      <c r="L279" s="378" t="str">
        <f>IF(K279="","", IF(ARBITRAGES!$H279="JUP",L278+ARBITRAGES!$K279,L278))</f>
        <v/>
      </c>
      <c r="M279" s="376" t="str">
        <f>IF(L279="","", IF(ARBITRAGES!$H279="aave",M278+ARBITRAGES!$K279,M278))</f>
        <v/>
      </c>
      <c r="N279" s="378" t="str">
        <f>IF(M279="","", IF(ARBITRAGES!$H279="ckb",N278+ARBITRAGES!$K279,N278))</f>
        <v/>
      </c>
      <c r="O279" s="378" t="str">
        <f>IF(N279="","", IF(ARBITRAGES!$H279="pendle",O278-ARBITRAGES!$K279+0.1,O278))</f>
        <v/>
      </c>
      <c r="P279" s="378" t="str">
        <f>IF(O279="","", IF(ARBITRAGES!$H279="BOME",P278+ARBITRAGES!$K279,P278))</f>
        <v/>
      </c>
      <c r="Q279" s="378" t="str">
        <f>IF(P279="","", IF(ARBITRAGES!$H279="PEPE",Q278+ARBITRAGES!$K279,Q278))</f>
        <v/>
      </c>
      <c r="R279" s="378" t="str">
        <f>IF(Q279="","", IF(ARBITRAGES!$H279="WIF",R278+ARBITRAGES!$K279,R278))</f>
        <v/>
      </c>
      <c r="S279" s="378" t="str">
        <f>IF(R279="","", IF(ARBITRAGES!$H279="RAY",S278+ARBITRAGES!$K279,S278))</f>
        <v/>
      </c>
      <c r="T279" s="360"/>
      <c r="U279" s="360"/>
      <c r="V279" s="360"/>
      <c r="W279" s="360"/>
      <c r="X279" s="360"/>
      <c r="Y279" s="360"/>
      <c r="Z279" s="360"/>
      <c r="AA279" s="360"/>
      <c r="AB279" s="360"/>
      <c r="AC279" s="360"/>
      <c r="AD279" s="360"/>
      <c r="AE279" s="360"/>
      <c r="AF279" s="360"/>
      <c r="AG279" s="360"/>
      <c r="AH279" s="360"/>
    </row>
    <row r="280" ht="18.75" customHeight="1">
      <c r="A280" s="365" t="str">
        <f>IF(ARBITRAGES!E280=0,"",ARBITRAGES!E280)</f>
        <v/>
      </c>
      <c r="B280" s="375" t="str">
        <f>IF(A280="","", IF(ARBITRAGES!$H280="BTC",B279+ARBITRAGES!$K280,B279))</f>
        <v/>
      </c>
      <c r="C280" s="375" t="str">
        <f>IF(B280="","", IF(ARBITRAGES!$H280="eth",C279+ARBITRAGES!$K280,C279))</f>
        <v/>
      </c>
      <c r="D280" s="376" t="str">
        <f>IF(C280="","", IF(ARBITRAGES!$H280="ondo",D279+ARBITRAGES!$K280,D279))</f>
        <v/>
      </c>
      <c r="E280" s="376" t="str">
        <f>IF(D280="","", IF(ARBITRAGES!$H280="sol",E279+ARBITRAGES!$K280,E279))</f>
        <v/>
      </c>
      <c r="F280" s="377" t="str">
        <f>IF(E280="","", IF(ARBITRAGES!$H280="tao",F279+ARBITRAGES!$K280,F279))</f>
        <v/>
      </c>
      <c r="G280" s="378" t="str">
        <f>IF(F280="","", IF(ARBITRAGES!$H280="ron",G279+ARBITRAGES!$K280,G279))</f>
        <v/>
      </c>
      <c r="H280" s="378" t="str">
        <f>IF(G280="","", IF(ARBITRAGES!$H280="link",H279+ARBITRAGES!$K280,H279))</f>
        <v/>
      </c>
      <c r="I280" s="378" t="str">
        <f>IF(H280="","", IF(ARBITRAGES!$H280="doge",I279+ARBITRAGES!$K280,I279))</f>
        <v/>
      </c>
      <c r="J280" s="378" t="str">
        <f>IF(I280="","", IF(ARBITRAGES!$H280="shib",J279-ARBITRAGES!$K280,J279))</f>
        <v/>
      </c>
      <c r="K280" s="378" t="str">
        <f>IF(J280="","", IF(ARBITRAGES!$H280="cake",K279+ARBITRAGES!$K280,K279))</f>
        <v/>
      </c>
      <c r="L280" s="378" t="str">
        <f>IF(K280="","", IF(ARBITRAGES!$H280="JUP",L279+ARBITRAGES!$K280,L279))</f>
        <v/>
      </c>
      <c r="M280" s="376" t="str">
        <f>IF(L280="","", IF(ARBITRAGES!$H280="aave",M279+ARBITRAGES!$K280,M279))</f>
        <v/>
      </c>
      <c r="N280" s="378" t="str">
        <f>IF(M280="","", IF(ARBITRAGES!$H280="ckb",N279+ARBITRAGES!$K280,N279))</f>
        <v/>
      </c>
      <c r="O280" s="378" t="str">
        <f>IF(N280="","", IF(ARBITRAGES!$H280="pendle",O279-ARBITRAGES!$K280+0.1,O279))</f>
        <v/>
      </c>
      <c r="P280" s="378" t="str">
        <f>IF(O280="","", IF(ARBITRAGES!$H280="BOME",P279+ARBITRAGES!$K280,P279))</f>
        <v/>
      </c>
      <c r="Q280" s="378" t="str">
        <f>IF(P280="","", IF(ARBITRAGES!$H280="PEPE",Q279+ARBITRAGES!$K280,Q279))</f>
        <v/>
      </c>
      <c r="R280" s="378" t="str">
        <f>IF(Q280="","", IF(ARBITRAGES!$H280="WIF",R279+ARBITRAGES!$K280,R279))</f>
        <v/>
      </c>
      <c r="S280" s="378" t="str">
        <f>IF(R280="","", IF(ARBITRAGES!$H280="RAY",S279+ARBITRAGES!$K280,S279))</f>
        <v/>
      </c>
      <c r="T280" s="360"/>
      <c r="U280" s="360"/>
      <c r="V280" s="360"/>
      <c r="W280" s="360"/>
      <c r="X280" s="360"/>
      <c r="Y280" s="360"/>
      <c r="Z280" s="360"/>
      <c r="AA280" s="360"/>
      <c r="AB280" s="360"/>
      <c r="AC280" s="360"/>
      <c r="AD280" s="360"/>
      <c r="AE280" s="360"/>
      <c r="AF280" s="360"/>
      <c r="AG280" s="360"/>
      <c r="AH280" s="360"/>
    </row>
    <row r="281" ht="18.75" customHeight="1">
      <c r="A281" s="365" t="str">
        <f>IF(ARBITRAGES!E281=0,"",ARBITRAGES!E281)</f>
        <v/>
      </c>
      <c r="B281" s="375" t="str">
        <f>IF(A281="","", IF(ARBITRAGES!$H281="BTC",B280+ARBITRAGES!$K281,B280))</f>
        <v/>
      </c>
      <c r="C281" s="375" t="str">
        <f>IF(B281="","", IF(ARBITRAGES!$H281="eth",C280+ARBITRAGES!$K281,C280))</f>
        <v/>
      </c>
      <c r="D281" s="376" t="str">
        <f>IF(C281="","", IF(ARBITRAGES!$H281="ondo",D280+ARBITRAGES!$K281,D280))</f>
        <v/>
      </c>
      <c r="E281" s="376" t="str">
        <f>IF(D281="","", IF(ARBITRAGES!$H281="sol",E280+ARBITRAGES!$K281,E280))</f>
        <v/>
      </c>
      <c r="F281" s="377" t="str">
        <f>IF(E281="","", IF(ARBITRAGES!$H281="tao",F280+ARBITRAGES!$K281,F280))</f>
        <v/>
      </c>
      <c r="G281" s="378" t="str">
        <f>IF(F281="","", IF(ARBITRAGES!$H281="ron",G280+ARBITRAGES!$K281,G280))</f>
        <v/>
      </c>
      <c r="H281" s="378" t="str">
        <f>IF(G281="","", IF(ARBITRAGES!$H281="link",H280+ARBITRAGES!$K281,H280))</f>
        <v/>
      </c>
      <c r="I281" s="378" t="str">
        <f>IF(H281="","", IF(ARBITRAGES!$H281="doge",I280+ARBITRAGES!$K281,I280))</f>
        <v/>
      </c>
      <c r="J281" s="378" t="str">
        <f>IF(I281="","", IF(ARBITRAGES!$H281="shib",J280-ARBITRAGES!$K281,J280))</f>
        <v/>
      </c>
      <c r="K281" s="378" t="str">
        <f>IF(J281="","", IF(ARBITRAGES!$H281="cake",K280+ARBITRAGES!$K281,K280))</f>
        <v/>
      </c>
      <c r="L281" s="378" t="str">
        <f>IF(K281="","", IF(ARBITRAGES!$H281="JUP",L280+ARBITRAGES!$K281,L280))</f>
        <v/>
      </c>
      <c r="M281" s="376" t="str">
        <f>IF(L281="","", IF(ARBITRAGES!$H281="aave",M280+ARBITRAGES!$K281,M280))</f>
        <v/>
      </c>
      <c r="N281" s="378" t="str">
        <f>IF(M281="","", IF(ARBITRAGES!$H281="ckb",N280+ARBITRAGES!$K281,N280))</f>
        <v/>
      </c>
      <c r="O281" s="378" t="str">
        <f>IF(N281="","", IF(ARBITRAGES!$H281="pendle",O280-ARBITRAGES!$K281+0.1,O280))</f>
        <v/>
      </c>
      <c r="P281" s="378" t="str">
        <f>IF(O281="","", IF(ARBITRAGES!$H281="BOME",P280+ARBITRAGES!$K281,P280))</f>
        <v/>
      </c>
      <c r="Q281" s="378" t="str">
        <f>IF(P281="","", IF(ARBITRAGES!$H281="PEPE",Q280+ARBITRAGES!$K281,Q280))</f>
        <v/>
      </c>
      <c r="R281" s="378" t="str">
        <f>IF(Q281="","", IF(ARBITRAGES!$H281="WIF",R280+ARBITRAGES!$K281,R280))</f>
        <v/>
      </c>
      <c r="S281" s="378" t="str">
        <f>IF(R281="","", IF(ARBITRAGES!$H281="RAY",S280+ARBITRAGES!$K281,S280))</f>
        <v/>
      </c>
      <c r="T281" s="360"/>
      <c r="U281" s="360"/>
      <c r="V281" s="360"/>
      <c r="W281" s="360"/>
      <c r="X281" s="360"/>
      <c r="Y281" s="360"/>
      <c r="Z281" s="360"/>
      <c r="AA281" s="360"/>
      <c r="AB281" s="360"/>
      <c r="AC281" s="360"/>
      <c r="AD281" s="360"/>
      <c r="AE281" s="360"/>
      <c r="AF281" s="360"/>
      <c r="AG281" s="360"/>
      <c r="AH281" s="360"/>
    </row>
    <row r="282" ht="18.75" customHeight="1">
      <c r="A282" s="365" t="str">
        <f>IF(ARBITRAGES!E282=0,"",ARBITRAGES!E282)</f>
        <v/>
      </c>
      <c r="B282" s="375" t="str">
        <f>IF(A282="","", IF(ARBITRAGES!$H282="BTC",B281+ARBITRAGES!$K282,B281))</f>
        <v/>
      </c>
      <c r="C282" s="375" t="str">
        <f>IF(B282="","", IF(ARBITRAGES!$H282="eth",C281+ARBITRAGES!$K282,C281))</f>
        <v/>
      </c>
      <c r="D282" s="376" t="str">
        <f>IF(C282="","", IF(ARBITRAGES!$H282="ondo",D281+ARBITRAGES!$K282,D281))</f>
        <v/>
      </c>
      <c r="E282" s="376" t="str">
        <f>IF(D282="","", IF(ARBITRAGES!$H282="sol",E281+ARBITRAGES!$K282,E281))</f>
        <v/>
      </c>
      <c r="F282" s="377" t="str">
        <f>IF(E282="","", IF(ARBITRAGES!$H282="tao",F281+ARBITRAGES!$K282,F281))</f>
        <v/>
      </c>
      <c r="G282" s="378" t="str">
        <f>IF(F282="","", IF(ARBITRAGES!$H282="ron",G281+ARBITRAGES!$K282,G281))</f>
        <v/>
      </c>
      <c r="H282" s="378" t="str">
        <f>IF(G282="","", IF(ARBITRAGES!$H282="link",H281+ARBITRAGES!$K282,H281))</f>
        <v/>
      </c>
      <c r="I282" s="378" t="str">
        <f>IF(H282="","", IF(ARBITRAGES!$H282="doge",I281+ARBITRAGES!$K282,I281))</f>
        <v/>
      </c>
      <c r="J282" s="378" t="str">
        <f>IF(I282="","", IF(ARBITRAGES!$H282="shib",J281-ARBITRAGES!$K282,J281))</f>
        <v/>
      </c>
      <c r="K282" s="378" t="str">
        <f>IF(J282="","", IF(ARBITRAGES!$H282="cake",K281+ARBITRAGES!$K282,K281))</f>
        <v/>
      </c>
      <c r="L282" s="378" t="str">
        <f>IF(K282="","", IF(ARBITRAGES!$H282="JUP",L281+ARBITRAGES!$K282,L281))</f>
        <v/>
      </c>
      <c r="M282" s="376" t="str">
        <f>IF(L282="","", IF(ARBITRAGES!$H282="aave",M281+ARBITRAGES!$K282,M281))</f>
        <v/>
      </c>
      <c r="N282" s="378" t="str">
        <f>IF(M282="","", IF(ARBITRAGES!$H282="ckb",N281+ARBITRAGES!$K282,N281))</f>
        <v/>
      </c>
      <c r="O282" s="378" t="str">
        <f>IF(N282="","", IF(ARBITRAGES!$H282="pendle",O281-ARBITRAGES!$K282+0.1,O281))</f>
        <v/>
      </c>
      <c r="P282" s="378" t="str">
        <f>IF(O282="","", IF(ARBITRAGES!$H282="BOME",P281+ARBITRAGES!$K282,P281))</f>
        <v/>
      </c>
      <c r="Q282" s="378" t="str">
        <f>IF(P282="","", IF(ARBITRAGES!$H282="PEPE",Q281+ARBITRAGES!$K282,Q281))</f>
        <v/>
      </c>
      <c r="R282" s="378" t="str">
        <f>IF(Q282="","", IF(ARBITRAGES!$H282="WIF",R281+ARBITRAGES!$K282,R281))</f>
        <v/>
      </c>
      <c r="S282" s="378" t="str">
        <f>IF(R282="","", IF(ARBITRAGES!$H282="RAY",S281+ARBITRAGES!$K282,S281))</f>
        <v/>
      </c>
      <c r="T282" s="360"/>
      <c r="U282" s="360"/>
      <c r="V282" s="360"/>
      <c r="W282" s="360"/>
      <c r="X282" s="360"/>
      <c r="Y282" s="360"/>
      <c r="Z282" s="360"/>
      <c r="AA282" s="360"/>
      <c r="AB282" s="360"/>
      <c r="AC282" s="360"/>
      <c r="AD282" s="360"/>
      <c r="AE282" s="360"/>
      <c r="AF282" s="360"/>
      <c r="AG282" s="360"/>
      <c r="AH282" s="360"/>
    </row>
    <row r="283" ht="18.75" customHeight="1">
      <c r="A283" s="399"/>
      <c r="B283" s="375" t="str">
        <f>IF(A283="","", IF(ARBITRAGES!$H283="BTC",B282+ARBITRAGES!$K283,B282))</f>
        <v/>
      </c>
      <c r="C283" s="375" t="str">
        <f>IF(B283="","", IF(ARBITRAGES!$H283="eth",C282+ARBITRAGES!$K283,C282))</f>
        <v/>
      </c>
      <c r="D283" s="376" t="str">
        <f>IF(C283="","", IF(ARBITRAGES!$H283="ondo",D282+ARBITRAGES!$K283,D282))</f>
        <v/>
      </c>
      <c r="E283" s="376" t="str">
        <f>IF(D283="","", IF(ARBITRAGES!$H283="sol",E282+ARBITRAGES!$K283,E282))</f>
        <v/>
      </c>
      <c r="F283" s="377" t="str">
        <f>IF(E283="","", IF(ARBITRAGES!$H283="tao",F282+ARBITRAGES!$K283,F282))</f>
        <v/>
      </c>
      <c r="G283" s="378" t="str">
        <f>IF(F283="","", IF(ARBITRAGES!$H283="ron",G282+ARBITRAGES!$K283,G282))</f>
        <v/>
      </c>
      <c r="H283" s="378" t="str">
        <f>IF(G283="","", IF(ARBITRAGES!$H283="link",H282+ARBITRAGES!$K283,H282))</f>
        <v/>
      </c>
      <c r="I283" s="378" t="str">
        <f>IF(H283="","", IF(ARBITRAGES!$H283="doge",I282+ARBITRAGES!$K283,I282))</f>
        <v/>
      </c>
      <c r="J283" s="378" t="str">
        <f>IF(I283="","", IF(ARBITRAGES!$H283="shib",J282-ARBITRAGES!$K283,J282))</f>
        <v/>
      </c>
      <c r="K283" s="378" t="str">
        <f>IF(J283="","", IF(ARBITRAGES!$H283="cake",K282+ARBITRAGES!$K283,K282))</f>
        <v/>
      </c>
      <c r="L283" s="378" t="str">
        <f>IF(K283="","", IF(ARBITRAGES!$H283="JUP",L282+ARBITRAGES!$K283,L282))</f>
        <v/>
      </c>
      <c r="M283" s="376" t="str">
        <f>IF(L283="","", IF(ARBITRAGES!$H283="aave",M282+ARBITRAGES!$K283,M282))</f>
        <v/>
      </c>
      <c r="N283" s="378" t="str">
        <f>IF(M283="","", IF(ARBITRAGES!$H283="ckb",N282+ARBITRAGES!$K283,N282))</f>
        <v/>
      </c>
      <c r="O283" s="378" t="str">
        <f>IF(N283="","", IF(ARBITRAGES!$H283="pendle",O282-ARBITRAGES!$K283+0.1,O282))</f>
        <v/>
      </c>
      <c r="P283" s="378" t="str">
        <f>IF(O283="","", IF(ARBITRAGES!$H283="BOME",P282+ARBITRAGES!$K283,P282))</f>
        <v/>
      </c>
      <c r="Q283" s="378" t="str">
        <f>IF(P283="","", IF(ARBITRAGES!$H283="PEPE",Q282+ARBITRAGES!$K283,Q282))</f>
        <v/>
      </c>
      <c r="R283" s="378" t="str">
        <f>IF(Q283="","", IF(ARBITRAGES!$H283="WIF",R282+ARBITRAGES!$K283,R282))</f>
        <v/>
      </c>
      <c r="S283" s="378" t="str">
        <f>IF(R283="","", IF(ARBITRAGES!$H283="RAY",S282+ARBITRAGES!$K283,S282))</f>
        <v/>
      </c>
      <c r="T283" s="360"/>
      <c r="U283" s="360"/>
      <c r="V283" s="360"/>
      <c r="W283" s="360"/>
      <c r="X283" s="360"/>
      <c r="Y283" s="360"/>
      <c r="Z283" s="360"/>
      <c r="AA283" s="360"/>
      <c r="AB283" s="360"/>
      <c r="AC283" s="360"/>
      <c r="AD283" s="360"/>
      <c r="AE283" s="360"/>
      <c r="AF283" s="360"/>
      <c r="AG283" s="360"/>
      <c r="AH283" s="360"/>
    </row>
    <row r="284" ht="18.75" customHeight="1">
      <c r="A284" s="399"/>
      <c r="B284" s="375" t="str">
        <f>IF(A284="","", IF(ARBITRAGES!$H284="BTC",B283+ARBITRAGES!$K284,B283))</f>
        <v/>
      </c>
      <c r="C284" s="375" t="str">
        <f>IF(B284="","", IF(ARBITRAGES!$H284="eth",C283+ARBITRAGES!$K284,C283))</f>
        <v/>
      </c>
      <c r="D284" s="376" t="str">
        <f>IF(C284="","", IF(ARBITRAGES!$H284="ondo",D283+ARBITRAGES!$K284,D283))</f>
        <v/>
      </c>
      <c r="E284" s="376" t="str">
        <f>IF(D284="","", IF(ARBITRAGES!$H284="sol",E283+ARBITRAGES!$K284,E283))</f>
        <v/>
      </c>
      <c r="F284" s="377" t="str">
        <f>IF(E284="","", IF(ARBITRAGES!$H284="tao",F283+ARBITRAGES!$K284,F283))</f>
        <v/>
      </c>
      <c r="G284" s="378" t="str">
        <f>IF(F284="","", IF(ARBITRAGES!$H284="ron",G283+ARBITRAGES!$K284,G283))</f>
        <v/>
      </c>
      <c r="H284" s="378" t="str">
        <f>IF(G284="","", IF(ARBITRAGES!$H284="link",H283+ARBITRAGES!$K284,H283))</f>
        <v/>
      </c>
      <c r="I284" s="378" t="str">
        <f>IF(H284="","", IF(ARBITRAGES!$H284="doge",I283+ARBITRAGES!$K284,I283))</f>
        <v/>
      </c>
      <c r="J284" s="378" t="str">
        <f>IF(I284="","", IF(ARBITRAGES!$H284="shib",J283-ARBITRAGES!$K284,J283))</f>
        <v/>
      </c>
      <c r="K284" s="378" t="str">
        <f>IF(J284="","", IF(ARBITRAGES!$H284="cake",K283+ARBITRAGES!$K284,K283))</f>
        <v/>
      </c>
      <c r="L284" s="378" t="str">
        <f>IF(K284="","", IF(ARBITRAGES!$H284="JUP",L283+ARBITRAGES!$K284,L283))</f>
        <v/>
      </c>
      <c r="M284" s="376" t="str">
        <f>IF(L284="","", IF(ARBITRAGES!$H284="aave",M283+ARBITRAGES!$K284,M283))</f>
        <v/>
      </c>
      <c r="N284" s="378" t="str">
        <f>IF(M284="","", IF(ARBITRAGES!$H284="ckb",N283+ARBITRAGES!$K284,N283))</f>
        <v/>
      </c>
      <c r="O284" s="378" t="str">
        <f>IF(N284="","", IF(ARBITRAGES!$H284="pendle",O283-ARBITRAGES!$K284+0.1,O283))</f>
        <v/>
      </c>
      <c r="P284" s="378" t="str">
        <f>IF(O284="","", IF(ARBITRAGES!$H284="BOME",P283+ARBITRAGES!$K284,P283))</f>
        <v/>
      </c>
      <c r="Q284" s="378" t="str">
        <f>IF(P284="","", IF(ARBITRAGES!$H284="PEPE",Q283+ARBITRAGES!$K284,Q283))</f>
        <v/>
      </c>
      <c r="R284" s="378" t="str">
        <f>IF(Q284="","", IF(ARBITRAGES!$H284="WIF",R283+ARBITRAGES!$K284,R283))</f>
        <v/>
      </c>
      <c r="S284" s="378" t="str">
        <f>IF(R284="","", IF(ARBITRAGES!$H284="RAY",S283+ARBITRAGES!$K284,S283))</f>
        <v/>
      </c>
      <c r="T284" s="360"/>
      <c r="U284" s="360"/>
      <c r="V284" s="360"/>
      <c r="W284" s="360"/>
      <c r="X284" s="360"/>
      <c r="Y284" s="360"/>
      <c r="Z284" s="360"/>
      <c r="AA284" s="360"/>
      <c r="AB284" s="360"/>
      <c r="AC284" s="360"/>
      <c r="AD284" s="360"/>
      <c r="AE284" s="360"/>
      <c r="AF284" s="360"/>
      <c r="AG284" s="360"/>
      <c r="AH284" s="360"/>
    </row>
    <row r="285" ht="18.75" customHeight="1">
      <c r="A285" s="399"/>
      <c r="B285" s="375" t="str">
        <f>IF(A285="","", IF(ARBITRAGES!$H285="BTC",B284+ARBITRAGES!$K285,B284))</f>
        <v/>
      </c>
      <c r="C285" s="375" t="str">
        <f>IF(B285="","", IF(ARBITRAGES!$H285="eth",C284+ARBITRAGES!$K285,C284))</f>
        <v/>
      </c>
      <c r="D285" s="376" t="str">
        <f>IF(C285="","", IF(ARBITRAGES!$H285="ondo",D284+ARBITRAGES!$K285,D284))</f>
        <v/>
      </c>
      <c r="E285" s="376" t="str">
        <f>IF(D285="","", IF(ARBITRAGES!$H285="sol",E284+ARBITRAGES!$K285,E284))</f>
        <v/>
      </c>
      <c r="F285" s="377" t="str">
        <f>IF(E285="","", IF(ARBITRAGES!$H285="tao",F284+ARBITRAGES!$K285,F284))</f>
        <v/>
      </c>
      <c r="G285" s="378" t="str">
        <f>IF(F285="","", IF(ARBITRAGES!$H285="ron",G284+ARBITRAGES!$K285,G284))</f>
        <v/>
      </c>
      <c r="H285" s="378" t="str">
        <f>IF(G285="","", IF(ARBITRAGES!$H285="link",H284+ARBITRAGES!$K285,H284))</f>
        <v/>
      </c>
      <c r="I285" s="378" t="str">
        <f>IF(H285="","", IF(ARBITRAGES!$H285="doge",I284+ARBITRAGES!$K285,I284))</f>
        <v/>
      </c>
      <c r="J285" s="378" t="str">
        <f>IF(I285="","", IF(ARBITRAGES!$H285="shib",J284-ARBITRAGES!$K285,J284))</f>
        <v/>
      </c>
      <c r="K285" s="378" t="str">
        <f>IF(J285="","", IF(ARBITRAGES!$H285="cake",K284+ARBITRAGES!$K285,K284))</f>
        <v/>
      </c>
      <c r="L285" s="378" t="str">
        <f>IF(K285="","", IF(ARBITRAGES!$H285="JUP",L284+ARBITRAGES!$K285,L284))</f>
        <v/>
      </c>
      <c r="M285" s="376" t="str">
        <f>IF(L285="","", IF(ARBITRAGES!$H285="aave",M284+ARBITRAGES!$K285,M284))</f>
        <v/>
      </c>
      <c r="N285" s="378" t="str">
        <f>IF(M285="","", IF(ARBITRAGES!$H285="ckb",N284+ARBITRAGES!$K285,N284))</f>
        <v/>
      </c>
      <c r="O285" s="378" t="str">
        <f>IF(N285="","", IF(ARBITRAGES!$H285="pendle",O284-ARBITRAGES!$K285+0.1,O284))</f>
        <v/>
      </c>
      <c r="P285" s="378" t="str">
        <f>IF(O285="","", IF(ARBITRAGES!$H285="BOME",P284+ARBITRAGES!$K285,P284))</f>
        <v/>
      </c>
      <c r="Q285" s="378" t="str">
        <f>IF(P285="","", IF(ARBITRAGES!$H285="PEPE",Q284+ARBITRAGES!$K285,Q284))</f>
        <v/>
      </c>
      <c r="R285" s="378" t="str">
        <f>IF(Q285="","", IF(ARBITRAGES!$H285="WIF",R284+ARBITRAGES!$K285,R284))</f>
        <v/>
      </c>
      <c r="S285" s="378" t="str">
        <f>IF(R285="","", IF(ARBITRAGES!$H285="RAY",S284+ARBITRAGES!$K285,S284))</f>
        <v/>
      </c>
      <c r="T285" s="360"/>
      <c r="U285" s="360"/>
      <c r="V285" s="360"/>
      <c r="W285" s="360"/>
      <c r="X285" s="360"/>
      <c r="Y285" s="360"/>
      <c r="Z285" s="360"/>
      <c r="AA285" s="360"/>
      <c r="AB285" s="360"/>
      <c r="AC285" s="360"/>
      <c r="AD285" s="360"/>
      <c r="AE285" s="360"/>
      <c r="AF285" s="360"/>
      <c r="AG285" s="360"/>
      <c r="AH285" s="360"/>
    </row>
    <row r="286" ht="18.75" customHeight="1">
      <c r="A286" s="399"/>
      <c r="B286" s="375" t="str">
        <f>IF(A286="","", IF(ARBITRAGES!$H286="BTC",B285+ARBITRAGES!$K286,B285))</f>
        <v/>
      </c>
      <c r="C286" s="375" t="str">
        <f>IF(B286="","", IF(ARBITRAGES!$H286="eth",C285+ARBITRAGES!$K286,C285))</f>
        <v/>
      </c>
      <c r="D286" s="376" t="str">
        <f>IF(C286="","", IF(ARBITRAGES!$H286="ondo",D285+ARBITRAGES!$K286,D285))</f>
        <v/>
      </c>
      <c r="E286" s="376" t="str">
        <f>IF(D286="","", IF(ARBITRAGES!$H286="sol",E285+ARBITRAGES!$K286,E285))</f>
        <v/>
      </c>
      <c r="F286" s="377" t="str">
        <f>IF(E286="","", IF(ARBITRAGES!$H286="tao",F285+ARBITRAGES!$K286,F285))</f>
        <v/>
      </c>
      <c r="G286" s="378" t="str">
        <f>IF(F286="","", IF(ARBITRAGES!$H286="ron",G285+ARBITRAGES!$K286,G285))</f>
        <v/>
      </c>
      <c r="H286" s="378" t="str">
        <f>IF(G286="","", IF(ARBITRAGES!$H286="link",H285+ARBITRAGES!$K286,H285))</f>
        <v/>
      </c>
      <c r="I286" s="378" t="str">
        <f>IF(H286="","", IF(ARBITRAGES!$H286="doge",I285+ARBITRAGES!$K286,I285))</f>
        <v/>
      </c>
      <c r="J286" s="378" t="str">
        <f>IF(I286="","", IF(ARBITRAGES!$H286="shib",J285-ARBITRAGES!$K286,J285))</f>
        <v/>
      </c>
      <c r="K286" s="378" t="str">
        <f>IF(J286="","", IF(ARBITRAGES!$H286="cake",K285+ARBITRAGES!$K286,K285))</f>
        <v/>
      </c>
      <c r="L286" s="378" t="str">
        <f>IF(K286="","", IF(ARBITRAGES!$H286="JUP",L285+ARBITRAGES!$K286,L285))</f>
        <v/>
      </c>
      <c r="M286" s="376" t="str">
        <f>IF(L286="","", IF(ARBITRAGES!$H286="aave",M285+ARBITRAGES!$K286,M285))</f>
        <v/>
      </c>
      <c r="N286" s="378" t="str">
        <f>IF(M286="","", IF(ARBITRAGES!$H286="ckb",N285+ARBITRAGES!$K286,N285))</f>
        <v/>
      </c>
      <c r="O286" s="378" t="str">
        <f>IF(N286="","", IF(ARBITRAGES!$H286="pendle",O285-ARBITRAGES!$K286+0.1,O285))</f>
        <v/>
      </c>
      <c r="P286" s="378" t="str">
        <f>IF(O286="","", IF(ARBITRAGES!$H286="BOME",P285+ARBITRAGES!$K286,P285))</f>
        <v/>
      </c>
      <c r="Q286" s="378" t="str">
        <f>IF(P286="","", IF(ARBITRAGES!$H286="PEPE",Q285+ARBITRAGES!$K286,Q285))</f>
        <v/>
      </c>
      <c r="R286" s="378" t="str">
        <f>IF(Q286="","", IF(ARBITRAGES!$H286="WIF",R285+ARBITRAGES!$K286,R285))</f>
        <v/>
      </c>
      <c r="S286" s="378" t="str">
        <f>IF(R286="","", IF(ARBITRAGES!$H286="RAY",S285+ARBITRAGES!$K286,S285))</f>
        <v/>
      </c>
      <c r="T286" s="360"/>
      <c r="U286" s="360"/>
      <c r="V286" s="360"/>
      <c r="W286" s="360"/>
      <c r="X286" s="360"/>
      <c r="Y286" s="360"/>
      <c r="Z286" s="360"/>
      <c r="AA286" s="360"/>
      <c r="AB286" s="360"/>
      <c r="AC286" s="360"/>
      <c r="AD286" s="360"/>
      <c r="AE286" s="360"/>
      <c r="AF286" s="360"/>
      <c r="AG286" s="360"/>
      <c r="AH286" s="360"/>
    </row>
    <row r="287" ht="18.75" customHeight="1">
      <c r="A287" s="399"/>
      <c r="B287" s="375" t="str">
        <f>IF(A287="","", IF(ARBITRAGES!$H287="BTC",B286+ARBITRAGES!$K287,B286))</f>
        <v/>
      </c>
      <c r="C287" s="375" t="str">
        <f>IF(B287="","", IF(ARBITRAGES!$H287="eth",C286+ARBITRAGES!$K287,C286))</f>
        <v/>
      </c>
      <c r="D287" s="376" t="str">
        <f>IF(C287="","", IF(ARBITRAGES!$H287="ondo",D286+ARBITRAGES!$K287,D286))</f>
        <v/>
      </c>
      <c r="E287" s="376" t="str">
        <f>IF(D287="","", IF(ARBITRAGES!$H287="sol",E286+ARBITRAGES!$K287,E286))</f>
        <v/>
      </c>
      <c r="F287" s="377" t="str">
        <f>IF(E287="","", IF(ARBITRAGES!$H287="tao",F286+ARBITRAGES!$K287,F286))</f>
        <v/>
      </c>
      <c r="G287" s="378" t="str">
        <f>IF(F287="","", IF(ARBITRAGES!$H287="ron",G286+ARBITRAGES!$K287,G286))</f>
        <v/>
      </c>
      <c r="H287" s="378" t="str">
        <f>IF(G287="","", IF(ARBITRAGES!$H287="link",H286+ARBITRAGES!$K287,H286))</f>
        <v/>
      </c>
      <c r="I287" s="378" t="str">
        <f>IF(H287="","", IF(ARBITRAGES!$H287="doge",I286+ARBITRAGES!$K287,I286))</f>
        <v/>
      </c>
      <c r="J287" s="378" t="str">
        <f>IF(I287="","", IF(ARBITRAGES!$H287="shib",J286-ARBITRAGES!$K287,J286))</f>
        <v/>
      </c>
      <c r="K287" s="378" t="str">
        <f>IF(J287="","", IF(ARBITRAGES!$H287="cake",K286+ARBITRAGES!$K287,K286))</f>
        <v/>
      </c>
      <c r="L287" s="378" t="str">
        <f>IF(K287="","", IF(ARBITRAGES!$H287="JUP",L286+ARBITRAGES!$K287,L286))</f>
        <v/>
      </c>
      <c r="M287" s="376" t="str">
        <f>IF(L287="","", IF(ARBITRAGES!$H287="aave",M286+ARBITRAGES!$K287,M286))</f>
        <v/>
      </c>
      <c r="N287" s="378" t="str">
        <f>IF(M287="","", IF(ARBITRAGES!$H287="ckb",N286+ARBITRAGES!$K287,N286))</f>
        <v/>
      </c>
      <c r="O287" s="378" t="str">
        <f>IF(N287="","", IF(ARBITRAGES!$H287="pendle",O286-ARBITRAGES!$K287+0.1,O286))</f>
        <v/>
      </c>
      <c r="P287" s="378" t="str">
        <f>IF(O287="","", IF(ARBITRAGES!$H287="BOME",P286+ARBITRAGES!$K287,P286))</f>
        <v/>
      </c>
      <c r="Q287" s="378" t="str">
        <f>IF(P287="","", IF(ARBITRAGES!$H287="PEPE",Q286+ARBITRAGES!$K287,Q286))</f>
        <v/>
      </c>
      <c r="R287" s="378" t="str">
        <f>IF(Q287="","", IF(ARBITRAGES!$H287="WIF",R286+ARBITRAGES!$K287,R286))</f>
        <v/>
      </c>
      <c r="S287" s="378" t="str">
        <f>IF(R287="","", IF(ARBITRAGES!$H287="RAY",S286+ARBITRAGES!$K287,S286))</f>
        <v/>
      </c>
      <c r="T287" s="360"/>
      <c r="U287" s="360"/>
      <c r="V287" s="360"/>
      <c r="W287" s="360"/>
      <c r="X287" s="360"/>
      <c r="Y287" s="360"/>
      <c r="Z287" s="360"/>
      <c r="AA287" s="360"/>
      <c r="AB287" s="360"/>
      <c r="AC287" s="360"/>
      <c r="AD287" s="360"/>
      <c r="AE287" s="360"/>
      <c r="AF287" s="360"/>
      <c r="AG287" s="360"/>
      <c r="AH287" s="360"/>
    </row>
    <row r="288" ht="18.75" customHeight="1">
      <c r="A288" s="399"/>
      <c r="B288" s="375" t="str">
        <f>IF(A288="","", IF(ARBITRAGES!$H288="BTC",B287+ARBITRAGES!$K288,B287))</f>
        <v/>
      </c>
      <c r="C288" s="375" t="str">
        <f>IF(B288="","", IF(ARBITRAGES!$H288="eth",C287+ARBITRAGES!$K288,C287))</f>
        <v/>
      </c>
      <c r="D288" s="376" t="str">
        <f>IF(C288="","", IF(ARBITRAGES!$H288="ondo",D287+ARBITRAGES!$K288,D287))</f>
        <v/>
      </c>
      <c r="E288" s="376" t="str">
        <f>IF(D288="","", IF(ARBITRAGES!$H288="sol",E287+ARBITRAGES!$K288,E287))</f>
        <v/>
      </c>
      <c r="F288" s="377" t="str">
        <f>IF(E288="","", IF(ARBITRAGES!$H288="tao",F287+ARBITRAGES!$K288,F287))</f>
        <v/>
      </c>
      <c r="G288" s="378" t="str">
        <f>IF(F288="","", IF(ARBITRAGES!$H288="ron",G287+ARBITRAGES!$K288,G287))</f>
        <v/>
      </c>
      <c r="H288" s="378" t="str">
        <f>IF(G288="","", IF(ARBITRAGES!$H288="link",H287+ARBITRAGES!$K288,H287))</f>
        <v/>
      </c>
      <c r="I288" s="378" t="str">
        <f>IF(H288="","", IF(ARBITRAGES!$H288="doge",I287+ARBITRAGES!$K288,I287))</f>
        <v/>
      </c>
      <c r="J288" s="378" t="str">
        <f>IF(I288="","", IF(ARBITRAGES!$H288="shib",J287-ARBITRAGES!$K288,J287))</f>
        <v/>
      </c>
      <c r="K288" s="378" t="str">
        <f>IF(J288="","", IF(ARBITRAGES!$H288="cake",K287+ARBITRAGES!$K288,K287))</f>
        <v/>
      </c>
      <c r="L288" s="378" t="str">
        <f>IF(K288="","", IF(ARBITRAGES!$H288="JUP",L287+ARBITRAGES!$K288,L287))</f>
        <v/>
      </c>
      <c r="M288" s="376" t="str">
        <f>IF(L288="","", IF(ARBITRAGES!$H288="aave",M287+ARBITRAGES!$K288,M287))</f>
        <v/>
      </c>
      <c r="N288" s="378" t="str">
        <f>IF(M288="","", IF(ARBITRAGES!$H288="ckb",N287+ARBITRAGES!$K288,N287))</f>
        <v/>
      </c>
      <c r="O288" s="378" t="str">
        <f>IF(N288="","", IF(ARBITRAGES!$H288="pendle",O287-ARBITRAGES!$K288+0.1,O287))</f>
        <v/>
      </c>
      <c r="P288" s="378" t="str">
        <f>IF(O288="","", IF(ARBITRAGES!$H288="BOME",P287+ARBITRAGES!$K288,P287))</f>
        <v/>
      </c>
      <c r="Q288" s="378" t="str">
        <f>IF(P288="","", IF(ARBITRAGES!$H288="PEPE",Q287+ARBITRAGES!$K288,Q287))</f>
        <v/>
      </c>
      <c r="R288" s="378" t="str">
        <f>IF(Q288="","", IF(ARBITRAGES!$H288="WIF",R287+ARBITRAGES!$K288,R287))</f>
        <v/>
      </c>
      <c r="S288" s="378" t="str">
        <f>IF(R288="","", IF(ARBITRAGES!$H288="RAY",S287+ARBITRAGES!$K288,S287))</f>
        <v/>
      </c>
      <c r="T288" s="360"/>
      <c r="U288" s="360"/>
      <c r="V288" s="360"/>
      <c r="W288" s="360"/>
      <c r="X288" s="360"/>
      <c r="Y288" s="360"/>
      <c r="Z288" s="360"/>
      <c r="AA288" s="360"/>
      <c r="AB288" s="360"/>
      <c r="AC288" s="360"/>
      <c r="AD288" s="360"/>
      <c r="AE288" s="360"/>
      <c r="AF288" s="360"/>
      <c r="AG288" s="360"/>
      <c r="AH288" s="360"/>
    </row>
    <row r="289" ht="18.75" customHeight="1">
      <c r="A289" s="399"/>
      <c r="B289" s="375" t="str">
        <f>IF(A289="","", IF(ARBITRAGES!$H289="BTC",B288+ARBITRAGES!$K289,B288))</f>
        <v/>
      </c>
      <c r="C289" s="375" t="str">
        <f>IF(B289="","", IF(ARBITRAGES!$H289="eth",C288+ARBITRAGES!$K289,C288))</f>
        <v/>
      </c>
      <c r="D289" s="376" t="str">
        <f>IF(C289="","", IF(ARBITRAGES!$H289="ondo",D288+ARBITRAGES!$K289,D288))</f>
        <v/>
      </c>
      <c r="E289" s="376" t="str">
        <f>IF(D289="","", IF(ARBITRAGES!$H289="sol",E288+ARBITRAGES!$K289,E288))</f>
        <v/>
      </c>
      <c r="F289" s="377" t="str">
        <f>IF(E289="","", IF(ARBITRAGES!$H289="tao",F288+ARBITRAGES!$K289,F288))</f>
        <v/>
      </c>
      <c r="G289" s="378" t="str">
        <f>IF(F289="","", IF(ARBITRAGES!$H289="ron",G288+ARBITRAGES!$K289,G288))</f>
        <v/>
      </c>
      <c r="H289" s="378" t="str">
        <f>IF(G289="","", IF(ARBITRAGES!$H289="link",H288+ARBITRAGES!$K289,H288))</f>
        <v/>
      </c>
      <c r="I289" s="378" t="str">
        <f>IF(H289="","", IF(ARBITRAGES!$H289="doge",I288+ARBITRAGES!$K289,I288))</f>
        <v/>
      </c>
      <c r="J289" s="378" t="str">
        <f>IF(I289="","", IF(ARBITRAGES!$H289="shib",J288-ARBITRAGES!$K289,J288))</f>
        <v/>
      </c>
      <c r="K289" s="378" t="str">
        <f>IF(J289="","", IF(ARBITRAGES!$H289="cake",K288+ARBITRAGES!$K289,K288))</f>
        <v/>
      </c>
      <c r="L289" s="378" t="str">
        <f>IF(K289="","", IF(ARBITRAGES!$H289="JUP",L288+ARBITRAGES!$K289,L288))</f>
        <v/>
      </c>
      <c r="M289" s="376" t="str">
        <f>IF(L289="","", IF(ARBITRAGES!$H289="aave",M288+ARBITRAGES!$K289,M288))</f>
        <v/>
      </c>
      <c r="N289" s="378" t="str">
        <f>IF(M289="","", IF(ARBITRAGES!$H289="ckb",N288+ARBITRAGES!$K289,N288))</f>
        <v/>
      </c>
      <c r="O289" s="378" t="str">
        <f>IF(N289="","", IF(ARBITRAGES!$H289="pendle",O288-ARBITRAGES!$K289+0.1,O288))</f>
        <v/>
      </c>
      <c r="P289" s="378" t="str">
        <f>IF(O289="","", IF(ARBITRAGES!$H289="BOME",P288+ARBITRAGES!$K289,P288))</f>
        <v/>
      </c>
      <c r="Q289" s="378" t="str">
        <f>IF(P289="","", IF(ARBITRAGES!$H289="PEPE",Q288+ARBITRAGES!$K289,Q288))</f>
        <v/>
      </c>
      <c r="R289" s="378" t="str">
        <f>IF(Q289="","", IF(ARBITRAGES!$H289="WIF",R288+ARBITRAGES!$K289,R288))</f>
        <v/>
      </c>
      <c r="S289" s="378" t="str">
        <f>IF(R289="","", IF(ARBITRAGES!$H289="RAY",S288+ARBITRAGES!$K289,S288))</f>
        <v/>
      </c>
      <c r="T289" s="360"/>
      <c r="U289" s="360"/>
      <c r="V289" s="360"/>
      <c r="W289" s="360"/>
      <c r="X289" s="360"/>
      <c r="Y289" s="360"/>
      <c r="Z289" s="360"/>
      <c r="AA289" s="360"/>
      <c r="AB289" s="360"/>
      <c r="AC289" s="360"/>
      <c r="AD289" s="360"/>
      <c r="AE289" s="360"/>
      <c r="AF289" s="360"/>
      <c r="AG289" s="360"/>
      <c r="AH289" s="360"/>
    </row>
    <row r="290" ht="18.75" customHeight="1">
      <c r="A290" s="399"/>
      <c r="B290" s="375" t="str">
        <f>IF(A290="","", IF(ARBITRAGES!$H290="BTC",B289+ARBITRAGES!$K290,B289))</f>
        <v/>
      </c>
      <c r="C290" s="375" t="str">
        <f>IF(B290="","", IF(ARBITRAGES!$H290="eth",C289+ARBITRAGES!$K290,C289))</f>
        <v/>
      </c>
      <c r="D290" s="376" t="str">
        <f>IF(C290="","", IF(ARBITRAGES!$H290="ondo",D289+ARBITRAGES!$K290,D289))</f>
        <v/>
      </c>
      <c r="E290" s="376" t="str">
        <f>IF(D290="","", IF(ARBITRAGES!$H290="sol",E289+ARBITRAGES!$K290,E289))</f>
        <v/>
      </c>
      <c r="F290" s="377" t="str">
        <f>IF(E290="","", IF(ARBITRAGES!$H290="tao",F289+ARBITRAGES!$K290,F289))</f>
        <v/>
      </c>
      <c r="G290" s="378" t="str">
        <f>IF(F290="","", IF(ARBITRAGES!$H290="ron",G289+ARBITRAGES!$K290,G289))</f>
        <v/>
      </c>
      <c r="H290" s="378" t="str">
        <f>IF(G290="","", IF(ARBITRAGES!$H290="link",H289+ARBITRAGES!$K290,H289))</f>
        <v/>
      </c>
      <c r="I290" s="378" t="str">
        <f>IF(H290="","", IF(ARBITRAGES!$H290="doge",I289+ARBITRAGES!$K290,I289))</f>
        <v/>
      </c>
      <c r="J290" s="378" t="str">
        <f>IF(I290="","", IF(ARBITRAGES!$H290="shib",J289-ARBITRAGES!$K290,J289))</f>
        <v/>
      </c>
      <c r="K290" s="378" t="str">
        <f>IF(J290="","", IF(ARBITRAGES!$H290="cake",K289+ARBITRAGES!$K290,K289))</f>
        <v/>
      </c>
      <c r="L290" s="378" t="str">
        <f>IF(K290="","", IF(ARBITRAGES!$H290="JUP",L289+ARBITRAGES!$K290,L289))</f>
        <v/>
      </c>
      <c r="M290" s="376" t="str">
        <f>IF(L290="","", IF(ARBITRAGES!$H290="aave",M289+ARBITRAGES!$K290,M289))</f>
        <v/>
      </c>
      <c r="N290" s="378" t="str">
        <f>IF(M290="","", IF(ARBITRAGES!$H290="ckb",N289+ARBITRAGES!$K290,N289))</f>
        <v/>
      </c>
      <c r="O290" s="378" t="str">
        <f>IF(N290="","", IF(ARBITRAGES!$H290="pendle",O289-ARBITRAGES!$K290+0.1,O289))</f>
        <v/>
      </c>
      <c r="P290" s="378" t="str">
        <f>IF(O290="","", IF(ARBITRAGES!$H290="BOME",P289+ARBITRAGES!$K290,P289))</f>
        <v/>
      </c>
      <c r="Q290" s="378" t="str">
        <f>IF(P290="","", IF(ARBITRAGES!$H290="PEPE",Q289+ARBITRAGES!$K290,Q289))</f>
        <v/>
      </c>
      <c r="R290" s="378" t="str">
        <f>IF(Q290="","", IF(ARBITRAGES!$H290="WIF",R289+ARBITRAGES!$K290,R289))</f>
        <v/>
      </c>
      <c r="S290" s="378" t="str">
        <f>IF(R290="","", IF(ARBITRAGES!$H290="RAY",S289+ARBITRAGES!$K290,S289))</f>
        <v/>
      </c>
      <c r="T290" s="360"/>
      <c r="U290" s="360"/>
      <c r="V290" s="360"/>
      <c r="W290" s="360"/>
      <c r="X290" s="360"/>
      <c r="Y290" s="360"/>
      <c r="Z290" s="360"/>
      <c r="AA290" s="360"/>
      <c r="AB290" s="360"/>
      <c r="AC290" s="360"/>
      <c r="AD290" s="360"/>
      <c r="AE290" s="360"/>
      <c r="AF290" s="360"/>
      <c r="AG290" s="360"/>
      <c r="AH290" s="360"/>
    </row>
    <row r="291" ht="18.75" customHeight="1">
      <c r="A291" s="399"/>
      <c r="B291" s="375" t="str">
        <f>IF(A291="","", IF(ARBITRAGES!$H291="BTC",B290+ARBITRAGES!$K291,B290))</f>
        <v/>
      </c>
      <c r="C291" s="375" t="str">
        <f>IF(B291="","", IF(ARBITRAGES!$H291="eth",C290+ARBITRAGES!$K291,C290))</f>
        <v/>
      </c>
      <c r="D291" s="376" t="str">
        <f>IF(C291="","", IF(ARBITRAGES!$H291="ondo",D290+ARBITRAGES!$K291,D290))</f>
        <v/>
      </c>
      <c r="E291" s="376" t="str">
        <f>IF(D291="","", IF(ARBITRAGES!$H291="sol",E290+ARBITRAGES!$K291,E290))</f>
        <v/>
      </c>
      <c r="F291" s="377" t="str">
        <f>IF(E291="","", IF(ARBITRAGES!$H291="tao",F290+ARBITRAGES!$K291,F290))</f>
        <v/>
      </c>
      <c r="G291" s="378" t="str">
        <f>IF(F291="","", IF(ARBITRAGES!$H291="ron",G290+ARBITRAGES!$K291,G290))</f>
        <v/>
      </c>
      <c r="H291" s="378" t="str">
        <f>IF(G291="","", IF(ARBITRAGES!$H291="link",H290+ARBITRAGES!$K291,H290))</f>
        <v/>
      </c>
      <c r="I291" s="378" t="str">
        <f>IF(H291="","", IF(ARBITRAGES!$H291="doge",I290+ARBITRAGES!$K291,I290))</f>
        <v/>
      </c>
      <c r="J291" s="378" t="str">
        <f>IF(I291="","", IF(ARBITRAGES!$H291="shib",J290-ARBITRAGES!$K291,J290))</f>
        <v/>
      </c>
      <c r="K291" s="378" t="str">
        <f>IF(J291="","", IF(ARBITRAGES!$H291="cake",K290+ARBITRAGES!$K291,K290))</f>
        <v/>
      </c>
      <c r="L291" s="378" t="str">
        <f>IF(K291="","", IF(ARBITRAGES!$H291="JUP",L290+ARBITRAGES!$K291,L290))</f>
        <v/>
      </c>
      <c r="M291" s="376" t="str">
        <f>IF(L291="","", IF(ARBITRAGES!$H291="aave",M290+ARBITRAGES!$K291,M290))</f>
        <v/>
      </c>
      <c r="N291" s="378" t="str">
        <f>IF(M291="","", IF(ARBITRAGES!$H291="ckb",N290+ARBITRAGES!$K291,N290))</f>
        <v/>
      </c>
      <c r="O291" s="378" t="str">
        <f>IF(N291="","", IF(ARBITRAGES!$H291="pendle",O290-ARBITRAGES!$K291+0.1,O290))</f>
        <v/>
      </c>
      <c r="P291" s="378" t="str">
        <f>IF(O291="","", IF(ARBITRAGES!$H291="BOME",P290+ARBITRAGES!$K291,P290))</f>
        <v/>
      </c>
      <c r="Q291" s="378" t="str">
        <f>IF(P291="","", IF(ARBITRAGES!$H291="PEPE",Q290+ARBITRAGES!$K291,Q290))</f>
        <v/>
      </c>
      <c r="R291" s="378" t="str">
        <f>IF(Q291="","", IF(ARBITRAGES!$H291="WIF",R290+ARBITRAGES!$K291,R290))</f>
        <v/>
      </c>
      <c r="S291" s="378" t="str">
        <f>IF(R291="","", IF(ARBITRAGES!$H291="RAY",S290+ARBITRAGES!$K291,S290))</f>
        <v/>
      </c>
      <c r="T291" s="360"/>
      <c r="U291" s="360"/>
      <c r="V291" s="360"/>
      <c r="W291" s="360"/>
      <c r="X291" s="360"/>
      <c r="Y291" s="360"/>
      <c r="Z291" s="360"/>
      <c r="AA291" s="360"/>
      <c r="AB291" s="360"/>
      <c r="AC291" s="360"/>
      <c r="AD291" s="360"/>
      <c r="AE291" s="360"/>
      <c r="AF291" s="360"/>
      <c r="AG291" s="360"/>
      <c r="AH291" s="360"/>
    </row>
    <row r="292" ht="18.75" customHeight="1">
      <c r="A292" s="399"/>
      <c r="B292" s="375" t="str">
        <f>IF(A292="","", IF(ARBITRAGES!$H292="BTC",B291+ARBITRAGES!$K292,B291))</f>
        <v/>
      </c>
      <c r="C292" s="375" t="str">
        <f>IF(B292="","", IF(ARBITRAGES!$H292="eth",C291+ARBITRAGES!$K292,C291))</f>
        <v/>
      </c>
      <c r="D292" s="376" t="str">
        <f>IF(C292="","", IF(ARBITRAGES!$H292="ondo",D291+ARBITRAGES!$K292,D291))</f>
        <v/>
      </c>
      <c r="E292" s="376" t="str">
        <f>IF(D292="","", IF(ARBITRAGES!$H292="sol",E291+ARBITRAGES!$K292,E291))</f>
        <v/>
      </c>
      <c r="F292" s="377" t="str">
        <f>IF(E292="","", IF(ARBITRAGES!$H292="tao",F291+ARBITRAGES!$K292,F291))</f>
        <v/>
      </c>
      <c r="G292" s="378" t="str">
        <f>IF(F292="","", IF(ARBITRAGES!$H292="ron",G291+ARBITRAGES!$K292,G291))</f>
        <v/>
      </c>
      <c r="H292" s="378" t="str">
        <f>IF(G292="","", IF(ARBITRAGES!$H292="link",H291+ARBITRAGES!$K292,H291))</f>
        <v/>
      </c>
      <c r="I292" s="378" t="str">
        <f>IF(H292="","", IF(ARBITRAGES!$H292="doge",I291+ARBITRAGES!$K292,I291))</f>
        <v/>
      </c>
      <c r="J292" s="378" t="str">
        <f>IF(I292="","", IF(ARBITRAGES!$H292="shib",J291-ARBITRAGES!$K292,J291))</f>
        <v/>
      </c>
      <c r="K292" s="378" t="str">
        <f>IF(J292="","", IF(ARBITRAGES!$H292="cake",K291+ARBITRAGES!$K292,K291))</f>
        <v/>
      </c>
      <c r="L292" s="378" t="str">
        <f>IF(K292="","", IF(ARBITRAGES!$H292="JUP",L291+ARBITRAGES!$K292,L291))</f>
        <v/>
      </c>
      <c r="M292" s="376" t="str">
        <f>IF(L292="","", IF(ARBITRAGES!$H292="aave",M291+ARBITRAGES!$K292,M291))</f>
        <v/>
      </c>
      <c r="N292" s="378" t="str">
        <f>IF(M292="","", IF(ARBITRAGES!$H292="ckb",N291+ARBITRAGES!$K292,N291))</f>
        <v/>
      </c>
      <c r="O292" s="378" t="str">
        <f>IF(N292="","", IF(ARBITRAGES!$H292="pendle",O291-ARBITRAGES!$K292+0.1,O291))</f>
        <v/>
      </c>
      <c r="P292" s="378" t="str">
        <f>IF(O292="","", IF(ARBITRAGES!$H292="BOME",P291+ARBITRAGES!$K292,P291))</f>
        <v/>
      </c>
      <c r="Q292" s="378" t="str">
        <f>IF(P292="","", IF(ARBITRAGES!$H292="PEPE",Q291+ARBITRAGES!$K292,Q291))</f>
        <v/>
      </c>
      <c r="R292" s="378" t="str">
        <f>IF(Q292="","", IF(ARBITRAGES!$H292="WIF",R291+ARBITRAGES!$K292,R291))</f>
        <v/>
      </c>
      <c r="S292" s="378" t="str">
        <f>IF(R292="","", IF(ARBITRAGES!$H292="RAY",S291+ARBITRAGES!$K292,S291))</f>
        <v/>
      </c>
      <c r="T292" s="360"/>
      <c r="U292" s="360"/>
      <c r="V292" s="360"/>
      <c r="W292" s="360"/>
      <c r="X292" s="360"/>
      <c r="Y292" s="360"/>
      <c r="Z292" s="360"/>
      <c r="AA292" s="360"/>
      <c r="AB292" s="360"/>
      <c r="AC292" s="360"/>
      <c r="AD292" s="360"/>
      <c r="AE292" s="360"/>
      <c r="AF292" s="360"/>
      <c r="AG292" s="360"/>
      <c r="AH292" s="360"/>
    </row>
    <row r="293" ht="18.75" customHeight="1">
      <c r="A293" s="399"/>
      <c r="B293" s="375" t="str">
        <f>IF(A293="","", IF(ARBITRAGES!$H293="BTC",B292+ARBITRAGES!$K293,B292))</f>
        <v/>
      </c>
      <c r="C293" s="375" t="str">
        <f>IF(B293="","", IF(ARBITRAGES!$H293="eth",C292+ARBITRAGES!$K293,C292))</f>
        <v/>
      </c>
      <c r="D293" s="376" t="str">
        <f>IF(C293="","", IF(ARBITRAGES!$H293="ondo",D292+ARBITRAGES!$K293,D292))</f>
        <v/>
      </c>
      <c r="E293" s="376" t="str">
        <f>IF(D293="","", IF(ARBITRAGES!$H293="sol",E292+ARBITRAGES!$K293,E292))</f>
        <v/>
      </c>
      <c r="F293" s="377" t="str">
        <f>IF(E293="","", IF(ARBITRAGES!$H293="tao",F292+ARBITRAGES!$K293,F292))</f>
        <v/>
      </c>
      <c r="G293" s="378" t="str">
        <f>IF(F293="","", IF(ARBITRAGES!$H293="ron",G292+ARBITRAGES!$K293,G292))</f>
        <v/>
      </c>
      <c r="H293" s="378" t="str">
        <f>IF(G293="","", IF(ARBITRAGES!$H293="link",H292+ARBITRAGES!$K293,H292))</f>
        <v/>
      </c>
      <c r="I293" s="378" t="str">
        <f>IF(H293="","", IF(ARBITRAGES!$H293="doge",I292+ARBITRAGES!$K293,I292))</f>
        <v/>
      </c>
      <c r="J293" s="378" t="str">
        <f>IF(I293="","", IF(ARBITRAGES!$H293="shib",J292-ARBITRAGES!$K293,J292))</f>
        <v/>
      </c>
      <c r="K293" s="378" t="str">
        <f>IF(J293="","", IF(ARBITRAGES!$H293="cake",K292+ARBITRAGES!$K293,K292))</f>
        <v/>
      </c>
      <c r="L293" s="378" t="str">
        <f>IF(K293="","", IF(ARBITRAGES!$H293="JUP",L292+ARBITRAGES!$K293,L292))</f>
        <v/>
      </c>
      <c r="M293" s="376" t="str">
        <f>IF(L293="","", IF(ARBITRAGES!$H293="aave",M292+ARBITRAGES!$K293,M292))</f>
        <v/>
      </c>
      <c r="N293" s="378" t="str">
        <f>IF(M293="","", IF(ARBITRAGES!$H293="ckb",N292+ARBITRAGES!$K293,N292))</f>
        <v/>
      </c>
      <c r="O293" s="378" t="str">
        <f>IF(N293="","", IF(ARBITRAGES!$H293="pendle",O292-ARBITRAGES!$K293+0.1,O292))</f>
        <v/>
      </c>
      <c r="P293" s="378" t="str">
        <f>IF(O293="","", IF(ARBITRAGES!$H293="BOME",P292+ARBITRAGES!$K293,P292))</f>
        <v/>
      </c>
      <c r="Q293" s="378" t="str">
        <f>IF(P293="","", IF(ARBITRAGES!$H293="PEPE",Q292+ARBITRAGES!$K293,Q292))</f>
        <v/>
      </c>
      <c r="R293" s="378" t="str">
        <f>IF(Q293="","", IF(ARBITRAGES!$H293="WIF",R292+ARBITRAGES!$K293,R292))</f>
        <v/>
      </c>
      <c r="S293" s="378" t="str">
        <f>IF(R293="","", IF(ARBITRAGES!$H293="RAY",S292+ARBITRAGES!$K293,S292))</f>
        <v/>
      </c>
      <c r="T293" s="360"/>
      <c r="U293" s="360"/>
      <c r="V293" s="360"/>
      <c r="W293" s="360"/>
      <c r="X293" s="360"/>
      <c r="Y293" s="360"/>
      <c r="Z293" s="360"/>
      <c r="AA293" s="360"/>
      <c r="AB293" s="360"/>
      <c r="AC293" s="360"/>
      <c r="AD293" s="360"/>
      <c r="AE293" s="360"/>
      <c r="AF293" s="360"/>
      <c r="AG293" s="360"/>
      <c r="AH293" s="360"/>
    </row>
    <row r="294" ht="18.75" customHeight="1">
      <c r="A294" s="399"/>
      <c r="B294" s="375" t="str">
        <f>IF(A294="","", IF(ARBITRAGES!$H294="BTC",B293+ARBITRAGES!$K294,B293))</f>
        <v/>
      </c>
      <c r="C294" s="375" t="str">
        <f>IF(B294="","", IF(ARBITRAGES!$H294="eth",C293+ARBITRAGES!$K294,C293))</f>
        <v/>
      </c>
      <c r="D294" s="376" t="str">
        <f>IF(C294="","", IF(ARBITRAGES!$H294="ondo",D293+ARBITRAGES!$K294,D293))</f>
        <v/>
      </c>
      <c r="E294" s="376" t="str">
        <f>IF(D294="","", IF(ARBITRAGES!$H294="sol",E293+ARBITRAGES!$K294,E293))</f>
        <v/>
      </c>
      <c r="F294" s="377" t="str">
        <f>IF(E294="","", IF(ARBITRAGES!$H294="tao",F293+ARBITRAGES!$K294,F293))</f>
        <v/>
      </c>
      <c r="G294" s="378" t="str">
        <f>IF(F294="","", IF(ARBITRAGES!$H294="ron",G293+ARBITRAGES!$K294,G293))</f>
        <v/>
      </c>
      <c r="H294" s="378" t="str">
        <f>IF(G294="","", IF(ARBITRAGES!$H294="link",H293+ARBITRAGES!$K294,H293))</f>
        <v/>
      </c>
      <c r="I294" s="378" t="str">
        <f>IF(H294="","", IF(ARBITRAGES!$H294="doge",I293+ARBITRAGES!$K294,I293))</f>
        <v/>
      </c>
      <c r="J294" s="378" t="str">
        <f>IF(I294="","", IF(ARBITRAGES!$H294="shib",J293-ARBITRAGES!$K294,J293))</f>
        <v/>
      </c>
      <c r="K294" s="378" t="str">
        <f>IF(J294="","", IF(ARBITRAGES!$H294="cake",K293+ARBITRAGES!$K294,K293))</f>
        <v/>
      </c>
      <c r="L294" s="378" t="str">
        <f>IF(K294="","", IF(ARBITRAGES!$H294="JUP",L293+ARBITRAGES!$K294,L293))</f>
        <v/>
      </c>
      <c r="M294" s="376" t="str">
        <f>IF(L294="","", IF(ARBITRAGES!$H294="aave",M293+ARBITRAGES!$K294,M293))</f>
        <v/>
      </c>
      <c r="N294" s="378" t="str">
        <f>IF(M294="","", IF(ARBITRAGES!$H294="ckb",N293+ARBITRAGES!$K294,N293))</f>
        <v/>
      </c>
      <c r="O294" s="378" t="str">
        <f>IF(N294="","", IF(ARBITRAGES!$H294="pendle",O293-ARBITRAGES!$K294+0.1,O293))</f>
        <v/>
      </c>
      <c r="P294" s="378" t="str">
        <f>IF(O294="","", IF(ARBITRAGES!$H294="BOME",P293+ARBITRAGES!$K294,P293))</f>
        <v/>
      </c>
      <c r="Q294" s="378" t="str">
        <f>IF(P294="","", IF(ARBITRAGES!$H294="PEPE",Q293+ARBITRAGES!$K294,Q293))</f>
        <v/>
      </c>
      <c r="R294" s="378" t="str">
        <f>IF(Q294="","", IF(ARBITRAGES!$H294="WIF",R293+ARBITRAGES!$K294,R293))</f>
        <v/>
      </c>
      <c r="S294" s="378" t="str">
        <f>IF(R294="","", IF(ARBITRAGES!$H294="RAY",S293+ARBITRAGES!$K294,S293))</f>
        <v/>
      </c>
      <c r="T294" s="360"/>
      <c r="U294" s="360"/>
      <c r="V294" s="360"/>
      <c r="W294" s="360"/>
      <c r="X294" s="360"/>
      <c r="Y294" s="360"/>
      <c r="Z294" s="360"/>
      <c r="AA294" s="360"/>
      <c r="AB294" s="360"/>
      <c r="AC294" s="360"/>
      <c r="AD294" s="360"/>
      <c r="AE294" s="360"/>
      <c r="AF294" s="360"/>
      <c r="AG294" s="360"/>
      <c r="AH294" s="360"/>
    </row>
    <row r="295" ht="18.75" customHeight="1">
      <c r="A295" s="399"/>
      <c r="B295" s="375" t="str">
        <f>IF(A295="","", IF(ARBITRAGES!$H295="BTC",B294+ARBITRAGES!$K295,B294))</f>
        <v/>
      </c>
      <c r="C295" s="375" t="str">
        <f>IF(B295="","", IF(ARBITRAGES!$H295="eth",C294+ARBITRAGES!$K295,C294))</f>
        <v/>
      </c>
      <c r="D295" s="376" t="str">
        <f>IF(C295="","", IF(ARBITRAGES!$H295="ondo",D294+ARBITRAGES!$K295,D294))</f>
        <v/>
      </c>
      <c r="E295" s="376" t="str">
        <f>IF(D295="","", IF(ARBITRAGES!$H295="sol",E294+ARBITRAGES!$K295,E294))</f>
        <v/>
      </c>
      <c r="F295" s="377" t="str">
        <f>IF(E295="","", IF(ARBITRAGES!$H295="tao",F294+ARBITRAGES!$K295,F294))</f>
        <v/>
      </c>
      <c r="G295" s="378" t="str">
        <f>IF(F295="","", IF(ARBITRAGES!$H295="ron",G294+ARBITRAGES!$K295,G294))</f>
        <v/>
      </c>
      <c r="H295" s="378" t="str">
        <f>IF(G295="","", IF(ARBITRAGES!$H295="link",H294+ARBITRAGES!$K295,H294))</f>
        <v/>
      </c>
      <c r="I295" s="378" t="str">
        <f>IF(H295="","", IF(ARBITRAGES!$H295="doge",I294+ARBITRAGES!$K295,I294))</f>
        <v/>
      </c>
      <c r="J295" s="378" t="str">
        <f>IF(I295="","", IF(ARBITRAGES!$H295="shib",J294-ARBITRAGES!$K295,J294))</f>
        <v/>
      </c>
      <c r="K295" s="378" t="str">
        <f>IF(J295="","", IF(ARBITRAGES!$H295="cake",K294+ARBITRAGES!$K295,K294))</f>
        <v/>
      </c>
      <c r="L295" s="378" t="str">
        <f>IF(K295="","", IF(ARBITRAGES!$H295="JUP",L294+ARBITRAGES!$K295,L294))</f>
        <v/>
      </c>
      <c r="M295" s="376" t="str">
        <f>IF(L295="","", IF(ARBITRAGES!$H295="aave",M294+ARBITRAGES!$K295,M294))</f>
        <v/>
      </c>
      <c r="N295" s="378" t="str">
        <f>IF(M295="","", IF(ARBITRAGES!$H295="ckb",N294+ARBITRAGES!$K295,N294))</f>
        <v/>
      </c>
      <c r="O295" s="378" t="str">
        <f>IF(N295="","", IF(ARBITRAGES!$H295="pendle",O294-ARBITRAGES!$K295+0.1,O294))</f>
        <v/>
      </c>
      <c r="P295" s="378" t="str">
        <f>IF(O295="","", IF(ARBITRAGES!$H295="BOME",P294+ARBITRAGES!$K295,P294))</f>
        <v/>
      </c>
      <c r="Q295" s="378" t="str">
        <f>IF(P295="","", IF(ARBITRAGES!$H295="PEPE",Q294+ARBITRAGES!$K295,Q294))</f>
        <v/>
      </c>
      <c r="R295" s="378" t="str">
        <f>IF(Q295="","", IF(ARBITRAGES!$H295="WIF",R294+ARBITRAGES!$K295,R294))</f>
        <v/>
      </c>
      <c r="S295" s="378" t="str">
        <f>IF(R295="","", IF(ARBITRAGES!$H295="RAY",S294+ARBITRAGES!$K295,S294))</f>
        <v/>
      </c>
      <c r="T295" s="360"/>
      <c r="U295" s="360"/>
      <c r="V295" s="360"/>
      <c r="W295" s="360"/>
      <c r="X295" s="360"/>
      <c r="Y295" s="360"/>
      <c r="Z295" s="360"/>
      <c r="AA295" s="360"/>
      <c r="AB295" s="360"/>
      <c r="AC295" s="360"/>
      <c r="AD295" s="360"/>
      <c r="AE295" s="360"/>
      <c r="AF295" s="360"/>
      <c r="AG295" s="360"/>
      <c r="AH295" s="360"/>
    </row>
    <row r="296" ht="18.75" customHeight="1">
      <c r="A296" s="399"/>
      <c r="B296" s="375" t="str">
        <f>IF(A296="","", IF(ARBITRAGES!$H296="BTC",B295+ARBITRAGES!$K296,B295))</f>
        <v/>
      </c>
      <c r="C296" s="375" t="str">
        <f>IF(B296="","", IF(ARBITRAGES!$H296="eth",C295+ARBITRAGES!$K296,C295))</f>
        <v/>
      </c>
      <c r="D296" s="376" t="str">
        <f>IF(C296="","", IF(ARBITRAGES!$H296="ondo",D295+ARBITRAGES!$K296,D295))</f>
        <v/>
      </c>
      <c r="E296" s="376" t="str">
        <f>IF(D296="","", IF(ARBITRAGES!$H296="sol",E295+ARBITRAGES!$K296,E295))</f>
        <v/>
      </c>
      <c r="F296" s="377" t="str">
        <f>IF(E296="","", IF(ARBITRAGES!$H296="tao",F295+ARBITRAGES!$K296,F295))</f>
        <v/>
      </c>
      <c r="G296" s="378" t="str">
        <f>IF(F296="","", IF(ARBITRAGES!$H296="ron",G295+ARBITRAGES!$K296,G295))</f>
        <v/>
      </c>
      <c r="H296" s="378" t="str">
        <f>IF(G296="","", IF(ARBITRAGES!$H296="link",H295+ARBITRAGES!$K296,H295))</f>
        <v/>
      </c>
      <c r="I296" s="378" t="str">
        <f>IF(H296="","", IF(ARBITRAGES!$H296="doge",I295+ARBITRAGES!$K296,I295))</f>
        <v/>
      </c>
      <c r="J296" s="378" t="str">
        <f>IF(I296="","", IF(ARBITRAGES!$H296="shib",J295-ARBITRAGES!$K296,J295))</f>
        <v/>
      </c>
      <c r="K296" s="378" t="str">
        <f>IF(J296="","", IF(ARBITRAGES!$H296="cake",K295+ARBITRAGES!$K296,K295))</f>
        <v/>
      </c>
      <c r="L296" s="378" t="str">
        <f>IF(K296="","", IF(ARBITRAGES!$H296="JUP",L295+ARBITRAGES!$K296,L295))</f>
        <v/>
      </c>
      <c r="M296" s="376" t="str">
        <f>IF(L296="","", IF(ARBITRAGES!$H296="aave",M295+ARBITRAGES!$K296,M295))</f>
        <v/>
      </c>
      <c r="N296" s="378" t="str">
        <f>IF(M296="","", IF(ARBITRAGES!$H296="ckb",N295+ARBITRAGES!$K296,N295))</f>
        <v/>
      </c>
      <c r="O296" s="378" t="str">
        <f>IF(N296="","", IF(ARBITRAGES!$H296="pendle",O295-ARBITRAGES!$K296+0.1,O295))</f>
        <v/>
      </c>
      <c r="P296" s="378" t="str">
        <f>IF(O296="","", IF(ARBITRAGES!$H296="BOME",P295+ARBITRAGES!$K296,P295))</f>
        <v/>
      </c>
      <c r="Q296" s="378" t="str">
        <f>IF(P296="","", IF(ARBITRAGES!$H296="PEPE",Q295+ARBITRAGES!$K296,Q295))</f>
        <v/>
      </c>
      <c r="R296" s="378" t="str">
        <f>IF(Q296="","", IF(ARBITRAGES!$H296="WIF",R295+ARBITRAGES!$K296,R295))</f>
        <v/>
      </c>
      <c r="S296" s="378" t="str">
        <f>IF(R296="","", IF(ARBITRAGES!$H296="RAY",S295+ARBITRAGES!$K296,S295))</f>
        <v/>
      </c>
      <c r="T296" s="360"/>
      <c r="U296" s="360"/>
      <c r="V296" s="360"/>
      <c r="W296" s="360"/>
      <c r="X296" s="360"/>
      <c r="Y296" s="360"/>
      <c r="Z296" s="360"/>
      <c r="AA296" s="360"/>
      <c r="AB296" s="360"/>
      <c r="AC296" s="360"/>
      <c r="AD296" s="360"/>
      <c r="AE296" s="360"/>
      <c r="AF296" s="360"/>
      <c r="AG296" s="360"/>
      <c r="AH296" s="360"/>
    </row>
    <row r="297" ht="18.75" customHeight="1">
      <c r="A297" s="399"/>
      <c r="B297" s="375" t="str">
        <f>IF(A297="","", IF(ARBITRAGES!$H297="BTC",B296+ARBITRAGES!$K297,B296))</f>
        <v/>
      </c>
      <c r="C297" s="375" t="str">
        <f>IF(B297="","", IF(ARBITRAGES!$H297="eth",C296+ARBITRAGES!$K297,C296))</f>
        <v/>
      </c>
      <c r="D297" s="376" t="str">
        <f>IF(C297="","", IF(ARBITRAGES!$H297="ondo",D296+ARBITRAGES!$K297,D296))</f>
        <v/>
      </c>
      <c r="E297" s="376" t="str">
        <f>IF(D297="","", IF(ARBITRAGES!$H297="sol",E296+ARBITRAGES!$K297,E296))</f>
        <v/>
      </c>
      <c r="F297" s="377" t="str">
        <f>IF(E297="","", IF(ARBITRAGES!$H297="tao",F296+ARBITRAGES!$K297,F296))</f>
        <v/>
      </c>
      <c r="G297" s="378" t="str">
        <f>IF(F297="","", IF(ARBITRAGES!$H297="ron",G296+ARBITRAGES!$K297,G296))</f>
        <v/>
      </c>
      <c r="H297" s="378" t="str">
        <f>IF(G297="","", IF(ARBITRAGES!$H297="link",H296+ARBITRAGES!$K297,H296))</f>
        <v/>
      </c>
      <c r="I297" s="378" t="str">
        <f>IF(H297="","", IF(ARBITRAGES!$H297="doge",I296+ARBITRAGES!$K297,I296))</f>
        <v/>
      </c>
      <c r="J297" s="378" t="str">
        <f>IF(I297="","", IF(ARBITRAGES!$H297="shib",J296-ARBITRAGES!$K297,J296))</f>
        <v/>
      </c>
      <c r="K297" s="378" t="str">
        <f>IF(J297="","", IF(ARBITRAGES!$H297="cake",K296+ARBITRAGES!$K297,K296))</f>
        <v/>
      </c>
      <c r="L297" s="378" t="str">
        <f>IF(K297="","", IF(ARBITRAGES!$H297="JUP",L296+ARBITRAGES!$K297,L296))</f>
        <v/>
      </c>
      <c r="M297" s="376" t="str">
        <f>IF(L297="","", IF(ARBITRAGES!$H297="aave",M296+ARBITRAGES!$K297,M296))</f>
        <v/>
      </c>
      <c r="N297" s="378" t="str">
        <f>IF(M297="","", IF(ARBITRAGES!$H297="ckb",N296+ARBITRAGES!$K297,N296))</f>
        <v/>
      </c>
      <c r="O297" s="378" t="str">
        <f>IF(N297="","", IF(ARBITRAGES!$H297="pendle",O296-ARBITRAGES!$K297+0.1,O296))</f>
        <v/>
      </c>
      <c r="P297" s="378" t="str">
        <f>IF(O297="","", IF(ARBITRAGES!$H297="BOME",P296+ARBITRAGES!$K297,P296))</f>
        <v/>
      </c>
      <c r="Q297" s="378" t="str">
        <f>IF(P297="","", IF(ARBITRAGES!$H297="PEPE",Q296+ARBITRAGES!$K297,Q296))</f>
        <v/>
      </c>
      <c r="R297" s="378" t="str">
        <f>IF(Q297="","", IF(ARBITRAGES!$H297="WIF",R296+ARBITRAGES!$K297,R296))</f>
        <v/>
      </c>
      <c r="S297" s="378" t="str">
        <f>IF(R297="","", IF(ARBITRAGES!$H297="RAY",S296+ARBITRAGES!$K297,S296))</f>
        <v/>
      </c>
      <c r="T297" s="360"/>
      <c r="U297" s="360"/>
      <c r="V297" s="360"/>
      <c r="W297" s="360"/>
      <c r="X297" s="360"/>
      <c r="Y297" s="360"/>
      <c r="Z297" s="360"/>
      <c r="AA297" s="360"/>
      <c r="AB297" s="360"/>
      <c r="AC297" s="360"/>
      <c r="AD297" s="360"/>
      <c r="AE297" s="360"/>
      <c r="AF297" s="360"/>
      <c r="AG297" s="360"/>
      <c r="AH297" s="360"/>
    </row>
    <row r="298" ht="18.75" customHeight="1">
      <c r="A298" s="399"/>
      <c r="B298" s="375" t="str">
        <f>IF(A298="","", IF(ARBITRAGES!$H298="BTC",B297+ARBITRAGES!$K298,B297))</f>
        <v/>
      </c>
      <c r="C298" s="375" t="str">
        <f>IF(B298="","", IF(ARBITRAGES!$H298="eth",C297+ARBITRAGES!$K298,C297))</f>
        <v/>
      </c>
      <c r="D298" s="376" t="str">
        <f>IF(C298="","", IF(ARBITRAGES!$H298="ondo",D297+ARBITRAGES!$K298,D297))</f>
        <v/>
      </c>
      <c r="E298" s="376" t="str">
        <f>IF(D298="","", IF(ARBITRAGES!$H298="sol",E297+ARBITRAGES!$K298,E297))</f>
        <v/>
      </c>
      <c r="F298" s="377" t="str">
        <f>IF(E298="","", IF(ARBITRAGES!$H298="tao",F297+ARBITRAGES!$K298,F297))</f>
        <v/>
      </c>
      <c r="G298" s="378" t="str">
        <f>IF(F298="","", IF(ARBITRAGES!$H298="ron",G297+ARBITRAGES!$K298,G297))</f>
        <v/>
      </c>
      <c r="H298" s="378" t="str">
        <f>IF(G298="","", IF(ARBITRAGES!$H298="link",H297+ARBITRAGES!$K298,H297))</f>
        <v/>
      </c>
      <c r="I298" s="378" t="str">
        <f>IF(H298="","", IF(ARBITRAGES!$H298="doge",I297+ARBITRAGES!$K298,I297))</f>
        <v/>
      </c>
      <c r="J298" s="378" t="str">
        <f>IF(I298="","", IF(ARBITRAGES!$H298="shib",J297-ARBITRAGES!$K298,J297))</f>
        <v/>
      </c>
      <c r="K298" s="378" t="str">
        <f>IF(J298="","", IF(ARBITRAGES!$H298="cake",K297+ARBITRAGES!$K298,K297))</f>
        <v/>
      </c>
      <c r="L298" s="378" t="str">
        <f>IF(K298="","", IF(ARBITRAGES!$H298="JUP",L297+ARBITRAGES!$K298,L297))</f>
        <v/>
      </c>
      <c r="M298" s="376" t="str">
        <f>IF(L298="","", IF(ARBITRAGES!$H298="aave",M297+ARBITRAGES!$K298,M297))</f>
        <v/>
      </c>
      <c r="N298" s="378" t="str">
        <f>IF(M298="","", IF(ARBITRAGES!$H298="ckb",N297+ARBITRAGES!$K298,N297))</f>
        <v/>
      </c>
      <c r="O298" s="378" t="str">
        <f>IF(N298="","", IF(ARBITRAGES!$H298="pendle",O297-ARBITRAGES!$K298+0.1,O297))</f>
        <v/>
      </c>
      <c r="P298" s="378" t="str">
        <f>IF(O298="","", IF(ARBITRAGES!$H298="BOME",P297+ARBITRAGES!$K298,P297))</f>
        <v/>
      </c>
      <c r="Q298" s="378" t="str">
        <f>IF(P298="","", IF(ARBITRAGES!$H298="PEPE",Q297+ARBITRAGES!$K298,Q297))</f>
        <v/>
      </c>
      <c r="R298" s="378" t="str">
        <f>IF(Q298="","", IF(ARBITRAGES!$H298="WIF",R297+ARBITRAGES!$K298,R297))</f>
        <v/>
      </c>
      <c r="S298" s="378" t="str">
        <f>IF(R298="","", IF(ARBITRAGES!$H298="RAY",S297+ARBITRAGES!$K298,S297))</f>
        <v/>
      </c>
      <c r="T298" s="360"/>
      <c r="U298" s="360"/>
      <c r="V298" s="360"/>
      <c r="W298" s="360"/>
      <c r="X298" s="360"/>
      <c r="Y298" s="360"/>
      <c r="Z298" s="360"/>
      <c r="AA298" s="360"/>
      <c r="AB298" s="360"/>
      <c r="AC298" s="360"/>
      <c r="AD298" s="360"/>
      <c r="AE298" s="360"/>
      <c r="AF298" s="360"/>
      <c r="AG298" s="360"/>
      <c r="AH298" s="360"/>
    </row>
    <row r="299" ht="18.75" customHeight="1">
      <c r="A299" s="399"/>
      <c r="B299" s="375" t="str">
        <f>IF(A299="","", IF(ARBITRAGES!$H299="BTC",B298+ARBITRAGES!$K299,B298))</f>
        <v/>
      </c>
      <c r="C299" s="375" t="str">
        <f>IF(B299="","", IF(ARBITRAGES!$H299="eth",C298+ARBITRAGES!$K299,C298))</f>
        <v/>
      </c>
      <c r="D299" s="376" t="str">
        <f>IF(C299="","", IF(ARBITRAGES!$H299="ondo",D298+ARBITRAGES!$K299,D298))</f>
        <v/>
      </c>
      <c r="E299" s="376" t="str">
        <f>IF(D299="","", IF(ARBITRAGES!$H299="sol",E298+ARBITRAGES!$K299,E298))</f>
        <v/>
      </c>
      <c r="F299" s="377" t="str">
        <f>IF(E299="","", IF(ARBITRAGES!$H299="tao",F298+ARBITRAGES!$K299,F298))</f>
        <v/>
      </c>
      <c r="G299" s="378" t="str">
        <f>IF(F299="","", IF(ARBITRAGES!$H299="ron",G298+ARBITRAGES!$K299,G298))</f>
        <v/>
      </c>
      <c r="H299" s="378" t="str">
        <f>IF(G299="","", IF(ARBITRAGES!$H299="link",H298+ARBITRAGES!$K299,H298))</f>
        <v/>
      </c>
      <c r="I299" s="378" t="str">
        <f>IF(H299="","", IF(ARBITRAGES!$H299="doge",I298+ARBITRAGES!$K299,I298))</f>
        <v/>
      </c>
      <c r="J299" s="378" t="str">
        <f>IF(I299="","", IF(ARBITRAGES!$H299="shib",J298-ARBITRAGES!$K299,J298))</f>
        <v/>
      </c>
      <c r="K299" s="378" t="str">
        <f>IF(J299="","", IF(ARBITRAGES!$H299="cake",K298+ARBITRAGES!$K299,K298))</f>
        <v/>
      </c>
      <c r="L299" s="378" t="str">
        <f>IF(K299="","", IF(ARBITRAGES!$H299="JUP",L298+ARBITRAGES!$K299,L298))</f>
        <v/>
      </c>
      <c r="M299" s="376" t="str">
        <f>IF(L299="","", IF(ARBITRAGES!$H299="aave",M298+ARBITRAGES!$K299,M298))</f>
        <v/>
      </c>
      <c r="N299" s="378" t="str">
        <f>IF(M299="","", IF(ARBITRAGES!$H299="ckb",N298+ARBITRAGES!$K299,N298))</f>
        <v/>
      </c>
      <c r="O299" s="378" t="str">
        <f>IF(N299="","", IF(ARBITRAGES!$H299="pendle",O298-ARBITRAGES!$K299+0.1,O298))</f>
        <v/>
      </c>
      <c r="P299" s="378" t="str">
        <f>IF(O299="","", IF(ARBITRAGES!$H299="BOME",P298+ARBITRAGES!$K299,P298))</f>
        <v/>
      </c>
      <c r="Q299" s="378" t="str">
        <f>IF(P299="","", IF(ARBITRAGES!$H299="PEPE",Q298+ARBITRAGES!$K299,Q298))</f>
        <v/>
      </c>
      <c r="R299" s="378" t="str">
        <f>IF(Q299="","", IF(ARBITRAGES!$H299="WIF",R298+ARBITRAGES!$K299,R298))</f>
        <v/>
      </c>
      <c r="S299" s="378" t="str">
        <f>IF(R299="","", IF(ARBITRAGES!$H299="RAY",S298+ARBITRAGES!$K299,S298))</f>
        <v/>
      </c>
      <c r="T299" s="360"/>
      <c r="U299" s="360"/>
      <c r="V299" s="360"/>
      <c r="W299" s="360"/>
      <c r="X299" s="360"/>
      <c r="Y299" s="360"/>
      <c r="Z299" s="360"/>
      <c r="AA299" s="360"/>
      <c r="AB299" s="360"/>
      <c r="AC299" s="360"/>
      <c r="AD299" s="360"/>
      <c r="AE299" s="360"/>
      <c r="AF299" s="360"/>
      <c r="AG299" s="360"/>
      <c r="AH299" s="360"/>
    </row>
    <row r="300" ht="18.75" customHeight="1">
      <c r="A300" s="399"/>
      <c r="B300" s="375" t="str">
        <f>IF(A300="","", IF(ARBITRAGES!$H300="BTC",B299+ARBITRAGES!$K300,B299))</f>
        <v/>
      </c>
      <c r="C300" s="375" t="str">
        <f>IF(B300="","", IF(ARBITRAGES!$H300="eth",C299+ARBITRAGES!$K300,C299))</f>
        <v/>
      </c>
      <c r="D300" s="376" t="str">
        <f>IF(C300="","", IF(ARBITRAGES!$H300="ondo",D299+ARBITRAGES!$K300,D299))</f>
        <v/>
      </c>
      <c r="E300" s="376" t="str">
        <f>IF(D300="","", IF(ARBITRAGES!$H300="sol",E299+ARBITRAGES!$K300,E299))</f>
        <v/>
      </c>
      <c r="F300" s="377" t="str">
        <f>IF(E300="","", IF(ARBITRAGES!$H300="tao",F299+ARBITRAGES!$K300,F299))</f>
        <v/>
      </c>
      <c r="G300" s="378" t="str">
        <f>IF(F300="","", IF(ARBITRAGES!$H300="ron",G299+ARBITRAGES!$K300,G299))</f>
        <v/>
      </c>
      <c r="H300" s="378" t="str">
        <f>IF(G300="","", IF(ARBITRAGES!$H300="link",H299+ARBITRAGES!$K300,H299))</f>
        <v/>
      </c>
      <c r="I300" s="378" t="str">
        <f>IF(H300="","", IF(ARBITRAGES!$H300="doge",I299+ARBITRAGES!$K300,I299))</f>
        <v/>
      </c>
      <c r="J300" s="378" t="str">
        <f>IF(I300="","", IF(ARBITRAGES!$H300="shib",J299-ARBITRAGES!$K300,J299))</f>
        <v/>
      </c>
      <c r="K300" s="378" t="str">
        <f>IF(J300="","", IF(ARBITRAGES!$H300="cake",K299+ARBITRAGES!$K300,K299))</f>
        <v/>
      </c>
      <c r="L300" s="378" t="str">
        <f>IF(K300="","", IF(ARBITRAGES!$H300="JUP",L299+ARBITRAGES!$K300,L299))</f>
        <v/>
      </c>
      <c r="M300" s="376" t="str">
        <f>IF(L300="","", IF(ARBITRAGES!$H300="aave",M299+ARBITRAGES!$K300,M299))</f>
        <v/>
      </c>
      <c r="N300" s="378" t="str">
        <f>IF(M300="","", IF(ARBITRAGES!$H300="ckb",N299+ARBITRAGES!$K300,N299))</f>
        <v/>
      </c>
      <c r="O300" s="378" t="str">
        <f>IF(N300="","", IF(ARBITRAGES!$H300="pendle",O299-ARBITRAGES!$K300+0.1,O299))</f>
        <v/>
      </c>
      <c r="P300" s="378" t="str">
        <f>IF(O300="","", IF(ARBITRAGES!$H300="BOME",P299+ARBITRAGES!$K300,P299))</f>
        <v/>
      </c>
      <c r="Q300" s="378" t="str">
        <f>IF(P300="","", IF(ARBITRAGES!$H300="PEPE",Q299+ARBITRAGES!$K300,Q299))</f>
        <v/>
      </c>
      <c r="R300" s="378" t="str">
        <f>IF(Q300="","", IF(ARBITRAGES!$H300="WIF",R299+ARBITRAGES!$K300,R299))</f>
        <v/>
      </c>
      <c r="S300" s="378" t="str">
        <f>IF(R300="","", IF(ARBITRAGES!$H300="RAY",S299+ARBITRAGES!$K300,S299))</f>
        <v/>
      </c>
      <c r="T300" s="360"/>
      <c r="U300" s="360"/>
      <c r="V300" s="360"/>
      <c r="W300" s="360"/>
      <c r="X300" s="360"/>
      <c r="Y300" s="360"/>
      <c r="Z300" s="360"/>
      <c r="AA300" s="360"/>
      <c r="AB300" s="360"/>
      <c r="AC300" s="360"/>
      <c r="AD300" s="360"/>
      <c r="AE300" s="360"/>
      <c r="AF300" s="360"/>
      <c r="AG300" s="360"/>
      <c r="AH300" s="360"/>
    </row>
    <row r="301" ht="18.75" customHeight="1">
      <c r="A301" s="399"/>
      <c r="B301" s="375" t="str">
        <f>IF(A301="","", IF(ARBITRAGES!$H301="BTC",B300+ARBITRAGES!$K301,B300))</f>
        <v/>
      </c>
      <c r="C301" s="375" t="str">
        <f>IF(B301="","", IF(ARBITRAGES!$H301="eth",C300+ARBITRAGES!$K301,C300))</f>
        <v/>
      </c>
      <c r="D301" s="376" t="str">
        <f>IF(C301="","", IF(ARBITRAGES!$H301="ondo",D300+ARBITRAGES!$K301,D300))</f>
        <v/>
      </c>
      <c r="E301" s="376" t="str">
        <f>IF(D301="","", IF(ARBITRAGES!$H301="sol",E300+ARBITRAGES!$K301,E300))</f>
        <v/>
      </c>
      <c r="F301" s="377" t="str">
        <f>IF(E301="","", IF(ARBITRAGES!$H301="tao",F300+ARBITRAGES!$K301,F300))</f>
        <v/>
      </c>
      <c r="G301" s="378" t="str">
        <f>IF(F301="","", IF(ARBITRAGES!$H301="ron",G300+ARBITRAGES!$K301,G300))</f>
        <v/>
      </c>
      <c r="H301" s="378" t="str">
        <f>IF(G301="","", IF(ARBITRAGES!$H301="link",H300+ARBITRAGES!$K301,H300))</f>
        <v/>
      </c>
      <c r="I301" s="378" t="str">
        <f>IF(H301="","", IF(ARBITRAGES!$H301="doge",I300+ARBITRAGES!$K301,I300))</f>
        <v/>
      </c>
      <c r="J301" s="378" t="str">
        <f>IF(I301="","", IF(ARBITRAGES!$H301="shib",J300-ARBITRAGES!$K301,J300))</f>
        <v/>
      </c>
      <c r="K301" s="378" t="str">
        <f>IF(J301="","", IF(ARBITRAGES!$H301="cake",K300+ARBITRAGES!$K301,K300))</f>
        <v/>
      </c>
      <c r="L301" s="378" t="str">
        <f>IF(K301="","", IF(ARBITRAGES!$H301="JUP",L300+ARBITRAGES!$K301,L300))</f>
        <v/>
      </c>
      <c r="M301" s="376" t="str">
        <f>IF(L301="","", IF(ARBITRAGES!$H301="aave",M300+ARBITRAGES!$K301,M300))</f>
        <v/>
      </c>
      <c r="N301" s="378" t="str">
        <f>IF(M301="","", IF(ARBITRAGES!$H301="ckb",N300+ARBITRAGES!$K301,N300))</f>
        <v/>
      </c>
      <c r="O301" s="378" t="str">
        <f>IF(N301="","", IF(ARBITRAGES!$H301="pendle",O300-ARBITRAGES!$K301+0.1,O300))</f>
        <v/>
      </c>
      <c r="P301" s="378" t="str">
        <f>IF(O301="","", IF(ARBITRAGES!$H301="BOME",P300+ARBITRAGES!$K301,P300))</f>
        <v/>
      </c>
      <c r="Q301" s="378" t="str">
        <f>IF(P301="","", IF(ARBITRAGES!$H301="PEPE",Q300+ARBITRAGES!$K301,Q300))</f>
        <v/>
      </c>
      <c r="R301" s="378" t="str">
        <f>IF(Q301="","", IF(ARBITRAGES!$H301="WIF",R300+ARBITRAGES!$K301,R300))</f>
        <v/>
      </c>
      <c r="S301" s="378" t="str">
        <f>IF(R301="","", IF(ARBITRAGES!$H301="RAY",S300+ARBITRAGES!$K301,S300))</f>
        <v/>
      </c>
      <c r="T301" s="360"/>
      <c r="U301" s="360"/>
      <c r="V301" s="360"/>
      <c r="W301" s="360"/>
      <c r="X301" s="360"/>
      <c r="Y301" s="360"/>
      <c r="Z301" s="360"/>
      <c r="AA301" s="360"/>
      <c r="AB301" s="360"/>
      <c r="AC301" s="360"/>
      <c r="AD301" s="360"/>
      <c r="AE301" s="360"/>
      <c r="AF301" s="360"/>
      <c r="AG301" s="360"/>
      <c r="AH301" s="360"/>
    </row>
    <row r="302" ht="18.75" customHeight="1">
      <c r="A302" s="399"/>
      <c r="B302" s="375" t="str">
        <f>IF(A302="","", IF(ARBITRAGES!$H302="BTC",B301+ARBITRAGES!$K302,B301))</f>
        <v/>
      </c>
      <c r="C302" s="375" t="str">
        <f>IF(B302="","", IF(ARBITRAGES!$H302="eth",C301+ARBITRAGES!$K302,C301))</f>
        <v/>
      </c>
      <c r="D302" s="376" t="str">
        <f>IF(C302="","", IF(ARBITRAGES!$H302="ondo",D301+ARBITRAGES!$K302,D301))</f>
        <v/>
      </c>
      <c r="E302" s="376" t="str">
        <f>IF(D302="","", IF(ARBITRAGES!$H302="sol",E301+ARBITRAGES!$K302,E301))</f>
        <v/>
      </c>
      <c r="F302" s="377" t="str">
        <f>IF(E302="","", IF(ARBITRAGES!$H302="tao",F301+ARBITRAGES!$K302,F301))</f>
        <v/>
      </c>
      <c r="G302" s="378" t="str">
        <f>IF(F302="","", IF(ARBITRAGES!$H302="ron",G301+ARBITRAGES!$K302,G301))</f>
        <v/>
      </c>
      <c r="H302" s="378" t="str">
        <f>IF(G302="","", IF(ARBITRAGES!$H302="link",H301+ARBITRAGES!$K302,H301))</f>
        <v/>
      </c>
      <c r="I302" s="378" t="str">
        <f>IF(H302="","", IF(ARBITRAGES!$H302="doge",I301+ARBITRAGES!$K302,I301))</f>
        <v/>
      </c>
      <c r="J302" s="378" t="str">
        <f>IF(I302="","", IF(ARBITRAGES!$H302="shib",J301-ARBITRAGES!$K302,J301))</f>
        <v/>
      </c>
      <c r="K302" s="378" t="str">
        <f>IF(J302="","", IF(ARBITRAGES!$H302="cake",K301+ARBITRAGES!$K302,K301))</f>
        <v/>
      </c>
      <c r="L302" s="378" t="str">
        <f>IF(K302="","", IF(ARBITRAGES!$H302="JUP",L301+ARBITRAGES!$K302,L301))</f>
        <v/>
      </c>
      <c r="M302" s="376" t="str">
        <f>IF(L302="","", IF(ARBITRAGES!$H302="aave",M301+ARBITRAGES!$K302,M301))</f>
        <v/>
      </c>
      <c r="N302" s="378" t="str">
        <f>IF(M302="","", IF(ARBITRAGES!$H302="ckb",N301+ARBITRAGES!$K302,N301))</f>
        <v/>
      </c>
      <c r="O302" s="378" t="str">
        <f>IF(N302="","", IF(ARBITRAGES!$H302="pendle",O301-ARBITRAGES!$K302+0.1,O301))</f>
        <v/>
      </c>
      <c r="P302" s="378" t="str">
        <f>IF(O302="","", IF(ARBITRAGES!$H302="BOME",P301+ARBITRAGES!$K302,P301))</f>
        <v/>
      </c>
      <c r="Q302" s="378" t="str">
        <f>IF(P302="","", IF(ARBITRAGES!$H302="PEPE",Q301+ARBITRAGES!$K302,Q301))</f>
        <v/>
      </c>
      <c r="R302" s="378" t="str">
        <f>IF(Q302="","", IF(ARBITRAGES!$H302="WIF",R301+ARBITRAGES!$K302,R301))</f>
        <v/>
      </c>
      <c r="S302" s="378" t="str">
        <f>IF(R302="","", IF(ARBITRAGES!$H302="RAY",S301+ARBITRAGES!$K302,S301))</f>
        <v/>
      </c>
      <c r="T302" s="360"/>
      <c r="U302" s="360"/>
      <c r="V302" s="360"/>
      <c r="W302" s="360"/>
      <c r="X302" s="360"/>
      <c r="Y302" s="360"/>
      <c r="Z302" s="360"/>
      <c r="AA302" s="360"/>
      <c r="AB302" s="360"/>
      <c r="AC302" s="360"/>
      <c r="AD302" s="360"/>
      <c r="AE302" s="360"/>
      <c r="AF302" s="360"/>
      <c r="AG302" s="360"/>
      <c r="AH302" s="360"/>
    </row>
    <row r="303" ht="18.75" customHeight="1">
      <c r="A303" s="399"/>
      <c r="B303" s="375" t="str">
        <f>IF(A303="","", IF(ARBITRAGES!$H303="BTC",B302+ARBITRAGES!$K303,B302))</f>
        <v/>
      </c>
      <c r="C303" s="375" t="str">
        <f>IF(B303="","", IF(ARBITRAGES!$H303="eth",C302+ARBITRAGES!$K303,C302))</f>
        <v/>
      </c>
      <c r="D303" s="376" t="str">
        <f>IF(C303="","", IF(ARBITRAGES!$H303="ondo",D302+ARBITRAGES!$K303,D302))</f>
        <v/>
      </c>
      <c r="E303" s="376" t="str">
        <f>IF(D303="","", IF(ARBITRAGES!$H303="sol",E302+ARBITRAGES!$K303,E302))</f>
        <v/>
      </c>
      <c r="F303" s="377" t="str">
        <f>IF(E303="","", IF(ARBITRAGES!$H303="tao",F302+ARBITRAGES!$K303,F302))</f>
        <v/>
      </c>
      <c r="G303" s="378" t="str">
        <f>IF(F303="","", IF(ARBITRAGES!$H303="ron",G302+ARBITRAGES!$K303,G302))</f>
        <v/>
      </c>
      <c r="H303" s="378" t="str">
        <f>IF(G303="","", IF(ARBITRAGES!$H303="link",H302+ARBITRAGES!$K303,H302))</f>
        <v/>
      </c>
      <c r="I303" s="378" t="str">
        <f>IF(H303="","", IF(ARBITRAGES!$H303="doge",I302+ARBITRAGES!$K303,I302))</f>
        <v/>
      </c>
      <c r="J303" s="378" t="str">
        <f>IF(I303="","", IF(ARBITRAGES!$H303="shib",J302-ARBITRAGES!$K303,J302))</f>
        <v/>
      </c>
      <c r="K303" s="378" t="str">
        <f>IF(J303="","", IF(ARBITRAGES!$H303="cake",K302+ARBITRAGES!$K303,K302))</f>
        <v/>
      </c>
      <c r="L303" s="378" t="str">
        <f>IF(K303="","", IF(ARBITRAGES!$H303="JUP",L302+ARBITRAGES!$K303,L302))</f>
        <v/>
      </c>
      <c r="M303" s="376" t="str">
        <f>IF(L303="","", IF(ARBITRAGES!$H303="aave",M302+ARBITRAGES!$K303,M302))</f>
        <v/>
      </c>
      <c r="N303" s="378" t="str">
        <f>IF(M303="","", IF(ARBITRAGES!$H303="ckb",N302+ARBITRAGES!$K303,N302))</f>
        <v/>
      </c>
      <c r="O303" s="378" t="str">
        <f>IF(N303="","", IF(ARBITRAGES!$H303="pendle",O302-ARBITRAGES!$K303+0.1,O302))</f>
        <v/>
      </c>
      <c r="P303" s="378" t="str">
        <f>IF(O303="","", IF(ARBITRAGES!$H303="BOME",P302+ARBITRAGES!$K303,P302))</f>
        <v/>
      </c>
      <c r="Q303" s="378" t="str">
        <f>IF(P303="","", IF(ARBITRAGES!$H303="PEPE",Q302+ARBITRAGES!$K303,Q302))</f>
        <v/>
      </c>
      <c r="R303" s="378" t="str">
        <f>IF(Q303="","", IF(ARBITRAGES!$H303="WIF",R302+ARBITRAGES!$K303,R302))</f>
        <v/>
      </c>
      <c r="S303" s="378" t="str">
        <f>IF(R303="","", IF(ARBITRAGES!$H303="RAY",S302+ARBITRAGES!$K303,S302))</f>
        <v/>
      </c>
      <c r="T303" s="360"/>
      <c r="U303" s="360"/>
      <c r="V303" s="360"/>
      <c r="W303" s="360"/>
      <c r="X303" s="360"/>
      <c r="Y303" s="360"/>
      <c r="Z303" s="360"/>
      <c r="AA303" s="360"/>
      <c r="AB303" s="360"/>
      <c r="AC303" s="360"/>
      <c r="AD303" s="360"/>
      <c r="AE303" s="360"/>
      <c r="AF303" s="360"/>
      <c r="AG303" s="360"/>
      <c r="AH303" s="360"/>
    </row>
    <row r="304" ht="18.75" customHeight="1">
      <c r="A304" s="399"/>
      <c r="B304" s="375" t="str">
        <f>IF(A304="","", IF(ARBITRAGES!$H304="BTC",B303+ARBITRAGES!$K304,B303))</f>
        <v/>
      </c>
      <c r="C304" s="375" t="str">
        <f>IF(B304="","", IF(ARBITRAGES!$H304="eth",C303+ARBITRAGES!$K304,C303))</f>
        <v/>
      </c>
      <c r="D304" s="376" t="str">
        <f>IF(C304="","", IF(ARBITRAGES!$H304="ondo",D303+ARBITRAGES!$K304,D303))</f>
        <v/>
      </c>
      <c r="E304" s="376" t="str">
        <f>IF(D304="","", IF(ARBITRAGES!$H304="sol",E303+ARBITRAGES!$K304,E303))</f>
        <v/>
      </c>
      <c r="F304" s="377" t="str">
        <f>IF(E304="","", IF(ARBITRAGES!$H304="tao",F303+ARBITRAGES!$K304,F303))</f>
        <v/>
      </c>
      <c r="G304" s="378" t="str">
        <f>IF(F304="","", IF(ARBITRAGES!$H304="ron",G303+ARBITRAGES!$K304,G303))</f>
        <v/>
      </c>
      <c r="H304" s="378" t="str">
        <f>IF(G304="","", IF(ARBITRAGES!$H304="link",H303+ARBITRAGES!$K304,H303))</f>
        <v/>
      </c>
      <c r="I304" s="378" t="str">
        <f>IF(H304="","", IF(ARBITRAGES!$H304="doge",I303+ARBITRAGES!$K304,I303))</f>
        <v/>
      </c>
      <c r="J304" s="378" t="str">
        <f>IF(I304="","", IF(ARBITRAGES!$H304="shib",J303-ARBITRAGES!$K304,J303))</f>
        <v/>
      </c>
      <c r="K304" s="378" t="str">
        <f>IF(J304="","", IF(ARBITRAGES!$H304="cake",K303+ARBITRAGES!$K304,K303))</f>
        <v/>
      </c>
      <c r="L304" s="378" t="str">
        <f>IF(K304="","", IF(ARBITRAGES!$H304="JUP",L303+ARBITRAGES!$K304,L303))</f>
        <v/>
      </c>
      <c r="M304" s="376" t="str">
        <f>IF(L304="","", IF(ARBITRAGES!$H304="aave",M303+ARBITRAGES!$K304,M303))</f>
        <v/>
      </c>
      <c r="N304" s="378" t="str">
        <f>IF(M304="","", IF(ARBITRAGES!$H304="ckb",N303+ARBITRAGES!$K304,N303))</f>
        <v/>
      </c>
      <c r="O304" s="378" t="str">
        <f>IF(N304="","", IF(ARBITRAGES!$H304="pendle",O303-ARBITRAGES!$K304+0.1,O303))</f>
        <v/>
      </c>
      <c r="P304" s="378" t="str">
        <f>IF(O304="","", IF(ARBITRAGES!$H304="BOME",P303+ARBITRAGES!$K304,P303))</f>
        <v/>
      </c>
      <c r="Q304" s="378" t="str">
        <f>IF(P304="","", IF(ARBITRAGES!$H304="PEPE",Q303+ARBITRAGES!$K304,Q303))</f>
        <v/>
      </c>
      <c r="R304" s="378" t="str">
        <f>IF(Q304="","", IF(ARBITRAGES!$H304="WIF",R303+ARBITRAGES!$K304,R303))</f>
        <v/>
      </c>
      <c r="S304" s="378" t="str">
        <f>IF(R304="","", IF(ARBITRAGES!$H304="RAY",S303+ARBITRAGES!$K304,S303))</f>
        <v/>
      </c>
      <c r="T304" s="360"/>
      <c r="U304" s="360"/>
      <c r="V304" s="360"/>
      <c r="W304" s="360"/>
      <c r="X304" s="360"/>
      <c r="Y304" s="360"/>
      <c r="Z304" s="360"/>
      <c r="AA304" s="360"/>
      <c r="AB304" s="360"/>
      <c r="AC304" s="360"/>
      <c r="AD304" s="360"/>
      <c r="AE304" s="360"/>
      <c r="AF304" s="360"/>
      <c r="AG304" s="360"/>
      <c r="AH304" s="360"/>
    </row>
    <row r="305" ht="18.75" customHeight="1">
      <c r="A305" s="399"/>
      <c r="B305" s="375" t="str">
        <f>IF(A305="","", IF(ARBITRAGES!$H305="BTC",B304+ARBITRAGES!$K305,B304))</f>
        <v/>
      </c>
      <c r="C305" s="375" t="str">
        <f>IF(B305="","", IF(ARBITRAGES!$H305="eth",C304+ARBITRAGES!$K305,C304))</f>
        <v/>
      </c>
      <c r="D305" s="376" t="str">
        <f>IF(C305="","", IF(ARBITRAGES!$H305="ondo",D304+ARBITRAGES!$K305,D304))</f>
        <v/>
      </c>
      <c r="E305" s="376" t="str">
        <f>IF(D305="","", IF(ARBITRAGES!$H305="sol",E304+ARBITRAGES!$K305,E304))</f>
        <v/>
      </c>
      <c r="F305" s="377" t="str">
        <f>IF(E305="","", IF(ARBITRAGES!$H305="tao",F304+ARBITRAGES!$K305,F304))</f>
        <v/>
      </c>
      <c r="G305" s="378" t="str">
        <f>IF(F305="","", IF(ARBITRAGES!$H305="ron",G304+ARBITRAGES!$K305,G304))</f>
        <v/>
      </c>
      <c r="H305" s="378" t="str">
        <f>IF(G305="","", IF(ARBITRAGES!$H305="link",H304+ARBITRAGES!$K305,H304))</f>
        <v/>
      </c>
      <c r="I305" s="378" t="str">
        <f>IF(H305="","", IF(ARBITRAGES!$H305="doge",I304+ARBITRAGES!$K305,I304))</f>
        <v/>
      </c>
      <c r="J305" s="378" t="str">
        <f>IF(I305="","", IF(ARBITRAGES!$H305="shib",J304-ARBITRAGES!$K305,J304))</f>
        <v/>
      </c>
      <c r="K305" s="378" t="str">
        <f>IF(J305="","", IF(ARBITRAGES!$H305="cake",K304+ARBITRAGES!$K305,K304))</f>
        <v/>
      </c>
      <c r="L305" s="378" t="str">
        <f>IF(K305="","", IF(ARBITRAGES!$H305="JUP",L304+ARBITRAGES!$K305,L304))</f>
        <v/>
      </c>
      <c r="M305" s="376" t="str">
        <f>IF(L305="","", IF(ARBITRAGES!$H305="aave",M304+ARBITRAGES!$K305,M304))</f>
        <v/>
      </c>
      <c r="N305" s="378" t="str">
        <f>IF(M305="","", IF(ARBITRAGES!$H305="ckb",N304+ARBITRAGES!$K305,N304))</f>
        <v/>
      </c>
      <c r="O305" s="378" t="str">
        <f>IF(N305="","", IF(ARBITRAGES!$H305="pendle",O304-ARBITRAGES!$K305+0.1,O304))</f>
        <v/>
      </c>
      <c r="P305" s="378" t="str">
        <f>IF(O305="","", IF(ARBITRAGES!$H305="BOME",P304+ARBITRAGES!$K305,P304))</f>
        <v/>
      </c>
      <c r="Q305" s="378" t="str">
        <f>IF(P305="","", IF(ARBITRAGES!$H305="PEPE",Q304+ARBITRAGES!$K305,Q304))</f>
        <v/>
      </c>
      <c r="R305" s="378" t="str">
        <f>IF(Q305="","", IF(ARBITRAGES!$H305="WIF",R304+ARBITRAGES!$K305,R304))</f>
        <v/>
      </c>
      <c r="S305" s="378" t="str">
        <f>IF(R305="","", IF(ARBITRAGES!$H305="RAY",S304+ARBITRAGES!$K305,S304))</f>
        <v/>
      </c>
      <c r="T305" s="360"/>
      <c r="U305" s="360"/>
      <c r="V305" s="360"/>
      <c r="W305" s="360"/>
      <c r="X305" s="360"/>
      <c r="Y305" s="360"/>
      <c r="Z305" s="360"/>
      <c r="AA305" s="360"/>
      <c r="AB305" s="360"/>
      <c r="AC305" s="360"/>
      <c r="AD305" s="360"/>
      <c r="AE305" s="360"/>
      <c r="AF305" s="360"/>
      <c r="AG305" s="360"/>
      <c r="AH305" s="360"/>
    </row>
    <row r="306" ht="18.75" customHeight="1">
      <c r="A306" s="399"/>
      <c r="B306" s="375" t="str">
        <f>IF(A306="","", IF(ARBITRAGES!$H306="BTC",B305+ARBITRAGES!$K306,B305))</f>
        <v/>
      </c>
      <c r="C306" s="375" t="str">
        <f>IF(B306="","", IF(ARBITRAGES!$H306="eth",C305+ARBITRAGES!$K306,C305))</f>
        <v/>
      </c>
      <c r="D306" s="376" t="str">
        <f>IF(C306="","", IF(ARBITRAGES!$H306="ondo",D305+ARBITRAGES!$K306,D305))</f>
        <v/>
      </c>
      <c r="E306" s="376" t="str">
        <f>IF(D306="","", IF(ARBITRAGES!$H306="sol",E305+ARBITRAGES!$K306,E305))</f>
        <v/>
      </c>
      <c r="F306" s="377" t="str">
        <f>IF(E306="","", IF(ARBITRAGES!$H306="tao",F305+ARBITRAGES!$K306,F305))</f>
        <v/>
      </c>
      <c r="G306" s="378" t="str">
        <f>IF(F306="","", IF(ARBITRAGES!$H306="ron",G305+ARBITRAGES!$K306,G305))</f>
        <v/>
      </c>
      <c r="H306" s="378" t="str">
        <f>IF(G306="","", IF(ARBITRAGES!$H306="link",H305+ARBITRAGES!$K306,H305))</f>
        <v/>
      </c>
      <c r="I306" s="378" t="str">
        <f>IF(H306="","", IF(ARBITRAGES!$H306="doge",I305+ARBITRAGES!$K306,I305))</f>
        <v/>
      </c>
      <c r="J306" s="378" t="str">
        <f>IF(I306="","", IF(ARBITRAGES!$H306="shib",J305-ARBITRAGES!$K306,J305))</f>
        <v/>
      </c>
      <c r="K306" s="378" t="str">
        <f>IF(J306="","", IF(ARBITRAGES!$H306="cake",K305+ARBITRAGES!$K306,K305))</f>
        <v/>
      </c>
      <c r="L306" s="378" t="str">
        <f>IF(K306="","", IF(ARBITRAGES!$H306="JUP",L305+ARBITRAGES!$K306,L305))</f>
        <v/>
      </c>
      <c r="M306" s="376" t="str">
        <f>IF(L306="","", IF(ARBITRAGES!$H306="aave",M305+ARBITRAGES!$K306,M305))</f>
        <v/>
      </c>
      <c r="N306" s="378" t="str">
        <f>IF(M306="","", IF(ARBITRAGES!$H306="ckb",N305+ARBITRAGES!$K306,N305))</f>
        <v/>
      </c>
      <c r="O306" s="378" t="str">
        <f>IF(N306="","", IF(ARBITRAGES!$H306="pendle",O305-ARBITRAGES!$K306+0.1,O305))</f>
        <v/>
      </c>
      <c r="P306" s="378" t="str">
        <f>IF(O306="","", IF(ARBITRAGES!$H306="BOME",P305+ARBITRAGES!$K306,P305))</f>
        <v/>
      </c>
      <c r="Q306" s="378" t="str">
        <f>IF(P306="","", IF(ARBITRAGES!$H306="PEPE",Q305+ARBITRAGES!$K306,Q305))</f>
        <v/>
      </c>
      <c r="R306" s="378" t="str">
        <f>IF(Q306="","", IF(ARBITRAGES!$H306="WIF",R305+ARBITRAGES!$K306,R305))</f>
        <v/>
      </c>
      <c r="S306" s="378" t="str">
        <f>IF(R306="","", IF(ARBITRAGES!$H306="RAY",S305+ARBITRAGES!$K306,S305))</f>
        <v/>
      </c>
      <c r="T306" s="360"/>
      <c r="U306" s="360"/>
      <c r="V306" s="360"/>
      <c r="W306" s="360"/>
      <c r="X306" s="360"/>
      <c r="Y306" s="360"/>
      <c r="Z306" s="360"/>
      <c r="AA306" s="360"/>
      <c r="AB306" s="360"/>
      <c r="AC306" s="360"/>
      <c r="AD306" s="360"/>
      <c r="AE306" s="360"/>
      <c r="AF306" s="360"/>
      <c r="AG306" s="360"/>
      <c r="AH306" s="360"/>
    </row>
    <row r="307" ht="18.75" customHeight="1">
      <c r="A307" s="399"/>
      <c r="B307" s="375" t="str">
        <f>IF(A307="","", IF(ARBITRAGES!$H307="BTC",B306+ARBITRAGES!$K307,B306))</f>
        <v/>
      </c>
      <c r="C307" s="375" t="str">
        <f>IF(B307="","", IF(ARBITRAGES!$H307="eth",C306+ARBITRAGES!$K307,C306))</f>
        <v/>
      </c>
      <c r="D307" s="376" t="str">
        <f>IF(C307="","", IF(ARBITRAGES!$H307="ondo",D306+ARBITRAGES!$K307,D306))</f>
        <v/>
      </c>
      <c r="E307" s="376" t="str">
        <f>IF(D307="","", IF(ARBITRAGES!$H307="sol",E306+ARBITRAGES!$K307,E306))</f>
        <v/>
      </c>
      <c r="F307" s="377" t="str">
        <f>IF(E307="","", IF(ARBITRAGES!$H307="tao",F306+ARBITRAGES!$K307,F306))</f>
        <v/>
      </c>
      <c r="G307" s="378" t="str">
        <f>IF(F307="","", IF(ARBITRAGES!$H307="ron",G306+ARBITRAGES!$K307,G306))</f>
        <v/>
      </c>
      <c r="H307" s="378" t="str">
        <f>IF(G307="","", IF(ARBITRAGES!$H307="link",H306+ARBITRAGES!$K307,H306))</f>
        <v/>
      </c>
      <c r="I307" s="378" t="str">
        <f>IF(H307="","", IF(ARBITRAGES!$H307="doge",I306+ARBITRAGES!$K307,I306))</f>
        <v/>
      </c>
      <c r="J307" s="378" t="str">
        <f>IF(I307="","", IF(ARBITRAGES!$H307="shib",J306-ARBITRAGES!$K307,J306))</f>
        <v/>
      </c>
      <c r="K307" s="378" t="str">
        <f>IF(J307="","", IF(ARBITRAGES!$H307="cake",K306+ARBITRAGES!$K307,K306))</f>
        <v/>
      </c>
      <c r="L307" s="378" t="str">
        <f>IF(K307="","", IF(ARBITRAGES!$H307="JUP",L306+ARBITRAGES!$K307,L306))</f>
        <v/>
      </c>
      <c r="M307" s="376" t="str">
        <f>IF(L307="","", IF(ARBITRAGES!$H307="aave",M306+ARBITRAGES!$K307,M306))</f>
        <v/>
      </c>
      <c r="N307" s="378" t="str">
        <f>IF(M307="","", IF(ARBITRAGES!$H307="ckb",N306+ARBITRAGES!$K307,N306))</f>
        <v/>
      </c>
      <c r="O307" s="378" t="str">
        <f>IF(N307="","", IF(ARBITRAGES!$H307="pendle",O306-ARBITRAGES!$K307+0.1,O306))</f>
        <v/>
      </c>
      <c r="P307" s="378" t="str">
        <f>IF(O307="","", IF(ARBITRAGES!$H307="BOME",P306+ARBITRAGES!$K307,P306))</f>
        <v/>
      </c>
      <c r="Q307" s="378" t="str">
        <f>IF(P307="","", IF(ARBITRAGES!$H307="PEPE",Q306+ARBITRAGES!$K307,Q306))</f>
        <v/>
      </c>
      <c r="R307" s="378" t="str">
        <f>IF(Q307="","", IF(ARBITRAGES!$H307="WIF",R306+ARBITRAGES!$K307,R306))</f>
        <v/>
      </c>
      <c r="S307" s="378" t="str">
        <f>IF(R307="","", IF(ARBITRAGES!$H307="RAY",S306+ARBITRAGES!$K307,S306))</f>
        <v/>
      </c>
      <c r="T307" s="360"/>
      <c r="U307" s="360"/>
      <c r="V307" s="360"/>
      <c r="W307" s="360"/>
      <c r="X307" s="360"/>
      <c r="Y307" s="360"/>
      <c r="Z307" s="360"/>
      <c r="AA307" s="360"/>
      <c r="AB307" s="360"/>
      <c r="AC307" s="360"/>
      <c r="AD307" s="360"/>
      <c r="AE307" s="360"/>
      <c r="AF307" s="360"/>
      <c r="AG307" s="360"/>
      <c r="AH307" s="360"/>
    </row>
    <row r="308" ht="18.75" customHeight="1">
      <c r="A308" s="399"/>
      <c r="B308" s="375" t="str">
        <f>IF(A308="","", IF(ARBITRAGES!$H308="BTC",B307+ARBITRAGES!$K308,B307))</f>
        <v/>
      </c>
      <c r="C308" s="375" t="str">
        <f>IF(B308="","", IF(ARBITRAGES!$H308="eth",C307+ARBITRAGES!$K308,C307))</f>
        <v/>
      </c>
      <c r="D308" s="376" t="str">
        <f>IF(C308="","", IF(ARBITRAGES!$H308="ondo",D307+ARBITRAGES!$K308,D307))</f>
        <v/>
      </c>
      <c r="E308" s="376" t="str">
        <f>IF(D308="","", IF(ARBITRAGES!$H308="sol",E307+ARBITRAGES!$K308,E307))</f>
        <v/>
      </c>
      <c r="F308" s="377" t="str">
        <f>IF(E308="","", IF(ARBITRAGES!$H308="tao",F307+ARBITRAGES!$K308,F307))</f>
        <v/>
      </c>
      <c r="G308" s="378" t="str">
        <f>IF(F308="","", IF(ARBITRAGES!$H308="ron",G307+ARBITRAGES!$K308,G307))</f>
        <v/>
      </c>
      <c r="H308" s="378" t="str">
        <f>IF(G308="","", IF(ARBITRAGES!$H308="link",H307+ARBITRAGES!$K308,H307))</f>
        <v/>
      </c>
      <c r="I308" s="378" t="str">
        <f>IF(H308="","", IF(ARBITRAGES!$H308="doge",I307+ARBITRAGES!$K308,I307))</f>
        <v/>
      </c>
      <c r="J308" s="378" t="str">
        <f>IF(I308="","", IF(ARBITRAGES!$H308="shib",J307-ARBITRAGES!$K308,J307))</f>
        <v/>
      </c>
      <c r="K308" s="378" t="str">
        <f>IF(J308="","", IF(ARBITRAGES!$H308="cake",K307+ARBITRAGES!$K308,K307))</f>
        <v/>
      </c>
      <c r="L308" s="378" t="str">
        <f>IF(K308="","", IF(ARBITRAGES!$H308="JUP",L307+ARBITRAGES!$K308,L307))</f>
        <v/>
      </c>
      <c r="M308" s="376" t="str">
        <f>IF(L308="","", IF(ARBITRAGES!$H308="aave",M307+ARBITRAGES!$K308,M307))</f>
        <v/>
      </c>
      <c r="N308" s="378" t="str">
        <f>IF(M308="","", IF(ARBITRAGES!$H308="ckb",N307+ARBITRAGES!$K308,N307))</f>
        <v/>
      </c>
      <c r="O308" s="378" t="str">
        <f>IF(N308="","", IF(ARBITRAGES!$H308="pendle",O307-ARBITRAGES!$K308+0.1,O307))</f>
        <v/>
      </c>
      <c r="P308" s="378" t="str">
        <f>IF(O308="","", IF(ARBITRAGES!$H308="BOME",P307+ARBITRAGES!$K308,P307))</f>
        <v/>
      </c>
      <c r="Q308" s="378" t="str">
        <f>IF(P308="","", IF(ARBITRAGES!$H308="PEPE",Q307+ARBITRAGES!$K308,Q307))</f>
        <v/>
      </c>
      <c r="R308" s="378" t="str">
        <f>IF(Q308="","", IF(ARBITRAGES!$H308="WIF",R307+ARBITRAGES!$K308,R307))</f>
        <v/>
      </c>
      <c r="S308" s="378" t="str">
        <f>IF(R308="","", IF(ARBITRAGES!$H308="RAY",S307+ARBITRAGES!$K308,S307))</f>
        <v/>
      </c>
      <c r="T308" s="360"/>
      <c r="U308" s="360"/>
      <c r="V308" s="360"/>
      <c r="W308" s="360"/>
      <c r="X308" s="360"/>
      <c r="Y308" s="360"/>
      <c r="Z308" s="360"/>
      <c r="AA308" s="360"/>
      <c r="AB308" s="360"/>
      <c r="AC308" s="360"/>
      <c r="AD308" s="360"/>
      <c r="AE308" s="360"/>
      <c r="AF308" s="360"/>
      <c r="AG308" s="360"/>
      <c r="AH308" s="360"/>
    </row>
    <row r="309" ht="18.75" customHeight="1">
      <c r="A309" s="399"/>
      <c r="B309" s="375" t="str">
        <f>IF(A309="","", IF(ARBITRAGES!$H309="BTC",B308+ARBITRAGES!$K309,B308))</f>
        <v/>
      </c>
      <c r="C309" s="375" t="str">
        <f>IF(B309="","", IF(ARBITRAGES!$H309="eth",C308+ARBITRAGES!$K309,C308))</f>
        <v/>
      </c>
      <c r="D309" s="376" t="str">
        <f>IF(C309="","", IF(ARBITRAGES!$H309="ondo",D308+ARBITRAGES!$K309,D308))</f>
        <v/>
      </c>
      <c r="E309" s="376" t="str">
        <f>IF(D309="","", IF(ARBITRAGES!$H309="sol",E308+ARBITRAGES!$K309,E308))</f>
        <v/>
      </c>
      <c r="F309" s="377" t="str">
        <f>IF(E309="","", IF(ARBITRAGES!$H309="tao",F308+ARBITRAGES!$K309,F308))</f>
        <v/>
      </c>
      <c r="G309" s="378" t="str">
        <f>IF(F309="","", IF(ARBITRAGES!$H309="ron",G308+ARBITRAGES!$K309,G308))</f>
        <v/>
      </c>
      <c r="H309" s="378" t="str">
        <f>IF(G309="","", IF(ARBITRAGES!$H309="link",H308+ARBITRAGES!$K309,H308))</f>
        <v/>
      </c>
      <c r="I309" s="378" t="str">
        <f>IF(H309="","", IF(ARBITRAGES!$H309="doge",I308+ARBITRAGES!$K309,I308))</f>
        <v/>
      </c>
      <c r="J309" s="378" t="str">
        <f>IF(I309="","", IF(ARBITRAGES!$H309="shib",J308-ARBITRAGES!$K309,J308))</f>
        <v/>
      </c>
      <c r="K309" s="378" t="str">
        <f>IF(J309="","", IF(ARBITRAGES!$H309="cake",K308+ARBITRAGES!$K309,K308))</f>
        <v/>
      </c>
      <c r="L309" s="378" t="str">
        <f>IF(K309="","", IF(ARBITRAGES!$H309="JUP",L308+ARBITRAGES!$K309,L308))</f>
        <v/>
      </c>
      <c r="M309" s="376" t="str">
        <f>IF(L309="","", IF(ARBITRAGES!$H309="aave",M308+ARBITRAGES!$K309,M308))</f>
        <v/>
      </c>
      <c r="N309" s="378" t="str">
        <f>IF(M309="","", IF(ARBITRAGES!$H309="ckb",N308+ARBITRAGES!$K309,N308))</f>
        <v/>
      </c>
      <c r="O309" s="378" t="str">
        <f>IF(N309="","", IF(ARBITRAGES!$H309="pendle",O308-ARBITRAGES!$K309+0.1,O308))</f>
        <v/>
      </c>
      <c r="P309" s="378" t="str">
        <f>IF(O309="","", IF(ARBITRAGES!$H309="BOME",P308+ARBITRAGES!$K309,P308))</f>
        <v/>
      </c>
      <c r="Q309" s="378" t="str">
        <f>IF(P309="","", IF(ARBITRAGES!$H309="PEPE",Q308+ARBITRAGES!$K309,Q308))</f>
        <v/>
      </c>
      <c r="R309" s="378" t="str">
        <f>IF(Q309="","", IF(ARBITRAGES!$H309="WIF",R308+ARBITRAGES!$K309,R308))</f>
        <v/>
      </c>
      <c r="S309" s="378" t="str">
        <f>IF(R309="","", IF(ARBITRAGES!$H309="RAY",S308+ARBITRAGES!$K309,S308))</f>
        <v/>
      </c>
      <c r="T309" s="360"/>
      <c r="U309" s="360"/>
      <c r="V309" s="360"/>
      <c r="W309" s="360"/>
      <c r="X309" s="360"/>
      <c r="Y309" s="360"/>
      <c r="Z309" s="360"/>
      <c r="AA309" s="360"/>
      <c r="AB309" s="360"/>
      <c r="AC309" s="360"/>
      <c r="AD309" s="360"/>
      <c r="AE309" s="360"/>
      <c r="AF309" s="360"/>
      <c r="AG309" s="360"/>
      <c r="AH309" s="360"/>
    </row>
    <row r="310" ht="18.75" customHeight="1">
      <c r="A310" s="399"/>
      <c r="B310" s="375" t="str">
        <f>IF(A310="","", IF(ARBITRAGES!$H310="BTC",B309+ARBITRAGES!$K310,B309))</f>
        <v/>
      </c>
      <c r="C310" s="375" t="str">
        <f>IF(B310="","", IF(ARBITRAGES!$H310="eth",C309+ARBITRAGES!$K310,C309))</f>
        <v/>
      </c>
      <c r="D310" s="376" t="str">
        <f>IF(C310="","", IF(ARBITRAGES!$H310="ondo",D309+ARBITRAGES!$K310,D309))</f>
        <v/>
      </c>
      <c r="E310" s="376" t="str">
        <f>IF(D310="","", IF(ARBITRAGES!$H310="sol",E309+ARBITRAGES!$K310,E309))</f>
        <v/>
      </c>
      <c r="F310" s="377" t="str">
        <f>IF(E310="","", IF(ARBITRAGES!$H310="tao",F309+ARBITRAGES!$K310,F309))</f>
        <v/>
      </c>
      <c r="G310" s="378" t="str">
        <f>IF(F310="","", IF(ARBITRAGES!$H310="ron",G309+ARBITRAGES!$K310,G309))</f>
        <v/>
      </c>
      <c r="H310" s="378" t="str">
        <f>IF(G310="","", IF(ARBITRAGES!$H310="link",H309+ARBITRAGES!$K310,H309))</f>
        <v/>
      </c>
      <c r="I310" s="378" t="str">
        <f>IF(H310="","", IF(ARBITRAGES!$H310="doge",I309+ARBITRAGES!$K310,I309))</f>
        <v/>
      </c>
      <c r="J310" s="378" t="str">
        <f>IF(I310="","", IF(ARBITRAGES!$H310="shib",J309-ARBITRAGES!$K310,J309))</f>
        <v/>
      </c>
      <c r="K310" s="378" t="str">
        <f>IF(J310="","", IF(ARBITRAGES!$H310="cake",K309+ARBITRAGES!$K310,K309))</f>
        <v/>
      </c>
      <c r="L310" s="378" t="str">
        <f>IF(K310="","", IF(ARBITRAGES!$H310="JUP",L309+ARBITRAGES!$K310,L309))</f>
        <v/>
      </c>
      <c r="M310" s="376" t="str">
        <f>IF(L310="","", IF(ARBITRAGES!$H310="aave",M309+ARBITRAGES!$K310,M309))</f>
        <v/>
      </c>
      <c r="N310" s="378" t="str">
        <f>IF(M310="","", IF(ARBITRAGES!$H310="ckb",N309+ARBITRAGES!$K310,N309))</f>
        <v/>
      </c>
      <c r="O310" s="378" t="str">
        <f>IF(N310="","", IF(ARBITRAGES!$H310="pendle",O309-ARBITRAGES!$K310+0.1,O309))</f>
        <v/>
      </c>
      <c r="P310" s="378" t="str">
        <f>IF(O310="","", IF(ARBITRAGES!$H310="BOME",P309+ARBITRAGES!$K310,P309))</f>
        <v/>
      </c>
      <c r="Q310" s="378" t="str">
        <f>IF(P310="","", IF(ARBITRAGES!$H310="PEPE",Q309+ARBITRAGES!$K310,Q309))</f>
        <v/>
      </c>
      <c r="R310" s="378" t="str">
        <f>IF(Q310="","", IF(ARBITRAGES!$H310="WIF",R309+ARBITRAGES!$K310,R309))</f>
        <v/>
      </c>
      <c r="S310" s="378" t="str">
        <f>IF(R310="","", IF(ARBITRAGES!$H310="RAY",S309+ARBITRAGES!$K310,S309))</f>
        <v/>
      </c>
      <c r="T310" s="360"/>
      <c r="U310" s="360"/>
      <c r="V310" s="360"/>
      <c r="W310" s="360"/>
      <c r="X310" s="360"/>
      <c r="Y310" s="360"/>
      <c r="Z310" s="360"/>
      <c r="AA310" s="360"/>
      <c r="AB310" s="360"/>
      <c r="AC310" s="360"/>
      <c r="AD310" s="360"/>
      <c r="AE310" s="360"/>
      <c r="AF310" s="360"/>
      <c r="AG310" s="360"/>
      <c r="AH310" s="360"/>
    </row>
    <row r="311" ht="18.75" customHeight="1">
      <c r="A311" s="399"/>
      <c r="B311" s="375" t="str">
        <f>IF(A311="","", IF(ARBITRAGES!$H311="BTC",B310+ARBITRAGES!$K311,B310))</f>
        <v/>
      </c>
      <c r="C311" s="375" t="str">
        <f>IF(B311="","", IF(ARBITRAGES!$H311="eth",C310+ARBITRAGES!$K311,C310))</f>
        <v/>
      </c>
      <c r="D311" s="376" t="str">
        <f>IF(C311="","", IF(ARBITRAGES!$H311="ondo",D310+ARBITRAGES!$K311,D310))</f>
        <v/>
      </c>
      <c r="E311" s="376" t="str">
        <f>IF(D311="","", IF(ARBITRAGES!$H311="sol",E310+ARBITRAGES!$K311,E310))</f>
        <v/>
      </c>
      <c r="F311" s="377" t="str">
        <f>IF(E311="","", IF(ARBITRAGES!$H311="tao",F310+ARBITRAGES!$K311,F310))</f>
        <v/>
      </c>
      <c r="G311" s="378" t="str">
        <f>IF(F311="","", IF(ARBITRAGES!$H311="ron",G310+ARBITRAGES!$K311,G310))</f>
        <v/>
      </c>
      <c r="H311" s="378" t="str">
        <f>IF(G311="","", IF(ARBITRAGES!$H311="link",H310+ARBITRAGES!$K311,H310))</f>
        <v/>
      </c>
      <c r="I311" s="378" t="str">
        <f>IF(H311="","", IF(ARBITRAGES!$H311="doge",I310+ARBITRAGES!$K311,I310))</f>
        <v/>
      </c>
      <c r="J311" s="378" t="str">
        <f>IF(I311="","", IF(ARBITRAGES!$H311="shib",J310-ARBITRAGES!$K311,J310))</f>
        <v/>
      </c>
      <c r="K311" s="378" t="str">
        <f>IF(J311="","", IF(ARBITRAGES!$H311="cake",K310+ARBITRAGES!$K311,K310))</f>
        <v/>
      </c>
      <c r="L311" s="378" t="str">
        <f>IF(K311="","", IF(ARBITRAGES!$H311="JUP",L310+ARBITRAGES!$K311,L310))</f>
        <v/>
      </c>
      <c r="M311" s="376" t="str">
        <f>IF(L311="","", IF(ARBITRAGES!$H311="aave",M310+ARBITRAGES!$K311,M310))</f>
        <v/>
      </c>
      <c r="N311" s="378" t="str">
        <f>IF(M311="","", IF(ARBITRAGES!$H311="ckb",N310+ARBITRAGES!$K311,N310))</f>
        <v/>
      </c>
      <c r="O311" s="378" t="str">
        <f>IF(N311="","", IF(ARBITRAGES!$H311="pendle",O310-ARBITRAGES!$K311+0.1,O310))</f>
        <v/>
      </c>
      <c r="P311" s="378" t="str">
        <f>IF(O311="","", IF(ARBITRAGES!$H311="BOME",P310+ARBITRAGES!$K311,P310))</f>
        <v/>
      </c>
      <c r="Q311" s="378" t="str">
        <f>IF(P311="","", IF(ARBITRAGES!$H311="PEPE",Q310+ARBITRAGES!$K311,Q310))</f>
        <v/>
      </c>
      <c r="R311" s="378" t="str">
        <f>IF(Q311="","", IF(ARBITRAGES!$H311="WIF",R310+ARBITRAGES!$K311,R310))</f>
        <v/>
      </c>
      <c r="S311" s="378" t="str">
        <f>IF(R311="","", IF(ARBITRAGES!$H311="RAY",S310+ARBITRAGES!$K311,S310))</f>
        <v/>
      </c>
      <c r="T311" s="360"/>
      <c r="U311" s="360"/>
      <c r="V311" s="360"/>
      <c r="W311" s="360"/>
      <c r="X311" s="360"/>
      <c r="Y311" s="360"/>
      <c r="Z311" s="360"/>
      <c r="AA311" s="360"/>
      <c r="AB311" s="360"/>
      <c r="AC311" s="360"/>
      <c r="AD311" s="360"/>
      <c r="AE311" s="360"/>
      <c r="AF311" s="360"/>
      <c r="AG311" s="360"/>
      <c r="AH311" s="360"/>
    </row>
    <row r="312" ht="18.75" customHeight="1">
      <c r="A312" s="399"/>
      <c r="B312" s="375" t="str">
        <f>IF(A312="","", IF(ARBITRAGES!$H312="BTC",B311+ARBITRAGES!$K312,B311))</f>
        <v/>
      </c>
      <c r="C312" s="375" t="str">
        <f>IF(B312="","", IF(ARBITRAGES!$H312="eth",C311+ARBITRAGES!$K312,C311))</f>
        <v/>
      </c>
      <c r="D312" s="376" t="str">
        <f>IF(C312="","", IF(ARBITRAGES!$H312="ondo",D311+ARBITRAGES!$K312,D311))</f>
        <v/>
      </c>
      <c r="E312" s="376" t="str">
        <f>IF(D312="","", IF(ARBITRAGES!$H312="sol",E311+ARBITRAGES!$K312,E311))</f>
        <v/>
      </c>
      <c r="F312" s="377" t="str">
        <f>IF(E312="","", IF(ARBITRAGES!$H312="tao",F311+ARBITRAGES!$K312,F311))</f>
        <v/>
      </c>
      <c r="G312" s="378" t="str">
        <f>IF(F312="","", IF(ARBITRAGES!$H312="ron",G311+ARBITRAGES!$K312,G311))</f>
        <v/>
      </c>
      <c r="H312" s="378" t="str">
        <f>IF(G312="","", IF(ARBITRAGES!$H312="link",H311+ARBITRAGES!$K312,H311))</f>
        <v/>
      </c>
      <c r="I312" s="378" t="str">
        <f>IF(H312="","", IF(ARBITRAGES!$H312="doge",I311+ARBITRAGES!$K312,I311))</f>
        <v/>
      </c>
      <c r="J312" s="378" t="str">
        <f>IF(I312="","", IF(ARBITRAGES!$H312="shib",J311-ARBITRAGES!$K312,J311))</f>
        <v/>
      </c>
      <c r="K312" s="378" t="str">
        <f>IF(J312="","", IF(ARBITRAGES!$H312="cake",K311+ARBITRAGES!$K312,K311))</f>
        <v/>
      </c>
      <c r="L312" s="378" t="str">
        <f>IF(K312="","", IF(ARBITRAGES!$H312="JUP",L311+ARBITRAGES!$K312,L311))</f>
        <v/>
      </c>
      <c r="M312" s="376" t="str">
        <f>IF(L312="","", IF(ARBITRAGES!$H312="aave",M311+ARBITRAGES!$K312,M311))</f>
        <v/>
      </c>
      <c r="N312" s="378" t="str">
        <f>IF(M312="","", IF(ARBITRAGES!$H312="ckb",N311+ARBITRAGES!$K312,N311))</f>
        <v/>
      </c>
      <c r="O312" s="378" t="str">
        <f>IF(N312="","", IF(ARBITRAGES!$H312="pendle",O311-ARBITRAGES!$K312+0.1,O311))</f>
        <v/>
      </c>
      <c r="P312" s="378" t="str">
        <f>IF(O312="","", IF(ARBITRAGES!$H312="BOME",P311+ARBITRAGES!$K312,P311))</f>
        <v/>
      </c>
      <c r="Q312" s="378" t="str">
        <f>IF(P312="","", IF(ARBITRAGES!$H312="PEPE",Q311+ARBITRAGES!$K312,Q311))</f>
        <v/>
      </c>
      <c r="R312" s="378" t="str">
        <f>IF(Q312="","", IF(ARBITRAGES!$H312="WIF",R311+ARBITRAGES!$K312,R311))</f>
        <v/>
      </c>
      <c r="S312" s="378" t="str">
        <f>IF(R312="","", IF(ARBITRAGES!$H312="RAY",S311+ARBITRAGES!$K312,S311))</f>
        <v/>
      </c>
      <c r="T312" s="360"/>
      <c r="U312" s="360"/>
      <c r="V312" s="360"/>
      <c r="W312" s="360"/>
      <c r="X312" s="360"/>
      <c r="Y312" s="360"/>
      <c r="Z312" s="360"/>
      <c r="AA312" s="360"/>
      <c r="AB312" s="360"/>
      <c r="AC312" s="360"/>
      <c r="AD312" s="360"/>
      <c r="AE312" s="360"/>
      <c r="AF312" s="360"/>
      <c r="AG312" s="360"/>
      <c r="AH312" s="360"/>
    </row>
    <row r="313" ht="18.75" customHeight="1">
      <c r="A313" s="399"/>
      <c r="B313" s="375" t="str">
        <f>IF(A313="","", IF(ARBITRAGES!$H313="BTC",B312+ARBITRAGES!$K313,B312))</f>
        <v/>
      </c>
      <c r="C313" s="375" t="str">
        <f>IF(B313="","", IF(ARBITRAGES!$H313="eth",C312+ARBITRAGES!$K313,C312))</f>
        <v/>
      </c>
      <c r="D313" s="376" t="str">
        <f>IF(C313="","", IF(ARBITRAGES!$H313="ondo",D312+ARBITRAGES!$K313,D312))</f>
        <v/>
      </c>
      <c r="E313" s="376" t="str">
        <f>IF(D313="","", IF(ARBITRAGES!$H313="sol",E312+ARBITRAGES!$K313,E312))</f>
        <v/>
      </c>
      <c r="F313" s="377" t="str">
        <f>IF(E313="","", IF(ARBITRAGES!$H313="tao",F312+ARBITRAGES!$K313,F312))</f>
        <v/>
      </c>
      <c r="G313" s="378" t="str">
        <f>IF(F313="","", IF(ARBITRAGES!$H313="ron",G312+ARBITRAGES!$K313,G312))</f>
        <v/>
      </c>
      <c r="H313" s="378" t="str">
        <f>IF(G313="","", IF(ARBITRAGES!$H313="link",H312+ARBITRAGES!$K313,H312))</f>
        <v/>
      </c>
      <c r="I313" s="378" t="str">
        <f>IF(H313="","", IF(ARBITRAGES!$H313="doge",I312+ARBITRAGES!$K313,I312))</f>
        <v/>
      </c>
      <c r="J313" s="378" t="str">
        <f>IF(I313="","", IF(ARBITRAGES!$H313="shib",J312-ARBITRAGES!$K313,J312))</f>
        <v/>
      </c>
      <c r="K313" s="378" t="str">
        <f>IF(J313="","", IF(ARBITRAGES!$H313="cake",K312+ARBITRAGES!$K313,K312))</f>
        <v/>
      </c>
      <c r="L313" s="378" t="str">
        <f>IF(K313="","", IF(ARBITRAGES!$H313="JUP",L312+ARBITRAGES!$K313,L312))</f>
        <v/>
      </c>
      <c r="M313" s="376" t="str">
        <f>IF(L313="","", IF(ARBITRAGES!$H313="aave",M312+ARBITRAGES!$K313,M312))</f>
        <v/>
      </c>
      <c r="N313" s="378" t="str">
        <f>IF(M313="","", IF(ARBITRAGES!$H313="ckb",N312+ARBITRAGES!$K313,N312))</f>
        <v/>
      </c>
      <c r="O313" s="378" t="str">
        <f>IF(N313="","", IF(ARBITRAGES!$H313="pendle",O312-ARBITRAGES!$K313+0.1,O312))</f>
        <v/>
      </c>
      <c r="P313" s="378" t="str">
        <f>IF(O313="","", IF(ARBITRAGES!$H313="BOME",P312+ARBITRAGES!$K313,P312))</f>
        <v/>
      </c>
      <c r="Q313" s="378" t="str">
        <f>IF(P313="","", IF(ARBITRAGES!$H313="PEPE",Q312+ARBITRAGES!$K313,Q312))</f>
        <v/>
      </c>
      <c r="R313" s="378" t="str">
        <f>IF(Q313="","", IF(ARBITRAGES!$H313="WIF",R312+ARBITRAGES!$K313,R312))</f>
        <v/>
      </c>
      <c r="S313" s="378" t="str">
        <f>IF(R313="","", IF(ARBITRAGES!$H313="RAY",S312+ARBITRAGES!$K313,S312))</f>
        <v/>
      </c>
      <c r="T313" s="360"/>
      <c r="U313" s="360"/>
      <c r="V313" s="360"/>
      <c r="W313" s="360"/>
      <c r="X313" s="360"/>
      <c r="Y313" s="360"/>
      <c r="Z313" s="360"/>
      <c r="AA313" s="360"/>
      <c r="AB313" s="360"/>
      <c r="AC313" s="360"/>
      <c r="AD313" s="360"/>
      <c r="AE313" s="360"/>
      <c r="AF313" s="360"/>
      <c r="AG313" s="360"/>
      <c r="AH313" s="360"/>
    </row>
    <row r="314" ht="18.75" customHeight="1">
      <c r="A314" s="399"/>
      <c r="B314" s="375" t="str">
        <f>IF(A314="","", IF(ARBITRAGES!$H314="BTC",B313+ARBITRAGES!$K314,B313))</f>
        <v/>
      </c>
      <c r="C314" s="375" t="str">
        <f>IF(B314="","", IF(ARBITRAGES!$H314="eth",C313+ARBITRAGES!$K314,C313))</f>
        <v/>
      </c>
      <c r="D314" s="376" t="str">
        <f>IF(C314="","", IF(ARBITRAGES!$H314="ondo",D313+ARBITRAGES!$K314,D313))</f>
        <v/>
      </c>
      <c r="E314" s="376" t="str">
        <f>IF(D314="","", IF(ARBITRAGES!$H314="sol",E313+ARBITRAGES!$K314,E313))</f>
        <v/>
      </c>
      <c r="F314" s="377" t="str">
        <f>IF(E314="","", IF(ARBITRAGES!$H314="tao",F313+ARBITRAGES!$K314,F313))</f>
        <v/>
      </c>
      <c r="G314" s="378" t="str">
        <f>IF(F314="","", IF(ARBITRAGES!$H314="ron",G313+ARBITRAGES!$K314,G313))</f>
        <v/>
      </c>
      <c r="H314" s="378" t="str">
        <f>IF(G314="","", IF(ARBITRAGES!$H314="link",H313+ARBITRAGES!$K314,H313))</f>
        <v/>
      </c>
      <c r="I314" s="378" t="str">
        <f>IF(H314="","", IF(ARBITRAGES!$H314="doge",I313+ARBITRAGES!$K314,I313))</f>
        <v/>
      </c>
      <c r="J314" s="378" t="str">
        <f>IF(I314="","", IF(ARBITRAGES!$H314="shib",J313-ARBITRAGES!$K314,J313))</f>
        <v/>
      </c>
      <c r="K314" s="378" t="str">
        <f>IF(J314="","", IF(ARBITRAGES!$H314="cake",K313+ARBITRAGES!$K314,K313))</f>
        <v/>
      </c>
      <c r="L314" s="378" t="str">
        <f>IF(K314="","", IF(ARBITRAGES!$H314="JUP",L313+ARBITRAGES!$K314,L313))</f>
        <v/>
      </c>
      <c r="M314" s="376" t="str">
        <f>IF(L314="","", IF(ARBITRAGES!$H314="aave",M313+ARBITRAGES!$K314,M313))</f>
        <v/>
      </c>
      <c r="N314" s="378" t="str">
        <f>IF(M314="","", IF(ARBITRAGES!$H314="ckb",N313+ARBITRAGES!$K314,N313))</f>
        <v/>
      </c>
      <c r="O314" s="378" t="str">
        <f>IF(N314="","", IF(ARBITRAGES!$H314="pendle",O313-ARBITRAGES!$K314+0.1,O313))</f>
        <v/>
      </c>
      <c r="P314" s="378" t="str">
        <f>IF(O314="","", IF(ARBITRAGES!$H314="BOME",P313+ARBITRAGES!$K314,P313))</f>
        <v/>
      </c>
      <c r="Q314" s="378" t="str">
        <f>IF(P314="","", IF(ARBITRAGES!$H314="PEPE",Q313+ARBITRAGES!$K314,Q313))</f>
        <v/>
      </c>
      <c r="R314" s="378" t="str">
        <f>IF(Q314="","", IF(ARBITRAGES!$H314="WIF",R313+ARBITRAGES!$K314,R313))</f>
        <v/>
      </c>
      <c r="S314" s="378" t="str">
        <f>IF(R314="","", IF(ARBITRAGES!$H314="RAY",S313+ARBITRAGES!$K314,S313))</f>
        <v/>
      </c>
      <c r="T314" s="360"/>
      <c r="U314" s="360"/>
      <c r="V314" s="360"/>
      <c r="W314" s="360"/>
      <c r="X314" s="360"/>
      <c r="Y314" s="360"/>
      <c r="Z314" s="360"/>
      <c r="AA314" s="360"/>
      <c r="AB314" s="360"/>
      <c r="AC314" s="360"/>
      <c r="AD314" s="360"/>
      <c r="AE314" s="360"/>
      <c r="AF314" s="360"/>
      <c r="AG314" s="360"/>
      <c r="AH314" s="360"/>
    </row>
    <row r="315" ht="18.75" customHeight="1">
      <c r="A315" s="399"/>
      <c r="B315" s="375" t="str">
        <f>IF(A315="","", IF(ARBITRAGES!$H315="BTC",B314+ARBITRAGES!$K315,B314))</f>
        <v/>
      </c>
      <c r="C315" s="375" t="str">
        <f>IF(B315="","", IF(ARBITRAGES!$H315="eth",C314+ARBITRAGES!$K315,C314))</f>
        <v/>
      </c>
      <c r="D315" s="376" t="str">
        <f>IF(C315="","", IF(ARBITRAGES!$H315="ondo",D314+ARBITRAGES!$K315,D314))</f>
        <v/>
      </c>
      <c r="E315" s="376" t="str">
        <f>IF(D315="","", IF(ARBITRAGES!$H315="sol",E314+ARBITRAGES!$K315,E314))</f>
        <v/>
      </c>
      <c r="F315" s="377" t="str">
        <f>IF(E315="","", IF(ARBITRAGES!$H315="tao",F314+ARBITRAGES!$K315,F314))</f>
        <v/>
      </c>
      <c r="G315" s="378" t="str">
        <f>IF(F315="","", IF(ARBITRAGES!$H315="ron",G314+ARBITRAGES!$K315,G314))</f>
        <v/>
      </c>
      <c r="H315" s="378" t="str">
        <f>IF(G315="","", IF(ARBITRAGES!$H315="link",H314+ARBITRAGES!$K315,H314))</f>
        <v/>
      </c>
      <c r="I315" s="378" t="str">
        <f>IF(H315="","", IF(ARBITRAGES!$H315="doge",I314+ARBITRAGES!$K315,I314))</f>
        <v/>
      </c>
      <c r="J315" s="378" t="str">
        <f>IF(I315="","", IF(ARBITRAGES!$H315="shib",J314-ARBITRAGES!$K315,J314))</f>
        <v/>
      </c>
      <c r="K315" s="378" t="str">
        <f>IF(J315="","", IF(ARBITRAGES!$H315="cake",K314+ARBITRAGES!$K315,K314))</f>
        <v/>
      </c>
      <c r="L315" s="378" t="str">
        <f>IF(K315="","", IF(ARBITRAGES!$H315="JUP",L314+ARBITRAGES!$K315,L314))</f>
        <v/>
      </c>
      <c r="M315" s="376" t="str">
        <f>IF(L315="","", IF(ARBITRAGES!$H315="aave",M314+ARBITRAGES!$K315,M314))</f>
        <v/>
      </c>
      <c r="N315" s="378" t="str">
        <f>IF(M315="","", IF(ARBITRAGES!$H315="ckb",N314+ARBITRAGES!$K315,N314))</f>
        <v/>
      </c>
      <c r="O315" s="378" t="str">
        <f>IF(N315="","", IF(ARBITRAGES!$H315="pendle",O314-ARBITRAGES!$K315+0.1,O314))</f>
        <v/>
      </c>
      <c r="P315" s="378" t="str">
        <f>IF(O315="","", IF(ARBITRAGES!$H315="BOME",P314+ARBITRAGES!$K315,P314))</f>
        <v/>
      </c>
      <c r="Q315" s="378" t="str">
        <f>IF(P315="","", IF(ARBITRAGES!$H315="PEPE",Q314+ARBITRAGES!$K315,Q314))</f>
        <v/>
      </c>
      <c r="R315" s="378" t="str">
        <f>IF(Q315="","", IF(ARBITRAGES!$H315="WIF",R314+ARBITRAGES!$K315,R314))</f>
        <v/>
      </c>
      <c r="S315" s="378" t="str">
        <f>IF(R315="","", IF(ARBITRAGES!$H315="RAY",S314+ARBITRAGES!$K315,S314))</f>
        <v/>
      </c>
      <c r="T315" s="360"/>
      <c r="U315" s="360"/>
      <c r="V315" s="360"/>
      <c r="W315" s="360"/>
      <c r="X315" s="360"/>
      <c r="Y315" s="360"/>
      <c r="Z315" s="360"/>
      <c r="AA315" s="360"/>
      <c r="AB315" s="360"/>
      <c r="AC315" s="360"/>
      <c r="AD315" s="360"/>
      <c r="AE315" s="360"/>
      <c r="AF315" s="360"/>
      <c r="AG315" s="360"/>
      <c r="AH315" s="360"/>
    </row>
    <row r="316" ht="18.75" customHeight="1">
      <c r="A316" s="399"/>
      <c r="B316" s="375" t="str">
        <f>IF(A316="","", IF(ARBITRAGES!$H316="BTC",B315+ARBITRAGES!$K316,B315))</f>
        <v/>
      </c>
      <c r="C316" s="375" t="str">
        <f>IF(B316="","", IF(ARBITRAGES!$H316="eth",C315+ARBITRAGES!$K316,C315))</f>
        <v/>
      </c>
      <c r="D316" s="376" t="str">
        <f>IF(C316="","", IF(ARBITRAGES!$H316="ondo",D315+ARBITRAGES!$K316,D315))</f>
        <v/>
      </c>
      <c r="E316" s="376" t="str">
        <f>IF(D316="","", IF(ARBITRAGES!$H316="sol",E315+ARBITRAGES!$K316,E315))</f>
        <v/>
      </c>
      <c r="F316" s="377" t="str">
        <f>IF(E316="","", IF(ARBITRAGES!$H316="tao",F315+ARBITRAGES!$K316,F315))</f>
        <v/>
      </c>
      <c r="G316" s="378" t="str">
        <f>IF(F316="","", IF(ARBITRAGES!$H316="ron",G315+ARBITRAGES!$K316,G315))</f>
        <v/>
      </c>
      <c r="H316" s="378" t="str">
        <f>IF(G316="","", IF(ARBITRAGES!$H316="link",H315+ARBITRAGES!$K316,H315))</f>
        <v/>
      </c>
      <c r="I316" s="378" t="str">
        <f>IF(H316="","", IF(ARBITRAGES!$H316="doge",I315+ARBITRAGES!$K316,I315))</f>
        <v/>
      </c>
      <c r="J316" s="378" t="str">
        <f>IF(I316="","", IF(ARBITRAGES!$H316="shib",J315-ARBITRAGES!$K316,J315))</f>
        <v/>
      </c>
      <c r="K316" s="378" t="str">
        <f>IF(J316="","", IF(ARBITRAGES!$H316="cake",K315+ARBITRAGES!$K316,K315))</f>
        <v/>
      </c>
      <c r="L316" s="378" t="str">
        <f>IF(K316="","", IF(ARBITRAGES!$H316="JUP",L315+ARBITRAGES!$K316,L315))</f>
        <v/>
      </c>
      <c r="M316" s="376" t="str">
        <f>IF(L316="","", IF(ARBITRAGES!$H316="aave",M315+ARBITRAGES!$K316,M315))</f>
        <v/>
      </c>
      <c r="N316" s="378" t="str">
        <f>IF(M316="","", IF(ARBITRAGES!$H316="ckb",N315+ARBITRAGES!$K316,N315))</f>
        <v/>
      </c>
      <c r="O316" s="378" t="str">
        <f>IF(N316="","", IF(ARBITRAGES!$H316="pendle",O315-ARBITRAGES!$K316+0.1,O315))</f>
        <v/>
      </c>
      <c r="P316" s="378" t="str">
        <f>IF(O316="","", IF(ARBITRAGES!$H316="BOME",P315+ARBITRAGES!$K316,P315))</f>
        <v/>
      </c>
      <c r="Q316" s="378" t="str">
        <f>IF(P316="","", IF(ARBITRAGES!$H316="PEPE",Q315+ARBITRAGES!$K316,Q315))</f>
        <v/>
      </c>
      <c r="R316" s="378" t="str">
        <f>IF(Q316="","", IF(ARBITRAGES!$H316="WIF",R315+ARBITRAGES!$K316,R315))</f>
        <v/>
      </c>
      <c r="S316" s="378" t="str">
        <f>IF(R316="","", IF(ARBITRAGES!$H316="RAY",S315+ARBITRAGES!$K316,S315))</f>
        <v/>
      </c>
      <c r="T316" s="360"/>
      <c r="U316" s="360"/>
      <c r="V316" s="360"/>
      <c r="W316" s="360"/>
      <c r="X316" s="360"/>
      <c r="Y316" s="360"/>
      <c r="Z316" s="360"/>
      <c r="AA316" s="360"/>
      <c r="AB316" s="360"/>
      <c r="AC316" s="360"/>
      <c r="AD316" s="360"/>
      <c r="AE316" s="360"/>
      <c r="AF316" s="360"/>
      <c r="AG316" s="360"/>
      <c r="AH316" s="360"/>
    </row>
    <row r="317" ht="18.75" customHeight="1">
      <c r="A317" s="399"/>
      <c r="B317" s="375" t="str">
        <f>IF(A317="","", IF(ARBITRAGES!$H317="BTC",B316+ARBITRAGES!$K317,B316))</f>
        <v/>
      </c>
      <c r="C317" s="375" t="str">
        <f>IF(B317="","", IF(ARBITRAGES!$H317="eth",C316+ARBITRAGES!$K317,C316))</f>
        <v/>
      </c>
      <c r="D317" s="376" t="str">
        <f>IF(C317="","", IF(ARBITRAGES!$H317="ondo",D316+ARBITRAGES!$K317,D316))</f>
        <v/>
      </c>
      <c r="E317" s="376" t="str">
        <f>IF(D317="","", IF(ARBITRAGES!$H317="sol",E316+ARBITRAGES!$K317,E316))</f>
        <v/>
      </c>
      <c r="F317" s="377" t="str">
        <f>IF(E317="","", IF(ARBITRAGES!$H317="tao",F316+ARBITRAGES!$K317,F316))</f>
        <v/>
      </c>
      <c r="G317" s="378" t="str">
        <f>IF(F317="","", IF(ARBITRAGES!$H317="ron",G316+ARBITRAGES!$K317,G316))</f>
        <v/>
      </c>
      <c r="H317" s="378" t="str">
        <f>IF(G317="","", IF(ARBITRAGES!$H317="link",H316+ARBITRAGES!$K317,H316))</f>
        <v/>
      </c>
      <c r="I317" s="378" t="str">
        <f>IF(H317="","", IF(ARBITRAGES!$H317="doge",I316+ARBITRAGES!$K317,I316))</f>
        <v/>
      </c>
      <c r="J317" s="378" t="str">
        <f>IF(I317="","", IF(ARBITRAGES!$H317="shib",J316-ARBITRAGES!$K317,J316))</f>
        <v/>
      </c>
      <c r="K317" s="378" t="str">
        <f>IF(J317="","", IF(ARBITRAGES!$H317="cake",K316+ARBITRAGES!$K317,K316))</f>
        <v/>
      </c>
      <c r="L317" s="378" t="str">
        <f>IF(K317="","", IF(ARBITRAGES!$H317="JUP",L316+ARBITRAGES!$K317,L316))</f>
        <v/>
      </c>
      <c r="M317" s="376" t="str">
        <f>IF(L317="","", IF(ARBITRAGES!$H317="aave",M316+ARBITRAGES!$K317,M316))</f>
        <v/>
      </c>
      <c r="N317" s="378" t="str">
        <f>IF(M317="","", IF(ARBITRAGES!$H317="ckb",N316+ARBITRAGES!$K317,N316))</f>
        <v/>
      </c>
      <c r="O317" s="378" t="str">
        <f>IF(N317="","", IF(ARBITRAGES!$H317="pendle",O316-ARBITRAGES!$K317+0.1,O316))</f>
        <v/>
      </c>
      <c r="P317" s="378" t="str">
        <f>IF(O317="","", IF(ARBITRAGES!$H317="BOME",P316+ARBITRAGES!$K317,P316))</f>
        <v/>
      </c>
      <c r="Q317" s="378" t="str">
        <f>IF(P317="","", IF(ARBITRAGES!$H317="PEPE",Q316+ARBITRAGES!$K317,Q316))</f>
        <v/>
      </c>
      <c r="R317" s="378" t="str">
        <f>IF(Q317="","", IF(ARBITRAGES!$H317="WIF",R316+ARBITRAGES!$K317,R316))</f>
        <v/>
      </c>
      <c r="S317" s="378" t="str">
        <f>IF(R317="","", IF(ARBITRAGES!$H317="RAY",S316+ARBITRAGES!$K317,S316))</f>
        <v/>
      </c>
      <c r="T317" s="360"/>
      <c r="U317" s="360"/>
      <c r="V317" s="360"/>
      <c r="W317" s="360"/>
      <c r="X317" s="360"/>
      <c r="Y317" s="360"/>
      <c r="Z317" s="360"/>
      <c r="AA317" s="360"/>
      <c r="AB317" s="360"/>
      <c r="AC317" s="360"/>
      <c r="AD317" s="360"/>
      <c r="AE317" s="360"/>
      <c r="AF317" s="360"/>
      <c r="AG317" s="360"/>
      <c r="AH317" s="360"/>
    </row>
    <row r="318" ht="18.75" customHeight="1">
      <c r="A318" s="399"/>
      <c r="B318" s="375" t="str">
        <f>IF(A318="","", IF(ARBITRAGES!$H318="BTC",B317+ARBITRAGES!$K318,B317))</f>
        <v/>
      </c>
      <c r="C318" s="375" t="str">
        <f>IF(B318="","", IF(ARBITRAGES!$H318="eth",C317+ARBITRAGES!$K318,C317))</f>
        <v/>
      </c>
      <c r="D318" s="376" t="str">
        <f>IF(C318="","", IF(ARBITRAGES!$H318="ondo",D317+ARBITRAGES!$K318,D317))</f>
        <v/>
      </c>
      <c r="E318" s="376" t="str">
        <f>IF(D318="","", IF(ARBITRAGES!$H318="sol",E317+ARBITRAGES!$K318,E317))</f>
        <v/>
      </c>
      <c r="F318" s="377" t="str">
        <f>IF(E318="","", IF(ARBITRAGES!$H318="tao",F317+ARBITRAGES!$K318,F317))</f>
        <v/>
      </c>
      <c r="G318" s="378" t="str">
        <f>IF(F318="","", IF(ARBITRAGES!$H318="ron",G317+ARBITRAGES!$K318,G317))</f>
        <v/>
      </c>
      <c r="H318" s="378" t="str">
        <f>IF(G318="","", IF(ARBITRAGES!$H318="link",H317+ARBITRAGES!$K318,H317))</f>
        <v/>
      </c>
      <c r="I318" s="378" t="str">
        <f>IF(H318="","", IF(ARBITRAGES!$H318="doge",I317+ARBITRAGES!$K318,I317))</f>
        <v/>
      </c>
      <c r="J318" s="378" t="str">
        <f>IF(I318="","", IF(ARBITRAGES!$H318="shib",J317-ARBITRAGES!$K318,J317))</f>
        <v/>
      </c>
      <c r="K318" s="378" t="str">
        <f>IF(J318="","", IF(ARBITRAGES!$H318="cake",K317+ARBITRAGES!$K318,K317))</f>
        <v/>
      </c>
      <c r="L318" s="378" t="str">
        <f>IF(K318="","", IF(ARBITRAGES!$H318="JUP",L317+ARBITRAGES!$K318,L317))</f>
        <v/>
      </c>
      <c r="M318" s="376" t="str">
        <f>IF(L318="","", IF(ARBITRAGES!$H318="aave",M317+ARBITRAGES!$K318,M317))</f>
        <v/>
      </c>
      <c r="N318" s="378" t="str">
        <f>IF(M318="","", IF(ARBITRAGES!$H318="ckb",N317+ARBITRAGES!$K318,N317))</f>
        <v/>
      </c>
      <c r="O318" s="378" t="str">
        <f>IF(N318="","", IF(ARBITRAGES!$H318="pendle",O317-ARBITRAGES!$K318+0.1,O317))</f>
        <v/>
      </c>
      <c r="P318" s="378" t="str">
        <f>IF(O318="","", IF(ARBITRAGES!$H318="BOME",P317+ARBITRAGES!$K318,P317))</f>
        <v/>
      </c>
      <c r="Q318" s="378" t="str">
        <f>IF(P318="","", IF(ARBITRAGES!$H318="PEPE",Q317+ARBITRAGES!$K318,Q317))</f>
        <v/>
      </c>
      <c r="R318" s="378" t="str">
        <f>IF(Q318="","", IF(ARBITRAGES!$H318="WIF",R317+ARBITRAGES!$K318,R317))</f>
        <v/>
      </c>
      <c r="S318" s="378" t="str">
        <f>IF(R318="","", IF(ARBITRAGES!$H318="RAY",S317+ARBITRAGES!$K318,S317))</f>
        <v/>
      </c>
      <c r="T318" s="360"/>
      <c r="U318" s="360"/>
      <c r="V318" s="360"/>
      <c r="W318" s="360"/>
      <c r="X318" s="360"/>
      <c r="Y318" s="360"/>
      <c r="Z318" s="360"/>
      <c r="AA318" s="360"/>
      <c r="AB318" s="360"/>
      <c r="AC318" s="360"/>
      <c r="AD318" s="360"/>
      <c r="AE318" s="360"/>
      <c r="AF318" s="360"/>
      <c r="AG318" s="360"/>
      <c r="AH318" s="360"/>
    </row>
    <row r="319" ht="18.75" customHeight="1">
      <c r="A319" s="399"/>
      <c r="B319" s="375" t="str">
        <f>IF(A319="","", IF(ARBITRAGES!$H319="BTC",B318+ARBITRAGES!$K319,B318))</f>
        <v/>
      </c>
      <c r="C319" s="375" t="str">
        <f>IF(B319="","", IF(ARBITRAGES!$H319="eth",C318+ARBITRAGES!$K319,C318))</f>
        <v/>
      </c>
      <c r="D319" s="376" t="str">
        <f>IF(C319="","", IF(ARBITRAGES!$H319="ondo",D318+ARBITRAGES!$K319,D318))</f>
        <v/>
      </c>
      <c r="E319" s="376" t="str">
        <f>IF(D319="","", IF(ARBITRAGES!$H319="sol",E318+ARBITRAGES!$K319,E318))</f>
        <v/>
      </c>
      <c r="F319" s="377" t="str">
        <f>IF(E319="","", IF(ARBITRAGES!$H319="tao",F318+ARBITRAGES!$K319,F318))</f>
        <v/>
      </c>
      <c r="G319" s="378" t="str">
        <f>IF(F319="","", IF(ARBITRAGES!$H319="ron",G318+ARBITRAGES!$K319,G318))</f>
        <v/>
      </c>
      <c r="H319" s="378" t="str">
        <f>IF(G319="","", IF(ARBITRAGES!$H319="link",H318+ARBITRAGES!$K319,H318))</f>
        <v/>
      </c>
      <c r="I319" s="378" t="str">
        <f>IF(H319="","", IF(ARBITRAGES!$H319="doge",I318+ARBITRAGES!$K319,I318))</f>
        <v/>
      </c>
      <c r="J319" s="378" t="str">
        <f>IF(I319="","", IF(ARBITRAGES!$H319="shib",J318-ARBITRAGES!$K319,J318))</f>
        <v/>
      </c>
      <c r="K319" s="378" t="str">
        <f>IF(J319="","", IF(ARBITRAGES!$H319="cake",K318+ARBITRAGES!$K319,K318))</f>
        <v/>
      </c>
      <c r="L319" s="378" t="str">
        <f>IF(K319="","", IF(ARBITRAGES!$H319="JUP",L318+ARBITRAGES!$K319,L318))</f>
        <v/>
      </c>
      <c r="M319" s="376" t="str">
        <f>IF(L319="","", IF(ARBITRAGES!$H319="aave",M318+ARBITRAGES!$K319,M318))</f>
        <v/>
      </c>
      <c r="N319" s="378" t="str">
        <f>IF(M319="","", IF(ARBITRAGES!$H319="ckb",N318+ARBITRAGES!$K319,N318))</f>
        <v/>
      </c>
      <c r="O319" s="378" t="str">
        <f>IF(N319="","", IF(ARBITRAGES!$H319="pendle",O318-ARBITRAGES!$K319+0.1,O318))</f>
        <v/>
      </c>
      <c r="P319" s="378" t="str">
        <f>IF(O319="","", IF(ARBITRAGES!$H319="BOME",P318+ARBITRAGES!$K319,P318))</f>
        <v/>
      </c>
      <c r="Q319" s="378" t="str">
        <f>IF(P319="","", IF(ARBITRAGES!$H319="PEPE",Q318+ARBITRAGES!$K319,Q318))</f>
        <v/>
      </c>
      <c r="R319" s="378" t="str">
        <f>IF(Q319="","", IF(ARBITRAGES!$H319="WIF",R318+ARBITRAGES!$K319,R318))</f>
        <v/>
      </c>
      <c r="S319" s="378" t="str">
        <f>IF(R319="","", IF(ARBITRAGES!$H319="RAY",S318+ARBITRAGES!$K319,S318))</f>
        <v/>
      </c>
      <c r="T319" s="360"/>
      <c r="U319" s="360"/>
      <c r="V319" s="360"/>
      <c r="W319" s="360"/>
      <c r="X319" s="360"/>
      <c r="Y319" s="360"/>
      <c r="Z319" s="360"/>
      <c r="AA319" s="360"/>
      <c r="AB319" s="360"/>
      <c r="AC319" s="360"/>
      <c r="AD319" s="360"/>
      <c r="AE319" s="360"/>
      <c r="AF319" s="360"/>
      <c r="AG319" s="360"/>
      <c r="AH319" s="360"/>
    </row>
    <row r="320" ht="18.75" customHeight="1">
      <c r="A320" s="399"/>
      <c r="B320" s="375" t="str">
        <f>IF(A320="","", IF(ARBITRAGES!$H320="BTC",B319+ARBITRAGES!$K320,B319))</f>
        <v/>
      </c>
      <c r="C320" s="375" t="str">
        <f>IF(B320="","", IF(ARBITRAGES!$H320="eth",C319+ARBITRAGES!$K320,C319))</f>
        <v/>
      </c>
      <c r="D320" s="376" t="str">
        <f>IF(C320="","", IF(ARBITRAGES!$H320="ondo",D319+ARBITRAGES!$K320,D319))</f>
        <v/>
      </c>
      <c r="E320" s="376" t="str">
        <f>IF(D320="","", IF(ARBITRAGES!$H320="sol",E319+ARBITRAGES!$K320,E319))</f>
        <v/>
      </c>
      <c r="F320" s="377" t="str">
        <f>IF(E320="","", IF(ARBITRAGES!$H320="tao",F319+ARBITRAGES!$K320,F319))</f>
        <v/>
      </c>
      <c r="G320" s="378" t="str">
        <f>IF(F320="","", IF(ARBITRAGES!$H320="ron",G319+ARBITRAGES!$K320,G319))</f>
        <v/>
      </c>
      <c r="H320" s="378" t="str">
        <f>IF(G320="","", IF(ARBITRAGES!$H320="link",H319+ARBITRAGES!$K320,H319))</f>
        <v/>
      </c>
      <c r="I320" s="378" t="str">
        <f>IF(H320="","", IF(ARBITRAGES!$H320="doge",I319+ARBITRAGES!$K320,I319))</f>
        <v/>
      </c>
      <c r="J320" s="378" t="str">
        <f>IF(I320="","", IF(ARBITRAGES!$H320="shib",J319-ARBITRAGES!$K320,J319))</f>
        <v/>
      </c>
      <c r="K320" s="378" t="str">
        <f>IF(J320="","", IF(ARBITRAGES!$H320="cake",K319+ARBITRAGES!$K320,K319))</f>
        <v/>
      </c>
      <c r="L320" s="378" t="str">
        <f>IF(K320="","", IF(ARBITRAGES!$H320="JUP",L319+ARBITRAGES!$K320,L319))</f>
        <v/>
      </c>
      <c r="M320" s="376" t="str">
        <f>IF(L320="","", IF(ARBITRAGES!$H320="aave",M319+ARBITRAGES!$K320,M319))</f>
        <v/>
      </c>
      <c r="N320" s="378" t="str">
        <f>IF(M320="","", IF(ARBITRAGES!$H320="ckb",N319+ARBITRAGES!$K320,N319))</f>
        <v/>
      </c>
      <c r="O320" s="378" t="str">
        <f>IF(N320="","", IF(ARBITRAGES!$H320="pendle",O319-ARBITRAGES!$K320+0.1,O319))</f>
        <v/>
      </c>
      <c r="P320" s="378" t="str">
        <f>IF(O320="","", IF(ARBITRAGES!$H320="BOME",P319+ARBITRAGES!$K320,P319))</f>
        <v/>
      </c>
      <c r="Q320" s="378" t="str">
        <f>IF(P320="","", IF(ARBITRAGES!$H320="PEPE",Q319+ARBITRAGES!$K320,Q319))</f>
        <v/>
      </c>
      <c r="R320" s="378" t="str">
        <f>IF(Q320="","", IF(ARBITRAGES!$H320="WIF",R319+ARBITRAGES!$K320,R319))</f>
        <v/>
      </c>
      <c r="S320" s="378" t="str">
        <f>IF(R320="","", IF(ARBITRAGES!$H320="RAY",S319+ARBITRAGES!$K320,S319))</f>
        <v/>
      </c>
      <c r="T320" s="360"/>
      <c r="U320" s="360"/>
      <c r="V320" s="360"/>
      <c r="W320" s="360"/>
      <c r="X320" s="360"/>
      <c r="Y320" s="360"/>
      <c r="Z320" s="360"/>
      <c r="AA320" s="360"/>
      <c r="AB320" s="360"/>
      <c r="AC320" s="360"/>
      <c r="AD320" s="360"/>
      <c r="AE320" s="360"/>
      <c r="AF320" s="360"/>
      <c r="AG320" s="360"/>
      <c r="AH320" s="360"/>
    </row>
    <row r="321" ht="18.75" customHeight="1">
      <c r="A321" s="399"/>
      <c r="B321" s="375" t="str">
        <f>IF(A321="","", IF(ARBITRAGES!$H321="BTC",B320+ARBITRAGES!$K321,B320))</f>
        <v/>
      </c>
      <c r="C321" s="375" t="str">
        <f>IF(B321="","", IF(ARBITRAGES!$H321="eth",C320+ARBITRAGES!$K321,C320))</f>
        <v/>
      </c>
      <c r="D321" s="376" t="str">
        <f>IF(C321="","", IF(ARBITRAGES!$H321="ondo",D320+ARBITRAGES!$K321,D320))</f>
        <v/>
      </c>
      <c r="E321" s="376" t="str">
        <f>IF(D321="","", IF(ARBITRAGES!$H321="sol",E320+ARBITRAGES!$K321,E320))</f>
        <v/>
      </c>
      <c r="F321" s="377" t="str">
        <f>IF(E321="","", IF(ARBITRAGES!$H321="tao",F320+ARBITRAGES!$K321,F320))</f>
        <v/>
      </c>
      <c r="G321" s="378" t="str">
        <f>IF(F321="","", IF(ARBITRAGES!$H321="ron",G320+ARBITRAGES!$K321,G320))</f>
        <v/>
      </c>
      <c r="H321" s="378" t="str">
        <f>IF(G321="","", IF(ARBITRAGES!$H321="link",H320+ARBITRAGES!$K321,H320))</f>
        <v/>
      </c>
      <c r="I321" s="378" t="str">
        <f>IF(H321="","", IF(ARBITRAGES!$H321="doge",I320+ARBITRAGES!$K321,I320))</f>
        <v/>
      </c>
      <c r="J321" s="378" t="str">
        <f>IF(I321="","", IF(ARBITRAGES!$H321="shib",J320-ARBITRAGES!$K321,J320))</f>
        <v/>
      </c>
      <c r="K321" s="378" t="str">
        <f>IF(J321="","", IF(ARBITRAGES!$H321="cake",K320+ARBITRAGES!$K321,K320))</f>
        <v/>
      </c>
      <c r="L321" s="378" t="str">
        <f>IF(K321="","", IF(ARBITRAGES!$H321="JUP",L320+ARBITRAGES!$K321,L320))</f>
        <v/>
      </c>
      <c r="M321" s="376" t="str">
        <f>IF(L321="","", IF(ARBITRAGES!$H321="aave",M320+ARBITRAGES!$K321,M320))</f>
        <v/>
      </c>
      <c r="N321" s="378" t="str">
        <f>IF(M321="","", IF(ARBITRAGES!$H321="ckb",N320+ARBITRAGES!$K321,N320))</f>
        <v/>
      </c>
      <c r="O321" s="378" t="str">
        <f>IF(N321="","", IF(ARBITRAGES!$H321="pendle",O320-ARBITRAGES!$K321+0.1,O320))</f>
        <v/>
      </c>
      <c r="P321" s="378" t="str">
        <f>IF(O321="","", IF(ARBITRAGES!$H321="BOME",P320+ARBITRAGES!$K321,P320))</f>
        <v/>
      </c>
      <c r="Q321" s="378" t="str">
        <f>IF(P321="","", IF(ARBITRAGES!$H321="PEPE",Q320+ARBITRAGES!$K321,Q320))</f>
        <v/>
      </c>
      <c r="R321" s="378" t="str">
        <f>IF(Q321="","", IF(ARBITRAGES!$H321="WIF",R320+ARBITRAGES!$K321,R320))</f>
        <v/>
      </c>
      <c r="S321" s="378" t="str">
        <f>IF(R321="","", IF(ARBITRAGES!$H321="RAY",S320+ARBITRAGES!$K321,S320))</f>
        <v/>
      </c>
      <c r="T321" s="360"/>
      <c r="U321" s="360"/>
      <c r="V321" s="360"/>
      <c r="W321" s="360"/>
      <c r="X321" s="360"/>
      <c r="Y321" s="360"/>
      <c r="Z321" s="360"/>
      <c r="AA321" s="360"/>
      <c r="AB321" s="360"/>
      <c r="AC321" s="360"/>
      <c r="AD321" s="360"/>
      <c r="AE321" s="360"/>
      <c r="AF321" s="360"/>
      <c r="AG321" s="360"/>
      <c r="AH321" s="360"/>
    </row>
    <row r="322" ht="18.75" customHeight="1">
      <c r="A322" s="399"/>
      <c r="B322" s="375" t="str">
        <f>IF(A322="","", IF(ARBITRAGES!$H322="BTC",B321+ARBITRAGES!$K322,B321))</f>
        <v/>
      </c>
      <c r="C322" s="375" t="str">
        <f>IF(B322="","", IF(ARBITRAGES!$H322="eth",C321+ARBITRAGES!$K322,C321))</f>
        <v/>
      </c>
      <c r="D322" s="376" t="str">
        <f>IF(C322="","", IF(ARBITRAGES!$H322="ondo",D321+ARBITRAGES!$K322,D321))</f>
        <v/>
      </c>
      <c r="E322" s="376" t="str">
        <f>IF(D322="","", IF(ARBITRAGES!$H322="sol",E321+ARBITRAGES!$K322,E321))</f>
        <v/>
      </c>
      <c r="F322" s="377" t="str">
        <f>IF(E322="","", IF(ARBITRAGES!$H322="tao",F321+ARBITRAGES!$K322,F321))</f>
        <v/>
      </c>
      <c r="G322" s="378" t="str">
        <f>IF(F322="","", IF(ARBITRAGES!$H322="ron",G321+ARBITRAGES!$K322,G321))</f>
        <v/>
      </c>
      <c r="H322" s="378" t="str">
        <f>IF(G322="","", IF(ARBITRAGES!$H322="link",H321+ARBITRAGES!$K322,H321))</f>
        <v/>
      </c>
      <c r="I322" s="378" t="str">
        <f>IF(H322="","", IF(ARBITRAGES!$H322="doge",I321+ARBITRAGES!$K322,I321))</f>
        <v/>
      </c>
      <c r="J322" s="378" t="str">
        <f>IF(I322="","", IF(ARBITRAGES!$H322="shib",J321-ARBITRAGES!$K322,J321))</f>
        <v/>
      </c>
      <c r="K322" s="378" t="str">
        <f>IF(J322="","", IF(ARBITRAGES!$H322="cake",K321+ARBITRAGES!$K322,K321))</f>
        <v/>
      </c>
      <c r="L322" s="378" t="str">
        <f>IF(K322="","", IF(ARBITRAGES!$H322="JUP",L321+ARBITRAGES!$K322,L321))</f>
        <v/>
      </c>
      <c r="M322" s="376" t="str">
        <f>IF(L322="","", IF(ARBITRAGES!$H322="aave",M321+ARBITRAGES!$K322,M321))</f>
        <v/>
      </c>
      <c r="N322" s="378" t="str">
        <f>IF(M322="","", IF(ARBITRAGES!$H322="ckb",N321+ARBITRAGES!$K322,N321))</f>
        <v/>
      </c>
      <c r="O322" s="378" t="str">
        <f>IF(N322="","", IF(ARBITRAGES!$H322="pendle",O321-ARBITRAGES!$K322+0.1,O321))</f>
        <v/>
      </c>
      <c r="P322" s="378" t="str">
        <f>IF(O322="","", IF(ARBITRAGES!$H322="BOME",P321+ARBITRAGES!$K322,P321))</f>
        <v/>
      </c>
      <c r="Q322" s="378" t="str">
        <f>IF(P322="","", IF(ARBITRAGES!$H322="PEPE",Q321+ARBITRAGES!$K322,Q321))</f>
        <v/>
      </c>
      <c r="R322" s="378" t="str">
        <f>IF(Q322="","", IF(ARBITRAGES!$H322="WIF",R321+ARBITRAGES!$K322,R321))</f>
        <v/>
      </c>
      <c r="S322" s="378" t="str">
        <f>IF(R322="","", IF(ARBITRAGES!$H322="RAY",S321+ARBITRAGES!$K322,S321))</f>
        <v/>
      </c>
      <c r="T322" s="360"/>
      <c r="U322" s="360"/>
      <c r="V322" s="360"/>
      <c r="W322" s="360"/>
      <c r="X322" s="360"/>
      <c r="Y322" s="360"/>
      <c r="Z322" s="360"/>
      <c r="AA322" s="360"/>
      <c r="AB322" s="360"/>
      <c r="AC322" s="360"/>
      <c r="AD322" s="360"/>
      <c r="AE322" s="360"/>
      <c r="AF322" s="360"/>
      <c r="AG322" s="360"/>
      <c r="AH322" s="360"/>
    </row>
    <row r="323" ht="18.75" customHeight="1">
      <c r="A323" s="399"/>
      <c r="B323" s="375" t="str">
        <f>IF(A323="","", IF(ARBITRAGES!$H323="BTC",B322+ARBITRAGES!$K323,B322))</f>
        <v/>
      </c>
      <c r="C323" s="375" t="str">
        <f>IF(B323="","", IF(ARBITRAGES!$H323="eth",C322+ARBITRAGES!$K323,C322))</f>
        <v/>
      </c>
      <c r="D323" s="376" t="str">
        <f>IF(C323="","", IF(ARBITRAGES!$H323="ondo",D322+ARBITRAGES!$K323,D322))</f>
        <v/>
      </c>
      <c r="E323" s="376" t="str">
        <f>IF(D323="","", IF(ARBITRAGES!$H323="sol",E322+ARBITRAGES!$K323,E322))</f>
        <v/>
      </c>
      <c r="F323" s="377" t="str">
        <f>IF(E323="","", IF(ARBITRAGES!$H323="tao",F322+ARBITRAGES!$K323,F322))</f>
        <v/>
      </c>
      <c r="G323" s="378" t="str">
        <f>IF(F323="","", IF(ARBITRAGES!$H323="ron",G322+ARBITRAGES!$K323,G322))</f>
        <v/>
      </c>
      <c r="H323" s="378" t="str">
        <f>IF(G323="","", IF(ARBITRAGES!$H323="link",H322+ARBITRAGES!$K323,H322))</f>
        <v/>
      </c>
      <c r="I323" s="378" t="str">
        <f>IF(H323="","", IF(ARBITRAGES!$H323="doge",I322+ARBITRAGES!$K323,I322))</f>
        <v/>
      </c>
      <c r="J323" s="378" t="str">
        <f>IF(I323="","", IF(ARBITRAGES!$H323="shib",J322-ARBITRAGES!$K323,J322))</f>
        <v/>
      </c>
      <c r="K323" s="378" t="str">
        <f>IF(J323="","", IF(ARBITRAGES!$H323="cake",K322+ARBITRAGES!$K323,K322))</f>
        <v/>
      </c>
      <c r="L323" s="378" t="str">
        <f>IF(K323="","", IF(ARBITRAGES!$H323="JUP",L322+ARBITRAGES!$K323,L322))</f>
        <v/>
      </c>
      <c r="M323" s="376" t="str">
        <f>IF(L323="","", IF(ARBITRAGES!$H323="aave",M322+ARBITRAGES!$K323,M322))</f>
        <v/>
      </c>
      <c r="N323" s="378" t="str">
        <f>IF(M323="","", IF(ARBITRAGES!$H323="ckb",N322+ARBITRAGES!$K323,N322))</f>
        <v/>
      </c>
      <c r="O323" s="378" t="str">
        <f>IF(N323="","", IF(ARBITRAGES!$H323="pendle",O322-ARBITRAGES!$K323+0.1,O322))</f>
        <v/>
      </c>
      <c r="P323" s="378" t="str">
        <f>IF(O323="","", IF(ARBITRAGES!$H323="BOME",P322+ARBITRAGES!$K323,P322))</f>
        <v/>
      </c>
      <c r="Q323" s="378" t="str">
        <f>IF(P323="","", IF(ARBITRAGES!$H323="PEPE",Q322+ARBITRAGES!$K323,Q322))</f>
        <v/>
      </c>
      <c r="R323" s="378" t="str">
        <f>IF(Q323="","", IF(ARBITRAGES!$H323="WIF",R322+ARBITRAGES!$K323,R322))</f>
        <v/>
      </c>
      <c r="S323" s="378" t="str">
        <f>IF(R323="","", IF(ARBITRAGES!$H323="RAY",S322+ARBITRAGES!$K323,S322))</f>
        <v/>
      </c>
      <c r="T323" s="360"/>
      <c r="U323" s="360"/>
      <c r="V323" s="360"/>
      <c r="W323" s="360"/>
      <c r="X323" s="360"/>
      <c r="Y323" s="360"/>
      <c r="Z323" s="360"/>
      <c r="AA323" s="360"/>
      <c r="AB323" s="360"/>
      <c r="AC323" s="360"/>
      <c r="AD323" s="360"/>
      <c r="AE323" s="360"/>
      <c r="AF323" s="360"/>
      <c r="AG323" s="360"/>
      <c r="AH323" s="360"/>
    </row>
    <row r="324" ht="18.75" customHeight="1">
      <c r="A324" s="399"/>
      <c r="B324" s="375" t="str">
        <f>IF(A324="","", IF(ARBITRAGES!$H324="BTC",B323+ARBITRAGES!$K324,B323))</f>
        <v/>
      </c>
      <c r="C324" s="375" t="str">
        <f>IF(B324="","", IF(ARBITRAGES!$H324="eth",C323+ARBITRAGES!$K324,C323))</f>
        <v/>
      </c>
      <c r="D324" s="376" t="str">
        <f>IF(C324="","", IF(ARBITRAGES!$H324="ondo",D323+ARBITRAGES!$K324,D323))</f>
        <v/>
      </c>
      <c r="E324" s="376" t="str">
        <f>IF(D324="","", IF(ARBITRAGES!$H324="sol",E323+ARBITRAGES!$K324,E323))</f>
        <v/>
      </c>
      <c r="F324" s="377" t="str">
        <f>IF(E324="","", IF(ARBITRAGES!$H324="tao",F323+ARBITRAGES!$K324,F323))</f>
        <v/>
      </c>
      <c r="G324" s="378" t="str">
        <f>IF(F324="","", IF(ARBITRAGES!$H324="ron",G323+ARBITRAGES!$K324,G323))</f>
        <v/>
      </c>
      <c r="H324" s="378" t="str">
        <f>IF(G324="","", IF(ARBITRAGES!$H324="link",H323+ARBITRAGES!$K324,H323))</f>
        <v/>
      </c>
      <c r="I324" s="378" t="str">
        <f>IF(H324="","", IF(ARBITRAGES!$H324="doge",I323+ARBITRAGES!$K324,I323))</f>
        <v/>
      </c>
      <c r="J324" s="378" t="str">
        <f>IF(I324="","", IF(ARBITRAGES!$H324="shib",J323-ARBITRAGES!$K324,J323))</f>
        <v/>
      </c>
      <c r="K324" s="378" t="str">
        <f>IF(J324="","", IF(ARBITRAGES!$H324="cake",K323+ARBITRAGES!$K324,K323))</f>
        <v/>
      </c>
      <c r="L324" s="378" t="str">
        <f>IF(K324="","", IF(ARBITRAGES!$H324="JUP",L323+ARBITRAGES!$K324,L323))</f>
        <v/>
      </c>
      <c r="M324" s="376" t="str">
        <f>IF(L324="","", IF(ARBITRAGES!$H324="aave",M323+ARBITRAGES!$K324,M323))</f>
        <v/>
      </c>
      <c r="N324" s="378" t="str">
        <f>IF(M324="","", IF(ARBITRAGES!$H324="ckb",N323+ARBITRAGES!$K324,N323))</f>
        <v/>
      </c>
      <c r="O324" s="378" t="str">
        <f>IF(N324="","", IF(ARBITRAGES!$H324="pendle",O323-ARBITRAGES!$K324+0.1,O323))</f>
        <v/>
      </c>
      <c r="P324" s="378" t="str">
        <f>IF(O324="","", IF(ARBITRAGES!$H324="BOME",P323+ARBITRAGES!$K324,P323))</f>
        <v/>
      </c>
      <c r="Q324" s="378" t="str">
        <f>IF(P324="","", IF(ARBITRAGES!$H324="PEPE",Q323+ARBITRAGES!$K324,Q323))</f>
        <v/>
      </c>
      <c r="R324" s="378" t="str">
        <f>IF(Q324="","", IF(ARBITRAGES!$H324="WIF",R323+ARBITRAGES!$K324,R323))</f>
        <v/>
      </c>
      <c r="S324" s="378" t="str">
        <f>IF(R324="","", IF(ARBITRAGES!$H324="RAY",S323+ARBITRAGES!$K324,S323))</f>
        <v/>
      </c>
      <c r="T324" s="360"/>
      <c r="U324" s="360"/>
      <c r="V324" s="360"/>
      <c r="W324" s="360"/>
      <c r="X324" s="360"/>
      <c r="Y324" s="360"/>
      <c r="Z324" s="360"/>
      <c r="AA324" s="360"/>
      <c r="AB324" s="360"/>
      <c r="AC324" s="360"/>
      <c r="AD324" s="360"/>
      <c r="AE324" s="360"/>
      <c r="AF324" s="360"/>
      <c r="AG324" s="360"/>
      <c r="AH324" s="360"/>
    </row>
    <row r="325" ht="18.75" customHeight="1">
      <c r="A325" s="399"/>
      <c r="B325" s="375" t="str">
        <f>IF(A325="","", IF(ARBITRAGES!$H325="BTC",B324+ARBITRAGES!$K325,B324))</f>
        <v/>
      </c>
      <c r="C325" s="375" t="str">
        <f>IF(B325="","", IF(ARBITRAGES!$H325="eth",C324+ARBITRAGES!$K325,C324))</f>
        <v/>
      </c>
      <c r="D325" s="376" t="str">
        <f>IF(C325="","", IF(ARBITRAGES!$H325="ondo",D324+ARBITRAGES!$K325,D324))</f>
        <v/>
      </c>
      <c r="E325" s="376" t="str">
        <f>IF(D325="","", IF(ARBITRAGES!$H325="sol",E324+ARBITRAGES!$K325,E324))</f>
        <v/>
      </c>
      <c r="F325" s="377" t="str">
        <f>IF(E325="","", IF(ARBITRAGES!$H325="tao",F324+ARBITRAGES!$K325,F324))</f>
        <v/>
      </c>
      <c r="G325" s="378" t="str">
        <f>IF(F325="","", IF(ARBITRAGES!$H325="ron",G324+ARBITRAGES!$K325,G324))</f>
        <v/>
      </c>
      <c r="H325" s="378" t="str">
        <f>IF(G325="","", IF(ARBITRAGES!$H325="link",H324+ARBITRAGES!$K325,H324))</f>
        <v/>
      </c>
      <c r="I325" s="378" t="str">
        <f>IF(H325="","", IF(ARBITRAGES!$H325="doge",I324+ARBITRAGES!$K325,I324))</f>
        <v/>
      </c>
      <c r="J325" s="378" t="str">
        <f>IF(I325="","", IF(ARBITRAGES!$H325="shib",J324-ARBITRAGES!$K325,J324))</f>
        <v/>
      </c>
      <c r="K325" s="378" t="str">
        <f>IF(J325="","", IF(ARBITRAGES!$H325="cake",K324+ARBITRAGES!$K325,K324))</f>
        <v/>
      </c>
      <c r="L325" s="378" t="str">
        <f>IF(K325="","", IF(ARBITRAGES!$H325="JUP",L324+ARBITRAGES!$K325,L324))</f>
        <v/>
      </c>
      <c r="M325" s="376" t="str">
        <f>IF(L325="","", IF(ARBITRAGES!$H325="aave",M324+ARBITRAGES!$K325,M324))</f>
        <v/>
      </c>
      <c r="N325" s="378" t="str">
        <f>IF(M325="","", IF(ARBITRAGES!$H325="ckb",N324+ARBITRAGES!$K325,N324))</f>
        <v/>
      </c>
      <c r="O325" s="378" t="str">
        <f>IF(N325="","", IF(ARBITRAGES!$H325="pendle",O324-ARBITRAGES!$K325+0.1,O324))</f>
        <v/>
      </c>
      <c r="P325" s="378" t="str">
        <f>IF(O325="","", IF(ARBITRAGES!$H325="BOME",P324+ARBITRAGES!$K325,P324))</f>
        <v/>
      </c>
      <c r="Q325" s="378" t="str">
        <f>IF(P325="","", IF(ARBITRAGES!$H325="PEPE",Q324+ARBITRAGES!$K325,Q324))</f>
        <v/>
      </c>
      <c r="R325" s="378" t="str">
        <f>IF(Q325="","", IF(ARBITRAGES!$H325="WIF",R324+ARBITRAGES!$K325,R324))</f>
        <v/>
      </c>
      <c r="S325" s="378" t="str">
        <f>IF(R325="","", IF(ARBITRAGES!$H325="RAY",S324+ARBITRAGES!$K325,S324))</f>
        <v/>
      </c>
      <c r="T325" s="360"/>
      <c r="U325" s="360"/>
      <c r="V325" s="360"/>
      <c r="W325" s="360"/>
      <c r="X325" s="360"/>
      <c r="Y325" s="360"/>
      <c r="Z325" s="360"/>
      <c r="AA325" s="360"/>
      <c r="AB325" s="360"/>
      <c r="AC325" s="360"/>
      <c r="AD325" s="360"/>
      <c r="AE325" s="360"/>
      <c r="AF325" s="360"/>
      <c r="AG325" s="360"/>
      <c r="AH325" s="360"/>
    </row>
    <row r="326" ht="18.75" customHeight="1">
      <c r="A326" s="399"/>
      <c r="B326" s="375" t="str">
        <f>IF(A326="","", IF(ARBITRAGES!$H326="BTC",B325+ARBITRAGES!$K326,B325))</f>
        <v/>
      </c>
      <c r="C326" s="375" t="str">
        <f>IF(B326="","", IF(ARBITRAGES!$H326="eth",C325+ARBITRAGES!$K326,C325))</f>
        <v/>
      </c>
      <c r="D326" s="376" t="str">
        <f>IF(C326="","", IF(ARBITRAGES!$H326="ondo",D325+ARBITRAGES!$K326,D325))</f>
        <v/>
      </c>
      <c r="E326" s="376" t="str">
        <f>IF(D326="","", IF(ARBITRAGES!$H326="sol",E325+ARBITRAGES!$K326,E325))</f>
        <v/>
      </c>
      <c r="F326" s="377" t="str">
        <f>IF(E326="","", IF(ARBITRAGES!$H326="tao",F325+ARBITRAGES!$K326,F325))</f>
        <v/>
      </c>
      <c r="G326" s="378" t="str">
        <f>IF(F326="","", IF(ARBITRAGES!$H326="ron",G325+ARBITRAGES!$K326,G325))</f>
        <v/>
      </c>
      <c r="H326" s="378" t="str">
        <f>IF(G326="","", IF(ARBITRAGES!$H326="link",H325+ARBITRAGES!$K326,H325))</f>
        <v/>
      </c>
      <c r="I326" s="378" t="str">
        <f>IF(H326="","", IF(ARBITRAGES!$H326="doge",I325+ARBITRAGES!$K326,I325))</f>
        <v/>
      </c>
      <c r="J326" s="378" t="str">
        <f>IF(I326="","", IF(ARBITRAGES!$H326="shib",J325-ARBITRAGES!$K326,J325))</f>
        <v/>
      </c>
      <c r="K326" s="378" t="str">
        <f>IF(J326="","", IF(ARBITRAGES!$H326="cake",K325+ARBITRAGES!$K326,K325))</f>
        <v/>
      </c>
      <c r="L326" s="378" t="str">
        <f>IF(K326="","", IF(ARBITRAGES!$H326="JUP",L325+ARBITRAGES!$K326,L325))</f>
        <v/>
      </c>
      <c r="M326" s="376" t="str">
        <f>IF(L326="","", IF(ARBITRAGES!$H326="aave",M325+ARBITRAGES!$K326,M325))</f>
        <v/>
      </c>
      <c r="N326" s="378" t="str">
        <f>IF(M326="","", IF(ARBITRAGES!$H326="ckb",N325+ARBITRAGES!$K326,N325))</f>
        <v/>
      </c>
      <c r="O326" s="378" t="str">
        <f>IF(N326="","", IF(ARBITRAGES!$H326="pendle",O325-ARBITRAGES!$K326+0.1,O325))</f>
        <v/>
      </c>
      <c r="P326" s="378" t="str">
        <f>IF(O326="","", IF(ARBITRAGES!$H326="BOME",P325+ARBITRAGES!$K326,P325))</f>
        <v/>
      </c>
      <c r="Q326" s="378" t="str">
        <f>IF(P326="","", IF(ARBITRAGES!$H326="PEPE",Q325+ARBITRAGES!$K326,Q325))</f>
        <v/>
      </c>
      <c r="R326" s="378" t="str">
        <f>IF(Q326="","", IF(ARBITRAGES!$H326="WIF",R325+ARBITRAGES!$K326,R325))</f>
        <v/>
      </c>
      <c r="S326" s="378" t="str">
        <f>IF(R326="","", IF(ARBITRAGES!$H326="RAY",S325+ARBITRAGES!$K326,S325))</f>
        <v/>
      </c>
      <c r="T326" s="360"/>
      <c r="U326" s="360"/>
      <c r="V326" s="360"/>
      <c r="W326" s="360"/>
      <c r="X326" s="360"/>
      <c r="Y326" s="360"/>
      <c r="Z326" s="360"/>
      <c r="AA326" s="360"/>
      <c r="AB326" s="360"/>
      <c r="AC326" s="360"/>
      <c r="AD326" s="360"/>
      <c r="AE326" s="360"/>
      <c r="AF326" s="360"/>
      <c r="AG326" s="360"/>
      <c r="AH326" s="360"/>
    </row>
    <row r="327" ht="18.75" customHeight="1">
      <c r="A327" s="399"/>
      <c r="B327" s="375" t="str">
        <f>IF(A327="","", IF(ARBITRAGES!$H327="BTC",B326+ARBITRAGES!$K327,B326))</f>
        <v/>
      </c>
      <c r="C327" s="375" t="str">
        <f>IF(B327="","", IF(ARBITRAGES!$H327="eth",C326+ARBITRAGES!$K327,C326))</f>
        <v/>
      </c>
      <c r="D327" s="376" t="str">
        <f>IF(C327="","", IF(ARBITRAGES!$H327="ondo",D326+ARBITRAGES!$K327,D326))</f>
        <v/>
      </c>
      <c r="E327" s="376" t="str">
        <f>IF(D327="","", IF(ARBITRAGES!$H327="sol",E326+ARBITRAGES!$K327,E326))</f>
        <v/>
      </c>
      <c r="F327" s="377" t="str">
        <f>IF(E327="","", IF(ARBITRAGES!$H327="tao",F326+ARBITRAGES!$K327,F326))</f>
        <v/>
      </c>
      <c r="G327" s="378" t="str">
        <f>IF(F327="","", IF(ARBITRAGES!$H327="ron",G326+ARBITRAGES!$K327,G326))</f>
        <v/>
      </c>
      <c r="H327" s="378" t="str">
        <f>IF(G327="","", IF(ARBITRAGES!$H327="link",H326+ARBITRAGES!$K327,H326))</f>
        <v/>
      </c>
      <c r="I327" s="378" t="str">
        <f>IF(H327="","", IF(ARBITRAGES!$H327="doge",I326+ARBITRAGES!$K327,I326))</f>
        <v/>
      </c>
      <c r="J327" s="378" t="str">
        <f>IF(I327="","", IF(ARBITRAGES!$H327="shib",J326-ARBITRAGES!$K327,J326))</f>
        <v/>
      </c>
      <c r="K327" s="378" t="str">
        <f>IF(J327="","", IF(ARBITRAGES!$H327="cake",K326+ARBITRAGES!$K327,K326))</f>
        <v/>
      </c>
      <c r="L327" s="378" t="str">
        <f>IF(K327="","", IF(ARBITRAGES!$H327="JUP",L326+ARBITRAGES!$K327,L326))</f>
        <v/>
      </c>
      <c r="M327" s="376" t="str">
        <f>IF(L327="","", IF(ARBITRAGES!$H327="aave",M326+ARBITRAGES!$K327,M326))</f>
        <v/>
      </c>
      <c r="N327" s="378" t="str">
        <f>IF(M327="","", IF(ARBITRAGES!$H327="ckb",N326+ARBITRAGES!$K327,N326))</f>
        <v/>
      </c>
      <c r="O327" s="378" t="str">
        <f>IF(N327="","", IF(ARBITRAGES!$H327="pendle",O326-ARBITRAGES!$K327+0.1,O326))</f>
        <v/>
      </c>
      <c r="P327" s="378" t="str">
        <f>IF(O327="","", IF(ARBITRAGES!$H327="BOME",P326+ARBITRAGES!$K327,P326))</f>
        <v/>
      </c>
      <c r="Q327" s="378" t="str">
        <f>IF(P327="","", IF(ARBITRAGES!$H327="PEPE",Q326+ARBITRAGES!$K327,Q326))</f>
        <v/>
      </c>
      <c r="R327" s="378" t="str">
        <f>IF(Q327="","", IF(ARBITRAGES!$H327="WIF",R326+ARBITRAGES!$K327,R326))</f>
        <v/>
      </c>
      <c r="S327" s="378" t="str">
        <f>IF(R327="","", IF(ARBITRAGES!$H327="RAY",S326+ARBITRAGES!$K327,S326))</f>
        <v/>
      </c>
      <c r="T327" s="360"/>
      <c r="U327" s="360"/>
      <c r="V327" s="360"/>
      <c r="W327" s="360"/>
      <c r="X327" s="360"/>
      <c r="Y327" s="360"/>
      <c r="Z327" s="360"/>
      <c r="AA327" s="360"/>
      <c r="AB327" s="360"/>
      <c r="AC327" s="360"/>
      <c r="AD327" s="360"/>
      <c r="AE327" s="360"/>
      <c r="AF327" s="360"/>
      <c r="AG327" s="360"/>
      <c r="AH327" s="360"/>
    </row>
    <row r="328" ht="18.75" customHeight="1">
      <c r="A328" s="399"/>
      <c r="B328" s="375" t="str">
        <f>IF(A328="","", IF(ARBITRAGES!$H328="BTC",B327+ARBITRAGES!$K328,B327))</f>
        <v/>
      </c>
      <c r="C328" s="375" t="str">
        <f>IF(B328="","", IF(ARBITRAGES!$H328="eth",C327+ARBITRAGES!$K328,C327))</f>
        <v/>
      </c>
      <c r="D328" s="376" t="str">
        <f>IF(C328="","", IF(ARBITRAGES!$H328="ondo",D327+ARBITRAGES!$K328,D327))</f>
        <v/>
      </c>
      <c r="E328" s="376" t="str">
        <f>IF(D328="","", IF(ARBITRAGES!$H328="sol",E327+ARBITRAGES!$K328,E327))</f>
        <v/>
      </c>
      <c r="F328" s="377" t="str">
        <f>IF(E328="","", IF(ARBITRAGES!$H328="tao",F327+ARBITRAGES!$K328,F327))</f>
        <v/>
      </c>
      <c r="G328" s="378" t="str">
        <f>IF(F328="","", IF(ARBITRAGES!$H328="ron",G327+ARBITRAGES!$K328,G327))</f>
        <v/>
      </c>
      <c r="H328" s="378" t="str">
        <f>IF(G328="","", IF(ARBITRAGES!$H328="link",H327+ARBITRAGES!$K328,H327))</f>
        <v/>
      </c>
      <c r="I328" s="378" t="str">
        <f>IF(H328="","", IF(ARBITRAGES!$H328="doge",I327+ARBITRAGES!$K328,I327))</f>
        <v/>
      </c>
      <c r="J328" s="378" t="str">
        <f>IF(I328="","", IF(ARBITRAGES!$H328="shib",J327-ARBITRAGES!$K328,J327))</f>
        <v/>
      </c>
      <c r="K328" s="378" t="str">
        <f>IF(J328="","", IF(ARBITRAGES!$H328="cake",K327+ARBITRAGES!$K328,K327))</f>
        <v/>
      </c>
      <c r="L328" s="378" t="str">
        <f>IF(K328="","", IF(ARBITRAGES!$H328="JUP",L327+ARBITRAGES!$K328,L327))</f>
        <v/>
      </c>
      <c r="M328" s="376" t="str">
        <f>IF(L328="","", IF(ARBITRAGES!$H328="aave",M327+ARBITRAGES!$K328,M327))</f>
        <v/>
      </c>
      <c r="N328" s="378" t="str">
        <f>IF(M328="","", IF(ARBITRAGES!$H328="ckb",N327+ARBITRAGES!$K328,N327))</f>
        <v/>
      </c>
      <c r="O328" s="378" t="str">
        <f>IF(N328="","", IF(ARBITRAGES!$H328="pendle",O327-ARBITRAGES!$K328+0.1,O327))</f>
        <v/>
      </c>
      <c r="P328" s="378" t="str">
        <f>IF(O328="","", IF(ARBITRAGES!$H328="BOME",P327+ARBITRAGES!$K328,P327))</f>
        <v/>
      </c>
      <c r="Q328" s="378" t="str">
        <f>IF(P328="","", IF(ARBITRAGES!$H328="PEPE",Q327+ARBITRAGES!$K328,Q327))</f>
        <v/>
      </c>
      <c r="R328" s="378" t="str">
        <f>IF(Q328="","", IF(ARBITRAGES!$H328="WIF",R327+ARBITRAGES!$K328,R327))</f>
        <v/>
      </c>
      <c r="S328" s="378" t="str">
        <f>IF(R328="","", IF(ARBITRAGES!$H328="RAY",S327+ARBITRAGES!$K328,S327))</f>
        <v/>
      </c>
      <c r="T328" s="360"/>
      <c r="U328" s="360"/>
      <c r="V328" s="360"/>
      <c r="W328" s="360"/>
      <c r="X328" s="360"/>
      <c r="Y328" s="360"/>
      <c r="Z328" s="360"/>
      <c r="AA328" s="360"/>
      <c r="AB328" s="360"/>
      <c r="AC328" s="360"/>
      <c r="AD328" s="360"/>
      <c r="AE328" s="360"/>
      <c r="AF328" s="360"/>
      <c r="AG328" s="360"/>
      <c r="AH328" s="360"/>
    </row>
    <row r="329" ht="18.75" customHeight="1">
      <c r="A329" s="399"/>
      <c r="B329" s="375" t="str">
        <f>IF(A329="","", IF(ARBITRAGES!$H329="BTC",B328+ARBITRAGES!$K329,B328))</f>
        <v/>
      </c>
      <c r="C329" s="375" t="str">
        <f>IF(B329="","", IF(ARBITRAGES!$H329="eth",C328+ARBITRAGES!$K329,C328))</f>
        <v/>
      </c>
      <c r="D329" s="376" t="str">
        <f>IF(C329="","", IF(ARBITRAGES!$H329="ondo",D328+ARBITRAGES!$K329,D328))</f>
        <v/>
      </c>
      <c r="E329" s="376" t="str">
        <f>IF(D329="","", IF(ARBITRAGES!$H329="sol",E328+ARBITRAGES!$K329,E328))</f>
        <v/>
      </c>
      <c r="F329" s="377" t="str">
        <f>IF(E329="","", IF(ARBITRAGES!$H329="tao",F328+ARBITRAGES!$K329,F328))</f>
        <v/>
      </c>
      <c r="G329" s="378" t="str">
        <f>IF(F329="","", IF(ARBITRAGES!$H329="ron",G328+ARBITRAGES!$K329,G328))</f>
        <v/>
      </c>
      <c r="H329" s="378" t="str">
        <f>IF(G329="","", IF(ARBITRAGES!$H329="link",H328+ARBITRAGES!$K329,H328))</f>
        <v/>
      </c>
      <c r="I329" s="378" t="str">
        <f>IF(H329="","", IF(ARBITRAGES!$H329="doge",I328+ARBITRAGES!$K329,I328))</f>
        <v/>
      </c>
      <c r="J329" s="378" t="str">
        <f>IF(I329="","", IF(ARBITRAGES!$H329="shib",J328-ARBITRAGES!$K329,J328))</f>
        <v/>
      </c>
      <c r="K329" s="378" t="str">
        <f>IF(J329="","", IF(ARBITRAGES!$H329="cake",K328+ARBITRAGES!$K329,K328))</f>
        <v/>
      </c>
      <c r="L329" s="378" t="str">
        <f>IF(K329="","", IF(ARBITRAGES!$H329="JUP",L328+ARBITRAGES!$K329,L328))</f>
        <v/>
      </c>
      <c r="M329" s="376" t="str">
        <f>IF(L329="","", IF(ARBITRAGES!$H329="aave",M328+ARBITRAGES!$K329,M328))</f>
        <v/>
      </c>
      <c r="N329" s="378" t="str">
        <f>IF(M329="","", IF(ARBITRAGES!$H329="ckb",N328+ARBITRAGES!$K329,N328))</f>
        <v/>
      </c>
      <c r="O329" s="378" t="str">
        <f>IF(N329="","", IF(ARBITRAGES!$H329="pendle",O328-ARBITRAGES!$K329+0.1,O328))</f>
        <v/>
      </c>
      <c r="P329" s="378" t="str">
        <f>IF(O329="","", IF(ARBITRAGES!$H329="BOME",P328+ARBITRAGES!$K329,P328))</f>
        <v/>
      </c>
      <c r="Q329" s="378" t="str">
        <f>IF(P329="","", IF(ARBITRAGES!$H329="PEPE",Q328+ARBITRAGES!$K329,Q328))</f>
        <v/>
      </c>
      <c r="R329" s="378" t="str">
        <f>IF(Q329="","", IF(ARBITRAGES!$H329="WIF",R328+ARBITRAGES!$K329,R328))</f>
        <v/>
      </c>
      <c r="S329" s="378" t="str">
        <f>IF(R329="","", IF(ARBITRAGES!$H329="RAY",S328+ARBITRAGES!$K329,S328))</f>
        <v/>
      </c>
      <c r="T329" s="360"/>
      <c r="U329" s="360"/>
      <c r="V329" s="360"/>
      <c r="W329" s="360"/>
      <c r="X329" s="360"/>
      <c r="Y329" s="360"/>
      <c r="Z329" s="360"/>
      <c r="AA329" s="360"/>
      <c r="AB329" s="360"/>
      <c r="AC329" s="360"/>
      <c r="AD329" s="360"/>
      <c r="AE329" s="360"/>
      <c r="AF329" s="360"/>
      <c r="AG329" s="360"/>
      <c r="AH329" s="360"/>
    </row>
    <row r="330" ht="18.75" customHeight="1">
      <c r="A330" s="399"/>
      <c r="B330" s="375" t="str">
        <f>IF(A330="","", IF(ARBITRAGES!$H330="BTC",B329+ARBITRAGES!$K330,B329))</f>
        <v/>
      </c>
      <c r="C330" s="375" t="str">
        <f>IF(B330="","", IF(ARBITRAGES!$H330="eth",C329+ARBITRAGES!$K330,C329))</f>
        <v/>
      </c>
      <c r="D330" s="376" t="str">
        <f>IF(C330="","", IF(ARBITRAGES!$H330="ondo",D329+ARBITRAGES!$K330,D329))</f>
        <v/>
      </c>
      <c r="E330" s="376" t="str">
        <f>IF(D330="","", IF(ARBITRAGES!$H330="sol",E329+ARBITRAGES!$K330,E329))</f>
        <v/>
      </c>
      <c r="F330" s="377" t="str">
        <f>IF(E330="","", IF(ARBITRAGES!$H330="tao",F329+ARBITRAGES!$K330,F329))</f>
        <v/>
      </c>
      <c r="G330" s="378" t="str">
        <f>IF(F330="","", IF(ARBITRAGES!$H330="ron",G329+ARBITRAGES!$K330,G329))</f>
        <v/>
      </c>
      <c r="H330" s="378" t="str">
        <f>IF(G330="","", IF(ARBITRAGES!$H330="link",H329+ARBITRAGES!$K330,H329))</f>
        <v/>
      </c>
      <c r="I330" s="378" t="str">
        <f>IF(H330="","", IF(ARBITRAGES!$H330="doge",I329+ARBITRAGES!$K330,I329))</f>
        <v/>
      </c>
      <c r="J330" s="378" t="str">
        <f>IF(I330="","", IF(ARBITRAGES!$H330="shib",J329-ARBITRAGES!$K330,J329))</f>
        <v/>
      </c>
      <c r="K330" s="378" t="str">
        <f>IF(J330="","", IF(ARBITRAGES!$H330="cake",K329+ARBITRAGES!$K330,K329))</f>
        <v/>
      </c>
      <c r="L330" s="378" t="str">
        <f>IF(K330="","", IF(ARBITRAGES!$H330="JUP",L329+ARBITRAGES!$K330,L329))</f>
        <v/>
      </c>
      <c r="M330" s="376" t="str">
        <f>IF(L330="","", IF(ARBITRAGES!$H330="aave",M329+ARBITRAGES!$K330,M329))</f>
        <v/>
      </c>
      <c r="N330" s="378" t="str">
        <f>IF(M330="","", IF(ARBITRAGES!$H330="ckb",N329+ARBITRAGES!$K330,N329))</f>
        <v/>
      </c>
      <c r="O330" s="378" t="str">
        <f>IF(N330="","", IF(ARBITRAGES!$H330="pendle",O329-ARBITRAGES!$K330+0.1,O329))</f>
        <v/>
      </c>
      <c r="P330" s="378" t="str">
        <f>IF(O330="","", IF(ARBITRAGES!$H330="BOME",P329+ARBITRAGES!$K330,P329))</f>
        <v/>
      </c>
      <c r="Q330" s="378" t="str">
        <f>IF(P330="","", IF(ARBITRAGES!$H330="PEPE",Q329+ARBITRAGES!$K330,Q329))</f>
        <v/>
      </c>
      <c r="R330" s="378" t="str">
        <f>IF(Q330="","", IF(ARBITRAGES!$H330="WIF",R329+ARBITRAGES!$K330,R329))</f>
        <v/>
      </c>
      <c r="S330" s="378" t="str">
        <f>IF(R330="","", IF(ARBITRAGES!$H330="RAY",S329+ARBITRAGES!$K330,S329))</f>
        <v/>
      </c>
      <c r="T330" s="360"/>
      <c r="U330" s="360"/>
      <c r="V330" s="360"/>
      <c r="W330" s="360"/>
      <c r="X330" s="360"/>
      <c r="Y330" s="360"/>
      <c r="Z330" s="360"/>
      <c r="AA330" s="360"/>
      <c r="AB330" s="360"/>
      <c r="AC330" s="360"/>
      <c r="AD330" s="360"/>
      <c r="AE330" s="360"/>
      <c r="AF330" s="360"/>
      <c r="AG330" s="360"/>
      <c r="AH330" s="360"/>
    </row>
    <row r="331" ht="18.75" customHeight="1">
      <c r="A331" s="399"/>
      <c r="B331" s="375" t="str">
        <f>IF(A331="","", IF(ARBITRAGES!$H331="BTC",B330+ARBITRAGES!$K331,B330))</f>
        <v/>
      </c>
      <c r="C331" s="375" t="str">
        <f>IF(B331="","", IF(ARBITRAGES!$H331="eth",C330+ARBITRAGES!$K331,C330))</f>
        <v/>
      </c>
      <c r="D331" s="376" t="str">
        <f>IF(C331="","", IF(ARBITRAGES!$H331="ondo",D330+ARBITRAGES!$K331,D330))</f>
        <v/>
      </c>
      <c r="E331" s="376" t="str">
        <f>IF(D331="","", IF(ARBITRAGES!$H331="sol",E330+ARBITRAGES!$K331,E330))</f>
        <v/>
      </c>
      <c r="F331" s="377" t="str">
        <f>IF(E331="","", IF(ARBITRAGES!$H331="tao",F330+ARBITRAGES!$K331,F330))</f>
        <v/>
      </c>
      <c r="G331" s="378" t="str">
        <f>IF(F331="","", IF(ARBITRAGES!$H331="ron",G330+ARBITRAGES!$K331,G330))</f>
        <v/>
      </c>
      <c r="H331" s="378" t="str">
        <f>IF(G331="","", IF(ARBITRAGES!$H331="link",H330+ARBITRAGES!$K331,H330))</f>
        <v/>
      </c>
      <c r="I331" s="378" t="str">
        <f>IF(H331="","", IF(ARBITRAGES!$H331="doge",I330+ARBITRAGES!$K331,I330))</f>
        <v/>
      </c>
      <c r="J331" s="378" t="str">
        <f>IF(I331="","", IF(ARBITRAGES!$H331="shib",J330-ARBITRAGES!$K331,J330))</f>
        <v/>
      </c>
      <c r="K331" s="378" t="str">
        <f>IF(J331="","", IF(ARBITRAGES!$H331="cake",K330+ARBITRAGES!$K331,K330))</f>
        <v/>
      </c>
      <c r="L331" s="378" t="str">
        <f>IF(K331="","", IF(ARBITRAGES!$H331="JUP",L330+ARBITRAGES!$K331,L330))</f>
        <v/>
      </c>
      <c r="M331" s="376" t="str">
        <f>IF(L331="","", IF(ARBITRAGES!$H331="aave",M330+ARBITRAGES!$K331,M330))</f>
        <v/>
      </c>
      <c r="N331" s="378" t="str">
        <f>IF(M331="","", IF(ARBITRAGES!$H331="ckb",N330+ARBITRAGES!$K331,N330))</f>
        <v/>
      </c>
      <c r="O331" s="378" t="str">
        <f>IF(N331="","", IF(ARBITRAGES!$H331="pendle",O330-ARBITRAGES!$K331+0.1,O330))</f>
        <v/>
      </c>
      <c r="P331" s="378" t="str">
        <f>IF(O331="","", IF(ARBITRAGES!$H331="BOME",P330+ARBITRAGES!$K331,P330))</f>
        <v/>
      </c>
      <c r="Q331" s="378" t="str">
        <f>IF(P331="","", IF(ARBITRAGES!$H331="PEPE",Q330+ARBITRAGES!$K331,Q330))</f>
        <v/>
      </c>
      <c r="R331" s="378" t="str">
        <f>IF(Q331="","", IF(ARBITRAGES!$H331="WIF",R330+ARBITRAGES!$K331,R330))</f>
        <v/>
      </c>
      <c r="S331" s="378" t="str">
        <f>IF(R331="","", IF(ARBITRAGES!$H331="RAY",S330+ARBITRAGES!$K331,S330))</f>
        <v/>
      </c>
      <c r="T331" s="360"/>
      <c r="U331" s="360"/>
      <c r="V331" s="360"/>
      <c r="W331" s="360"/>
      <c r="X331" s="360"/>
      <c r="Y331" s="360"/>
      <c r="Z331" s="360"/>
      <c r="AA331" s="360"/>
      <c r="AB331" s="360"/>
      <c r="AC331" s="360"/>
      <c r="AD331" s="360"/>
      <c r="AE331" s="360"/>
      <c r="AF331" s="360"/>
      <c r="AG331" s="360"/>
      <c r="AH331" s="360"/>
    </row>
    <row r="332" ht="18.75" customHeight="1">
      <c r="A332" s="399"/>
      <c r="B332" s="375" t="str">
        <f>IF(A332="","", IF(ARBITRAGES!$H332="BTC",B331+ARBITRAGES!$K332,B331))</f>
        <v/>
      </c>
      <c r="C332" s="375" t="str">
        <f>IF(B332="","", IF(ARBITRAGES!$H332="eth",C331+ARBITRAGES!$K332,C331))</f>
        <v/>
      </c>
      <c r="D332" s="376" t="str">
        <f>IF(C332="","", IF(ARBITRAGES!$H332="ondo",D331+ARBITRAGES!$K332,D331))</f>
        <v/>
      </c>
      <c r="E332" s="376" t="str">
        <f>IF(D332="","", IF(ARBITRAGES!$H332="sol",E331+ARBITRAGES!$K332,E331))</f>
        <v/>
      </c>
      <c r="F332" s="377" t="str">
        <f>IF(E332="","", IF(ARBITRAGES!$H332="tao",F331+ARBITRAGES!$K332,F331))</f>
        <v/>
      </c>
      <c r="G332" s="378" t="str">
        <f>IF(F332="","", IF(ARBITRAGES!$H332="ron",G331+ARBITRAGES!$K332,G331))</f>
        <v/>
      </c>
      <c r="H332" s="378" t="str">
        <f>IF(G332="","", IF(ARBITRAGES!$H332="link",H331+ARBITRAGES!$K332,H331))</f>
        <v/>
      </c>
      <c r="I332" s="378" t="str">
        <f>IF(H332="","", IF(ARBITRAGES!$H332="doge",I331+ARBITRAGES!$K332,I331))</f>
        <v/>
      </c>
      <c r="J332" s="378" t="str">
        <f>IF(I332="","", IF(ARBITRAGES!$H332="shib",J331-ARBITRAGES!$K332,J331))</f>
        <v/>
      </c>
      <c r="K332" s="378" t="str">
        <f>IF(J332="","", IF(ARBITRAGES!$H332="cake",K331+ARBITRAGES!$K332,K331))</f>
        <v/>
      </c>
      <c r="L332" s="378" t="str">
        <f>IF(K332="","", IF(ARBITRAGES!$H332="JUP",L331+ARBITRAGES!$K332,L331))</f>
        <v/>
      </c>
      <c r="M332" s="376" t="str">
        <f>IF(L332="","", IF(ARBITRAGES!$H332="aave",M331+ARBITRAGES!$K332,M331))</f>
        <v/>
      </c>
      <c r="N332" s="378" t="str">
        <f>IF(M332="","", IF(ARBITRAGES!$H332="ckb",N331+ARBITRAGES!$K332,N331))</f>
        <v/>
      </c>
      <c r="O332" s="378" t="str">
        <f>IF(N332="","", IF(ARBITRAGES!$H332="pendle",O331-ARBITRAGES!$K332+0.1,O331))</f>
        <v/>
      </c>
      <c r="P332" s="378" t="str">
        <f>IF(O332="","", IF(ARBITRAGES!$H332="BOME",P331+ARBITRAGES!$K332,P331))</f>
        <v/>
      </c>
      <c r="Q332" s="378" t="str">
        <f>IF(P332="","", IF(ARBITRAGES!$H332="PEPE",Q331+ARBITRAGES!$K332,Q331))</f>
        <v/>
      </c>
      <c r="R332" s="378" t="str">
        <f>IF(Q332="","", IF(ARBITRAGES!$H332="WIF",R331+ARBITRAGES!$K332,R331))</f>
        <v/>
      </c>
      <c r="S332" s="378" t="str">
        <f>IF(R332="","", IF(ARBITRAGES!$H332="RAY",S331+ARBITRAGES!$K332,S331))</f>
        <v/>
      </c>
      <c r="T332" s="360"/>
      <c r="U332" s="360"/>
      <c r="V332" s="360"/>
      <c r="W332" s="360"/>
      <c r="X332" s="360"/>
      <c r="Y332" s="360"/>
      <c r="Z332" s="360"/>
      <c r="AA332" s="360"/>
      <c r="AB332" s="360"/>
      <c r="AC332" s="360"/>
      <c r="AD332" s="360"/>
      <c r="AE332" s="360"/>
      <c r="AF332" s="360"/>
      <c r="AG332" s="360"/>
      <c r="AH332" s="360"/>
    </row>
    <row r="333" ht="18.75" customHeight="1">
      <c r="A333" s="399"/>
      <c r="B333" s="375" t="str">
        <f>IF(A333="","", IF(ARBITRAGES!$H333="BTC",B332+ARBITRAGES!$K333,B332))</f>
        <v/>
      </c>
      <c r="C333" s="375" t="str">
        <f>IF(B333="","", IF(ARBITRAGES!$H333="eth",C332+ARBITRAGES!$K333,C332))</f>
        <v/>
      </c>
      <c r="D333" s="376" t="str">
        <f>IF(C333="","", IF(ARBITRAGES!$H333="ondo",D332+ARBITRAGES!$K333,D332))</f>
        <v/>
      </c>
      <c r="E333" s="376" t="str">
        <f>IF(D333="","", IF(ARBITRAGES!$H333="sol",E332+ARBITRAGES!$K333,E332))</f>
        <v/>
      </c>
      <c r="F333" s="377" t="str">
        <f>IF(E333="","", IF(ARBITRAGES!$H333="tao",F332+ARBITRAGES!$K333,F332))</f>
        <v/>
      </c>
      <c r="G333" s="378" t="str">
        <f>IF(F333="","", IF(ARBITRAGES!$H333="ron",G332+ARBITRAGES!$K333,G332))</f>
        <v/>
      </c>
      <c r="H333" s="378" t="str">
        <f>IF(G333="","", IF(ARBITRAGES!$H333="link",H332+ARBITRAGES!$K333,H332))</f>
        <v/>
      </c>
      <c r="I333" s="378" t="str">
        <f>IF(H333="","", IF(ARBITRAGES!$H333="doge",I332+ARBITRAGES!$K333,I332))</f>
        <v/>
      </c>
      <c r="J333" s="378" t="str">
        <f>IF(I333="","", IF(ARBITRAGES!$H333="shib",J332-ARBITRAGES!$K333,J332))</f>
        <v/>
      </c>
      <c r="K333" s="378" t="str">
        <f>IF(J333="","", IF(ARBITRAGES!$H333="cake",K332+ARBITRAGES!$K333,K332))</f>
        <v/>
      </c>
      <c r="L333" s="378" t="str">
        <f>IF(K333="","", IF(ARBITRAGES!$H333="JUP",L332+ARBITRAGES!$K333,L332))</f>
        <v/>
      </c>
      <c r="M333" s="376" t="str">
        <f>IF(L333="","", IF(ARBITRAGES!$H333="aave",M332+ARBITRAGES!$K333,M332))</f>
        <v/>
      </c>
      <c r="N333" s="378" t="str">
        <f>IF(M333="","", IF(ARBITRAGES!$H333="ckb",N332+ARBITRAGES!$K333,N332))</f>
        <v/>
      </c>
      <c r="O333" s="378" t="str">
        <f>IF(N333="","", IF(ARBITRAGES!$H333="pendle",O332-ARBITRAGES!$K333+0.1,O332))</f>
        <v/>
      </c>
      <c r="P333" s="378" t="str">
        <f>IF(O333="","", IF(ARBITRAGES!$H333="BOME",P332+ARBITRAGES!$K333,P332))</f>
        <v/>
      </c>
      <c r="Q333" s="378" t="str">
        <f>IF(P333="","", IF(ARBITRAGES!$H333="PEPE",Q332+ARBITRAGES!$K333,Q332))</f>
        <v/>
      </c>
      <c r="R333" s="378" t="str">
        <f>IF(Q333="","", IF(ARBITRAGES!$H333="WIF",R332+ARBITRAGES!$K333,R332))</f>
        <v/>
      </c>
      <c r="S333" s="378" t="str">
        <f>IF(R333="","", IF(ARBITRAGES!$H333="RAY",S332+ARBITRAGES!$K333,S332))</f>
        <v/>
      </c>
      <c r="T333" s="360"/>
      <c r="U333" s="360"/>
      <c r="V333" s="360"/>
      <c r="W333" s="360"/>
      <c r="X333" s="360"/>
      <c r="Y333" s="360"/>
      <c r="Z333" s="360"/>
      <c r="AA333" s="360"/>
      <c r="AB333" s="360"/>
      <c r="AC333" s="360"/>
      <c r="AD333" s="360"/>
      <c r="AE333" s="360"/>
      <c r="AF333" s="360"/>
      <c r="AG333" s="360"/>
      <c r="AH333" s="360"/>
    </row>
    <row r="334" ht="18.75" customHeight="1">
      <c r="A334" s="399"/>
      <c r="B334" s="375" t="str">
        <f>IF(A334="","", IF(ARBITRAGES!$H334="BTC",B333+ARBITRAGES!$K334,B333))</f>
        <v/>
      </c>
      <c r="C334" s="375" t="str">
        <f>IF(B334="","", IF(ARBITRAGES!$H334="eth",C333+ARBITRAGES!$K334,C333))</f>
        <v/>
      </c>
      <c r="D334" s="376" t="str">
        <f>IF(C334="","", IF(ARBITRAGES!$H334="ondo",D333+ARBITRAGES!$K334,D333))</f>
        <v/>
      </c>
      <c r="E334" s="376" t="str">
        <f>IF(D334="","", IF(ARBITRAGES!$H334="sol",E333+ARBITRAGES!$K334,E333))</f>
        <v/>
      </c>
      <c r="F334" s="377" t="str">
        <f>IF(E334="","", IF(ARBITRAGES!$H334="tao",F333+ARBITRAGES!$K334,F333))</f>
        <v/>
      </c>
      <c r="G334" s="378" t="str">
        <f>IF(F334="","", IF(ARBITRAGES!$H334="ron",G333+ARBITRAGES!$K334,G333))</f>
        <v/>
      </c>
      <c r="H334" s="378" t="str">
        <f>IF(G334="","", IF(ARBITRAGES!$H334="link",H333+ARBITRAGES!$K334,H333))</f>
        <v/>
      </c>
      <c r="I334" s="378" t="str">
        <f>IF(H334="","", IF(ARBITRAGES!$H334="doge",I333+ARBITRAGES!$K334,I333))</f>
        <v/>
      </c>
      <c r="J334" s="378" t="str">
        <f>IF(I334="","", IF(ARBITRAGES!$H334="shib",J333-ARBITRAGES!$K334,J333))</f>
        <v/>
      </c>
      <c r="K334" s="378" t="str">
        <f>IF(J334="","", IF(ARBITRAGES!$H334="cake",K333+ARBITRAGES!$K334,K333))</f>
        <v/>
      </c>
      <c r="L334" s="378" t="str">
        <f>IF(K334="","", IF(ARBITRAGES!$H334="JUP",L333+ARBITRAGES!$K334,L333))</f>
        <v/>
      </c>
      <c r="M334" s="376" t="str">
        <f>IF(L334="","", IF(ARBITRAGES!$H334="aave",M333+ARBITRAGES!$K334,M333))</f>
        <v/>
      </c>
      <c r="N334" s="378" t="str">
        <f>IF(M334="","", IF(ARBITRAGES!$H334="ckb",N333+ARBITRAGES!$K334,N333))</f>
        <v/>
      </c>
      <c r="O334" s="378" t="str">
        <f>IF(N334="","", IF(ARBITRAGES!$H334="pendle",O333-ARBITRAGES!$K334+0.1,O333))</f>
        <v/>
      </c>
      <c r="P334" s="378" t="str">
        <f>IF(O334="","", IF(ARBITRAGES!$H334="BOME",P333+ARBITRAGES!$K334,P333))</f>
        <v/>
      </c>
      <c r="Q334" s="378" t="str">
        <f>IF(P334="","", IF(ARBITRAGES!$H334="PEPE",Q333+ARBITRAGES!$K334,Q333))</f>
        <v/>
      </c>
      <c r="R334" s="378" t="str">
        <f>IF(Q334="","", IF(ARBITRAGES!$H334="WIF",R333+ARBITRAGES!$K334,R333))</f>
        <v/>
      </c>
      <c r="S334" s="378" t="str">
        <f>IF(R334="","", IF(ARBITRAGES!$H334="RAY",S333+ARBITRAGES!$K334,S333))</f>
        <v/>
      </c>
      <c r="T334" s="360"/>
      <c r="U334" s="360"/>
      <c r="V334" s="360"/>
      <c r="W334" s="360"/>
      <c r="X334" s="360"/>
      <c r="Y334" s="360"/>
      <c r="Z334" s="360"/>
      <c r="AA334" s="360"/>
      <c r="AB334" s="360"/>
      <c r="AC334" s="360"/>
      <c r="AD334" s="360"/>
      <c r="AE334" s="360"/>
      <c r="AF334" s="360"/>
      <c r="AG334" s="360"/>
      <c r="AH334" s="360"/>
    </row>
    <row r="335" ht="18.75" customHeight="1">
      <c r="A335" s="399"/>
      <c r="B335" s="375" t="str">
        <f>IF(A335="","", IF(ARBITRAGES!$H335="BTC",B334+ARBITRAGES!$K335,B334))</f>
        <v/>
      </c>
      <c r="C335" s="375" t="str">
        <f>IF(B335="","", IF(ARBITRAGES!$H335="eth",C334+ARBITRAGES!$K335,C334))</f>
        <v/>
      </c>
      <c r="D335" s="376" t="str">
        <f>IF(C335="","", IF(ARBITRAGES!$H335="ondo",D334+ARBITRAGES!$K335,D334))</f>
        <v/>
      </c>
      <c r="E335" s="376" t="str">
        <f>IF(D335="","", IF(ARBITRAGES!$H335="sol",E334+ARBITRAGES!$K335,E334))</f>
        <v/>
      </c>
      <c r="F335" s="377" t="str">
        <f>IF(E335="","", IF(ARBITRAGES!$H335="tao",F334+ARBITRAGES!$K335,F334))</f>
        <v/>
      </c>
      <c r="G335" s="378" t="str">
        <f>IF(F335="","", IF(ARBITRAGES!$H335="ron",G334+ARBITRAGES!$K335,G334))</f>
        <v/>
      </c>
      <c r="H335" s="378" t="str">
        <f>IF(G335="","", IF(ARBITRAGES!$H335="link",H334+ARBITRAGES!$K335,H334))</f>
        <v/>
      </c>
      <c r="I335" s="378" t="str">
        <f>IF(H335="","", IF(ARBITRAGES!$H335="doge",I334+ARBITRAGES!$K335,I334))</f>
        <v/>
      </c>
      <c r="J335" s="378" t="str">
        <f>IF(I335="","", IF(ARBITRAGES!$H335="shib",J334-ARBITRAGES!$K335,J334))</f>
        <v/>
      </c>
      <c r="K335" s="378" t="str">
        <f>IF(J335="","", IF(ARBITRAGES!$H335="cake",K334+ARBITRAGES!$K335,K334))</f>
        <v/>
      </c>
      <c r="L335" s="378" t="str">
        <f>IF(K335="","", IF(ARBITRAGES!$H335="JUP",L334+ARBITRAGES!$K335,L334))</f>
        <v/>
      </c>
      <c r="M335" s="376" t="str">
        <f>IF(L335="","", IF(ARBITRAGES!$H335="aave",M334+ARBITRAGES!$K335,M334))</f>
        <v/>
      </c>
      <c r="N335" s="378" t="str">
        <f>IF(M335="","", IF(ARBITRAGES!$H335="ckb",N334+ARBITRAGES!$K335,N334))</f>
        <v/>
      </c>
      <c r="O335" s="378" t="str">
        <f>IF(N335="","", IF(ARBITRAGES!$H335="pendle",O334-ARBITRAGES!$K335+0.1,O334))</f>
        <v/>
      </c>
      <c r="P335" s="378" t="str">
        <f>IF(O335="","", IF(ARBITRAGES!$H335="BOME",P334+ARBITRAGES!$K335,P334))</f>
        <v/>
      </c>
      <c r="Q335" s="378" t="str">
        <f>IF(P335="","", IF(ARBITRAGES!$H335="PEPE",Q334+ARBITRAGES!$K335,Q334))</f>
        <v/>
      </c>
      <c r="R335" s="378" t="str">
        <f>IF(Q335="","", IF(ARBITRAGES!$H335="WIF",R334+ARBITRAGES!$K335,R334))</f>
        <v/>
      </c>
      <c r="S335" s="378" t="str">
        <f>IF(R335="","", IF(ARBITRAGES!$H335="RAY",S334+ARBITRAGES!$K335,S334))</f>
        <v/>
      </c>
      <c r="T335" s="360"/>
      <c r="U335" s="360"/>
      <c r="V335" s="360"/>
      <c r="W335" s="360"/>
      <c r="X335" s="360"/>
      <c r="Y335" s="360"/>
      <c r="Z335" s="360"/>
      <c r="AA335" s="360"/>
      <c r="AB335" s="360"/>
      <c r="AC335" s="360"/>
      <c r="AD335" s="360"/>
      <c r="AE335" s="360"/>
      <c r="AF335" s="360"/>
      <c r="AG335" s="360"/>
      <c r="AH335" s="360"/>
    </row>
    <row r="336" ht="18.75" customHeight="1">
      <c r="A336" s="399"/>
      <c r="B336" s="375" t="str">
        <f>IF(A336="","", IF(ARBITRAGES!$H336="BTC",B335+ARBITRAGES!$K336,B335))</f>
        <v/>
      </c>
      <c r="C336" s="375" t="str">
        <f>IF(B336="","", IF(ARBITRAGES!$H336="eth",C335+ARBITRAGES!$K336,C335))</f>
        <v/>
      </c>
      <c r="D336" s="376" t="str">
        <f>IF(C336="","", IF(ARBITRAGES!$H336="ondo",D335+ARBITRAGES!$K336,D335))</f>
        <v/>
      </c>
      <c r="E336" s="376" t="str">
        <f>IF(D336="","", IF(ARBITRAGES!$H336="sol",E335+ARBITRAGES!$K336,E335))</f>
        <v/>
      </c>
      <c r="F336" s="377" t="str">
        <f>IF(E336="","", IF(ARBITRAGES!$H336="tao",F335+ARBITRAGES!$K336,F335))</f>
        <v/>
      </c>
      <c r="G336" s="378" t="str">
        <f>IF(F336="","", IF(ARBITRAGES!$H336="ron",G335+ARBITRAGES!$K336,G335))</f>
        <v/>
      </c>
      <c r="H336" s="378" t="str">
        <f>IF(G336="","", IF(ARBITRAGES!$H336="link",H335+ARBITRAGES!$K336,H335))</f>
        <v/>
      </c>
      <c r="I336" s="378" t="str">
        <f>IF(H336="","", IF(ARBITRAGES!$H336="doge",I335+ARBITRAGES!$K336,I335))</f>
        <v/>
      </c>
      <c r="J336" s="378" t="str">
        <f>IF(I336="","", IF(ARBITRAGES!$H336="shib",J335-ARBITRAGES!$K336,J335))</f>
        <v/>
      </c>
      <c r="K336" s="378" t="str">
        <f>IF(J336="","", IF(ARBITRAGES!$H336="cake",K335+ARBITRAGES!$K336,K335))</f>
        <v/>
      </c>
      <c r="L336" s="378" t="str">
        <f>IF(K336="","", IF(ARBITRAGES!$H336="JUP",L335+ARBITRAGES!$K336,L335))</f>
        <v/>
      </c>
      <c r="M336" s="376" t="str">
        <f>IF(L336="","", IF(ARBITRAGES!$H336="aave",M335+ARBITRAGES!$K336,M335))</f>
        <v/>
      </c>
      <c r="N336" s="378" t="str">
        <f>IF(M336="","", IF(ARBITRAGES!$H336="ckb",N335+ARBITRAGES!$K336,N335))</f>
        <v/>
      </c>
      <c r="O336" s="378" t="str">
        <f>IF(N336="","", IF(ARBITRAGES!$H336="pendle",O335-ARBITRAGES!$K336+0.1,O335))</f>
        <v/>
      </c>
      <c r="P336" s="378" t="str">
        <f>IF(O336="","", IF(ARBITRAGES!$H336="BOME",P335+ARBITRAGES!$K336,P335))</f>
        <v/>
      </c>
      <c r="Q336" s="378" t="str">
        <f>IF(P336="","", IF(ARBITRAGES!$H336="PEPE",Q335+ARBITRAGES!$K336,Q335))</f>
        <v/>
      </c>
      <c r="R336" s="378" t="str">
        <f>IF(Q336="","", IF(ARBITRAGES!$H336="WIF",R335+ARBITRAGES!$K336,R335))</f>
        <v/>
      </c>
      <c r="S336" s="378" t="str">
        <f>IF(R336="","", IF(ARBITRAGES!$H336="RAY",S335+ARBITRAGES!$K336,S335))</f>
        <v/>
      </c>
      <c r="T336" s="360"/>
      <c r="U336" s="360"/>
      <c r="V336" s="360"/>
      <c r="W336" s="360"/>
      <c r="X336" s="360"/>
      <c r="Y336" s="360"/>
      <c r="Z336" s="360"/>
      <c r="AA336" s="360"/>
      <c r="AB336" s="360"/>
      <c r="AC336" s="360"/>
      <c r="AD336" s="360"/>
      <c r="AE336" s="360"/>
      <c r="AF336" s="360"/>
      <c r="AG336" s="360"/>
      <c r="AH336" s="360"/>
    </row>
    <row r="337" ht="18.75" customHeight="1">
      <c r="A337" s="399"/>
      <c r="B337" s="375" t="str">
        <f>IF(A337="","", IF(ARBITRAGES!$H337="BTC",B336+ARBITRAGES!$K337,B336))</f>
        <v/>
      </c>
      <c r="C337" s="375" t="str">
        <f>IF(B337="","", IF(ARBITRAGES!$H337="eth",C336+ARBITRAGES!$K337,C336))</f>
        <v/>
      </c>
      <c r="D337" s="376" t="str">
        <f>IF(C337="","", IF(ARBITRAGES!$H337="ondo",D336+ARBITRAGES!$K337,D336))</f>
        <v/>
      </c>
      <c r="E337" s="376" t="str">
        <f>IF(D337="","", IF(ARBITRAGES!$H337="sol",E336+ARBITRAGES!$K337,E336))</f>
        <v/>
      </c>
      <c r="F337" s="377" t="str">
        <f>IF(E337="","", IF(ARBITRAGES!$H337="tao",F336+ARBITRAGES!$K337,F336))</f>
        <v/>
      </c>
      <c r="G337" s="378" t="str">
        <f>IF(F337="","", IF(ARBITRAGES!$H337="ron",G336+ARBITRAGES!$K337,G336))</f>
        <v/>
      </c>
      <c r="H337" s="378" t="str">
        <f>IF(G337="","", IF(ARBITRAGES!$H337="link",H336+ARBITRAGES!$K337,H336))</f>
        <v/>
      </c>
      <c r="I337" s="378" t="str">
        <f>IF(H337="","", IF(ARBITRAGES!$H337="doge",I336+ARBITRAGES!$K337,I336))</f>
        <v/>
      </c>
      <c r="J337" s="378" t="str">
        <f>IF(I337="","", IF(ARBITRAGES!$H337="shib",J336-ARBITRAGES!$K337,J336))</f>
        <v/>
      </c>
      <c r="K337" s="378" t="str">
        <f>IF(J337="","", IF(ARBITRAGES!$H337="cake",K336+ARBITRAGES!$K337,K336))</f>
        <v/>
      </c>
      <c r="L337" s="378" t="str">
        <f>IF(K337="","", IF(ARBITRAGES!$H337="JUP",L336+ARBITRAGES!$K337,L336))</f>
        <v/>
      </c>
      <c r="M337" s="376" t="str">
        <f>IF(L337="","", IF(ARBITRAGES!$H337="aave",M336+ARBITRAGES!$K337,M336))</f>
        <v/>
      </c>
      <c r="N337" s="378" t="str">
        <f>IF(M337="","", IF(ARBITRAGES!$H337="ckb",N336+ARBITRAGES!$K337,N336))</f>
        <v/>
      </c>
      <c r="O337" s="378" t="str">
        <f>IF(N337="","", IF(ARBITRAGES!$H337="pendle",O336-ARBITRAGES!$K337+0.1,O336))</f>
        <v/>
      </c>
      <c r="P337" s="378" t="str">
        <f>IF(O337="","", IF(ARBITRAGES!$H337="BOME",P336+ARBITRAGES!$K337,P336))</f>
        <v/>
      </c>
      <c r="Q337" s="378" t="str">
        <f>IF(P337="","", IF(ARBITRAGES!$H337="PEPE",Q336+ARBITRAGES!$K337,Q336))</f>
        <v/>
      </c>
      <c r="R337" s="378" t="str">
        <f>IF(Q337="","", IF(ARBITRAGES!$H337="WIF",R336+ARBITRAGES!$K337,R336))</f>
        <v/>
      </c>
      <c r="S337" s="378" t="str">
        <f>IF(R337="","", IF(ARBITRAGES!$H337="RAY",S336+ARBITRAGES!$K337,S336))</f>
        <v/>
      </c>
      <c r="T337" s="360"/>
      <c r="U337" s="360"/>
      <c r="V337" s="360"/>
      <c r="W337" s="360"/>
      <c r="X337" s="360"/>
      <c r="Y337" s="360"/>
      <c r="Z337" s="360"/>
      <c r="AA337" s="360"/>
      <c r="AB337" s="360"/>
      <c r="AC337" s="360"/>
      <c r="AD337" s="360"/>
      <c r="AE337" s="360"/>
      <c r="AF337" s="360"/>
      <c r="AG337" s="360"/>
      <c r="AH337" s="360"/>
    </row>
    <row r="338" ht="18.75" customHeight="1">
      <c r="A338" s="399"/>
      <c r="B338" s="375" t="str">
        <f>IF(A338="","", IF(ARBITRAGES!$H338="BTC",B337+ARBITRAGES!$K338,B337))</f>
        <v/>
      </c>
      <c r="C338" s="375" t="str">
        <f>IF(B338="","", IF(ARBITRAGES!$H338="eth",C337+ARBITRAGES!$K338,C337))</f>
        <v/>
      </c>
      <c r="D338" s="376" t="str">
        <f>IF(C338="","", IF(ARBITRAGES!$H338="ondo",D337+ARBITRAGES!$K338,D337))</f>
        <v/>
      </c>
      <c r="E338" s="376" t="str">
        <f>IF(D338="","", IF(ARBITRAGES!$H338="sol",E337+ARBITRAGES!$K338,E337))</f>
        <v/>
      </c>
      <c r="F338" s="377" t="str">
        <f>IF(E338="","", IF(ARBITRAGES!$H338="tao",F337+ARBITRAGES!$K338,F337))</f>
        <v/>
      </c>
      <c r="G338" s="378" t="str">
        <f>IF(F338="","", IF(ARBITRAGES!$H338="ron",G337+ARBITRAGES!$K338,G337))</f>
        <v/>
      </c>
      <c r="H338" s="378" t="str">
        <f>IF(G338="","", IF(ARBITRAGES!$H338="link",H337+ARBITRAGES!$K338,H337))</f>
        <v/>
      </c>
      <c r="I338" s="378" t="str">
        <f>IF(H338="","", IF(ARBITRAGES!$H338="doge",I337+ARBITRAGES!$K338,I337))</f>
        <v/>
      </c>
      <c r="J338" s="378" t="str">
        <f>IF(I338="","", IF(ARBITRAGES!$H338="shib",J337-ARBITRAGES!$K338,J337))</f>
        <v/>
      </c>
      <c r="K338" s="378" t="str">
        <f>IF(J338="","", IF(ARBITRAGES!$H338="cake",K337+ARBITRAGES!$K338,K337))</f>
        <v/>
      </c>
      <c r="L338" s="378" t="str">
        <f>IF(K338="","", IF(ARBITRAGES!$H338="JUP",L337+ARBITRAGES!$K338,L337))</f>
        <v/>
      </c>
      <c r="M338" s="376" t="str">
        <f>IF(L338="","", IF(ARBITRAGES!$H338="aave",M337+ARBITRAGES!$K338,M337))</f>
        <v/>
      </c>
      <c r="N338" s="378" t="str">
        <f>IF(M338="","", IF(ARBITRAGES!$H338="ckb",N337+ARBITRAGES!$K338,N337))</f>
        <v/>
      </c>
      <c r="O338" s="378" t="str">
        <f>IF(N338="","", IF(ARBITRAGES!$H338="pendle",O337-ARBITRAGES!$K338+0.1,O337))</f>
        <v/>
      </c>
      <c r="P338" s="378" t="str">
        <f>IF(O338="","", IF(ARBITRAGES!$H338="BOME",P337+ARBITRAGES!$K338,P337))</f>
        <v/>
      </c>
      <c r="Q338" s="378" t="str">
        <f>IF(P338="","", IF(ARBITRAGES!$H338="PEPE",Q337+ARBITRAGES!$K338,Q337))</f>
        <v/>
      </c>
      <c r="R338" s="378" t="str">
        <f>IF(Q338="","", IF(ARBITRAGES!$H338="WIF",R337+ARBITRAGES!$K338,R337))</f>
        <v/>
      </c>
      <c r="S338" s="378" t="str">
        <f>IF(R338="","", IF(ARBITRAGES!$H338="RAY",S337+ARBITRAGES!$K338,S337))</f>
        <v/>
      </c>
      <c r="T338" s="360"/>
      <c r="U338" s="360"/>
      <c r="V338" s="360"/>
      <c r="W338" s="360"/>
      <c r="X338" s="360"/>
      <c r="Y338" s="360"/>
      <c r="Z338" s="360"/>
      <c r="AA338" s="360"/>
      <c r="AB338" s="360"/>
      <c r="AC338" s="360"/>
      <c r="AD338" s="360"/>
      <c r="AE338" s="360"/>
      <c r="AF338" s="360"/>
      <c r="AG338" s="360"/>
      <c r="AH338" s="360"/>
    </row>
    <row r="339" ht="18.75" customHeight="1">
      <c r="A339" s="399"/>
      <c r="B339" s="375" t="str">
        <f>IF(A339="","", IF(ARBITRAGES!$H339="BTC",B338+ARBITRAGES!$K339,B338))</f>
        <v/>
      </c>
      <c r="C339" s="375" t="str">
        <f>IF(B339="","", IF(ARBITRAGES!$H339="eth",C338+ARBITRAGES!$K339,C338))</f>
        <v/>
      </c>
      <c r="D339" s="376" t="str">
        <f>IF(C339="","", IF(ARBITRAGES!$H339="ondo",D338+ARBITRAGES!$K339,D338))</f>
        <v/>
      </c>
      <c r="E339" s="376" t="str">
        <f>IF(D339="","", IF(ARBITRAGES!$H339="sol",E338+ARBITRAGES!$K339,E338))</f>
        <v/>
      </c>
      <c r="F339" s="377" t="str">
        <f>IF(E339="","", IF(ARBITRAGES!$H339="tao",F338+ARBITRAGES!$K339,F338))</f>
        <v/>
      </c>
      <c r="G339" s="378" t="str">
        <f>IF(F339="","", IF(ARBITRAGES!$H339="ron",G338+ARBITRAGES!$K339,G338))</f>
        <v/>
      </c>
      <c r="H339" s="378" t="str">
        <f>IF(G339="","", IF(ARBITRAGES!$H339="link",H338+ARBITRAGES!$K339,H338))</f>
        <v/>
      </c>
      <c r="I339" s="378" t="str">
        <f>IF(H339="","", IF(ARBITRAGES!$H339="doge",I338+ARBITRAGES!$K339,I338))</f>
        <v/>
      </c>
      <c r="J339" s="378" t="str">
        <f>IF(I339="","", IF(ARBITRAGES!$H339="shib",J338-ARBITRAGES!$K339,J338))</f>
        <v/>
      </c>
      <c r="K339" s="378" t="str">
        <f>IF(J339="","", IF(ARBITRAGES!$H339="cake",K338+ARBITRAGES!$K339,K338))</f>
        <v/>
      </c>
      <c r="L339" s="378" t="str">
        <f>IF(K339="","", IF(ARBITRAGES!$H339="JUP",L338+ARBITRAGES!$K339,L338))</f>
        <v/>
      </c>
      <c r="M339" s="376" t="str">
        <f>IF(L339="","", IF(ARBITRAGES!$H339="aave",M338+ARBITRAGES!$K339,M338))</f>
        <v/>
      </c>
      <c r="N339" s="378" t="str">
        <f>IF(M339="","", IF(ARBITRAGES!$H339="ckb",N338+ARBITRAGES!$K339,N338))</f>
        <v/>
      </c>
      <c r="O339" s="378" t="str">
        <f>IF(N339="","", IF(ARBITRAGES!$H339="pendle",O338-ARBITRAGES!$K339+0.1,O338))</f>
        <v/>
      </c>
      <c r="P339" s="378" t="str">
        <f>IF(O339="","", IF(ARBITRAGES!$H339="BOME",P338+ARBITRAGES!$K339,P338))</f>
        <v/>
      </c>
      <c r="Q339" s="378" t="str">
        <f>IF(P339="","", IF(ARBITRAGES!$H339="PEPE",Q338+ARBITRAGES!$K339,Q338))</f>
        <v/>
      </c>
      <c r="R339" s="378" t="str">
        <f>IF(Q339="","", IF(ARBITRAGES!$H339="WIF",R338+ARBITRAGES!$K339,R338))</f>
        <v/>
      </c>
      <c r="S339" s="378" t="str">
        <f>IF(R339="","", IF(ARBITRAGES!$H339="RAY",S338+ARBITRAGES!$K339,S338))</f>
        <v/>
      </c>
      <c r="T339" s="360"/>
      <c r="U339" s="360"/>
      <c r="V339" s="360"/>
      <c r="W339" s="360"/>
      <c r="X339" s="360"/>
      <c r="Y339" s="360"/>
      <c r="Z339" s="360"/>
      <c r="AA339" s="360"/>
      <c r="AB339" s="360"/>
      <c r="AC339" s="360"/>
      <c r="AD339" s="360"/>
      <c r="AE339" s="360"/>
      <c r="AF339" s="360"/>
      <c r="AG339" s="360"/>
      <c r="AH339" s="360"/>
    </row>
    <row r="340" ht="18.75" customHeight="1">
      <c r="A340" s="399"/>
      <c r="B340" s="375" t="str">
        <f>IF(A340="","", IF(ARBITRAGES!$H340="BTC",B339+ARBITRAGES!$K340,B339))</f>
        <v/>
      </c>
      <c r="C340" s="375" t="str">
        <f>IF(B340="","", IF(ARBITRAGES!$H340="eth",C339+ARBITRAGES!$K340,C339))</f>
        <v/>
      </c>
      <c r="D340" s="376" t="str">
        <f>IF(C340="","", IF(ARBITRAGES!$H340="ondo",D339+ARBITRAGES!$K340,D339))</f>
        <v/>
      </c>
      <c r="E340" s="376" t="str">
        <f>IF(D340="","", IF(ARBITRAGES!$H340="sol",E339+ARBITRAGES!$K340,E339))</f>
        <v/>
      </c>
      <c r="F340" s="377" t="str">
        <f>IF(E340="","", IF(ARBITRAGES!$H340="tao",F339+ARBITRAGES!$K340,F339))</f>
        <v/>
      </c>
      <c r="G340" s="378" t="str">
        <f>IF(F340="","", IF(ARBITRAGES!$H340="ron",G339+ARBITRAGES!$K340,G339))</f>
        <v/>
      </c>
      <c r="H340" s="378" t="str">
        <f>IF(G340="","", IF(ARBITRAGES!$H340="link",H339+ARBITRAGES!$K340,H339))</f>
        <v/>
      </c>
      <c r="I340" s="378" t="str">
        <f>IF(H340="","", IF(ARBITRAGES!$H340="doge",I339+ARBITRAGES!$K340,I339))</f>
        <v/>
      </c>
      <c r="J340" s="378" t="str">
        <f>IF(I340="","", IF(ARBITRAGES!$H340="shib",J339-ARBITRAGES!$K340,J339))</f>
        <v/>
      </c>
      <c r="K340" s="378" t="str">
        <f>IF(J340="","", IF(ARBITRAGES!$H340="cake",K339+ARBITRAGES!$K340,K339))</f>
        <v/>
      </c>
      <c r="L340" s="378" t="str">
        <f>IF(K340="","", IF(ARBITRAGES!$H340="JUP",L339+ARBITRAGES!$K340,L339))</f>
        <v/>
      </c>
      <c r="M340" s="376" t="str">
        <f>IF(L340="","", IF(ARBITRAGES!$H340="aave",M339+ARBITRAGES!$K340,M339))</f>
        <v/>
      </c>
      <c r="N340" s="378" t="str">
        <f>IF(M340="","", IF(ARBITRAGES!$H340="ckb",N339+ARBITRAGES!$K340,N339))</f>
        <v/>
      </c>
      <c r="O340" s="378" t="str">
        <f>IF(N340="","", IF(ARBITRAGES!$H340="pendle",O339-ARBITRAGES!$K340+0.1,O339))</f>
        <v/>
      </c>
      <c r="P340" s="378" t="str">
        <f>IF(O340="","", IF(ARBITRAGES!$H340="BOME",P339+ARBITRAGES!$K340,P339))</f>
        <v/>
      </c>
      <c r="Q340" s="378" t="str">
        <f>IF(P340="","", IF(ARBITRAGES!$H340="PEPE",Q339+ARBITRAGES!$K340,Q339))</f>
        <v/>
      </c>
      <c r="R340" s="378" t="str">
        <f>IF(Q340="","", IF(ARBITRAGES!$H340="WIF",R339+ARBITRAGES!$K340,R339))</f>
        <v/>
      </c>
      <c r="S340" s="378" t="str">
        <f>IF(R340="","", IF(ARBITRAGES!$H340="RAY",S339+ARBITRAGES!$K340,S339))</f>
        <v/>
      </c>
      <c r="T340" s="360"/>
      <c r="U340" s="360"/>
      <c r="V340" s="360"/>
      <c r="W340" s="360"/>
      <c r="X340" s="360"/>
      <c r="Y340" s="360"/>
      <c r="Z340" s="360"/>
      <c r="AA340" s="360"/>
      <c r="AB340" s="360"/>
      <c r="AC340" s="360"/>
      <c r="AD340" s="360"/>
      <c r="AE340" s="360"/>
      <c r="AF340" s="360"/>
      <c r="AG340" s="360"/>
      <c r="AH340" s="360"/>
    </row>
    <row r="341" ht="18.75" customHeight="1">
      <c r="A341" s="399"/>
      <c r="B341" s="375" t="str">
        <f>IF(A341="","", IF(ARBITRAGES!$H341="BTC",B340+ARBITRAGES!$K341,B340))</f>
        <v/>
      </c>
      <c r="C341" s="375" t="str">
        <f>IF(B341="","", IF(ARBITRAGES!$H341="eth",C340+ARBITRAGES!$K341,C340))</f>
        <v/>
      </c>
      <c r="D341" s="376" t="str">
        <f>IF(C341="","", IF(ARBITRAGES!$H341="ondo",D340+ARBITRAGES!$K341,D340))</f>
        <v/>
      </c>
      <c r="E341" s="376" t="str">
        <f>IF(D341="","", IF(ARBITRAGES!$H341="sol",E340+ARBITRAGES!$K341,E340))</f>
        <v/>
      </c>
      <c r="F341" s="377" t="str">
        <f>IF(E341="","", IF(ARBITRAGES!$H341="tao",F340+ARBITRAGES!$K341,F340))</f>
        <v/>
      </c>
      <c r="G341" s="378" t="str">
        <f>IF(F341="","", IF(ARBITRAGES!$H341="ron",G340+ARBITRAGES!$K341,G340))</f>
        <v/>
      </c>
      <c r="H341" s="378" t="str">
        <f>IF(G341="","", IF(ARBITRAGES!$H341="link",H340+ARBITRAGES!$K341,H340))</f>
        <v/>
      </c>
      <c r="I341" s="378" t="str">
        <f>IF(H341="","", IF(ARBITRAGES!$H341="doge",I340+ARBITRAGES!$K341,I340))</f>
        <v/>
      </c>
      <c r="J341" s="378" t="str">
        <f>IF(I341="","", IF(ARBITRAGES!$H341="shib",J340-ARBITRAGES!$K341,J340))</f>
        <v/>
      </c>
      <c r="K341" s="378" t="str">
        <f>IF(J341="","", IF(ARBITRAGES!$H341="cake",K340+ARBITRAGES!$K341,K340))</f>
        <v/>
      </c>
      <c r="L341" s="378" t="str">
        <f>IF(K341="","", IF(ARBITRAGES!$H341="JUP",L340+ARBITRAGES!$K341,L340))</f>
        <v/>
      </c>
      <c r="M341" s="376" t="str">
        <f>IF(L341="","", IF(ARBITRAGES!$H341="aave",M340+ARBITRAGES!$K341,M340))</f>
        <v/>
      </c>
      <c r="N341" s="378" t="str">
        <f>IF(M341="","", IF(ARBITRAGES!$H341="ckb",N340+ARBITRAGES!$K341,N340))</f>
        <v/>
      </c>
      <c r="O341" s="378" t="str">
        <f>IF(N341="","", IF(ARBITRAGES!$H341="pendle",O340-ARBITRAGES!$K341+0.1,O340))</f>
        <v/>
      </c>
      <c r="P341" s="378" t="str">
        <f>IF(O341="","", IF(ARBITRAGES!$H341="BOME",P340+ARBITRAGES!$K341,P340))</f>
        <v/>
      </c>
      <c r="Q341" s="378" t="str">
        <f>IF(P341="","", IF(ARBITRAGES!$H341="PEPE",Q340+ARBITRAGES!$K341,Q340))</f>
        <v/>
      </c>
      <c r="R341" s="378" t="str">
        <f>IF(Q341="","", IF(ARBITRAGES!$H341="WIF",R340+ARBITRAGES!$K341,R340))</f>
        <v/>
      </c>
      <c r="S341" s="378" t="str">
        <f>IF(R341="","", IF(ARBITRAGES!$H341="RAY",S340+ARBITRAGES!$K341,S340))</f>
        <v/>
      </c>
      <c r="T341" s="360"/>
      <c r="U341" s="360"/>
      <c r="V341" s="360"/>
      <c r="W341" s="360"/>
      <c r="X341" s="360"/>
      <c r="Y341" s="360"/>
      <c r="Z341" s="360"/>
      <c r="AA341" s="360"/>
      <c r="AB341" s="360"/>
      <c r="AC341" s="360"/>
      <c r="AD341" s="360"/>
      <c r="AE341" s="360"/>
      <c r="AF341" s="360"/>
      <c r="AG341" s="360"/>
      <c r="AH341" s="360"/>
    </row>
    <row r="342" ht="18.75" customHeight="1">
      <c r="A342" s="399"/>
      <c r="B342" s="375" t="str">
        <f>IF(A342="","", IF(ARBITRAGES!$H342="BTC",B341+ARBITRAGES!$K342,B341))</f>
        <v/>
      </c>
      <c r="C342" s="375" t="str">
        <f>IF(B342="","", IF(ARBITRAGES!$H342="eth",C341+ARBITRAGES!$K342,C341))</f>
        <v/>
      </c>
      <c r="D342" s="376" t="str">
        <f>IF(C342="","", IF(ARBITRAGES!$H342="ondo",D341+ARBITRAGES!$K342,D341))</f>
        <v/>
      </c>
      <c r="E342" s="376" t="str">
        <f>IF(D342="","", IF(ARBITRAGES!$H342="sol",E341+ARBITRAGES!$K342,E341))</f>
        <v/>
      </c>
      <c r="F342" s="377" t="str">
        <f>IF(E342="","", IF(ARBITRAGES!$H342="tao",F341+ARBITRAGES!$K342,F341))</f>
        <v/>
      </c>
      <c r="G342" s="378" t="str">
        <f>IF(F342="","", IF(ARBITRAGES!$H342="ron",G341+ARBITRAGES!$K342,G341))</f>
        <v/>
      </c>
      <c r="H342" s="378" t="str">
        <f>IF(G342="","", IF(ARBITRAGES!$H342="link",H341+ARBITRAGES!$K342,H341))</f>
        <v/>
      </c>
      <c r="I342" s="378" t="str">
        <f>IF(H342="","", IF(ARBITRAGES!$H342="doge",I341+ARBITRAGES!$K342,I341))</f>
        <v/>
      </c>
      <c r="J342" s="378" t="str">
        <f>IF(I342="","", IF(ARBITRAGES!$H342="shib",J341-ARBITRAGES!$K342,J341))</f>
        <v/>
      </c>
      <c r="K342" s="378" t="str">
        <f>IF(J342="","", IF(ARBITRAGES!$H342="cake",K341+ARBITRAGES!$K342,K341))</f>
        <v/>
      </c>
      <c r="L342" s="378" t="str">
        <f>IF(K342="","", IF(ARBITRAGES!$H342="JUP",L341+ARBITRAGES!$K342,L341))</f>
        <v/>
      </c>
      <c r="M342" s="376" t="str">
        <f>IF(L342="","", IF(ARBITRAGES!$H342="aave",M341+ARBITRAGES!$K342,M341))</f>
        <v/>
      </c>
      <c r="N342" s="378" t="str">
        <f>IF(M342="","", IF(ARBITRAGES!$H342="ckb",N341+ARBITRAGES!$K342,N341))</f>
        <v/>
      </c>
      <c r="O342" s="378" t="str">
        <f>IF(N342="","", IF(ARBITRAGES!$H342="pendle",O341-ARBITRAGES!$K342+0.1,O341))</f>
        <v/>
      </c>
      <c r="P342" s="378" t="str">
        <f>IF(O342="","", IF(ARBITRAGES!$H342="BOME",P341+ARBITRAGES!$K342,P341))</f>
        <v/>
      </c>
      <c r="Q342" s="378" t="str">
        <f>IF(P342="","", IF(ARBITRAGES!$H342="PEPE",Q341+ARBITRAGES!$K342,Q341))</f>
        <v/>
      </c>
      <c r="R342" s="378" t="str">
        <f>IF(Q342="","", IF(ARBITRAGES!$H342="WIF",R341+ARBITRAGES!$K342,R341))</f>
        <v/>
      </c>
      <c r="S342" s="378" t="str">
        <f>IF(R342="","", IF(ARBITRAGES!$H342="RAY",S341+ARBITRAGES!$K342,S341))</f>
        <v/>
      </c>
      <c r="T342" s="360"/>
      <c r="U342" s="360"/>
      <c r="V342" s="360"/>
      <c r="W342" s="360"/>
      <c r="X342" s="360"/>
      <c r="Y342" s="360"/>
      <c r="Z342" s="360"/>
      <c r="AA342" s="360"/>
      <c r="AB342" s="360"/>
      <c r="AC342" s="360"/>
      <c r="AD342" s="360"/>
      <c r="AE342" s="360"/>
      <c r="AF342" s="360"/>
      <c r="AG342" s="360"/>
      <c r="AH342" s="360"/>
    </row>
    <row r="343" ht="18.75" customHeight="1">
      <c r="A343" s="399"/>
      <c r="B343" s="375" t="str">
        <f>IF(A343="","", IF(ARBITRAGES!$H343="BTC",B342+ARBITRAGES!$K343,B342))</f>
        <v/>
      </c>
      <c r="C343" s="375" t="str">
        <f>IF(B343="","", IF(ARBITRAGES!$H343="eth",C342+ARBITRAGES!$K343,C342))</f>
        <v/>
      </c>
      <c r="D343" s="376" t="str">
        <f>IF(C343="","", IF(ARBITRAGES!$H343="ondo",D342+ARBITRAGES!$K343,D342))</f>
        <v/>
      </c>
      <c r="E343" s="376" t="str">
        <f>IF(D343="","", IF(ARBITRAGES!$H343="sol",E342+ARBITRAGES!$K343,E342))</f>
        <v/>
      </c>
      <c r="F343" s="377" t="str">
        <f>IF(E343="","", IF(ARBITRAGES!$H343="tao",F342+ARBITRAGES!$K343,F342))</f>
        <v/>
      </c>
      <c r="G343" s="378" t="str">
        <f>IF(F343="","", IF(ARBITRAGES!$H343="ron",G342+ARBITRAGES!$K343,G342))</f>
        <v/>
      </c>
      <c r="H343" s="378" t="str">
        <f>IF(G343="","", IF(ARBITRAGES!$H343="link",H342+ARBITRAGES!$K343,H342))</f>
        <v/>
      </c>
      <c r="I343" s="378" t="str">
        <f>IF(H343="","", IF(ARBITRAGES!$H343="doge",I342+ARBITRAGES!$K343,I342))</f>
        <v/>
      </c>
      <c r="J343" s="378" t="str">
        <f>IF(I343="","", IF(ARBITRAGES!$H343="shib",J342-ARBITRAGES!$K343,J342))</f>
        <v/>
      </c>
      <c r="K343" s="378" t="str">
        <f>IF(J343="","", IF(ARBITRAGES!$H343="cake",K342+ARBITRAGES!$K343,K342))</f>
        <v/>
      </c>
      <c r="L343" s="378" t="str">
        <f>IF(K343="","", IF(ARBITRAGES!$H343="JUP",L342+ARBITRAGES!$K343,L342))</f>
        <v/>
      </c>
      <c r="M343" s="376" t="str">
        <f>IF(L343="","", IF(ARBITRAGES!$H343="aave",M342+ARBITRAGES!$K343,M342))</f>
        <v/>
      </c>
      <c r="N343" s="378" t="str">
        <f>IF(M343="","", IF(ARBITRAGES!$H343="ckb",N342+ARBITRAGES!$K343,N342))</f>
        <v/>
      </c>
      <c r="O343" s="378" t="str">
        <f>IF(N343="","", IF(ARBITRAGES!$H343="pendle",O342-ARBITRAGES!$K343+0.1,O342))</f>
        <v/>
      </c>
      <c r="P343" s="378" t="str">
        <f>IF(O343="","", IF(ARBITRAGES!$H343="BOME",P342+ARBITRAGES!$K343,P342))</f>
        <v/>
      </c>
      <c r="Q343" s="378" t="str">
        <f>IF(P343="","", IF(ARBITRAGES!$H343="PEPE",Q342+ARBITRAGES!$K343,Q342))</f>
        <v/>
      </c>
      <c r="R343" s="378" t="str">
        <f>IF(Q343="","", IF(ARBITRAGES!$H343="WIF",R342+ARBITRAGES!$K343,R342))</f>
        <v/>
      </c>
      <c r="S343" s="378" t="str">
        <f>IF(R343="","", IF(ARBITRAGES!$H343="RAY",S342+ARBITRAGES!$K343,S342))</f>
        <v/>
      </c>
      <c r="T343" s="360"/>
      <c r="U343" s="360"/>
      <c r="V343" s="360"/>
      <c r="W343" s="360"/>
      <c r="X343" s="360"/>
      <c r="Y343" s="360"/>
      <c r="Z343" s="360"/>
      <c r="AA343" s="360"/>
      <c r="AB343" s="360"/>
      <c r="AC343" s="360"/>
      <c r="AD343" s="360"/>
      <c r="AE343" s="360"/>
      <c r="AF343" s="360"/>
      <c r="AG343" s="360"/>
      <c r="AH343" s="360"/>
    </row>
    <row r="344" ht="18.75" customHeight="1">
      <c r="A344" s="399"/>
      <c r="B344" s="375" t="str">
        <f>IF(A344="","", IF(ARBITRAGES!$H344="BTC",B343+ARBITRAGES!$K344,B343))</f>
        <v/>
      </c>
      <c r="C344" s="375" t="str">
        <f>IF(B344="","", IF(ARBITRAGES!$H344="eth",C343+ARBITRAGES!$K344,C343))</f>
        <v/>
      </c>
      <c r="D344" s="376" t="str">
        <f>IF(C344="","", IF(ARBITRAGES!$H344="ondo",D343+ARBITRAGES!$K344,D343))</f>
        <v/>
      </c>
      <c r="E344" s="376" t="str">
        <f>IF(D344="","", IF(ARBITRAGES!$H344="sol",E343+ARBITRAGES!$K344,E343))</f>
        <v/>
      </c>
      <c r="F344" s="377" t="str">
        <f>IF(E344="","", IF(ARBITRAGES!$H344="tao",F343+ARBITRAGES!$K344,F343))</f>
        <v/>
      </c>
      <c r="G344" s="378" t="str">
        <f>IF(F344="","", IF(ARBITRAGES!$H344="ron",G343+ARBITRAGES!$K344,G343))</f>
        <v/>
      </c>
      <c r="H344" s="378" t="str">
        <f>IF(G344="","", IF(ARBITRAGES!$H344="link",H343+ARBITRAGES!$K344,H343))</f>
        <v/>
      </c>
      <c r="I344" s="378" t="str">
        <f>IF(H344="","", IF(ARBITRAGES!$H344="doge",I343+ARBITRAGES!$K344,I343))</f>
        <v/>
      </c>
      <c r="J344" s="378" t="str">
        <f>IF(I344="","", IF(ARBITRAGES!$H344="shib",J343-ARBITRAGES!$K344,J343))</f>
        <v/>
      </c>
      <c r="K344" s="378" t="str">
        <f>IF(J344="","", IF(ARBITRAGES!$H344="cake",K343+ARBITRAGES!$K344,K343))</f>
        <v/>
      </c>
      <c r="L344" s="378" t="str">
        <f>IF(K344="","", IF(ARBITRAGES!$H344="JUP",L343+ARBITRAGES!$K344,L343))</f>
        <v/>
      </c>
      <c r="M344" s="376" t="str">
        <f>IF(L344="","", IF(ARBITRAGES!$H344="aave",M343+ARBITRAGES!$K344,M343))</f>
        <v/>
      </c>
      <c r="N344" s="378" t="str">
        <f>IF(M344="","", IF(ARBITRAGES!$H344="ckb",N343+ARBITRAGES!$K344,N343))</f>
        <v/>
      </c>
      <c r="O344" s="378" t="str">
        <f>IF(N344="","", IF(ARBITRAGES!$H344="pendle",O343-ARBITRAGES!$K344+0.1,O343))</f>
        <v/>
      </c>
      <c r="P344" s="378" t="str">
        <f>IF(O344="","", IF(ARBITRAGES!$H344="BOME",P343+ARBITRAGES!$K344,P343))</f>
        <v/>
      </c>
      <c r="Q344" s="378" t="str">
        <f>IF(P344="","", IF(ARBITRAGES!$H344="PEPE",Q343+ARBITRAGES!$K344,Q343))</f>
        <v/>
      </c>
      <c r="R344" s="378" t="str">
        <f>IF(Q344="","", IF(ARBITRAGES!$H344="WIF",R343+ARBITRAGES!$K344,R343))</f>
        <v/>
      </c>
      <c r="S344" s="378" t="str">
        <f>IF(R344="","", IF(ARBITRAGES!$H344="RAY",S343+ARBITRAGES!$K344,S343))</f>
        <v/>
      </c>
      <c r="T344" s="360"/>
      <c r="U344" s="360"/>
      <c r="V344" s="360"/>
      <c r="W344" s="360"/>
      <c r="X344" s="360"/>
      <c r="Y344" s="360"/>
      <c r="Z344" s="360"/>
      <c r="AA344" s="360"/>
      <c r="AB344" s="360"/>
      <c r="AC344" s="360"/>
      <c r="AD344" s="360"/>
      <c r="AE344" s="360"/>
      <c r="AF344" s="360"/>
      <c r="AG344" s="360"/>
      <c r="AH344" s="360"/>
    </row>
    <row r="345" ht="18.75" customHeight="1">
      <c r="A345" s="399"/>
      <c r="B345" s="375" t="str">
        <f>IF(A345="","", IF(ARBITRAGES!$H345="BTC",B344+ARBITRAGES!$K345,B344))</f>
        <v/>
      </c>
      <c r="C345" s="375" t="str">
        <f>IF(B345="","", IF(ARBITRAGES!$H345="eth",C344+ARBITRAGES!$K345,C344))</f>
        <v/>
      </c>
      <c r="D345" s="376" t="str">
        <f>IF(C345="","", IF(ARBITRAGES!$H345="ondo",D344+ARBITRAGES!$K345,D344))</f>
        <v/>
      </c>
      <c r="E345" s="376" t="str">
        <f>IF(D345="","", IF(ARBITRAGES!$H345="sol",E344+ARBITRAGES!$K345,E344))</f>
        <v/>
      </c>
      <c r="F345" s="377" t="str">
        <f>IF(E345="","", IF(ARBITRAGES!$H345="tao",F344+ARBITRAGES!$K345,F344))</f>
        <v/>
      </c>
      <c r="G345" s="378" t="str">
        <f>IF(F345="","", IF(ARBITRAGES!$H345="ron",G344+ARBITRAGES!$K345,G344))</f>
        <v/>
      </c>
      <c r="H345" s="378" t="str">
        <f>IF(G345="","", IF(ARBITRAGES!$H345="link",H344+ARBITRAGES!$K345,H344))</f>
        <v/>
      </c>
      <c r="I345" s="378" t="str">
        <f>IF(H345="","", IF(ARBITRAGES!$H345="doge",I344+ARBITRAGES!$K345,I344))</f>
        <v/>
      </c>
      <c r="J345" s="378" t="str">
        <f>IF(I345="","", IF(ARBITRAGES!$H345="shib",J344-ARBITRAGES!$K345,J344))</f>
        <v/>
      </c>
      <c r="K345" s="378" t="str">
        <f>IF(J345="","", IF(ARBITRAGES!$H345="cake",K344+ARBITRAGES!$K345,K344))</f>
        <v/>
      </c>
      <c r="L345" s="378" t="str">
        <f>IF(K345="","", IF(ARBITRAGES!$H345="JUP",L344+ARBITRAGES!$K345,L344))</f>
        <v/>
      </c>
      <c r="M345" s="376" t="str">
        <f>IF(L345="","", IF(ARBITRAGES!$H345="aave",M344+ARBITRAGES!$K345,M344))</f>
        <v/>
      </c>
      <c r="N345" s="378" t="str">
        <f>IF(M345="","", IF(ARBITRAGES!$H345="ckb",N344+ARBITRAGES!$K345,N344))</f>
        <v/>
      </c>
      <c r="O345" s="378" t="str">
        <f>IF(N345="","", IF(ARBITRAGES!$H345="pendle",O344-ARBITRAGES!$K345+0.1,O344))</f>
        <v/>
      </c>
      <c r="P345" s="378" t="str">
        <f>IF(O345="","", IF(ARBITRAGES!$H345="BOME",P344+ARBITRAGES!$K345,P344))</f>
        <v/>
      </c>
      <c r="Q345" s="378" t="str">
        <f>IF(P345="","", IF(ARBITRAGES!$H345="PEPE",Q344+ARBITRAGES!$K345,Q344))</f>
        <v/>
      </c>
      <c r="R345" s="378" t="str">
        <f>IF(Q345="","", IF(ARBITRAGES!$H345="WIF",R344+ARBITRAGES!$K345,R344))</f>
        <v/>
      </c>
      <c r="S345" s="378" t="str">
        <f>IF(R345="","", IF(ARBITRAGES!$H345="RAY",S344+ARBITRAGES!$K345,S344))</f>
        <v/>
      </c>
      <c r="T345" s="360"/>
      <c r="U345" s="360"/>
      <c r="V345" s="360"/>
      <c r="W345" s="360"/>
      <c r="X345" s="360"/>
      <c r="Y345" s="360"/>
      <c r="Z345" s="360"/>
      <c r="AA345" s="360"/>
      <c r="AB345" s="360"/>
      <c r="AC345" s="360"/>
      <c r="AD345" s="360"/>
      <c r="AE345" s="360"/>
      <c r="AF345" s="360"/>
      <c r="AG345" s="360"/>
      <c r="AH345" s="360"/>
    </row>
    <row r="346" ht="18.75" customHeight="1">
      <c r="A346" s="399"/>
      <c r="B346" s="375" t="str">
        <f>IF(A346="","", IF(ARBITRAGES!$H346="BTC",B345+ARBITRAGES!$K346,B345))</f>
        <v/>
      </c>
      <c r="C346" s="375" t="str">
        <f>IF(B346="","", IF(ARBITRAGES!$H346="eth",C345+ARBITRAGES!$K346,C345))</f>
        <v/>
      </c>
      <c r="D346" s="376" t="str">
        <f>IF(C346="","", IF(ARBITRAGES!$H346="ondo",D345+ARBITRAGES!$K346,D345))</f>
        <v/>
      </c>
      <c r="E346" s="376" t="str">
        <f>IF(D346="","", IF(ARBITRAGES!$H346="sol",E345+ARBITRAGES!$K346,E345))</f>
        <v/>
      </c>
      <c r="F346" s="377" t="str">
        <f>IF(E346="","", IF(ARBITRAGES!$H346="tao",F345+ARBITRAGES!$K346,F345))</f>
        <v/>
      </c>
      <c r="G346" s="378" t="str">
        <f>IF(F346="","", IF(ARBITRAGES!$H346="ron",G345+ARBITRAGES!$K346,G345))</f>
        <v/>
      </c>
      <c r="H346" s="378" t="str">
        <f>IF(G346="","", IF(ARBITRAGES!$H346="link",H345+ARBITRAGES!$K346,H345))</f>
        <v/>
      </c>
      <c r="I346" s="378" t="str">
        <f>IF(H346="","", IF(ARBITRAGES!$H346="doge",I345+ARBITRAGES!$K346,I345))</f>
        <v/>
      </c>
      <c r="J346" s="378" t="str">
        <f>IF(I346="","", IF(ARBITRAGES!$H346="shib",J345-ARBITRAGES!$K346,J345))</f>
        <v/>
      </c>
      <c r="K346" s="378" t="str">
        <f>IF(J346="","", IF(ARBITRAGES!$H346="cake",K345+ARBITRAGES!$K346,K345))</f>
        <v/>
      </c>
      <c r="L346" s="378" t="str">
        <f>IF(K346="","", IF(ARBITRAGES!$H346="JUP",L345+ARBITRAGES!$K346,L345))</f>
        <v/>
      </c>
      <c r="M346" s="376" t="str">
        <f>IF(L346="","", IF(ARBITRAGES!$H346="aave",M345+ARBITRAGES!$K346,M345))</f>
        <v/>
      </c>
      <c r="N346" s="378" t="str">
        <f>IF(M346="","", IF(ARBITRAGES!$H346="ckb",N345+ARBITRAGES!$K346,N345))</f>
        <v/>
      </c>
      <c r="O346" s="378" t="str">
        <f>IF(N346="","", IF(ARBITRAGES!$H346="pendle",O345-ARBITRAGES!$K346+0.1,O345))</f>
        <v/>
      </c>
      <c r="P346" s="378" t="str">
        <f>IF(O346="","", IF(ARBITRAGES!$H346="BOME",P345+ARBITRAGES!$K346,P345))</f>
        <v/>
      </c>
      <c r="Q346" s="378" t="str">
        <f>IF(P346="","", IF(ARBITRAGES!$H346="PEPE",Q345+ARBITRAGES!$K346,Q345))</f>
        <v/>
      </c>
      <c r="R346" s="378" t="str">
        <f>IF(Q346="","", IF(ARBITRAGES!$H346="WIF",R345+ARBITRAGES!$K346,R345))</f>
        <v/>
      </c>
      <c r="S346" s="378" t="str">
        <f>IF(R346="","", IF(ARBITRAGES!$H346="RAY",S345+ARBITRAGES!$K346,S345))</f>
        <v/>
      </c>
      <c r="T346" s="360"/>
      <c r="U346" s="360"/>
      <c r="V346" s="360"/>
      <c r="W346" s="360"/>
      <c r="X346" s="360"/>
      <c r="Y346" s="360"/>
      <c r="Z346" s="360"/>
      <c r="AA346" s="360"/>
      <c r="AB346" s="360"/>
      <c r="AC346" s="360"/>
      <c r="AD346" s="360"/>
      <c r="AE346" s="360"/>
      <c r="AF346" s="360"/>
      <c r="AG346" s="360"/>
      <c r="AH346" s="360"/>
    </row>
    <row r="347" ht="18.75" customHeight="1">
      <c r="A347" s="399"/>
      <c r="B347" s="375" t="str">
        <f>IF(A347="","", IF(ARBITRAGES!$H347="BTC",B346+ARBITRAGES!$K347,B346))</f>
        <v/>
      </c>
      <c r="C347" s="375" t="str">
        <f>IF(B347="","", IF(ARBITRAGES!$H347="eth",C346+ARBITRAGES!$K347,C346))</f>
        <v/>
      </c>
      <c r="D347" s="376" t="str">
        <f>IF(C347="","", IF(ARBITRAGES!$H347="ondo",D346+ARBITRAGES!$K347,D346))</f>
        <v/>
      </c>
      <c r="E347" s="376" t="str">
        <f>IF(D347="","", IF(ARBITRAGES!$H347="sol",E346+ARBITRAGES!$K347,E346))</f>
        <v/>
      </c>
      <c r="F347" s="377" t="str">
        <f>IF(E347="","", IF(ARBITRAGES!$H347="tao",F346+ARBITRAGES!$K347,F346))</f>
        <v/>
      </c>
      <c r="G347" s="378" t="str">
        <f>IF(F347="","", IF(ARBITRAGES!$H347="ron",G346+ARBITRAGES!$K347,G346))</f>
        <v/>
      </c>
      <c r="H347" s="378" t="str">
        <f>IF(G347="","", IF(ARBITRAGES!$H347="link",H346+ARBITRAGES!$K347,H346))</f>
        <v/>
      </c>
      <c r="I347" s="378" t="str">
        <f>IF(H347="","", IF(ARBITRAGES!$H347="doge",I346+ARBITRAGES!$K347,I346))</f>
        <v/>
      </c>
      <c r="J347" s="378" t="str">
        <f>IF(I347="","", IF(ARBITRAGES!$H347="shib",J346-ARBITRAGES!$K347,J346))</f>
        <v/>
      </c>
      <c r="K347" s="378" t="str">
        <f>IF(J347="","", IF(ARBITRAGES!$H347="cake",K346+ARBITRAGES!$K347,K346))</f>
        <v/>
      </c>
      <c r="L347" s="378" t="str">
        <f>IF(K347="","", IF(ARBITRAGES!$H347="JUP",L346+ARBITRAGES!$K347,L346))</f>
        <v/>
      </c>
      <c r="M347" s="376" t="str">
        <f>IF(L347="","", IF(ARBITRAGES!$H347="aave",M346+ARBITRAGES!$K347,M346))</f>
        <v/>
      </c>
      <c r="N347" s="378" t="str">
        <f>IF(M347="","", IF(ARBITRAGES!$H347="ckb",N346+ARBITRAGES!$K347,N346))</f>
        <v/>
      </c>
      <c r="O347" s="378" t="str">
        <f>IF(N347="","", IF(ARBITRAGES!$H347="pendle",O346-ARBITRAGES!$K347+0.1,O346))</f>
        <v/>
      </c>
      <c r="P347" s="378" t="str">
        <f>IF(O347="","", IF(ARBITRAGES!$H347="BOME",P346+ARBITRAGES!$K347,P346))</f>
        <v/>
      </c>
      <c r="Q347" s="378" t="str">
        <f>IF(P347="","", IF(ARBITRAGES!$H347="PEPE",Q346+ARBITRAGES!$K347,Q346))</f>
        <v/>
      </c>
      <c r="R347" s="378" t="str">
        <f>IF(Q347="","", IF(ARBITRAGES!$H347="WIF",R346+ARBITRAGES!$K347,R346))</f>
        <v/>
      </c>
      <c r="S347" s="378" t="str">
        <f>IF(R347="","", IF(ARBITRAGES!$H347="RAY",S346+ARBITRAGES!$K347,S346))</f>
        <v/>
      </c>
      <c r="T347" s="360"/>
      <c r="U347" s="360"/>
      <c r="V347" s="360"/>
      <c r="W347" s="360"/>
      <c r="X347" s="360"/>
      <c r="Y347" s="360"/>
      <c r="Z347" s="360"/>
      <c r="AA347" s="360"/>
      <c r="AB347" s="360"/>
      <c r="AC347" s="360"/>
      <c r="AD347" s="360"/>
      <c r="AE347" s="360"/>
      <c r="AF347" s="360"/>
      <c r="AG347" s="360"/>
      <c r="AH347" s="360"/>
    </row>
    <row r="348" ht="18.75" customHeight="1">
      <c r="A348" s="399"/>
      <c r="B348" s="375" t="str">
        <f>IF(A348="","", IF(ARBITRAGES!$H348="BTC",B347+ARBITRAGES!$K348,B347))</f>
        <v/>
      </c>
      <c r="C348" s="375" t="str">
        <f>IF(B348="","", IF(ARBITRAGES!$H348="eth",C347+ARBITRAGES!$K348,C347))</f>
        <v/>
      </c>
      <c r="D348" s="376" t="str">
        <f>IF(C348="","", IF(ARBITRAGES!$H348="ondo",D347+ARBITRAGES!$K348,D347))</f>
        <v/>
      </c>
      <c r="E348" s="376" t="str">
        <f>IF(D348="","", IF(ARBITRAGES!$H348="sol",E347+ARBITRAGES!$K348,E347))</f>
        <v/>
      </c>
      <c r="F348" s="377" t="str">
        <f>IF(E348="","", IF(ARBITRAGES!$H348="tao",F347+ARBITRAGES!$K348,F347))</f>
        <v/>
      </c>
      <c r="G348" s="378" t="str">
        <f>IF(F348="","", IF(ARBITRAGES!$H348="ron",G347+ARBITRAGES!$K348,G347))</f>
        <v/>
      </c>
      <c r="H348" s="378" t="str">
        <f>IF(G348="","", IF(ARBITRAGES!$H348="link",H347+ARBITRAGES!$K348,H347))</f>
        <v/>
      </c>
      <c r="I348" s="378" t="str">
        <f>IF(H348="","", IF(ARBITRAGES!$H348="doge",I347+ARBITRAGES!$K348,I347))</f>
        <v/>
      </c>
      <c r="J348" s="378" t="str">
        <f>IF(I348="","", IF(ARBITRAGES!$H348="shib",J347-ARBITRAGES!$K348,J347))</f>
        <v/>
      </c>
      <c r="K348" s="378" t="str">
        <f>IF(J348="","", IF(ARBITRAGES!$H348="cake",K347+ARBITRAGES!$K348,K347))</f>
        <v/>
      </c>
      <c r="L348" s="378" t="str">
        <f>IF(K348="","", IF(ARBITRAGES!$H348="JUP",L347+ARBITRAGES!$K348,L347))</f>
        <v/>
      </c>
      <c r="M348" s="376" t="str">
        <f>IF(L348="","", IF(ARBITRAGES!$H348="aave",M347+ARBITRAGES!$K348,M347))</f>
        <v/>
      </c>
      <c r="N348" s="378" t="str">
        <f>IF(M348="","", IF(ARBITRAGES!$H348="ckb",N347+ARBITRAGES!$K348,N347))</f>
        <v/>
      </c>
      <c r="O348" s="378" t="str">
        <f>IF(N348="","", IF(ARBITRAGES!$H348="pendle",O347-ARBITRAGES!$K348+0.1,O347))</f>
        <v/>
      </c>
      <c r="P348" s="378" t="str">
        <f>IF(O348="","", IF(ARBITRAGES!$H348="BOME",P347+ARBITRAGES!$K348,P347))</f>
        <v/>
      </c>
      <c r="Q348" s="378" t="str">
        <f>IF(P348="","", IF(ARBITRAGES!$H348="PEPE",Q347+ARBITRAGES!$K348,Q347))</f>
        <v/>
      </c>
      <c r="R348" s="378" t="str">
        <f>IF(Q348="","", IF(ARBITRAGES!$H348="WIF",R347+ARBITRAGES!$K348,R347))</f>
        <v/>
      </c>
      <c r="S348" s="378" t="str">
        <f>IF(R348="","", IF(ARBITRAGES!$H348="RAY",S347+ARBITRAGES!$K348,S347))</f>
        <v/>
      </c>
      <c r="T348" s="360"/>
      <c r="U348" s="360"/>
      <c r="V348" s="360"/>
      <c r="W348" s="360"/>
      <c r="X348" s="360"/>
      <c r="Y348" s="360"/>
      <c r="Z348" s="360"/>
      <c r="AA348" s="360"/>
      <c r="AB348" s="360"/>
      <c r="AC348" s="360"/>
      <c r="AD348" s="360"/>
      <c r="AE348" s="360"/>
      <c r="AF348" s="360"/>
      <c r="AG348" s="360"/>
      <c r="AH348" s="360"/>
    </row>
    <row r="349" ht="18.75" customHeight="1">
      <c r="A349" s="399"/>
      <c r="B349" s="375" t="str">
        <f>IF(A349="","", IF(ARBITRAGES!$H349="BTC",B348+ARBITRAGES!$K349,B348))</f>
        <v/>
      </c>
      <c r="C349" s="375" t="str">
        <f>IF(B349="","", IF(ARBITRAGES!$H349="eth",C348+ARBITRAGES!$K349,C348))</f>
        <v/>
      </c>
      <c r="D349" s="376" t="str">
        <f>IF(C349="","", IF(ARBITRAGES!$H349="ondo",D348+ARBITRAGES!$K349,D348))</f>
        <v/>
      </c>
      <c r="E349" s="376" t="str">
        <f>IF(D349="","", IF(ARBITRAGES!$H349="sol",E348+ARBITRAGES!$K349,E348))</f>
        <v/>
      </c>
      <c r="F349" s="377" t="str">
        <f>IF(E349="","", IF(ARBITRAGES!$H349="tao",F348+ARBITRAGES!$K349,F348))</f>
        <v/>
      </c>
      <c r="G349" s="378" t="str">
        <f>IF(F349="","", IF(ARBITRAGES!$H349="ron",G348+ARBITRAGES!$K349,G348))</f>
        <v/>
      </c>
      <c r="H349" s="378" t="str">
        <f>IF(G349="","", IF(ARBITRAGES!$H349="link",H348+ARBITRAGES!$K349,H348))</f>
        <v/>
      </c>
      <c r="I349" s="378" t="str">
        <f>IF(H349="","", IF(ARBITRAGES!$H349="doge",I348+ARBITRAGES!$K349,I348))</f>
        <v/>
      </c>
      <c r="J349" s="378" t="str">
        <f>IF(I349="","", IF(ARBITRAGES!$H349="shib",J348-ARBITRAGES!$K349,J348))</f>
        <v/>
      </c>
      <c r="K349" s="378" t="str">
        <f>IF(J349="","", IF(ARBITRAGES!$H349="cake",K348+ARBITRAGES!$K349,K348))</f>
        <v/>
      </c>
      <c r="L349" s="378" t="str">
        <f>IF(K349="","", IF(ARBITRAGES!$H349="JUP",L348+ARBITRAGES!$K349,L348))</f>
        <v/>
      </c>
      <c r="M349" s="376" t="str">
        <f>IF(L349="","", IF(ARBITRAGES!$H349="aave",M348+ARBITRAGES!$K349,M348))</f>
        <v/>
      </c>
      <c r="N349" s="378" t="str">
        <f>IF(M349="","", IF(ARBITRAGES!$H349="ckb",N348+ARBITRAGES!$K349,N348))</f>
        <v/>
      </c>
      <c r="O349" s="378" t="str">
        <f>IF(N349="","", IF(ARBITRAGES!$H349="pendle",O348-ARBITRAGES!$K349+0.1,O348))</f>
        <v/>
      </c>
      <c r="P349" s="378" t="str">
        <f>IF(O349="","", IF(ARBITRAGES!$H349="BOME",P348+ARBITRAGES!$K349,P348))</f>
        <v/>
      </c>
      <c r="Q349" s="378" t="str">
        <f>IF(P349="","", IF(ARBITRAGES!$H349="PEPE",Q348+ARBITRAGES!$K349,Q348))</f>
        <v/>
      </c>
      <c r="R349" s="378" t="str">
        <f>IF(Q349="","", IF(ARBITRAGES!$H349="WIF",R348+ARBITRAGES!$K349,R348))</f>
        <v/>
      </c>
      <c r="S349" s="378" t="str">
        <f>IF(R349="","", IF(ARBITRAGES!$H349="RAY",S348+ARBITRAGES!$K349,S348))</f>
        <v/>
      </c>
      <c r="T349" s="360"/>
      <c r="U349" s="360"/>
      <c r="V349" s="360"/>
      <c r="W349" s="360"/>
      <c r="X349" s="360"/>
      <c r="Y349" s="360"/>
      <c r="Z349" s="360"/>
      <c r="AA349" s="360"/>
      <c r="AB349" s="360"/>
      <c r="AC349" s="360"/>
      <c r="AD349" s="360"/>
      <c r="AE349" s="360"/>
      <c r="AF349" s="360"/>
      <c r="AG349" s="360"/>
      <c r="AH349" s="360"/>
    </row>
    <row r="350" ht="18.75" customHeight="1">
      <c r="A350" s="399"/>
      <c r="B350" s="375" t="str">
        <f>IF(A350="","", IF(ARBITRAGES!$H350="BTC",B349+ARBITRAGES!$K350,B349))</f>
        <v/>
      </c>
      <c r="C350" s="375" t="str">
        <f>IF(B350="","", IF(ARBITRAGES!$H350="eth",C349+ARBITRAGES!$K350,C349))</f>
        <v/>
      </c>
      <c r="D350" s="376" t="str">
        <f>IF(C350="","", IF(ARBITRAGES!$H350="ondo",D349+ARBITRAGES!$K350,D349))</f>
        <v/>
      </c>
      <c r="E350" s="376" t="str">
        <f>IF(D350="","", IF(ARBITRAGES!$H350="sol",E349+ARBITRAGES!$K350,E349))</f>
        <v/>
      </c>
      <c r="F350" s="377" t="str">
        <f>IF(E350="","", IF(ARBITRAGES!$H350="tao",F349+ARBITRAGES!$K350,F349))</f>
        <v/>
      </c>
      <c r="G350" s="378" t="str">
        <f>IF(F350="","", IF(ARBITRAGES!$H350="ron",G349+ARBITRAGES!$K350,G349))</f>
        <v/>
      </c>
      <c r="H350" s="378" t="str">
        <f>IF(G350="","", IF(ARBITRAGES!$H350="link",H349+ARBITRAGES!$K350,H349))</f>
        <v/>
      </c>
      <c r="I350" s="378" t="str">
        <f>IF(H350="","", IF(ARBITRAGES!$H350="doge",I349+ARBITRAGES!$K350,I349))</f>
        <v/>
      </c>
      <c r="J350" s="378" t="str">
        <f>IF(I350="","", IF(ARBITRAGES!$H350="shib",J349-ARBITRAGES!$K350,J349))</f>
        <v/>
      </c>
      <c r="K350" s="378" t="str">
        <f>IF(J350="","", IF(ARBITRAGES!$H350="cake",K349+ARBITRAGES!$K350,K349))</f>
        <v/>
      </c>
      <c r="L350" s="378" t="str">
        <f>IF(K350="","", IF(ARBITRAGES!$H350="JUP",L349+ARBITRAGES!$K350,L349))</f>
        <v/>
      </c>
      <c r="M350" s="376" t="str">
        <f>IF(L350="","", IF(ARBITRAGES!$H350="aave",M349+ARBITRAGES!$K350,M349))</f>
        <v/>
      </c>
      <c r="N350" s="378" t="str">
        <f>IF(M350="","", IF(ARBITRAGES!$H350="ckb",N349+ARBITRAGES!$K350,N349))</f>
        <v/>
      </c>
      <c r="O350" s="378" t="str">
        <f>IF(N350="","", IF(ARBITRAGES!$H350="pendle",O349-ARBITRAGES!$K350+0.1,O349))</f>
        <v/>
      </c>
      <c r="P350" s="378" t="str">
        <f>IF(O350="","", IF(ARBITRAGES!$H350="BOME",P349+ARBITRAGES!$K350,P349))</f>
        <v/>
      </c>
      <c r="Q350" s="378" t="str">
        <f>IF(P350="","", IF(ARBITRAGES!$H350="PEPE",Q349+ARBITRAGES!$K350,Q349))</f>
        <v/>
      </c>
      <c r="R350" s="378" t="str">
        <f>IF(Q350="","", IF(ARBITRAGES!$H350="WIF",R349+ARBITRAGES!$K350,R349))</f>
        <v/>
      </c>
      <c r="S350" s="378" t="str">
        <f>IF(R350="","", IF(ARBITRAGES!$H350="RAY",S349+ARBITRAGES!$K350,S349))</f>
        <v/>
      </c>
      <c r="T350" s="360"/>
      <c r="U350" s="360"/>
      <c r="V350" s="360"/>
      <c r="W350" s="360"/>
      <c r="X350" s="360"/>
      <c r="Y350" s="360"/>
      <c r="Z350" s="360"/>
      <c r="AA350" s="360"/>
      <c r="AB350" s="360"/>
      <c r="AC350" s="360"/>
      <c r="AD350" s="360"/>
      <c r="AE350" s="360"/>
      <c r="AF350" s="360"/>
      <c r="AG350" s="360"/>
      <c r="AH350" s="360"/>
    </row>
    <row r="351" ht="18.75" customHeight="1">
      <c r="A351" s="399"/>
      <c r="B351" s="375" t="str">
        <f>IF(A351="","", IF(ARBITRAGES!$H351="BTC",B350+ARBITRAGES!$K351,B350))</f>
        <v/>
      </c>
      <c r="C351" s="375" t="str">
        <f>IF(B351="","", IF(ARBITRAGES!$H351="eth",C350+ARBITRAGES!$K351,C350))</f>
        <v/>
      </c>
      <c r="D351" s="376" t="str">
        <f>IF(C351="","", IF(ARBITRAGES!$H351="ondo",D350+ARBITRAGES!$K351,D350))</f>
        <v/>
      </c>
      <c r="E351" s="376" t="str">
        <f>IF(D351="","", IF(ARBITRAGES!$H351="sol",E350+ARBITRAGES!$K351,E350))</f>
        <v/>
      </c>
      <c r="F351" s="377" t="str">
        <f>IF(E351="","", IF(ARBITRAGES!$H351="tao",F350+ARBITRAGES!$K351,F350))</f>
        <v/>
      </c>
      <c r="G351" s="378" t="str">
        <f>IF(F351="","", IF(ARBITRAGES!$H351="ron",G350+ARBITRAGES!$K351,G350))</f>
        <v/>
      </c>
      <c r="H351" s="378" t="str">
        <f>IF(G351="","", IF(ARBITRAGES!$H351="link",H350+ARBITRAGES!$K351,H350))</f>
        <v/>
      </c>
      <c r="I351" s="378" t="str">
        <f>IF(H351="","", IF(ARBITRAGES!$H351="doge",I350+ARBITRAGES!$K351,I350))</f>
        <v/>
      </c>
      <c r="J351" s="378" t="str">
        <f>IF(I351="","", IF(ARBITRAGES!$H351="shib",J350-ARBITRAGES!$K351,J350))</f>
        <v/>
      </c>
      <c r="K351" s="378" t="str">
        <f>IF(J351="","", IF(ARBITRAGES!$H351="cake",K350+ARBITRAGES!$K351,K350))</f>
        <v/>
      </c>
      <c r="L351" s="378" t="str">
        <f>IF(K351="","", IF(ARBITRAGES!$H351="JUP",L350+ARBITRAGES!$K351,L350))</f>
        <v/>
      </c>
      <c r="M351" s="376" t="str">
        <f>IF(L351="","", IF(ARBITRAGES!$H351="aave",M350+ARBITRAGES!$K351,M350))</f>
        <v/>
      </c>
      <c r="N351" s="378" t="str">
        <f>IF(M351="","", IF(ARBITRAGES!$H351="ckb",N350+ARBITRAGES!$K351,N350))</f>
        <v/>
      </c>
      <c r="O351" s="378" t="str">
        <f>IF(N351="","", IF(ARBITRAGES!$H351="pendle",O350-ARBITRAGES!$K351+0.1,O350))</f>
        <v/>
      </c>
      <c r="P351" s="378" t="str">
        <f>IF(O351="","", IF(ARBITRAGES!$H351="BOME",P350+ARBITRAGES!$K351,P350))</f>
        <v/>
      </c>
      <c r="Q351" s="378" t="str">
        <f>IF(P351="","", IF(ARBITRAGES!$H351="PEPE",Q350+ARBITRAGES!$K351,Q350))</f>
        <v/>
      </c>
      <c r="R351" s="378" t="str">
        <f>IF(Q351="","", IF(ARBITRAGES!$H351="WIF",R350+ARBITRAGES!$K351,R350))</f>
        <v/>
      </c>
      <c r="S351" s="378" t="str">
        <f>IF(R351="","", IF(ARBITRAGES!$H351="RAY",S350+ARBITRAGES!$K351,S350))</f>
        <v/>
      </c>
      <c r="T351" s="360"/>
      <c r="U351" s="360"/>
      <c r="V351" s="360"/>
      <c r="W351" s="360"/>
      <c r="X351" s="360"/>
      <c r="Y351" s="360"/>
      <c r="Z351" s="360"/>
      <c r="AA351" s="360"/>
      <c r="AB351" s="360"/>
      <c r="AC351" s="360"/>
      <c r="AD351" s="360"/>
      <c r="AE351" s="360"/>
      <c r="AF351" s="360"/>
      <c r="AG351" s="360"/>
      <c r="AH351" s="360"/>
    </row>
    <row r="352" ht="18.75" customHeight="1">
      <c r="A352" s="399"/>
      <c r="B352" s="375" t="str">
        <f>IF(A352="","", IF(ARBITRAGES!$H352="BTC",B351+ARBITRAGES!$K352,B351))</f>
        <v/>
      </c>
      <c r="C352" s="375" t="str">
        <f>IF(B352="","", IF(ARBITRAGES!$H352="eth",C351+ARBITRAGES!$K352,C351))</f>
        <v/>
      </c>
      <c r="D352" s="376" t="str">
        <f>IF(C352="","", IF(ARBITRAGES!$H352="ondo",D351+ARBITRAGES!$K352,D351))</f>
        <v/>
      </c>
      <c r="E352" s="376" t="str">
        <f>IF(D352="","", IF(ARBITRAGES!$H352="sol",E351+ARBITRAGES!$K352,E351))</f>
        <v/>
      </c>
      <c r="F352" s="377" t="str">
        <f>IF(E352="","", IF(ARBITRAGES!$H352="tao",F351+ARBITRAGES!$K352,F351))</f>
        <v/>
      </c>
      <c r="G352" s="378" t="str">
        <f>IF(F352="","", IF(ARBITRAGES!$H352="ron",G351+ARBITRAGES!$K352,G351))</f>
        <v/>
      </c>
      <c r="H352" s="378" t="str">
        <f>IF(G352="","", IF(ARBITRAGES!$H352="link",H351+ARBITRAGES!$K352,H351))</f>
        <v/>
      </c>
      <c r="I352" s="378" t="str">
        <f>IF(H352="","", IF(ARBITRAGES!$H352="doge",I351+ARBITRAGES!$K352,I351))</f>
        <v/>
      </c>
      <c r="J352" s="378" t="str">
        <f>IF(I352="","", IF(ARBITRAGES!$H352="shib",J351-ARBITRAGES!$K352,J351))</f>
        <v/>
      </c>
      <c r="K352" s="378" t="str">
        <f>IF(J352="","", IF(ARBITRAGES!$H352="cake",K351+ARBITRAGES!$K352,K351))</f>
        <v/>
      </c>
      <c r="L352" s="378" t="str">
        <f>IF(K352="","", IF(ARBITRAGES!$H352="JUP",L351+ARBITRAGES!$K352,L351))</f>
        <v/>
      </c>
      <c r="M352" s="376" t="str">
        <f>IF(L352="","", IF(ARBITRAGES!$H352="aave",M351+ARBITRAGES!$K352,M351))</f>
        <v/>
      </c>
      <c r="N352" s="378" t="str">
        <f>IF(M352="","", IF(ARBITRAGES!$H352="ckb",N351+ARBITRAGES!$K352,N351))</f>
        <v/>
      </c>
      <c r="O352" s="378" t="str">
        <f>IF(N352="","", IF(ARBITRAGES!$H352="pendle",O351-ARBITRAGES!$K352+0.1,O351))</f>
        <v/>
      </c>
      <c r="P352" s="378" t="str">
        <f>IF(O352="","", IF(ARBITRAGES!$H352="BOME",P351+ARBITRAGES!$K352,P351))</f>
        <v/>
      </c>
      <c r="Q352" s="378" t="str">
        <f>IF(P352="","", IF(ARBITRAGES!$H352="PEPE",Q351+ARBITRAGES!$K352,Q351))</f>
        <v/>
      </c>
      <c r="R352" s="378" t="str">
        <f>IF(Q352="","", IF(ARBITRAGES!$H352="WIF",R351+ARBITRAGES!$K352,R351))</f>
        <v/>
      </c>
      <c r="S352" s="378" t="str">
        <f>IF(R352="","", IF(ARBITRAGES!$H352="RAY",S351+ARBITRAGES!$K352,S351))</f>
        <v/>
      </c>
      <c r="T352" s="360"/>
      <c r="U352" s="360"/>
      <c r="V352" s="360"/>
      <c r="W352" s="360"/>
      <c r="X352" s="360"/>
      <c r="Y352" s="360"/>
      <c r="Z352" s="360"/>
      <c r="AA352" s="360"/>
      <c r="AB352" s="360"/>
      <c r="AC352" s="360"/>
      <c r="AD352" s="360"/>
      <c r="AE352" s="360"/>
      <c r="AF352" s="360"/>
      <c r="AG352" s="360"/>
      <c r="AH352" s="360"/>
    </row>
    <row r="353" ht="18.75" customHeight="1">
      <c r="A353" s="399"/>
      <c r="B353" s="375" t="str">
        <f>IF(A353="","", IF(ARBITRAGES!$H353="BTC",B352+ARBITRAGES!$K353,B352))</f>
        <v/>
      </c>
      <c r="C353" s="375" t="str">
        <f>IF(B353="","", IF(ARBITRAGES!$H353="eth",C352+ARBITRAGES!$K353,C352))</f>
        <v/>
      </c>
      <c r="D353" s="376" t="str">
        <f>IF(C353="","", IF(ARBITRAGES!$H353="ondo",D352+ARBITRAGES!$K353,D352))</f>
        <v/>
      </c>
      <c r="E353" s="376" t="str">
        <f>IF(D353="","", IF(ARBITRAGES!$H353="sol",E352+ARBITRAGES!$K353,E352))</f>
        <v/>
      </c>
      <c r="F353" s="377" t="str">
        <f>IF(E353="","", IF(ARBITRAGES!$H353="tao",F352+ARBITRAGES!$K353,F352))</f>
        <v/>
      </c>
      <c r="G353" s="378" t="str">
        <f>IF(F353="","", IF(ARBITRAGES!$H353="ron",G352+ARBITRAGES!$K353,G352))</f>
        <v/>
      </c>
      <c r="H353" s="378" t="str">
        <f>IF(G353="","", IF(ARBITRAGES!$H353="link",H352+ARBITRAGES!$K353,H352))</f>
        <v/>
      </c>
      <c r="I353" s="378" t="str">
        <f>IF(H353="","", IF(ARBITRAGES!$H353="doge",I352+ARBITRAGES!$K353,I352))</f>
        <v/>
      </c>
      <c r="J353" s="378" t="str">
        <f>IF(I353="","", IF(ARBITRAGES!$H353="shib",J352-ARBITRAGES!$K353,J352))</f>
        <v/>
      </c>
      <c r="K353" s="378" t="str">
        <f>IF(J353="","", IF(ARBITRAGES!$H353="cake",K352+ARBITRAGES!$K353,K352))</f>
        <v/>
      </c>
      <c r="L353" s="378" t="str">
        <f>IF(K353="","", IF(ARBITRAGES!$H353="JUP",L352+ARBITRAGES!$K353,L352))</f>
        <v/>
      </c>
      <c r="M353" s="376" t="str">
        <f>IF(L353="","", IF(ARBITRAGES!$H353="aave",M352+ARBITRAGES!$K353,M352))</f>
        <v/>
      </c>
      <c r="N353" s="378" t="str">
        <f>IF(M353="","", IF(ARBITRAGES!$H353="ckb",N352+ARBITRAGES!$K353,N352))</f>
        <v/>
      </c>
      <c r="O353" s="378" t="str">
        <f>IF(N353="","", IF(ARBITRAGES!$H353="pendle",O352-ARBITRAGES!$K353+0.1,O352))</f>
        <v/>
      </c>
      <c r="P353" s="378" t="str">
        <f>IF(O353="","", IF(ARBITRAGES!$H353="BOME",P352+ARBITRAGES!$K353,P352))</f>
        <v/>
      </c>
      <c r="Q353" s="378" t="str">
        <f>IF(P353="","", IF(ARBITRAGES!$H353="PEPE",Q352+ARBITRAGES!$K353,Q352))</f>
        <v/>
      </c>
      <c r="R353" s="378" t="str">
        <f>IF(Q353="","", IF(ARBITRAGES!$H353="WIF",R352+ARBITRAGES!$K353,R352))</f>
        <v/>
      </c>
      <c r="S353" s="378" t="str">
        <f>IF(R353="","", IF(ARBITRAGES!$H353="RAY",S352+ARBITRAGES!$K353,S352))</f>
        <v/>
      </c>
      <c r="T353" s="360"/>
      <c r="U353" s="360"/>
      <c r="V353" s="360"/>
      <c r="W353" s="360"/>
      <c r="X353" s="360"/>
      <c r="Y353" s="360"/>
      <c r="Z353" s="360"/>
      <c r="AA353" s="360"/>
      <c r="AB353" s="360"/>
      <c r="AC353" s="360"/>
      <c r="AD353" s="360"/>
      <c r="AE353" s="360"/>
      <c r="AF353" s="360"/>
      <c r="AG353" s="360"/>
      <c r="AH353" s="360"/>
    </row>
    <row r="354" ht="18.75" customHeight="1">
      <c r="A354" s="399"/>
      <c r="B354" s="375" t="str">
        <f>IF(A354="","", IF(ARBITRAGES!$H354="BTC",B353+ARBITRAGES!$K354,B353))</f>
        <v/>
      </c>
      <c r="C354" s="375" t="str">
        <f>IF(B354="","", IF(ARBITRAGES!$H354="eth",C353+ARBITRAGES!$K354,C353))</f>
        <v/>
      </c>
      <c r="D354" s="376" t="str">
        <f>IF(C354="","", IF(ARBITRAGES!$H354="ondo",D353+ARBITRAGES!$K354,D353))</f>
        <v/>
      </c>
      <c r="E354" s="376" t="str">
        <f>IF(D354="","", IF(ARBITRAGES!$H354="sol",E353+ARBITRAGES!$K354,E353))</f>
        <v/>
      </c>
      <c r="F354" s="377" t="str">
        <f>IF(E354="","", IF(ARBITRAGES!$H354="tao",F353+ARBITRAGES!$K354,F353))</f>
        <v/>
      </c>
      <c r="G354" s="378" t="str">
        <f>IF(F354="","", IF(ARBITRAGES!$H354="ron",G353+ARBITRAGES!$K354,G353))</f>
        <v/>
      </c>
      <c r="H354" s="378" t="str">
        <f>IF(G354="","", IF(ARBITRAGES!$H354="link",H353+ARBITRAGES!$K354,H353))</f>
        <v/>
      </c>
      <c r="I354" s="378" t="str">
        <f>IF(H354="","", IF(ARBITRAGES!$H354="doge",I353+ARBITRAGES!$K354,I353))</f>
        <v/>
      </c>
      <c r="J354" s="378" t="str">
        <f>IF(I354="","", IF(ARBITRAGES!$H354="shib",J353-ARBITRAGES!$K354,J353))</f>
        <v/>
      </c>
      <c r="K354" s="378" t="str">
        <f>IF(J354="","", IF(ARBITRAGES!$H354="cake",K353+ARBITRAGES!$K354,K353))</f>
        <v/>
      </c>
      <c r="L354" s="378" t="str">
        <f>IF(K354="","", IF(ARBITRAGES!$H354="JUP",L353+ARBITRAGES!$K354,L353))</f>
        <v/>
      </c>
      <c r="M354" s="376" t="str">
        <f>IF(L354="","", IF(ARBITRAGES!$H354="aave",M353+ARBITRAGES!$K354,M353))</f>
        <v/>
      </c>
      <c r="N354" s="378" t="str">
        <f>IF(M354="","", IF(ARBITRAGES!$H354="ckb",N353+ARBITRAGES!$K354,N353))</f>
        <v/>
      </c>
      <c r="O354" s="378" t="str">
        <f>IF(N354="","", IF(ARBITRAGES!$H354="pendle",O353-ARBITRAGES!$K354+0.1,O353))</f>
        <v/>
      </c>
      <c r="P354" s="378" t="str">
        <f>IF(O354="","", IF(ARBITRAGES!$H354="BOME",P353+ARBITRAGES!$K354,P353))</f>
        <v/>
      </c>
      <c r="Q354" s="378" t="str">
        <f>IF(P354="","", IF(ARBITRAGES!$H354="PEPE",Q353+ARBITRAGES!$K354,Q353))</f>
        <v/>
      </c>
      <c r="R354" s="378" t="str">
        <f>IF(Q354="","", IF(ARBITRAGES!$H354="WIF",R353+ARBITRAGES!$K354,R353))</f>
        <v/>
      </c>
      <c r="S354" s="378" t="str">
        <f>IF(R354="","", IF(ARBITRAGES!$H354="RAY",S353+ARBITRAGES!$K354,S353))</f>
        <v/>
      </c>
      <c r="T354" s="360"/>
      <c r="U354" s="360"/>
      <c r="V354" s="360"/>
      <c r="W354" s="360"/>
      <c r="X354" s="360"/>
      <c r="Y354" s="360"/>
      <c r="Z354" s="360"/>
      <c r="AA354" s="360"/>
      <c r="AB354" s="360"/>
      <c r="AC354" s="360"/>
      <c r="AD354" s="360"/>
      <c r="AE354" s="360"/>
      <c r="AF354" s="360"/>
      <c r="AG354" s="360"/>
      <c r="AH354" s="360"/>
    </row>
    <row r="355" ht="18.75" customHeight="1">
      <c r="A355" s="399"/>
      <c r="B355" s="375" t="str">
        <f>IF(A355="","", IF(ARBITRAGES!$H355="BTC",B354+ARBITRAGES!$K355,B354))</f>
        <v/>
      </c>
      <c r="C355" s="375" t="str">
        <f>IF(B355="","", IF(ARBITRAGES!$H355="eth",C354+ARBITRAGES!$K355,C354))</f>
        <v/>
      </c>
      <c r="D355" s="376" t="str">
        <f>IF(C355="","", IF(ARBITRAGES!$H355="ondo",D354+ARBITRAGES!$K355,D354))</f>
        <v/>
      </c>
      <c r="E355" s="376" t="str">
        <f>IF(D355="","", IF(ARBITRAGES!$H355="sol",E354+ARBITRAGES!$K355,E354))</f>
        <v/>
      </c>
      <c r="F355" s="377" t="str">
        <f>IF(E355="","", IF(ARBITRAGES!$H355="tao",F354+ARBITRAGES!$K355,F354))</f>
        <v/>
      </c>
      <c r="G355" s="378" t="str">
        <f>IF(F355="","", IF(ARBITRAGES!$H355="ron",G354+ARBITRAGES!$K355,G354))</f>
        <v/>
      </c>
      <c r="H355" s="378" t="str">
        <f>IF(G355="","", IF(ARBITRAGES!$H355="link",H354+ARBITRAGES!$K355,H354))</f>
        <v/>
      </c>
      <c r="I355" s="378" t="str">
        <f>IF(H355="","", IF(ARBITRAGES!$H355="doge",I354+ARBITRAGES!$K355,I354))</f>
        <v/>
      </c>
      <c r="J355" s="378" t="str">
        <f>IF(I355="","", IF(ARBITRAGES!$H355="shib",J354-ARBITRAGES!$K355,J354))</f>
        <v/>
      </c>
      <c r="K355" s="378" t="str">
        <f>IF(J355="","", IF(ARBITRAGES!$H355="cake",K354+ARBITRAGES!$K355,K354))</f>
        <v/>
      </c>
      <c r="L355" s="378" t="str">
        <f>IF(K355="","", IF(ARBITRAGES!$H355="JUP",L354+ARBITRAGES!$K355,L354))</f>
        <v/>
      </c>
      <c r="M355" s="376" t="str">
        <f>IF(L355="","", IF(ARBITRAGES!$H355="aave",M354+ARBITRAGES!$K355,M354))</f>
        <v/>
      </c>
      <c r="N355" s="378" t="str">
        <f>IF(M355="","", IF(ARBITRAGES!$H355="ckb",N354+ARBITRAGES!$K355,N354))</f>
        <v/>
      </c>
      <c r="O355" s="378" t="str">
        <f>IF(N355="","", IF(ARBITRAGES!$H355="pendle",O354-ARBITRAGES!$K355+0.1,O354))</f>
        <v/>
      </c>
      <c r="P355" s="378" t="str">
        <f>IF(O355="","", IF(ARBITRAGES!$H355="BOME",P354+ARBITRAGES!$K355,P354))</f>
        <v/>
      </c>
      <c r="Q355" s="378" t="str">
        <f>IF(P355="","", IF(ARBITRAGES!$H355="PEPE",Q354+ARBITRAGES!$K355,Q354))</f>
        <v/>
      </c>
      <c r="R355" s="378" t="str">
        <f>IF(Q355="","", IF(ARBITRAGES!$H355="WIF",R354+ARBITRAGES!$K355,R354))</f>
        <v/>
      </c>
      <c r="S355" s="378" t="str">
        <f>IF(R355="","", IF(ARBITRAGES!$H355="RAY",S354+ARBITRAGES!$K355,S354))</f>
        <v/>
      </c>
      <c r="T355" s="360"/>
      <c r="U355" s="360"/>
      <c r="V355" s="360"/>
      <c r="W355" s="360"/>
      <c r="X355" s="360"/>
      <c r="Y355" s="360"/>
      <c r="Z355" s="360"/>
      <c r="AA355" s="360"/>
      <c r="AB355" s="360"/>
      <c r="AC355" s="360"/>
      <c r="AD355" s="360"/>
      <c r="AE355" s="360"/>
      <c r="AF355" s="360"/>
      <c r="AG355" s="360"/>
      <c r="AH355" s="360"/>
    </row>
    <row r="356" ht="18.75" customHeight="1">
      <c r="A356" s="399"/>
      <c r="B356" s="375" t="str">
        <f>IF(A356="","", IF(ARBITRAGES!$H356="BTC",B355+ARBITRAGES!$K356,B355))</f>
        <v/>
      </c>
      <c r="C356" s="375" t="str">
        <f>IF(B356="","", IF(ARBITRAGES!$H356="eth",C355+ARBITRAGES!$K356,C355))</f>
        <v/>
      </c>
      <c r="D356" s="376" t="str">
        <f>IF(C356="","", IF(ARBITRAGES!$H356="ondo",D355+ARBITRAGES!$K356,D355))</f>
        <v/>
      </c>
      <c r="E356" s="376" t="str">
        <f>IF(D356="","", IF(ARBITRAGES!$H356="sol",E355+ARBITRAGES!$K356,E355))</f>
        <v/>
      </c>
      <c r="F356" s="377" t="str">
        <f>IF(E356="","", IF(ARBITRAGES!$H356="tao",F355+ARBITRAGES!$K356,F355))</f>
        <v/>
      </c>
      <c r="G356" s="378" t="str">
        <f>IF(F356="","", IF(ARBITRAGES!$H356="ron",G355+ARBITRAGES!$K356,G355))</f>
        <v/>
      </c>
      <c r="H356" s="378" t="str">
        <f>IF(G356="","", IF(ARBITRAGES!$H356="link",H355+ARBITRAGES!$K356,H355))</f>
        <v/>
      </c>
      <c r="I356" s="378" t="str">
        <f>IF(H356="","", IF(ARBITRAGES!$H356="doge",I355+ARBITRAGES!$K356,I355))</f>
        <v/>
      </c>
      <c r="J356" s="378" t="str">
        <f>IF(I356="","", IF(ARBITRAGES!$H356="shib",J355-ARBITRAGES!$K356,J355))</f>
        <v/>
      </c>
      <c r="K356" s="378" t="str">
        <f>IF(J356="","", IF(ARBITRAGES!$H356="cake",K355+ARBITRAGES!$K356,K355))</f>
        <v/>
      </c>
      <c r="L356" s="378" t="str">
        <f>IF(K356="","", IF(ARBITRAGES!$H356="JUP",L355+ARBITRAGES!$K356,L355))</f>
        <v/>
      </c>
      <c r="M356" s="376" t="str">
        <f>IF(L356="","", IF(ARBITRAGES!$H356="aave",M355+ARBITRAGES!$K356,M355))</f>
        <v/>
      </c>
      <c r="N356" s="378" t="str">
        <f>IF(M356="","", IF(ARBITRAGES!$H356="ckb",N355+ARBITRAGES!$K356,N355))</f>
        <v/>
      </c>
      <c r="O356" s="378" t="str">
        <f>IF(N356="","", IF(ARBITRAGES!$H356="pendle",O355-ARBITRAGES!$K356+0.1,O355))</f>
        <v/>
      </c>
      <c r="P356" s="378" t="str">
        <f>IF(O356="","", IF(ARBITRAGES!$H356="BOME",P355+ARBITRAGES!$K356,P355))</f>
        <v/>
      </c>
      <c r="Q356" s="378" t="str">
        <f>IF(P356="","", IF(ARBITRAGES!$H356="PEPE",Q355+ARBITRAGES!$K356,Q355))</f>
        <v/>
      </c>
      <c r="R356" s="378" t="str">
        <f>IF(Q356="","", IF(ARBITRAGES!$H356="WIF",R355+ARBITRAGES!$K356,R355))</f>
        <v/>
      </c>
      <c r="S356" s="378" t="str">
        <f>IF(R356="","", IF(ARBITRAGES!$H356="RAY",S355+ARBITRAGES!$K356,S355))</f>
        <v/>
      </c>
      <c r="T356" s="360"/>
      <c r="U356" s="360"/>
      <c r="V356" s="360"/>
      <c r="W356" s="360"/>
      <c r="X356" s="360"/>
      <c r="Y356" s="360"/>
      <c r="Z356" s="360"/>
      <c r="AA356" s="360"/>
      <c r="AB356" s="360"/>
      <c r="AC356" s="360"/>
      <c r="AD356" s="360"/>
      <c r="AE356" s="360"/>
      <c r="AF356" s="360"/>
      <c r="AG356" s="360"/>
      <c r="AH356" s="360"/>
    </row>
    <row r="357" ht="18.75" customHeight="1">
      <c r="A357" s="399"/>
      <c r="B357" s="375" t="str">
        <f>IF(A357="","", IF(ARBITRAGES!$H357="BTC",B356+ARBITRAGES!$K357,B356))</f>
        <v/>
      </c>
      <c r="C357" s="375" t="str">
        <f>IF(B357="","", IF(ARBITRAGES!$H357="eth",C356+ARBITRAGES!$K357,C356))</f>
        <v/>
      </c>
      <c r="D357" s="376" t="str">
        <f>IF(C357="","", IF(ARBITRAGES!$H357="ondo",D356+ARBITRAGES!$K357,D356))</f>
        <v/>
      </c>
      <c r="E357" s="376" t="str">
        <f>IF(D357="","", IF(ARBITRAGES!$H357="sol",E356+ARBITRAGES!$K357,E356))</f>
        <v/>
      </c>
      <c r="F357" s="377" t="str">
        <f>IF(E357="","", IF(ARBITRAGES!$H357="tao",F356+ARBITRAGES!$K357,F356))</f>
        <v/>
      </c>
      <c r="G357" s="378" t="str">
        <f>IF(F357="","", IF(ARBITRAGES!$H357="ron",G356+ARBITRAGES!$K357,G356))</f>
        <v/>
      </c>
      <c r="H357" s="378" t="str">
        <f>IF(G357="","", IF(ARBITRAGES!$H357="link",H356+ARBITRAGES!$K357,H356))</f>
        <v/>
      </c>
      <c r="I357" s="378" t="str">
        <f>IF(H357="","", IF(ARBITRAGES!$H357="doge",I356+ARBITRAGES!$K357,I356))</f>
        <v/>
      </c>
      <c r="J357" s="378" t="str">
        <f>IF(I357="","", IF(ARBITRAGES!$H357="shib",J356-ARBITRAGES!$K357,J356))</f>
        <v/>
      </c>
      <c r="K357" s="378" t="str">
        <f>IF(J357="","", IF(ARBITRAGES!$H357="cake",K356+ARBITRAGES!$K357,K356))</f>
        <v/>
      </c>
      <c r="L357" s="378" t="str">
        <f>IF(K357="","", IF(ARBITRAGES!$H357="JUP",L356+ARBITRAGES!$K357,L356))</f>
        <v/>
      </c>
      <c r="M357" s="376" t="str">
        <f>IF(L357="","", IF(ARBITRAGES!$H357="aave",M356+ARBITRAGES!$K357,M356))</f>
        <v/>
      </c>
      <c r="N357" s="378" t="str">
        <f>IF(M357="","", IF(ARBITRAGES!$H357="ckb",N356+ARBITRAGES!$K357,N356))</f>
        <v/>
      </c>
      <c r="O357" s="378" t="str">
        <f>IF(N357="","", IF(ARBITRAGES!$H357="pendle",O356-ARBITRAGES!$K357+0.1,O356))</f>
        <v/>
      </c>
      <c r="P357" s="378" t="str">
        <f>IF(O357="","", IF(ARBITRAGES!$H357="BOME",P356+ARBITRAGES!$K357,P356))</f>
        <v/>
      </c>
      <c r="Q357" s="378" t="str">
        <f>IF(P357="","", IF(ARBITRAGES!$H357="PEPE",Q356+ARBITRAGES!$K357,Q356))</f>
        <v/>
      </c>
      <c r="R357" s="378" t="str">
        <f>IF(Q357="","", IF(ARBITRAGES!$H357="WIF",R356+ARBITRAGES!$K357,R356))</f>
        <v/>
      </c>
      <c r="S357" s="378" t="str">
        <f>IF(R357="","", IF(ARBITRAGES!$H357="RAY",S356+ARBITRAGES!$K357,S356))</f>
        <v/>
      </c>
      <c r="T357" s="360"/>
      <c r="U357" s="360"/>
      <c r="V357" s="360"/>
      <c r="W357" s="360"/>
      <c r="X357" s="360"/>
      <c r="Y357" s="360"/>
      <c r="Z357" s="360"/>
      <c r="AA357" s="360"/>
      <c r="AB357" s="360"/>
      <c r="AC357" s="360"/>
      <c r="AD357" s="360"/>
      <c r="AE357" s="360"/>
      <c r="AF357" s="360"/>
      <c r="AG357" s="360"/>
      <c r="AH357" s="360"/>
    </row>
    <row r="358" ht="18.75" customHeight="1">
      <c r="A358" s="399"/>
      <c r="B358" s="375" t="str">
        <f>IF(A358="","", IF(ARBITRAGES!$H358="BTC",B357+ARBITRAGES!$K358,B357))</f>
        <v/>
      </c>
      <c r="C358" s="375" t="str">
        <f>IF(B358="","", IF(ARBITRAGES!$H358="eth",C357+ARBITRAGES!$K358,C357))</f>
        <v/>
      </c>
      <c r="D358" s="376" t="str">
        <f>IF(C358="","", IF(ARBITRAGES!$H358="ondo",D357+ARBITRAGES!$K358,D357))</f>
        <v/>
      </c>
      <c r="E358" s="376" t="str">
        <f>IF(D358="","", IF(ARBITRAGES!$H358="sol",E357+ARBITRAGES!$K358,E357))</f>
        <v/>
      </c>
      <c r="F358" s="377" t="str">
        <f>IF(E358="","", IF(ARBITRAGES!$H358="tao",F357+ARBITRAGES!$K358,F357))</f>
        <v/>
      </c>
      <c r="G358" s="378" t="str">
        <f>IF(F358="","", IF(ARBITRAGES!$H358="ron",G357+ARBITRAGES!$K358,G357))</f>
        <v/>
      </c>
      <c r="H358" s="378" t="str">
        <f>IF(G358="","", IF(ARBITRAGES!$H358="link",H357+ARBITRAGES!$K358,H357))</f>
        <v/>
      </c>
      <c r="I358" s="378" t="str">
        <f>IF(H358="","", IF(ARBITRAGES!$H358="doge",I357+ARBITRAGES!$K358,I357))</f>
        <v/>
      </c>
      <c r="J358" s="378" t="str">
        <f>IF(I358="","", IF(ARBITRAGES!$H358="shib",J357-ARBITRAGES!$K358,J357))</f>
        <v/>
      </c>
      <c r="K358" s="378" t="str">
        <f>IF(J358="","", IF(ARBITRAGES!$H358="cake",K357+ARBITRAGES!$K358,K357))</f>
        <v/>
      </c>
      <c r="L358" s="378" t="str">
        <f>IF(K358="","", IF(ARBITRAGES!$H358="JUP",L357+ARBITRAGES!$K358,L357))</f>
        <v/>
      </c>
      <c r="M358" s="376" t="str">
        <f>IF(L358="","", IF(ARBITRAGES!$H358="aave",M357+ARBITRAGES!$K358,M357))</f>
        <v/>
      </c>
      <c r="N358" s="378" t="str">
        <f>IF(M358="","", IF(ARBITRAGES!$H358="ckb",N357+ARBITRAGES!$K358,N357))</f>
        <v/>
      </c>
      <c r="O358" s="378" t="str">
        <f>IF(N358="","", IF(ARBITRAGES!$H358="pendle",O357-ARBITRAGES!$K358+0.1,O357))</f>
        <v/>
      </c>
      <c r="P358" s="378" t="str">
        <f>IF(O358="","", IF(ARBITRAGES!$H358="BOME",P357+ARBITRAGES!$K358,P357))</f>
        <v/>
      </c>
      <c r="Q358" s="378" t="str">
        <f>IF(P358="","", IF(ARBITRAGES!$H358="PEPE",Q357+ARBITRAGES!$K358,Q357))</f>
        <v/>
      </c>
      <c r="R358" s="378" t="str">
        <f>IF(Q358="","", IF(ARBITRAGES!$H358="WIF",R357+ARBITRAGES!$K358,R357))</f>
        <v/>
      </c>
      <c r="S358" s="378" t="str">
        <f>IF(R358="","", IF(ARBITRAGES!$H358="RAY",S357+ARBITRAGES!$K358,S357))</f>
        <v/>
      </c>
      <c r="T358" s="360"/>
      <c r="U358" s="360"/>
      <c r="V358" s="360"/>
      <c r="W358" s="360"/>
      <c r="X358" s="360"/>
      <c r="Y358" s="360"/>
      <c r="Z358" s="360"/>
      <c r="AA358" s="360"/>
      <c r="AB358" s="360"/>
      <c r="AC358" s="360"/>
      <c r="AD358" s="360"/>
      <c r="AE358" s="360"/>
      <c r="AF358" s="360"/>
      <c r="AG358" s="360"/>
      <c r="AH358" s="360"/>
    </row>
    <row r="359" ht="18.75" customHeight="1">
      <c r="A359" s="399"/>
      <c r="B359" s="375" t="str">
        <f>IF(A359="","", IF(ARBITRAGES!$H359="BTC",B358+ARBITRAGES!$K359,B358))</f>
        <v/>
      </c>
      <c r="C359" s="375" t="str">
        <f>IF(B359="","", IF(ARBITRAGES!$H359="eth",C358+ARBITRAGES!$K359,C358))</f>
        <v/>
      </c>
      <c r="D359" s="376" t="str">
        <f>IF(C359="","", IF(ARBITRAGES!$H359="ondo",D358+ARBITRAGES!$K359,D358))</f>
        <v/>
      </c>
      <c r="E359" s="376" t="str">
        <f>IF(D359="","", IF(ARBITRAGES!$H359="sol",E358+ARBITRAGES!$K359,E358))</f>
        <v/>
      </c>
      <c r="F359" s="377" t="str">
        <f>IF(E359="","", IF(ARBITRAGES!$H359="tao",F358+ARBITRAGES!$K359,F358))</f>
        <v/>
      </c>
      <c r="G359" s="378" t="str">
        <f>IF(F359="","", IF(ARBITRAGES!$H359="ron",G358+ARBITRAGES!$K359,G358))</f>
        <v/>
      </c>
      <c r="H359" s="378" t="str">
        <f>IF(G359="","", IF(ARBITRAGES!$H359="link",H358+ARBITRAGES!$K359,H358))</f>
        <v/>
      </c>
      <c r="I359" s="378" t="str">
        <f>IF(H359="","", IF(ARBITRAGES!$H359="doge",I358+ARBITRAGES!$K359,I358))</f>
        <v/>
      </c>
      <c r="J359" s="378" t="str">
        <f>IF(I359="","", IF(ARBITRAGES!$H359="shib",J358-ARBITRAGES!$K359,J358))</f>
        <v/>
      </c>
      <c r="K359" s="378" t="str">
        <f>IF(J359="","", IF(ARBITRAGES!$H359="cake",K358+ARBITRAGES!$K359,K358))</f>
        <v/>
      </c>
      <c r="L359" s="378" t="str">
        <f>IF(K359="","", IF(ARBITRAGES!$H359="JUP",L358+ARBITRAGES!$K359,L358))</f>
        <v/>
      </c>
      <c r="M359" s="376" t="str">
        <f>IF(L359="","", IF(ARBITRAGES!$H359="aave",M358+ARBITRAGES!$K359,M358))</f>
        <v/>
      </c>
      <c r="N359" s="378" t="str">
        <f>IF(M359="","", IF(ARBITRAGES!$H359="ckb",N358+ARBITRAGES!$K359,N358))</f>
        <v/>
      </c>
      <c r="O359" s="378" t="str">
        <f>IF(N359="","", IF(ARBITRAGES!$H359="pendle",O358-ARBITRAGES!$K359+0.1,O358))</f>
        <v/>
      </c>
      <c r="P359" s="378" t="str">
        <f>IF(O359="","", IF(ARBITRAGES!$H359="BOME",P358+ARBITRAGES!$K359,P358))</f>
        <v/>
      </c>
      <c r="Q359" s="378" t="str">
        <f>IF(P359="","", IF(ARBITRAGES!$H359="PEPE",Q358+ARBITRAGES!$K359,Q358))</f>
        <v/>
      </c>
      <c r="R359" s="378" t="str">
        <f>IF(Q359="","", IF(ARBITRAGES!$H359="WIF",R358+ARBITRAGES!$K359,R358))</f>
        <v/>
      </c>
      <c r="S359" s="378" t="str">
        <f>IF(R359="","", IF(ARBITRAGES!$H359="RAY",S358+ARBITRAGES!$K359,S358))</f>
        <v/>
      </c>
      <c r="T359" s="360"/>
      <c r="U359" s="360"/>
      <c r="V359" s="360"/>
      <c r="W359" s="360"/>
      <c r="X359" s="360"/>
      <c r="Y359" s="360"/>
      <c r="Z359" s="360"/>
      <c r="AA359" s="360"/>
      <c r="AB359" s="360"/>
      <c r="AC359" s="360"/>
      <c r="AD359" s="360"/>
      <c r="AE359" s="360"/>
      <c r="AF359" s="360"/>
      <c r="AG359" s="360"/>
      <c r="AH359" s="360"/>
    </row>
    <row r="360" ht="18.75" customHeight="1">
      <c r="A360" s="399"/>
      <c r="B360" s="375" t="str">
        <f>IF(A360="","", IF(ARBITRAGES!$H360="BTC",B359+ARBITRAGES!$K360,B359))</f>
        <v/>
      </c>
      <c r="C360" s="375" t="str">
        <f>IF(B360="","", IF(ARBITRAGES!$H360="eth",C359+ARBITRAGES!$K360,C359))</f>
        <v/>
      </c>
      <c r="D360" s="376" t="str">
        <f>IF(C360="","", IF(ARBITRAGES!$H360="ondo",D359+ARBITRAGES!$K360,D359))</f>
        <v/>
      </c>
      <c r="E360" s="376" t="str">
        <f>IF(D360="","", IF(ARBITRAGES!$H360="sol",E359+ARBITRAGES!$K360,E359))</f>
        <v/>
      </c>
      <c r="F360" s="377" t="str">
        <f>IF(E360="","", IF(ARBITRAGES!$H360="tao",F359+ARBITRAGES!$K360,F359))</f>
        <v/>
      </c>
      <c r="G360" s="378" t="str">
        <f>IF(F360="","", IF(ARBITRAGES!$H360="ron",G359+ARBITRAGES!$K360,G359))</f>
        <v/>
      </c>
      <c r="H360" s="378" t="str">
        <f>IF(G360="","", IF(ARBITRAGES!$H360="link",H359+ARBITRAGES!$K360,H359))</f>
        <v/>
      </c>
      <c r="I360" s="378" t="str">
        <f>IF(H360="","", IF(ARBITRAGES!$H360="doge",I359+ARBITRAGES!$K360,I359))</f>
        <v/>
      </c>
      <c r="J360" s="378" t="str">
        <f>IF(I360="","", IF(ARBITRAGES!$H360="shib",J359-ARBITRAGES!$K360,J359))</f>
        <v/>
      </c>
      <c r="K360" s="378" t="str">
        <f>IF(J360="","", IF(ARBITRAGES!$H360="cake",K359+ARBITRAGES!$K360,K359))</f>
        <v/>
      </c>
      <c r="L360" s="378" t="str">
        <f>IF(K360="","", IF(ARBITRAGES!$H360="JUP",L359+ARBITRAGES!$K360,L359))</f>
        <v/>
      </c>
      <c r="M360" s="376" t="str">
        <f>IF(L360="","", IF(ARBITRAGES!$H360="aave",M359+ARBITRAGES!$K360,M359))</f>
        <v/>
      </c>
      <c r="N360" s="378" t="str">
        <f>IF(M360="","", IF(ARBITRAGES!$H360="ckb",N359+ARBITRAGES!$K360,N359))</f>
        <v/>
      </c>
      <c r="O360" s="378" t="str">
        <f>IF(N360="","", IF(ARBITRAGES!$H360="pendle",O359-ARBITRAGES!$K360+0.1,O359))</f>
        <v/>
      </c>
      <c r="P360" s="378" t="str">
        <f>IF(O360="","", IF(ARBITRAGES!$H360="BOME",P359+ARBITRAGES!$K360,P359))</f>
        <v/>
      </c>
      <c r="Q360" s="378" t="str">
        <f>IF(P360="","", IF(ARBITRAGES!$H360="PEPE",Q359+ARBITRAGES!$K360,Q359))</f>
        <v/>
      </c>
      <c r="R360" s="378" t="str">
        <f>IF(Q360="","", IF(ARBITRAGES!$H360="WIF",R359+ARBITRAGES!$K360,R359))</f>
        <v/>
      </c>
      <c r="S360" s="378" t="str">
        <f>IF(R360="","", IF(ARBITRAGES!$H360="RAY",S359+ARBITRAGES!$K360,S359))</f>
        <v/>
      </c>
      <c r="T360" s="360"/>
      <c r="U360" s="360"/>
      <c r="V360" s="360"/>
      <c r="W360" s="360"/>
      <c r="X360" s="360"/>
      <c r="Y360" s="360"/>
      <c r="Z360" s="360"/>
      <c r="AA360" s="360"/>
      <c r="AB360" s="360"/>
      <c r="AC360" s="360"/>
      <c r="AD360" s="360"/>
      <c r="AE360" s="360"/>
      <c r="AF360" s="360"/>
      <c r="AG360" s="360"/>
      <c r="AH360" s="360"/>
    </row>
    <row r="361" ht="18.75" customHeight="1">
      <c r="A361" s="399"/>
      <c r="B361" s="375" t="str">
        <f>IF(A361="","", IF(ARBITRAGES!$H361="BTC",B360+ARBITRAGES!$K361,B360))</f>
        <v/>
      </c>
      <c r="C361" s="375" t="str">
        <f>IF(B361="","", IF(ARBITRAGES!$H361="eth",C360+ARBITRAGES!$K361,C360))</f>
        <v/>
      </c>
      <c r="D361" s="376" t="str">
        <f>IF(C361="","", IF(ARBITRAGES!$H361="ondo",D360+ARBITRAGES!$K361,D360))</f>
        <v/>
      </c>
      <c r="E361" s="376" t="str">
        <f>IF(D361="","", IF(ARBITRAGES!$H361="sol",E360+ARBITRAGES!$K361,E360))</f>
        <v/>
      </c>
      <c r="F361" s="377" t="str">
        <f>IF(E361="","", IF(ARBITRAGES!$H361="tao",F360+ARBITRAGES!$K361,F360))</f>
        <v/>
      </c>
      <c r="G361" s="378" t="str">
        <f>IF(F361="","", IF(ARBITRAGES!$H361="ron",G360+ARBITRAGES!$K361,G360))</f>
        <v/>
      </c>
      <c r="H361" s="378" t="str">
        <f>IF(G361="","", IF(ARBITRAGES!$H361="link",H360+ARBITRAGES!$K361,H360))</f>
        <v/>
      </c>
      <c r="I361" s="378" t="str">
        <f>IF(H361="","", IF(ARBITRAGES!$H361="doge",I360+ARBITRAGES!$K361,I360))</f>
        <v/>
      </c>
      <c r="J361" s="378" t="str">
        <f>IF(I361="","", IF(ARBITRAGES!$H361="shib",J360-ARBITRAGES!$K361,J360))</f>
        <v/>
      </c>
      <c r="K361" s="378" t="str">
        <f>IF(J361="","", IF(ARBITRAGES!$H361="cake",K360+ARBITRAGES!$K361,K360))</f>
        <v/>
      </c>
      <c r="L361" s="378" t="str">
        <f>IF(K361="","", IF(ARBITRAGES!$H361="JUP",L360+ARBITRAGES!$K361,L360))</f>
        <v/>
      </c>
      <c r="M361" s="376" t="str">
        <f>IF(L361="","", IF(ARBITRAGES!$H361="aave",M360+ARBITRAGES!$K361,M360))</f>
        <v/>
      </c>
      <c r="N361" s="378" t="str">
        <f>IF(M361="","", IF(ARBITRAGES!$H361="ckb",N360+ARBITRAGES!$K361,N360))</f>
        <v/>
      </c>
      <c r="O361" s="378" t="str">
        <f>IF(N361="","", IF(ARBITRAGES!$H361="pendle",O360-ARBITRAGES!$K361+0.1,O360))</f>
        <v/>
      </c>
      <c r="P361" s="378" t="str">
        <f>IF(O361="","", IF(ARBITRAGES!$H361="BOME",P360+ARBITRAGES!$K361,P360))</f>
        <v/>
      </c>
      <c r="Q361" s="378" t="str">
        <f>IF(P361="","", IF(ARBITRAGES!$H361="PEPE",Q360+ARBITRAGES!$K361,Q360))</f>
        <v/>
      </c>
      <c r="R361" s="378" t="str">
        <f>IF(Q361="","", IF(ARBITRAGES!$H361="WIF",R360+ARBITRAGES!$K361,R360))</f>
        <v/>
      </c>
      <c r="S361" s="378" t="str">
        <f>IF(R361="","", IF(ARBITRAGES!$H361="RAY",S360+ARBITRAGES!$K361,S360))</f>
        <v/>
      </c>
      <c r="T361" s="360"/>
      <c r="U361" s="360"/>
      <c r="V361" s="360"/>
      <c r="W361" s="360"/>
      <c r="X361" s="360"/>
      <c r="Y361" s="360"/>
      <c r="Z361" s="360"/>
      <c r="AA361" s="360"/>
      <c r="AB361" s="360"/>
      <c r="AC361" s="360"/>
      <c r="AD361" s="360"/>
      <c r="AE361" s="360"/>
      <c r="AF361" s="360"/>
      <c r="AG361" s="360"/>
      <c r="AH361" s="360"/>
    </row>
    <row r="362" ht="18.75" customHeight="1">
      <c r="A362" s="399"/>
      <c r="B362" s="375" t="str">
        <f>IF(A362="","", IF(ARBITRAGES!$H362="BTC",B361+ARBITRAGES!$K362,B361))</f>
        <v/>
      </c>
      <c r="C362" s="375" t="str">
        <f>IF(B362="","", IF(ARBITRAGES!$H362="eth",C361+ARBITRAGES!$K362,C361))</f>
        <v/>
      </c>
      <c r="D362" s="376" t="str">
        <f>IF(C362="","", IF(ARBITRAGES!$H362="ondo",D361+ARBITRAGES!$K362,D361))</f>
        <v/>
      </c>
      <c r="E362" s="376" t="str">
        <f>IF(D362="","", IF(ARBITRAGES!$H362="sol",E361+ARBITRAGES!$K362,E361))</f>
        <v/>
      </c>
      <c r="F362" s="377" t="str">
        <f>IF(E362="","", IF(ARBITRAGES!$H362="tao",F361+ARBITRAGES!$K362,F361))</f>
        <v/>
      </c>
      <c r="G362" s="378" t="str">
        <f>IF(F362="","", IF(ARBITRAGES!$H362="ron",G361+ARBITRAGES!$K362,G361))</f>
        <v/>
      </c>
      <c r="H362" s="378" t="str">
        <f>IF(G362="","", IF(ARBITRAGES!$H362="link",H361+ARBITRAGES!$K362,H361))</f>
        <v/>
      </c>
      <c r="I362" s="378" t="str">
        <f>IF(H362="","", IF(ARBITRAGES!$H362="doge",I361+ARBITRAGES!$K362,I361))</f>
        <v/>
      </c>
      <c r="J362" s="378" t="str">
        <f>IF(I362="","", IF(ARBITRAGES!$H362="shib",J361-ARBITRAGES!$K362,J361))</f>
        <v/>
      </c>
      <c r="K362" s="378" t="str">
        <f>IF(J362="","", IF(ARBITRAGES!$H362="cake",K361+ARBITRAGES!$K362,K361))</f>
        <v/>
      </c>
      <c r="L362" s="378" t="str">
        <f>IF(K362="","", IF(ARBITRAGES!$H362="JUP",L361+ARBITRAGES!$K362,L361))</f>
        <v/>
      </c>
      <c r="M362" s="376" t="str">
        <f>IF(L362="","", IF(ARBITRAGES!$H362="aave",M361+ARBITRAGES!$K362,M361))</f>
        <v/>
      </c>
      <c r="N362" s="378" t="str">
        <f>IF(M362="","", IF(ARBITRAGES!$H362="ckb",N361+ARBITRAGES!$K362,N361))</f>
        <v/>
      </c>
      <c r="O362" s="378" t="str">
        <f>IF(N362="","", IF(ARBITRAGES!$H362="pendle",O361-ARBITRAGES!$K362+0.1,O361))</f>
        <v/>
      </c>
      <c r="P362" s="378" t="str">
        <f>IF(O362="","", IF(ARBITRAGES!$H362="BOME",P361+ARBITRAGES!$K362,P361))</f>
        <v/>
      </c>
      <c r="Q362" s="378" t="str">
        <f>IF(P362="","", IF(ARBITRAGES!$H362="PEPE",Q361+ARBITRAGES!$K362,Q361))</f>
        <v/>
      </c>
      <c r="R362" s="378" t="str">
        <f>IF(Q362="","", IF(ARBITRAGES!$H362="WIF",R361+ARBITRAGES!$K362,R361))</f>
        <v/>
      </c>
      <c r="S362" s="378" t="str">
        <f>IF(R362="","", IF(ARBITRAGES!$H362="RAY",S361+ARBITRAGES!$K362,S361))</f>
        <v/>
      </c>
      <c r="T362" s="360"/>
      <c r="U362" s="360"/>
      <c r="V362" s="360"/>
      <c r="W362" s="360"/>
      <c r="X362" s="360"/>
      <c r="Y362" s="360"/>
      <c r="Z362" s="360"/>
      <c r="AA362" s="360"/>
      <c r="AB362" s="360"/>
      <c r="AC362" s="360"/>
      <c r="AD362" s="360"/>
      <c r="AE362" s="360"/>
      <c r="AF362" s="360"/>
      <c r="AG362" s="360"/>
      <c r="AH362" s="360"/>
    </row>
    <row r="363" ht="18.75" customHeight="1">
      <c r="A363" s="399"/>
      <c r="B363" s="375" t="str">
        <f>IF(A363="","", IF(ARBITRAGES!$H363="BTC",B362+ARBITRAGES!$K363,B362))</f>
        <v/>
      </c>
      <c r="C363" s="375" t="str">
        <f>IF(B363="","", IF(ARBITRAGES!$H363="eth",C362+ARBITRAGES!$K363,C362))</f>
        <v/>
      </c>
      <c r="D363" s="376" t="str">
        <f>IF(C363="","", IF(ARBITRAGES!$H363="ondo",D362+ARBITRAGES!$K363,D362))</f>
        <v/>
      </c>
      <c r="E363" s="376" t="str">
        <f>IF(D363="","", IF(ARBITRAGES!$H363="sol",E362+ARBITRAGES!$K363,E362))</f>
        <v/>
      </c>
      <c r="F363" s="377" t="str">
        <f>IF(E363="","", IF(ARBITRAGES!$H363="tao",F362+ARBITRAGES!$K363,F362))</f>
        <v/>
      </c>
      <c r="G363" s="378" t="str">
        <f>IF(F363="","", IF(ARBITRAGES!$H363="ron",G362+ARBITRAGES!$K363,G362))</f>
        <v/>
      </c>
      <c r="H363" s="378" t="str">
        <f>IF(G363="","", IF(ARBITRAGES!$H363="link",H362+ARBITRAGES!$K363,H362))</f>
        <v/>
      </c>
      <c r="I363" s="378" t="str">
        <f>IF(H363="","", IF(ARBITRAGES!$H363="doge",I362+ARBITRAGES!$K363,I362))</f>
        <v/>
      </c>
      <c r="J363" s="378" t="str">
        <f>IF(I363="","", IF(ARBITRAGES!$H363="shib",J362-ARBITRAGES!$K363,J362))</f>
        <v/>
      </c>
      <c r="K363" s="378" t="str">
        <f>IF(J363="","", IF(ARBITRAGES!$H363="cake",K362+ARBITRAGES!$K363,K362))</f>
        <v/>
      </c>
      <c r="L363" s="378" t="str">
        <f>IF(K363="","", IF(ARBITRAGES!$H363="JUP",L362+ARBITRAGES!$K363,L362))</f>
        <v/>
      </c>
      <c r="M363" s="376" t="str">
        <f>IF(L363="","", IF(ARBITRAGES!$H363="aave",M362+ARBITRAGES!$K363,M362))</f>
        <v/>
      </c>
      <c r="N363" s="378" t="str">
        <f>IF(M363="","", IF(ARBITRAGES!$H363="ckb",N362+ARBITRAGES!$K363,N362))</f>
        <v/>
      </c>
      <c r="O363" s="378" t="str">
        <f>IF(N363="","", IF(ARBITRAGES!$H363="pendle",O362-ARBITRAGES!$K363+0.1,O362))</f>
        <v/>
      </c>
      <c r="P363" s="378" t="str">
        <f>IF(O363="","", IF(ARBITRAGES!$H363="BOME",P362+ARBITRAGES!$K363,P362))</f>
        <v/>
      </c>
      <c r="Q363" s="378" t="str">
        <f>IF(P363="","", IF(ARBITRAGES!$H363="PEPE",Q362+ARBITRAGES!$K363,Q362))</f>
        <v/>
      </c>
      <c r="R363" s="378" t="str">
        <f>IF(Q363="","", IF(ARBITRAGES!$H363="WIF",R362+ARBITRAGES!$K363,R362))</f>
        <v/>
      </c>
      <c r="S363" s="378" t="str">
        <f>IF(R363="","", IF(ARBITRAGES!$H363="RAY",S362+ARBITRAGES!$K363,S362))</f>
        <v/>
      </c>
      <c r="T363" s="360"/>
      <c r="U363" s="360"/>
      <c r="V363" s="360"/>
      <c r="W363" s="360"/>
      <c r="X363" s="360"/>
      <c r="Y363" s="360"/>
      <c r="Z363" s="360"/>
      <c r="AA363" s="360"/>
      <c r="AB363" s="360"/>
      <c r="AC363" s="360"/>
      <c r="AD363" s="360"/>
      <c r="AE363" s="360"/>
      <c r="AF363" s="360"/>
      <c r="AG363" s="360"/>
      <c r="AH363" s="360"/>
    </row>
    <row r="364" ht="18.75" customHeight="1">
      <c r="A364" s="399"/>
      <c r="B364" s="375" t="str">
        <f>IF(A364="","", IF(ARBITRAGES!$H364="BTC",B363+ARBITRAGES!$K364,B363))</f>
        <v/>
      </c>
      <c r="C364" s="375" t="str">
        <f>IF(B364="","", IF(ARBITRAGES!$H364="eth",C363+ARBITRAGES!$K364,C363))</f>
        <v/>
      </c>
      <c r="D364" s="376" t="str">
        <f>IF(C364="","", IF(ARBITRAGES!$H364="ondo",D363+ARBITRAGES!$K364,D363))</f>
        <v/>
      </c>
      <c r="E364" s="376" t="str">
        <f>IF(D364="","", IF(ARBITRAGES!$H364="sol",E363+ARBITRAGES!$K364,E363))</f>
        <v/>
      </c>
      <c r="F364" s="377" t="str">
        <f>IF(E364="","", IF(ARBITRAGES!$H364="tao",F363+ARBITRAGES!$K364,F363))</f>
        <v/>
      </c>
      <c r="G364" s="378" t="str">
        <f>IF(F364="","", IF(ARBITRAGES!$H364="ron",G363+ARBITRAGES!$K364,G363))</f>
        <v/>
      </c>
      <c r="H364" s="378" t="str">
        <f>IF(G364="","", IF(ARBITRAGES!$H364="link",H363+ARBITRAGES!$K364,H363))</f>
        <v/>
      </c>
      <c r="I364" s="378" t="str">
        <f>IF(H364="","", IF(ARBITRAGES!$H364="doge",I363+ARBITRAGES!$K364,I363))</f>
        <v/>
      </c>
      <c r="J364" s="378" t="str">
        <f>IF(I364="","", IF(ARBITRAGES!$H364="shib",J363-ARBITRAGES!$K364,J363))</f>
        <v/>
      </c>
      <c r="K364" s="378" t="str">
        <f>IF(J364="","", IF(ARBITRAGES!$H364="cake",K363+ARBITRAGES!$K364,K363))</f>
        <v/>
      </c>
      <c r="L364" s="378" t="str">
        <f>IF(K364="","", IF(ARBITRAGES!$H364="JUP",L363+ARBITRAGES!$K364,L363))</f>
        <v/>
      </c>
      <c r="M364" s="376" t="str">
        <f>IF(L364="","", IF(ARBITRAGES!$H364="aave",M363+ARBITRAGES!$K364,M363))</f>
        <v/>
      </c>
      <c r="N364" s="378" t="str">
        <f>IF(M364="","", IF(ARBITRAGES!$H364="ckb",N363+ARBITRAGES!$K364,N363))</f>
        <v/>
      </c>
      <c r="O364" s="378" t="str">
        <f>IF(N364="","", IF(ARBITRAGES!$H364="pendle",O363-ARBITRAGES!$K364+0.1,O363))</f>
        <v/>
      </c>
      <c r="P364" s="378" t="str">
        <f>IF(O364="","", IF(ARBITRAGES!$H364="BOME",P363+ARBITRAGES!$K364,P363))</f>
        <v/>
      </c>
      <c r="Q364" s="378" t="str">
        <f>IF(P364="","", IF(ARBITRAGES!$H364="PEPE",Q363+ARBITRAGES!$K364,Q363))</f>
        <v/>
      </c>
      <c r="R364" s="378" t="str">
        <f>IF(Q364="","", IF(ARBITRAGES!$H364="WIF",R363+ARBITRAGES!$K364,R363))</f>
        <v/>
      </c>
      <c r="S364" s="378" t="str">
        <f>IF(R364="","", IF(ARBITRAGES!$H364="RAY",S363+ARBITRAGES!$K364,S363))</f>
        <v/>
      </c>
      <c r="T364" s="360"/>
      <c r="U364" s="360"/>
      <c r="V364" s="360"/>
      <c r="W364" s="360"/>
      <c r="X364" s="360"/>
      <c r="Y364" s="360"/>
      <c r="Z364" s="360"/>
      <c r="AA364" s="360"/>
      <c r="AB364" s="360"/>
      <c r="AC364" s="360"/>
      <c r="AD364" s="360"/>
      <c r="AE364" s="360"/>
      <c r="AF364" s="360"/>
      <c r="AG364" s="360"/>
      <c r="AH364" s="360"/>
    </row>
    <row r="365" ht="18.75" customHeight="1">
      <c r="A365" s="399"/>
      <c r="B365" s="375" t="str">
        <f>IF(A365="","", IF(ARBITRAGES!$H365="BTC",B364+ARBITRAGES!$K365,B364))</f>
        <v/>
      </c>
      <c r="C365" s="375" t="str">
        <f>IF(B365="","", IF(ARBITRAGES!$H365="eth",C364+ARBITRAGES!$K365,C364))</f>
        <v/>
      </c>
      <c r="D365" s="376" t="str">
        <f>IF(C365="","", IF(ARBITRAGES!$H365="ondo",D364+ARBITRAGES!$K365,D364))</f>
        <v/>
      </c>
      <c r="E365" s="376" t="str">
        <f>IF(D365="","", IF(ARBITRAGES!$H365="sol",E364+ARBITRAGES!$K365,E364))</f>
        <v/>
      </c>
      <c r="F365" s="377" t="str">
        <f>IF(E365="","", IF(ARBITRAGES!$H365="tao",F364+ARBITRAGES!$K365,F364))</f>
        <v/>
      </c>
      <c r="G365" s="378" t="str">
        <f>IF(F365="","", IF(ARBITRAGES!$H365="ron",G364+ARBITRAGES!$K365,G364))</f>
        <v/>
      </c>
      <c r="H365" s="378" t="str">
        <f>IF(G365="","", IF(ARBITRAGES!$H365="link",H364+ARBITRAGES!$K365,H364))</f>
        <v/>
      </c>
      <c r="I365" s="378" t="str">
        <f>IF(H365="","", IF(ARBITRAGES!$H365="doge",I364+ARBITRAGES!$K365,I364))</f>
        <v/>
      </c>
      <c r="J365" s="378" t="str">
        <f>IF(I365="","", IF(ARBITRAGES!$H365="shib",J364-ARBITRAGES!$K365,J364))</f>
        <v/>
      </c>
      <c r="K365" s="378" t="str">
        <f>IF(J365="","", IF(ARBITRAGES!$H365="cake",K364+ARBITRAGES!$K365,K364))</f>
        <v/>
      </c>
      <c r="L365" s="378" t="str">
        <f>IF(K365="","", IF(ARBITRAGES!$H365="JUP",L364+ARBITRAGES!$K365,L364))</f>
        <v/>
      </c>
      <c r="M365" s="376" t="str">
        <f>IF(L365="","", IF(ARBITRAGES!$H365="aave",M364+ARBITRAGES!$K365,M364))</f>
        <v/>
      </c>
      <c r="N365" s="378" t="str">
        <f>IF(M365="","", IF(ARBITRAGES!$H365="ckb",N364+ARBITRAGES!$K365,N364))</f>
        <v/>
      </c>
      <c r="O365" s="378" t="str">
        <f>IF(N365="","", IF(ARBITRAGES!$H365="pendle",O364-ARBITRAGES!$K365+0.1,O364))</f>
        <v/>
      </c>
      <c r="P365" s="378" t="str">
        <f>IF(O365="","", IF(ARBITRAGES!$H365="BOME",P364+ARBITRAGES!$K365,P364))</f>
        <v/>
      </c>
      <c r="Q365" s="378" t="str">
        <f>IF(P365="","", IF(ARBITRAGES!$H365="PEPE",Q364+ARBITRAGES!$K365,Q364))</f>
        <v/>
      </c>
      <c r="R365" s="378" t="str">
        <f>IF(Q365="","", IF(ARBITRAGES!$H365="WIF",R364+ARBITRAGES!$K365,R364))</f>
        <v/>
      </c>
      <c r="S365" s="378" t="str">
        <f>IF(R365="","", IF(ARBITRAGES!$H365="RAY",S364+ARBITRAGES!$K365,S364))</f>
        <v/>
      </c>
      <c r="T365" s="360"/>
      <c r="U365" s="360"/>
      <c r="V365" s="360"/>
      <c r="W365" s="360"/>
      <c r="X365" s="360"/>
      <c r="Y365" s="360"/>
      <c r="Z365" s="360"/>
      <c r="AA365" s="360"/>
      <c r="AB365" s="360"/>
      <c r="AC365" s="360"/>
      <c r="AD365" s="360"/>
      <c r="AE365" s="360"/>
      <c r="AF365" s="360"/>
      <c r="AG365" s="360"/>
      <c r="AH365" s="360"/>
    </row>
    <row r="366" ht="18.75" customHeight="1">
      <c r="A366" s="399"/>
      <c r="B366" s="375" t="str">
        <f>IF(A366="","", IF(ARBITRAGES!$H366="BTC",B365+ARBITRAGES!$K366,B365))</f>
        <v/>
      </c>
      <c r="C366" s="375" t="str">
        <f>IF(B366="","", IF(ARBITRAGES!$H366="eth",C365+ARBITRAGES!$K366,C365))</f>
        <v/>
      </c>
      <c r="D366" s="376" t="str">
        <f>IF(C366="","", IF(ARBITRAGES!$H366="ondo",D365+ARBITRAGES!$K366,D365))</f>
        <v/>
      </c>
      <c r="E366" s="376" t="str">
        <f>IF(D366="","", IF(ARBITRAGES!$H366="sol",E365+ARBITRAGES!$K366,E365))</f>
        <v/>
      </c>
      <c r="F366" s="377" t="str">
        <f>IF(E366="","", IF(ARBITRAGES!$H366="tao",F365+ARBITRAGES!$K366,F365))</f>
        <v/>
      </c>
      <c r="G366" s="378" t="str">
        <f>IF(F366="","", IF(ARBITRAGES!$H366="ron",G365+ARBITRAGES!$K366,G365))</f>
        <v/>
      </c>
      <c r="H366" s="378" t="str">
        <f>IF(G366="","", IF(ARBITRAGES!$H366="link",H365+ARBITRAGES!$K366,H365))</f>
        <v/>
      </c>
      <c r="I366" s="378" t="str">
        <f>IF(H366="","", IF(ARBITRAGES!$H366="doge",I365+ARBITRAGES!$K366,I365))</f>
        <v/>
      </c>
      <c r="J366" s="378" t="str">
        <f>IF(I366="","", IF(ARBITRAGES!$H366="shib",J365-ARBITRAGES!$K366,J365))</f>
        <v/>
      </c>
      <c r="K366" s="378" t="str">
        <f>IF(J366="","", IF(ARBITRAGES!$H366="cake",K365+ARBITRAGES!$K366,K365))</f>
        <v/>
      </c>
      <c r="L366" s="378" t="str">
        <f>IF(K366="","", IF(ARBITRAGES!$H366="JUP",L365+ARBITRAGES!$K366,L365))</f>
        <v/>
      </c>
      <c r="M366" s="376" t="str">
        <f>IF(L366="","", IF(ARBITRAGES!$H366="aave",M365+ARBITRAGES!$K366,M365))</f>
        <v/>
      </c>
      <c r="N366" s="378" t="str">
        <f>IF(M366="","", IF(ARBITRAGES!$H366="ckb",N365+ARBITRAGES!$K366,N365))</f>
        <v/>
      </c>
      <c r="O366" s="378" t="str">
        <f>IF(N366="","", IF(ARBITRAGES!$H366="pendle",O365-ARBITRAGES!$K366+0.1,O365))</f>
        <v/>
      </c>
      <c r="P366" s="378" t="str">
        <f>IF(O366="","", IF(ARBITRAGES!$H366="BOME",P365+ARBITRAGES!$K366,P365))</f>
        <v/>
      </c>
      <c r="Q366" s="378" t="str">
        <f>IF(P366="","", IF(ARBITRAGES!$H366="PEPE",Q365+ARBITRAGES!$K366,Q365))</f>
        <v/>
      </c>
      <c r="R366" s="378" t="str">
        <f>IF(Q366="","", IF(ARBITRAGES!$H366="WIF",R365+ARBITRAGES!$K366,R365))</f>
        <v/>
      </c>
      <c r="S366" s="378" t="str">
        <f>IF(R366="","", IF(ARBITRAGES!$H366="RAY",S365+ARBITRAGES!$K366,S365))</f>
        <v/>
      </c>
      <c r="T366" s="360"/>
      <c r="U366" s="360"/>
      <c r="V366" s="360"/>
      <c r="W366" s="360"/>
      <c r="X366" s="360"/>
      <c r="Y366" s="360"/>
      <c r="Z366" s="360"/>
      <c r="AA366" s="360"/>
      <c r="AB366" s="360"/>
      <c r="AC366" s="360"/>
      <c r="AD366" s="360"/>
      <c r="AE366" s="360"/>
      <c r="AF366" s="360"/>
      <c r="AG366" s="360"/>
      <c r="AH366" s="360"/>
    </row>
    <row r="367" ht="18.75" customHeight="1">
      <c r="A367" s="399"/>
      <c r="B367" s="375" t="str">
        <f>IF(A367="","", IF(ARBITRAGES!$H367="BTC",B366+ARBITRAGES!$K367,B366))</f>
        <v/>
      </c>
      <c r="C367" s="375" t="str">
        <f>IF(B367="","", IF(ARBITRAGES!$H367="eth",C366+ARBITRAGES!$K367,C366))</f>
        <v/>
      </c>
      <c r="D367" s="376" t="str">
        <f>IF(C367="","", IF(ARBITRAGES!$H367="ondo",D366+ARBITRAGES!$K367,D366))</f>
        <v/>
      </c>
      <c r="E367" s="376" t="str">
        <f>IF(D367="","", IF(ARBITRAGES!$H367="sol",E366+ARBITRAGES!$K367,E366))</f>
        <v/>
      </c>
      <c r="F367" s="377" t="str">
        <f>IF(E367="","", IF(ARBITRAGES!$H367="tao",F366+ARBITRAGES!$K367,F366))</f>
        <v/>
      </c>
      <c r="G367" s="378" t="str">
        <f>IF(F367="","", IF(ARBITRAGES!$H367="ron",G366+ARBITRAGES!$K367,G366))</f>
        <v/>
      </c>
      <c r="H367" s="378" t="str">
        <f>IF(G367="","", IF(ARBITRAGES!$H367="link",H366+ARBITRAGES!$K367,H366))</f>
        <v/>
      </c>
      <c r="I367" s="378" t="str">
        <f>IF(H367="","", IF(ARBITRAGES!$H367="doge",I366+ARBITRAGES!$K367,I366))</f>
        <v/>
      </c>
      <c r="J367" s="378" t="str">
        <f>IF(I367="","", IF(ARBITRAGES!$H367="shib",J366-ARBITRAGES!$K367,J366))</f>
        <v/>
      </c>
      <c r="K367" s="378" t="str">
        <f>IF(J367="","", IF(ARBITRAGES!$H367="cake",K366+ARBITRAGES!$K367,K366))</f>
        <v/>
      </c>
      <c r="L367" s="378" t="str">
        <f>IF(K367="","", IF(ARBITRAGES!$H367="JUP",L366+ARBITRAGES!$K367,L366))</f>
        <v/>
      </c>
      <c r="M367" s="376" t="str">
        <f>IF(L367="","", IF(ARBITRAGES!$H367="aave",M366+ARBITRAGES!$K367,M366))</f>
        <v/>
      </c>
      <c r="N367" s="378" t="str">
        <f>IF(M367="","", IF(ARBITRAGES!$H367="ckb",N366+ARBITRAGES!$K367,N366))</f>
        <v/>
      </c>
      <c r="O367" s="378" t="str">
        <f>IF(N367="","", IF(ARBITRAGES!$H367="pendle",O366-ARBITRAGES!$K367+0.1,O366))</f>
        <v/>
      </c>
      <c r="P367" s="378" t="str">
        <f>IF(O367="","", IF(ARBITRAGES!$H367="BOME",P366+ARBITRAGES!$K367,P366))</f>
        <v/>
      </c>
      <c r="Q367" s="378" t="str">
        <f>IF(P367="","", IF(ARBITRAGES!$H367="PEPE",Q366+ARBITRAGES!$K367,Q366))</f>
        <v/>
      </c>
      <c r="R367" s="378" t="str">
        <f>IF(Q367="","", IF(ARBITRAGES!$H367="WIF",R366+ARBITRAGES!$K367,R366))</f>
        <v/>
      </c>
      <c r="S367" s="378" t="str">
        <f>IF(R367="","", IF(ARBITRAGES!$H367="RAY",S366+ARBITRAGES!$K367,S366))</f>
        <v/>
      </c>
      <c r="T367" s="360"/>
      <c r="U367" s="360"/>
      <c r="V367" s="360"/>
      <c r="W367" s="360"/>
      <c r="X367" s="360"/>
      <c r="Y367" s="360"/>
      <c r="Z367" s="360"/>
      <c r="AA367" s="360"/>
      <c r="AB367" s="360"/>
      <c r="AC367" s="360"/>
      <c r="AD367" s="360"/>
      <c r="AE367" s="360"/>
      <c r="AF367" s="360"/>
      <c r="AG367" s="360"/>
      <c r="AH367" s="360"/>
    </row>
    <row r="368" ht="18.75" customHeight="1">
      <c r="A368" s="399"/>
      <c r="B368" s="375" t="str">
        <f>IF(A368="","", IF(ARBITRAGES!$H368="BTC",B367+ARBITRAGES!$K368,B367))</f>
        <v/>
      </c>
      <c r="C368" s="375" t="str">
        <f>IF(B368="","", IF(ARBITRAGES!$H368="eth",C367+ARBITRAGES!$K368,C367))</f>
        <v/>
      </c>
      <c r="D368" s="376" t="str">
        <f>IF(C368="","", IF(ARBITRAGES!$H368="ondo",D367+ARBITRAGES!$K368,D367))</f>
        <v/>
      </c>
      <c r="E368" s="376" t="str">
        <f>IF(D368="","", IF(ARBITRAGES!$H368="sol",E367+ARBITRAGES!$K368,E367))</f>
        <v/>
      </c>
      <c r="F368" s="377" t="str">
        <f>IF(E368="","", IF(ARBITRAGES!$H368="tao",F367+ARBITRAGES!$K368,F367))</f>
        <v/>
      </c>
      <c r="G368" s="378" t="str">
        <f>IF(F368="","", IF(ARBITRAGES!$H368="ron",G367+ARBITRAGES!$K368,G367))</f>
        <v/>
      </c>
      <c r="H368" s="378" t="str">
        <f>IF(G368="","", IF(ARBITRAGES!$H368="link",H367+ARBITRAGES!$K368,H367))</f>
        <v/>
      </c>
      <c r="I368" s="378" t="str">
        <f>IF(H368="","", IF(ARBITRAGES!$H368="doge",I367+ARBITRAGES!$K368,I367))</f>
        <v/>
      </c>
      <c r="J368" s="378" t="str">
        <f>IF(I368="","", IF(ARBITRAGES!$H368="shib",J367-ARBITRAGES!$K368,J367))</f>
        <v/>
      </c>
      <c r="K368" s="378" t="str">
        <f>IF(J368="","", IF(ARBITRAGES!$H368="cake",K367+ARBITRAGES!$K368,K367))</f>
        <v/>
      </c>
      <c r="L368" s="378" t="str">
        <f>IF(K368="","", IF(ARBITRAGES!$H368="JUP",L367+ARBITRAGES!$K368,L367))</f>
        <v/>
      </c>
      <c r="M368" s="376" t="str">
        <f>IF(L368="","", IF(ARBITRAGES!$H368="aave",M367+ARBITRAGES!$K368,M367))</f>
        <v/>
      </c>
      <c r="N368" s="378" t="str">
        <f>IF(M368="","", IF(ARBITRAGES!$H368="ckb",N367+ARBITRAGES!$K368,N367))</f>
        <v/>
      </c>
      <c r="O368" s="378" t="str">
        <f>IF(N368="","", IF(ARBITRAGES!$H368="pendle",O367-ARBITRAGES!$K368+0.1,O367))</f>
        <v/>
      </c>
      <c r="P368" s="378" t="str">
        <f>IF(O368="","", IF(ARBITRAGES!$H368="BOME",P367+ARBITRAGES!$K368,P367))</f>
        <v/>
      </c>
      <c r="Q368" s="378" t="str">
        <f>IF(P368="","", IF(ARBITRAGES!$H368="PEPE",Q367+ARBITRAGES!$K368,Q367))</f>
        <v/>
      </c>
      <c r="R368" s="378" t="str">
        <f>IF(Q368="","", IF(ARBITRAGES!$H368="WIF",R367+ARBITRAGES!$K368,R367))</f>
        <v/>
      </c>
      <c r="S368" s="378" t="str">
        <f>IF(R368="","", IF(ARBITRAGES!$H368="RAY",S367+ARBITRAGES!$K368,S367))</f>
        <v/>
      </c>
      <c r="T368" s="360"/>
      <c r="U368" s="360"/>
      <c r="V368" s="360"/>
      <c r="W368" s="360"/>
      <c r="X368" s="360"/>
      <c r="Y368" s="360"/>
      <c r="Z368" s="360"/>
      <c r="AA368" s="360"/>
      <c r="AB368" s="360"/>
      <c r="AC368" s="360"/>
      <c r="AD368" s="360"/>
      <c r="AE368" s="360"/>
      <c r="AF368" s="360"/>
      <c r="AG368" s="360"/>
      <c r="AH368" s="360"/>
    </row>
    <row r="369" ht="18.75" customHeight="1">
      <c r="A369" s="399"/>
      <c r="B369" s="375" t="str">
        <f>IF(A369="","", IF(ARBITRAGES!$H369="BTC",B368+ARBITRAGES!$K369,B368))</f>
        <v/>
      </c>
      <c r="C369" s="375" t="str">
        <f>IF(B369="","", IF(ARBITRAGES!$H369="eth",C368+ARBITRAGES!$K369,C368))</f>
        <v/>
      </c>
      <c r="D369" s="376" t="str">
        <f>IF(C369="","", IF(ARBITRAGES!$H369="ondo",D368+ARBITRAGES!$K369,D368))</f>
        <v/>
      </c>
      <c r="E369" s="376" t="str">
        <f>IF(D369="","", IF(ARBITRAGES!$H369="sol",E368+ARBITRAGES!$K369,E368))</f>
        <v/>
      </c>
      <c r="F369" s="377" t="str">
        <f>IF(E369="","", IF(ARBITRAGES!$H369="tao",F368+ARBITRAGES!$K369,F368))</f>
        <v/>
      </c>
      <c r="G369" s="378" t="str">
        <f>IF(F369="","", IF(ARBITRAGES!$H369="ron",G368+ARBITRAGES!$K369,G368))</f>
        <v/>
      </c>
      <c r="H369" s="378" t="str">
        <f>IF(G369="","", IF(ARBITRAGES!$H369="link",H368+ARBITRAGES!$K369,H368))</f>
        <v/>
      </c>
      <c r="I369" s="378" t="str">
        <f>IF(H369="","", IF(ARBITRAGES!$H369="doge",I368+ARBITRAGES!$K369,I368))</f>
        <v/>
      </c>
      <c r="J369" s="378" t="str">
        <f>IF(I369="","", IF(ARBITRAGES!$H369="shib",J368-ARBITRAGES!$K369,J368))</f>
        <v/>
      </c>
      <c r="K369" s="378" t="str">
        <f>IF(J369="","", IF(ARBITRAGES!$H369="cake",K368+ARBITRAGES!$K369,K368))</f>
        <v/>
      </c>
      <c r="L369" s="378" t="str">
        <f>IF(K369="","", IF(ARBITRAGES!$H369="JUP",L368+ARBITRAGES!$K369,L368))</f>
        <v/>
      </c>
      <c r="M369" s="376" t="str">
        <f>IF(L369="","", IF(ARBITRAGES!$H369="aave",M368+ARBITRAGES!$K369,M368))</f>
        <v/>
      </c>
      <c r="N369" s="378" t="str">
        <f>IF(M369="","", IF(ARBITRAGES!$H369="ckb",N368+ARBITRAGES!$K369,N368))</f>
        <v/>
      </c>
      <c r="O369" s="378" t="str">
        <f>IF(N369="","", IF(ARBITRAGES!$H369="pendle",O368-ARBITRAGES!$K369+0.1,O368))</f>
        <v/>
      </c>
      <c r="P369" s="378" t="str">
        <f>IF(O369="","", IF(ARBITRAGES!$H369="BOME",P368+ARBITRAGES!$K369,P368))</f>
        <v/>
      </c>
      <c r="Q369" s="378" t="str">
        <f>IF(P369="","", IF(ARBITRAGES!$H369="PEPE",Q368+ARBITRAGES!$K369,Q368))</f>
        <v/>
      </c>
      <c r="R369" s="378" t="str">
        <f>IF(Q369="","", IF(ARBITRAGES!$H369="WIF",R368+ARBITRAGES!$K369,R368))</f>
        <v/>
      </c>
      <c r="S369" s="378" t="str">
        <f>IF(R369="","", IF(ARBITRAGES!$H369="RAY",S368+ARBITRAGES!$K369,S368))</f>
        <v/>
      </c>
      <c r="T369" s="360"/>
      <c r="U369" s="360"/>
      <c r="V369" s="360"/>
      <c r="W369" s="360"/>
      <c r="X369" s="360"/>
      <c r="Y369" s="360"/>
      <c r="Z369" s="360"/>
      <c r="AA369" s="360"/>
      <c r="AB369" s="360"/>
      <c r="AC369" s="360"/>
      <c r="AD369" s="360"/>
      <c r="AE369" s="360"/>
      <c r="AF369" s="360"/>
      <c r="AG369" s="360"/>
      <c r="AH369" s="360"/>
    </row>
    <row r="370" ht="18.75" customHeight="1">
      <c r="A370" s="399"/>
      <c r="B370" s="375" t="str">
        <f>IF(A370="","", IF(ARBITRAGES!$H370="BTC",B369+ARBITRAGES!$K370,B369))</f>
        <v/>
      </c>
      <c r="C370" s="375" t="str">
        <f>IF(B370="","", IF(ARBITRAGES!$H370="eth",C369+ARBITRAGES!$K370,C369))</f>
        <v/>
      </c>
      <c r="D370" s="376" t="str">
        <f>IF(C370="","", IF(ARBITRAGES!$H370="ondo",D369+ARBITRAGES!$K370,D369))</f>
        <v/>
      </c>
      <c r="E370" s="376" t="str">
        <f>IF(D370="","", IF(ARBITRAGES!$H370="sol",E369+ARBITRAGES!$K370,E369))</f>
        <v/>
      </c>
      <c r="F370" s="377" t="str">
        <f>IF(E370="","", IF(ARBITRAGES!$H370="tao",F369+ARBITRAGES!$K370,F369))</f>
        <v/>
      </c>
      <c r="G370" s="378" t="str">
        <f>IF(F370="","", IF(ARBITRAGES!$H370="ron",G369+ARBITRAGES!$K370,G369))</f>
        <v/>
      </c>
      <c r="H370" s="378" t="str">
        <f>IF(G370="","", IF(ARBITRAGES!$H370="link",H369+ARBITRAGES!$K370,H369))</f>
        <v/>
      </c>
      <c r="I370" s="378" t="str">
        <f>IF(H370="","", IF(ARBITRAGES!$H370="doge",I369+ARBITRAGES!$K370,I369))</f>
        <v/>
      </c>
      <c r="J370" s="378" t="str">
        <f>IF(I370="","", IF(ARBITRAGES!$H370="shib",J369-ARBITRAGES!$K370,J369))</f>
        <v/>
      </c>
      <c r="K370" s="378" t="str">
        <f>IF(J370="","", IF(ARBITRAGES!$H370="cake",K369+ARBITRAGES!$K370,K369))</f>
        <v/>
      </c>
      <c r="L370" s="378" t="str">
        <f>IF(K370="","", IF(ARBITRAGES!$H370="JUP",L369+ARBITRAGES!$K370,L369))</f>
        <v/>
      </c>
      <c r="M370" s="376" t="str">
        <f>IF(L370="","", IF(ARBITRAGES!$H370="aave",M369+ARBITRAGES!$K370,M369))</f>
        <v/>
      </c>
      <c r="N370" s="378" t="str">
        <f>IF(M370="","", IF(ARBITRAGES!$H370="ckb",N369+ARBITRAGES!$K370,N369))</f>
        <v/>
      </c>
      <c r="O370" s="378" t="str">
        <f>IF(N370="","", IF(ARBITRAGES!$H370="pendle",O369-ARBITRAGES!$K370+0.1,O369))</f>
        <v/>
      </c>
      <c r="P370" s="378" t="str">
        <f>IF(O370="","", IF(ARBITRAGES!$H370="BOME",P369+ARBITRAGES!$K370,P369))</f>
        <v/>
      </c>
      <c r="Q370" s="378" t="str">
        <f>IF(P370="","", IF(ARBITRAGES!$H370="PEPE",Q369+ARBITRAGES!$K370,Q369))</f>
        <v/>
      </c>
      <c r="R370" s="378" t="str">
        <f>IF(Q370="","", IF(ARBITRAGES!$H370="WIF",R369+ARBITRAGES!$K370,R369))</f>
        <v/>
      </c>
      <c r="S370" s="378" t="str">
        <f>IF(R370="","", IF(ARBITRAGES!$H370="RAY",S369+ARBITRAGES!$K370,S369))</f>
        <v/>
      </c>
      <c r="T370" s="360"/>
      <c r="U370" s="360"/>
      <c r="V370" s="360"/>
      <c r="W370" s="360"/>
      <c r="X370" s="360"/>
      <c r="Y370" s="360"/>
      <c r="Z370" s="360"/>
      <c r="AA370" s="360"/>
      <c r="AB370" s="360"/>
      <c r="AC370" s="360"/>
      <c r="AD370" s="360"/>
      <c r="AE370" s="360"/>
      <c r="AF370" s="360"/>
      <c r="AG370" s="360"/>
      <c r="AH370" s="360"/>
    </row>
    <row r="371" ht="18.75" customHeight="1">
      <c r="A371" s="399"/>
      <c r="B371" s="375" t="str">
        <f>IF(A371="","", IF(ARBITRAGES!$H371="BTC",B370+ARBITRAGES!$K371,B370))</f>
        <v/>
      </c>
      <c r="C371" s="375" t="str">
        <f>IF(B371="","", IF(ARBITRAGES!$H371="eth",C370+ARBITRAGES!$K371,C370))</f>
        <v/>
      </c>
      <c r="D371" s="376" t="str">
        <f>IF(C371="","", IF(ARBITRAGES!$H371="ondo",D370+ARBITRAGES!$K371,D370))</f>
        <v/>
      </c>
      <c r="E371" s="376" t="str">
        <f>IF(D371="","", IF(ARBITRAGES!$H371="sol",E370+ARBITRAGES!$K371,E370))</f>
        <v/>
      </c>
      <c r="F371" s="377" t="str">
        <f>IF(E371="","", IF(ARBITRAGES!$H371="tao",F370+ARBITRAGES!$K371,F370))</f>
        <v/>
      </c>
      <c r="G371" s="378" t="str">
        <f>IF(F371="","", IF(ARBITRAGES!$H371="ron",G370+ARBITRAGES!$K371,G370))</f>
        <v/>
      </c>
      <c r="H371" s="378" t="str">
        <f>IF(G371="","", IF(ARBITRAGES!$H371="link",H370+ARBITRAGES!$K371,H370))</f>
        <v/>
      </c>
      <c r="I371" s="378" t="str">
        <f>IF(H371="","", IF(ARBITRAGES!$H371="doge",I370+ARBITRAGES!$K371,I370))</f>
        <v/>
      </c>
      <c r="J371" s="378" t="str">
        <f>IF(I371="","", IF(ARBITRAGES!$H371="shib",J370-ARBITRAGES!$K371,J370))</f>
        <v/>
      </c>
      <c r="K371" s="378" t="str">
        <f>IF(J371="","", IF(ARBITRAGES!$H371="cake",K370+ARBITRAGES!$K371,K370))</f>
        <v/>
      </c>
      <c r="L371" s="378" t="str">
        <f>IF(K371="","", IF(ARBITRAGES!$H371="JUP",L370+ARBITRAGES!$K371,L370))</f>
        <v/>
      </c>
      <c r="M371" s="376" t="str">
        <f>IF(L371="","", IF(ARBITRAGES!$H371="aave",M370+ARBITRAGES!$K371,M370))</f>
        <v/>
      </c>
      <c r="N371" s="378" t="str">
        <f>IF(M371="","", IF(ARBITRAGES!$H371="ckb",N370+ARBITRAGES!$K371,N370))</f>
        <v/>
      </c>
      <c r="O371" s="378" t="str">
        <f>IF(N371="","", IF(ARBITRAGES!$H371="pendle",O370-ARBITRAGES!$K371+0.1,O370))</f>
        <v/>
      </c>
      <c r="P371" s="378" t="str">
        <f>IF(O371="","", IF(ARBITRAGES!$H371="BOME",P370+ARBITRAGES!$K371,P370))</f>
        <v/>
      </c>
      <c r="Q371" s="378" t="str">
        <f>IF(P371="","", IF(ARBITRAGES!$H371="PEPE",Q370+ARBITRAGES!$K371,Q370))</f>
        <v/>
      </c>
      <c r="R371" s="378" t="str">
        <f>IF(Q371="","", IF(ARBITRAGES!$H371="WIF",R370+ARBITRAGES!$K371,R370))</f>
        <v/>
      </c>
      <c r="S371" s="378" t="str">
        <f>IF(R371="","", IF(ARBITRAGES!$H371="RAY",S370+ARBITRAGES!$K371,S370))</f>
        <v/>
      </c>
      <c r="T371" s="360"/>
      <c r="U371" s="360"/>
      <c r="V371" s="360"/>
      <c r="W371" s="360"/>
      <c r="X371" s="360"/>
      <c r="Y371" s="360"/>
      <c r="Z371" s="360"/>
      <c r="AA371" s="360"/>
      <c r="AB371" s="360"/>
      <c r="AC371" s="360"/>
      <c r="AD371" s="360"/>
      <c r="AE371" s="360"/>
      <c r="AF371" s="360"/>
      <c r="AG371" s="360"/>
      <c r="AH371" s="360"/>
    </row>
    <row r="372" ht="18.75" customHeight="1">
      <c r="A372" s="399"/>
      <c r="B372" s="375" t="str">
        <f>IF(A372="","", IF(ARBITRAGES!$H372="BTC",B371+ARBITRAGES!$K372,B371))</f>
        <v/>
      </c>
      <c r="C372" s="375" t="str">
        <f>IF(B372="","", IF(ARBITRAGES!$H372="eth",C371+ARBITRAGES!$K372,C371))</f>
        <v/>
      </c>
      <c r="D372" s="376" t="str">
        <f>IF(C372="","", IF(ARBITRAGES!$H372="ondo",D371+ARBITRAGES!$K372,D371))</f>
        <v/>
      </c>
      <c r="E372" s="376" t="str">
        <f>IF(D372="","", IF(ARBITRAGES!$H372="sol",E371+ARBITRAGES!$K372,E371))</f>
        <v/>
      </c>
      <c r="F372" s="377" t="str">
        <f>IF(E372="","", IF(ARBITRAGES!$H372="tao",F371+ARBITRAGES!$K372,F371))</f>
        <v/>
      </c>
      <c r="G372" s="378" t="str">
        <f>IF(F372="","", IF(ARBITRAGES!$H372="ron",G371+ARBITRAGES!$K372,G371))</f>
        <v/>
      </c>
      <c r="H372" s="378" t="str">
        <f>IF(G372="","", IF(ARBITRAGES!$H372="link",H371+ARBITRAGES!$K372,H371))</f>
        <v/>
      </c>
      <c r="I372" s="378" t="str">
        <f>IF(H372="","", IF(ARBITRAGES!$H372="doge",I371+ARBITRAGES!$K372,I371))</f>
        <v/>
      </c>
      <c r="J372" s="378" t="str">
        <f>IF(I372="","", IF(ARBITRAGES!$H372="shib",J371-ARBITRAGES!$K372,J371))</f>
        <v/>
      </c>
      <c r="K372" s="378" t="str">
        <f>IF(J372="","", IF(ARBITRAGES!$H372="cake",K371+ARBITRAGES!$K372,K371))</f>
        <v/>
      </c>
      <c r="L372" s="378" t="str">
        <f>IF(K372="","", IF(ARBITRAGES!$H372="JUP",L371+ARBITRAGES!$K372,L371))</f>
        <v/>
      </c>
      <c r="M372" s="376" t="str">
        <f>IF(L372="","", IF(ARBITRAGES!$H372="aave",M371+ARBITRAGES!$K372,M371))</f>
        <v/>
      </c>
      <c r="N372" s="378" t="str">
        <f>IF(M372="","", IF(ARBITRAGES!$H372="ckb",N371+ARBITRAGES!$K372,N371))</f>
        <v/>
      </c>
      <c r="O372" s="378" t="str">
        <f>IF(N372="","", IF(ARBITRAGES!$H372="pendle",O371-ARBITRAGES!$K372+0.1,O371))</f>
        <v/>
      </c>
      <c r="P372" s="378" t="str">
        <f>IF(O372="","", IF(ARBITRAGES!$H372="BOME",P371+ARBITRAGES!$K372,P371))</f>
        <v/>
      </c>
      <c r="Q372" s="378" t="str">
        <f>IF(P372="","", IF(ARBITRAGES!$H372="PEPE",Q371+ARBITRAGES!$K372,Q371))</f>
        <v/>
      </c>
      <c r="R372" s="378" t="str">
        <f>IF(Q372="","", IF(ARBITRAGES!$H372="WIF",R371+ARBITRAGES!$K372,R371))</f>
        <v/>
      </c>
      <c r="S372" s="378" t="str">
        <f>IF(R372="","", IF(ARBITRAGES!$H372="RAY",S371+ARBITRAGES!$K372,S371))</f>
        <v/>
      </c>
      <c r="T372" s="360"/>
      <c r="U372" s="360"/>
      <c r="V372" s="360"/>
      <c r="W372" s="360"/>
      <c r="X372" s="360"/>
      <c r="Y372" s="360"/>
      <c r="Z372" s="360"/>
      <c r="AA372" s="360"/>
      <c r="AB372" s="360"/>
      <c r="AC372" s="360"/>
      <c r="AD372" s="360"/>
      <c r="AE372" s="360"/>
      <c r="AF372" s="360"/>
      <c r="AG372" s="360"/>
      <c r="AH372" s="360"/>
    </row>
    <row r="373" ht="18.75" customHeight="1">
      <c r="A373" s="399"/>
      <c r="B373" s="375" t="str">
        <f>IF(A373="","", IF(ARBITRAGES!$H373="BTC",B372+ARBITRAGES!$K373,B372))</f>
        <v/>
      </c>
      <c r="C373" s="375" t="str">
        <f>IF(B373="","", IF(ARBITRAGES!$H373="eth",C372+ARBITRAGES!$K373,C372))</f>
        <v/>
      </c>
      <c r="D373" s="376" t="str">
        <f>IF(C373="","", IF(ARBITRAGES!$H373="ondo",D372+ARBITRAGES!$K373,D372))</f>
        <v/>
      </c>
      <c r="E373" s="376" t="str">
        <f>IF(D373="","", IF(ARBITRAGES!$H373="sol",E372+ARBITRAGES!$K373,E372))</f>
        <v/>
      </c>
      <c r="F373" s="377" t="str">
        <f>IF(E373="","", IF(ARBITRAGES!$H373="tao",F372+ARBITRAGES!$K373,F372))</f>
        <v/>
      </c>
      <c r="G373" s="378" t="str">
        <f>IF(F373="","", IF(ARBITRAGES!$H373="ron",G372+ARBITRAGES!$K373,G372))</f>
        <v/>
      </c>
      <c r="H373" s="378" t="str">
        <f>IF(G373="","", IF(ARBITRAGES!$H373="link",H372+ARBITRAGES!$K373,H372))</f>
        <v/>
      </c>
      <c r="I373" s="378" t="str">
        <f>IF(H373="","", IF(ARBITRAGES!$H373="doge",I372+ARBITRAGES!$K373,I372))</f>
        <v/>
      </c>
      <c r="J373" s="378" t="str">
        <f>IF(I373="","", IF(ARBITRAGES!$H373="shib",J372-ARBITRAGES!$K373,J372))</f>
        <v/>
      </c>
      <c r="K373" s="378" t="str">
        <f>IF(J373="","", IF(ARBITRAGES!$H373="cake",K372+ARBITRAGES!$K373,K372))</f>
        <v/>
      </c>
      <c r="L373" s="378" t="str">
        <f>IF(K373="","", IF(ARBITRAGES!$H373="JUP",L372+ARBITRAGES!$K373,L372))</f>
        <v/>
      </c>
      <c r="M373" s="376" t="str">
        <f>IF(L373="","", IF(ARBITRAGES!$H373="aave",M372+ARBITRAGES!$K373,M372))</f>
        <v/>
      </c>
      <c r="N373" s="378" t="str">
        <f>IF(M373="","", IF(ARBITRAGES!$H373="ckb",N372+ARBITRAGES!$K373,N372))</f>
        <v/>
      </c>
      <c r="O373" s="378" t="str">
        <f>IF(N373="","", IF(ARBITRAGES!$H373="pendle",O372-ARBITRAGES!$K373+0.1,O372))</f>
        <v/>
      </c>
      <c r="P373" s="378" t="str">
        <f>IF(O373="","", IF(ARBITRAGES!$H373="BOME",P372+ARBITRAGES!$K373,P372))</f>
        <v/>
      </c>
      <c r="Q373" s="378" t="str">
        <f>IF(P373="","", IF(ARBITRAGES!$H373="PEPE",Q372+ARBITRAGES!$K373,Q372))</f>
        <v/>
      </c>
      <c r="R373" s="378" t="str">
        <f>IF(Q373="","", IF(ARBITRAGES!$H373="WIF",R372+ARBITRAGES!$K373,R372))</f>
        <v/>
      </c>
      <c r="S373" s="378" t="str">
        <f>IF(R373="","", IF(ARBITRAGES!$H373="RAY",S372+ARBITRAGES!$K373,S372))</f>
        <v/>
      </c>
      <c r="T373" s="360"/>
      <c r="U373" s="360"/>
      <c r="V373" s="360"/>
      <c r="W373" s="360"/>
      <c r="X373" s="360"/>
      <c r="Y373" s="360"/>
      <c r="Z373" s="360"/>
      <c r="AA373" s="360"/>
      <c r="AB373" s="360"/>
      <c r="AC373" s="360"/>
      <c r="AD373" s="360"/>
      <c r="AE373" s="360"/>
      <c r="AF373" s="360"/>
      <c r="AG373" s="360"/>
      <c r="AH373" s="360"/>
    </row>
    <row r="374" ht="18.75" customHeight="1">
      <c r="A374" s="399"/>
      <c r="B374" s="375" t="str">
        <f>IF(A374="","", IF(ARBITRAGES!$H374="BTC",B373+ARBITRAGES!$K374,B373))</f>
        <v/>
      </c>
      <c r="C374" s="375" t="str">
        <f>IF(B374="","", IF(ARBITRAGES!$H374="eth",C373+ARBITRAGES!$K374,C373))</f>
        <v/>
      </c>
      <c r="D374" s="376" t="str">
        <f>IF(C374="","", IF(ARBITRAGES!$H374="ondo",D373+ARBITRAGES!$K374,D373))</f>
        <v/>
      </c>
      <c r="E374" s="376" t="str">
        <f>IF(D374="","", IF(ARBITRAGES!$H374="sol",E373+ARBITRAGES!$K374,E373))</f>
        <v/>
      </c>
      <c r="F374" s="377" t="str">
        <f>IF(E374="","", IF(ARBITRAGES!$H374="tao",F373+ARBITRAGES!$K374,F373))</f>
        <v/>
      </c>
      <c r="G374" s="378" t="str">
        <f>IF(F374="","", IF(ARBITRAGES!$H374="ron",G373+ARBITRAGES!$K374,G373))</f>
        <v/>
      </c>
      <c r="H374" s="378" t="str">
        <f>IF(G374="","", IF(ARBITRAGES!$H374="link",H373+ARBITRAGES!$K374,H373))</f>
        <v/>
      </c>
      <c r="I374" s="378" t="str">
        <f>IF(H374="","", IF(ARBITRAGES!$H374="doge",I373+ARBITRAGES!$K374,I373))</f>
        <v/>
      </c>
      <c r="J374" s="378" t="str">
        <f>IF(I374="","", IF(ARBITRAGES!$H374="shib",J373-ARBITRAGES!$K374,J373))</f>
        <v/>
      </c>
      <c r="K374" s="378" t="str">
        <f>IF(J374="","", IF(ARBITRAGES!$H374="cake",K373+ARBITRAGES!$K374,K373))</f>
        <v/>
      </c>
      <c r="L374" s="378" t="str">
        <f>IF(K374="","", IF(ARBITRAGES!$H374="JUP",L373+ARBITRAGES!$K374,L373))</f>
        <v/>
      </c>
      <c r="M374" s="376" t="str">
        <f>IF(L374="","", IF(ARBITRAGES!$H374="aave",M373+ARBITRAGES!$K374,M373))</f>
        <v/>
      </c>
      <c r="N374" s="378" t="str">
        <f>IF(M374="","", IF(ARBITRAGES!$H374="ckb",N373+ARBITRAGES!$K374,N373))</f>
        <v/>
      </c>
      <c r="O374" s="378" t="str">
        <f>IF(N374="","", IF(ARBITRAGES!$H374="pendle",O373-ARBITRAGES!$K374+0.1,O373))</f>
        <v/>
      </c>
      <c r="P374" s="378" t="str">
        <f>IF(O374="","", IF(ARBITRAGES!$H374="BOME",P373+ARBITRAGES!$K374,P373))</f>
        <v/>
      </c>
      <c r="Q374" s="378" t="str">
        <f>IF(P374="","", IF(ARBITRAGES!$H374="PEPE",Q373+ARBITRAGES!$K374,Q373))</f>
        <v/>
      </c>
      <c r="R374" s="378" t="str">
        <f>IF(Q374="","", IF(ARBITRAGES!$H374="WIF",R373+ARBITRAGES!$K374,R373))</f>
        <v/>
      </c>
      <c r="S374" s="378" t="str">
        <f>IF(R374="","", IF(ARBITRAGES!$H374="RAY",S373+ARBITRAGES!$K374,S373))</f>
        <v/>
      </c>
      <c r="T374" s="360"/>
      <c r="U374" s="360"/>
      <c r="V374" s="360"/>
      <c r="W374" s="360"/>
      <c r="X374" s="360"/>
      <c r="Y374" s="360"/>
      <c r="Z374" s="360"/>
      <c r="AA374" s="360"/>
      <c r="AB374" s="360"/>
      <c r="AC374" s="360"/>
      <c r="AD374" s="360"/>
      <c r="AE374" s="360"/>
      <c r="AF374" s="360"/>
      <c r="AG374" s="360"/>
      <c r="AH374" s="360"/>
    </row>
    <row r="375" ht="18.75" customHeight="1">
      <c r="A375" s="399"/>
      <c r="B375" s="375" t="str">
        <f>IF(A375="","", IF(ARBITRAGES!$H375="BTC",B374+ARBITRAGES!$K375,B374))</f>
        <v/>
      </c>
      <c r="C375" s="375" t="str">
        <f>IF(B375="","", IF(ARBITRAGES!$H375="eth",C374+ARBITRAGES!$K375,C374))</f>
        <v/>
      </c>
      <c r="D375" s="376" t="str">
        <f>IF(C375="","", IF(ARBITRAGES!$H375="ondo",D374+ARBITRAGES!$K375,D374))</f>
        <v/>
      </c>
      <c r="E375" s="376" t="str">
        <f>IF(D375="","", IF(ARBITRAGES!$H375="sol",E374+ARBITRAGES!$K375,E374))</f>
        <v/>
      </c>
      <c r="F375" s="377" t="str">
        <f>IF(E375="","", IF(ARBITRAGES!$H375="tao",F374+ARBITRAGES!$K375,F374))</f>
        <v/>
      </c>
      <c r="G375" s="378" t="str">
        <f>IF(F375="","", IF(ARBITRAGES!$H375="ron",G374+ARBITRAGES!$K375,G374))</f>
        <v/>
      </c>
      <c r="H375" s="378" t="str">
        <f>IF(G375="","", IF(ARBITRAGES!$H375="link",H374+ARBITRAGES!$K375,H374))</f>
        <v/>
      </c>
      <c r="I375" s="378" t="str">
        <f>IF(H375="","", IF(ARBITRAGES!$H375="doge",I374+ARBITRAGES!$K375,I374))</f>
        <v/>
      </c>
      <c r="J375" s="378" t="str">
        <f>IF(I375="","", IF(ARBITRAGES!$H375="shib",J374-ARBITRAGES!$K375,J374))</f>
        <v/>
      </c>
      <c r="K375" s="378" t="str">
        <f>IF(J375="","", IF(ARBITRAGES!$H375="cake",K374+ARBITRAGES!$K375,K374))</f>
        <v/>
      </c>
      <c r="L375" s="378" t="str">
        <f>IF(K375="","", IF(ARBITRAGES!$H375="JUP",L374+ARBITRAGES!$K375,L374))</f>
        <v/>
      </c>
      <c r="M375" s="376" t="str">
        <f>IF(L375="","", IF(ARBITRAGES!$H375="aave",M374+ARBITRAGES!$K375,M374))</f>
        <v/>
      </c>
      <c r="N375" s="378" t="str">
        <f>IF(M375="","", IF(ARBITRAGES!$H375="ckb",N374+ARBITRAGES!$K375,N374))</f>
        <v/>
      </c>
      <c r="O375" s="378" t="str">
        <f>IF(N375="","", IF(ARBITRAGES!$H375="pendle",O374-ARBITRAGES!$K375+0.1,O374))</f>
        <v/>
      </c>
      <c r="P375" s="378" t="str">
        <f>IF(O375="","", IF(ARBITRAGES!$H375="BOME",P374+ARBITRAGES!$K375,P374))</f>
        <v/>
      </c>
      <c r="Q375" s="378" t="str">
        <f>IF(P375="","", IF(ARBITRAGES!$H375="PEPE",Q374+ARBITRAGES!$K375,Q374))</f>
        <v/>
      </c>
      <c r="R375" s="378" t="str">
        <f>IF(Q375="","", IF(ARBITRAGES!$H375="WIF",R374+ARBITRAGES!$K375,R374))</f>
        <v/>
      </c>
      <c r="S375" s="378" t="str">
        <f>IF(R375="","", IF(ARBITRAGES!$H375="RAY",S374+ARBITRAGES!$K375,S374))</f>
        <v/>
      </c>
      <c r="T375" s="360"/>
      <c r="U375" s="360"/>
      <c r="V375" s="360"/>
      <c r="W375" s="360"/>
      <c r="X375" s="360"/>
      <c r="Y375" s="360"/>
      <c r="Z375" s="360"/>
      <c r="AA375" s="360"/>
      <c r="AB375" s="360"/>
      <c r="AC375" s="360"/>
      <c r="AD375" s="360"/>
      <c r="AE375" s="360"/>
      <c r="AF375" s="360"/>
      <c r="AG375" s="360"/>
      <c r="AH375" s="360"/>
    </row>
    <row r="376" ht="18.75" customHeight="1">
      <c r="A376" s="399"/>
      <c r="B376" s="375" t="str">
        <f>IF(A376="","", IF(ARBITRAGES!$H376="BTC",B375+ARBITRAGES!$K376,B375))</f>
        <v/>
      </c>
      <c r="C376" s="375" t="str">
        <f>IF(B376="","", IF(ARBITRAGES!$H376="eth",C375+ARBITRAGES!$K376,C375))</f>
        <v/>
      </c>
      <c r="D376" s="376" t="str">
        <f>IF(C376="","", IF(ARBITRAGES!$H376="ondo",D375+ARBITRAGES!$K376,D375))</f>
        <v/>
      </c>
      <c r="E376" s="376" t="str">
        <f>IF(D376="","", IF(ARBITRAGES!$H376="sol",E375+ARBITRAGES!$K376,E375))</f>
        <v/>
      </c>
      <c r="F376" s="377" t="str">
        <f>IF(E376="","", IF(ARBITRAGES!$H376="tao",F375+ARBITRAGES!$K376,F375))</f>
        <v/>
      </c>
      <c r="G376" s="378" t="str">
        <f>IF(F376="","", IF(ARBITRAGES!$H376="ron",G375+ARBITRAGES!$K376,G375))</f>
        <v/>
      </c>
      <c r="H376" s="378" t="str">
        <f>IF(G376="","", IF(ARBITRAGES!$H376="link",H375+ARBITRAGES!$K376,H375))</f>
        <v/>
      </c>
      <c r="I376" s="378" t="str">
        <f>IF(H376="","", IF(ARBITRAGES!$H376="doge",I375+ARBITRAGES!$K376,I375))</f>
        <v/>
      </c>
      <c r="J376" s="378" t="str">
        <f>IF(I376="","", IF(ARBITRAGES!$H376="shib",J375-ARBITRAGES!$K376,J375))</f>
        <v/>
      </c>
      <c r="K376" s="378" t="str">
        <f>IF(J376="","", IF(ARBITRAGES!$H376="cake",K375+ARBITRAGES!$K376,K375))</f>
        <v/>
      </c>
      <c r="L376" s="378" t="str">
        <f>IF(K376="","", IF(ARBITRAGES!$H376="JUP",L375+ARBITRAGES!$K376,L375))</f>
        <v/>
      </c>
      <c r="M376" s="376" t="str">
        <f>IF(L376="","", IF(ARBITRAGES!$H376="aave",M375+ARBITRAGES!$K376,M375))</f>
        <v/>
      </c>
      <c r="N376" s="378" t="str">
        <f>IF(M376="","", IF(ARBITRAGES!$H376="ckb",N375+ARBITRAGES!$K376,N375))</f>
        <v/>
      </c>
      <c r="O376" s="378" t="str">
        <f>IF(N376="","", IF(ARBITRAGES!$H376="pendle",O375-ARBITRAGES!$K376+0.1,O375))</f>
        <v/>
      </c>
      <c r="P376" s="378" t="str">
        <f>IF(O376="","", IF(ARBITRAGES!$H376="BOME",P375+ARBITRAGES!$K376,P375))</f>
        <v/>
      </c>
      <c r="Q376" s="378" t="str">
        <f>IF(P376="","", IF(ARBITRAGES!$H376="PEPE",Q375+ARBITRAGES!$K376,Q375))</f>
        <v/>
      </c>
      <c r="R376" s="378" t="str">
        <f>IF(Q376="","", IF(ARBITRAGES!$H376="WIF",R375+ARBITRAGES!$K376,R375))</f>
        <v/>
      </c>
      <c r="S376" s="378" t="str">
        <f>IF(R376="","", IF(ARBITRAGES!$H376="RAY",S375+ARBITRAGES!$K376,S375))</f>
        <v/>
      </c>
      <c r="T376" s="360"/>
      <c r="U376" s="360"/>
      <c r="V376" s="360"/>
      <c r="W376" s="360"/>
      <c r="X376" s="360"/>
      <c r="Y376" s="360"/>
      <c r="Z376" s="360"/>
      <c r="AA376" s="360"/>
      <c r="AB376" s="360"/>
      <c r="AC376" s="360"/>
      <c r="AD376" s="360"/>
      <c r="AE376" s="360"/>
      <c r="AF376" s="360"/>
      <c r="AG376" s="360"/>
      <c r="AH376" s="360"/>
    </row>
    <row r="377" ht="18.75" customHeight="1">
      <c r="A377" s="399"/>
      <c r="B377" s="375" t="str">
        <f>IF(A377="","", IF(ARBITRAGES!$H377="BTC",B376+ARBITRAGES!$K377,B376))</f>
        <v/>
      </c>
      <c r="C377" s="375" t="str">
        <f>IF(B377="","", IF(ARBITRAGES!$H377="eth",C376+ARBITRAGES!$K377,C376))</f>
        <v/>
      </c>
      <c r="D377" s="376" t="str">
        <f>IF(C377="","", IF(ARBITRAGES!$H377="ondo",D376+ARBITRAGES!$K377,D376))</f>
        <v/>
      </c>
      <c r="E377" s="376" t="str">
        <f>IF(D377="","", IF(ARBITRAGES!$H377="sol",E376+ARBITRAGES!$K377,E376))</f>
        <v/>
      </c>
      <c r="F377" s="377" t="str">
        <f>IF(E377="","", IF(ARBITRAGES!$H377="tao",F376+ARBITRAGES!$K377,F376))</f>
        <v/>
      </c>
      <c r="G377" s="378" t="str">
        <f>IF(F377="","", IF(ARBITRAGES!$H377="ron",G376+ARBITRAGES!$K377,G376))</f>
        <v/>
      </c>
      <c r="H377" s="378" t="str">
        <f>IF(G377="","", IF(ARBITRAGES!$H377="link",H376+ARBITRAGES!$K377,H376))</f>
        <v/>
      </c>
      <c r="I377" s="378" t="str">
        <f>IF(H377="","", IF(ARBITRAGES!$H377="doge",I376+ARBITRAGES!$K377,I376))</f>
        <v/>
      </c>
      <c r="J377" s="378" t="str">
        <f>IF(I377="","", IF(ARBITRAGES!$H377="shib",J376-ARBITRAGES!$K377,J376))</f>
        <v/>
      </c>
      <c r="K377" s="378" t="str">
        <f>IF(J377="","", IF(ARBITRAGES!$H377="cake",K376+ARBITRAGES!$K377,K376))</f>
        <v/>
      </c>
      <c r="L377" s="378" t="str">
        <f>IF(K377="","", IF(ARBITRAGES!$H377="JUP",L376+ARBITRAGES!$K377,L376))</f>
        <v/>
      </c>
      <c r="M377" s="376" t="str">
        <f>IF(L377="","", IF(ARBITRAGES!$H377="aave",M376+ARBITRAGES!$K377,M376))</f>
        <v/>
      </c>
      <c r="N377" s="378" t="str">
        <f>IF(M377="","", IF(ARBITRAGES!$H377="ckb",N376+ARBITRAGES!$K377,N376))</f>
        <v/>
      </c>
      <c r="O377" s="378" t="str">
        <f>IF(N377="","", IF(ARBITRAGES!$H377="pendle",O376-ARBITRAGES!$K377+0.1,O376))</f>
        <v/>
      </c>
      <c r="P377" s="378" t="str">
        <f>IF(O377="","", IF(ARBITRAGES!$H377="BOME",P376+ARBITRAGES!$K377,P376))</f>
        <v/>
      </c>
      <c r="Q377" s="378" t="str">
        <f>IF(P377="","", IF(ARBITRAGES!$H377="PEPE",Q376+ARBITRAGES!$K377,Q376))</f>
        <v/>
      </c>
      <c r="R377" s="378" t="str">
        <f>IF(Q377="","", IF(ARBITRAGES!$H377="WIF",R376+ARBITRAGES!$K377,R376))</f>
        <v/>
      </c>
      <c r="S377" s="378" t="str">
        <f>IF(R377="","", IF(ARBITRAGES!$H377="RAY",S376+ARBITRAGES!$K377,S376))</f>
        <v/>
      </c>
      <c r="T377" s="360"/>
      <c r="U377" s="360"/>
      <c r="V377" s="360"/>
      <c r="W377" s="360"/>
      <c r="X377" s="360"/>
      <c r="Y377" s="360"/>
      <c r="Z377" s="360"/>
      <c r="AA377" s="360"/>
      <c r="AB377" s="360"/>
      <c r="AC377" s="360"/>
      <c r="AD377" s="360"/>
      <c r="AE377" s="360"/>
      <c r="AF377" s="360"/>
      <c r="AG377" s="360"/>
      <c r="AH377" s="360"/>
    </row>
    <row r="378" ht="18.75" customHeight="1">
      <c r="A378" s="399"/>
      <c r="B378" s="375" t="str">
        <f>IF(A378="","", IF(ARBITRAGES!$H378="BTC",B377+ARBITRAGES!$K378,B377))</f>
        <v/>
      </c>
      <c r="C378" s="375" t="str">
        <f>IF(B378="","", IF(ARBITRAGES!$H378="eth",C377+ARBITRAGES!$K378,C377))</f>
        <v/>
      </c>
      <c r="D378" s="376" t="str">
        <f>IF(C378="","", IF(ARBITRAGES!$H378="ondo",D377+ARBITRAGES!$K378,D377))</f>
        <v/>
      </c>
      <c r="E378" s="376" t="str">
        <f>IF(D378="","", IF(ARBITRAGES!$H378="sol",E377+ARBITRAGES!$K378,E377))</f>
        <v/>
      </c>
      <c r="F378" s="377" t="str">
        <f>IF(E378="","", IF(ARBITRAGES!$H378="tao",F377+ARBITRAGES!$K378,F377))</f>
        <v/>
      </c>
      <c r="G378" s="378" t="str">
        <f>IF(F378="","", IF(ARBITRAGES!$H378="ron",G377+ARBITRAGES!$K378,G377))</f>
        <v/>
      </c>
      <c r="H378" s="378" t="str">
        <f>IF(G378="","", IF(ARBITRAGES!$H378="link",H377+ARBITRAGES!$K378,H377))</f>
        <v/>
      </c>
      <c r="I378" s="378" t="str">
        <f>IF(H378="","", IF(ARBITRAGES!$H378="doge",I377+ARBITRAGES!$K378,I377))</f>
        <v/>
      </c>
      <c r="J378" s="378" t="str">
        <f>IF(I378="","", IF(ARBITRAGES!$H378="shib",J377-ARBITRAGES!$K378,J377))</f>
        <v/>
      </c>
      <c r="K378" s="378" t="str">
        <f>IF(J378="","", IF(ARBITRAGES!$H378="cake",K377+ARBITRAGES!$K378,K377))</f>
        <v/>
      </c>
      <c r="L378" s="378" t="str">
        <f>IF(K378="","", IF(ARBITRAGES!$H378="JUP",L377+ARBITRAGES!$K378,L377))</f>
        <v/>
      </c>
      <c r="M378" s="376" t="str">
        <f>IF(L378="","", IF(ARBITRAGES!$H378="aave",M377+ARBITRAGES!$K378,M377))</f>
        <v/>
      </c>
      <c r="N378" s="378" t="str">
        <f>IF(M378="","", IF(ARBITRAGES!$H378="ckb",N377+ARBITRAGES!$K378,N377))</f>
        <v/>
      </c>
      <c r="O378" s="378" t="str">
        <f>IF(N378="","", IF(ARBITRAGES!$H378="pendle",O377-ARBITRAGES!$K378+0.1,O377))</f>
        <v/>
      </c>
      <c r="P378" s="378" t="str">
        <f>IF(O378="","", IF(ARBITRAGES!$H378="BOME",P377+ARBITRAGES!$K378,P377))</f>
        <v/>
      </c>
      <c r="Q378" s="378" t="str">
        <f>IF(P378="","", IF(ARBITRAGES!$H378="PEPE",Q377+ARBITRAGES!$K378,Q377))</f>
        <v/>
      </c>
      <c r="R378" s="378" t="str">
        <f>IF(Q378="","", IF(ARBITRAGES!$H378="WIF",R377+ARBITRAGES!$K378,R377))</f>
        <v/>
      </c>
      <c r="S378" s="378" t="str">
        <f>IF(R378="","", IF(ARBITRAGES!$H378="RAY",S377+ARBITRAGES!$K378,S377))</f>
        <v/>
      </c>
      <c r="T378" s="360"/>
      <c r="U378" s="360"/>
      <c r="V378" s="360"/>
      <c r="W378" s="360"/>
      <c r="X378" s="360"/>
      <c r="Y378" s="360"/>
      <c r="Z378" s="360"/>
      <c r="AA378" s="360"/>
      <c r="AB378" s="360"/>
      <c r="AC378" s="360"/>
      <c r="AD378" s="360"/>
      <c r="AE378" s="360"/>
      <c r="AF378" s="360"/>
      <c r="AG378" s="360"/>
      <c r="AH378" s="360"/>
    </row>
    <row r="379" ht="18.75" customHeight="1">
      <c r="A379" s="399"/>
      <c r="B379" s="375" t="str">
        <f>IF(A379="","", IF(ARBITRAGES!$H379="BTC",B378+ARBITRAGES!$K379,B378))</f>
        <v/>
      </c>
      <c r="C379" s="375" t="str">
        <f>IF(B379="","", IF(ARBITRAGES!$H379="eth",C378+ARBITRAGES!$K379,C378))</f>
        <v/>
      </c>
      <c r="D379" s="376" t="str">
        <f>IF(C379="","", IF(ARBITRAGES!$H379="ondo",D378+ARBITRAGES!$K379,D378))</f>
        <v/>
      </c>
      <c r="E379" s="376" t="str">
        <f>IF(D379="","", IF(ARBITRAGES!$H379="sol",E378+ARBITRAGES!$K379,E378))</f>
        <v/>
      </c>
      <c r="F379" s="377" t="str">
        <f>IF(E379="","", IF(ARBITRAGES!$H379="tao",F378+ARBITRAGES!$K379,F378))</f>
        <v/>
      </c>
      <c r="G379" s="378" t="str">
        <f>IF(F379="","", IF(ARBITRAGES!$H379="ron",G378+ARBITRAGES!$K379,G378))</f>
        <v/>
      </c>
      <c r="H379" s="378" t="str">
        <f>IF(G379="","", IF(ARBITRAGES!$H379="link",H378+ARBITRAGES!$K379,H378))</f>
        <v/>
      </c>
      <c r="I379" s="378" t="str">
        <f>IF(H379="","", IF(ARBITRAGES!$H379="doge",I378+ARBITRAGES!$K379,I378))</f>
        <v/>
      </c>
      <c r="J379" s="378" t="str">
        <f>IF(I379="","", IF(ARBITRAGES!$H379="shib",J378-ARBITRAGES!$K379,J378))</f>
        <v/>
      </c>
      <c r="K379" s="378" t="str">
        <f>IF(J379="","", IF(ARBITRAGES!$H379="cake",K378+ARBITRAGES!$K379,K378))</f>
        <v/>
      </c>
      <c r="L379" s="378" t="str">
        <f>IF(K379="","", IF(ARBITRAGES!$H379="JUP",L378+ARBITRAGES!$K379,L378))</f>
        <v/>
      </c>
      <c r="M379" s="376" t="str">
        <f>IF(L379="","", IF(ARBITRAGES!$H379="aave",M378+ARBITRAGES!$K379,M378))</f>
        <v/>
      </c>
      <c r="N379" s="378" t="str">
        <f>IF(M379="","", IF(ARBITRAGES!$H379="ckb",N378+ARBITRAGES!$K379,N378))</f>
        <v/>
      </c>
      <c r="O379" s="378" t="str">
        <f>IF(N379="","", IF(ARBITRAGES!$H379="pendle",O378-ARBITRAGES!$K379+0.1,O378))</f>
        <v/>
      </c>
      <c r="P379" s="378" t="str">
        <f>IF(O379="","", IF(ARBITRAGES!$H379="BOME",P378+ARBITRAGES!$K379,P378))</f>
        <v/>
      </c>
      <c r="Q379" s="378" t="str">
        <f>IF(P379="","", IF(ARBITRAGES!$H379="PEPE",Q378+ARBITRAGES!$K379,Q378))</f>
        <v/>
      </c>
      <c r="R379" s="378" t="str">
        <f>IF(Q379="","", IF(ARBITRAGES!$H379="WIF",R378+ARBITRAGES!$K379,R378))</f>
        <v/>
      </c>
      <c r="S379" s="378" t="str">
        <f>IF(R379="","", IF(ARBITRAGES!$H379="RAY",S378+ARBITRAGES!$K379,S378))</f>
        <v/>
      </c>
      <c r="T379" s="360"/>
      <c r="U379" s="360"/>
      <c r="V379" s="360"/>
      <c r="W379" s="360"/>
      <c r="X379" s="360"/>
      <c r="Y379" s="360"/>
      <c r="Z379" s="360"/>
      <c r="AA379" s="360"/>
      <c r="AB379" s="360"/>
      <c r="AC379" s="360"/>
      <c r="AD379" s="360"/>
      <c r="AE379" s="360"/>
      <c r="AF379" s="360"/>
      <c r="AG379" s="360"/>
      <c r="AH379" s="360"/>
    </row>
    <row r="380" ht="18.75" customHeight="1">
      <c r="A380" s="399"/>
      <c r="B380" s="375" t="str">
        <f>IF(A380="","", IF(ARBITRAGES!$H380="BTC",B379+ARBITRAGES!$K380,B379))</f>
        <v/>
      </c>
      <c r="C380" s="375" t="str">
        <f>IF(B380="","", IF(ARBITRAGES!$H380="eth",C379+ARBITRAGES!$K380,C379))</f>
        <v/>
      </c>
      <c r="D380" s="376" t="str">
        <f>IF(C380="","", IF(ARBITRAGES!$H380="ondo",D379+ARBITRAGES!$K380,D379))</f>
        <v/>
      </c>
      <c r="E380" s="376" t="str">
        <f>IF(D380="","", IF(ARBITRAGES!$H380="sol",E379+ARBITRAGES!$K380,E379))</f>
        <v/>
      </c>
      <c r="F380" s="377" t="str">
        <f>IF(E380="","", IF(ARBITRAGES!$H380="tao",F379+ARBITRAGES!$K380,F379))</f>
        <v/>
      </c>
      <c r="G380" s="378" t="str">
        <f>IF(F380="","", IF(ARBITRAGES!$H380="ron",G379+ARBITRAGES!$K380,G379))</f>
        <v/>
      </c>
      <c r="H380" s="378" t="str">
        <f>IF(G380="","", IF(ARBITRAGES!$H380="link",H379+ARBITRAGES!$K380,H379))</f>
        <v/>
      </c>
      <c r="I380" s="378" t="str">
        <f>IF(H380="","", IF(ARBITRAGES!$H380="doge",I379+ARBITRAGES!$K380,I379))</f>
        <v/>
      </c>
      <c r="J380" s="378" t="str">
        <f>IF(I380="","", IF(ARBITRAGES!$H380="shib",J379-ARBITRAGES!$K380,J379))</f>
        <v/>
      </c>
      <c r="K380" s="378" t="str">
        <f>IF(J380="","", IF(ARBITRAGES!$H380="cake",K379+ARBITRAGES!$K380,K379))</f>
        <v/>
      </c>
      <c r="L380" s="378" t="str">
        <f>IF(K380="","", IF(ARBITRAGES!$H380="JUP",L379+ARBITRAGES!$K380,L379))</f>
        <v/>
      </c>
      <c r="M380" s="376" t="str">
        <f>IF(L380="","", IF(ARBITRAGES!$H380="aave",M379+ARBITRAGES!$K380,M379))</f>
        <v/>
      </c>
      <c r="N380" s="378" t="str">
        <f>IF(M380="","", IF(ARBITRAGES!$H380="ckb",N379+ARBITRAGES!$K380,N379))</f>
        <v/>
      </c>
      <c r="O380" s="378" t="str">
        <f>IF(N380="","", IF(ARBITRAGES!$H380="pendle",O379-ARBITRAGES!$K380+0.1,O379))</f>
        <v/>
      </c>
      <c r="P380" s="378" t="str">
        <f>IF(O380="","", IF(ARBITRAGES!$H380="BOME",P379+ARBITRAGES!$K380,P379))</f>
        <v/>
      </c>
      <c r="Q380" s="378" t="str">
        <f>IF(P380="","", IF(ARBITRAGES!$H380="PEPE",Q379+ARBITRAGES!$K380,Q379))</f>
        <v/>
      </c>
      <c r="R380" s="378" t="str">
        <f>IF(Q380="","", IF(ARBITRAGES!$H380="WIF",R379+ARBITRAGES!$K380,R379))</f>
        <v/>
      </c>
      <c r="S380" s="378" t="str">
        <f>IF(R380="","", IF(ARBITRAGES!$H380="RAY",S379+ARBITRAGES!$K380,S379))</f>
        <v/>
      </c>
      <c r="T380" s="360"/>
      <c r="U380" s="360"/>
      <c r="V380" s="360"/>
      <c r="W380" s="360"/>
      <c r="X380" s="360"/>
      <c r="Y380" s="360"/>
      <c r="Z380" s="360"/>
      <c r="AA380" s="360"/>
      <c r="AB380" s="360"/>
      <c r="AC380" s="360"/>
      <c r="AD380" s="360"/>
      <c r="AE380" s="360"/>
      <c r="AF380" s="360"/>
      <c r="AG380" s="360"/>
      <c r="AH380" s="360"/>
    </row>
    <row r="381" ht="18.75" customHeight="1">
      <c r="A381" s="399"/>
      <c r="B381" s="375" t="str">
        <f>IF(A381="","", IF(ARBITRAGES!$H381="BTC",B380+ARBITRAGES!$K381,B380))</f>
        <v/>
      </c>
      <c r="C381" s="375" t="str">
        <f>IF(B381="","", IF(ARBITRAGES!$H381="eth",C380+ARBITRAGES!$K381,C380))</f>
        <v/>
      </c>
      <c r="D381" s="376" t="str">
        <f>IF(C381="","", IF(ARBITRAGES!$H381="ondo",D380+ARBITRAGES!$K381,D380))</f>
        <v/>
      </c>
      <c r="E381" s="376" t="str">
        <f>IF(D381="","", IF(ARBITRAGES!$H381="sol",E380+ARBITRAGES!$K381,E380))</f>
        <v/>
      </c>
      <c r="F381" s="377" t="str">
        <f>IF(E381="","", IF(ARBITRAGES!$H381="tao",F380+ARBITRAGES!$K381,F380))</f>
        <v/>
      </c>
      <c r="G381" s="378" t="str">
        <f>IF(F381="","", IF(ARBITRAGES!$H381="ron",G380+ARBITRAGES!$K381,G380))</f>
        <v/>
      </c>
      <c r="H381" s="378" t="str">
        <f>IF(G381="","", IF(ARBITRAGES!$H381="link",H380+ARBITRAGES!$K381,H380))</f>
        <v/>
      </c>
      <c r="I381" s="378" t="str">
        <f>IF(H381="","", IF(ARBITRAGES!$H381="doge",I380+ARBITRAGES!$K381,I380))</f>
        <v/>
      </c>
      <c r="J381" s="378" t="str">
        <f>IF(I381="","", IF(ARBITRAGES!$H381="shib",J380-ARBITRAGES!$K381,J380))</f>
        <v/>
      </c>
      <c r="K381" s="378" t="str">
        <f>IF(J381="","", IF(ARBITRAGES!$H381="cake",K380+ARBITRAGES!$K381,K380))</f>
        <v/>
      </c>
      <c r="L381" s="378" t="str">
        <f>IF(K381="","", IF(ARBITRAGES!$H381="JUP",L380+ARBITRAGES!$K381,L380))</f>
        <v/>
      </c>
      <c r="M381" s="376" t="str">
        <f>IF(L381="","", IF(ARBITRAGES!$H381="aave",M380+ARBITRAGES!$K381,M380))</f>
        <v/>
      </c>
      <c r="N381" s="378" t="str">
        <f>IF(M381="","", IF(ARBITRAGES!$H381="ckb",N380+ARBITRAGES!$K381,N380))</f>
        <v/>
      </c>
      <c r="O381" s="378" t="str">
        <f>IF(N381="","", IF(ARBITRAGES!$H381="pendle",O380-ARBITRAGES!$K381+0.1,O380))</f>
        <v/>
      </c>
      <c r="P381" s="378" t="str">
        <f>IF(O381="","", IF(ARBITRAGES!$H381="BOME",P380+ARBITRAGES!$K381,P380))</f>
        <v/>
      </c>
      <c r="Q381" s="378" t="str">
        <f>IF(P381="","", IF(ARBITRAGES!$H381="PEPE",Q380+ARBITRAGES!$K381,Q380))</f>
        <v/>
      </c>
      <c r="R381" s="378" t="str">
        <f>IF(Q381="","", IF(ARBITRAGES!$H381="WIF",R380+ARBITRAGES!$K381,R380))</f>
        <v/>
      </c>
      <c r="S381" s="378" t="str">
        <f>IF(R381="","", IF(ARBITRAGES!$H381="RAY",S380+ARBITRAGES!$K381,S380))</f>
        <v/>
      </c>
      <c r="T381" s="360"/>
      <c r="U381" s="360"/>
      <c r="V381" s="360"/>
      <c r="W381" s="360"/>
      <c r="X381" s="360"/>
      <c r="Y381" s="360"/>
      <c r="Z381" s="360"/>
      <c r="AA381" s="360"/>
      <c r="AB381" s="360"/>
      <c r="AC381" s="360"/>
      <c r="AD381" s="360"/>
      <c r="AE381" s="360"/>
      <c r="AF381" s="360"/>
      <c r="AG381" s="360"/>
      <c r="AH381" s="360"/>
    </row>
    <row r="382" ht="18.75" customHeight="1">
      <c r="A382" s="399"/>
      <c r="B382" s="375" t="str">
        <f>IF(A382="","", IF(ARBITRAGES!$H382="BTC",B381+ARBITRAGES!$K382,B381))</f>
        <v/>
      </c>
      <c r="C382" s="375" t="str">
        <f>IF(B382="","", IF(ARBITRAGES!$H382="eth",C381+ARBITRAGES!$K382,C381))</f>
        <v/>
      </c>
      <c r="D382" s="376" t="str">
        <f>IF(C382="","", IF(ARBITRAGES!$H382="ondo",D381+ARBITRAGES!$K382,D381))</f>
        <v/>
      </c>
      <c r="E382" s="376" t="str">
        <f>IF(D382="","", IF(ARBITRAGES!$H382="sol",E381+ARBITRAGES!$K382,E381))</f>
        <v/>
      </c>
      <c r="F382" s="377" t="str">
        <f>IF(E382="","", IF(ARBITRAGES!$H382="tao",F381+ARBITRAGES!$K382,F381))</f>
        <v/>
      </c>
      <c r="G382" s="378" t="str">
        <f>IF(F382="","", IF(ARBITRAGES!$H382="ron",G381+ARBITRAGES!$K382,G381))</f>
        <v/>
      </c>
      <c r="H382" s="378" t="str">
        <f>IF(G382="","", IF(ARBITRAGES!$H382="link",H381+ARBITRAGES!$K382,H381))</f>
        <v/>
      </c>
      <c r="I382" s="378" t="str">
        <f>IF(H382="","", IF(ARBITRAGES!$H382="doge",I381+ARBITRAGES!$K382,I381))</f>
        <v/>
      </c>
      <c r="J382" s="378" t="str">
        <f>IF(I382="","", IF(ARBITRAGES!$H382="shib",J381-ARBITRAGES!$K382,J381))</f>
        <v/>
      </c>
      <c r="K382" s="378" t="str">
        <f>IF(J382="","", IF(ARBITRAGES!$H382="cake",K381+ARBITRAGES!$K382,K381))</f>
        <v/>
      </c>
      <c r="L382" s="378" t="str">
        <f>IF(K382="","", IF(ARBITRAGES!$H382="JUP",L381+ARBITRAGES!$K382,L381))</f>
        <v/>
      </c>
      <c r="M382" s="376" t="str">
        <f>IF(L382="","", IF(ARBITRAGES!$H382="aave",M381+ARBITRAGES!$K382,M381))</f>
        <v/>
      </c>
      <c r="N382" s="378" t="str">
        <f>IF(M382="","", IF(ARBITRAGES!$H382="ckb",N381+ARBITRAGES!$K382,N381))</f>
        <v/>
      </c>
      <c r="O382" s="378" t="str">
        <f>IF(N382="","", IF(ARBITRAGES!$H382="pendle",O381-ARBITRAGES!$K382+0.1,O381))</f>
        <v/>
      </c>
      <c r="P382" s="378" t="str">
        <f>IF(O382="","", IF(ARBITRAGES!$H382="BOME",P381+ARBITRAGES!$K382,P381))</f>
        <v/>
      </c>
      <c r="Q382" s="378" t="str">
        <f>IF(P382="","", IF(ARBITRAGES!$H382="PEPE",Q381+ARBITRAGES!$K382,Q381))</f>
        <v/>
      </c>
      <c r="R382" s="378" t="str">
        <f>IF(Q382="","", IF(ARBITRAGES!$H382="WIF",R381+ARBITRAGES!$K382,R381))</f>
        <v/>
      </c>
      <c r="S382" s="378" t="str">
        <f>IF(R382="","", IF(ARBITRAGES!$H382="RAY",S381+ARBITRAGES!$K382,S381))</f>
        <v/>
      </c>
      <c r="T382" s="360"/>
      <c r="U382" s="360"/>
      <c r="V382" s="360"/>
      <c r="W382" s="360"/>
      <c r="X382" s="360"/>
      <c r="Y382" s="360"/>
      <c r="Z382" s="360"/>
      <c r="AA382" s="360"/>
      <c r="AB382" s="360"/>
      <c r="AC382" s="360"/>
      <c r="AD382" s="360"/>
      <c r="AE382" s="360"/>
      <c r="AF382" s="360"/>
      <c r="AG382" s="360"/>
      <c r="AH382" s="360"/>
    </row>
    <row r="383" ht="18.75" customHeight="1">
      <c r="A383" s="399"/>
      <c r="B383" s="375" t="str">
        <f>IF(A383="","", IF(ARBITRAGES!$H383="BTC",B382+ARBITRAGES!$K383,B382))</f>
        <v/>
      </c>
      <c r="C383" s="375" t="str">
        <f>IF(B383="","", IF(ARBITRAGES!$H383="eth",C382+ARBITRAGES!$K383,C382))</f>
        <v/>
      </c>
      <c r="D383" s="376" t="str">
        <f>IF(C383="","", IF(ARBITRAGES!$H383="ondo",D382+ARBITRAGES!$K383,D382))</f>
        <v/>
      </c>
      <c r="E383" s="376" t="str">
        <f>IF(D383="","", IF(ARBITRAGES!$H383="sol",E382+ARBITRAGES!$K383,E382))</f>
        <v/>
      </c>
      <c r="F383" s="377" t="str">
        <f>IF(E383="","", IF(ARBITRAGES!$H383="tao",F382+ARBITRAGES!$K383,F382))</f>
        <v/>
      </c>
      <c r="G383" s="378" t="str">
        <f>IF(F383="","", IF(ARBITRAGES!$H383="ron",G382+ARBITRAGES!$K383,G382))</f>
        <v/>
      </c>
      <c r="H383" s="378" t="str">
        <f>IF(G383="","", IF(ARBITRAGES!$H383="link",H382+ARBITRAGES!$K383,H382))</f>
        <v/>
      </c>
      <c r="I383" s="378" t="str">
        <f>IF(H383="","", IF(ARBITRAGES!$H383="doge",I382+ARBITRAGES!$K383,I382))</f>
        <v/>
      </c>
      <c r="J383" s="378" t="str">
        <f>IF(I383="","", IF(ARBITRAGES!$H383="shib",J382-ARBITRAGES!$K383,J382))</f>
        <v/>
      </c>
      <c r="K383" s="378" t="str">
        <f>IF(J383="","", IF(ARBITRAGES!$H383="cake",K382+ARBITRAGES!$K383,K382))</f>
        <v/>
      </c>
      <c r="L383" s="378" t="str">
        <f>IF(K383="","", IF(ARBITRAGES!$H383="JUP",L382+ARBITRAGES!$K383,L382))</f>
        <v/>
      </c>
      <c r="M383" s="376" t="str">
        <f>IF(L383="","", IF(ARBITRAGES!$H383="aave",M382+ARBITRAGES!$K383,M382))</f>
        <v/>
      </c>
      <c r="N383" s="378" t="str">
        <f>IF(M383="","", IF(ARBITRAGES!$H383="ckb",N382+ARBITRAGES!$K383,N382))</f>
        <v/>
      </c>
      <c r="O383" s="378" t="str">
        <f>IF(N383="","", IF(ARBITRAGES!$H383="pendle",O382-ARBITRAGES!$K383+0.1,O382))</f>
        <v/>
      </c>
      <c r="P383" s="378" t="str">
        <f>IF(O383="","", IF(ARBITRAGES!$H383="BOME",P382+ARBITRAGES!$K383,P382))</f>
        <v/>
      </c>
      <c r="Q383" s="378" t="str">
        <f>IF(P383="","", IF(ARBITRAGES!$H383="PEPE",Q382+ARBITRAGES!$K383,Q382))</f>
        <v/>
      </c>
      <c r="R383" s="378" t="str">
        <f>IF(Q383="","", IF(ARBITRAGES!$H383="WIF",R382+ARBITRAGES!$K383,R382))</f>
        <v/>
      </c>
      <c r="S383" s="378" t="str">
        <f>IF(R383="","", IF(ARBITRAGES!$H383="RAY",S382+ARBITRAGES!$K383,S382))</f>
        <v/>
      </c>
      <c r="T383" s="360"/>
      <c r="U383" s="360"/>
      <c r="V383" s="360"/>
      <c r="W383" s="360"/>
      <c r="X383" s="360"/>
      <c r="Y383" s="360"/>
      <c r="Z383" s="360"/>
      <c r="AA383" s="360"/>
      <c r="AB383" s="360"/>
      <c r="AC383" s="360"/>
      <c r="AD383" s="360"/>
      <c r="AE383" s="360"/>
      <c r="AF383" s="360"/>
      <c r="AG383" s="360"/>
      <c r="AH383" s="360"/>
    </row>
    <row r="384" ht="18.75" customHeight="1">
      <c r="A384" s="399"/>
      <c r="B384" s="375" t="str">
        <f>IF(A384="","", IF(ARBITRAGES!$H384="BTC",B383+ARBITRAGES!$K384,B383))</f>
        <v/>
      </c>
      <c r="C384" s="375" t="str">
        <f>IF(B384="","", IF(ARBITRAGES!$H384="eth",C383+ARBITRAGES!$K384,C383))</f>
        <v/>
      </c>
      <c r="D384" s="376" t="str">
        <f>IF(C384="","", IF(ARBITRAGES!$H384="ondo",D383+ARBITRAGES!$K384,D383))</f>
        <v/>
      </c>
      <c r="E384" s="376" t="str">
        <f>IF(D384="","", IF(ARBITRAGES!$H384="sol",E383+ARBITRAGES!$K384,E383))</f>
        <v/>
      </c>
      <c r="F384" s="377" t="str">
        <f>IF(E384="","", IF(ARBITRAGES!$H384="tao",F383+ARBITRAGES!$K384,F383))</f>
        <v/>
      </c>
      <c r="G384" s="378" t="str">
        <f>IF(F384="","", IF(ARBITRAGES!$H384="ron",G383+ARBITRAGES!$K384,G383))</f>
        <v/>
      </c>
      <c r="H384" s="378" t="str">
        <f>IF(G384="","", IF(ARBITRAGES!$H384="link",H383+ARBITRAGES!$K384,H383))</f>
        <v/>
      </c>
      <c r="I384" s="378" t="str">
        <f>IF(H384="","", IF(ARBITRAGES!$H384="doge",I383+ARBITRAGES!$K384,I383))</f>
        <v/>
      </c>
      <c r="J384" s="378" t="str">
        <f>IF(I384="","", IF(ARBITRAGES!$H384="shib",J383-ARBITRAGES!$K384,J383))</f>
        <v/>
      </c>
      <c r="K384" s="378" t="str">
        <f>IF(J384="","", IF(ARBITRAGES!$H384="cake",K383+ARBITRAGES!$K384,K383))</f>
        <v/>
      </c>
      <c r="L384" s="378" t="str">
        <f>IF(K384="","", IF(ARBITRAGES!$H384="JUP",L383+ARBITRAGES!$K384,L383))</f>
        <v/>
      </c>
      <c r="M384" s="376" t="str">
        <f>IF(L384="","", IF(ARBITRAGES!$H384="aave",M383+ARBITRAGES!$K384,M383))</f>
        <v/>
      </c>
      <c r="N384" s="378" t="str">
        <f>IF(M384="","", IF(ARBITRAGES!$H384="ckb",N383+ARBITRAGES!$K384,N383))</f>
        <v/>
      </c>
      <c r="O384" s="378" t="str">
        <f>IF(N384="","", IF(ARBITRAGES!$H384="pendle",O383-ARBITRAGES!$K384+0.1,O383))</f>
        <v/>
      </c>
      <c r="P384" s="378" t="str">
        <f>IF(O384="","", IF(ARBITRAGES!$H384="BOME",P383+ARBITRAGES!$K384,P383))</f>
        <v/>
      </c>
      <c r="Q384" s="378" t="str">
        <f>IF(P384="","", IF(ARBITRAGES!$H384="PEPE",Q383+ARBITRAGES!$K384,Q383))</f>
        <v/>
      </c>
      <c r="R384" s="378" t="str">
        <f>IF(Q384="","", IF(ARBITRAGES!$H384="WIF",R383+ARBITRAGES!$K384,R383))</f>
        <v/>
      </c>
      <c r="S384" s="378" t="str">
        <f>IF(R384="","", IF(ARBITRAGES!$H384="RAY",S383+ARBITRAGES!$K384,S383))</f>
        <v/>
      </c>
      <c r="T384" s="360"/>
      <c r="U384" s="360"/>
      <c r="V384" s="360"/>
      <c r="W384" s="360"/>
      <c r="X384" s="360"/>
      <c r="Y384" s="360"/>
      <c r="Z384" s="360"/>
      <c r="AA384" s="360"/>
      <c r="AB384" s="360"/>
      <c r="AC384" s="360"/>
      <c r="AD384" s="360"/>
      <c r="AE384" s="360"/>
      <c r="AF384" s="360"/>
      <c r="AG384" s="360"/>
      <c r="AH384" s="360"/>
    </row>
    <row r="385" ht="18.75" customHeight="1">
      <c r="A385" s="399"/>
      <c r="B385" s="375" t="str">
        <f>IF(A385="","", IF(ARBITRAGES!$H385="BTC",B384+ARBITRAGES!$K385,B384))</f>
        <v/>
      </c>
      <c r="C385" s="375" t="str">
        <f>IF(B385="","", IF(ARBITRAGES!$H385="eth",C384+ARBITRAGES!$K385,C384))</f>
        <v/>
      </c>
      <c r="D385" s="376" t="str">
        <f>IF(C385="","", IF(ARBITRAGES!$H385="ondo",D384+ARBITRAGES!$K385,D384))</f>
        <v/>
      </c>
      <c r="E385" s="376" t="str">
        <f>IF(D385="","", IF(ARBITRAGES!$H385="sol",E384+ARBITRAGES!$K385,E384))</f>
        <v/>
      </c>
      <c r="F385" s="377" t="str">
        <f>IF(E385="","", IF(ARBITRAGES!$H385="tao",F384+ARBITRAGES!$K385,F384))</f>
        <v/>
      </c>
      <c r="G385" s="378" t="str">
        <f>IF(F385="","", IF(ARBITRAGES!$H385="ron",G384+ARBITRAGES!$K385,G384))</f>
        <v/>
      </c>
      <c r="H385" s="378" t="str">
        <f>IF(G385="","", IF(ARBITRAGES!$H385="link",H384+ARBITRAGES!$K385,H384))</f>
        <v/>
      </c>
      <c r="I385" s="378" t="str">
        <f>IF(H385="","", IF(ARBITRAGES!$H385="doge",I384+ARBITRAGES!$K385,I384))</f>
        <v/>
      </c>
      <c r="J385" s="378" t="str">
        <f>IF(I385="","", IF(ARBITRAGES!$H385="shib",J384-ARBITRAGES!$K385,J384))</f>
        <v/>
      </c>
      <c r="K385" s="378" t="str">
        <f>IF(J385="","", IF(ARBITRAGES!$H385="cake",K384+ARBITRAGES!$K385,K384))</f>
        <v/>
      </c>
      <c r="L385" s="378" t="str">
        <f>IF(K385="","", IF(ARBITRAGES!$H385="JUP",L384+ARBITRAGES!$K385,L384))</f>
        <v/>
      </c>
      <c r="M385" s="376" t="str">
        <f>IF(L385="","", IF(ARBITRAGES!$H385="aave",M384+ARBITRAGES!$K385,M384))</f>
        <v/>
      </c>
      <c r="N385" s="378" t="str">
        <f>IF(M385="","", IF(ARBITRAGES!$H385="ckb",N384+ARBITRAGES!$K385,N384))</f>
        <v/>
      </c>
      <c r="O385" s="378" t="str">
        <f>IF(N385="","", IF(ARBITRAGES!$H385="pendle",O384-ARBITRAGES!$K385+0.1,O384))</f>
        <v/>
      </c>
      <c r="P385" s="378" t="str">
        <f>IF(O385="","", IF(ARBITRAGES!$H385="BOME",P384+ARBITRAGES!$K385,P384))</f>
        <v/>
      </c>
      <c r="Q385" s="378" t="str">
        <f>IF(P385="","", IF(ARBITRAGES!$H385="PEPE",Q384+ARBITRAGES!$K385,Q384))</f>
        <v/>
      </c>
      <c r="R385" s="378" t="str">
        <f>IF(Q385="","", IF(ARBITRAGES!$H385="WIF",R384+ARBITRAGES!$K385,R384))</f>
        <v/>
      </c>
      <c r="S385" s="378" t="str">
        <f>IF(R385="","", IF(ARBITRAGES!$H385="RAY",S384+ARBITRAGES!$K385,S384))</f>
        <v/>
      </c>
      <c r="T385" s="360"/>
      <c r="U385" s="360"/>
      <c r="V385" s="360"/>
      <c r="W385" s="360"/>
      <c r="X385" s="360"/>
      <c r="Y385" s="360"/>
      <c r="Z385" s="360"/>
      <c r="AA385" s="360"/>
      <c r="AB385" s="360"/>
      <c r="AC385" s="360"/>
      <c r="AD385" s="360"/>
      <c r="AE385" s="360"/>
      <c r="AF385" s="360"/>
      <c r="AG385" s="360"/>
      <c r="AH385" s="360"/>
    </row>
    <row r="386" ht="18.75" customHeight="1">
      <c r="A386" s="399"/>
      <c r="B386" s="375" t="str">
        <f>IF(A386="","", IF(ARBITRAGES!$H386="BTC",B385+ARBITRAGES!$K386,B385))</f>
        <v/>
      </c>
      <c r="C386" s="375" t="str">
        <f>IF(B386="","", IF(ARBITRAGES!$H386="eth",C385+ARBITRAGES!$K386,C385))</f>
        <v/>
      </c>
      <c r="D386" s="376" t="str">
        <f>IF(C386="","", IF(ARBITRAGES!$H386="ondo",D385+ARBITRAGES!$K386,D385))</f>
        <v/>
      </c>
      <c r="E386" s="376" t="str">
        <f>IF(D386="","", IF(ARBITRAGES!$H386="sol",E385+ARBITRAGES!$K386,E385))</f>
        <v/>
      </c>
      <c r="F386" s="377" t="str">
        <f>IF(E386="","", IF(ARBITRAGES!$H386="tao",F385+ARBITRAGES!$K386,F385))</f>
        <v/>
      </c>
      <c r="G386" s="378" t="str">
        <f>IF(F386="","", IF(ARBITRAGES!$H386="ron",G385+ARBITRAGES!$K386,G385))</f>
        <v/>
      </c>
      <c r="H386" s="378" t="str">
        <f>IF(G386="","", IF(ARBITRAGES!$H386="link",H385+ARBITRAGES!$K386,H385))</f>
        <v/>
      </c>
      <c r="I386" s="378" t="str">
        <f>IF(H386="","", IF(ARBITRAGES!$H386="doge",I385+ARBITRAGES!$K386,I385))</f>
        <v/>
      </c>
      <c r="J386" s="378" t="str">
        <f>IF(I386="","", IF(ARBITRAGES!$H386="shib",J385-ARBITRAGES!$K386,J385))</f>
        <v/>
      </c>
      <c r="K386" s="378" t="str">
        <f>IF(J386="","", IF(ARBITRAGES!$H386="cake",K385+ARBITRAGES!$K386,K385))</f>
        <v/>
      </c>
      <c r="L386" s="378" t="str">
        <f>IF(K386="","", IF(ARBITRAGES!$H386="JUP",L385+ARBITRAGES!$K386,L385))</f>
        <v/>
      </c>
      <c r="M386" s="376" t="str">
        <f>IF(L386="","", IF(ARBITRAGES!$H386="aave",M385+ARBITRAGES!$K386,M385))</f>
        <v/>
      </c>
      <c r="N386" s="378" t="str">
        <f>IF(M386="","", IF(ARBITRAGES!$H386="ckb",N385+ARBITRAGES!$K386,N385))</f>
        <v/>
      </c>
      <c r="O386" s="378" t="str">
        <f>IF(N386="","", IF(ARBITRAGES!$H386="pendle",O385-ARBITRAGES!$K386+0.1,O385))</f>
        <v/>
      </c>
      <c r="P386" s="378" t="str">
        <f>IF(O386="","", IF(ARBITRAGES!$H386="BOME",P385+ARBITRAGES!$K386,P385))</f>
        <v/>
      </c>
      <c r="Q386" s="378" t="str">
        <f>IF(P386="","", IF(ARBITRAGES!$H386="PEPE",Q385+ARBITRAGES!$K386,Q385))</f>
        <v/>
      </c>
      <c r="R386" s="378" t="str">
        <f>IF(Q386="","", IF(ARBITRAGES!$H386="WIF",R385+ARBITRAGES!$K386,R385))</f>
        <v/>
      </c>
      <c r="S386" s="378" t="str">
        <f>IF(R386="","", IF(ARBITRAGES!$H386="RAY",S385+ARBITRAGES!$K386,S385))</f>
        <v/>
      </c>
      <c r="T386" s="360"/>
      <c r="U386" s="360"/>
      <c r="V386" s="360"/>
      <c r="W386" s="360"/>
      <c r="X386" s="360"/>
      <c r="Y386" s="360"/>
      <c r="Z386" s="360"/>
      <c r="AA386" s="360"/>
      <c r="AB386" s="360"/>
      <c r="AC386" s="360"/>
      <c r="AD386" s="360"/>
      <c r="AE386" s="360"/>
      <c r="AF386" s="360"/>
      <c r="AG386" s="360"/>
      <c r="AH386" s="360"/>
    </row>
    <row r="387" ht="18.75" customHeight="1">
      <c r="A387" s="399"/>
      <c r="B387" s="375" t="str">
        <f>IF(A387="","", IF(ARBITRAGES!$H387="BTC",B386+ARBITRAGES!$K387,B386))</f>
        <v/>
      </c>
      <c r="C387" s="375" t="str">
        <f>IF(B387="","", IF(ARBITRAGES!$H387="eth",C386+ARBITRAGES!$K387,C386))</f>
        <v/>
      </c>
      <c r="D387" s="376" t="str">
        <f>IF(C387="","", IF(ARBITRAGES!$H387="ondo",D386+ARBITRAGES!$K387,D386))</f>
        <v/>
      </c>
      <c r="E387" s="376" t="str">
        <f>IF(D387="","", IF(ARBITRAGES!$H387="sol",E386+ARBITRAGES!$K387,E386))</f>
        <v/>
      </c>
      <c r="F387" s="377" t="str">
        <f>IF(E387="","", IF(ARBITRAGES!$H387="tao",F386+ARBITRAGES!$K387,F386))</f>
        <v/>
      </c>
      <c r="G387" s="378" t="str">
        <f>IF(F387="","", IF(ARBITRAGES!$H387="ron",G386+ARBITRAGES!$K387,G386))</f>
        <v/>
      </c>
      <c r="H387" s="378" t="str">
        <f>IF(G387="","", IF(ARBITRAGES!$H387="link",H386+ARBITRAGES!$K387,H386))</f>
        <v/>
      </c>
      <c r="I387" s="378" t="str">
        <f>IF(H387="","", IF(ARBITRAGES!$H387="doge",I386+ARBITRAGES!$K387,I386))</f>
        <v/>
      </c>
      <c r="J387" s="378" t="str">
        <f>IF(I387="","", IF(ARBITRAGES!$H387="shib",J386-ARBITRAGES!$K387,J386))</f>
        <v/>
      </c>
      <c r="K387" s="378" t="str">
        <f>IF(J387="","", IF(ARBITRAGES!$H387="cake",K386+ARBITRAGES!$K387,K386))</f>
        <v/>
      </c>
      <c r="L387" s="378" t="str">
        <f>IF(K387="","", IF(ARBITRAGES!$H387="JUP",L386+ARBITRAGES!$K387,L386))</f>
        <v/>
      </c>
      <c r="M387" s="376" t="str">
        <f>IF(L387="","", IF(ARBITRAGES!$H387="aave",M386+ARBITRAGES!$K387,M386))</f>
        <v/>
      </c>
      <c r="N387" s="378" t="str">
        <f>IF(M387="","", IF(ARBITRAGES!$H387="ckb",N386+ARBITRAGES!$K387,N386))</f>
        <v/>
      </c>
      <c r="O387" s="378" t="str">
        <f>IF(N387="","", IF(ARBITRAGES!$H387="pendle",O386-ARBITRAGES!$K387+0.1,O386))</f>
        <v/>
      </c>
      <c r="P387" s="378" t="str">
        <f>IF(O387="","", IF(ARBITRAGES!$H387="BOME",P386+ARBITRAGES!$K387,P386))</f>
        <v/>
      </c>
      <c r="Q387" s="378" t="str">
        <f>IF(P387="","", IF(ARBITRAGES!$H387="PEPE",Q386+ARBITRAGES!$K387,Q386))</f>
        <v/>
      </c>
      <c r="R387" s="378" t="str">
        <f>IF(Q387="","", IF(ARBITRAGES!$H387="WIF",R386+ARBITRAGES!$K387,R386))</f>
        <v/>
      </c>
      <c r="S387" s="378" t="str">
        <f>IF(R387="","", IF(ARBITRAGES!$H387="RAY",S386+ARBITRAGES!$K387,S386))</f>
        <v/>
      </c>
      <c r="T387" s="360"/>
      <c r="U387" s="360"/>
      <c r="V387" s="360"/>
      <c r="W387" s="360"/>
      <c r="X387" s="360"/>
      <c r="Y387" s="360"/>
      <c r="Z387" s="360"/>
      <c r="AA387" s="360"/>
      <c r="AB387" s="360"/>
      <c r="AC387" s="360"/>
      <c r="AD387" s="360"/>
      <c r="AE387" s="360"/>
      <c r="AF387" s="360"/>
      <c r="AG387" s="360"/>
      <c r="AH387" s="360"/>
    </row>
    <row r="388" ht="18.75" customHeight="1">
      <c r="A388" s="399"/>
      <c r="B388" s="375" t="str">
        <f>IF(A388="","", IF(ARBITRAGES!$H388="BTC",B387+ARBITRAGES!$K388,B387))</f>
        <v/>
      </c>
      <c r="C388" s="375" t="str">
        <f>IF(B388="","", IF(ARBITRAGES!$H388="eth",C387+ARBITRAGES!$K388,C387))</f>
        <v/>
      </c>
      <c r="D388" s="376" t="str">
        <f>IF(C388="","", IF(ARBITRAGES!$H388="ondo",D387+ARBITRAGES!$K388,D387))</f>
        <v/>
      </c>
      <c r="E388" s="376" t="str">
        <f>IF(D388="","", IF(ARBITRAGES!$H388="sol",E387+ARBITRAGES!$K388,E387))</f>
        <v/>
      </c>
      <c r="F388" s="377" t="str">
        <f>IF(E388="","", IF(ARBITRAGES!$H388="tao",F387+ARBITRAGES!$K388,F387))</f>
        <v/>
      </c>
      <c r="G388" s="378" t="str">
        <f>IF(F388="","", IF(ARBITRAGES!$H388="ron",G387+ARBITRAGES!$K388,G387))</f>
        <v/>
      </c>
      <c r="H388" s="378" t="str">
        <f>IF(G388="","", IF(ARBITRAGES!$H388="link",H387+ARBITRAGES!$K388,H387))</f>
        <v/>
      </c>
      <c r="I388" s="378" t="str">
        <f>IF(H388="","", IF(ARBITRAGES!$H388="doge",I387+ARBITRAGES!$K388,I387))</f>
        <v/>
      </c>
      <c r="J388" s="378" t="str">
        <f>IF(I388="","", IF(ARBITRAGES!$H388="shib",J387-ARBITRAGES!$K388,J387))</f>
        <v/>
      </c>
      <c r="K388" s="378" t="str">
        <f>IF(J388="","", IF(ARBITRAGES!$H388="cake",K387+ARBITRAGES!$K388,K387))</f>
        <v/>
      </c>
      <c r="L388" s="378" t="str">
        <f>IF(K388="","", IF(ARBITRAGES!$H388="JUP",L387+ARBITRAGES!$K388,L387))</f>
        <v/>
      </c>
      <c r="M388" s="376" t="str">
        <f>IF(L388="","", IF(ARBITRAGES!$H388="aave",M387+ARBITRAGES!$K388,M387))</f>
        <v/>
      </c>
      <c r="N388" s="378" t="str">
        <f>IF(M388="","", IF(ARBITRAGES!$H388="ckb",N387+ARBITRAGES!$K388,N387))</f>
        <v/>
      </c>
      <c r="O388" s="378" t="str">
        <f>IF(N388="","", IF(ARBITRAGES!$H388="pendle",O387-ARBITRAGES!$K388+0.1,O387))</f>
        <v/>
      </c>
      <c r="P388" s="378" t="str">
        <f>IF(O388="","", IF(ARBITRAGES!$H388="BOME",P387+ARBITRAGES!$K388,P387))</f>
        <v/>
      </c>
      <c r="Q388" s="378" t="str">
        <f>IF(P388="","", IF(ARBITRAGES!$H388="PEPE",Q387+ARBITRAGES!$K388,Q387))</f>
        <v/>
      </c>
      <c r="R388" s="378" t="str">
        <f>IF(Q388="","", IF(ARBITRAGES!$H388="WIF",R387+ARBITRAGES!$K388,R387))</f>
        <v/>
      </c>
      <c r="S388" s="378" t="str">
        <f>IF(R388="","", IF(ARBITRAGES!$H388="RAY",S387+ARBITRAGES!$K388,S387))</f>
        <v/>
      </c>
      <c r="T388" s="360"/>
      <c r="U388" s="360"/>
      <c r="V388" s="360"/>
      <c r="W388" s="360"/>
      <c r="X388" s="360"/>
      <c r="Y388" s="360"/>
      <c r="Z388" s="360"/>
      <c r="AA388" s="360"/>
      <c r="AB388" s="360"/>
      <c r="AC388" s="360"/>
      <c r="AD388" s="360"/>
      <c r="AE388" s="360"/>
      <c r="AF388" s="360"/>
      <c r="AG388" s="360"/>
      <c r="AH388" s="360"/>
    </row>
    <row r="389" ht="18.75" customHeight="1">
      <c r="A389" s="399"/>
      <c r="B389" s="375" t="str">
        <f>IF(A389="","", IF(ARBITRAGES!$H389="BTC",B388+ARBITRAGES!$K389,B388))</f>
        <v/>
      </c>
      <c r="C389" s="375" t="str">
        <f>IF(B389="","", IF(ARBITRAGES!$H389="eth",C388+ARBITRAGES!$K389,C388))</f>
        <v/>
      </c>
      <c r="D389" s="376" t="str">
        <f>IF(C389="","", IF(ARBITRAGES!$H389="ondo",D388+ARBITRAGES!$K389,D388))</f>
        <v/>
      </c>
      <c r="E389" s="376" t="str">
        <f>IF(D389="","", IF(ARBITRAGES!$H389="sol",E388+ARBITRAGES!$K389,E388))</f>
        <v/>
      </c>
      <c r="F389" s="377" t="str">
        <f>IF(E389="","", IF(ARBITRAGES!$H389="tao",F388+ARBITRAGES!$K389,F388))</f>
        <v/>
      </c>
      <c r="G389" s="378" t="str">
        <f>IF(F389="","", IF(ARBITRAGES!$H389="ron",G388+ARBITRAGES!$K389,G388))</f>
        <v/>
      </c>
      <c r="H389" s="378" t="str">
        <f>IF(G389="","", IF(ARBITRAGES!$H389="link",H388+ARBITRAGES!$K389,H388))</f>
        <v/>
      </c>
      <c r="I389" s="378" t="str">
        <f>IF(H389="","", IF(ARBITRAGES!$H389="doge",I388+ARBITRAGES!$K389,I388))</f>
        <v/>
      </c>
      <c r="J389" s="378" t="str">
        <f>IF(I389="","", IF(ARBITRAGES!$H389="shib",J388-ARBITRAGES!$K389,J388))</f>
        <v/>
      </c>
      <c r="K389" s="378" t="str">
        <f>IF(J389="","", IF(ARBITRAGES!$H389="cake",K388+ARBITRAGES!$K389,K388))</f>
        <v/>
      </c>
      <c r="L389" s="378" t="str">
        <f>IF(K389="","", IF(ARBITRAGES!$H389="JUP",L388+ARBITRAGES!$K389,L388))</f>
        <v/>
      </c>
      <c r="M389" s="376" t="str">
        <f>IF(L389="","", IF(ARBITRAGES!$H389="aave",M388+ARBITRAGES!$K389,M388))</f>
        <v/>
      </c>
      <c r="N389" s="378" t="str">
        <f>IF(M389="","", IF(ARBITRAGES!$H389="ckb",N388+ARBITRAGES!$K389,N388))</f>
        <v/>
      </c>
      <c r="O389" s="378" t="str">
        <f>IF(N389="","", IF(ARBITRAGES!$H389="pendle",O388-ARBITRAGES!$K389+0.1,O388))</f>
        <v/>
      </c>
      <c r="P389" s="378" t="str">
        <f>IF(O389="","", IF(ARBITRAGES!$H389="BOME",P388+ARBITRAGES!$K389,P388))</f>
        <v/>
      </c>
      <c r="Q389" s="378" t="str">
        <f>IF(P389="","", IF(ARBITRAGES!$H389="PEPE",Q388+ARBITRAGES!$K389,Q388))</f>
        <v/>
      </c>
      <c r="R389" s="378" t="str">
        <f>IF(Q389="","", IF(ARBITRAGES!$H389="WIF",R388+ARBITRAGES!$K389,R388))</f>
        <v/>
      </c>
      <c r="S389" s="378" t="str">
        <f>IF(R389="","", IF(ARBITRAGES!$H389="RAY",S388+ARBITRAGES!$K389,S388))</f>
        <v/>
      </c>
      <c r="T389" s="360"/>
      <c r="U389" s="360"/>
      <c r="V389" s="360"/>
      <c r="W389" s="360"/>
      <c r="X389" s="360"/>
      <c r="Y389" s="360"/>
      <c r="Z389" s="360"/>
      <c r="AA389" s="360"/>
      <c r="AB389" s="360"/>
      <c r="AC389" s="360"/>
      <c r="AD389" s="360"/>
      <c r="AE389" s="360"/>
      <c r="AF389" s="360"/>
      <c r="AG389" s="360"/>
      <c r="AH389" s="360"/>
    </row>
    <row r="390" ht="18.75" customHeight="1">
      <c r="A390" s="399"/>
      <c r="B390" s="375" t="str">
        <f>IF(A390="","", IF(ARBITRAGES!$H390="BTC",B389+ARBITRAGES!$K390,B389))</f>
        <v/>
      </c>
      <c r="C390" s="375" t="str">
        <f>IF(B390="","", IF(ARBITRAGES!$H390="eth",C389+ARBITRAGES!$K390,C389))</f>
        <v/>
      </c>
      <c r="D390" s="376" t="str">
        <f>IF(C390="","", IF(ARBITRAGES!$H390="ondo",D389+ARBITRAGES!$K390,D389))</f>
        <v/>
      </c>
      <c r="E390" s="376" t="str">
        <f>IF(D390="","", IF(ARBITRAGES!$H390="sol",E389+ARBITRAGES!$K390,E389))</f>
        <v/>
      </c>
      <c r="F390" s="377" t="str">
        <f>IF(E390="","", IF(ARBITRAGES!$H390="tao",F389+ARBITRAGES!$K390,F389))</f>
        <v/>
      </c>
      <c r="G390" s="378" t="str">
        <f>IF(F390="","", IF(ARBITRAGES!$H390="ron",G389+ARBITRAGES!$K390,G389))</f>
        <v/>
      </c>
      <c r="H390" s="378" t="str">
        <f>IF(G390="","", IF(ARBITRAGES!$H390="link",H389+ARBITRAGES!$K390,H389))</f>
        <v/>
      </c>
      <c r="I390" s="378" t="str">
        <f>IF(H390="","", IF(ARBITRAGES!$H390="doge",I389+ARBITRAGES!$K390,I389))</f>
        <v/>
      </c>
      <c r="J390" s="378" t="str">
        <f>IF(I390="","", IF(ARBITRAGES!$H390="shib",J389-ARBITRAGES!$K390,J389))</f>
        <v/>
      </c>
      <c r="K390" s="378" t="str">
        <f>IF(J390="","", IF(ARBITRAGES!$H390="cake",K389+ARBITRAGES!$K390,K389))</f>
        <v/>
      </c>
      <c r="L390" s="378" t="str">
        <f>IF(K390="","", IF(ARBITRAGES!$H390="JUP",L389+ARBITRAGES!$K390,L389))</f>
        <v/>
      </c>
      <c r="M390" s="376" t="str">
        <f>IF(L390="","", IF(ARBITRAGES!$H390="aave",M389+ARBITRAGES!$K390,M389))</f>
        <v/>
      </c>
      <c r="N390" s="378" t="str">
        <f>IF(M390="","", IF(ARBITRAGES!$H390="ckb",N389+ARBITRAGES!$K390,N389))</f>
        <v/>
      </c>
      <c r="O390" s="378" t="str">
        <f>IF(N390="","", IF(ARBITRAGES!$H390="pendle",O389-ARBITRAGES!$K390+0.1,O389))</f>
        <v/>
      </c>
      <c r="P390" s="378" t="str">
        <f>IF(O390="","", IF(ARBITRAGES!$H390="BOME",P389+ARBITRAGES!$K390,P389))</f>
        <v/>
      </c>
      <c r="Q390" s="378" t="str">
        <f>IF(P390="","", IF(ARBITRAGES!$H390="PEPE",Q389+ARBITRAGES!$K390,Q389))</f>
        <v/>
      </c>
      <c r="R390" s="378" t="str">
        <f>IF(Q390="","", IF(ARBITRAGES!$H390="WIF",R389+ARBITRAGES!$K390,R389))</f>
        <v/>
      </c>
      <c r="S390" s="378" t="str">
        <f>IF(R390="","", IF(ARBITRAGES!$H390="RAY",S389+ARBITRAGES!$K390,S389))</f>
        <v/>
      </c>
      <c r="T390" s="360"/>
      <c r="U390" s="360"/>
      <c r="V390" s="360"/>
      <c r="W390" s="360"/>
      <c r="X390" s="360"/>
      <c r="Y390" s="360"/>
      <c r="Z390" s="360"/>
      <c r="AA390" s="360"/>
      <c r="AB390" s="360"/>
      <c r="AC390" s="360"/>
      <c r="AD390" s="360"/>
      <c r="AE390" s="360"/>
      <c r="AF390" s="360"/>
      <c r="AG390" s="360"/>
      <c r="AH390" s="360"/>
    </row>
    <row r="391" ht="18.75" customHeight="1">
      <c r="A391" s="399"/>
      <c r="B391" s="375" t="str">
        <f>IF(A391="","", IF(ARBITRAGES!$H391="BTC",B390+ARBITRAGES!$K391,B390))</f>
        <v/>
      </c>
      <c r="C391" s="375" t="str">
        <f>IF(B391="","", IF(ARBITRAGES!$H391="eth",C390+ARBITRAGES!$K391,C390))</f>
        <v/>
      </c>
      <c r="D391" s="376" t="str">
        <f>IF(C391="","", IF(ARBITRAGES!$H391="ondo",D390+ARBITRAGES!$K391,D390))</f>
        <v/>
      </c>
      <c r="E391" s="376" t="str">
        <f>IF(D391="","", IF(ARBITRAGES!$H391="sol",E390+ARBITRAGES!$K391,E390))</f>
        <v/>
      </c>
      <c r="F391" s="377" t="str">
        <f>IF(E391="","", IF(ARBITRAGES!$H391="tao",F390+ARBITRAGES!$K391,F390))</f>
        <v/>
      </c>
      <c r="G391" s="378" t="str">
        <f>IF(F391="","", IF(ARBITRAGES!$H391="ron",G390+ARBITRAGES!$K391,G390))</f>
        <v/>
      </c>
      <c r="H391" s="378" t="str">
        <f>IF(G391="","", IF(ARBITRAGES!$H391="link",H390+ARBITRAGES!$K391,H390))</f>
        <v/>
      </c>
      <c r="I391" s="378" t="str">
        <f>IF(H391="","", IF(ARBITRAGES!$H391="doge",I390+ARBITRAGES!$K391,I390))</f>
        <v/>
      </c>
      <c r="J391" s="378" t="str">
        <f>IF(I391="","", IF(ARBITRAGES!$H391="shib",J390-ARBITRAGES!$K391,J390))</f>
        <v/>
      </c>
      <c r="K391" s="378" t="str">
        <f>IF(J391="","", IF(ARBITRAGES!$H391="cake",K390+ARBITRAGES!$K391,K390))</f>
        <v/>
      </c>
      <c r="L391" s="378" t="str">
        <f>IF(K391="","", IF(ARBITRAGES!$H391="JUP",L390+ARBITRAGES!$K391,L390))</f>
        <v/>
      </c>
      <c r="M391" s="376" t="str">
        <f>IF(L391="","", IF(ARBITRAGES!$H391="aave",M390+ARBITRAGES!$K391,M390))</f>
        <v/>
      </c>
      <c r="N391" s="378" t="str">
        <f>IF(M391="","", IF(ARBITRAGES!$H391="ckb",N390+ARBITRAGES!$K391,N390))</f>
        <v/>
      </c>
      <c r="O391" s="378" t="str">
        <f>IF(N391="","", IF(ARBITRAGES!$H391="pendle",O390-ARBITRAGES!$K391+0.1,O390))</f>
        <v/>
      </c>
      <c r="P391" s="378" t="str">
        <f>IF(O391="","", IF(ARBITRAGES!$H391="BOME",P390+ARBITRAGES!$K391,P390))</f>
        <v/>
      </c>
      <c r="Q391" s="378" t="str">
        <f>IF(P391="","", IF(ARBITRAGES!$H391="PEPE",Q390+ARBITRAGES!$K391,Q390))</f>
        <v/>
      </c>
      <c r="R391" s="378" t="str">
        <f>IF(Q391="","", IF(ARBITRAGES!$H391="WIF",R390+ARBITRAGES!$K391,R390))</f>
        <v/>
      </c>
      <c r="S391" s="378" t="str">
        <f>IF(R391="","", IF(ARBITRAGES!$H391="RAY",S390+ARBITRAGES!$K391,S390))</f>
        <v/>
      </c>
      <c r="T391" s="360"/>
      <c r="U391" s="360"/>
      <c r="V391" s="360"/>
      <c r="W391" s="360"/>
      <c r="X391" s="360"/>
      <c r="Y391" s="360"/>
      <c r="Z391" s="360"/>
      <c r="AA391" s="360"/>
      <c r="AB391" s="360"/>
      <c r="AC391" s="360"/>
      <c r="AD391" s="360"/>
      <c r="AE391" s="360"/>
      <c r="AF391" s="360"/>
      <c r="AG391" s="360"/>
      <c r="AH391" s="360"/>
    </row>
    <row r="392" ht="18.75" customHeight="1">
      <c r="A392" s="399"/>
      <c r="B392" s="375" t="str">
        <f>IF(A392="","", IF(ARBITRAGES!$H392="BTC",B391+ARBITRAGES!$K392,B391))</f>
        <v/>
      </c>
      <c r="C392" s="375" t="str">
        <f>IF(B392="","", IF(ARBITRAGES!$H392="eth",C391+ARBITRAGES!$K392,C391))</f>
        <v/>
      </c>
      <c r="D392" s="376" t="str">
        <f>IF(C392="","", IF(ARBITRAGES!$H392="ondo",D391+ARBITRAGES!$K392,D391))</f>
        <v/>
      </c>
      <c r="E392" s="376" t="str">
        <f>IF(D392="","", IF(ARBITRAGES!$H392="sol",E391+ARBITRAGES!$K392,E391))</f>
        <v/>
      </c>
      <c r="F392" s="377" t="str">
        <f>IF(E392="","", IF(ARBITRAGES!$H392="tao",F391+ARBITRAGES!$K392,F391))</f>
        <v/>
      </c>
      <c r="G392" s="378" t="str">
        <f>IF(F392="","", IF(ARBITRAGES!$H392="ron",G391+ARBITRAGES!$K392,G391))</f>
        <v/>
      </c>
      <c r="H392" s="378" t="str">
        <f>IF(G392="","", IF(ARBITRAGES!$H392="link",H391+ARBITRAGES!$K392,H391))</f>
        <v/>
      </c>
      <c r="I392" s="378" t="str">
        <f>IF(H392="","", IF(ARBITRAGES!$H392="doge",I391+ARBITRAGES!$K392,I391))</f>
        <v/>
      </c>
      <c r="J392" s="378" t="str">
        <f>IF(I392="","", IF(ARBITRAGES!$H392="shib",J391-ARBITRAGES!$K392,J391))</f>
        <v/>
      </c>
      <c r="K392" s="378" t="str">
        <f>IF(J392="","", IF(ARBITRAGES!$H392="cake",K391+ARBITRAGES!$K392,K391))</f>
        <v/>
      </c>
      <c r="L392" s="378" t="str">
        <f>IF(K392="","", IF(ARBITRAGES!$H392="JUP",L391+ARBITRAGES!$K392,L391))</f>
        <v/>
      </c>
      <c r="M392" s="376" t="str">
        <f>IF(L392="","", IF(ARBITRAGES!$H392="aave",M391+ARBITRAGES!$K392,M391))</f>
        <v/>
      </c>
      <c r="N392" s="378" t="str">
        <f>IF(M392="","", IF(ARBITRAGES!$H392="ckb",N391+ARBITRAGES!$K392,N391))</f>
        <v/>
      </c>
      <c r="O392" s="378" t="str">
        <f>IF(N392="","", IF(ARBITRAGES!$H392="pendle",O391-ARBITRAGES!$K392+0.1,O391))</f>
        <v/>
      </c>
      <c r="P392" s="378" t="str">
        <f>IF(O392="","", IF(ARBITRAGES!$H392="BOME",P391+ARBITRAGES!$K392,P391))</f>
        <v/>
      </c>
      <c r="Q392" s="378" t="str">
        <f>IF(P392="","", IF(ARBITRAGES!$H392="PEPE",Q391+ARBITRAGES!$K392,Q391))</f>
        <v/>
      </c>
      <c r="R392" s="378" t="str">
        <f>IF(Q392="","", IF(ARBITRAGES!$H392="WIF",R391+ARBITRAGES!$K392,R391))</f>
        <v/>
      </c>
      <c r="S392" s="378" t="str">
        <f>IF(R392="","", IF(ARBITRAGES!$H392="RAY",S391+ARBITRAGES!$K392,S391))</f>
        <v/>
      </c>
      <c r="T392" s="360"/>
      <c r="U392" s="360"/>
      <c r="V392" s="360"/>
      <c r="W392" s="360"/>
      <c r="X392" s="360"/>
      <c r="Y392" s="360"/>
      <c r="Z392" s="360"/>
      <c r="AA392" s="360"/>
      <c r="AB392" s="360"/>
      <c r="AC392" s="360"/>
      <c r="AD392" s="360"/>
      <c r="AE392" s="360"/>
      <c r="AF392" s="360"/>
      <c r="AG392" s="360"/>
      <c r="AH392" s="360"/>
    </row>
    <row r="393" ht="18.75" customHeight="1">
      <c r="A393" s="399"/>
      <c r="B393" s="375" t="str">
        <f>IF(A393="","", IF(ARBITRAGES!$H393="BTC",B392+ARBITRAGES!$K393,B392))</f>
        <v/>
      </c>
      <c r="C393" s="375" t="str">
        <f>IF(B393="","", IF(ARBITRAGES!$H393="eth",C392+ARBITRAGES!$K393,C392))</f>
        <v/>
      </c>
      <c r="D393" s="376" t="str">
        <f>IF(C393="","", IF(ARBITRAGES!$H393="ondo",D392+ARBITRAGES!$K393,D392))</f>
        <v/>
      </c>
      <c r="E393" s="376" t="str">
        <f>IF(D393="","", IF(ARBITRAGES!$H393="sol",E392+ARBITRAGES!$K393,E392))</f>
        <v/>
      </c>
      <c r="F393" s="377" t="str">
        <f>IF(E393="","", IF(ARBITRAGES!$H393="tao",F392+ARBITRAGES!$K393,F392))</f>
        <v/>
      </c>
      <c r="G393" s="378" t="str">
        <f>IF(F393="","", IF(ARBITRAGES!$H393="ron",G392+ARBITRAGES!$K393,G392))</f>
        <v/>
      </c>
      <c r="H393" s="378" t="str">
        <f>IF(G393="","", IF(ARBITRAGES!$H393="link",H392+ARBITRAGES!$K393,H392))</f>
        <v/>
      </c>
      <c r="I393" s="378" t="str">
        <f>IF(H393="","", IF(ARBITRAGES!$H393="doge",I392+ARBITRAGES!$K393,I392))</f>
        <v/>
      </c>
      <c r="J393" s="378" t="str">
        <f>IF(I393="","", IF(ARBITRAGES!$H393="shib",J392-ARBITRAGES!$K393,J392))</f>
        <v/>
      </c>
      <c r="K393" s="378" t="str">
        <f>IF(J393="","", IF(ARBITRAGES!$H393="cake",K392+ARBITRAGES!$K393,K392))</f>
        <v/>
      </c>
      <c r="L393" s="378" t="str">
        <f>IF(K393="","", IF(ARBITRAGES!$H393="JUP",L392+ARBITRAGES!$K393,L392))</f>
        <v/>
      </c>
      <c r="M393" s="376" t="str">
        <f>IF(L393="","", IF(ARBITRAGES!$H393="aave",M392+ARBITRAGES!$K393,M392))</f>
        <v/>
      </c>
      <c r="N393" s="378" t="str">
        <f>IF(M393="","", IF(ARBITRAGES!$H393="ckb",N392+ARBITRAGES!$K393,N392))</f>
        <v/>
      </c>
      <c r="O393" s="378" t="str">
        <f>IF(N393="","", IF(ARBITRAGES!$H393="pendle",O392-ARBITRAGES!$K393+0.1,O392))</f>
        <v/>
      </c>
      <c r="P393" s="378" t="str">
        <f>IF(O393="","", IF(ARBITRAGES!$H393="BOME",P392+ARBITRAGES!$K393,P392))</f>
        <v/>
      </c>
      <c r="Q393" s="378" t="str">
        <f>IF(P393="","", IF(ARBITRAGES!$H393="PEPE",Q392+ARBITRAGES!$K393,Q392))</f>
        <v/>
      </c>
      <c r="R393" s="378" t="str">
        <f>IF(Q393="","", IF(ARBITRAGES!$H393="WIF",R392+ARBITRAGES!$K393,R392))</f>
        <v/>
      </c>
      <c r="S393" s="378" t="str">
        <f>IF(R393="","", IF(ARBITRAGES!$H393="RAY",S392+ARBITRAGES!$K393,S392))</f>
        <v/>
      </c>
      <c r="T393" s="360"/>
      <c r="U393" s="360"/>
      <c r="V393" s="360"/>
      <c r="W393" s="360"/>
      <c r="X393" s="360"/>
      <c r="Y393" s="360"/>
      <c r="Z393" s="360"/>
      <c r="AA393" s="360"/>
      <c r="AB393" s="360"/>
      <c r="AC393" s="360"/>
      <c r="AD393" s="360"/>
      <c r="AE393" s="360"/>
      <c r="AF393" s="360"/>
      <c r="AG393" s="360"/>
      <c r="AH393" s="360"/>
    </row>
    <row r="394" ht="18.75" customHeight="1">
      <c r="A394" s="399"/>
      <c r="B394" s="375" t="str">
        <f>IF(A394="","", IF(ARBITRAGES!$H394="BTC",B393+ARBITRAGES!$K394,B393))</f>
        <v/>
      </c>
      <c r="C394" s="375" t="str">
        <f>IF(B394="","", IF(ARBITRAGES!$H394="eth",C393+ARBITRAGES!$K394,C393))</f>
        <v/>
      </c>
      <c r="D394" s="376" t="str">
        <f>IF(C394="","", IF(ARBITRAGES!$H394="ondo",D393+ARBITRAGES!$K394,D393))</f>
        <v/>
      </c>
      <c r="E394" s="376" t="str">
        <f>IF(D394="","", IF(ARBITRAGES!$H394="sol",E393+ARBITRAGES!$K394,E393))</f>
        <v/>
      </c>
      <c r="F394" s="377" t="str">
        <f>IF(E394="","", IF(ARBITRAGES!$H394="tao",F393+ARBITRAGES!$K394,F393))</f>
        <v/>
      </c>
      <c r="G394" s="378" t="str">
        <f>IF(F394="","", IF(ARBITRAGES!$H394="ron",G393+ARBITRAGES!$K394,G393))</f>
        <v/>
      </c>
      <c r="H394" s="378" t="str">
        <f>IF(G394="","", IF(ARBITRAGES!$H394="link",H393+ARBITRAGES!$K394,H393))</f>
        <v/>
      </c>
      <c r="I394" s="378" t="str">
        <f>IF(H394="","", IF(ARBITRAGES!$H394="doge",I393+ARBITRAGES!$K394,I393))</f>
        <v/>
      </c>
      <c r="J394" s="378" t="str">
        <f>IF(I394="","", IF(ARBITRAGES!$H394="shib",J393-ARBITRAGES!$K394,J393))</f>
        <v/>
      </c>
      <c r="K394" s="378" t="str">
        <f>IF(J394="","", IF(ARBITRAGES!$H394="cake",K393+ARBITRAGES!$K394,K393))</f>
        <v/>
      </c>
      <c r="L394" s="378" t="str">
        <f>IF(K394="","", IF(ARBITRAGES!$H394="JUP",L393+ARBITRAGES!$K394,L393))</f>
        <v/>
      </c>
      <c r="M394" s="376" t="str">
        <f>IF(L394="","", IF(ARBITRAGES!$H394="aave",M393+ARBITRAGES!$K394,M393))</f>
        <v/>
      </c>
      <c r="N394" s="378" t="str">
        <f>IF(M394="","", IF(ARBITRAGES!$H394="ckb",N393+ARBITRAGES!$K394,N393))</f>
        <v/>
      </c>
      <c r="O394" s="378" t="str">
        <f>IF(N394="","", IF(ARBITRAGES!$H394="pendle",O393-ARBITRAGES!$K394+0.1,O393))</f>
        <v/>
      </c>
      <c r="P394" s="378" t="str">
        <f>IF(O394="","", IF(ARBITRAGES!$H394="BOME",P393+ARBITRAGES!$K394,P393))</f>
        <v/>
      </c>
      <c r="Q394" s="378" t="str">
        <f>IF(P394="","", IF(ARBITRAGES!$H394="PEPE",Q393+ARBITRAGES!$K394,Q393))</f>
        <v/>
      </c>
      <c r="R394" s="378" t="str">
        <f>IF(Q394="","", IF(ARBITRAGES!$H394="WIF",R393+ARBITRAGES!$K394,R393))</f>
        <v/>
      </c>
      <c r="S394" s="378" t="str">
        <f>IF(R394="","", IF(ARBITRAGES!$H394="RAY",S393+ARBITRAGES!$K394,S393))</f>
        <v/>
      </c>
      <c r="T394" s="360"/>
      <c r="U394" s="360"/>
      <c r="V394" s="360"/>
      <c r="W394" s="360"/>
      <c r="X394" s="360"/>
      <c r="Y394" s="360"/>
      <c r="Z394" s="360"/>
      <c r="AA394" s="360"/>
      <c r="AB394" s="360"/>
      <c r="AC394" s="360"/>
      <c r="AD394" s="360"/>
      <c r="AE394" s="360"/>
      <c r="AF394" s="360"/>
      <c r="AG394" s="360"/>
      <c r="AH394" s="360"/>
    </row>
    <row r="395" ht="18.75" customHeight="1">
      <c r="A395" s="399"/>
      <c r="B395" s="375" t="str">
        <f>IF(A395="","", IF(ARBITRAGES!$H395="BTC",B394+ARBITRAGES!$K395,B394))</f>
        <v/>
      </c>
      <c r="C395" s="375" t="str">
        <f>IF(B395="","", IF(ARBITRAGES!$H395="eth",C394+ARBITRAGES!$K395,C394))</f>
        <v/>
      </c>
      <c r="D395" s="376" t="str">
        <f>IF(C395="","", IF(ARBITRAGES!$H395="ondo",D394+ARBITRAGES!$K395,D394))</f>
        <v/>
      </c>
      <c r="E395" s="376" t="str">
        <f>IF(D395="","", IF(ARBITRAGES!$H395="sol",E394+ARBITRAGES!$K395,E394))</f>
        <v/>
      </c>
      <c r="F395" s="377" t="str">
        <f>IF(E395="","", IF(ARBITRAGES!$H395="tao",F394+ARBITRAGES!$K395,F394))</f>
        <v/>
      </c>
      <c r="G395" s="378" t="str">
        <f>IF(F395="","", IF(ARBITRAGES!$H395="ron",G394+ARBITRAGES!$K395,G394))</f>
        <v/>
      </c>
      <c r="H395" s="378" t="str">
        <f>IF(G395="","", IF(ARBITRAGES!$H395="link",H394+ARBITRAGES!$K395,H394))</f>
        <v/>
      </c>
      <c r="I395" s="378" t="str">
        <f>IF(H395="","", IF(ARBITRAGES!$H395="doge",I394+ARBITRAGES!$K395,I394))</f>
        <v/>
      </c>
      <c r="J395" s="378" t="str">
        <f>IF(I395="","", IF(ARBITRAGES!$H395="shib",J394-ARBITRAGES!$K395,J394))</f>
        <v/>
      </c>
      <c r="K395" s="378" t="str">
        <f>IF(J395="","", IF(ARBITRAGES!$H395="cake",K394+ARBITRAGES!$K395,K394))</f>
        <v/>
      </c>
      <c r="L395" s="378" t="str">
        <f>IF(K395="","", IF(ARBITRAGES!$H395="JUP",L394+ARBITRAGES!$K395,L394))</f>
        <v/>
      </c>
      <c r="M395" s="376" t="str">
        <f>IF(L395="","", IF(ARBITRAGES!$H395="aave",M394+ARBITRAGES!$K395,M394))</f>
        <v/>
      </c>
      <c r="N395" s="378" t="str">
        <f>IF(M395="","", IF(ARBITRAGES!$H395="ckb",N394+ARBITRAGES!$K395,N394))</f>
        <v/>
      </c>
      <c r="O395" s="378" t="str">
        <f>IF(N395="","", IF(ARBITRAGES!$H395="pendle",O394-ARBITRAGES!$K395+0.1,O394))</f>
        <v/>
      </c>
      <c r="P395" s="378" t="str">
        <f>IF(O395="","", IF(ARBITRAGES!$H395="BOME",P394+ARBITRAGES!$K395,P394))</f>
        <v/>
      </c>
      <c r="Q395" s="378" t="str">
        <f>IF(P395="","", IF(ARBITRAGES!$H395="PEPE",Q394+ARBITRAGES!$K395,Q394))</f>
        <v/>
      </c>
      <c r="R395" s="378" t="str">
        <f>IF(Q395="","", IF(ARBITRAGES!$H395="WIF",R394+ARBITRAGES!$K395,R394))</f>
        <v/>
      </c>
      <c r="S395" s="378" t="str">
        <f>IF(R395="","", IF(ARBITRAGES!$H395="RAY",S394+ARBITRAGES!$K395,S394))</f>
        <v/>
      </c>
      <c r="T395" s="360"/>
      <c r="U395" s="360"/>
      <c r="V395" s="360"/>
      <c r="W395" s="360"/>
      <c r="X395" s="360"/>
      <c r="Y395" s="360"/>
      <c r="Z395" s="360"/>
      <c r="AA395" s="360"/>
      <c r="AB395" s="360"/>
      <c r="AC395" s="360"/>
      <c r="AD395" s="360"/>
      <c r="AE395" s="360"/>
      <c r="AF395" s="360"/>
      <c r="AG395" s="360"/>
      <c r="AH395" s="360"/>
    </row>
    <row r="396" ht="18.75" customHeight="1">
      <c r="A396" s="399"/>
      <c r="B396" s="375" t="str">
        <f>IF(A396="","", IF(ARBITRAGES!$H396="BTC",B395+ARBITRAGES!$K396,B395))</f>
        <v/>
      </c>
      <c r="C396" s="375" t="str">
        <f>IF(B396="","", IF(ARBITRAGES!$H396="eth",C395+ARBITRAGES!$K396,C395))</f>
        <v/>
      </c>
      <c r="D396" s="376" t="str">
        <f>IF(C396="","", IF(ARBITRAGES!$H396="ondo",D395+ARBITRAGES!$K396,D395))</f>
        <v/>
      </c>
      <c r="E396" s="376" t="str">
        <f>IF(D396="","", IF(ARBITRAGES!$H396="sol",E395+ARBITRAGES!$K396,E395))</f>
        <v/>
      </c>
      <c r="F396" s="377" t="str">
        <f>IF(E396="","", IF(ARBITRAGES!$H396="tao",F395+ARBITRAGES!$K396,F395))</f>
        <v/>
      </c>
      <c r="G396" s="378" t="str">
        <f>IF(F396="","", IF(ARBITRAGES!$H396="ron",G395+ARBITRAGES!$K396,G395))</f>
        <v/>
      </c>
      <c r="H396" s="378" t="str">
        <f>IF(G396="","", IF(ARBITRAGES!$H396="link",H395+ARBITRAGES!$K396,H395))</f>
        <v/>
      </c>
      <c r="I396" s="378" t="str">
        <f>IF(H396="","", IF(ARBITRAGES!$H396="doge",I395+ARBITRAGES!$K396,I395))</f>
        <v/>
      </c>
      <c r="J396" s="378" t="str">
        <f>IF(I396="","", IF(ARBITRAGES!$H396="shib",J395-ARBITRAGES!$K396,J395))</f>
        <v/>
      </c>
      <c r="K396" s="378" t="str">
        <f>IF(J396="","", IF(ARBITRAGES!$H396="cake",K395+ARBITRAGES!$K396,K395))</f>
        <v/>
      </c>
      <c r="L396" s="378" t="str">
        <f>IF(K396="","", IF(ARBITRAGES!$H396="JUP",L395+ARBITRAGES!$K396,L395))</f>
        <v/>
      </c>
      <c r="M396" s="376" t="str">
        <f>IF(L396="","", IF(ARBITRAGES!$H396="aave",M395+ARBITRAGES!$K396,M395))</f>
        <v/>
      </c>
      <c r="N396" s="378" t="str">
        <f>IF(M396="","", IF(ARBITRAGES!$H396="ckb",N395+ARBITRAGES!$K396,N395))</f>
        <v/>
      </c>
      <c r="O396" s="378" t="str">
        <f>IF(N396="","", IF(ARBITRAGES!$H396="pendle",O395-ARBITRAGES!$K396+0.1,O395))</f>
        <v/>
      </c>
      <c r="P396" s="378" t="str">
        <f>IF(O396="","", IF(ARBITRAGES!$H396="BOME",P395+ARBITRAGES!$K396,P395))</f>
        <v/>
      </c>
      <c r="Q396" s="378" t="str">
        <f>IF(P396="","", IF(ARBITRAGES!$H396="PEPE",Q395+ARBITRAGES!$K396,Q395))</f>
        <v/>
      </c>
      <c r="R396" s="378" t="str">
        <f>IF(Q396="","", IF(ARBITRAGES!$H396="WIF",R395+ARBITRAGES!$K396,R395))</f>
        <v/>
      </c>
      <c r="S396" s="378" t="str">
        <f>IF(R396="","", IF(ARBITRAGES!$H396="RAY",S395+ARBITRAGES!$K396,S395))</f>
        <v/>
      </c>
      <c r="T396" s="360"/>
      <c r="U396" s="360"/>
      <c r="V396" s="360"/>
      <c r="W396" s="360"/>
      <c r="X396" s="360"/>
      <c r="Y396" s="360"/>
      <c r="Z396" s="360"/>
      <c r="AA396" s="360"/>
      <c r="AB396" s="360"/>
      <c r="AC396" s="360"/>
      <c r="AD396" s="360"/>
      <c r="AE396" s="360"/>
      <c r="AF396" s="360"/>
      <c r="AG396" s="360"/>
      <c r="AH396" s="360"/>
    </row>
    <row r="397" ht="18.75" customHeight="1">
      <c r="A397" s="399"/>
      <c r="B397" s="375" t="str">
        <f>IF(A397="","", IF(ARBITRAGES!$H397="BTC",B396+ARBITRAGES!$K397,B396))</f>
        <v/>
      </c>
      <c r="C397" s="375" t="str">
        <f>IF(B397="","", IF(ARBITRAGES!$H397="eth",C396+ARBITRAGES!$K397,C396))</f>
        <v/>
      </c>
      <c r="D397" s="376" t="str">
        <f>IF(C397="","", IF(ARBITRAGES!$H397="ondo",D396+ARBITRAGES!$K397,D396))</f>
        <v/>
      </c>
      <c r="E397" s="376" t="str">
        <f>IF(D397="","", IF(ARBITRAGES!$H397="sol",E396+ARBITRAGES!$K397,E396))</f>
        <v/>
      </c>
      <c r="F397" s="377" t="str">
        <f>IF(E397="","", IF(ARBITRAGES!$H397="tao",F396+ARBITRAGES!$K397,F396))</f>
        <v/>
      </c>
      <c r="G397" s="378" t="str">
        <f>IF(F397="","", IF(ARBITRAGES!$H397="ron",G396+ARBITRAGES!$K397,G396))</f>
        <v/>
      </c>
      <c r="H397" s="378" t="str">
        <f>IF(G397="","", IF(ARBITRAGES!$H397="link",H396+ARBITRAGES!$K397,H396))</f>
        <v/>
      </c>
      <c r="I397" s="378" t="str">
        <f>IF(H397="","", IF(ARBITRAGES!$H397="doge",I396+ARBITRAGES!$K397,I396))</f>
        <v/>
      </c>
      <c r="J397" s="378" t="str">
        <f>IF(I397="","", IF(ARBITRAGES!$H397="shib",J396-ARBITRAGES!$K397,J396))</f>
        <v/>
      </c>
      <c r="K397" s="378" t="str">
        <f>IF(J397="","", IF(ARBITRAGES!$H397="cake",K396+ARBITRAGES!$K397,K396))</f>
        <v/>
      </c>
      <c r="L397" s="378" t="str">
        <f>IF(K397="","", IF(ARBITRAGES!$H397="JUP",L396+ARBITRAGES!$K397,L396))</f>
        <v/>
      </c>
      <c r="M397" s="376" t="str">
        <f>IF(L397="","", IF(ARBITRAGES!$H397="aave",M396+ARBITRAGES!$K397,M396))</f>
        <v/>
      </c>
      <c r="N397" s="378" t="str">
        <f>IF(M397="","", IF(ARBITRAGES!$H397="ckb",N396+ARBITRAGES!$K397,N396))</f>
        <v/>
      </c>
      <c r="O397" s="378" t="str">
        <f>IF(N397="","", IF(ARBITRAGES!$H397="pendle",O396-ARBITRAGES!$K397+0.1,O396))</f>
        <v/>
      </c>
      <c r="P397" s="378" t="str">
        <f>IF(O397="","", IF(ARBITRAGES!$H397="BOME",P396+ARBITRAGES!$K397,P396))</f>
        <v/>
      </c>
      <c r="Q397" s="378" t="str">
        <f>IF(P397="","", IF(ARBITRAGES!$H397="PEPE",Q396+ARBITRAGES!$K397,Q396))</f>
        <v/>
      </c>
      <c r="R397" s="378" t="str">
        <f>IF(Q397="","", IF(ARBITRAGES!$H397="WIF",R396+ARBITRAGES!$K397,R396))</f>
        <v/>
      </c>
      <c r="S397" s="378" t="str">
        <f>IF(R397="","", IF(ARBITRAGES!$H397="RAY",S396+ARBITRAGES!$K397,S396))</f>
        <v/>
      </c>
      <c r="T397" s="360"/>
      <c r="U397" s="360"/>
      <c r="V397" s="360"/>
      <c r="W397" s="360"/>
      <c r="X397" s="360"/>
      <c r="Y397" s="360"/>
      <c r="Z397" s="360"/>
      <c r="AA397" s="360"/>
      <c r="AB397" s="360"/>
      <c r="AC397" s="360"/>
      <c r="AD397" s="360"/>
      <c r="AE397" s="360"/>
      <c r="AF397" s="360"/>
      <c r="AG397" s="360"/>
      <c r="AH397" s="360"/>
    </row>
    <row r="398" ht="18.75" customHeight="1">
      <c r="A398" s="399"/>
      <c r="B398" s="375" t="str">
        <f>IF(A398="","", IF(ARBITRAGES!$H398="BTC",B397+ARBITRAGES!$K398,B397))</f>
        <v/>
      </c>
      <c r="C398" s="375" t="str">
        <f>IF(B398="","", IF(ARBITRAGES!$H398="eth",C397+ARBITRAGES!$K398,C397))</f>
        <v/>
      </c>
      <c r="D398" s="376" t="str">
        <f>IF(C398="","", IF(ARBITRAGES!$H398="ondo",D397+ARBITRAGES!$K398,D397))</f>
        <v/>
      </c>
      <c r="E398" s="376" t="str">
        <f>IF(D398="","", IF(ARBITRAGES!$H398="sol",E397+ARBITRAGES!$K398,E397))</f>
        <v/>
      </c>
      <c r="F398" s="377" t="str">
        <f>IF(E398="","", IF(ARBITRAGES!$H398="tao",F397+ARBITRAGES!$K398,F397))</f>
        <v/>
      </c>
      <c r="G398" s="378" t="str">
        <f>IF(F398="","", IF(ARBITRAGES!$H398="ron",G397+ARBITRAGES!$K398,G397))</f>
        <v/>
      </c>
      <c r="H398" s="378" t="str">
        <f>IF(G398="","", IF(ARBITRAGES!$H398="link",H397+ARBITRAGES!$K398,H397))</f>
        <v/>
      </c>
      <c r="I398" s="378" t="str">
        <f>IF(H398="","", IF(ARBITRAGES!$H398="doge",I397+ARBITRAGES!$K398,I397))</f>
        <v/>
      </c>
      <c r="J398" s="378" t="str">
        <f>IF(I398="","", IF(ARBITRAGES!$H398="shib",J397-ARBITRAGES!$K398,J397))</f>
        <v/>
      </c>
      <c r="K398" s="378" t="str">
        <f>IF(J398="","", IF(ARBITRAGES!$H398="cake",K397+ARBITRAGES!$K398,K397))</f>
        <v/>
      </c>
      <c r="L398" s="378" t="str">
        <f>IF(K398="","", IF(ARBITRAGES!$H398="JUP",L397+ARBITRAGES!$K398,L397))</f>
        <v/>
      </c>
      <c r="M398" s="376" t="str">
        <f>IF(L398="","", IF(ARBITRAGES!$H398="aave",M397+ARBITRAGES!$K398,M397))</f>
        <v/>
      </c>
      <c r="N398" s="378" t="str">
        <f>IF(M398="","", IF(ARBITRAGES!$H398="ckb",N397+ARBITRAGES!$K398,N397))</f>
        <v/>
      </c>
      <c r="O398" s="378" t="str">
        <f>IF(N398="","", IF(ARBITRAGES!$H398="pendle",O397-ARBITRAGES!$K398+0.1,O397))</f>
        <v/>
      </c>
      <c r="P398" s="378" t="str">
        <f>IF(O398="","", IF(ARBITRAGES!$H398="BOME",P397+ARBITRAGES!$K398,P397))</f>
        <v/>
      </c>
      <c r="Q398" s="378" t="str">
        <f>IF(P398="","", IF(ARBITRAGES!$H398="PEPE",Q397+ARBITRAGES!$K398,Q397))</f>
        <v/>
      </c>
      <c r="R398" s="378" t="str">
        <f>IF(Q398="","", IF(ARBITRAGES!$H398="WIF",R397+ARBITRAGES!$K398,R397))</f>
        <v/>
      </c>
      <c r="S398" s="378" t="str">
        <f>IF(R398="","", IF(ARBITRAGES!$H398="RAY",S397+ARBITRAGES!$K398,S397))</f>
        <v/>
      </c>
      <c r="T398" s="360"/>
      <c r="U398" s="360"/>
      <c r="V398" s="360"/>
      <c r="W398" s="360"/>
      <c r="X398" s="360"/>
      <c r="Y398" s="360"/>
      <c r="Z398" s="360"/>
      <c r="AA398" s="360"/>
      <c r="AB398" s="360"/>
      <c r="AC398" s="360"/>
      <c r="AD398" s="360"/>
      <c r="AE398" s="360"/>
      <c r="AF398" s="360"/>
      <c r="AG398" s="360"/>
      <c r="AH398" s="360"/>
    </row>
    <row r="399" ht="18.75" customHeight="1">
      <c r="A399" s="399"/>
      <c r="B399" s="375" t="str">
        <f>IF(A399="","", IF(ARBITRAGES!$H399="BTC",B398+ARBITRAGES!$K399,B398))</f>
        <v/>
      </c>
      <c r="C399" s="375" t="str">
        <f>IF(B399="","", IF(ARBITRAGES!$H399="eth",C398+ARBITRAGES!$K399,C398))</f>
        <v/>
      </c>
      <c r="D399" s="376" t="str">
        <f>IF(C399="","", IF(ARBITRAGES!$H399="ondo",D398+ARBITRAGES!$K399,D398))</f>
        <v/>
      </c>
      <c r="E399" s="376" t="str">
        <f>IF(D399="","", IF(ARBITRAGES!$H399="sol",E398+ARBITRAGES!$K399,E398))</f>
        <v/>
      </c>
      <c r="F399" s="377" t="str">
        <f>IF(E399="","", IF(ARBITRAGES!$H399="tao",F398+ARBITRAGES!$K399,F398))</f>
        <v/>
      </c>
      <c r="G399" s="378" t="str">
        <f>IF(F399="","", IF(ARBITRAGES!$H399="ron",G398+ARBITRAGES!$K399,G398))</f>
        <v/>
      </c>
      <c r="H399" s="378" t="str">
        <f>IF(G399="","", IF(ARBITRAGES!$H399="link",H398+ARBITRAGES!$K399,H398))</f>
        <v/>
      </c>
      <c r="I399" s="378" t="str">
        <f>IF(H399="","", IF(ARBITRAGES!$H399="doge",I398+ARBITRAGES!$K399,I398))</f>
        <v/>
      </c>
      <c r="J399" s="378" t="str">
        <f>IF(I399="","", IF(ARBITRAGES!$H399="shib",J398-ARBITRAGES!$K399,J398))</f>
        <v/>
      </c>
      <c r="K399" s="378" t="str">
        <f>IF(J399="","", IF(ARBITRAGES!$H399="cake",K398+ARBITRAGES!$K399,K398))</f>
        <v/>
      </c>
      <c r="L399" s="378" t="str">
        <f>IF(K399="","", IF(ARBITRAGES!$H399="JUP",L398+ARBITRAGES!$K399,L398))</f>
        <v/>
      </c>
      <c r="M399" s="376" t="str">
        <f>IF(L399="","", IF(ARBITRAGES!$H399="aave",M398+ARBITRAGES!$K399,M398))</f>
        <v/>
      </c>
      <c r="N399" s="378" t="str">
        <f>IF(M399="","", IF(ARBITRAGES!$H399="ckb",N398+ARBITRAGES!$K399,N398))</f>
        <v/>
      </c>
      <c r="O399" s="378" t="str">
        <f>IF(N399="","", IF(ARBITRAGES!$H399="pendle",O398-ARBITRAGES!$K399+0.1,O398))</f>
        <v/>
      </c>
      <c r="P399" s="378" t="str">
        <f>IF(O399="","", IF(ARBITRAGES!$H399="BOME",P398+ARBITRAGES!$K399,P398))</f>
        <v/>
      </c>
      <c r="Q399" s="378" t="str">
        <f>IF(P399="","", IF(ARBITRAGES!$H399="PEPE",Q398+ARBITRAGES!$K399,Q398))</f>
        <v/>
      </c>
      <c r="R399" s="378" t="str">
        <f>IF(Q399="","", IF(ARBITRAGES!$H399="WIF",R398+ARBITRAGES!$K399,R398))</f>
        <v/>
      </c>
      <c r="S399" s="378" t="str">
        <f>IF(R399="","", IF(ARBITRAGES!$H399="RAY",S398+ARBITRAGES!$K399,S398))</f>
        <v/>
      </c>
      <c r="T399" s="360"/>
      <c r="U399" s="360"/>
      <c r="V399" s="360"/>
      <c r="W399" s="360"/>
      <c r="X399" s="360"/>
      <c r="Y399" s="360"/>
      <c r="Z399" s="360"/>
      <c r="AA399" s="360"/>
      <c r="AB399" s="360"/>
      <c r="AC399" s="360"/>
      <c r="AD399" s="360"/>
      <c r="AE399" s="360"/>
      <c r="AF399" s="360"/>
      <c r="AG399" s="360"/>
      <c r="AH399" s="360"/>
    </row>
    <row r="400" ht="18.75" customHeight="1">
      <c r="A400" s="399"/>
      <c r="B400" s="375" t="str">
        <f>IF(A400="","", IF(ARBITRAGES!$H400="BTC",B399+ARBITRAGES!$K400,B399))</f>
        <v/>
      </c>
      <c r="C400" s="375" t="str">
        <f>IF(B400="","", IF(ARBITRAGES!$H400="eth",C399+ARBITRAGES!$K400,C399))</f>
        <v/>
      </c>
      <c r="D400" s="376" t="str">
        <f>IF(C400="","", IF(ARBITRAGES!$H400="ondo",D399+ARBITRAGES!$K400,D399))</f>
        <v/>
      </c>
      <c r="E400" s="376" t="str">
        <f>IF(D400="","", IF(ARBITRAGES!$H400="sol",E399+ARBITRAGES!$K400,E399))</f>
        <v/>
      </c>
      <c r="F400" s="377" t="str">
        <f>IF(E400="","", IF(ARBITRAGES!$H400="tao",F399+ARBITRAGES!$K400,F399))</f>
        <v/>
      </c>
      <c r="G400" s="378" t="str">
        <f>IF(F400="","", IF(ARBITRAGES!$H400="ron",G399+ARBITRAGES!$K400,G399))</f>
        <v/>
      </c>
      <c r="H400" s="378" t="str">
        <f>IF(G400="","", IF(ARBITRAGES!$H400="link",H399+ARBITRAGES!$K400,H399))</f>
        <v/>
      </c>
      <c r="I400" s="378" t="str">
        <f>IF(H400="","", IF(ARBITRAGES!$H400="doge",I399+ARBITRAGES!$K400,I399))</f>
        <v/>
      </c>
      <c r="J400" s="378" t="str">
        <f>IF(I400="","", IF(ARBITRAGES!$H400="shib",J399-ARBITRAGES!$K400,J399))</f>
        <v/>
      </c>
      <c r="K400" s="378" t="str">
        <f>IF(J400="","", IF(ARBITRAGES!$H400="cake",K399+ARBITRAGES!$K400,K399))</f>
        <v/>
      </c>
      <c r="L400" s="378" t="str">
        <f>IF(K400="","", IF(ARBITRAGES!$H400="JUP",L399+ARBITRAGES!$K400,L399))</f>
        <v/>
      </c>
      <c r="M400" s="376" t="str">
        <f>IF(L400="","", IF(ARBITRAGES!$H400="aave",M399+ARBITRAGES!$K400,M399))</f>
        <v/>
      </c>
      <c r="N400" s="378" t="str">
        <f>IF(M400="","", IF(ARBITRAGES!$H400="ckb",N399+ARBITRAGES!$K400,N399))</f>
        <v/>
      </c>
      <c r="O400" s="378" t="str">
        <f>IF(N400="","", IF(ARBITRAGES!$H400="pendle",O399-ARBITRAGES!$K400+0.1,O399))</f>
        <v/>
      </c>
      <c r="P400" s="378" t="str">
        <f>IF(O400="","", IF(ARBITRAGES!$H400="BOME",P399+ARBITRAGES!$K400,P399))</f>
        <v/>
      </c>
      <c r="Q400" s="378" t="str">
        <f>IF(P400="","", IF(ARBITRAGES!$H400="PEPE",Q399+ARBITRAGES!$K400,Q399))</f>
        <v/>
      </c>
      <c r="R400" s="378" t="str">
        <f>IF(Q400="","", IF(ARBITRAGES!$H400="WIF",R399+ARBITRAGES!$K400,R399))</f>
        <v/>
      </c>
      <c r="S400" s="378" t="str">
        <f>IF(R400="","", IF(ARBITRAGES!$H400="RAY",S399+ARBITRAGES!$K400,S399))</f>
        <v/>
      </c>
      <c r="T400" s="360"/>
      <c r="U400" s="360"/>
      <c r="V400" s="360"/>
      <c r="W400" s="360"/>
      <c r="X400" s="360"/>
      <c r="Y400" s="360"/>
      <c r="Z400" s="360"/>
      <c r="AA400" s="360"/>
      <c r="AB400" s="360"/>
      <c r="AC400" s="360"/>
      <c r="AD400" s="360"/>
      <c r="AE400" s="360"/>
      <c r="AF400" s="360"/>
      <c r="AG400" s="360"/>
      <c r="AH400" s="360"/>
    </row>
    <row r="401" ht="18.75" customHeight="1">
      <c r="A401" s="399"/>
      <c r="B401" s="375" t="str">
        <f>IF(A401="","", IF(ARBITRAGES!$H401="BTC",B400+ARBITRAGES!$K401,B400))</f>
        <v/>
      </c>
      <c r="C401" s="375" t="str">
        <f>IF(B401="","", IF(ARBITRAGES!$H401="eth",C400+ARBITRAGES!$K401,C400))</f>
        <v/>
      </c>
      <c r="D401" s="376" t="str">
        <f>IF(C401="","", IF(ARBITRAGES!$H401="ondo",D400+ARBITRAGES!$K401,D400))</f>
        <v/>
      </c>
      <c r="E401" s="376" t="str">
        <f>IF(D401="","", IF(ARBITRAGES!$H401="sol",E400+ARBITRAGES!$K401,E400))</f>
        <v/>
      </c>
      <c r="F401" s="377" t="str">
        <f>IF(E401="","", IF(ARBITRAGES!$H401="tao",F400+ARBITRAGES!$K401,F400))</f>
        <v/>
      </c>
      <c r="G401" s="378" t="str">
        <f>IF(F401="","", IF(ARBITRAGES!$H401="ron",G400+ARBITRAGES!$K401,G400))</f>
        <v/>
      </c>
      <c r="H401" s="378" t="str">
        <f>IF(G401="","", IF(ARBITRAGES!$H401="link",H400+ARBITRAGES!$K401,H400))</f>
        <v/>
      </c>
      <c r="I401" s="378" t="str">
        <f>IF(H401="","", IF(ARBITRAGES!$H401="doge",I400+ARBITRAGES!$K401,I400))</f>
        <v/>
      </c>
      <c r="J401" s="378" t="str">
        <f>IF(I401="","", IF(ARBITRAGES!$H401="shib",J400-ARBITRAGES!$K401,J400))</f>
        <v/>
      </c>
      <c r="K401" s="378" t="str">
        <f>IF(J401="","", IF(ARBITRAGES!$H401="cake",K400+ARBITRAGES!$K401,K400))</f>
        <v/>
      </c>
      <c r="L401" s="378" t="str">
        <f>IF(K401="","", IF(ARBITRAGES!$H401="JUP",L400+ARBITRAGES!$K401,L400))</f>
        <v/>
      </c>
      <c r="M401" s="376" t="str">
        <f>IF(L401="","", IF(ARBITRAGES!$H401="aave",M400+ARBITRAGES!$K401,M400))</f>
        <v/>
      </c>
      <c r="N401" s="378" t="str">
        <f>IF(M401="","", IF(ARBITRAGES!$H401="ckb",N400+ARBITRAGES!$K401,N400))</f>
        <v/>
      </c>
      <c r="O401" s="378" t="str">
        <f>IF(N401="","", IF(ARBITRAGES!$H401="pendle",O400-ARBITRAGES!$K401+0.1,O400))</f>
        <v/>
      </c>
      <c r="P401" s="378" t="str">
        <f>IF(O401="","", IF(ARBITRAGES!$H401="BOME",P400+ARBITRAGES!$K401,P400))</f>
        <v/>
      </c>
      <c r="Q401" s="378" t="str">
        <f>IF(P401="","", IF(ARBITRAGES!$H401="PEPE",Q400+ARBITRAGES!$K401,Q400))</f>
        <v/>
      </c>
      <c r="R401" s="378" t="str">
        <f>IF(Q401="","", IF(ARBITRAGES!$H401="WIF",R400+ARBITRAGES!$K401,R400))</f>
        <v/>
      </c>
      <c r="S401" s="378" t="str">
        <f>IF(R401="","", IF(ARBITRAGES!$H401="RAY",S400+ARBITRAGES!$K401,S400))</f>
        <v/>
      </c>
      <c r="T401" s="360"/>
      <c r="U401" s="360"/>
      <c r="V401" s="360"/>
      <c r="W401" s="360"/>
      <c r="X401" s="360"/>
      <c r="Y401" s="360"/>
      <c r="Z401" s="360"/>
      <c r="AA401" s="360"/>
      <c r="AB401" s="360"/>
      <c r="AC401" s="360"/>
      <c r="AD401" s="360"/>
      <c r="AE401" s="360"/>
      <c r="AF401" s="360"/>
      <c r="AG401" s="360"/>
      <c r="AH401" s="360"/>
    </row>
    <row r="402" ht="18.75" customHeight="1">
      <c r="A402" s="399"/>
      <c r="B402" s="375" t="str">
        <f>IF(A402="","", IF(ARBITRAGES!$H402="BTC",B401+ARBITRAGES!$K402,B401))</f>
        <v/>
      </c>
      <c r="C402" s="375" t="str">
        <f>IF(B402="","", IF(ARBITRAGES!$H402="eth",C401+ARBITRAGES!$K402,C401))</f>
        <v/>
      </c>
      <c r="D402" s="376" t="str">
        <f>IF(C402="","", IF(ARBITRAGES!$H402="ondo",D401+ARBITRAGES!$K402,D401))</f>
        <v/>
      </c>
      <c r="E402" s="376" t="str">
        <f>IF(D402="","", IF(ARBITRAGES!$H402="sol",E401+ARBITRAGES!$K402,E401))</f>
        <v/>
      </c>
      <c r="F402" s="377" t="str">
        <f>IF(E402="","", IF(ARBITRAGES!$H402="tao",F401+ARBITRAGES!$K402,F401))</f>
        <v/>
      </c>
      <c r="G402" s="378" t="str">
        <f>IF(F402="","", IF(ARBITRAGES!$H402="ron",G401+ARBITRAGES!$K402,G401))</f>
        <v/>
      </c>
      <c r="H402" s="378" t="str">
        <f>IF(G402="","", IF(ARBITRAGES!$H402="link",H401+ARBITRAGES!$K402,H401))</f>
        <v/>
      </c>
      <c r="I402" s="378" t="str">
        <f>IF(H402="","", IF(ARBITRAGES!$H402="doge",I401+ARBITRAGES!$K402,I401))</f>
        <v/>
      </c>
      <c r="J402" s="378" t="str">
        <f>IF(I402="","", IF(ARBITRAGES!$H402="shib",J401-ARBITRAGES!$K402,J401))</f>
        <v/>
      </c>
      <c r="K402" s="378" t="str">
        <f>IF(J402="","", IF(ARBITRAGES!$H402="cake",K401+ARBITRAGES!$K402,K401))</f>
        <v/>
      </c>
      <c r="L402" s="378" t="str">
        <f>IF(K402="","", IF(ARBITRAGES!$H402="JUP",L401+ARBITRAGES!$K402,L401))</f>
        <v/>
      </c>
      <c r="M402" s="376" t="str">
        <f>IF(L402="","", IF(ARBITRAGES!$H402="aave",M401+ARBITRAGES!$K402,M401))</f>
        <v/>
      </c>
      <c r="N402" s="378" t="str">
        <f>IF(M402="","", IF(ARBITRAGES!$H402="ckb",N401+ARBITRAGES!$K402,N401))</f>
        <v/>
      </c>
      <c r="O402" s="378" t="str">
        <f>IF(N402="","", IF(ARBITRAGES!$H402="pendle",O401-ARBITRAGES!$K402+0.1,O401))</f>
        <v/>
      </c>
      <c r="P402" s="378" t="str">
        <f>IF(O402="","", IF(ARBITRAGES!$H402="BOME",P401+ARBITRAGES!$K402,P401))</f>
        <v/>
      </c>
      <c r="Q402" s="378" t="str">
        <f>IF(P402="","", IF(ARBITRAGES!$H402="PEPE",Q401+ARBITRAGES!$K402,Q401))</f>
        <v/>
      </c>
      <c r="R402" s="378" t="str">
        <f>IF(Q402="","", IF(ARBITRAGES!$H402="WIF",R401+ARBITRAGES!$K402,R401))</f>
        <v/>
      </c>
      <c r="S402" s="378" t="str">
        <f>IF(R402="","", IF(ARBITRAGES!$H402="RAY",S401+ARBITRAGES!$K402,S401))</f>
        <v/>
      </c>
      <c r="T402" s="360"/>
      <c r="U402" s="360"/>
      <c r="V402" s="360"/>
      <c r="W402" s="360"/>
      <c r="X402" s="360"/>
      <c r="Y402" s="360"/>
      <c r="Z402" s="360"/>
      <c r="AA402" s="360"/>
      <c r="AB402" s="360"/>
      <c r="AC402" s="360"/>
      <c r="AD402" s="360"/>
      <c r="AE402" s="360"/>
      <c r="AF402" s="360"/>
      <c r="AG402" s="360"/>
      <c r="AH402" s="360"/>
    </row>
    <row r="403" ht="18.75" customHeight="1">
      <c r="A403" s="399"/>
      <c r="B403" s="375" t="str">
        <f>IF(A403="","", IF(ARBITRAGES!$H403="BTC",B402+ARBITRAGES!$K403,B402))</f>
        <v/>
      </c>
      <c r="C403" s="375" t="str">
        <f>IF(B403="","", IF(ARBITRAGES!$H403="eth",C402+ARBITRAGES!$K403,C402))</f>
        <v/>
      </c>
      <c r="D403" s="376" t="str">
        <f>IF(C403="","", IF(ARBITRAGES!$H403="ondo",D402+ARBITRAGES!$K403,D402))</f>
        <v/>
      </c>
      <c r="E403" s="376" t="str">
        <f>IF(D403="","", IF(ARBITRAGES!$H403="sol",E402+ARBITRAGES!$K403,E402))</f>
        <v/>
      </c>
      <c r="F403" s="377" t="str">
        <f>IF(E403="","", IF(ARBITRAGES!$H403="tao",F402+ARBITRAGES!$K403,F402))</f>
        <v/>
      </c>
      <c r="G403" s="378" t="str">
        <f>IF(F403="","", IF(ARBITRAGES!$H403="ron",G402+ARBITRAGES!$K403,G402))</f>
        <v/>
      </c>
      <c r="H403" s="378" t="str">
        <f>IF(G403="","", IF(ARBITRAGES!$H403="link",H402+ARBITRAGES!$K403,H402))</f>
        <v/>
      </c>
      <c r="I403" s="378" t="str">
        <f>IF(H403="","", IF(ARBITRAGES!$H403="doge",I402+ARBITRAGES!$K403,I402))</f>
        <v/>
      </c>
      <c r="J403" s="378" t="str">
        <f>IF(I403="","", IF(ARBITRAGES!$H403="shib",J402-ARBITRAGES!$K403,J402))</f>
        <v/>
      </c>
      <c r="K403" s="378" t="str">
        <f>IF(J403="","", IF(ARBITRAGES!$H403="cake",K402+ARBITRAGES!$K403,K402))</f>
        <v/>
      </c>
      <c r="L403" s="378" t="str">
        <f>IF(K403="","", IF(ARBITRAGES!$H403="JUP",L402+ARBITRAGES!$K403,L402))</f>
        <v/>
      </c>
      <c r="M403" s="376" t="str">
        <f>IF(L403="","", IF(ARBITRAGES!$H403="aave",M402+ARBITRAGES!$K403,M402))</f>
        <v/>
      </c>
      <c r="N403" s="378" t="str">
        <f>IF(M403="","", IF(ARBITRAGES!$H403="ckb",N402+ARBITRAGES!$K403,N402))</f>
        <v/>
      </c>
      <c r="O403" s="378" t="str">
        <f>IF(N403="","", IF(ARBITRAGES!$H403="pendle",O402-ARBITRAGES!$K403+0.1,O402))</f>
        <v/>
      </c>
      <c r="P403" s="378" t="str">
        <f>IF(O403="","", IF(ARBITRAGES!$H403="BOME",P402+ARBITRAGES!$K403,P402))</f>
        <v/>
      </c>
      <c r="Q403" s="378" t="str">
        <f>IF(P403="","", IF(ARBITRAGES!$H403="PEPE",Q402+ARBITRAGES!$K403,Q402))</f>
        <v/>
      </c>
      <c r="R403" s="378" t="str">
        <f>IF(Q403="","", IF(ARBITRAGES!$H403="WIF",R402+ARBITRAGES!$K403,R402))</f>
        <v/>
      </c>
      <c r="S403" s="378" t="str">
        <f>IF(R403="","", IF(ARBITRAGES!$H403="RAY",S402+ARBITRAGES!$K403,S402))</f>
        <v/>
      </c>
      <c r="T403" s="360"/>
      <c r="U403" s="360"/>
      <c r="V403" s="360"/>
      <c r="W403" s="360"/>
      <c r="X403" s="360"/>
      <c r="Y403" s="360"/>
      <c r="Z403" s="360"/>
      <c r="AA403" s="360"/>
      <c r="AB403" s="360"/>
      <c r="AC403" s="360"/>
      <c r="AD403" s="360"/>
      <c r="AE403" s="360"/>
      <c r="AF403" s="360"/>
      <c r="AG403" s="360"/>
      <c r="AH403" s="360"/>
    </row>
    <row r="404" ht="18.75" customHeight="1">
      <c r="A404" s="399"/>
      <c r="B404" s="375" t="str">
        <f>IF(A404="","", IF(ARBITRAGES!$H404="BTC",B403+ARBITRAGES!$K404,B403))</f>
        <v/>
      </c>
      <c r="C404" s="375" t="str">
        <f>IF(B404="","", IF(ARBITRAGES!$H404="eth",C403+ARBITRAGES!$K404,C403))</f>
        <v/>
      </c>
      <c r="D404" s="376" t="str">
        <f>IF(C404="","", IF(ARBITRAGES!$H404="ondo",D403+ARBITRAGES!$K404,D403))</f>
        <v/>
      </c>
      <c r="E404" s="376" t="str">
        <f>IF(D404="","", IF(ARBITRAGES!$H404="sol",E403+ARBITRAGES!$K404,E403))</f>
        <v/>
      </c>
      <c r="F404" s="377" t="str">
        <f>IF(E404="","", IF(ARBITRAGES!$H404="tao",F403+ARBITRAGES!$K404,F403))</f>
        <v/>
      </c>
      <c r="G404" s="378" t="str">
        <f>IF(F404="","", IF(ARBITRAGES!$H404="ron",G403+ARBITRAGES!$K404,G403))</f>
        <v/>
      </c>
      <c r="H404" s="378" t="str">
        <f>IF(G404="","", IF(ARBITRAGES!$H404="link",H403+ARBITRAGES!$K404,H403))</f>
        <v/>
      </c>
      <c r="I404" s="378" t="str">
        <f>IF(H404="","", IF(ARBITRAGES!$H404="doge",I403+ARBITRAGES!$K404,I403))</f>
        <v/>
      </c>
      <c r="J404" s="378" t="str">
        <f>IF(I404="","", IF(ARBITRAGES!$H404="shib",J403-ARBITRAGES!$K404,J403))</f>
        <v/>
      </c>
      <c r="K404" s="378" t="str">
        <f>IF(J404="","", IF(ARBITRAGES!$H404="cake",K403+ARBITRAGES!$K404,K403))</f>
        <v/>
      </c>
      <c r="L404" s="378" t="str">
        <f>IF(K404="","", IF(ARBITRAGES!$H404="JUP",L403+ARBITRAGES!$K404,L403))</f>
        <v/>
      </c>
      <c r="M404" s="376" t="str">
        <f>IF(L404="","", IF(ARBITRAGES!$H404="aave",M403+ARBITRAGES!$K404,M403))</f>
        <v/>
      </c>
      <c r="N404" s="378" t="str">
        <f>IF(M404="","", IF(ARBITRAGES!$H404="ckb",N403+ARBITRAGES!$K404,N403))</f>
        <v/>
      </c>
      <c r="O404" s="378" t="str">
        <f>IF(N404="","", IF(ARBITRAGES!$H404="pendle",O403-ARBITRAGES!$K404+0.1,O403))</f>
        <v/>
      </c>
      <c r="P404" s="378" t="str">
        <f>IF(O404="","", IF(ARBITRAGES!$H404="BOME",P403+ARBITRAGES!$K404,P403))</f>
        <v/>
      </c>
      <c r="Q404" s="378" t="str">
        <f>IF(P404="","", IF(ARBITRAGES!$H404="PEPE",Q403+ARBITRAGES!$K404,Q403))</f>
        <v/>
      </c>
      <c r="R404" s="378" t="str">
        <f>IF(Q404="","", IF(ARBITRAGES!$H404="WIF",R403+ARBITRAGES!$K404,R403))</f>
        <v/>
      </c>
      <c r="S404" s="378" t="str">
        <f>IF(R404="","", IF(ARBITRAGES!$H404="RAY",S403+ARBITRAGES!$K404,S403))</f>
        <v/>
      </c>
      <c r="T404" s="360"/>
      <c r="U404" s="360"/>
      <c r="V404" s="360"/>
      <c r="W404" s="360"/>
      <c r="X404" s="360"/>
      <c r="Y404" s="360"/>
      <c r="Z404" s="360"/>
      <c r="AA404" s="360"/>
      <c r="AB404" s="360"/>
      <c r="AC404" s="360"/>
      <c r="AD404" s="360"/>
      <c r="AE404" s="360"/>
      <c r="AF404" s="360"/>
      <c r="AG404" s="360"/>
      <c r="AH404" s="360"/>
    </row>
    <row r="405" ht="18.75" customHeight="1">
      <c r="A405" s="399"/>
      <c r="B405" s="375" t="str">
        <f>IF(A405="","", IF(ARBITRAGES!$H405="BTC",B404+ARBITRAGES!$K405,B404))</f>
        <v/>
      </c>
      <c r="C405" s="375" t="str">
        <f>IF(B405="","", IF(ARBITRAGES!$H405="eth",C404+ARBITRAGES!$K405,C404))</f>
        <v/>
      </c>
      <c r="D405" s="376" t="str">
        <f>IF(C405="","", IF(ARBITRAGES!$H405="ondo",D404+ARBITRAGES!$K405,D404))</f>
        <v/>
      </c>
      <c r="E405" s="376" t="str">
        <f>IF(D405="","", IF(ARBITRAGES!$H405="sol",E404+ARBITRAGES!$K405,E404))</f>
        <v/>
      </c>
      <c r="F405" s="377" t="str">
        <f>IF(E405="","", IF(ARBITRAGES!$H405="tao",F404+ARBITRAGES!$K405,F404))</f>
        <v/>
      </c>
      <c r="G405" s="378" t="str">
        <f>IF(F405="","", IF(ARBITRAGES!$H405="ron",G404+ARBITRAGES!$K405,G404))</f>
        <v/>
      </c>
      <c r="H405" s="378" t="str">
        <f>IF(G405="","", IF(ARBITRAGES!$H405="link",H404+ARBITRAGES!$K405,H404))</f>
        <v/>
      </c>
      <c r="I405" s="378" t="str">
        <f>IF(H405="","", IF(ARBITRAGES!$H405="doge",I404+ARBITRAGES!$K405,I404))</f>
        <v/>
      </c>
      <c r="J405" s="378" t="str">
        <f>IF(I405="","", IF(ARBITRAGES!$H405="shib",J404-ARBITRAGES!$K405,J404))</f>
        <v/>
      </c>
      <c r="K405" s="378" t="str">
        <f>IF(J405="","", IF(ARBITRAGES!$H405="cake",K404+ARBITRAGES!$K405,K404))</f>
        <v/>
      </c>
      <c r="L405" s="378" t="str">
        <f>IF(K405="","", IF(ARBITRAGES!$H405="JUP",L404+ARBITRAGES!$K405,L404))</f>
        <v/>
      </c>
      <c r="M405" s="376" t="str">
        <f>IF(L405="","", IF(ARBITRAGES!$H405="aave",M404+ARBITRAGES!$K405,M404))</f>
        <v/>
      </c>
      <c r="N405" s="378" t="str">
        <f>IF(M405="","", IF(ARBITRAGES!$H405="ckb",N404+ARBITRAGES!$K405,N404))</f>
        <v/>
      </c>
      <c r="O405" s="378" t="str">
        <f>IF(N405="","", IF(ARBITRAGES!$H405="pendle",O404-ARBITRAGES!$K405+0.1,O404))</f>
        <v/>
      </c>
      <c r="P405" s="378" t="str">
        <f>IF(O405="","", IF(ARBITRAGES!$H405="BOME",P404+ARBITRAGES!$K405,P404))</f>
        <v/>
      </c>
      <c r="Q405" s="378" t="str">
        <f>IF(P405="","", IF(ARBITRAGES!$H405="PEPE",Q404+ARBITRAGES!$K405,Q404))</f>
        <v/>
      </c>
      <c r="R405" s="378" t="str">
        <f>IF(Q405="","", IF(ARBITRAGES!$H405="WIF",R404+ARBITRAGES!$K405,R404))</f>
        <v/>
      </c>
      <c r="S405" s="378" t="str">
        <f>IF(R405="","", IF(ARBITRAGES!$H405="RAY",S404+ARBITRAGES!$K405,S404))</f>
        <v/>
      </c>
      <c r="T405" s="360"/>
      <c r="U405" s="360"/>
      <c r="V405" s="360"/>
      <c r="W405" s="360"/>
      <c r="X405" s="360"/>
      <c r="Y405" s="360"/>
      <c r="Z405" s="360"/>
      <c r="AA405" s="360"/>
      <c r="AB405" s="360"/>
      <c r="AC405" s="360"/>
      <c r="AD405" s="360"/>
      <c r="AE405" s="360"/>
      <c r="AF405" s="360"/>
      <c r="AG405" s="360"/>
      <c r="AH405" s="360"/>
    </row>
    <row r="406" ht="18.75" customHeight="1">
      <c r="A406" s="399"/>
      <c r="B406" s="375" t="str">
        <f>IF(A406="","", IF(ARBITRAGES!$H406="BTC",B405+ARBITRAGES!$K406,B405))</f>
        <v/>
      </c>
      <c r="C406" s="375" t="str">
        <f>IF(B406="","", IF(ARBITRAGES!$H406="eth",C405+ARBITRAGES!$K406,C405))</f>
        <v/>
      </c>
      <c r="D406" s="376" t="str">
        <f>IF(C406="","", IF(ARBITRAGES!$H406="ondo",D405+ARBITRAGES!$K406,D405))</f>
        <v/>
      </c>
      <c r="E406" s="376" t="str">
        <f>IF(D406="","", IF(ARBITRAGES!$H406="sol",E405+ARBITRAGES!$K406,E405))</f>
        <v/>
      </c>
      <c r="F406" s="377" t="str">
        <f>IF(E406="","", IF(ARBITRAGES!$H406="tao",F405+ARBITRAGES!$K406,F405))</f>
        <v/>
      </c>
      <c r="G406" s="378" t="str">
        <f>IF(F406="","", IF(ARBITRAGES!$H406="ron",G405+ARBITRAGES!$K406,G405))</f>
        <v/>
      </c>
      <c r="H406" s="378" t="str">
        <f>IF(G406="","", IF(ARBITRAGES!$H406="link",H405+ARBITRAGES!$K406,H405))</f>
        <v/>
      </c>
      <c r="I406" s="378" t="str">
        <f>IF(H406="","", IF(ARBITRAGES!$H406="doge",I405+ARBITRAGES!$K406,I405))</f>
        <v/>
      </c>
      <c r="J406" s="378" t="str">
        <f>IF(I406="","", IF(ARBITRAGES!$H406="shib",J405-ARBITRAGES!$K406,J405))</f>
        <v/>
      </c>
      <c r="K406" s="378" t="str">
        <f>IF(J406="","", IF(ARBITRAGES!$H406="cake",K405+ARBITRAGES!$K406,K405))</f>
        <v/>
      </c>
      <c r="L406" s="378" t="str">
        <f>IF(K406="","", IF(ARBITRAGES!$H406="JUP",L405+ARBITRAGES!$K406,L405))</f>
        <v/>
      </c>
      <c r="M406" s="376" t="str">
        <f>IF(L406="","", IF(ARBITRAGES!$H406="aave",M405+ARBITRAGES!$K406,M405))</f>
        <v/>
      </c>
      <c r="N406" s="378" t="str">
        <f>IF(M406="","", IF(ARBITRAGES!$H406="ckb",N405+ARBITRAGES!$K406,N405))</f>
        <v/>
      </c>
      <c r="O406" s="378" t="str">
        <f>IF(N406="","", IF(ARBITRAGES!$H406="pendle",O405-ARBITRAGES!$K406+0.1,O405))</f>
        <v/>
      </c>
      <c r="P406" s="378" t="str">
        <f>IF(O406="","", IF(ARBITRAGES!$H406="BOME",P405+ARBITRAGES!$K406,P405))</f>
        <v/>
      </c>
      <c r="Q406" s="378" t="str">
        <f>IF(P406="","", IF(ARBITRAGES!$H406="PEPE",Q405+ARBITRAGES!$K406,Q405))</f>
        <v/>
      </c>
      <c r="R406" s="378" t="str">
        <f>IF(Q406="","", IF(ARBITRAGES!$H406="WIF",R405+ARBITRAGES!$K406,R405))</f>
        <v/>
      </c>
      <c r="S406" s="378" t="str">
        <f>IF(R406="","", IF(ARBITRAGES!$H406="RAY",S405+ARBITRAGES!$K406,S405))</f>
        <v/>
      </c>
      <c r="T406" s="360"/>
      <c r="U406" s="360"/>
      <c r="V406" s="360"/>
      <c r="W406" s="360"/>
      <c r="X406" s="360"/>
      <c r="Y406" s="360"/>
      <c r="Z406" s="360"/>
      <c r="AA406" s="360"/>
      <c r="AB406" s="360"/>
      <c r="AC406" s="360"/>
      <c r="AD406" s="360"/>
      <c r="AE406" s="360"/>
      <c r="AF406" s="360"/>
      <c r="AG406" s="360"/>
      <c r="AH406" s="360"/>
    </row>
    <row r="407" ht="18.75" customHeight="1">
      <c r="A407" s="399"/>
      <c r="B407" s="375" t="str">
        <f>IF(A407="","", IF(ARBITRAGES!$H407="BTC",B406+ARBITRAGES!$K407,B406))</f>
        <v/>
      </c>
      <c r="C407" s="375" t="str">
        <f>IF(B407="","", IF(ARBITRAGES!$H407="eth",C406+ARBITRAGES!$K407,C406))</f>
        <v/>
      </c>
      <c r="D407" s="376" t="str">
        <f>IF(C407="","", IF(ARBITRAGES!$H407="ondo",D406+ARBITRAGES!$K407,D406))</f>
        <v/>
      </c>
      <c r="E407" s="376" t="str">
        <f>IF(D407="","", IF(ARBITRAGES!$H407="sol",E406+ARBITRAGES!$K407,E406))</f>
        <v/>
      </c>
      <c r="F407" s="377" t="str">
        <f>IF(E407="","", IF(ARBITRAGES!$H407="tao",F406+ARBITRAGES!$K407,F406))</f>
        <v/>
      </c>
      <c r="G407" s="378" t="str">
        <f>IF(F407="","", IF(ARBITRAGES!$H407="ron",G406+ARBITRAGES!$K407,G406))</f>
        <v/>
      </c>
      <c r="H407" s="378" t="str">
        <f>IF(G407="","", IF(ARBITRAGES!$H407="link",H406+ARBITRAGES!$K407,H406))</f>
        <v/>
      </c>
      <c r="I407" s="378" t="str">
        <f>IF(H407="","", IF(ARBITRAGES!$H407="doge",I406+ARBITRAGES!$K407,I406))</f>
        <v/>
      </c>
      <c r="J407" s="378" t="str">
        <f>IF(I407="","", IF(ARBITRAGES!$H407="shib",J406-ARBITRAGES!$K407,J406))</f>
        <v/>
      </c>
      <c r="K407" s="378" t="str">
        <f>IF(J407="","", IF(ARBITRAGES!$H407="cake",K406+ARBITRAGES!$K407,K406))</f>
        <v/>
      </c>
      <c r="L407" s="378" t="str">
        <f>IF(K407="","", IF(ARBITRAGES!$H407="JUP",L406+ARBITRAGES!$K407,L406))</f>
        <v/>
      </c>
      <c r="M407" s="376" t="str">
        <f>IF(L407="","", IF(ARBITRAGES!$H407="aave",M406+ARBITRAGES!$K407,M406))</f>
        <v/>
      </c>
      <c r="N407" s="378" t="str">
        <f>IF(M407="","", IF(ARBITRAGES!$H407="ckb",N406+ARBITRAGES!$K407,N406))</f>
        <v/>
      </c>
      <c r="O407" s="378" t="str">
        <f>IF(N407="","", IF(ARBITRAGES!$H407="pendle",O406-ARBITRAGES!$K407+0.1,O406))</f>
        <v/>
      </c>
      <c r="P407" s="378" t="str">
        <f>IF(O407="","", IF(ARBITRAGES!$H407="BOME",P406+ARBITRAGES!$K407,P406))</f>
        <v/>
      </c>
      <c r="Q407" s="378" t="str">
        <f>IF(P407="","", IF(ARBITRAGES!$H407="PEPE",Q406+ARBITRAGES!$K407,Q406))</f>
        <v/>
      </c>
      <c r="R407" s="378" t="str">
        <f>IF(Q407="","", IF(ARBITRAGES!$H407="WIF",R406+ARBITRAGES!$K407,R406))</f>
        <v/>
      </c>
      <c r="S407" s="378" t="str">
        <f>IF(R407="","", IF(ARBITRAGES!$H407="RAY",S406+ARBITRAGES!$K407,S406))</f>
        <v/>
      </c>
      <c r="T407" s="360"/>
      <c r="U407" s="360"/>
      <c r="V407" s="360"/>
      <c r="W407" s="360"/>
      <c r="X407" s="360"/>
      <c r="Y407" s="360"/>
      <c r="Z407" s="360"/>
      <c r="AA407" s="360"/>
      <c r="AB407" s="360"/>
      <c r="AC407" s="360"/>
      <c r="AD407" s="360"/>
      <c r="AE407" s="360"/>
      <c r="AF407" s="360"/>
      <c r="AG407" s="360"/>
      <c r="AH407" s="360"/>
    </row>
    <row r="408" ht="18.75" customHeight="1">
      <c r="A408" s="399"/>
      <c r="B408" s="375" t="str">
        <f>IF(A408="","", IF(ARBITRAGES!$H408="BTC",B407+ARBITRAGES!$K408,B407))</f>
        <v/>
      </c>
      <c r="C408" s="375" t="str">
        <f>IF(B408="","", IF(ARBITRAGES!$H408="eth",C407+ARBITRAGES!$K408,C407))</f>
        <v/>
      </c>
      <c r="D408" s="376" t="str">
        <f>IF(C408="","", IF(ARBITRAGES!$H408="ondo",D407+ARBITRAGES!$K408,D407))</f>
        <v/>
      </c>
      <c r="E408" s="376" t="str">
        <f>IF(D408="","", IF(ARBITRAGES!$H408="sol",E407+ARBITRAGES!$K408,E407))</f>
        <v/>
      </c>
      <c r="F408" s="377" t="str">
        <f>IF(E408="","", IF(ARBITRAGES!$H408="tao",F407+ARBITRAGES!$K408,F407))</f>
        <v/>
      </c>
      <c r="G408" s="378" t="str">
        <f>IF(F408="","", IF(ARBITRAGES!$H408="ron",G407+ARBITRAGES!$K408,G407))</f>
        <v/>
      </c>
      <c r="H408" s="378" t="str">
        <f>IF(G408="","", IF(ARBITRAGES!$H408="link",H407+ARBITRAGES!$K408,H407))</f>
        <v/>
      </c>
      <c r="I408" s="378" t="str">
        <f>IF(H408="","", IF(ARBITRAGES!$H408="doge",I407+ARBITRAGES!$K408,I407))</f>
        <v/>
      </c>
      <c r="J408" s="378" t="str">
        <f>IF(I408="","", IF(ARBITRAGES!$H408="shib",J407-ARBITRAGES!$K408,J407))</f>
        <v/>
      </c>
      <c r="K408" s="378" t="str">
        <f>IF(J408="","", IF(ARBITRAGES!$H408="cake",K407+ARBITRAGES!$K408,K407))</f>
        <v/>
      </c>
      <c r="L408" s="378" t="str">
        <f>IF(K408="","", IF(ARBITRAGES!$H408="JUP",L407+ARBITRAGES!$K408,L407))</f>
        <v/>
      </c>
      <c r="M408" s="376" t="str">
        <f>IF(L408="","", IF(ARBITRAGES!$H408="aave",M407+ARBITRAGES!$K408,M407))</f>
        <v/>
      </c>
      <c r="N408" s="378" t="str">
        <f>IF(M408="","", IF(ARBITRAGES!$H408="ckb",N407+ARBITRAGES!$K408,N407))</f>
        <v/>
      </c>
      <c r="O408" s="378" t="str">
        <f>IF(N408="","", IF(ARBITRAGES!$H408="pendle",O407-ARBITRAGES!$K408+0.1,O407))</f>
        <v/>
      </c>
      <c r="P408" s="378" t="str">
        <f>IF(O408="","", IF(ARBITRAGES!$H408="BOME",P407+ARBITRAGES!$K408,P407))</f>
        <v/>
      </c>
      <c r="Q408" s="378" t="str">
        <f>IF(P408="","", IF(ARBITRAGES!$H408="PEPE",Q407+ARBITRAGES!$K408,Q407))</f>
        <v/>
      </c>
      <c r="R408" s="378" t="str">
        <f>IF(Q408="","", IF(ARBITRAGES!$H408="WIF",R407+ARBITRAGES!$K408,R407))</f>
        <v/>
      </c>
      <c r="S408" s="378" t="str">
        <f>IF(R408="","", IF(ARBITRAGES!$H408="RAY",S407+ARBITRAGES!$K408,S407))</f>
        <v/>
      </c>
      <c r="T408" s="360"/>
      <c r="U408" s="360"/>
      <c r="V408" s="360"/>
      <c r="W408" s="360"/>
      <c r="X408" s="360"/>
      <c r="Y408" s="360"/>
      <c r="Z408" s="360"/>
      <c r="AA408" s="360"/>
      <c r="AB408" s="360"/>
      <c r="AC408" s="360"/>
      <c r="AD408" s="360"/>
      <c r="AE408" s="360"/>
      <c r="AF408" s="360"/>
      <c r="AG408" s="360"/>
      <c r="AH408" s="360"/>
    </row>
    <row r="409" ht="18.75" customHeight="1">
      <c r="A409" s="399"/>
      <c r="B409" s="375" t="str">
        <f>IF(A409="","", IF(ARBITRAGES!$H409="BTC",B408+ARBITRAGES!$K409,B408))</f>
        <v/>
      </c>
      <c r="C409" s="375" t="str">
        <f>IF(B409="","", IF(ARBITRAGES!$H409="eth",C408+ARBITRAGES!$K409,C408))</f>
        <v/>
      </c>
      <c r="D409" s="376" t="str">
        <f>IF(C409="","", IF(ARBITRAGES!$H409="ondo",D408+ARBITRAGES!$K409,D408))</f>
        <v/>
      </c>
      <c r="E409" s="376" t="str">
        <f>IF(D409="","", IF(ARBITRAGES!$H409="sol",E408+ARBITRAGES!$K409,E408))</f>
        <v/>
      </c>
      <c r="F409" s="377" t="str">
        <f>IF(E409="","", IF(ARBITRAGES!$H409="tao",F408+ARBITRAGES!$K409,F408))</f>
        <v/>
      </c>
      <c r="G409" s="378" t="str">
        <f>IF(F409="","", IF(ARBITRAGES!$H409="ron",G408+ARBITRAGES!$K409,G408))</f>
        <v/>
      </c>
      <c r="H409" s="378" t="str">
        <f>IF(G409="","", IF(ARBITRAGES!$H409="link",H408+ARBITRAGES!$K409,H408))</f>
        <v/>
      </c>
      <c r="I409" s="378" t="str">
        <f>IF(H409="","", IF(ARBITRAGES!$H409="doge",I408+ARBITRAGES!$K409,I408))</f>
        <v/>
      </c>
      <c r="J409" s="378" t="str">
        <f>IF(I409="","", IF(ARBITRAGES!$H409="shib",J408-ARBITRAGES!$K409,J408))</f>
        <v/>
      </c>
      <c r="K409" s="378" t="str">
        <f>IF(J409="","", IF(ARBITRAGES!$H409="cake",K408+ARBITRAGES!$K409,K408))</f>
        <v/>
      </c>
      <c r="L409" s="378" t="str">
        <f>IF(K409="","", IF(ARBITRAGES!$H409="JUP",L408+ARBITRAGES!$K409,L408))</f>
        <v/>
      </c>
      <c r="M409" s="376" t="str">
        <f>IF(L409="","", IF(ARBITRAGES!$H409="aave",M408+ARBITRAGES!$K409,M408))</f>
        <v/>
      </c>
      <c r="N409" s="378" t="str">
        <f>IF(M409="","", IF(ARBITRAGES!$H409="ckb",N408+ARBITRAGES!$K409,N408))</f>
        <v/>
      </c>
      <c r="O409" s="378" t="str">
        <f>IF(N409="","", IF(ARBITRAGES!$H409="pendle",O408-ARBITRAGES!$K409+0.1,O408))</f>
        <v/>
      </c>
      <c r="P409" s="378" t="str">
        <f>IF(O409="","", IF(ARBITRAGES!$H409="BOME",P408+ARBITRAGES!$K409,P408))</f>
        <v/>
      </c>
      <c r="Q409" s="378" t="str">
        <f>IF(P409="","", IF(ARBITRAGES!$H409="PEPE",Q408+ARBITRAGES!$K409,Q408))</f>
        <v/>
      </c>
      <c r="R409" s="378" t="str">
        <f>IF(Q409="","", IF(ARBITRAGES!$H409="WIF",R408+ARBITRAGES!$K409,R408))</f>
        <v/>
      </c>
      <c r="S409" s="378" t="str">
        <f>IF(R409="","", IF(ARBITRAGES!$H409="RAY",S408+ARBITRAGES!$K409,S408))</f>
        <v/>
      </c>
      <c r="T409" s="360"/>
      <c r="U409" s="360"/>
      <c r="V409" s="360"/>
      <c r="W409" s="360"/>
      <c r="X409" s="360"/>
      <c r="Y409" s="360"/>
      <c r="Z409" s="360"/>
      <c r="AA409" s="360"/>
      <c r="AB409" s="360"/>
      <c r="AC409" s="360"/>
      <c r="AD409" s="360"/>
      <c r="AE409" s="360"/>
      <c r="AF409" s="360"/>
      <c r="AG409" s="360"/>
      <c r="AH409" s="360"/>
    </row>
    <row r="410" ht="18.75" customHeight="1">
      <c r="A410" s="399"/>
      <c r="B410" s="375" t="str">
        <f>IF(A410="","", IF(ARBITRAGES!$H410="BTC",B409+ARBITRAGES!$K410,B409))</f>
        <v/>
      </c>
      <c r="C410" s="375" t="str">
        <f>IF(B410="","", IF(ARBITRAGES!$H410="eth",C409+ARBITRAGES!$K410,C409))</f>
        <v/>
      </c>
      <c r="D410" s="376" t="str">
        <f>IF(C410="","", IF(ARBITRAGES!$H410="ondo",D409+ARBITRAGES!$K410,D409))</f>
        <v/>
      </c>
      <c r="E410" s="376" t="str">
        <f>IF(D410="","", IF(ARBITRAGES!$H410="sol",E409+ARBITRAGES!$K410,E409))</f>
        <v/>
      </c>
      <c r="F410" s="377" t="str">
        <f>IF(E410="","", IF(ARBITRAGES!$H410="tao",F409+ARBITRAGES!$K410,F409))</f>
        <v/>
      </c>
      <c r="G410" s="378" t="str">
        <f>IF(F410="","", IF(ARBITRAGES!$H410="ron",G409+ARBITRAGES!$K410,G409))</f>
        <v/>
      </c>
      <c r="H410" s="378" t="str">
        <f>IF(G410="","", IF(ARBITRAGES!$H410="link",H409+ARBITRAGES!$K410,H409))</f>
        <v/>
      </c>
      <c r="I410" s="378" t="str">
        <f>IF(H410="","", IF(ARBITRAGES!$H410="doge",I409+ARBITRAGES!$K410,I409))</f>
        <v/>
      </c>
      <c r="J410" s="378" t="str">
        <f>IF(I410="","", IF(ARBITRAGES!$H410="shib",J409-ARBITRAGES!$K410,J409))</f>
        <v/>
      </c>
      <c r="K410" s="378" t="str">
        <f>IF(J410="","", IF(ARBITRAGES!$H410="cake",K409+ARBITRAGES!$K410,K409))</f>
        <v/>
      </c>
      <c r="L410" s="378" t="str">
        <f>IF(K410="","", IF(ARBITRAGES!$H410="JUP",L409+ARBITRAGES!$K410,L409))</f>
        <v/>
      </c>
      <c r="M410" s="376" t="str">
        <f>IF(L410="","", IF(ARBITRAGES!$H410="aave",M409+ARBITRAGES!$K410,M409))</f>
        <v/>
      </c>
      <c r="N410" s="378" t="str">
        <f>IF(M410="","", IF(ARBITRAGES!$H410="ckb",N409+ARBITRAGES!$K410,N409))</f>
        <v/>
      </c>
      <c r="O410" s="378" t="str">
        <f>IF(N410="","", IF(ARBITRAGES!$H410="pendle",O409-ARBITRAGES!$K410+0.1,O409))</f>
        <v/>
      </c>
      <c r="P410" s="378" t="str">
        <f>IF(O410="","", IF(ARBITRAGES!$H410="BOME",P409+ARBITRAGES!$K410,P409))</f>
        <v/>
      </c>
      <c r="Q410" s="378" t="str">
        <f>IF(P410="","", IF(ARBITRAGES!$H410="PEPE",Q409+ARBITRAGES!$K410,Q409))</f>
        <v/>
      </c>
      <c r="R410" s="378" t="str">
        <f>IF(Q410="","", IF(ARBITRAGES!$H410="WIF",R409+ARBITRAGES!$K410,R409))</f>
        <v/>
      </c>
      <c r="S410" s="378" t="str">
        <f>IF(R410="","", IF(ARBITRAGES!$H410="RAY",S409+ARBITRAGES!$K410,S409))</f>
        <v/>
      </c>
      <c r="T410" s="360"/>
      <c r="U410" s="360"/>
      <c r="V410" s="360"/>
      <c r="W410" s="360"/>
      <c r="X410" s="360"/>
      <c r="Y410" s="360"/>
      <c r="Z410" s="360"/>
      <c r="AA410" s="360"/>
      <c r="AB410" s="360"/>
      <c r="AC410" s="360"/>
      <c r="AD410" s="360"/>
      <c r="AE410" s="360"/>
      <c r="AF410" s="360"/>
      <c r="AG410" s="360"/>
      <c r="AH410" s="360"/>
    </row>
    <row r="411" ht="18.75" customHeight="1">
      <c r="A411" s="399"/>
      <c r="B411" s="375" t="str">
        <f>IF(A411="","", IF(ARBITRAGES!$H411="BTC",B410+ARBITRAGES!$K411,B410))</f>
        <v/>
      </c>
      <c r="C411" s="375" t="str">
        <f>IF(B411="","", IF(ARBITRAGES!$H411="eth",C410+ARBITRAGES!$K411,C410))</f>
        <v/>
      </c>
      <c r="D411" s="376" t="str">
        <f>IF(C411="","", IF(ARBITRAGES!$H411="ondo",D410+ARBITRAGES!$K411,D410))</f>
        <v/>
      </c>
      <c r="E411" s="376" t="str">
        <f>IF(D411="","", IF(ARBITRAGES!$H411="sol",E410+ARBITRAGES!$K411,E410))</f>
        <v/>
      </c>
      <c r="F411" s="377" t="str">
        <f>IF(E411="","", IF(ARBITRAGES!$H411="tao",F410+ARBITRAGES!$K411,F410))</f>
        <v/>
      </c>
      <c r="G411" s="378" t="str">
        <f>IF(F411="","", IF(ARBITRAGES!$H411="ron",G410+ARBITRAGES!$K411,G410))</f>
        <v/>
      </c>
      <c r="H411" s="378" t="str">
        <f>IF(G411="","", IF(ARBITRAGES!$H411="link",H410+ARBITRAGES!$K411,H410))</f>
        <v/>
      </c>
      <c r="I411" s="378" t="str">
        <f>IF(H411="","", IF(ARBITRAGES!$H411="doge",I410+ARBITRAGES!$K411,I410))</f>
        <v/>
      </c>
      <c r="J411" s="378" t="str">
        <f>IF(I411="","", IF(ARBITRAGES!$H411="shib",J410-ARBITRAGES!$K411,J410))</f>
        <v/>
      </c>
      <c r="K411" s="378" t="str">
        <f>IF(J411="","", IF(ARBITRAGES!$H411="cake",K410+ARBITRAGES!$K411,K410))</f>
        <v/>
      </c>
      <c r="L411" s="378" t="str">
        <f>IF(K411="","", IF(ARBITRAGES!$H411="JUP",L410+ARBITRAGES!$K411,L410))</f>
        <v/>
      </c>
      <c r="M411" s="376" t="str">
        <f>IF(L411="","", IF(ARBITRAGES!$H411="aave",M410+ARBITRAGES!$K411,M410))</f>
        <v/>
      </c>
      <c r="N411" s="378" t="str">
        <f>IF(M411="","", IF(ARBITRAGES!$H411="ckb",N410+ARBITRAGES!$K411,N410))</f>
        <v/>
      </c>
      <c r="O411" s="378" t="str">
        <f>IF(N411="","", IF(ARBITRAGES!$H411="pendle",O410-ARBITRAGES!$K411+0.1,O410))</f>
        <v/>
      </c>
      <c r="P411" s="378" t="str">
        <f>IF(O411="","", IF(ARBITRAGES!$H411="BOME",P410+ARBITRAGES!$K411,P410))</f>
        <v/>
      </c>
      <c r="Q411" s="378" t="str">
        <f>IF(P411="","", IF(ARBITRAGES!$H411="PEPE",Q410+ARBITRAGES!$K411,Q410))</f>
        <v/>
      </c>
      <c r="R411" s="378" t="str">
        <f>IF(Q411="","", IF(ARBITRAGES!$H411="WIF",R410+ARBITRAGES!$K411,R410))</f>
        <v/>
      </c>
      <c r="S411" s="378" t="str">
        <f>IF(R411="","", IF(ARBITRAGES!$H411="RAY",S410+ARBITRAGES!$K411,S410))</f>
        <v/>
      </c>
      <c r="T411" s="360"/>
      <c r="U411" s="360"/>
      <c r="V411" s="360"/>
      <c r="W411" s="360"/>
      <c r="X411" s="360"/>
      <c r="Y411" s="360"/>
      <c r="Z411" s="360"/>
      <c r="AA411" s="360"/>
      <c r="AB411" s="360"/>
      <c r="AC411" s="360"/>
      <c r="AD411" s="360"/>
      <c r="AE411" s="360"/>
      <c r="AF411" s="360"/>
      <c r="AG411" s="360"/>
      <c r="AH411" s="360"/>
    </row>
    <row r="412" ht="18.75" customHeight="1">
      <c r="A412" s="399"/>
      <c r="B412" s="375" t="str">
        <f>IF(A412="","", IF(ARBITRAGES!$H412="BTC",B411+ARBITRAGES!$K412,B411))</f>
        <v/>
      </c>
      <c r="C412" s="375" t="str">
        <f>IF(B412="","", IF(ARBITRAGES!$H412="eth",C411+ARBITRAGES!$K412,C411))</f>
        <v/>
      </c>
      <c r="D412" s="376" t="str">
        <f>IF(C412="","", IF(ARBITRAGES!$H412="ondo",D411+ARBITRAGES!$K412,D411))</f>
        <v/>
      </c>
      <c r="E412" s="376" t="str">
        <f>IF(D412="","", IF(ARBITRAGES!$H412="sol",E411+ARBITRAGES!$K412,E411))</f>
        <v/>
      </c>
      <c r="F412" s="377" t="str">
        <f>IF(E412="","", IF(ARBITRAGES!$H412="tao",F411+ARBITRAGES!$K412,F411))</f>
        <v/>
      </c>
      <c r="G412" s="378" t="str">
        <f>IF(F412="","", IF(ARBITRAGES!$H412="ron",G411+ARBITRAGES!$K412,G411))</f>
        <v/>
      </c>
      <c r="H412" s="378" t="str">
        <f>IF(G412="","", IF(ARBITRAGES!$H412="link",H411+ARBITRAGES!$K412,H411))</f>
        <v/>
      </c>
      <c r="I412" s="378" t="str">
        <f>IF(H412="","", IF(ARBITRAGES!$H412="doge",I411+ARBITRAGES!$K412,I411))</f>
        <v/>
      </c>
      <c r="J412" s="378" t="str">
        <f>IF(I412="","", IF(ARBITRAGES!$H412="shib",J411-ARBITRAGES!$K412,J411))</f>
        <v/>
      </c>
      <c r="K412" s="378" t="str">
        <f>IF(J412="","", IF(ARBITRAGES!$H412="cake",K411+ARBITRAGES!$K412,K411))</f>
        <v/>
      </c>
      <c r="L412" s="378" t="str">
        <f>IF(K412="","", IF(ARBITRAGES!$H412="JUP",L411+ARBITRAGES!$K412,L411))</f>
        <v/>
      </c>
      <c r="M412" s="376" t="str">
        <f>IF(L412="","", IF(ARBITRAGES!$H412="aave",M411+ARBITRAGES!$K412,M411))</f>
        <v/>
      </c>
      <c r="N412" s="378" t="str">
        <f>IF(M412="","", IF(ARBITRAGES!$H412="ckb",N411+ARBITRAGES!$K412,N411))</f>
        <v/>
      </c>
      <c r="O412" s="378" t="str">
        <f>IF(N412="","", IF(ARBITRAGES!$H412="pendle",O411-ARBITRAGES!$K412+0.1,O411))</f>
        <v/>
      </c>
      <c r="P412" s="378" t="str">
        <f>IF(O412="","", IF(ARBITRAGES!$H412="BOME",P411+ARBITRAGES!$K412,P411))</f>
        <v/>
      </c>
      <c r="Q412" s="378" t="str">
        <f>IF(P412="","", IF(ARBITRAGES!$H412="PEPE",Q411+ARBITRAGES!$K412,Q411))</f>
        <v/>
      </c>
      <c r="R412" s="378" t="str">
        <f>IF(Q412="","", IF(ARBITRAGES!$H412="WIF",R411+ARBITRAGES!$K412,R411))</f>
        <v/>
      </c>
      <c r="S412" s="378" t="str">
        <f>IF(R412="","", IF(ARBITRAGES!$H412="RAY",S411+ARBITRAGES!$K412,S411))</f>
        <v/>
      </c>
      <c r="T412" s="360"/>
      <c r="U412" s="360"/>
      <c r="V412" s="360"/>
      <c r="W412" s="360"/>
      <c r="X412" s="360"/>
      <c r="Y412" s="360"/>
      <c r="Z412" s="360"/>
      <c r="AA412" s="360"/>
      <c r="AB412" s="360"/>
      <c r="AC412" s="360"/>
      <c r="AD412" s="360"/>
      <c r="AE412" s="360"/>
      <c r="AF412" s="360"/>
      <c r="AG412" s="360"/>
      <c r="AH412" s="360"/>
    </row>
    <row r="413" ht="18.75" customHeight="1">
      <c r="A413" s="399"/>
      <c r="B413" s="375" t="str">
        <f>IF(A413="","", IF(ARBITRAGES!$H413="BTC",B412+ARBITRAGES!$K413,B412))</f>
        <v/>
      </c>
      <c r="C413" s="375" t="str">
        <f>IF(B413="","", IF(ARBITRAGES!$H413="eth",C412+ARBITRAGES!$K413,C412))</f>
        <v/>
      </c>
      <c r="D413" s="376" t="str">
        <f>IF(C413="","", IF(ARBITRAGES!$H413="ondo",D412+ARBITRAGES!$K413,D412))</f>
        <v/>
      </c>
      <c r="E413" s="376" t="str">
        <f>IF(D413="","", IF(ARBITRAGES!$H413="sol",E412+ARBITRAGES!$K413,E412))</f>
        <v/>
      </c>
      <c r="F413" s="377" t="str">
        <f>IF(E413="","", IF(ARBITRAGES!$H413="tao",F412+ARBITRAGES!$K413,F412))</f>
        <v/>
      </c>
      <c r="G413" s="378" t="str">
        <f>IF(F413="","", IF(ARBITRAGES!$H413="ron",G412+ARBITRAGES!$K413,G412))</f>
        <v/>
      </c>
      <c r="H413" s="378" t="str">
        <f>IF(G413="","", IF(ARBITRAGES!$H413="link",H412+ARBITRAGES!$K413,H412))</f>
        <v/>
      </c>
      <c r="I413" s="378" t="str">
        <f>IF(H413="","", IF(ARBITRAGES!$H413="doge",I412+ARBITRAGES!$K413,I412))</f>
        <v/>
      </c>
      <c r="J413" s="378" t="str">
        <f>IF(I413="","", IF(ARBITRAGES!$H413="shib",J412-ARBITRAGES!$K413,J412))</f>
        <v/>
      </c>
      <c r="K413" s="378" t="str">
        <f>IF(J413="","", IF(ARBITRAGES!$H413="cake",K412+ARBITRAGES!$K413,K412))</f>
        <v/>
      </c>
      <c r="L413" s="378" t="str">
        <f>IF(K413="","", IF(ARBITRAGES!$H413="JUP",L412+ARBITRAGES!$K413,L412))</f>
        <v/>
      </c>
      <c r="M413" s="376" t="str">
        <f>IF(L413="","", IF(ARBITRAGES!$H413="aave",M412+ARBITRAGES!$K413,M412))</f>
        <v/>
      </c>
      <c r="N413" s="378" t="str">
        <f>IF(M413="","", IF(ARBITRAGES!$H413="ckb",N412+ARBITRAGES!$K413,N412))</f>
        <v/>
      </c>
      <c r="O413" s="378" t="str">
        <f>IF(N413="","", IF(ARBITRAGES!$H413="pendle",O412-ARBITRAGES!$K413+0.1,O412))</f>
        <v/>
      </c>
      <c r="P413" s="378" t="str">
        <f>IF(O413="","", IF(ARBITRAGES!$H413="BOME",P412+ARBITRAGES!$K413,P412))</f>
        <v/>
      </c>
      <c r="Q413" s="378" t="str">
        <f>IF(P413="","", IF(ARBITRAGES!$H413="PEPE",Q412+ARBITRAGES!$K413,Q412))</f>
        <v/>
      </c>
      <c r="R413" s="378" t="str">
        <f>IF(Q413="","", IF(ARBITRAGES!$H413="WIF",R412+ARBITRAGES!$K413,R412))</f>
        <v/>
      </c>
      <c r="S413" s="378" t="str">
        <f>IF(R413="","", IF(ARBITRAGES!$H413="RAY",S412+ARBITRAGES!$K413,S412))</f>
        <v/>
      </c>
      <c r="T413" s="360"/>
      <c r="U413" s="360"/>
      <c r="V413" s="360"/>
      <c r="W413" s="360"/>
      <c r="X413" s="360"/>
      <c r="Y413" s="360"/>
      <c r="Z413" s="360"/>
      <c r="AA413" s="360"/>
      <c r="AB413" s="360"/>
      <c r="AC413" s="360"/>
      <c r="AD413" s="360"/>
      <c r="AE413" s="360"/>
      <c r="AF413" s="360"/>
      <c r="AG413" s="360"/>
      <c r="AH413" s="360"/>
    </row>
    <row r="414" ht="18.75" customHeight="1">
      <c r="A414" s="399"/>
      <c r="B414" s="375" t="str">
        <f>IF(A414="","", IF(ARBITRAGES!$H414="BTC",B413+ARBITRAGES!$K414,B413))</f>
        <v/>
      </c>
      <c r="C414" s="375" t="str">
        <f>IF(B414="","", IF(ARBITRAGES!$H414="eth",C413+ARBITRAGES!$K414,C413))</f>
        <v/>
      </c>
      <c r="D414" s="376" t="str">
        <f>IF(C414="","", IF(ARBITRAGES!$H414="ondo",D413+ARBITRAGES!$K414,D413))</f>
        <v/>
      </c>
      <c r="E414" s="376" t="str">
        <f>IF(D414="","", IF(ARBITRAGES!$H414="sol",E413+ARBITRAGES!$K414,E413))</f>
        <v/>
      </c>
      <c r="F414" s="377" t="str">
        <f>IF(E414="","", IF(ARBITRAGES!$H414="tao",F413+ARBITRAGES!$K414,F413))</f>
        <v/>
      </c>
      <c r="G414" s="378" t="str">
        <f>IF(F414="","", IF(ARBITRAGES!$H414="ron",G413+ARBITRAGES!$K414,G413))</f>
        <v/>
      </c>
      <c r="H414" s="378" t="str">
        <f>IF(G414="","", IF(ARBITRAGES!$H414="link",H413+ARBITRAGES!$K414,H413))</f>
        <v/>
      </c>
      <c r="I414" s="378" t="str">
        <f>IF(H414="","", IF(ARBITRAGES!$H414="doge",I413+ARBITRAGES!$K414,I413))</f>
        <v/>
      </c>
      <c r="J414" s="378" t="str">
        <f>IF(I414="","", IF(ARBITRAGES!$H414="shib",J413-ARBITRAGES!$K414,J413))</f>
        <v/>
      </c>
      <c r="K414" s="378" t="str">
        <f>IF(J414="","", IF(ARBITRAGES!$H414="cake",K413+ARBITRAGES!$K414,K413))</f>
        <v/>
      </c>
      <c r="L414" s="378" t="str">
        <f>IF(K414="","", IF(ARBITRAGES!$H414="JUP",L413+ARBITRAGES!$K414,L413))</f>
        <v/>
      </c>
      <c r="M414" s="376" t="str">
        <f>IF(L414="","", IF(ARBITRAGES!$H414="aave",M413+ARBITRAGES!$K414,M413))</f>
        <v/>
      </c>
      <c r="N414" s="378" t="str">
        <f>IF(M414="","", IF(ARBITRAGES!$H414="ckb",N413+ARBITRAGES!$K414,N413))</f>
        <v/>
      </c>
      <c r="O414" s="378" t="str">
        <f>IF(N414="","", IF(ARBITRAGES!$H414="pendle",O413-ARBITRAGES!$K414+0.1,O413))</f>
        <v/>
      </c>
      <c r="P414" s="378" t="str">
        <f>IF(O414="","", IF(ARBITRAGES!$H414="BOME",P413+ARBITRAGES!$K414,P413))</f>
        <v/>
      </c>
      <c r="Q414" s="378" t="str">
        <f>IF(P414="","", IF(ARBITRAGES!$H414="PEPE",Q413+ARBITRAGES!$K414,Q413))</f>
        <v/>
      </c>
      <c r="R414" s="378" t="str">
        <f>IF(Q414="","", IF(ARBITRAGES!$H414="WIF",R413+ARBITRAGES!$K414,R413))</f>
        <v/>
      </c>
      <c r="S414" s="378" t="str">
        <f>IF(R414="","", IF(ARBITRAGES!$H414="RAY",S413+ARBITRAGES!$K414,S413))</f>
        <v/>
      </c>
      <c r="T414" s="360"/>
      <c r="U414" s="360"/>
      <c r="V414" s="360"/>
      <c r="W414" s="360"/>
      <c r="X414" s="360"/>
      <c r="Y414" s="360"/>
      <c r="Z414" s="360"/>
      <c r="AA414" s="360"/>
      <c r="AB414" s="360"/>
      <c r="AC414" s="360"/>
      <c r="AD414" s="360"/>
      <c r="AE414" s="360"/>
      <c r="AF414" s="360"/>
      <c r="AG414" s="360"/>
      <c r="AH414" s="360"/>
    </row>
    <row r="415" ht="18.75" customHeight="1">
      <c r="A415" s="399"/>
      <c r="B415" s="375" t="str">
        <f>IF(A415="","", IF(ARBITRAGES!$H415="BTC",B414+ARBITRAGES!$K415,B414))</f>
        <v/>
      </c>
      <c r="C415" s="375" t="str">
        <f>IF(B415="","", IF(ARBITRAGES!$H415="eth",C414+ARBITRAGES!$K415,C414))</f>
        <v/>
      </c>
      <c r="D415" s="376" t="str">
        <f>IF(C415="","", IF(ARBITRAGES!$H415="ondo",D414+ARBITRAGES!$K415,D414))</f>
        <v/>
      </c>
      <c r="E415" s="376" t="str">
        <f>IF(D415="","", IF(ARBITRAGES!$H415="sol",E414+ARBITRAGES!$K415,E414))</f>
        <v/>
      </c>
      <c r="F415" s="377" t="str">
        <f>IF(E415="","", IF(ARBITRAGES!$H415="tao",F414+ARBITRAGES!$K415,F414))</f>
        <v/>
      </c>
      <c r="G415" s="378" t="str">
        <f>IF(F415="","", IF(ARBITRAGES!$H415="ron",G414+ARBITRAGES!$K415,G414))</f>
        <v/>
      </c>
      <c r="H415" s="378" t="str">
        <f>IF(G415="","", IF(ARBITRAGES!$H415="link",H414+ARBITRAGES!$K415,H414))</f>
        <v/>
      </c>
      <c r="I415" s="378" t="str">
        <f>IF(H415="","", IF(ARBITRAGES!$H415="doge",I414+ARBITRAGES!$K415,I414))</f>
        <v/>
      </c>
      <c r="J415" s="378" t="str">
        <f>IF(I415="","", IF(ARBITRAGES!$H415="shib",J414-ARBITRAGES!$K415,J414))</f>
        <v/>
      </c>
      <c r="K415" s="378" t="str">
        <f>IF(J415="","", IF(ARBITRAGES!$H415="cake",K414+ARBITRAGES!$K415,K414))</f>
        <v/>
      </c>
      <c r="L415" s="378" t="str">
        <f>IF(K415="","", IF(ARBITRAGES!$H415="JUP",L414+ARBITRAGES!$K415,L414))</f>
        <v/>
      </c>
      <c r="M415" s="376" t="str">
        <f>IF(L415="","", IF(ARBITRAGES!$H415="aave",M414+ARBITRAGES!$K415,M414))</f>
        <v/>
      </c>
      <c r="N415" s="378" t="str">
        <f>IF(M415="","", IF(ARBITRAGES!$H415="ckb",N414+ARBITRAGES!$K415,N414))</f>
        <v/>
      </c>
      <c r="O415" s="378" t="str">
        <f>IF(N415="","", IF(ARBITRAGES!$H415="pendle",O414-ARBITRAGES!$K415+0.1,O414))</f>
        <v/>
      </c>
      <c r="P415" s="378" t="str">
        <f>IF(O415="","", IF(ARBITRAGES!$H415="BOME",P414+ARBITRAGES!$K415,P414))</f>
        <v/>
      </c>
      <c r="Q415" s="378" t="str">
        <f>IF(P415="","", IF(ARBITRAGES!$H415="PEPE",Q414+ARBITRAGES!$K415,Q414))</f>
        <v/>
      </c>
      <c r="R415" s="378" t="str">
        <f>IF(Q415="","", IF(ARBITRAGES!$H415="WIF",R414+ARBITRAGES!$K415,R414))</f>
        <v/>
      </c>
      <c r="S415" s="378" t="str">
        <f>IF(R415="","", IF(ARBITRAGES!$H415="RAY",S414+ARBITRAGES!$K415,S414))</f>
        <v/>
      </c>
      <c r="T415" s="360"/>
      <c r="U415" s="360"/>
      <c r="V415" s="360"/>
      <c r="W415" s="360"/>
      <c r="X415" s="360"/>
      <c r="Y415" s="360"/>
      <c r="Z415" s="360"/>
      <c r="AA415" s="360"/>
      <c r="AB415" s="360"/>
      <c r="AC415" s="360"/>
      <c r="AD415" s="360"/>
      <c r="AE415" s="360"/>
      <c r="AF415" s="360"/>
      <c r="AG415" s="360"/>
      <c r="AH415" s="360"/>
    </row>
    <row r="416" ht="18.75" customHeight="1">
      <c r="A416" s="399"/>
      <c r="B416" s="375" t="str">
        <f>IF(A416="","", IF(ARBITRAGES!$H416="BTC",B415+ARBITRAGES!$K416,B415))</f>
        <v/>
      </c>
      <c r="C416" s="375" t="str">
        <f>IF(B416="","", IF(ARBITRAGES!$H416="eth",C415+ARBITRAGES!$K416,C415))</f>
        <v/>
      </c>
      <c r="D416" s="376" t="str">
        <f>IF(C416="","", IF(ARBITRAGES!$H416="ondo",D415+ARBITRAGES!$K416,D415))</f>
        <v/>
      </c>
      <c r="E416" s="376" t="str">
        <f>IF(D416="","", IF(ARBITRAGES!$H416="sol",E415+ARBITRAGES!$K416,E415))</f>
        <v/>
      </c>
      <c r="F416" s="377" t="str">
        <f>IF(E416="","", IF(ARBITRAGES!$H416="tao",F415+ARBITRAGES!$K416,F415))</f>
        <v/>
      </c>
      <c r="G416" s="378" t="str">
        <f>IF(F416="","", IF(ARBITRAGES!$H416="ron",G415+ARBITRAGES!$K416,G415))</f>
        <v/>
      </c>
      <c r="H416" s="378" t="str">
        <f>IF(G416="","", IF(ARBITRAGES!$H416="link",H415+ARBITRAGES!$K416,H415))</f>
        <v/>
      </c>
      <c r="I416" s="378" t="str">
        <f>IF(H416="","", IF(ARBITRAGES!$H416="doge",I415+ARBITRAGES!$K416,I415))</f>
        <v/>
      </c>
      <c r="J416" s="378" t="str">
        <f>IF(I416="","", IF(ARBITRAGES!$H416="shib",J415-ARBITRAGES!$K416,J415))</f>
        <v/>
      </c>
      <c r="K416" s="378" t="str">
        <f>IF(J416="","", IF(ARBITRAGES!$H416="cake",K415+ARBITRAGES!$K416,K415))</f>
        <v/>
      </c>
      <c r="L416" s="378" t="str">
        <f>IF(K416="","", IF(ARBITRAGES!$H416="JUP",L415+ARBITRAGES!$K416,L415))</f>
        <v/>
      </c>
      <c r="M416" s="376" t="str">
        <f>IF(L416="","", IF(ARBITRAGES!$H416="aave",M415+ARBITRAGES!$K416,M415))</f>
        <v/>
      </c>
      <c r="N416" s="378" t="str">
        <f>IF(M416="","", IF(ARBITRAGES!$H416="ckb",N415+ARBITRAGES!$K416,N415))</f>
        <v/>
      </c>
      <c r="O416" s="378" t="str">
        <f>IF(N416="","", IF(ARBITRAGES!$H416="pendle",O415-ARBITRAGES!$K416+0.1,O415))</f>
        <v/>
      </c>
      <c r="P416" s="378" t="str">
        <f>IF(O416="","", IF(ARBITRAGES!$H416="BOME",P415+ARBITRAGES!$K416,P415))</f>
        <v/>
      </c>
      <c r="Q416" s="378" t="str">
        <f>IF(P416="","", IF(ARBITRAGES!$H416="PEPE",Q415+ARBITRAGES!$K416,Q415))</f>
        <v/>
      </c>
      <c r="R416" s="378" t="str">
        <f>IF(Q416="","", IF(ARBITRAGES!$H416="WIF",R415+ARBITRAGES!$K416,R415))</f>
        <v/>
      </c>
      <c r="S416" s="378" t="str">
        <f>IF(R416="","", IF(ARBITRAGES!$H416="RAY",S415+ARBITRAGES!$K416,S415))</f>
        <v/>
      </c>
      <c r="T416" s="360"/>
      <c r="U416" s="360"/>
      <c r="V416" s="360"/>
      <c r="W416" s="360"/>
      <c r="X416" s="360"/>
      <c r="Y416" s="360"/>
      <c r="Z416" s="360"/>
      <c r="AA416" s="360"/>
      <c r="AB416" s="360"/>
      <c r="AC416" s="360"/>
      <c r="AD416" s="360"/>
      <c r="AE416" s="360"/>
      <c r="AF416" s="360"/>
      <c r="AG416" s="360"/>
      <c r="AH416" s="360"/>
    </row>
    <row r="417" ht="18.75" customHeight="1">
      <c r="A417" s="399"/>
      <c r="B417" s="375" t="str">
        <f>IF(A417="","", IF(ARBITRAGES!$H417="BTC",B416+ARBITRAGES!$K417,B416))</f>
        <v/>
      </c>
      <c r="C417" s="375" t="str">
        <f>IF(B417="","", IF(ARBITRAGES!$H417="eth",C416+ARBITRAGES!$K417,C416))</f>
        <v/>
      </c>
      <c r="D417" s="376" t="str">
        <f>IF(C417="","", IF(ARBITRAGES!$H417="ondo",D416+ARBITRAGES!$K417,D416))</f>
        <v/>
      </c>
      <c r="E417" s="376" t="str">
        <f>IF(D417="","", IF(ARBITRAGES!$H417="sol",E416+ARBITRAGES!$K417,E416))</f>
        <v/>
      </c>
      <c r="F417" s="377" t="str">
        <f>IF(E417="","", IF(ARBITRAGES!$H417="tao",F416+ARBITRAGES!$K417,F416))</f>
        <v/>
      </c>
      <c r="G417" s="378" t="str">
        <f>IF(F417="","", IF(ARBITRAGES!$H417="ron",G416+ARBITRAGES!$K417,G416))</f>
        <v/>
      </c>
      <c r="H417" s="378" t="str">
        <f>IF(G417="","", IF(ARBITRAGES!$H417="link",H416+ARBITRAGES!$K417,H416))</f>
        <v/>
      </c>
      <c r="I417" s="378" t="str">
        <f>IF(H417="","", IF(ARBITRAGES!$H417="doge",I416+ARBITRAGES!$K417,I416))</f>
        <v/>
      </c>
      <c r="J417" s="378" t="str">
        <f>IF(I417="","", IF(ARBITRAGES!$H417="shib",J416-ARBITRAGES!$K417,J416))</f>
        <v/>
      </c>
      <c r="K417" s="378" t="str">
        <f>IF(J417="","", IF(ARBITRAGES!$H417="cake",K416+ARBITRAGES!$K417,K416))</f>
        <v/>
      </c>
      <c r="L417" s="378" t="str">
        <f>IF(K417="","", IF(ARBITRAGES!$H417="JUP",L416+ARBITRAGES!$K417,L416))</f>
        <v/>
      </c>
      <c r="M417" s="376" t="str">
        <f>IF(L417="","", IF(ARBITRAGES!$H417="aave",M416+ARBITRAGES!$K417,M416))</f>
        <v/>
      </c>
      <c r="N417" s="378" t="str">
        <f>IF(M417="","", IF(ARBITRAGES!$H417="ckb",N416+ARBITRAGES!$K417,N416))</f>
        <v/>
      </c>
      <c r="O417" s="378" t="str">
        <f>IF(N417="","", IF(ARBITRAGES!$H417="pendle",O416-ARBITRAGES!$K417+0.1,O416))</f>
        <v/>
      </c>
      <c r="P417" s="378" t="str">
        <f>IF(O417="","", IF(ARBITRAGES!$H417="BOME",P416+ARBITRAGES!$K417,P416))</f>
        <v/>
      </c>
      <c r="Q417" s="378" t="str">
        <f>IF(P417="","", IF(ARBITRAGES!$H417="PEPE",Q416+ARBITRAGES!$K417,Q416))</f>
        <v/>
      </c>
      <c r="R417" s="378" t="str">
        <f>IF(Q417="","", IF(ARBITRAGES!$H417="WIF",R416+ARBITRAGES!$K417,R416))</f>
        <v/>
      </c>
      <c r="S417" s="378" t="str">
        <f>IF(R417="","", IF(ARBITRAGES!$H417="RAY",S416+ARBITRAGES!$K417,S416))</f>
        <v/>
      </c>
      <c r="T417" s="360"/>
      <c r="U417" s="360"/>
      <c r="V417" s="360"/>
      <c r="W417" s="360"/>
      <c r="X417" s="360"/>
      <c r="Y417" s="360"/>
      <c r="Z417" s="360"/>
      <c r="AA417" s="360"/>
      <c r="AB417" s="360"/>
      <c r="AC417" s="360"/>
      <c r="AD417" s="360"/>
      <c r="AE417" s="360"/>
      <c r="AF417" s="360"/>
      <c r="AG417" s="360"/>
      <c r="AH417" s="360"/>
    </row>
    <row r="418" ht="18.75" customHeight="1">
      <c r="A418" s="399"/>
      <c r="B418" s="375" t="str">
        <f>IF(A418="","", IF(ARBITRAGES!$H418="BTC",B417+ARBITRAGES!$K418,B417))</f>
        <v/>
      </c>
      <c r="C418" s="375" t="str">
        <f>IF(B418="","", IF(ARBITRAGES!$H418="eth",C417+ARBITRAGES!$K418,C417))</f>
        <v/>
      </c>
      <c r="D418" s="376" t="str">
        <f>IF(C418="","", IF(ARBITRAGES!$H418="ondo",D417+ARBITRAGES!$K418,D417))</f>
        <v/>
      </c>
      <c r="E418" s="376" t="str">
        <f>IF(D418="","", IF(ARBITRAGES!$H418="sol",E417+ARBITRAGES!$K418,E417))</f>
        <v/>
      </c>
      <c r="F418" s="377" t="str">
        <f>IF(E418="","", IF(ARBITRAGES!$H418="tao",F417+ARBITRAGES!$K418,F417))</f>
        <v/>
      </c>
      <c r="G418" s="378" t="str">
        <f>IF(F418="","", IF(ARBITRAGES!$H418="ron",G417+ARBITRAGES!$K418,G417))</f>
        <v/>
      </c>
      <c r="H418" s="378" t="str">
        <f>IF(G418="","", IF(ARBITRAGES!$H418="link",H417+ARBITRAGES!$K418,H417))</f>
        <v/>
      </c>
      <c r="I418" s="378" t="str">
        <f>IF(H418="","", IF(ARBITRAGES!$H418="doge",I417+ARBITRAGES!$K418,I417))</f>
        <v/>
      </c>
      <c r="J418" s="378" t="str">
        <f>IF(I418="","", IF(ARBITRAGES!$H418="shib",J417-ARBITRAGES!$K418,J417))</f>
        <v/>
      </c>
      <c r="K418" s="378" t="str">
        <f>IF(J418="","", IF(ARBITRAGES!$H418="cake",K417+ARBITRAGES!$K418,K417))</f>
        <v/>
      </c>
      <c r="L418" s="378" t="str">
        <f>IF(K418="","", IF(ARBITRAGES!$H418="JUP",L417+ARBITRAGES!$K418,L417))</f>
        <v/>
      </c>
      <c r="M418" s="376" t="str">
        <f>IF(L418="","", IF(ARBITRAGES!$H418="aave",M417+ARBITRAGES!$K418,M417))</f>
        <v/>
      </c>
      <c r="N418" s="378" t="str">
        <f>IF(M418="","", IF(ARBITRAGES!$H418="ckb",N417+ARBITRAGES!$K418,N417))</f>
        <v/>
      </c>
      <c r="O418" s="378" t="str">
        <f>IF(N418="","", IF(ARBITRAGES!$H418="pendle",O417-ARBITRAGES!$K418+0.1,O417))</f>
        <v/>
      </c>
      <c r="P418" s="378" t="str">
        <f>IF(O418="","", IF(ARBITRAGES!$H418="BOME",P417+ARBITRAGES!$K418,P417))</f>
        <v/>
      </c>
      <c r="Q418" s="378" t="str">
        <f>IF(P418="","", IF(ARBITRAGES!$H418="PEPE",Q417+ARBITRAGES!$K418,Q417))</f>
        <v/>
      </c>
      <c r="R418" s="378" t="str">
        <f>IF(Q418="","", IF(ARBITRAGES!$H418="WIF",R417+ARBITRAGES!$K418,R417))</f>
        <v/>
      </c>
      <c r="S418" s="378" t="str">
        <f>IF(R418="","", IF(ARBITRAGES!$H418="RAY",S417+ARBITRAGES!$K418,S417))</f>
        <v/>
      </c>
      <c r="T418" s="360"/>
      <c r="U418" s="360"/>
      <c r="V418" s="360"/>
      <c r="W418" s="360"/>
      <c r="X418" s="360"/>
      <c r="Y418" s="360"/>
      <c r="Z418" s="360"/>
      <c r="AA418" s="360"/>
      <c r="AB418" s="360"/>
      <c r="AC418" s="360"/>
      <c r="AD418" s="360"/>
      <c r="AE418" s="360"/>
      <c r="AF418" s="360"/>
      <c r="AG418" s="360"/>
      <c r="AH418" s="360"/>
    </row>
    <row r="419" ht="18.75" customHeight="1">
      <c r="A419" s="399"/>
      <c r="B419" s="375" t="str">
        <f>IF(A419="","", IF(ARBITRAGES!$H419="BTC",B418+ARBITRAGES!$K419,B418))</f>
        <v/>
      </c>
      <c r="C419" s="375" t="str">
        <f>IF(B419="","", IF(ARBITRAGES!$H419="eth",C418+ARBITRAGES!$K419,C418))</f>
        <v/>
      </c>
      <c r="D419" s="376" t="str">
        <f>IF(C419="","", IF(ARBITRAGES!$H419="ondo",D418+ARBITRAGES!$K419,D418))</f>
        <v/>
      </c>
      <c r="E419" s="376" t="str">
        <f>IF(D419="","", IF(ARBITRAGES!$H419="sol",E418+ARBITRAGES!$K419,E418))</f>
        <v/>
      </c>
      <c r="F419" s="377" t="str">
        <f>IF(E419="","", IF(ARBITRAGES!$H419="tao",F418+ARBITRAGES!$K419,F418))</f>
        <v/>
      </c>
      <c r="G419" s="378" t="str">
        <f>IF(F419="","", IF(ARBITRAGES!$H419="ron",G418+ARBITRAGES!$K419,G418))</f>
        <v/>
      </c>
      <c r="H419" s="378" t="str">
        <f>IF(G419="","", IF(ARBITRAGES!$H419="link",H418+ARBITRAGES!$K419,H418))</f>
        <v/>
      </c>
      <c r="I419" s="378" t="str">
        <f>IF(H419="","", IF(ARBITRAGES!$H419="doge",I418+ARBITRAGES!$K419,I418))</f>
        <v/>
      </c>
      <c r="J419" s="378" t="str">
        <f>IF(I419="","", IF(ARBITRAGES!$H419="shib",J418-ARBITRAGES!$K419,J418))</f>
        <v/>
      </c>
      <c r="K419" s="378" t="str">
        <f>IF(J419="","", IF(ARBITRAGES!$H419="cake",K418+ARBITRAGES!$K419,K418))</f>
        <v/>
      </c>
      <c r="L419" s="378" t="str">
        <f>IF(K419="","", IF(ARBITRAGES!$H419="JUP",L418+ARBITRAGES!$K419,L418))</f>
        <v/>
      </c>
      <c r="M419" s="376" t="str">
        <f>IF(L419="","", IF(ARBITRAGES!$H419="aave",M418+ARBITRAGES!$K419,M418))</f>
        <v/>
      </c>
      <c r="N419" s="378" t="str">
        <f>IF(M419="","", IF(ARBITRAGES!$H419="ckb",N418+ARBITRAGES!$K419,N418))</f>
        <v/>
      </c>
      <c r="O419" s="378" t="str">
        <f>IF(N419="","", IF(ARBITRAGES!$H419="pendle",O418-ARBITRAGES!$K419+0.1,O418))</f>
        <v/>
      </c>
      <c r="P419" s="378" t="str">
        <f>IF(O419="","", IF(ARBITRAGES!$H419="BOME",P418+ARBITRAGES!$K419,P418))</f>
        <v/>
      </c>
      <c r="Q419" s="378" t="str">
        <f>IF(P419="","", IF(ARBITRAGES!$H419="PEPE",Q418+ARBITRAGES!$K419,Q418))</f>
        <v/>
      </c>
      <c r="R419" s="378" t="str">
        <f>IF(Q419="","", IF(ARBITRAGES!$H419="WIF",R418+ARBITRAGES!$K419,R418))</f>
        <v/>
      </c>
      <c r="S419" s="378" t="str">
        <f>IF(R419="","", IF(ARBITRAGES!$H419="RAY",S418+ARBITRAGES!$K419,S418))</f>
        <v/>
      </c>
      <c r="T419" s="360"/>
      <c r="U419" s="360"/>
      <c r="V419" s="360"/>
      <c r="W419" s="360"/>
      <c r="X419" s="360"/>
      <c r="Y419" s="360"/>
      <c r="Z419" s="360"/>
      <c r="AA419" s="360"/>
      <c r="AB419" s="360"/>
      <c r="AC419" s="360"/>
      <c r="AD419" s="360"/>
      <c r="AE419" s="360"/>
      <c r="AF419" s="360"/>
      <c r="AG419" s="360"/>
      <c r="AH419" s="360"/>
    </row>
    <row r="420" ht="18.75" customHeight="1">
      <c r="A420" s="399"/>
      <c r="B420" s="375" t="str">
        <f>IF(A420="","", IF(ARBITRAGES!$H420="BTC",B419+ARBITRAGES!$K420,B419))</f>
        <v/>
      </c>
      <c r="C420" s="375" t="str">
        <f>IF(B420="","", IF(ARBITRAGES!$H420="eth",C419+ARBITRAGES!$K420,C419))</f>
        <v/>
      </c>
      <c r="D420" s="376" t="str">
        <f>IF(C420="","", IF(ARBITRAGES!$H420="ondo",D419+ARBITRAGES!$K420,D419))</f>
        <v/>
      </c>
      <c r="E420" s="376" t="str">
        <f>IF(D420="","", IF(ARBITRAGES!$H420="sol",E419+ARBITRAGES!$K420,E419))</f>
        <v/>
      </c>
      <c r="F420" s="377" t="str">
        <f>IF(E420="","", IF(ARBITRAGES!$H420="tao",F419+ARBITRAGES!$K420,F419))</f>
        <v/>
      </c>
      <c r="G420" s="378" t="str">
        <f>IF(F420="","", IF(ARBITRAGES!$H420="ron",G419+ARBITRAGES!$K420,G419))</f>
        <v/>
      </c>
      <c r="H420" s="378" t="str">
        <f>IF(G420="","", IF(ARBITRAGES!$H420="link",H419+ARBITRAGES!$K420,H419))</f>
        <v/>
      </c>
      <c r="I420" s="378" t="str">
        <f>IF(H420="","", IF(ARBITRAGES!$H420="doge",I419+ARBITRAGES!$K420,I419))</f>
        <v/>
      </c>
      <c r="J420" s="378" t="str">
        <f>IF(I420="","", IF(ARBITRAGES!$H420="shib",J419-ARBITRAGES!$K420,J419))</f>
        <v/>
      </c>
      <c r="K420" s="378" t="str">
        <f>IF(J420="","", IF(ARBITRAGES!$H420="cake",K419+ARBITRAGES!$K420,K419))</f>
        <v/>
      </c>
      <c r="L420" s="378" t="str">
        <f>IF(K420="","", IF(ARBITRAGES!$H420="JUP",L419+ARBITRAGES!$K420,L419))</f>
        <v/>
      </c>
      <c r="M420" s="376" t="str">
        <f>IF(L420="","", IF(ARBITRAGES!$H420="aave",M419+ARBITRAGES!$K420,M419))</f>
        <v/>
      </c>
      <c r="N420" s="378" t="str">
        <f>IF(M420="","", IF(ARBITRAGES!$H420="ckb",N419+ARBITRAGES!$K420,N419))</f>
        <v/>
      </c>
      <c r="O420" s="378" t="str">
        <f>IF(N420="","", IF(ARBITRAGES!$H420="pendle",O419-ARBITRAGES!$K420+0.1,O419))</f>
        <v/>
      </c>
      <c r="P420" s="378" t="str">
        <f>IF(O420="","", IF(ARBITRAGES!$H420="BOME",P419+ARBITRAGES!$K420,P419))</f>
        <v/>
      </c>
      <c r="Q420" s="378" t="str">
        <f>IF(P420="","", IF(ARBITRAGES!$H420="PEPE",Q419+ARBITRAGES!$K420,Q419))</f>
        <v/>
      </c>
      <c r="R420" s="378" t="str">
        <f>IF(Q420="","", IF(ARBITRAGES!$H420="WIF",R419+ARBITRAGES!$K420,R419))</f>
        <v/>
      </c>
      <c r="S420" s="378" t="str">
        <f>IF(R420="","", IF(ARBITRAGES!$H420="RAY",S419+ARBITRAGES!$K420,S419))</f>
        <v/>
      </c>
      <c r="T420" s="360"/>
      <c r="U420" s="360"/>
      <c r="V420" s="360"/>
      <c r="W420" s="360"/>
      <c r="X420" s="360"/>
      <c r="Y420" s="360"/>
      <c r="Z420" s="360"/>
      <c r="AA420" s="360"/>
      <c r="AB420" s="360"/>
      <c r="AC420" s="360"/>
      <c r="AD420" s="360"/>
      <c r="AE420" s="360"/>
      <c r="AF420" s="360"/>
      <c r="AG420" s="360"/>
      <c r="AH420" s="360"/>
    </row>
    <row r="421" ht="18.75" customHeight="1">
      <c r="A421" s="399"/>
      <c r="B421" s="375" t="str">
        <f>IF(A421="","", IF(ARBITRAGES!$H421="BTC",B420+ARBITRAGES!$K421,B420))</f>
        <v/>
      </c>
      <c r="C421" s="375" t="str">
        <f>IF(B421="","", IF(ARBITRAGES!$H421="eth",C420+ARBITRAGES!$K421,C420))</f>
        <v/>
      </c>
      <c r="D421" s="376" t="str">
        <f>IF(C421="","", IF(ARBITRAGES!$H421="ondo",D420+ARBITRAGES!$K421,D420))</f>
        <v/>
      </c>
      <c r="E421" s="376" t="str">
        <f>IF(D421="","", IF(ARBITRAGES!$H421="sol",E420+ARBITRAGES!$K421,E420))</f>
        <v/>
      </c>
      <c r="F421" s="377" t="str">
        <f>IF(E421="","", IF(ARBITRAGES!$H421="tao",F420+ARBITRAGES!$K421,F420))</f>
        <v/>
      </c>
      <c r="G421" s="378" t="str">
        <f>IF(F421="","", IF(ARBITRAGES!$H421="ron",G420+ARBITRAGES!$K421,G420))</f>
        <v/>
      </c>
      <c r="H421" s="378" t="str">
        <f>IF(G421="","", IF(ARBITRAGES!$H421="link",H420+ARBITRAGES!$K421,H420))</f>
        <v/>
      </c>
      <c r="I421" s="378" t="str">
        <f>IF(H421="","", IF(ARBITRAGES!$H421="doge",I420+ARBITRAGES!$K421,I420))</f>
        <v/>
      </c>
      <c r="J421" s="378" t="str">
        <f>IF(I421="","", IF(ARBITRAGES!$H421="shib",J420-ARBITRAGES!$K421,J420))</f>
        <v/>
      </c>
      <c r="K421" s="378" t="str">
        <f>IF(J421="","", IF(ARBITRAGES!$H421="cake",K420+ARBITRAGES!$K421,K420))</f>
        <v/>
      </c>
      <c r="L421" s="378" t="str">
        <f>IF(K421="","", IF(ARBITRAGES!$H421="JUP",L420+ARBITRAGES!$K421,L420))</f>
        <v/>
      </c>
      <c r="M421" s="376" t="str">
        <f>IF(L421="","", IF(ARBITRAGES!$H421="aave",M420+ARBITRAGES!$K421,M420))</f>
        <v/>
      </c>
      <c r="N421" s="378" t="str">
        <f>IF(M421="","", IF(ARBITRAGES!$H421="ckb",N420+ARBITRAGES!$K421,N420))</f>
        <v/>
      </c>
      <c r="O421" s="378" t="str">
        <f>IF(N421="","", IF(ARBITRAGES!$H421="pendle",O420-ARBITRAGES!$K421+0.1,O420))</f>
        <v/>
      </c>
      <c r="P421" s="378" t="str">
        <f>IF(O421="","", IF(ARBITRAGES!$H421="BOME",P420+ARBITRAGES!$K421,P420))</f>
        <v/>
      </c>
      <c r="Q421" s="378" t="str">
        <f>IF(P421="","", IF(ARBITRAGES!$H421="PEPE",Q420+ARBITRAGES!$K421,Q420))</f>
        <v/>
      </c>
      <c r="R421" s="378" t="str">
        <f>IF(Q421="","", IF(ARBITRAGES!$H421="WIF",R420+ARBITRAGES!$K421,R420))</f>
        <v/>
      </c>
      <c r="S421" s="378" t="str">
        <f>IF(R421="","", IF(ARBITRAGES!$H421="RAY",S420+ARBITRAGES!$K421,S420))</f>
        <v/>
      </c>
      <c r="T421" s="360"/>
      <c r="U421" s="360"/>
      <c r="V421" s="360"/>
      <c r="W421" s="360"/>
      <c r="X421" s="360"/>
      <c r="Y421" s="360"/>
      <c r="Z421" s="360"/>
      <c r="AA421" s="360"/>
      <c r="AB421" s="360"/>
      <c r="AC421" s="360"/>
      <c r="AD421" s="360"/>
      <c r="AE421" s="360"/>
      <c r="AF421" s="360"/>
      <c r="AG421" s="360"/>
      <c r="AH421" s="360"/>
    </row>
    <row r="422" ht="18.75" customHeight="1">
      <c r="A422" s="399"/>
      <c r="B422" s="375" t="str">
        <f>IF(A422="","", IF(ARBITRAGES!$H422="BTC",B421+ARBITRAGES!$K422,B421))</f>
        <v/>
      </c>
      <c r="C422" s="375" t="str">
        <f>IF(B422="","", IF(ARBITRAGES!$H422="eth",C421+ARBITRAGES!$K422,C421))</f>
        <v/>
      </c>
      <c r="D422" s="376" t="str">
        <f>IF(C422="","", IF(ARBITRAGES!$H422="ondo",D421+ARBITRAGES!$K422,D421))</f>
        <v/>
      </c>
      <c r="E422" s="376" t="str">
        <f>IF(D422="","", IF(ARBITRAGES!$H422="sol",E421+ARBITRAGES!$K422,E421))</f>
        <v/>
      </c>
      <c r="F422" s="377" t="str">
        <f>IF(E422="","", IF(ARBITRAGES!$H422="tao",F421+ARBITRAGES!$K422,F421))</f>
        <v/>
      </c>
      <c r="G422" s="378" t="str">
        <f>IF(F422="","", IF(ARBITRAGES!$H422="ron",G421+ARBITRAGES!$K422,G421))</f>
        <v/>
      </c>
      <c r="H422" s="378" t="str">
        <f>IF(G422="","", IF(ARBITRAGES!$H422="link",H421+ARBITRAGES!$K422,H421))</f>
        <v/>
      </c>
      <c r="I422" s="378" t="str">
        <f>IF(H422="","", IF(ARBITRAGES!$H422="doge",I421+ARBITRAGES!$K422,I421))</f>
        <v/>
      </c>
      <c r="J422" s="378" t="str">
        <f>IF(I422="","", IF(ARBITRAGES!$H422="shib",J421-ARBITRAGES!$K422,J421))</f>
        <v/>
      </c>
      <c r="K422" s="378" t="str">
        <f>IF(J422="","", IF(ARBITRAGES!$H422="cake",K421+ARBITRAGES!$K422,K421))</f>
        <v/>
      </c>
      <c r="L422" s="378" t="str">
        <f>IF(K422="","", IF(ARBITRAGES!$H422="JUP",L421+ARBITRAGES!$K422,L421))</f>
        <v/>
      </c>
      <c r="M422" s="376" t="str">
        <f>IF(L422="","", IF(ARBITRAGES!$H422="aave",M421+ARBITRAGES!$K422,M421))</f>
        <v/>
      </c>
      <c r="N422" s="378" t="str">
        <f>IF(M422="","", IF(ARBITRAGES!$H422="ckb",N421+ARBITRAGES!$K422,N421))</f>
        <v/>
      </c>
      <c r="O422" s="378" t="str">
        <f>IF(N422="","", IF(ARBITRAGES!$H422="pendle",O421-ARBITRAGES!$K422+0.1,O421))</f>
        <v/>
      </c>
      <c r="P422" s="378" t="str">
        <f>IF(O422="","", IF(ARBITRAGES!$H422="BOME",P421+ARBITRAGES!$K422,P421))</f>
        <v/>
      </c>
      <c r="Q422" s="378" t="str">
        <f>IF(P422="","", IF(ARBITRAGES!$H422="PEPE",Q421+ARBITRAGES!$K422,Q421))</f>
        <v/>
      </c>
      <c r="R422" s="378" t="str">
        <f>IF(Q422="","", IF(ARBITRAGES!$H422="WIF",R421+ARBITRAGES!$K422,R421))</f>
        <v/>
      </c>
      <c r="S422" s="378" t="str">
        <f>IF(R422="","", IF(ARBITRAGES!$H422="RAY",S421+ARBITRAGES!$K422,S421))</f>
        <v/>
      </c>
      <c r="T422" s="360"/>
      <c r="U422" s="360"/>
      <c r="V422" s="360"/>
      <c r="W422" s="360"/>
      <c r="X422" s="360"/>
      <c r="Y422" s="360"/>
      <c r="Z422" s="360"/>
      <c r="AA422" s="360"/>
      <c r="AB422" s="360"/>
      <c r="AC422" s="360"/>
      <c r="AD422" s="360"/>
      <c r="AE422" s="360"/>
      <c r="AF422" s="360"/>
      <c r="AG422" s="360"/>
      <c r="AH422" s="360"/>
    </row>
    <row r="423" ht="18.75" customHeight="1">
      <c r="A423" s="399"/>
      <c r="B423" s="375" t="str">
        <f>IF(A423="","", IF(ARBITRAGES!$H423="BTC",B422+ARBITRAGES!$K423,B422))</f>
        <v/>
      </c>
      <c r="C423" s="375" t="str">
        <f>IF(B423="","", IF(ARBITRAGES!$H423="eth",C422+ARBITRAGES!$K423,C422))</f>
        <v/>
      </c>
      <c r="D423" s="376" t="str">
        <f>IF(C423="","", IF(ARBITRAGES!$H423="ondo",D422+ARBITRAGES!$K423,D422))</f>
        <v/>
      </c>
      <c r="E423" s="376" t="str">
        <f>IF(D423="","", IF(ARBITRAGES!$H423="sol",E422+ARBITRAGES!$K423,E422))</f>
        <v/>
      </c>
      <c r="F423" s="377" t="str">
        <f>IF(E423="","", IF(ARBITRAGES!$H423="tao",F422+ARBITRAGES!$K423,F422))</f>
        <v/>
      </c>
      <c r="G423" s="378" t="str">
        <f>IF(F423="","", IF(ARBITRAGES!$H423="ron",G422+ARBITRAGES!$K423,G422))</f>
        <v/>
      </c>
      <c r="H423" s="378" t="str">
        <f>IF(G423="","", IF(ARBITRAGES!$H423="link",H422+ARBITRAGES!$K423,H422))</f>
        <v/>
      </c>
      <c r="I423" s="378" t="str">
        <f>IF(H423="","", IF(ARBITRAGES!$H423="doge",I422+ARBITRAGES!$K423,I422))</f>
        <v/>
      </c>
      <c r="J423" s="378" t="str">
        <f>IF(I423="","", IF(ARBITRAGES!$H423="shib",J422-ARBITRAGES!$K423,J422))</f>
        <v/>
      </c>
      <c r="K423" s="378" t="str">
        <f>IF(J423="","", IF(ARBITRAGES!$H423="cake",K422+ARBITRAGES!$K423,K422))</f>
        <v/>
      </c>
      <c r="L423" s="378" t="str">
        <f>IF(K423="","", IF(ARBITRAGES!$H423="JUP",L422+ARBITRAGES!$K423,L422))</f>
        <v/>
      </c>
      <c r="M423" s="376" t="str">
        <f>IF(L423="","", IF(ARBITRAGES!$H423="aave",M422+ARBITRAGES!$K423,M422))</f>
        <v/>
      </c>
      <c r="N423" s="378" t="str">
        <f>IF(M423="","", IF(ARBITRAGES!$H423="ckb",N422+ARBITRAGES!$K423,N422))</f>
        <v/>
      </c>
      <c r="O423" s="378" t="str">
        <f>IF(N423="","", IF(ARBITRAGES!$H423="pendle",O422-ARBITRAGES!$K423+0.1,O422))</f>
        <v/>
      </c>
      <c r="P423" s="378" t="str">
        <f>IF(O423="","", IF(ARBITRAGES!$H423="BOME",P422+ARBITRAGES!$K423,P422))</f>
        <v/>
      </c>
      <c r="Q423" s="378" t="str">
        <f>IF(P423="","", IF(ARBITRAGES!$H423="PEPE",Q422+ARBITRAGES!$K423,Q422))</f>
        <v/>
      </c>
      <c r="R423" s="378" t="str">
        <f>IF(Q423="","", IF(ARBITRAGES!$H423="WIF",R422+ARBITRAGES!$K423,R422))</f>
        <v/>
      </c>
      <c r="S423" s="378" t="str">
        <f>IF(R423="","", IF(ARBITRAGES!$H423="RAY",S422+ARBITRAGES!$K423,S422))</f>
        <v/>
      </c>
      <c r="T423" s="360"/>
      <c r="U423" s="360"/>
      <c r="V423" s="360"/>
      <c r="W423" s="360"/>
      <c r="X423" s="360"/>
      <c r="Y423" s="360"/>
      <c r="Z423" s="360"/>
      <c r="AA423" s="360"/>
      <c r="AB423" s="360"/>
      <c r="AC423" s="360"/>
      <c r="AD423" s="360"/>
      <c r="AE423" s="360"/>
      <c r="AF423" s="360"/>
      <c r="AG423" s="360"/>
      <c r="AH423" s="360"/>
    </row>
    <row r="424" ht="18.75" customHeight="1">
      <c r="A424" s="399"/>
      <c r="B424" s="375" t="str">
        <f>IF(A424="","", IF(ARBITRAGES!$H424="BTC",B423+ARBITRAGES!$K424,B423))</f>
        <v/>
      </c>
      <c r="C424" s="375" t="str">
        <f>IF(B424="","", IF(ARBITRAGES!$H424="eth",C423+ARBITRAGES!$K424,C423))</f>
        <v/>
      </c>
      <c r="D424" s="376" t="str">
        <f>IF(C424="","", IF(ARBITRAGES!$H424="ondo",D423+ARBITRAGES!$K424,D423))</f>
        <v/>
      </c>
      <c r="E424" s="376" t="str">
        <f>IF(D424="","", IF(ARBITRAGES!$H424="sol",E423+ARBITRAGES!$K424,E423))</f>
        <v/>
      </c>
      <c r="F424" s="377" t="str">
        <f>IF(E424="","", IF(ARBITRAGES!$H424="tao",F423+ARBITRAGES!$K424,F423))</f>
        <v/>
      </c>
      <c r="G424" s="378" t="str">
        <f>IF(F424="","", IF(ARBITRAGES!$H424="ron",G423+ARBITRAGES!$K424,G423))</f>
        <v/>
      </c>
      <c r="H424" s="378" t="str">
        <f>IF(G424="","", IF(ARBITRAGES!$H424="link",H423+ARBITRAGES!$K424,H423))</f>
        <v/>
      </c>
      <c r="I424" s="378" t="str">
        <f>IF(H424="","", IF(ARBITRAGES!$H424="doge",I423+ARBITRAGES!$K424,I423))</f>
        <v/>
      </c>
      <c r="J424" s="378" t="str">
        <f>IF(I424="","", IF(ARBITRAGES!$H424="shib",J423-ARBITRAGES!$K424,J423))</f>
        <v/>
      </c>
      <c r="K424" s="378" t="str">
        <f>IF(J424="","", IF(ARBITRAGES!$H424="cake",K423+ARBITRAGES!$K424,K423))</f>
        <v/>
      </c>
      <c r="L424" s="378" t="str">
        <f>IF(K424="","", IF(ARBITRAGES!$H424="JUP",L423+ARBITRAGES!$K424,L423))</f>
        <v/>
      </c>
      <c r="M424" s="376" t="str">
        <f>IF(L424="","", IF(ARBITRAGES!$H424="aave",M423+ARBITRAGES!$K424,M423))</f>
        <v/>
      </c>
      <c r="N424" s="378" t="str">
        <f>IF(M424="","", IF(ARBITRAGES!$H424="ckb",N423+ARBITRAGES!$K424,N423))</f>
        <v/>
      </c>
      <c r="O424" s="378" t="str">
        <f>IF(N424="","", IF(ARBITRAGES!$H424="pendle",O423-ARBITRAGES!$K424+0.1,O423))</f>
        <v/>
      </c>
      <c r="P424" s="378" t="str">
        <f>IF(O424="","", IF(ARBITRAGES!$H424="BOME",P423+ARBITRAGES!$K424,P423))</f>
        <v/>
      </c>
      <c r="Q424" s="378" t="str">
        <f>IF(P424="","", IF(ARBITRAGES!$H424="PEPE",Q423+ARBITRAGES!$K424,Q423))</f>
        <v/>
      </c>
      <c r="R424" s="378" t="str">
        <f>IF(Q424="","", IF(ARBITRAGES!$H424="WIF",R423+ARBITRAGES!$K424,R423))</f>
        <v/>
      </c>
      <c r="S424" s="378" t="str">
        <f>IF(R424="","", IF(ARBITRAGES!$H424="RAY",S423+ARBITRAGES!$K424,S423))</f>
        <v/>
      </c>
      <c r="T424" s="360"/>
      <c r="U424" s="360"/>
      <c r="V424" s="360"/>
      <c r="W424" s="360"/>
      <c r="X424" s="360"/>
      <c r="Y424" s="360"/>
      <c r="Z424" s="360"/>
      <c r="AA424" s="360"/>
      <c r="AB424" s="360"/>
      <c r="AC424" s="360"/>
      <c r="AD424" s="360"/>
      <c r="AE424" s="360"/>
      <c r="AF424" s="360"/>
      <c r="AG424" s="360"/>
      <c r="AH424" s="360"/>
    </row>
    <row r="425" ht="18.75" customHeight="1">
      <c r="A425" s="399"/>
      <c r="B425" s="375" t="str">
        <f>IF(A425="","", IF(ARBITRAGES!$H425="BTC",B424+ARBITRAGES!$K425,B424))</f>
        <v/>
      </c>
      <c r="C425" s="375" t="str">
        <f>IF(B425="","", IF(ARBITRAGES!$H425="eth",C424+ARBITRAGES!$K425,C424))</f>
        <v/>
      </c>
      <c r="D425" s="376" t="str">
        <f>IF(C425="","", IF(ARBITRAGES!$H425="ondo",D424+ARBITRAGES!$K425,D424))</f>
        <v/>
      </c>
      <c r="E425" s="376" t="str">
        <f>IF(D425="","", IF(ARBITRAGES!$H425="sol",E424+ARBITRAGES!$K425,E424))</f>
        <v/>
      </c>
      <c r="F425" s="377" t="str">
        <f>IF(E425="","", IF(ARBITRAGES!$H425="tao",F424+ARBITRAGES!$K425,F424))</f>
        <v/>
      </c>
      <c r="G425" s="378" t="str">
        <f>IF(F425="","", IF(ARBITRAGES!$H425="ron",G424+ARBITRAGES!$K425,G424))</f>
        <v/>
      </c>
      <c r="H425" s="378" t="str">
        <f>IF(G425="","", IF(ARBITRAGES!$H425="link",H424+ARBITRAGES!$K425,H424))</f>
        <v/>
      </c>
      <c r="I425" s="378" t="str">
        <f>IF(H425="","", IF(ARBITRAGES!$H425="doge",I424+ARBITRAGES!$K425,I424))</f>
        <v/>
      </c>
      <c r="J425" s="378" t="str">
        <f>IF(I425="","", IF(ARBITRAGES!$H425="shib",J424-ARBITRAGES!$K425,J424))</f>
        <v/>
      </c>
      <c r="K425" s="378" t="str">
        <f>IF(J425="","", IF(ARBITRAGES!$H425="cake",K424+ARBITRAGES!$K425,K424))</f>
        <v/>
      </c>
      <c r="L425" s="378" t="str">
        <f>IF(K425="","", IF(ARBITRAGES!$H425="JUP",L424+ARBITRAGES!$K425,L424))</f>
        <v/>
      </c>
      <c r="M425" s="376" t="str">
        <f>IF(L425="","", IF(ARBITRAGES!$H425="aave",M424+ARBITRAGES!$K425,M424))</f>
        <v/>
      </c>
      <c r="N425" s="378" t="str">
        <f>IF(M425="","", IF(ARBITRAGES!$H425="ckb",N424+ARBITRAGES!$K425,N424))</f>
        <v/>
      </c>
      <c r="O425" s="378" t="str">
        <f>IF(N425="","", IF(ARBITRAGES!$H425="pendle",O424-ARBITRAGES!$K425+0.1,O424))</f>
        <v/>
      </c>
      <c r="P425" s="378" t="str">
        <f>IF(O425="","", IF(ARBITRAGES!$H425="BOME",P424+ARBITRAGES!$K425,P424))</f>
        <v/>
      </c>
      <c r="Q425" s="378" t="str">
        <f>IF(P425="","", IF(ARBITRAGES!$H425="PEPE",Q424+ARBITRAGES!$K425,Q424))</f>
        <v/>
      </c>
      <c r="R425" s="378" t="str">
        <f>IF(Q425="","", IF(ARBITRAGES!$H425="WIF",R424+ARBITRAGES!$K425,R424))</f>
        <v/>
      </c>
      <c r="S425" s="378" t="str">
        <f>IF(R425="","", IF(ARBITRAGES!$H425="RAY",S424+ARBITRAGES!$K425,S424))</f>
        <v/>
      </c>
      <c r="T425" s="360"/>
      <c r="U425" s="360"/>
      <c r="V425" s="360"/>
      <c r="W425" s="360"/>
      <c r="X425" s="360"/>
      <c r="Y425" s="360"/>
      <c r="Z425" s="360"/>
      <c r="AA425" s="360"/>
      <c r="AB425" s="360"/>
      <c r="AC425" s="360"/>
      <c r="AD425" s="360"/>
      <c r="AE425" s="360"/>
      <c r="AF425" s="360"/>
      <c r="AG425" s="360"/>
      <c r="AH425" s="360"/>
    </row>
    <row r="426" ht="18.75" customHeight="1">
      <c r="A426" s="399"/>
      <c r="B426" s="375" t="str">
        <f>IF(A426="","", IF(ARBITRAGES!$H426="BTC",B425+ARBITRAGES!$K426,B425))</f>
        <v/>
      </c>
      <c r="C426" s="375" t="str">
        <f>IF(B426="","", IF(ARBITRAGES!$H426="eth",C425+ARBITRAGES!$K426,C425))</f>
        <v/>
      </c>
      <c r="D426" s="376" t="str">
        <f>IF(C426="","", IF(ARBITRAGES!$H426="ondo",D425+ARBITRAGES!$K426,D425))</f>
        <v/>
      </c>
      <c r="E426" s="376" t="str">
        <f>IF(D426="","", IF(ARBITRAGES!$H426="sol",E425+ARBITRAGES!$K426,E425))</f>
        <v/>
      </c>
      <c r="F426" s="377" t="str">
        <f>IF(E426="","", IF(ARBITRAGES!$H426="tao",F425+ARBITRAGES!$K426,F425))</f>
        <v/>
      </c>
      <c r="G426" s="378" t="str">
        <f>IF(F426="","", IF(ARBITRAGES!$H426="ron",G425+ARBITRAGES!$K426,G425))</f>
        <v/>
      </c>
      <c r="H426" s="378" t="str">
        <f>IF(G426="","", IF(ARBITRAGES!$H426="link",H425+ARBITRAGES!$K426,H425))</f>
        <v/>
      </c>
      <c r="I426" s="378" t="str">
        <f>IF(H426="","", IF(ARBITRAGES!$H426="doge",I425+ARBITRAGES!$K426,I425))</f>
        <v/>
      </c>
      <c r="J426" s="378" t="str">
        <f>IF(I426="","", IF(ARBITRAGES!$H426="shib",J425-ARBITRAGES!$K426,J425))</f>
        <v/>
      </c>
      <c r="K426" s="378" t="str">
        <f>IF(J426="","", IF(ARBITRAGES!$H426="cake",K425+ARBITRAGES!$K426,K425))</f>
        <v/>
      </c>
      <c r="L426" s="378" t="str">
        <f>IF(K426="","", IF(ARBITRAGES!$H426="JUP",L425+ARBITRAGES!$K426,L425))</f>
        <v/>
      </c>
      <c r="M426" s="376" t="str">
        <f>IF(L426="","", IF(ARBITRAGES!$H426="aave",M425+ARBITRAGES!$K426,M425))</f>
        <v/>
      </c>
      <c r="N426" s="378" t="str">
        <f>IF(M426="","", IF(ARBITRAGES!$H426="ckb",N425+ARBITRAGES!$K426,N425))</f>
        <v/>
      </c>
      <c r="O426" s="378" t="str">
        <f>IF(N426="","", IF(ARBITRAGES!$H426="pendle",O425-ARBITRAGES!$K426+0.1,O425))</f>
        <v/>
      </c>
      <c r="P426" s="378" t="str">
        <f>IF(O426="","", IF(ARBITRAGES!$H426="BOME",P425+ARBITRAGES!$K426,P425))</f>
        <v/>
      </c>
      <c r="Q426" s="378" t="str">
        <f>IF(P426="","", IF(ARBITRAGES!$H426="PEPE",Q425+ARBITRAGES!$K426,Q425))</f>
        <v/>
      </c>
      <c r="R426" s="378" t="str">
        <f>IF(Q426="","", IF(ARBITRAGES!$H426="WIF",R425+ARBITRAGES!$K426,R425))</f>
        <v/>
      </c>
      <c r="S426" s="378" t="str">
        <f>IF(R426="","", IF(ARBITRAGES!$H426="RAY",S425+ARBITRAGES!$K426,S425))</f>
        <v/>
      </c>
      <c r="T426" s="360"/>
      <c r="U426" s="360"/>
      <c r="V426" s="360"/>
      <c r="W426" s="360"/>
      <c r="X426" s="360"/>
      <c r="Y426" s="360"/>
      <c r="Z426" s="360"/>
      <c r="AA426" s="360"/>
      <c r="AB426" s="360"/>
      <c r="AC426" s="360"/>
      <c r="AD426" s="360"/>
      <c r="AE426" s="360"/>
      <c r="AF426" s="360"/>
      <c r="AG426" s="360"/>
      <c r="AH426" s="360"/>
    </row>
    <row r="427" ht="18.75" customHeight="1">
      <c r="A427" s="399"/>
      <c r="B427" s="375" t="str">
        <f>IF(A427="","", IF(ARBITRAGES!$H427="BTC",B426+ARBITRAGES!$K427,B426))</f>
        <v/>
      </c>
      <c r="C427" s="375" t="str">
        <f>IF(B427="","", IF(ARBITRAGES!$H427="eth",C426+ARBITRAGES!$K427,C426))</f>
        <v/>
      </c>
      <c r="D427" s="376" t="str">
        <f>IF(C427="","", IF(ARBITRAGES!$H427="ondo",D426+ARBITRAGES!$K427,D426))</f>
        <v/>
      </c>
      <c r="E427" s="376" t="str">
        <f>IF(D427="","", IF(ARBITRAGES!$H427="sol",E426+ARBITRAGES!$K427,E426))</f>
        <v/>
      </c>
      <c r="F427" s="377" t="str">
        <f>IF(E427="","", IF(ARBITRAGES!$H427="tao",F426+ARBITRAGES!$K427,F426))</f>
        <v/>
      </c>
      <c r="G427" s="378" t="str">
        <f>IF(F427="","", IF(ARBITRAGES!$H427="ron",G426+ARBITRAGES!$K427,G426))</f>
        <v/>
      </c>
      <c r="H427" s="378" t="str">
        <f>IF(G427="","", IF(ARBITRAGES!$H427="link",H426+ARBITRAGES!$K427,H426))</f>
        <v/>
      </c>
      <c r="I427" s="378" t="str">
        <f>IF(H427="","", IF(ARBITRAGES!$H427="doge",I426+ARBITRAGES!$K427,I426))</f>
        <v/>
      </c>
      <c r="J427" s="378" t="str">
        <f>IF(I427="","", IF(ARBITRAGES!$H427="shib",J426-ARBITRAGES!$K427,J426))</f>
        <v/>
      </c>
      <c r="K427" s="378" t="str">
        <f>IF(J427="","", IF(ARBITRAGES!$H427="cake",K426+ARBITRAGES!$K427,K426))</f>
        <v/>
      </c>
      <c r="L427" s="378" t="str">
        <f>IF(K427="","", IF(ARBITRAGES!$H427="JUP",L426+ARBITRAGES!$K427,L426))</f>
        <v/>
      </c>
      <c r="M427" s="376" t="str">
        <f>IF(L427="","", IF(ARBITRAGES!$H427="aave",M426+ARBITRAGES!$K427,M426))</f>
        <v/>
      </c>
      <c r="N427" s="378" t="str">
        <f>IF(M427="","", IF(ARBITRAGES!$H427="ckb",N426+ARBITRAGES!$K427,N426))</f>
        <v/>
      </c>
      <c r="O427" s="378" t="str">
        <f>IF(N427="","", IF(ARBITRAGES!$H427="pendle",O426-ARBITRAGES!$K427+0.1,O426))</f>
        <v/>
      </c>
      <c r="P427" s="378" t="str">
        <f>IF(O427="","", IF(ARBITRAGES!$H427="BOME",P426+ARBITRAGES!$K427,P426))</f>
        <v/>
      </c>
      <c r="Q427" s="378" t="str">
        <f>IF(P427="","", IF(ARBITRAGES!$H427="PEPE",Q426+ARBITRAGES!$K427,Q426))</f>
        <v/>
      </c>
      <c r="R427" s="378" t="str">
        <f>IF(Q427="","", IF(ARBITRAGES!$H427="WIF",R426+ARBITRAGES!$K427,R426))</f>
        <v/>
      </c>
      <c r="S427" s="378" t="str">
        <f>IF(R427="","", IF(ARBITRAGES!$H427="RAY",S426+ARBITRAGES!$K427,S426))</f>
        <v/>
      </c>
      <c r="T427" s="360"/>
      <c r="U427" s="360"/>
      <c r="V427" s="360"/>
      <c r="W427" s="360"/>
      <c r="X427" s="360"/>
      <c r="Y427" s="360"/>
      <c r="Z427" s="360"/>
      <c r="AA427" s="360"/>
      <c r="AB427" s="360"/>
      <c r="AC427" s="360"/>
      <c r="AD427" s="360"/>
      <c r="AE427" s="360"/>
      <c r="AF427" s="360"/>
      <c r="AG427" s="360"/>
      <c r="AH427" s="360"/>
    </row>
    <row r="428" ht="18.75" customHeight="1">
      <c r="A428" s="399"/>
      <c r="B428" s="375" t="str">
        <f>IF(A428="","", IF(ARBITRAGES!$H428="BTC",B427+ARBITRAGES!$K428,B427))</f>
        <v/>
      </c>
      <c r="C428" s="375" t="str">
        <f>IF(B428="","", IF(ARBITRAGES!$H428="eth",C427+ARBITRAGES!$K428,C427))</f>
        <v/>
      </c>
      <c r="D428" s="376" t="str">
        <f>IF(C428="","", IF(ARBITRAGES!$H428="ondo",D427+ARBITRAGES!$K428,D427))</f>
        <v/>
      </c>
      <c r="E428" s="376" t="str">
        <f>IF(D428="","", IF(ARBITRAGES!$H428="sol",E427+ARBITRAGES!$K428,E427))</f>
        <v/>
      </c>
      <c r="F428" s="377" t="str">
        <f>IF(E428="","", IF(ARBITRAGES!$H428="tao",F427+ARBITRAGES!$K428,F427))</f>
        <v/>
      </c>
      <c r="G428" s="378" t="str">
        <f>IF(F428="","", IF(ARBITRAGES!$H428="ron",G427+ARBITRAGES!$K428,G427))</f>
        <v/>
      </c>
      <c r="H428" s="378" t="str">
        <f>IF(G428="","", IF(ARBITRAGES!$H428="link",H427+ARBITRAGES!$K428,H427))</f>
        <v/>
      </c>
      <c r="I428" s="378" t="str">
        <f>IF(H428="","", IF(ARBITRAGES!$H428="doge",I427+ARBITRAGES!$K428,I427))</f>
        <v/>
      </c>
      <c r="J428" s="378" t="str">
        <f>IF(I428="","", IF(ARBITRAGES!$H428="shib",J427-ARBITRAGES!$K428,J427))</f>
        <v/>
      </c>
      <c r="K428" s="378" t="str">
        <f>IF(J428="","", IF(ARBITRAGES!$H428="cake",K427+ARBITRAGES!$K428,K427))</f>
        <v/>
      </c>
      <c r="L428" s="378" t="str">
        <f>IF(K428="","", IF(ARBITRAGES!$H428="JUP",L427+ARBITRAGES!$K428,L427))</f>
        <v/>
      </c>
      <c r="M428" s="376" t="str">
        <f>IF(L428="","", IF(ARBITRAGES!$H428="aave",M427+ARBITRAGES!$K428,M427))</f>
        <v/>
      </c>
      <c r="N428" s="378" t="str">
        <f>IF(M428="","", IF(ARBITRAGES!$H428="ckb",N427+ARBITRAGES!$K428,N427))</f>
        <v/>
      </c>
      <c r="O428" s="378" t="str">
        <f>IF(N428="","", IF(ARBITRAGES!$H428="pendle",O427-ARBITRAGES!$K428+0.1,O427))</f>
        <v/>
      </c>
      <c r="P428" s="378" t="str">
        <f>IF(O428="","", IF(ARBITRAGES!$H428="BOME",P427+ARBITRAGES!$K428,P427))</f>
        <v/>
      </c>
      <c r="Q428" s="378" t="str">
        <f>IF(P428="","", IF(ARBITRAGES!$H428="PEPE",Q427+ARBITRAGES!$K428,Q427))</f>
        <v/>
      </c>
      <c r="R428" s="378" t="str">
        <f>IF(Q428="","", IF(ARBITRAGES!$H428="WIF",R427+ARBITRAGES!$K428,R427))</f>
        <v/>
      </c>
      <c r="S428" s="378" t="str">
        <f>IF(R428="","", IF(ARBITRAGES!$H428="RAY",S427+ARBITRAGES!$K428,S427))</f>
        <v/>
      </c>
      <c r="T428" s="360"/>
      <c r="U428" s="360"/>
      <c r="V428" s="360"/>
      <c r="W428" s="360"/>
      <c r="X428" s="360"/>
      <c r="Y428" s="360"/>
      <c r="Z428" s="360"/>
      <c r="AA428" s="360"/>
      <c r="AB428" s="360"/>
      <c r="AC428" s="360"/>
      <c r="AD428" s="360"/>
      <c r="AE428" s="360"/>
      <c r="AF428" s="360"/>
      <c r="AG428" s="360"/>
      <c r="AH428" s="360"/>
    </row>
    <row r="429" ht="18.75" customHeight="1">
      <c r="A429" s="399"/>
      <c r="B429" s="375" t="str">
        <f>IF(A429="","", IF(ARBITRAGES!$H429="BTC",B428+ARBITRAGES!$K429,B428))</f>
        <v/>
      </c>
      <c r="C429" s="375" t="str">
        <f>IF(B429="","", IF(ARBITRAGES!$H429="eth",C428+ARBITRAGES!$K429,C428))</f>
        <v/>
      </c>
      <c r="D429" s="376" t="str">
        <f>IF(C429="","", IF(ARBITRAGES!$H429="ondo",D428+ARBITRAGES!$K429,D428))</f>
        <v/>
      </c>
      <c r="E429" s="376" t="str">
        <f>IF(D429="","", IF(ARBITRAGES!$H429="sol",E428+ARBITRAGES!$K429,E428))</f>
        <v/>
      </c>
      <c r="F429" s="377" t="str">
        <f>IF(E429="","", IF(ARBITRAGES!$H429="tao",F428+ARBITRAGES!$K429,F428))</f>
        <v/>
      </c>
      <c r="G429" s="378" t="str">
        <f>IF(F429="","", IF(ARBITRAGES!$H429="ron",G428+ARBITRAGES!$K429,G428))</f>
        <v/>
      </c>
      <c r="H429" s="378" t="str">
        <f>IF(G429="","", IF(ARBITRAGES!$H429="link",H428+ARBITRAGES!$K429,H428))</f>
        <v/>
      </c>
      <c r="I429" s="378" t="str">
        <f>IF(H429="","", IF(ARBITRAGES!$H429="doge",I428+ARBITRAGES!$K429,I428))</f>
        <v/>
      </c>
      <c r="J429" s="378" t="str">
        <f>IF(I429="","", IF(ARBITRAGES!$H429="shib",J428-ARBITRAGES!$K429,J428))</f>
        <v/>
      </c>
      <c r="K429" s="378" t="str">
        <f>IF(J429="","", IF(ARBITRAGES!$H429="cake",K428+ARBITRAGES!$K429,K428))</f>
        <v/>
      </c>
      <c r="L429" s="378" t="str">
        <f>IF(K429="","", IF(ARBITRAGES!$H429="JUP",L428+ARBITRAGES!$K429,L428))</f>
        <v/>
      </c>
      <c r="M429" s="376" t="str">
        <f>IF(L429="","", IF(ARBITRAGES!$H429="aave",M428+ARBITRAGES!$K429,M428))</f>
        <v/>
      </c>
      <c r="N429" s="378" t="str">
        <f>IF(M429="","", IF(ARBITRAGES!$H429="ckb",N428+ARBITRAGES!$K429,N428))</f>
        <v/>
      </c>
      <c r="O429" s="378" t="str">
        <f>IF(N429="","", IF(ARBITRAGES!$H429="pendle",O428-ARBITRAGES!$K429+0.1,O428))</f>
        <v/>
      </c>
      <c r="P429" s="378" t="str">
        <f>IF(O429="","", IF(ARBITRAGES!$H429="BOME",P428+ARBITRAGES!$K429,P428))</f>
        <v/>
      </c>
      <c r="Q429" s="378" t="str">
        <f>IF(P429="","", IF(ARBITRAGES!$H429="PEPE",Q428+ARBITRAGES!$K429,Q428))</f>
        <v/>
      </c>
      <c r="R429" s="378" t="str">
        <f>IF(Q429="","", IF(ARBITRAGES!$H429="WIF",R428+ARBITRAGES!$K429,R428))</f>
        <v/>
      </c>
      <c r="S429" s="378" t="str">
        <f>IF(R429="","", IF(ARBITRAGES!$H429="RAY",S428+ARBITRAGES!$K429,S428))</f>
        <v/>
      </c>
      <c r="T429" s="360"/>
      <c r="U429" s="360"/>
      <c r="V429" s="360"/>
      <c r="W429" s="360"/>
      <c r="X429" s="360"/>
      <c r="Y429" s="360"/>
      <c r="Z429" s="360"/>
      <c r="AA429" s="360"/>
      <c r="AB429" s="360"/>
      <c r="AC429" s="360"/>
      <c r="AD429" s="360"/>
      <c r="AE429" s="360"/>
      <c r="AF429" s="360"/>
      <c r="AG429" s="360"/>
      <c r="AH429" s="360"/>
    </row>
    <row r="430" ht="18.75" customHeight="1">
      <c r="A430" s="399"/>
      <c r="B430" s="375" t="str">
        <f>IF(A430="","", IF(ARBITRAGES!$H430="BTC",B429+ARBITRAGES!$K430,B429))</f>
        <v/>
      </c>
      <c r="C430" s="375" t="str">
        <f>IF(B430="","", IF(ARBITRAGES!$H430="eth",C429+ARBITRAGES!$K430,C429))</f>
        <v/>
      </c>
      <c r="D430" s="376" t="str">
        <f>IF(C430="","", IF(ARBITRAGES!$H430="ondo",D429+ARBITRAGES!$K430,D429))</f>
        <v/>
      </c>
      <c r="E430" s="376" t="str">
        <f>IF(D430="","", IF(ARBITRAGES!$H430="sol",E429+ARBITRAGES!$K430,E429))</f>
        <v/>
      </c>
      <c r="F430" s="377" t="str">
        <f>IF(E430="","", IF(ARBITRAGES!$H430="tao",F429+ARBITRAGES!$K430,F429))</f>
        <v/>
      </c>
      <c r="G430" s="378" t="str">
        <f>IF(F430="","", IF(ARBITRAGES!$H430="ron",G429+ARBITRAGES!$K430,G429))</f>
        <v/>
      </c>
      <c r="H430" s="378" t="str">
        <f>IF(G430="","", IF(ARBITRAGES!$H430="link",H429+ARBITRAGES!$K430,H429))</f>
        <v/>
      </c>
      <c r="I430" s="378" t="str">
        <f>IF(H430="","", IF(ARBITRAGES!$H430="doge",I429+ARBITRAGES!$K430,I429))</f>
        <v/>
      </c>
      <c r="J430" s="378" t="str">
        <f>IF(I430="","", IF(ARBITRAGES!$H430="shib",J429-ARBITRAGES!$K430,J429))</f>
        <v/>
      </c>
      <c r="K430" s="378" t="str">
        <f>IF(J430="","", IF(ARBITRAGES!$H430="cake",K429+ARBITRAGES!$K430,K429))</f>
        <v/>
      </c>
      <c r="L430" s="378" t="str">
        <f>IF(K430="","", IF(ARBITRAGES!$H430="JUP",L429+ARBITRAGES!$K430,L429))</f>
        <v/>
      </c>
      <c r="M430" s="376" t="str">
        <f>IF(L430="","", IF(ARBITRAGES!$H430="aave",M429+ARBITRAGES!$K430,M429))</f>
        <v/>
      </c>
      <c r="N430" s="378" t="str">
        <f>IF(M430="","", IF(ARBITRAGES!$H430="ckb",N429+ARBITRAGES!$K430,N429))</f>
        <v/>
      </c>
      <c r="O430" s="378" t="str">
        <f>IF(N430="","", IF(ARBITRAGES!$H430="pendle",O429-ARBITRAGES!$K430+0.1,O429))</f>
        <v/>
      </c>
      <c r="P430" s="378" t="str">
        <f>IF(O430="","", IF(ARBITRAGES!$H430="BOME",P429+ARBITRAGES!$K430,P429))</f>
        <v/>
      </c>
      <c r="Q430" s="378" t="str">
        <f>IF(P430="","", IF(ARBITRAGES!$H430="PEPE",Q429+ARBITRAGES!$K430,Q429))</f>
        <v/>
      </c>
      <c r="R430" s="378" t="str">
        <f>IF(Q430="","", IF(ARBITRAGES!$H430="WIF",R429+ARBITRAGES!$K430,R429))</f>
        <v/>
      </c>
      <c r="S430" s="378" t="str">
        <f>IF(R430="","", IF(ARBITRAGES!$H430="RAY",S429+ARBITRAGES!$K430,S429))</f>
        <v/>
      </c>
      <c r="T430" s="360"/>
      <c r="U430" s="360"/>
      <c r="V430" s="360"/>
      <c r="W430" s="360"/>
      <c r="X430" s="360"/>
      <c r="Y430" s="360"/>
      <c r="Z430" s="360"/>
      <c r="AA430" s="360"/>
      <c r="AB430" s="360"/>
      <c r="AC430" s="360"/>
      <c r="AD430" s="360"/>
      <c r="AE430" s="360"/>
      <c r="AF430" s="360"/>
      <c r="AG430" s="360"/>
      <c r="AH430" s="360"/>
    </row>
    <row r="431" ht="18.75" customHeight="1">
      <c r="A431" s="399"/>
      <c r="B431" s="375" t="str">
        <f>IF(A431="","", IF(ARBITRAGES!$H431="BTC",B430+ARBITRAGES!$K431,B430))</f>
        <v/>
      </c>
      <c r="C431" s="375" t="str">
        <f>IF(B431="","", IF(ARBITRAGES!$H431="eth",C430+ARBITRAGES!$K431,C430))</f>
        <v/>
      </c>
      <c r="D431" s="376" t="str">
        <f>IF(C431="","", IF(ARBITRAGES!$H431="ondo",D430+ARBITRAGES!$K431,D430))</f>
        <v/>
      </c>
      <c r="E431" s="376" t="str">
        <f>IF(D431="","", IF(ARBITRAGES!$H431="sol",E430+ARBITRAGES!$K431,E430))</f>
        <v/>
      </c>
      <c r="F431" s="377" t="str">
        <f>IF(E431="","", IF(ARBITRAGES!$H431="tao",F430+ARBITRAGES!$K431,F430))</f>
        <v/>
      </c>
      <c r="G431" s="378" t="str">
        <f>IF(F431="","", IF(ARBITRAGES!$H431="ron",G430+ARBITRAGES!$K431,G430))</f>
        <v/>
      </c>
      <c r="H431" s="378" t="str">
        <f>IF(G431="","", IF(ARBITRAGES!$H431="link",H430+ARBITRAGES!$K431,H430))</f>
        <v/>
      </c>
      <c r="I431" s="378" t="str">
        <f>IF(H431="","", IF(ARBITRAGES!$H431="doge",I430+ARBITRAGES!$K431,I430))</f>
        <v/>
      </c>
      <c r="J431" s="378" t="str">
        <f>IF(I431="","", IF(ARBITRAGES!$H431="shib",J430-ARBITRAGES!$K431,J430))</f>
        <v/>
      </c>
      <c r="K431" s="378" t="str">
        <f>IF(J431="","", IF(ARBITRAGES!$H431="cake",K430+ARBITRAGES!$K431,K430))</f>
        <v/>
      </c>
      <c r="L431" s="378" t="str">
        <f>IF(K431="","", IF(ARBITRAGES!$H431="JUP",L430+ARBITRAGES!$K431,L430))</f>
        <v/>
      </c>
      <c r="M431" s="376" t="str">
        <f>IF(L431="","", IF(ARBITRAGES!$H431="aave",M430+ARBITRAGES!$K431,M430))</f>
        <v/>
      </c>
      <c r="N431" s="378" t="str">
        <f>IF(M431="","", IF(ARBITRAGES!$H431="ckb",N430+ARBITRAGES!$K431,N430))</f>
        <v/>
      </c>
      <c r="O431" s="378" t="str">
        <f>IF(N431="","", IF(ARBITRAGES!$H431="pendle",O430-ARBITRAGES!$K431+0.1,O430))</f>
        <v/>
      </c>
      <c r="P431" s="378" t="str">
        <f>IF(O431="","", IF(ARBITRAGES!$H431="BOME",P430+ARBITRAGES!$K431,P430))</f>
        <v/>
      </c>
      <c r="Q431" s="378" t="str">
        <f>IF(P431="","", IF(ARBITRAGES!$H431="PEPE",Q430+ARBITRAGES!$K431,Q430))</f>
        <v/>
      </c>
      <c r="R431" s="378" t="str">
        <f>IF(Q431="","", IF(ARBITRAGES!$H431="WIF",R430+ARBITRAGES!$K431,R430))</f>
        <v/>
      </c>
      <c r="S431" s="378" t="str">
        <f>IF(R431="","", IF(ARBITRAGES!$H431="RAY",S430+ARBITRAGES!$K431,S430))</f>
        <v/>
      </c>
      <c r="T431" s="360"/>
      <c r="U431" s="360"/>
      <c r="V431" s="360"/>
      <c r="W431" s="360"/>
      <c r="X431" s="360"/>
      <c r="Y431" s="360"/>
      <c r="Z431" s="360"/>
      <c r="AA431" s="360"/>
      <c r="AB431" s="360"/>
      <c r="AC431" s="360"/>
      <c r="AD431" s="360"/>
      <c r="AE431" s="360"/>
      <c r="AF431" s="360"/>
      <c r="AG431" s="360"/>
      <c r="AH431" s="360"/>
    </row>
    <row r="432" ht="18.75" customHeight="1">
      <c r="A432" s="399"/>
      <c r="B432" s="375" t="str">
        <f>IF(A432="","", IF(ARBITRAGES!$H432="BTC",B431+ARBITRAGES!$K432,B431))</f>
        <v/>
      </c>
      <c r="C432" s="375" t="str">
        <f>IF(B432="","", IF(ARBITRAGES!$H432="eth",C431+ARBITRAGES!$K432,C431))</f>
        <v/>
      </c>
      <c r="D432" s="376" t="str">
        <f>IF(C432="","", IF(ARBITRAGES!$H432="ondo",D431+ARBITRAGES!$K432,D431))</f>
        <v/>
      </c>
      <c r="E432" s="376" t="str">
        <f>IF(D432="","", IF(ARBITRAGES!$H432="sol",E431+ARBITRAGES!$K432,E431))</f>
        <v/>
      </c>
      <c r="F432" s="377" t="str">
        <f>IF(E432="","", IF(ARBITRAGES!$H432="tao",F431+ARBITRAGES!$K432,F431))</f>
        <v/>
      </c>
      <c r="G432" s="378" t="str">
        <f>IF(F432="","", IF(ARBITRAGES!$H432="ron",G431+ARBITRAGES!$K432,G431))</f>
        <v/>
      </c>
      <c r="H432" s="378" t="str">
        <f>IF(G432="","", IF(ARBITRAGES!$H432="link",H431+ARBITRAGES!$K432,H431))</f>
        <v/>
      </c>
      <c r="I432" s="378" t="str">
        <f>IF(H432="","", IF(ARBITRAGES!$H432="doge",I431+ARBITRAGES!$K432,I431))</f>
        <v/>
      </c>
      <c r="J432" s="378" t="str">
        <f>IF(I432="","", IF(ARBITRAGES!$H432="shib",J431-ARBITRAGES!$K432,J431))</f>
        <v/>
      </c>
      <c r="K432" s="378" t="str">
        <f>IF(J432="","", IF(ARBITRAGES!$H432="cake",K431+ARBITRAGES!$K432,K431))</f>
        <v/>
      </c>
      <c r="L432" s="378" t="str">
        <f>IF(K432="","", IF(ARBITRAGES!$H432="JUP",L431+ARBITRAGES!$K432,L431))</f>
        <v/>
      </c>
      <c r="M432" s="376" t="str">
        <f>IF(L432="","", IF(ARBITRAGES!$H432="aave",M431+ARBITRAGES!$K432,M431))</f>
        <v/>
      </c>
      <c r="N432" s="378" t="str">
        <f>IF(M432="","", IF(ARBITRAGES!$H432="ckb",N431+ARBITRAGES!$K432,N431))</f>
        <v/>
      </c>
      <c r="O432" s="378" t="str">
        <f>IF(N432="","", IF(ARBITRAGES!$H432="pendle",O431-ARBITRAGES!$K432+0.1,O431))</f>
        <v/>
      </c>
      <c r="P432" s="378" t="str">
        <f>IF(O432="","", IF(ARBITRAGES!$H432="BOME",P431+ARBITRAGES!$K432,P431))</f>
        <v/>
      </c>
      <c r="Q432" s="378" t="str">
        <f>IF(P432="","", IF(ARBITRAGES!$H432="PEPE",Q431+ARBITRAGES!$K432,Q431))</f>
        <v/>
      </c>
      <c r="R432" s="378" t="str">
        <f>IF(Q432="","", IF(ARBITRAGES!$H432="WIF",R431+ARBITRAGES!$K432,R431))</f>
        <v/>
      </c>
      <c r="S432" s="378" t="str">
        <f>IF(R432="","", IF(ARBITRAGES!$H432="RAY",S431+ARBITRAGES!$K432,S431))</f>
        <v/>
      </c>
      <c r="T432" s="360"/>
      <c r="U432" s="360"/>
      <c r="V432" s="360"/>
      <c r="W432" s="360"/>
      <c r="X432" s="360"/>
      <c r="Y432" s="360"/>
      <c r="Z432" s="360"/>
      <c r="AA432" s="360"/>
      <c r="AB432" s="360"/>
      <c r="AC432" s="360"/>
      <c r="AD432" s="360"/>
      <c r="AE432" s="360"/>
      <c r="AF432" s="360"/>
      <c r="AG432" s="360"/>
      <c r="AH432" s="360"/>
    </row>
    <row r="433" ht="18.75" customHeight="1">
      <c r="A433" s="399"/>
      <c r="B433" s="375" t="str">
        <f>IF(A433="","", IF(ARBITRAGES!$H433="BTC",B432+ARBITRAGES!$K433,B432))</f>
        <v/>
      </c>
      <c r="C433" s="375" t="str">
        <f>IF(B433="","", IF(ARBITRAGES!$H433="eth",C432+ARBITRAGES!$K433,C432))</f>
        <v/>
      </c>
      <c r="D433" s="376" t="str">
        <f>IF(C433="","", IF(ARBITRAGES!$H433="ondo",D432+ARBITRAGES!$K433,D432))</f>
        <v/>
      </c>
      <c r="E433" s="376" t="str">
        <f>IF(D433="","", IF(ARBITRAGES!$H433="sol",E432+ARBITRAGES!$K433,E432))</f>
        <v/>
      </c>
      <c r="F433" s="377" t="str">
        <f>IF(E433="","", IF(ARBITRAGES!$H433="tao",F432+ARBITRAGES!$K433,F432))</f>
        <v/>
      </c>
      <c r="G433" s="378" t="str">
        <f>IF(F433="","", IF(ARBITRAGES!$H433="ron",G432+ARBITRAGES!$K433,G432))</f>
        <v/>
      </c>
      <c r="H433" s="378" t="str">
        <f>IF(G433="","", IF(ARBITRAGES!$H433="link",H432+ARBITRAGES!$K433,H432))</f>
        <v/>
      </c>
      <c r="I433" s="378" t="str">
        <f>IF(H433="","", IF(ARBITRAGES!$H433="doge",I432+ARBITRAGES!$K433,I432))</f>
        <v/>
      </c>
      <c r="J433" s="378" t="str">
        <f>IF(I433="","", IF(ARBITRAGES!$H433="shib",J432-ARBITRAGES!$K433,J432))</f>
        <v/>
      </c>
      <c r="K433" s="378" t="str">
        <f>IF(J433="","", IF(ARBITRAGES!$H433="cake",K432+ARBITRAGES!$K433,K432))</f>
        <v/>
      </c>
      <c r="L433" s="378" t="str">
        <f>IF(K433="","", IF(ARBITRAGES!$H433="JUP",L432+ARBITRAGES!$K433,L432))</f>
        <v/>
      </c>
      <c r="M433" s="376" t="str">
        <f>IF(L433="","", IF(ARBITRAGES!$H433="aave",M432+ARBITRAGES!$K433,M432))</f>
        <v/>
      </c>
      <c r="N433" s="378" t="str">
        <f>IF(M433="","", IF(ARBITRAGES!$H433="ckb",N432+ARBITRAGES!$K433,N432))</f>
        <v/>
      </c>
      <c r="O433" s="378" t="str">
        <f>IF(N433="","", IF(ARBITRAGES!$H433="pendle",O432-ARBITRAGES!$K433+0.1,O432))</f>
        <v/>
      </c>
      <c r="P433" s="378" t="str">
        <f>IF(O433="","", IF(ARBITRAGES!$H433="BOME",P432+ARBITRAGES!$K433,P432))</f>
        <v/>
      </c>
      <c r="Q433" s="378" t="str">
        <f>IF(P433="","", IF(ARBITRAGES!$H433="PEPE",Q432+ARBITRAGES!$K433,Q432))</f>
        <v/>
      </c>
      <c r="R433" s="378" t="str">
        <f>IF(Q433="","", IF(ARBITRAGES!$H433="WIF",R432+ARBITRAGES!$K433,R432))</f>
        <v/>
      </c>
      <c r="S433" s="378" t="str">
        <f>IF(R433="","", IF(ARBITRAGES!$H433="RAY",S432+ARBITRAGES!$K433,S432))</f>
        <v/>
      </c>
      <c r="T433" s="360"/>
      <c r="U433" s="360"/>
      <c r="V433" s="360"/>
      <c r="W433" s="360"/>
      <c r="X433" s="360"/>
      <c r="Y433" s="360"/>
      <c r="Z433" s="360"/>
      <c r="AA433" s="360"/>
      <c r="AB433" s="360"/>
      <c r="AC433" s="360"/>
      <c r="AD433" s="360"/>
      <c r="AE433" s="360"/>
      <c r="AF433" s="360"/>
      <c r="AG433" s="360"/>
      <c r="AH433" s="360"/>
    </row>
    <row r="434" ht="18.75" customHeight="1">
      <c r="A434" s="399"/>
      <c r="B434" s="375" t="str">
        <f>IF(A434="","", IF(ARBITRAGES!$H434="BTC",B433+ARBITRAGES!$K434,B433))</f>
        <v/>
      </c>
      <c r="C434" s="375" t="str">
        <f>IF(B434="","", IF(ARBITRAGES!$H434="eth",C433+ARBITRAGES!$K434,C433))</f>
        <v/>
      </c>
      <c r="D434" s="376" t="str">
        <f>IF(C434="","", IF(ARBITRAGES!$H434="ondo",D433+ARBITRAGES!$K434,D433))</f>
        <v/>
      </c>
      <c r="E434" s="376" t="str">
        <f>IF(D434="","", IF(ARBITRAGES!$H434="sol",E433+ARBITRAGES!$K434,E433))</f>
        <v/>
      </c>
      <c r="F434" s="377" t="str">
        <f>IF(E434="","", IF(ARBITRAGES!$H434="tao",F433+ARBITRAGES!$K434,F433))</f>
        <v/>
      </c>
      <c r="G434" s="378" t="str">
        <f>IF(F434="","", IF(ARBITRAGES!$H434="ron",G433+ARBITRAGES!$K434,G433))</f>
        <v/>
      </c>
      <c r="H434" s="378" t="str">
        <f>IF(G434="","", IF(ARBITRAGES!$H434="link",H433+ARBITRAGES!$K434,H433))</f>
        <v/>
      </c>
      <c r="I434" s="378" t="str">
        <f>IF(H434="","", IF(ARBITRAGES!$H434="doge",I433+ARBITRAGES!$K434,I433))</f>
        <v/>
      </c>
      <c r="J434" s="378" t="str">
        <f>IF(I434="","", IF(ARBITRAGES!$H434="shib",J433-ARBITRAGES!$K434,J433))</f>
        <v/>
      </c>
      <c r="K434" s="378" t="str">
        <f>IF(J434="","", IF(ARBITRAGES!$H434="cake",K433+ARBITRAGES!$K434,K433))</f>
        <v/>
      </c>
      <c r="L434" s="378" t="str">
        <f>IF(K434="","", IF(ARBITRAGES!$H434="JUP",L433+ARBITRAGES!$K434,L433))</f>
        <v/>
      </c>
      <c r="M434" s="376" t="str">
        <f>IF(L434="","", IF(ARBITRAGES!$H434="aave",M433+ARBITRAGES!$K434,M433))</f>
        <v/>
      </c>
      <c r="N434" s="378" t="str">
        <f>IF(M434="","", IF(ARBITRAGES!$H434="ckb",N433+ARBITRAGES!$K434,N433))</f>
        <v/>
      </c>
      <c r="O434" s="378" t="str">
        <f>IF(N434="","", IF(ARBITRAGES!$H434="pendle",O433-ARBITRAGES!$K434+0.1,O433))</f>
        <v/>
      </c>
      <c r="P434" s="378" t="str">
        <f>IF(O434="","", IF(ARBITRAGES!$H434="BOME",P433+ARBITRAGES!$K434,P433))</f>
        <v/>
      </c>
      <c r="Q434" s="378" t="str">
        <f>IF(P434="","", IF(ARBITRAGES!$H434="PEPE",Q433+ARBITRAGES!$K434,Q433))</f>
        <v/>
      </c>
      <c r="R434" s="378" t="str">
        <f>IF(Q434="","", IF(ARBITRAGES!$H434="WIF",R433+ARBITRAGES!$K434,R433))</f>
        <v/>
      </c>
      <c r="S434" s="378" t="str">
        <f>IF(R434="","", IF(ARBITRAGES!$H434="RAY",S433+ARBITRAGES!$K434,S433))</f>
        <v/>
      </c>
      <c r="T434" s="360"/>
      <c r="U434" s="360"/>
      <c r="V434" s="360"/>
      <c r="W434" s="360"/>
      <c r="X434" s="360"/>
      <c r="Y434" s="360"/>
      <c r="Z434" s="360"/>
      <c r="AA434" s="360"/>
      <c r="AB434" s="360"/>
      <c r="AC434" s="360"/>
      <c r="AD434" s="360"/>
      <c r="AE434" s="360"/>
      <c r="AF434" s="360"/>
      <c r="AG434" s="360"/>
      <c r="AH434" s="360"/>
    </row>
    <row r="435" ht="18.75" customHeight="1">
      <c r="A435" s="399"/>
      <c r="B435" s="375" t="str">
        <f>IF(A435="","", IF(ARBITRAGES!$H435="BTC",B434+ARBITRAGES!$K435,B434))</f>
        <v/>
      </c>
      <c r="C435" s="375" t="str">
        <f>IF(B435="","", IF(ARBITRAGES!$H435="eth",C434+ARBITRAGES!$K435,C434))</f>
        <v/>
      </c>
      <c r="D435" s="376" t="str">
        <f>IF(C435="","", IF(ARBITRAGES!$H435="ondo",D434+ARBITRAGES!$K435,D434))</f>
        <v/>
      </c>
      <c r="E435" s="376" t="str">
        <f>IF(D435="","", IF(ARBITRAGES!$H435="sol",E434+ARBITRAGES!$K435,E434))</f>
        <v/>
      </c>
      <c r="F435" s="377" t="str">
        <f>IF(E435="","", IF(ARBITRAGES!$H435="tao",F434+ARBITRAGES!$K435,F434))</f>
        <v/>
      </c>
      <c r="G435" s="378" t="str">
        <f>IF(F435="","", IF(ARBITRAGES!$H435="ron",G434+ARBITRAGES!$K435,G434))</f>
        <v/>
      </c>
      <c r="H435" s="378" t="str">
        <f>IF(G435="","", IF(ARBITRAGES!$H435="link",H434+ARBITRAGES!$K435,H434))</f>
        <v/>
      </c>
      <c r="I435" s="378" t="str">
        <f>IF(H435="","", IF(ARBITRAGES!$H435="doge",I434+ARBITRAGES!$K435,I434))</f>
        <v/>
      </c>
      <c r="J435" s="378" t="str">
        <f>IF(I435="","", IF(ARBITRAGES!$H435="shib",J434-ARBITRAGES!$K435,J434))</f>
        <v/>
      </c>
      <c r="K435" s="378" t="str">
        <f>IF(J435="","", IF(ARBITRAGES!$H435="cake",K434+ARBITRAGES!$K435,K434))</f>
        <v/>
      </c>
      <c r="L435" s="378" t="str">
        <f>IF(K435="","", IF(ARBITRAGES!$H435="JUP",L434+ARBITRAGES!$K435,L434))</f>
        <v/>
      </c>
      <c r="M435" s="376" t="str">
        <f>IF(L435="","", IF(ARBITRAGES!$H435="aave",M434+ARBITRAGES!$K435,M434))</f>
        <v/>
      </c>
      <c r="N435" s="378" t="str">
        <f>IF(M435="","", IF(ARBITRAGES!$H435="ckb",N434+ARBITRAGES!$K435,N434))</f>
        <v/>
      </c>
      <c r="O435" s="378" t="str">
        <f>IF(N435="","", IF(ARBITRAGES!$H435="pendle",O434-ARBITRAGES!$K435+0.1,O434))</f>
        <v/>
      </c>
      <c r="P435" s="378" t="str">
        <f>IF(O435="","", IF(ARBITRAGES!$H435="BOME",P434+ARBITRAGES!$K435,P434))</f>
        <v/>
      </c>
      <c r="Q435" s="378" t="str">
        <f>IF(P435="","", IF(ARBITRAGES!$H435="PEPE",Q434+ARBITRAGES!$K435,Q434))</f>
        <v/>
      </c>
      <c r="R435" s="378" t="str">
        <f>IF(Q435="","", IF(ARBITRAGES!$H435="WIF",R434+ARBITRAGES!$K435,R434))</f>
        <v/>
      </c>
      <c r="S435" s="378" t="str">
        <f>IF(R435="","", IF(ARBITRAGES!$H435="RAY",S434+ARBITRAGES!$K435,S434))</f>
        <v/>
      </c>
      <c r="T435" s="360"/>
      <c r="U435" s="360"/>
      <c r="V435" s="360"/>
      <c r="W435" s="360"/>
      <c r="X435" s="360"/>
      <c r="Y435" s="360"/>
      <c r="Z435" s="360"/>
      <c r="AA435" s="360"/>
      <c r="AB435" s="360"/>
      <c r="AC435" s="360"/>
      <c r="AD435" s="360"/>
      <c r="AE435" s="360"/>
      <c r="AF435" s="360"/>
      <c r="AG435" s="360"/>
      <c r="AH435" s="360"/>
    </row>
    <row r="436" ht="18.75" customHeight="1">
      <c r="A436" s="399"/>
      <c r="B436" s="375" t="str">
        <f>IF(A436="","", IF(ARBITRAGES!$H436="BTC",B435+ARBITRAGES!$K436,B435))</f>
        <v/>
      </c>
      <c r="C436" s="375" t="str">
        <f>IF(B436="","", IF(ARBITRAGES!$H436="eth",C435+ARBITRAGES!$K436,C435))</f>
        <v/>
      </c>
      <c r="D436" s="376" t="str">
        <f>IF(C436="","", IF(ARBITRAGES!$H436="ondo",D435+ARBITRAGES!$K436,D435))</f>
        <v/>
      </c>
      <c r="E436" s="376" t="str">
        <f>IF(D436="","", IF(ARBITRAGES!$H436="sol",E435+ARBITRAGES!$K436,E435))</f>
        <v/>
      </c>
      <c r="F436" s="377" t="str">
        <f>IF(E436="","", IF(ARBITRAGES!$H436="tao",F435+ARBITRAGES!$K436,F435))</f>
        <v/>
      </c>
      <c r="G436" s="378" t="str">
        <f>IF(F436="","", IF(ARBITRAGES!$H436="ron",G435+ARBITRAGES!$K436,G435))</f>
        <v/>
      </c>
      <c r="H436" s="378" t="str">
        <f>IF(G436="","", IF(ARBITRAGES!$H436="link",H435+ARBITRAGES!$K436,H435))</f>
        <v/>
      </c>
      <c r="I436" s="378" t="str">
        <f>IF(H436="","", IF(ARBITRAGES!$H436="doge",I435+ARBITRAGES!$K436,I435))</f>
        <v/>
      </c>
      <c r="J436" s="378" t="str">
        <f>IF(I436="","", IF(ARBITRAGES!$H436="shib",J435-ARBITRAGES!$K436,J435))</f>
        <v/>
      </c>
      <c r="K436" s="378" t="str">
        <f>IF(J436="","", IF(ARBITRAGES!$H436="cake",K435+ARBITRAGES!$K436,K435))</f>
        <v/>
      </c>
      <c r="L436" s="378" t="str">
        <f>IF(K436="","", IF(ARBITRAGES!$H436="JUP",L435+ARBITRAGES!$K436,L435))</f>
        <v/>
      </c>
      <c r="M436" s="376" t="str">
        <f>IF(L436="","", IF(ARBITRAGES!$H436="aave",M435+ARBITRAGES!$K436,M435))</f>
        <v/>
      </c>
      <c r="N436" s="378" t="str">
        <f>IF(M436="","", IF(ARBITRAGES!$H436="ckb",N435+ARBITRAGES!$K436,N435))</f>
        <v/>
      </c>
      <c r="O436" s="378" t="str">
        <f>IF(N436="","", IF(ARBITRAGES!$H436="pendle",O435-ARBITRAGES!$K436+0.1,O435))</f>
        <v/>
      </c>
      <c r="P436" s="378" t="str">
        <f>IF(O436="","", IF(ARBITRAGES!$H436="BOME",P435+ARBITRAGES!$K436,P435))</f>
        <v/>
      </c>
      <c r="Q436" s="378" t="str">
        <f>IF(P436="","", IF(ARBITRAGES!$H436="PEPE",Q435+ARBITRAGES!$K436,Q435))</f>
        <v/>
      </c>
      <c r="R436" s="378" t="str">
        <f>IF(Q436="","", IF(ARBITRAGES!$H436="WIF",R435+ARBITRAGES!$K436,R435))</f>
        <v/>
      </c>
      <c r="S436" s="378" t="str">
        <f>IF(R436="","", IF(ARBITRAGES!$H436="RAY",S435+ARBITRAGES!$K436,S435))</f>
        <v/>
      </c>
      <c r="T436" s="360"/>
      <c r="U436" s="360"/>
      <c r="V436" s="360"/>
      <c r="W436" s="360"/>
      <c r="X436" s="360"/>
      <c r="Y436" s="360"/>
      <c r="Z436" s="360"/>
      <c r="AA436" s="360"/>
      <c r="AB436" s="360"/>
      <c r="AC436" s="360"/>
      <c r="AD436" s="360"/>
      <c r="AE436" s="360"/>
      <c r="AF436" s="360"/>
      <c r="AG436" s="360"/>
      <c r="AH436" s="360"/>
    </row>
    <row r="437" ht="18.75" customHeight="1">
      <c r="A437" s="399"/>
      <c r="B437" s="375" t="str">
        <f>IF(A437="","", IF(ARBITRAGES!$H437="BTC",B436+ARBITRAGES!$K437,B436))</f>
        <v/>
      </c>
      <c r="C437" s="375" t="str">
        <f>IF(B437="","", IF(ARBITRAGES!$H437="eth",C436+ARBITRAGES!$K437,C436))</f>
        <v/>
      </c>
      <c r="D437" s="376" t="str">
        <f>IF(C437="","", IF(ARBITRAGES!$H437="ondo",D436+ARBITRAGES!$K437,D436))</f>
        <v/>
      </c>
      <c r="E437" s="376" t="str">
        <f>IF(D437="","", IF(ARBITRAGES!$H437="sol",E436+ARBITRAGES!$K437,E436))</f>
        <v/>
      </c>
      <c r="F437" s="377" t="str">
        <f>IF(E437="","", IF(ARBITRAGES!$H437="tao",F436+ARBITRAGES!$K437,F436))</f>
        <v/>
      </c>
      <c r="G437" s="378" t="str">
        <f>IF(F437="","", IF(ARBITRAGES!$H437="ron",G436+ARBITRAGES!$K437,G436))</f>
        <v/>
      </c>
      <c r="H437" s="378" t="str">
        <f>IF(G437="","", IF(ARBITRAGES!$H437="link",H436+ARBITRAGES!$K437,H436))</f>
        <v/>
      </c>
      <c r="I437" s="378" t="str">
        <f>IF(H437="","", IF(ARBITRAGES!$H437="doge",I436+ARBITRAGES!$K437,I436))</f>
        <v/>
      </c>
      <c r="J437" s="378" t="str">
        <f>IF(I437="","", IF(ARBITRAGES!$H437="shib",J436-ARBITRAGES!$K437,J436))</f>
        <v/>
      </c>
      <c r="K437" s="378" t="str">
        <f>IF(J437="","", IF(ARBITRAGES!$H437="cake",K436+ARBITRAGES!$K437,K436))</f>
        <v/>
      </c>
      <c r="L437" s="378" t="str">
        <f>IF(K437="","", IF(ARBITRAGES!$H437="JUP",L436+ARBITRAGES!$K437,L436))</f>
        <v/>
      </c>
      <c r="M437" s="376" t="str">
        <f>IF(L437="","", IF(ARBITRAGES!$H437="aave",M436+ARBITRAGES!$K437,M436))</f>
        <v/>
      </c>
      <c r="N437" s="378" t="str">
        <f>IF(M437="","", IF(ARBITRAGES!$H437="ckb",N436+ARBITRAGES!$K437,N436))</f>
        <v/>
      </c>
      <c r="O437" s="378" t="str">
        <f>IF(N437="","", IF(ARBITRAGES!$H437="pendle",O436-ARBITRAGES!$K437+0.1,O436))</f>
        <v/>
      </c>
      <c r="P437" s="378" t="str">
        <f>IF(O437="","", IF(ARBITRAGES!$H437="BOME",P436+ARBITRAGES!$K437,P436))</f>
        <v/>
      </c>
      <c r="Q437" s="378" t="str">
        <f>IF(P437="","", IF(ARBITRAGES!$H437="PEPE",Q436+ARBITRAGES!$K437,Q436))</f>
        <v/>
      </c>
      <c r="R437" s="378" t="str">
        <f>IF(Q437="","", IF(ARBITRAGES!$H437="WIF",R436+ARBITRAGES!$K437,R436))</f>
        <v/>
      </c>
      <c r="S437" s="378" t="str">
        <f>IF(R437="","", IF(ARBITRAGES!$H437="RAY",S436+ARBITRAGES!$K437,S436))</f>
        <v/>
      </c>
      <c r="T437" s="360"/>
      <c r="U437" s="360"/>
      <c r="V437" s="360"/>
      <c r="W437" s="360"/>
      <c r="X437" s="360"/>
      <c r="Y437" s="360"/>
      <c r="Z437" s="360"/>
      <c r="AA437" s="360"/>
      <c r="AB437" s="360"/>
      <c r="AC437" s="360"/>
      <c r="AD437" s="360"/>
      <c r="AE437" s="360"/>
      <c r="AF437" s="360"/>
      <c r="AG437" s="360"/>
      <c r="AH437" s="360"/>
    </row>
    <row r="438" ht="18.75" customHeight="1">
      <c r="A438" s="399"/>
      <c r="B438" s="375" t="str">
        <f>IF(A438="","", IF(ARBITRAGES!$H438="BTC",B437+ARBITRAGES!$K438,B437))</f>
        <v/>
      </c>
      <c r="C438" s="375" t="str">
        <f>IF(B438="","", IF(ARBITRAGES!$H438="eth",C437+ARBITRAGES!$K438,C437))</f>
        <v/>
      </c>
      <c r="D438" s="376" t="str">
        <f>IF(C438="","", IF(ARBITRAGES!$H438="ondo",D437+ARBITRAGES!$K438,D437))</f>
        <v/>
      </c>
      <c r="E438" s="376" t="str">
        <f>IF(D438="","", IF(ARBITRAGES!$H438="sol",E437+ARBITRAGES!$K438,E437))</f>
        <v/>
      </c>
      <c r="F438" s="377" t="str">
        <f>IF(E438="","", IF(ARBITRAGES!$H438="tao",F437+ARBITRAGES!$K438,F437))</f>
        <v/>
      </c>
      <c r="G438" s="378" t="str">
        <f>IF(F438="","", IF(ARBITRAGES!$H438="ron",G437+ARBITRAGES!$K438,G437))</f>
        <v/>
      </c>
      <c r="H438" s="378" t="str">
        <f>IF(G438="","", IF(ARBITRAGES!$H438="link",H437+ARBITRAGES!$K438,H437))</f>
        <v/>
      </c>
      <c r="I438" s="378" t="str">
        <f>IF(H438="","", IF(ARBITRAGES!$H438="doge",I437+ARBITRAGES!$K438,I437))</f>
        <v/>
      </c>
      <c r="J438" s="378" t="str">
        <f>IF(I438="","", IF(ARBITRAGES!$H438="shib",J437-ARBITRAGES!$K438,J437))</f>
        <v/>
      </c>
      <c r="K438" s="378" t="str">
        <f>IF(J438="","", IF(ARBITRAGES!$H438="cake",K437+ARBITRAGES!$K438,K437))</f>
        <v/>
      </c>
      <c r="L438" s="378" t="str">
        <f>IF(K438="","", IF(ARBITRAGES!$H438="JUP",L437+ARBITRAGES!$K438,L437))</f>
        <v/>
      </c>
      <c r="M438" s="376" t="str">
        <f>IF(L438="","", IF(ARBITRAGES!$H438="aave",M437+ARBITRAGES!$K438,M437))</f>
        <v/>
      </c>
      <c r="N438" s="378" t="str">
        <f>IF(M438="","", IF(ARBITRAGES!$H438="ckb",N437+ARBITRAGES!$K438,N437))</f>
        <v/>
      </c>
      <c r="O438" s="378" t="str">
        <f>IF(N438="","", IF(ARBITRAGES!$H438="pendle",O437-ARBITRAGES!$K438+0.1,O437))</f>
        <v/>
      </c>
      <c r="P438" s="378" t="str">
        <f>IF(O438="","", IF(ARBITRAGES!$H438="BOME",P437+ARBITRAGES!$K438,P437))</f>
        <v/>
      </c>
      <c r="Q438" s="378" t="str">
        <f>IF(P438="","", IF(ARBITRAGES!$H438="PEPE",Q437+ARBITRAGES!$K438,Q437))</f>
        <v/>
      </c>
      <c r="R438" s="378" t="str">
        <f>IF(Q438="","", IF(ARBITRAGES!$H438="WIF",R437+ARBITRAGES!$K438,R437))</f>
        <v/>
      </c>
      <c r="S438" s="378" t="str">
        <f>IF(R438="","", IF(ARBITRAGES!$H438="RAY",S437+ARBITRAGES!$K438,S437))</f>
        <v/>
      </c>
      <c r="T438" s="360"/>
      <c r="U438" s="360"/>
      <c r="V438" s="360"/>
      <c r="W438" s="360"/>
      <c r="X438" s="360"/>
      <c r="Y438" s="360"/>
      <c r="Z438" s="360"/>
      <c r="AA438" s="360"/>
      <c r="AB438" s="360"/>
      <c r="AC438" s="360"/>
      <c r="AD438" s="360"/>
      <c r="AE438" s="360"/>
      <c r="AF438" s="360"/>
      <c r="AG438" s="360"/>
      <c r="AH438" s="360"/>
    </row>
    <row r="439" ht="18.75" customHeight="1">
      <c r="A439" s="399"/>
      <c r="B439" s="375" t="str">
        <f>IF(A439="","", IF(ARBITRAGES!$H439="BTC",B438+ARBITRAGES!$K439,B438))</f>
        <v/>
      </c>
      <c r="C439" s="375" t="str">
        <f>IF(B439="","", IF(ARBITRAGES!$H439="eth",C438+ARBITRAGES!$K439,C438))</f>
        <v/>
      </c>
      <c r="D439" s="376" t="str">
        <f>IF(C439="","", IF(ARBITRAGES!$H439="ondo",D438+ARBITRAGES!$K439,D438))</f>
        <v/>
      </c>
      <c r="E439" s="376" t="str">
        <f>IF(D439="","", IF(ARBITRAGES!$H439="sol",E438+ARBITRAGES!$K439,E438))</f>
        <v/>
      </c>
      <c r="F439" s="377" t="str">
        <f>IF(E439="","", IF(ARBITRAGES!$H439="tao",F438+ARBITRAGES!$K439,F438))</f>
        <v/>
      </c>
      <c r="G439" s="378" t="str">
        <f>IF(F439="","", IF(ARBITRAGES!$H439="ron",G438+ARBITRAGES!$K439,G438))</f>
        <v/>
      </c>
      <c r="H439" s="378" t="str">
        <f>IF(G439="","", IF(ARBITRAGES!$H439="link",H438+ARBITRAGES!$K439,H438))</f>
        <v/>
      </c>
      <c r="I439" s="378" t="str">
        <f>IF(H439="","", IF(ARBITRAGES!$H439="doge",I438+ARBITRAGES!$K439,I438))</f>
        <v/>
      </c>
      <c r="J439" s="378" t="str">
        <f>IF(I439="","", IF(ARBITRAGES!$H439="shib",J438-ARBITRAGES!$K439,J438))</f>
        <v/>
      </c>
      <c r="K439" s="378" t="str">
        <f>IF(J439="","", IF(ARBITRAGES!$H439="cake",K438+ARBITRAGES!$K439,K438))</f>
        <v/>
      </c>
      <c r="L439" s="378" t="str">
        <f>IF(K439="","", IF(ARBITRAGES!$H439="JUP",L438+ARBITRAGES!$K439,L438))</f>
        <v/>
      </c>
      <c r="M439" s="376" t="str">
        <f>IF(L439="","", IF(ARBITRAGES!$H439="aave",M438+ARBITRAGES!$K439,M438))</f>
        <v/>
      </c>
      <c r="N439" s="378" t="str">
        <f>IF(M439="","", IF(ARBITRAGES!$H439="ckb",N438+ARBITRAGES!$K439,N438))</f>
        <v/>
      </c>
      <c r="O439" s="378" t="str">
        <f>IF(N439="","", IF(ARBITRAGES!$H439="pendle",O438-ARBITRAGES!$K439+0.1,O438))</f>
        <v/>
      </c>
      <c r="P439" s="378" t="str">
        <f>IF(O439="","", IF(ARBITRAGES!$H439="BOME",P438+ARBITRAGES!$K439,P438))</f>
        <v/>
      </c>
      <c r="Q439" s="378" t="str">
        <f>IF(P439="","", IF(ARBITRAGES!$H439="PEPE",Q438+ARBITRAGES!$K439,Q438))</f>
        <v/>
      </c>
      <c r="R439" s="378" t="str">
        <f>IF(Q439="","", IF(ARBITRAGES!$H439="WIF",R438+ARBITRAGES!$K439,R438))</f>
        <v/>
      </c>
      <c r="S439" s="378" t="str">
        <f>IF(R439="","", IF(ARBITRAGES!$H439="RAY",S438+ARBITRAGES!$K439,S438))</f>
        <v/>
      </c>
      <c r="T439" s="360"/>
      <c r="U439" s="360"/>
      <c r="V439" s="360"/>
      <c r="W439" s="360"/>
      <c r="X439" s="360"/>
      <c r="Y439" s="360"/>
      <c r="Z439" s="360"/>
      <c r="AA439" s="360"/>
      <c r="AB439" s="360"/>
      <c r="AC439" s="360"/>
      <c r="AD439" s="360"/>
      <c r="AE439" s="360"/>
      <c r="AF439" s="360"/>
      <c r="AG439" s="360"/>
      <c r="AH439" s="360"/>
    </row>
    <row r="440" ht="18.75" customHeight="1">
      <c r="A440" s="399"/>
      <c r="B440" s="375" t="str">
        <f>IF(A440="","", IF(ARBITRAGES!$H440="BTC",B439+ARBITRAGES!$K440,B439))</f>
        <v/>
      </c>
      <c r="C440" s="375" t="str">
        <f>IF(B440="","", IF(ARBITRAGES!$H440="eth",C439+ARBITRAGES!$K440,C439))</f>
        <v/>
      </c>
      <c r="D440" s="376" t="str">
        <f>IF(C440="","", IF(ARBITRAGES!$H440="ondo",D439+ARBITRAGES!$K440,D439))</f>
        <v/>
      </c>
      <c r="E440" s="376" t="str">
        <f>IF(D440="","", IF(ARBITRAGES!$H440="sol",E439+ARBITRAGES!$K440,E439))</f>
        <v/>
      </c>
      <c r="F440" s="377" t="str">
        <f>IF(E440="","", IF(ARBITRAGES!$H440="tao",F439+ARBITRAGES!$K440,F439))</f>
        <v/>
      </c>
      <c r="G440" s="378" t="str">
        <f>IF(F440="","", IF(ARBITRAGES!$H440="ron",G439+ARBITRAGES!$K440,G439))</f>
        <v/>
      </c>
      <c r="H440" s="378" t="str">
        <f>IF(G440="","", IF(ARBITRAGES!$H440="link",H439+ARBITRAGES!$K440,H439))</f>
        <v/>
      </c>
      <c r="I440" s="378" t="str">
        <f>IF(H440="","", IF(ARBITRAGES!$H440="doge",I439+ARBITRAGES!$K440,I439))</f>
        <v/>
      </c>
      <c r="J440" s="378" t="str">
        <f>IF(I440="","", IF(ARBITRAGES!$H440="shib",J439-ARBITRAGES!$K440,J439))</f>
        <v/>
      </c>
      <c r="K440" s="378" t="str">
        <f>IF(J440="","", IF(ARBITRAGES!$H440="cake",K439+ARBITRAGES!$K440,K439))</f>
        <v/>
      </c>
      <c r="L440" s="378" t="str">
        <f>IF(K440="","", IF(ARBITRAGES!$H440="JUP",L439+ARBITRAGES!$K440,L439))</f>
        <v/>
      </c>
      <c r="M440" s="376" t="str">
        <f>IF(L440="","", IF(ARBITRAGES!$H440="aave",M439+ARBITRAGES!$K440,M439))</f>
        <v/>
      </c>
      <c r="N440" s="378" t="str">
        <f>IF(M440="","", IF(ARBITRAGES!$H440="ckb",N439+ARBITRAGES!$K440,N439))</f>
        <v/>
      </c>
      <c r="O440" s="378" t="str">
        <f>IF(N440="","", IF(ARBITRAGES!$H440="pendle",O439-ARBITRAGES!$K440+0.1,O439))</f>
        <v/>
      </c>
      <c r="P440" s="378" t="str">
        <f>IF(O440="","", IF(ARBITRAGES!$H440="BOME",P439+ARBITRAGES!$K440,P439))</f>
        <v/>
      </c>
      <c r="Q440" s="378" t="str">
        <f>IF(P440="","", IF(ARBITRAGES!$H440="PEPE",Q439+ARBITRAGES!$K440,Q439))</f>
        <v/>
      </c>
      <c r="R440" s="378" t="str">
        <f>IF(Q440="","", IF(ARBITRAGES!$H440="WIF",R439+ARBITRAGES!$K440,R439))</f>
        <v/>
      </c>
      <c r="S440" s="378" t="str">
        <f>IF(R440="","", IF(ARBITRAGES!$H440="RAY",S439+ARBITRAGES!$K440,S439))</f>
        <v/>
      </c>
      <c r="T440" s="360"/>
      <c r="U440" s="360"/>
      <c r="V440" s="360"/>
      <c r="W440" s="360"/>
      <c r="X440" s="360"/>
      <c r="Y440" s="360"/>
      <c r="Z440" s="360"/>
      <c r="AA440" s="360"/>
      <c r="AB440" s="360"/>
      <c r="AC440" s="360"/>
      <c r="AD440" s="360"/>
      <c r="AE440" s="360"/>
      <c r="AF440" s="360"/>
      <c r="AG440" s="360"/>
      <c r="AH440" s="360"/>
    </row>
    <row r="441" ht="18.75" customHeight="1">
      <c r="A441" s="399"/>
      <c r="B441" s="375" t="str">
        <f>IF(A441="","", IF(ARBITRAGES!$H441="BTC",B440+ARBITRAGES!$K441,B440))</f>
        <v/>
      </c>
      <c r="C441" s="375" t="str">
        <f>IF(B441="","", IF(ARBITRAGES!$H441="eth",C440+ARBITRAGES!$K441,C440))</f>
        <v/>
      </c>
      <c r="D441" s="376" t="str">
        <f>IF(C441="","", IF(ARBITRAGES!$H441="ondo",D440+ARBITRAGES!$K441,D440))</f>
        <v/>
      </c>
      <c r="E441" s="376" t="str">
        <f>IF(D441="","", IF(ARBITRAGES!$H441="sol",E440+ARBITRAGES!$K441,E440))</f>
        <v/>
      </c>
      <c r="F441" s="377" t="str">
        <f>IF(E441="","", IF(ARBITRAGES!$H441="tao",F440+ARBITRAGES!$K441,F440))</f>
        <v/>
      </c>
      <c r="G441" s="378" t="str">
        <f>IF(F441="","", IF(ARBITRAGES!$H441="ron",G440+ARBITRAGES!$K441,G440))</f>
        <v/>
      </c>
      <c r="H441" s="378" t="str">
        <f>IF(G441="","", IF(ARBITRAGES!$H441="link",H440+ARBITRAGES!$K441,H440))</f>
        <v/>
      </c>
      <c r="I441" s="378" t="str">
        <f>IF(H441="","", IF(ARBITRAGES!$H441="doge",I440+ARBITRAGES!$K441,I440))</f>
        <v/>
      </c>
      <c r="J441" s="378" t="str">
        <f>IF(I441="","", IF(ARBITRAGES!$H441="shib",J440-ARBITRAGES!$K441,J440))</f>
        <v/>
      </c>
      <c r="K441" s="378" t="str">
        <f>IF(J441="","", IF(ARBITRAGES!$H441="cake",K440+ARBITRAGES!$K441,K440))</f>
        <v/>
      </c>
      <c r="L441" s="378" t="str">
        <f>IF(K441="","", IF(ARBITRAGES!$H441="JUP",L440+ARBITRAGES!$K441,L440))</f>
        <v/>
      </c>
      <c r="M441" s="376" t="str">
        <f>IF(L441="","", IF(ARBITRAGES!$H441="aave",M440+ARBITRAGES!$K441,M440))</f>
        <v/>
      </c>
      <c r="N441" s="378" t="str">
        <f>IF(M441="","", IF(ARBITRAGES!$H441="ckb",N440+ARBITRAGES!$K441,N440))</f>
        <v/>
      </c>
      <c r="O441" s="378" t="str">
        <f>IF(N441="","", IF(ARBITRAGES!$H441="pendle",O440-ARBITRAGES!$K441+0.1,O440))</f>
        <v/>
      </c>
      <c r="P441" s="378" t="str">
        <f>IF(O441="","", IF(ARBITRAGES!$H441="BOME",P440+ARBITRAGES!$K441,P440))</f>
        <v/>
      </c>
      <c r="Q441" s="378" t="str">
        <f>IF(P441="","", IF(ARBITRAGES!$H441="PEPE",Q440+ARBITRAGES!$K441,Q440))</f>
        <v/>
      </c>
      <c r="R441" s="378" t="str">
        <f>IF(Q441="","", IF(ARBITRAGES!$H441="WIF",R440+ARBITRAGES!$K441,R440))</f>
        <v/>
      </c>
      <c r="S441" s="378" t="str">
        <f>IF(R441="","", IF(ARBITRAGES!$H441="RAY",S440+ARBITRAGES!$K441,S440))</f>
        <v/>
      </c>
      <c r="T441" s="360"/>
      <c r="U441" s="360"/>
      <c r="V441" s="360"/>
      <c r="W441" s="360"/>
      <c r="X441" s="360"/>
      <c r="Y441" s="360"/>
      <c r="Z441" s="360"/>
      <c r="AA441" s="360"/>
      <c r="AB441" s="360"/>
      <c r="AC441" s="360"/>
      <c r="AD441" s="360"/>
      <c r="AE441" s="360"/>
      <c r="AF441" s="360"/>
      <c r="AG441" s="360"/>
      <c r="AH441" s="360"/>
    </row>
    <row r="442" ht="18.75" customHeight="1">
      <c r="A442" s="399"/>
      <c r="B442" s="375" t="str">
        <f>IF(A442="","", IF(ARBITRAGES!$H442="BTC",B441+ARBITRAGES!$K442,B441))</f>
        <v/>
      </c>
      <c r="C442" s="375" t="str">
        <f>IF(B442="","", IF(ARBITRAGES!$H442="eth",C441+ARBITRAGES!$K442,C441))</f>
        <v/>
      </c>
      <c r="D442" s="376" t="str">
        <f>IF(C442="","", IF(ARBITRAGES!$H442="ondo",D441+ARBITRAGES!$K442,D441))</f>
        <v/>
      </c>
      <c r="E442" s="376" t="str">
        <f>IF(D442="","", IF(ARBITRAGES!$H442="sol",E441+ARBITRAGES!$K442,E441))</f>
        <v/>
      </c>
      <c r="F442" s="377" t="str">
        <f>IF(E442="","", IF(ARBITRAGES!$H442="tao",F441+ARBITRAGES!$K442,F441))</f>
        <v/>
      </c>
      <c r="G442" s="378" t="str">
        <f>IF(F442="","", IF(ARBITRAGES!$H442="ron",G441+ARBITRAGES!$K442,G441))</f>
        <v/>
      </c>
      <c r="H442" s="378" t="str">
        <f>IF(G442="","", IF(ARBITRAGES!$H442="link",H441+ARBITRAGES!$K442,H441))</f>
        <v/>
      </c>
      <c r="I442" s="378" t="str">
        <f>IF(H442="","", IF(ARBITRAGES!$H442="doge",I441+ARBITRAGES!$K442,I441))</f>
        <v/>
      </c>
      <c r="J442" s="378" t="str">
        <f>IF(I442="","", IF(ARBITRAGES!$H442="shib",J441-ARBITRAGES!$K442,J441))</f>
        <v/>
      </c>
      <c r="K442" s="378" t="str">
        <f>IF(J442="","", IF(ARBITRAGES!$H442="cake",K441+ARBITRAGES!$K442,K441))</f>
        <v/>
      </c>
      <c r="L442" s="378" t="str">
        <f>IF(K442="","", IF(ARBITRAGES!$H442="JUP",L441+ARBITRAGES!$K442,L441))</f>
        <v/>
      </c>
      <c r="M442" s="376" t="str">
        <f>IF(L442="","", IF(ARBITRAGES!$H442="aave",M441+ARBITRAGES!$K442,M441))</f>
        <v/>
      </c>
      <c r="N442" s="378" t="str">
        <f>IF(M442="","", IF(ARBITRAGES!$H442="ckb",N441+ARBITRAGES!$K442,N441))</f>
        <v/>
      </c>
      <c r="O442" s="378" t="str">
        <f>IF(N442="","", IF(ARBITRAGES!$H442="pendle",O441-ARBITRAGES!$K442+0.1,O441))</f>
        <v/>
      </c>
      <c r="P442" s="378" t="str">
        <f>IF(O442="","", IF(ARBITRAGES!$H442="BOME",P441+ARBITRAGES!$K442,P441))</f>
        <v/>
      </c>
      <c r="Q442" s="378" t="str">
        <f>IF(P442="","", IF(ARBITRAGES!$H442="PEPE",Q441+ARBITRAGES!$K442,Q441))</f>
        <v/>
      </c>
      <c r="R442" s="378" t="str">
        <f>IF(Q442="","", IF(ARBITRAGES!$H442="WIF",R441+ARBITRAGES!$K442,R441))</f>
        <v/>
      </c>
      <c r="S442" s="378" t="str">
        <f>IF(R442="","", IF(ARBITRAGES!$H442="RAY",S441+ARBITRAGES!$K442,S441))</f>
        <v/>
      </c>
      <c r="T442" s="360"/>
      <c r="U442" s="360"/>
      <c r="V442" s="360"/>
      <c r="W442" s="360"/>
      <c r="X442" s="360"/>
      <c r="Y442" s="360"/>
      <c r="Z442" s="360"/>
      <c r="AA442" s="360"/>
      <c r="AB442" s="360"/>
      <c r="AC442" s="360"/>
      <c r="AD442" s="360"/>
      <c r="AE442" s="360"/>
      <c r="AF442" s="360"/>
      <c r="AG442" s="360"/>
      <c r="AH442" s="360"/>
    </row>
    <row r="443" ht="18.75" customHeight="1">
      <c r="A443" s="399"/>
      <c r="B443" s="375" t="str">
        <f>IF(A443="","", IF(ARBITRAGES!$H443="BTC",B442+ARBITRAGES!$K443,B442))</f>
        <v/>
      </c>
      <c r="C443" s="375" t="str">
        <f>IF(B443="","", IF(ARBITRAGES!$H443="eth",C442+ARBITRAGES!$K443,C442))</f>
        <v/>
      </c>
      <c r="D443" s="376" t="str">
        <f>IF(C443="","", IF(ARBITRAGES!$H443="ondo",D442+ARBITRAGES!$K443,D442))</f>
        <v/>
      </c>
      <c r="E443" s="376" t="str">
        <f>IF(D443="","", IF(ARBITRAGES!$H443="sol",E442+ARBITRAGES!$K443,E442))</f>
        <v/>
      </c>
      <c r="F443" s="377" t="str">
        <f>IF(E443="","", IF(ARBITRAGES!$H443="tao",F442+ARBITRAGES!$K443,F442))</f>
        <v/>
      </c>
      <c r="G443" s="378" t="str">
        <f>IF(F443="","", IF(ARBITRAGES!$H443="ron",G442+ARBITRAGES!$K443,G442))</f>
        <v/>
      </c>
      <c r="H443" s="378" t="str">
        <f>IF(G443="","", IF(ARBITRAGES!$H443="link",H442+ARBITRAGES!$K443,H442))</f>
        <v/>
      </c>
      <c r="I443" s="378" t="str">
        <f>IF(H443="","", IF(ARBITRAGES!$H443="doge",I442+ARBITRAGES!$K443,I442))</f>
        <v/>
      </c>
      <c r="J443" s="378" t="str">
        <f>IF(I443="","", IF(ARBITRAGES!$H443="shib",J442-ARBITRAGES!$K443,J442))</f>
        <v/>
      </c>
      <c r="K443" s="378" t="str">
        <f>IF(J443="","", IF(ARBITRAGES!$H443="cake",K442+ARBITRAGES!$K443,K442))</f>
        <v/>
      </c>
      <c r="L443" s="378" t="str">
        <f>IF(K443="","", IF(ARBITRAGES!$H443="JUP",L442+ARBITRAGES!$K443,L442))</f>
        <v/>
      </c>
      <c r="M443" s="376" t="str">
        <f>IF(L443="","", IF(ARBITRAGES!$H443="aave",M442+ARBITRAGES!$K443,M442))</f>
        <v/>
      </c>
      <c r="N443" s="378" t="str">
        <f>IF(M443="","", IF(ARBITRAGES!$H443="ckb",N442+ARBITRAGES!$K443,N442))</f>
        <v/>
      </c>
      <c r="O443" s="378" t="str">
        <f>IF(N443="","", IF(ARBITRAGES!$H443="pendle",O442-ARBITRAGES!$K443+0.1,O442))</f>
        <v/>
      </c>
      <c r="P443" s="378" t="str">
        <f>IF(O443="","", IF(ARBITRAGES!$H443="BOME",P442+ARBITRAGES!$K443,P442))</f>
        <v/>
      </c>
      <c r="Q443" s="378" t="str">
        <f>IF(P443="","", IF(ARBITRAGES!$H443="PEPE",Q442+ARBITRAGES!$K443,Q442))</f>
        <v/>
      </c>
      <c r="R443" s="378" t="str">
        <f>IF(Q443="","", IF(ARBITRAGES!$H443="WIF",R442+ARBITRAGES!$K443,R442))</f>
        <v/>
      </c>
      <c r="S443" s="378" t="str">
        <f>IF(R443="","", IF(ARBITRAGES!$H443="RAY",S442+ARBITRAGES!$K443,S442))</f>
        <v/>
      </c>
      <c r="T443" s="360"/>
      <c r="U443" s="360"/>
      <c r="V443" s="360"/>
      <c r="W443" s="360"/>
      <c r="X443" s="360"/>
      <c r="Y443" s="360"/>
      <c r="Z443" s="360"/>
      <c r="AA443" s="360"/>
      <c r="AB443" s="360"/>
      <c r="AC443" s="360"/>
      <c r="AD443" s="360"/>
      <c r="AE443" s="360"/>
      <c r="AF443" s="360"/>
      <c r="AG443" s="360"/>
      <c r="AH443" s="360"/>
    </row>
    <row r="444" ht="18.75" customHeight="1">
      <c r="A444" s="399"/>
      <c r="B444" s="375" t="str">
        <f>IF(A444="","", IF(ARBITRAGES!$H444="BTC",B443+ARBITRAGES!$K444,B443))</f>
        <v/>
      </c>
      <c r="C444" s="375" t="str">
        <f>IF(B444="","", IF(ARBITRAGES!$H444="eth",C443+ARBITRAGES!$K444,C443))</f>
        <v/>
      </c>
      <c r="D444" s="376" t="str">
        <f>IF(C444="","", IF(ARBITRAGES!$H444="ondo",D443+ARBITRAGES!$K444,D443))</f>
        <v/>
      </c>
      <c r="E444" s="376" t="str">
        <f>IF(D444="","", IF(ARBITRAGES!$H444="sol",E443+ARBITRAGES!$K444,E443))</f>
        <v/>
      </c>
      <c r="F444" s="377" t="str">
        <f>IF(E444="","", IF(ARBITRAGES!$H444="tao",F443+ARBITRAGES!$K444,F443))</f>
        <v/>
      </c>
      <c r="G444" s="378" t="str">
        <f>IF(F444="","", IF(ARBITRAGES!$H444="ron",G443+ARBITRAGES!$K444,G443))</f>
        <v/>
      </c>
      <c r="H444" s="378" t="str">
        <f>IF(G444="","", IF(ARBITRAGES!$H444="link",H443+ARBITRAGES!$K444,H443))</f>
        <v/>
      </c>
      <c r="I444" s="378" t="str">
        <f>IF(H444="","", IF(ARBITRAGES!$H444="doge",I443+ARBITRAGES!$K444,I443))</f>
        <v/>
      </c>
      <c r="J444" s="378" t="str">
        <f>IF(I444="","", IF(ARBITRAGES!$H444="shib",J443-ARBITRAGES!$K444,J443))</f>
        <v/>
      </c>
      <c r="K444" s="378" t="str">
        <f>IF(J444="","", IF(ARBITRAGES!$H444="cake",K443+ARBITRAGES!$K444,K443))</f>
        <v/>
      </c>
      <c r="L444" s="378" t="str">
        <f>IF(K444="","", IF(ARBITRAGES!$H444="JUP",L443+ARBITRAGES!$K444,L443))</f>
        <v/>
      </c>
      <c r="M444" s="376" t="str">
        <f>IF(L444="","", IF(ARBITRAGES!$H444="aave",M443+ARBITRAGES!$K444,M443))</f>
        <v/>
      </c>
      <c r="N444" s="378" t="str">
        <f>IF(M444="","", IF(ARBITRAGES!$H444="ckb",N443+ARBITRAGES!$K444,N443))</f>
        <v/>
      </c>
      <c r="O444" s="378" t="str">
        <f>IF(N444="","", IF(ARBITRAGES!$H444="pendle",O443-ARBITRAGES!$K444+0.1,O443))</f>
        <v/>
      </c>
      <c r="P444" s="378" t="str">
        <f>IF(O444="","", IF(ARBITRAGES!$H444="BOME",P443+ARBITRAGES!$K444,P443))</f>
        <v/>
      </c>
      <c r="Q444" s="378" t="str">
        <f>IF(P444="","", IF(ARBITRAGES!$H444="PEPE",Q443+ARBITRAGES!$K444,Q443))</f>
        <v/>
      </c>
      <c r="R444" s="378" t="str">
        <f>IF(Q444="","", IF(ARBITRAGES!$H444="WIF",R443+ARBITRAGES!$K444,R443))</f>
        <v/>
      </c>
      <c r="S444" s="378" t="str">
        <f>IF(R444="","", IF(ARBITRAGES!$H444="RAY",S443+ARBITRAGES!$K444,S443))</f>
        <v/>
      </c>
      <c r="T444" s="360"/>
      <c r="U444" s="360"/>
      <c r="V444" s="360"/>
      <c r="W444" s="360"/>
      <c r="X444" s="360"/>
      <c r="Y444" s="360"/>
      <c r="Z444" s="360"/>
      <c r="AA444" s="360"/>
      <c r="AB444" s="360"/>
      <c r="AC444" s="360"/>
      <c r="AD444" s="360"/>
      <c r="AE444" s="360"/>
      <c r="AF444" s="360"/>
      <c r="AG444" s="360"/>
      <c r="AH444" s="360"/>
    </row>
    <row r="445" ht="18.75" customHeight="1">
      <c r="A445" s="399"/>
      <c r="B445" s="375" t="str">
        <f>IF(A445="","", IF(ARBITRAGES!$H445="BTC",B444+ARBITRAGES!$K445,B444))</f>
        <v/>
      </c>
      <c r="C445" s="375" t="str">
        <f>IF(B445="","", IF(ARBITRAGES!$H445="eth",C444+ARBITRAGES!$K445,C444))</f>
        <v/>
      </c>
      <c r="D445" s="376" t="str">
        <f>IF(C445="","", IF(ARBITRAGES!$H445="ondo",D444+ARBITRAGES!$K445,D444))</f>
        <v/>
      </c>
      <c r="E445" s="376" t="str">
        <f>IF(D445="","", IF(ARBITRAGES!$H445="sol",E444+ARBITRAGES!$K445,E444))</f>
        <v/>
      </c>
      <c r="F445" s="377" t="str">
        <f>IF(E445="","", IF(ARBITRAGES!$H445="tao",F444+ARBITRAGES!$K445,F444))</f>
        <v/>
      </c>
      <c r="G445" s="378" t="str">
        <f>IF(F445="","", IF(ARBITRAGES!$H445="ron",G444+ARBITRAGES!$K445,G444))</f>
        <v/>
      </c>
      <c r="H445" s="378" t="str">
        <f>IF(G445="","", IF(ARBITRAGES!$H445="link",H444+ARBITRAGES!$K445,H444))</f>
        <v/>
      </c>
      <c r="I445" s="378" t="str">
        <f>IF(H445="","", IF(ARBITRAGES!$H445="doge",I444+ARBITRAGES!$K445,I444))</f>
        <v/>
      </c>
      <c r="J445" s="378" t="str">
        <f>IF(I445="","", IF(ARBITRAGES!$H445="shib",J444-ARBITRAGES!$K445,J444))</f>
        <v/>
      </c>
      <c r="K445" s="378" t="str">
        <f>IF(J445="","", IF(ARBITRAGES!$H445="cake",K444+ARBITRAGES!$K445,K444))</f>
        <v/>
      </c>
      <c r="L445" s="378" t="str">
        <f>IF(K445="","", IF(ARBITRAGES!$H445="JUP",L444+ARBITRAGES!$K445,L444))</f>
        <v/>
      </c>
      <c r="M445" s="376" t="str">
        <f>IF(L445="","", IF(ARBITRAGES!$H445="aave",M444+ARBITRAGES!$K445,M444))</f>
        <v/>
      </c>
      <c r="N445" s="378" t="str">
        <f>IF(M445="","", IF(ARBITRAGES!$H445="ckb",N444+ARBITRAGES!$K445,N444))</f>
        <v/>
      </c>
      <c r="O445" s="378" t="str">
        <f>IF(N445="","", IF(ARBITRAGES!$H445="pendle",O444-ARBITRAGES!$K445+0.1,O444))</f>
        <v/>
      </c>
      <c r="P445" s="378" t="str">
        <f>IF(O445="","", IF(ARBITRAGES!$H445="BOME",P444+ARBITRAGES!$K445,P444))</f>
        <v/>
      </c>
      <c r="Q445" s="378" t="str">
        <f>IF(P445="","", IF(ARBITRAGES!$H445="PEPE",Q444+ARBITRAGES!$K445,Q444))</f>
        <v/>
      </c>
      <c r="R445" s="378" t="str">
        <f>IF(Q445="","", IF(ARBITRAGES!$H445="WIF",R444+ARBITRAGES!$K445,R444))</f>
        <v/>
      </c>
      <c r="S445" s="378" t="str">
        <f>IF(R445="","", IF(ARBITRAGES!$H445="RAY",S444+ARBITRAGES!$K445,S444))</f>
        <v/>
      </c>
      <c r="T445" s="360"/>
      <c r="U445" s="360"/>
      <c r="V445" s="360"/>
      <c r="W445" s="360"/>
      <c r="X445" s="360"/>
      <c r="Y445" s="360"/>
      <c r="Z445" s="360"/>
      <c r="AA445" s="360"/>
      <c r="AB445" s="360"/>
      <c r="AC445" s="360"/>
      <c r="AD445" s="360"/>
      <c r="AE445" s="360"/>
      <c r="AF445" s="360"/>
      <c r="AG445" s="360"/>
      <c r="AH445" s="360"/>
    </row>
    <row r="446" ht="18.75" customHeight="1">
      <c r="A446" s="399"/>
      <c r="B446" s="375" t="str">
        <f>IF(A446="","", IF(ARBITRAGES!$H446="BTC",B445+ARBITRAGES!$K446,B445))</f>
        <v/>
      </c>
      <c r="C446" s="375" t="str">
        <f>IF(B446="","", IF(ARBITRAGES!$H446="eth",C445+ARBITRAGES!$K446,C445))</f>
        <v/>
      </c>
      <c r="D446" s="376" t="str">
        <f>IF(C446="","", IF(ARBITRAGES!$H446="ondo",D445+ARBITRAGES!$K446,D445))</f>
        <v/>
      </c>
      <c r="E446" s="376" t="str">
        <f>IF(D446="","", IF(ARBITRAGES!$H446="sol",E445+ARBITRAGES!$K446,E445))</f>
        <v/>
      </c>
      <c r="F446" s="377" t="str">
        <f>IF(E446="","", IF(ARBITRAGES!$H446="tao",F445+ARBITRAGES!$K446,F445))</f>
        <v/>
      </c>
      <c r="G446" s="378" t="str">
        <f>IF(F446="","", IF(ARBITRAGES!$H446="ron",G445+ARBITRAGES!$K446,G445))</f>
        <v/>
      </c>
      <c r="H446" s="378" t="str">
        <f>IF(G446="","", IF(ARBITRAGES!$H446="link",H445+ARBITRAGES!$K446,H445))</f>
        <v/>
      </c>
      <c r="I446" s="378" t="str">
        <f>IF(H446="","", IF(ARBITRAGES!$H446="doge",I445+ARBITRAGES!$K446,I445))</f>
        <v/>
      </c>
      <c r="J446" s="378" t="str">
        <f>IF(I446="","", IF(ARBITRAGES!$H446="shib",J445-ARBITRAGES!$K446,J445))</f>
        <v/>
      </c>
      <c r="K446" s="378" t="str">
        <f>IF(J446="","", IF(ARBITRAGES!$H446="cake",K445+ARBITRAGES!$K446,K445))</f>
        <v/>
      </c>
      <c r="L446" s="378" t="str">
        <f>IF(K446="","", IF(ARBITRAGES!$H446="JUP",L445+ARBITRAGES!$K446,L445))</f>
        <v/>
      </c>
      <c r="M446" s="376" t="str">
        <f>IF(L446="","", IF(ARBITRAGES!$H446="aave",M445+ARBITRAGES!$K446,M445))</f>
        <v/>
      </c>
      <c r="N446" s="378" t="str">
        <f>IF(M446="","", IF(ARBITRAGES!$H446="ckb",N445+ARBITRAGES!$K446,N445))</f>
        <v/>
      </c>
      <c r="O446" s="378" t="str">
        <f>IF(N446="","", IF(ARBITRAGES!$H446="pendle",O445-ARBITRAGES!$K446+0.1,O445))</f>
        <v/>
      </c>
      <c r="P446" s="378" t="str">
        <f>IF(O446="","", IF(ARBITRAGES!$H446="BOME",P445+ARBITRAGES!$K446,P445))</f>
        <v/>
      </c>
      <c r="Q446" s="378" t="str">
        <f>IF(P446="","", IF(ARBITRAGES!$H446="PEPE",Q445+ARBITRAGES!$K446,Q445))</f>
        <v/>
      </c>
      <c r="R446" s="378" t="str">
        <f>IF(Q446="","", IF(ARBITRAGES!$H446="WIF",R445+ARBITRAGES!$K446,R445))</f>
        <v/>
      </c>
      <c r="S446" s="378" t="str">
        <f>IF(R446="","", IF(ARBITRAGES!$H446="RAY",S445+ARBITRAGES!$K446,S445))</f>
        <v/>
      </c>
      <c r="T446" s="360"/>
      <c r="U446" s="360"/>
      <c r="V446" s="360"/>
      <c r="W446" s="360"/>
      <c r="X446" s="360"/>
      <c r="Y446" s="360"/>
      <c r="Z446" s="360"/>
      <c r="AA446" s="360"/>
      <c r="AB446" s="360"/>
      <c r="AC446" s="360"/>
      <c r="AD446" s="360"/>
      <c r="AE446" s="360"/>
      <c r="AF446" s="360"/>
      <c r="AG446" s="360"/>
      <c r="AH446" s="360"/>
    </row>
    <row r="447" ht="18.75" customHeight="1">
      <c r="A447" s="399"/>
      <c r="B447" s="375" t="str">
        <f>IF(A447="","", IF(ARBITRAGES!$H447="BTC",B446+ARBITRAGES!$K447,B446))</f>
        <v/>
      </c>
      <c r="C447" s="375" t="str">
        <f>IF(B447="","", IF(ARBITRAGES!$H447="eth",C446+ARBITRAGES!$K447,C446))</f>
        <v/>
      </c>
      <c r="D447" s="376" t="str">
        <f>IF(C447="","", IF(ARBITRAGES!$H447="ondo",D446+ARBITRAGES!$K447,D446))</f>
        <v/>
      </c>
      <c r="E447" s="376" t="str">
        <f>IF(D447="","", IF(ARBITRAGES!$H447="sol",E446+ARBITRAGES!$K447,E446))</f>
        <v/>
      </c>
      <c r="F447" s="377" t="str">
        <f>IF(E447="","", IF(ARBITRAGES!$H447="tao",F446+ARBITRAGES!$K447,F446))</f>
        <v/>
      </c>
      <c r="G447" s="378" t="str">
        <f>IF(F447="","", IF(ARBITRAGES!$H447="ron",G446+ARBITRAGES!$K447,G446))</f>
        <v/>
      </c>
      <c r="H447" s="378" t="str">
        <f>IF(G447="","", IF(ARBITRAGES!$H447="link",H446+ARBITRAGES!$K447,H446))</f>
        <v/>
      </c>
      <c r="I447" s="378" t="str">
        <f>IF(H447="","", IF(ARBITRAGES!$H447="doge",I446+ARBITRAGES!$K447,I446))</f>
        <v/>
      </c>
      <c r="J447" s="378" t="str">
        <f>IF(I447="","", IF(ARBITRAGES!$H447="shib",J446-ARBITRAGES!$K447,J446))</f>
        <v/>
      </c>
      <c r="K447" s="378" t="str">
        <f>IF(J447="","", IF(ARBITRAGES!$H447="cake",K446+ARBITRAGES!$K447,K446))</f>
        <v/>
      </c>
      <c r="L447" s="378" t="str">
        <f>IF(K447="","", IF(ARBITRAGES!$H447="JUP",L446+ARBITRAGES!$K447,L446))</f>
        <v/>
      </c>
      <c r="M447" s="376" t="str">
        <f>IF(L447="","", IF(ARBITRAGES!$H447="aave",M446+ARBITRAGES!$K447,M446))</f>
        <v/>
      </c>
      <c r="N447" s="378" t="str">
        <f>IF(M447="","", IF(ARBITRAGES!$H447="ckb",N446+ARBITRAGES!$K447,N446))</f>
        <v/>
      </c>
      <c r="O447" s="378" t="str">
        <f>IF(N447="","", IF(ARBITRAGES!$H447="pendle",O446-ARBITRAGES!$K447+0.1,O446))</f>
        <v/>
      </c>
      <c r="P447" s="378" t="str">
        <f>IF(O447="","", IF(ARBITRAGES!$H447="BOME",P446+ARBITRAGES!$K447,P446))</f>
        <v/>
      </c>
      <c r="Q447" s="378" t="str">
        <f>IF(P447="","", IF(ARBITRAGES!$H447="PEPE",Q446+ARBITRAGES!$K447,Q446))</f>
        <v/>
      </c>
      <c r="R447" s="378" t="str">
        <f>IF(Q447="","", IF(ARBITRAGES!$H447="WIF",R446+ARBITRAGES!$K447,R446))</f>
        <v/>
      </c>
      <c r="S447" s="378" t="str">
        <f>IF(R447="","", IF(ARBITRAGES!$H447="RAY",S446+ARBITRAGES!$K447,S446))</f>
        <v/>
      </c>
      <c r="T447" s="360"/>
      <c r="U447" s="360"/>
      <c r="V447" s="360"/>
      <c r="W447" s="360"/>
      <c r="X447" s="360"/>
      <c r="Y447" s="360"/>
      <c r="Z447" s="360"/>
      <c r="AA447" s="360"/>
      <c r="AB447" s="360"/>
      <c r="AC447" s="360"/>
      <c r="AD447" s="360"/>
      <c r="AE447" s="360"/>
      <c r="AF447" s="360"/>
      <c r="AG447" s="360"/>
      <c r="AH447" s="360"/>
    </row>
    <row r="448" ht="18.75" customHeight="1">
      <c r="A448" s="399"/>
      <c r="B448" s="375" t="str">
        <f>IF(A448="","", IF(ARBITRAGES!$H448="BTC",B447+ARBITRAGES!$K448,B447))</f>
        <v/>
      </c>
      <c r="C448" s="375" t="str">
        <f>IF(B448="","", IF(ARBITRAGES!$H448="eth",C447+ARBITRAGES!$K448,C447))</f>
        <v/>
      </c>
      <c r="D448" s="376" t="str">
        <f>IF(C448="","", IF(ARBITRAGES!$H448="ondo",D447+ARBITRAGES!$K448,D447))</f>
        <v/>
      </c>
      <c r="E448" s="376" t="str">
        <f>IF(D448="","", IF(ARBITRAGES!$H448="sol",E447+ARBITRAGES!$K448,E447))</f>
        <v/>
      </c>
      <c r="F448" s="377" t="str">
        <f>IF(E448="","", IF(ARBITRAGES!$H448="tao",F447+ARBITRAGES!$K448,F447))</f>
        <v/>
      </c>
      <c r="G448" s="378" t="str">
        <f>IF(F448="","", IF(ARBITRAGES!$H448="ron",G447+ARBITRAGES!$K448,G447))</f>
        <v/>
      </c>
      <c r="H448" s="378" t="str">
        <f>IF(G448="","", IF(ARBITRAGES!$H448="link",H447+ARBITRAGES!$K448,H447))</f>
        <v/>
      </c>
      <c r="I448" s="378" t="str">
        <f>IF(H448="","", IF(ARBITRAGES!$H448="doge",I447+ARBITRAGES!$K448,I447))</f>
        <v/>
      </c>
      <c r="J448" s="378" t="str">
        <f>IF(I448="","", IF(ARBITRAGES!$H448="shib",J447-ARBITRAGES!$K448,J447))</f>
        <v/>
      </c>
      <c r="K448" s="378" t="str">
        <f>IF(J448="","", IF(ARBITRAGES!$H448="cake",K447+ARBITRAGES!$K448,K447))</f>
        <v/>
      </c>
      <c r="L448" s="378" t="str">
        <f>IF(K448="","", IF(ARBITRAGES!$H448="JUP",L447+ARBITRAGES!$K448,L447))</f>
        <v/>
      </c>
      <c r="M448" s="376" t="str">
        <f>IF(L448="","", IF(ARBITRAGES!$H448="aave",M447+ARBITRAGES!$K448,M447))</f>
        <v/>
      </c>
      <c r="N448" s="378" t="str">
        <f>IF(M448="","", IF(ARBITRAGES!$H448="ckb",N447+ARBITRAGES!$K448,N447))</f>
        <v/>
      </c>
      <c r="O448" s="378" t="str">
        <f>IF(N448="","", IF(ARBITRAGES!$H448="pendle",O447-ARBITRAGES!$K448+0.1,O447))</f>
        <v/>
      </c>
      <c r="P448" s="378" t="str">
        <f>IF(O448="","", IF(ARBITRAGES!$H448="BOME",P447+ARBITRAGES!$K448,P447))</f>
        <v/>
      </c>
      <c r="Q448" s="378" t="str">
        <f>IF(P448="","", IF(ARBITRAGES!$H448="PEPE",Q447+ARBITRAGES!$K448,Q447))</f>
        <v/>
      </c>
      <c r="R448" s="378" t="str">
        <f>IF(Q448="","", IF(ARBITRAGES!$H448="WIF",R447+ARBITRAGES!$K448,R447))</f>
        <v/>
      </c>
      <c r="S448" s="378" t="str">
        <f>IF(R448="","", IF(ARBITRAGES!$H448="RAY",S447+ARBITRAGES!$K448,S447))</f>
        <v/>
      </c>
      <c r="T448" s="360"/>
      <c r="U448" s="360"/>
      <c r="V448" s="360"/>
      <c r="W448" s="360"/>
      <c r="X448" s="360"/>
      <c r="Y448" s="360"/>
      <c r="Z448" s="360"/>
      <c r="AA448" s="360"/>
      <c r="AB448" s="360"/>
      <c r="AC448" s="360"/>
      <c r="AD448" s="360"/>
      <c r="AE448" s="360"/>
      <c r="AF448" s="360"/>
      <c r="AG448" s="360"/>
      <c r="AH448" s="360"/>
    </row>
    <row r="449" ht="18.75" customHeight="1">
      <c r="A449" s="399"/>
      <c r="B449" s="375" t="str">
        <f>IF(A449="","", IF(ARBITRAGES!$H449="BTC",B448+ARBITRAGES!$K449,B448))</f>
        <v/>
      </c>
      <c r="C449" s="375" t="str">
        <f>IF(B449="","", IF(ARBITRAGES!$H449="eth",C448+ARBITRAGES!$K449,C448))</f>
        <v/>
      </c>
      <c r="D449" s="376" t="str">
        <f>IF(C449="","", IF(ARBITRAGES!$H449="ondo",D448+ARBITRAGES!$K449,D448))</f>
        <v/>
      </c>
      <c r="E449" s="376" t="str">
        <f>IF(D449="","", IF(ARBITRAGES!$H449="sol",E448+ARBITRAGES!$K449,E448))</f>
        <v/>
      </c>
      <c r="F449" s="377" t="str">
        <f>IF(E449="","", IF(ARBITRAGES!$H449="tao",F448+ARBITRAGES!$K449,F448))</f>
        <v/>
      </c>
      <c r="G449" s="378" t="str">
        <f>IF(F449="","", IF(ARBITRAGES!$H449="ron",G448+ARBITRAGES!$K449,G448))</f>
        <v/>
      </c>
      <c r="H449" s="378" t="str">
        <f>IF(G449="","", IF(ARBITRAGES!$H449="link",H448+ARBITRAGES!$K449,H448))</f>
        <v/>
      </c>
      <c r="I449" s="378" t="str">
        <f>IF(H449="","", IF(ARBITRAGES!$H449="doge",I448+ARBITRAGES!$K449,I448))</f>
        <v/>
      </c>
      <c r="J449" s="378" t="str">
        <f>IF(I449="","", IF(ARBITRAGES!$H449="shib",J448-ARBITRAGES!$K449,J448))</f>
        <v/>
      </c>
      <c r="K449" s="378" t="str">
        <f>IF(J449="","", IF(ARBITRAGES!$H449="cake",K448+ARBITRAGES!$K449,K448))</f>
        <v/>
      </c>
      <c r="L449" s="378" t="str">
        <f>IF(K449="","", IF(ARBITRAGES!$H449="JUP",L448+ARBITRAGES!$K449,L448))</f>
        <v/>
      </c>
      <c r="M449" s="376" t="str">
        <f>IF(L449="","", IF(ARBITRAGES!$H449="aave",M448+ARBITRAGES!$K449,M448))</f>
        <v/>
      </c>
      <c r="N449" s="378" t="str">
        <f>IF(M449="","", IF(ARBITRAGES!$H449="ckb",N448+ARBITRAGES!$K449,N448))</f>
        <v/>
      </c>
      <c r="O449" s="378" t="str">
        <f>IF(N449="","", IF(ARBITRAGES!$H449="pendle",O448-ARBITRAGES!$K449+0.1,O448))</f>
        <v/>
      </c>
      <c r="P449" s="378" t="str">
        <f>IF(O449="","", IF(ARBITRAGES!$H449="BOME",P448+ARBITRAGES!$K449,P448))</f>
        <v/>
      </c>
      <c r="Q449" s="378" t="str">
        <f>IF(P449="","", IF(ARBITRAGES!$H449="PEPE",Q448+ARBITRAGES!$K449,Q448))</f>
        <v/>
      </c>
      <c r="R449" s="378" t="str">
        <f>IF(Q449="","", IF(ARBITRAGES!$H449="WIF",R448+ARBITRAGES!$K449,R448))</f>
        <v/>
      </c>
      <c r="S449" s="378" t="str">
        <f>IF(R449="","", IF(ARBITRAGES!$H449="RAY",S448+ARBITRAGES!$K449,S448))</f>
        <v/>
      </c>
      <c r="T449" s="360"/>
      <c r="U449" s="360"/>
      <c r="V449" s="360"/>
      <c r="W449" s="360"/>
      <c r="X449" s="360"/>
      <c r="Y449" s="360"/>
      <c r="Z449" s="360"/>
      <c r="AA449" s="360"/>
      <c r="AB449" s="360"/>
      <c r="AC449" s="360"/>
      <c r="AD449" s="360"/>
      <c r="AE449" s="360"/>
      <c r="AF449" s="360"/>
      <c r="AG449" s="360"/>
      <c r="AH449" s="360"/>
    </row>
    <row r="450" ht="18.75" customHeight="1">
      <c r="A450" s="399"/>
      <c r="B450" s="375" t="str">
        <f>IF(A450="","", IF(ARBITRAGES!$H450="BTC",B449+ARBITRAGES!$K450,B449))</f>
        <v/>
      </c>
      <c r="C450" s="375" t="str">
        <f>IF(B450="","", IF(ARBITRAGES!$H450="eth",C449+ARBITRAGES!$K450,C449))</f>
        <v/>
      </c>
      <c r="D450" s="376" t="str">
        <f>IF(C450="","", IF(ARBITRAGES!$H450="ondo",D449+ARBITRAGES!$K450,D449))</f>
        <v/>
      </c>
      <c r="E450" s="376" t="str">
        <f>IF(D450="","", IF(ARBITRAGES!$H450="sol",E449+ARBITRAGES!$K450,E449))</f>
        <v/>
      </c>
      <c r="F450" s="377" t="str">
        <f>IF(E450="","", IF(ARBITRAGES!$H450="tao",F449+ARBITRAGES!$K450,F449))</f>
        <v/>
      </c>
      <c r="G450" s="378" t="str">
        <f>IF(F450="","", IF(ARBITRAGES!$H450="ron",G449+ARBITRAGES!$K450,G449))</f>
        <v/>
      </c>
      <c r="H450" s="378" t="str">
        <f>IF(G450="","", IF(ARBITRAGES!$H450="link",H449+ARBITRAGES!$K450,H449))</f>
        <v/>
      </c>
      <c r="I450" s="378" t="str">
        <f>IF(H450="","", IF(ARBITRAGES!$H450="doge",I449+ARBITRAGES!$K450,I449))</f>
        <v/>
      </c>
      <c r="J450" s="378" t="str">
        <f>IF(I450="","", IF(ARBITRAGES!$H450="shib",J449-ARBITRAGES!$K450,J449))</f>
        <v/>
      </c>
      <c r="K450" s="378" t="str">
        <f>IF(J450="","", IF(ARBITRAGES!$H450="cake",K449+ARBITRAGES!$K450,K449))</f>
        <v/>
      </c>
      <c r="L450" s="378" t="str">
        <f>IF(K450="","", IF(ARBITRAGES!$H450="JUP",L449+ARBITRAGES!$K450,L449))</f>
        <v/>
      </c>
      <c r="M450" s="376" t="str">
        <f>IF(L450="","", IF(ARBITRAGES!$H450="aave",M449+ARBITRAGES!$K450,M449))</f>
        <v/>
      </c>
      <c r="N450" s="378" t="str">
        <f>IF(M450="","", IF(ARBITRAGES!$H450="ckb",N449+ARBITRAGES!$K450,N449))</f>
        <v/>
      </c>
      <c r="O450" s="378" t="str">
        <f>IF(N450="","", IF(ARBITRAGES!$H450="pendle",O449-ARBITRAGES!$K450+0.1,O449))</f>
        <v/>
      </c>
      <c r="P450" s="378" t="str">
        <f>IF(O450="","", IF(ARBITRAGES!$H450="BOME",P449+ARBITRAGES!$K450,P449))</f>
        <v/>
      </c>
      <c r="Q450" s="378" t="str">
        <f>IF(P450="","", IF(ARBITRAGES!$H450="PEPE",Q449+ARBITRAGES!$K450,Q449))</f>
        <v/>
      </c>
      <c r="R450" s="378" t="str">
        <f>IF(Q450="","", IF(ARBITRAGES!$H450="WIF",R449+ARBITRAGES!$K450,R449))</f>
        <v/>
      </c>
      <c r="S450" s="378" t="str">
        <f>IF(R450="","", IF(ARBITRAGES!$H450="RAY",S449+ARBITRAGES!$K450,S449))</f>
        <v/>
      </c>
      <c r="T450" s="360"/>
      <c r="U450" s="360"/>
      <c r="V450" s="360"/>
      <c r="W450" s="360"/>
      <c r="X450" s="360"/>
      <c r="Y450" s="360"/>
      <c r="Z450" s="360"/>
      <c r="AA450" s="360"/>
      <c r="AB450" s="360"/>
      <c r="AC450" s="360"/>
      <c r="AD450" s="360"/>
      <c r="AE450" s="360"/>
      <c r="AF450" s="360"/>
      <c r="AG450" s="360"/>
      <c r="AH450" s="360"/>
    </row>
    <row r="451" ht="18.75" customHeight="1">
      <c r="A451" s="399"/>
      <c r="B451" s="375" t="str">
        <f>IF(A451="","", IF(ARBITRAGES!$H451="BTC",B450+ARBITRAGES!$K451,B450))</f>
        <v/>
      </c>
      <c r="C451" s="375" t="str">
        <f>IF(B451="","", IF(ARBITRAGES!$H451="eth",C450+ARBITRAGES!$K451,C450))</f>
        <v/>
      </c>
      <c r="D451" s="376" t="str">
        <f>IF(C451="","", IF(ARBITRAGES!$H451="ondo",D450+ARBITRAGES!$K451,D450))</f>
        <v/>
      </c>
      <c r="E451" s="376" t="str">
        <f>IF(D451="","", IF(ARBITRAGES!$H451="sol",E450+ARBITRAGES!$K451,E450))</f>
        <v/>
      </c>
      <c r="F451" s="377" t="str">
        <f>IF(E451="","", IF(ARBITRAGES!$H451="tao",F450+ARBITRAGES!$K451,F450))</f>
        <v/>
      </c>
      <c r="G451" s="378" t="str">
        <f>IF(F451="","", IF(ARBITRAGES!$H451="ron",G450+ARBITRAGES!$K451,G450))</f>
        <v/>
      </c>
      <c r="H451" s="378" t="str">
        <f>IF(G451="","", IF(ARBITRAGES!$H451="link",H450+ARBITRAGES!$K451,H450))</f>
        <v/>
      </c>
      <c r="I451" s="378" t="str">
        <f>IF(H451="","", IF(ARBITRAGES!$H451="doge",I450+ARBITRAGES!$K451,I450))</f>
        <v/>
      </c>
      <c r="J451" s="378" t="str">
        <f>IF(I451="","", IF(ARBITRAGES!$H451="shib",J450-ARBITRAGES!$K451,J450))</f>
        <v/>
      </c>
      <c r="K451" s="378" t="str">
        <f>IF(J451="","", IF(ARBITRAGES!$H451="cake",K450+ARBITRAGES!$K451,K450))</f>
        <v/>
      </c>
      <c r="L451" s="378" t="str">
        <f>IF(K451="","", IF(ARBITRAGES!$H451="JUP",L450+ARBITRAGES!$K451,L450))</f>
        <v/>
      </c>
      <c r="M451" s="376" t="str">
        <f>IF(L451="","", IF(ARBITRAGES!$H451="aave",M450+ARBITRAGES!$K451,M450))</f>
        <v/>
      </c>
      <c r="N451" s="378" t="str">
        <f>IF(M451="","", IF(ARBITRAGES!$H451="ckb",N450+ARBITRAGES!$K451,N450))</f>
        <v/>
      </c>
      <c r="O451" s="378" t="str">
        <f>IF(N451="","", IF(ARBITRAGES!$H451="pendle",O450-ARBITRAGES!$K451+0.1,O450))</f>
        <v/>
      </c>
      <c r="P451" s="378" t="str">
        <f>IF(O451="","", IF(ARBITRAGES!$H451="BOME",P450+ARBITRAGES!$K451,P450))</f>
        <v/>
      </c>
      <c r="Q451" s="378" t="str">
        <f>IF(P451="","", IF(ARBITRAGES!$H451="PEPE",Q450+ARBITRAGES!$K451,Q450))</f>
        <v/>
      </c>
      <c r="R451" s="378" t="str">
        <f>IF(Q451="","", IF(ARBITRAGES!$H451="WIF",R450+ARBITRAGES!$K451,R450))</f>
        <v/>
      </c>
      <c r="S451" s="378" t="str">
        <f>IF(R451="","", IF(ARBITRAGES!$H451="RAY",S450+ARBITRAGES!$K451,S450))</f>
        <v/>
      </c>
      <c r="T451" s="360"/>
      <c r="U451" s="360"/>
      <c r="V451" s="360"/>
      <c r="W451" s="360"/>
      <c r="X451" s="360"/>
      <c r="Y451" s="360"/>
      <c r="Z451" s="360"/>
      <c r="AA451" s="360"/>
      <c r="AB451" s="360"/>
      <c r="AC451" s="360"/>
      <c r="AD451" s="360"/>
      <c r="AE451" s="360"/>
      <c r="AF451" s="360"/>
      <c r="AG451" s="360"/>
      <c r="AH451" s="360"/>
    </row>
    <row r="452" ht="18.75" customHeight="1">
      <c r="A452" s="399"/>
      <c r="B452" s="375" t="str">
        <f>IF(A452="","", IF(ARBITRAGES!$H452="BTC",B451+ARBITRAGES!$K452,B451))</f>
        <v/>
      </c>
      <c r="C452" s="375" t="str">
        <f>IF(B452="","", IF(ARBITRAGES!$H452="eth",C451+ARBITRAGES!$K452,C451))</f>
        <v/>
      </c>
      <c r="D452" s="376" t="str">
        <f>IF(C452="","", IF(ARBITRAGES!$H452="ondo",D451+ARBITRAGES!$K452,D451))</f>
        <v/>
      </c>
      <c r="E452" s="376" t="str">
        <f>IF(D452="","", IF(ARBITRAGES!$H452="sol",E451+ARBITRAGES!$K452,E451))</f>
        <v/>
      </c>
      <c r="F452" s="377" t="str">
        <f>IF(E452="","", IF(ARBITRAGES!$H452="tao",F451+ARBITRAGES!$K452,F451))</f>
        <v/>
      </c>
      <c r="G452" s="378" t="str">
        <f>IF(F452="","", IF(ARBITRAGES!$H452="ron",G451+ARBITRAGES!$K452,G451))</f>
        <v/>
      </c>
      <c r="H452" s="378" t="str">
        <f>IF(G452="","", IF(ARBITRAGES!$H452="link",H451+ARBITRAGES!$K452,H451))</f>
        <v/>
      </c>
      <c r="I452" s="378" t="str">
        <f>IF(H452="","", IF(ARBITRAGES!$H452="doge",I451+ARBITRAGES!$K452,I451))</f>
        <v/>
      </c>
      <c r="J452" s="378" t="str">
        <f>IF(I452="","", IF(ARBITRAGES!$H452="shib",J451-ARBITRAGES!$K452,J451))</f>
        <v/>
      </c>
      <c r="K452" s="378" t="str">
        <f>IF(J452="","", IF(ARBITRAGES!$H452="cake",K451+ARBITRAGES!$K452,K451))</f>
        <v/>
      </c>
      <c r="L452" s="378" t="str">
        <f>IF(K452="","", IF(ARBITRAGES!$H452="JUP",L451+ARBITRAGES!$K452,L451))</f>
        <v/>
      </c>
      <c r="M452" s="376" t="str">
        <f>IF(L452="","", IF(ARBITRAGES!$H452="aave",M451+ARBITRAGES!$K452,M451))</f>
        <v/>
      </c>
      <c r="N452" s="378" t="str">
        <f>IF(M452="","", IF(ARBITRAGES!$H452="ckb",N451+ARBITRAGES!$K452,N451))</f>
        <v/>
      </c>
      <c r="O452" s="378" t="str">
        <f>IF(N452="","", IF(ARBITRAGES!$H452="pendle",O451-ARBITRAGES!$K452+0.1,O451))</f>
        <v/>
      </c>
      <c r="P452" s="378" t="str">
        <f>IF(O452="","", IF(ARBITRAGES!$H452="BOME",P451+ARBITRAGES!$K452,P451))</f>
        <v/>
      </c>
      <c r="Q452" s="378" t="str">
        <f>IF(P452="","", IF(ARBITRAGES!$H452="PEPE",Q451+ARBITRAGES!$K452,Q451))</f>
        <v/>
      </c>
      <c r="R452" s="378" t="str">
        <f>IF(Q452="","", IF(ARBITRAGES!$H452="WIF",R451+ARBITRAGES!$K452,R451))</f>
        <v/>
      </c>
      <c r="S452" s="378" t="str">
        <f>IF(R452="","", IF(ARBITRAGES!$H452="RAY",S451+ARBITRAGES!$K452,S451))</f>
        <v/>
      </c>
      <c r="T452" s="360"/>
      <c r="U452" s="360"/>
      <c r="V452" s="360"/>
      <c r="W452" s="360"/>
      <c r="X452" s="360"/>
      <c r="Y452" s="360"/>
      <c r="Z452" s="360"/>
      <c r="AA452" s="360"/>
      <c r="AB452" s="360"/>
      <c r="AC452" s="360"/>
      <c r="AD452" s="360"/>
      <c r="AE452" s="360"/>
      <c r="AF452" s="360"/>
      <c r="AG452" s="360"/>
      <c r="AH452" s="360"/>
    </row>
    <row r="453" ht="18.75" customHeight="1">
      <c r="A453" s="399"/>
      <c r="B453" s="375" t="str">
        <f>IF(A453="","", IF(ARBITRAGES!$H453="BTC",B452+ARBITRAGES!$K453,B452))</f>
        <v/>
      </c>
      <c r="C453" s="375" t="str">
        <f>IF(B453="","", IF(ARBITRAGES!$H453="eth",C452+ARBITRAGES!$K453,C452))</f>
        <v/>
      </c>
      <c r="D453" s="376" t="str">
        <f>IF(C453="","", IF(ARBITRAGES!$H453="ondo",D452+ARBITRAGES!$K453,D452))</f>
        <v/>
      </c>
      <c r="E453" s="376" t="str">
        <f>IF(D453="","", IF(ARBITRAGES!$H453="sol",E452+ARBITRAGES!$K453,E452))</f>
        <v/>
      </c>
      <c r="F453" s="377" t="str">
        <f>IF(E453="","", IF(ARBITRAGES!$H453="tao",F452+ARBITRAGES!$K453,F452))</f>
        <v/>
      </c>
      <c r="G453" s="378" t="str">
        <f>IF(F453="","", IF(ARBITRAGES!$H453="ron",G452+ARBITRAGES!$K453,G452))</f>
        <v/>
      </c>
      <c r="H453" s="378" t="str">
        <f>IF(G453="","", IF(ARBITRAGES!$H453="link",H452+ARBITRAGES!$K453,H452))</f>
        <v/>
      </c>
      <c r="I453" s="378" t="str">
        <f>IF(H453="","", IF(ARBITRAGES!$H453="doge",I452+ARBITRAGES!$K453,I452))</f>
        <v/>
      </c>
      <c r="J453" s="378" t="str">
        <f>IF(I453="","", IF(ARBITRAGES!$H453="shib",J452-ARBITRAGES!$K453,J452))</f>
        <v/>
      </c>
      <c r="K453" s="378" t="str">
        <f>IF(J453="","", IF(ARBITRAGES!$H453="cake",K452+ARBITRAGES!$K453,K452))</f>
        <v/>
      </c>
      <c r="L453" s="378" t="str">
        <f>IF(K453="","", IF(ARBITRAGES!$H453="JUP",L452+ARBITRAGES!$K453,L452))</f>
        <v/>
      </c>
      <c r="M453" s="376" t="str">
        <f>IF(L453="","", IF(ARBITRAGES!$H453="aave",M452+ARBITRAGES!$K453,M452))</f>
        <v/>
      </c>
      <c r="N453" s="378" t="str">
        <f>IF(M453="","", IF(ARBITRAGES!$H453="ckb",N452+ARBITRAGES!$K453,N452))</f>
        <v/>
      </c>
      <c r="O453" s="378" t="str">
        <f>IF(N453="","", IF(ARBITRAGES!$H453="pendle",O452-ARBITRAGES!$K453+0.1,O452))</f>
        <v/>
      </c>
      <c r="P453" s="378" t="str">
        <f>IF(O453="","", IF(ARBITRAGES!$H453="BOME",P452+ARBITRAGES!$K453,P452))</f>
        <v/>
      </c>
      <c r="Q453" s="378" t="str">
        <f>IF(P453="","", IF(ARBITRAGES!$H453="PEPE",Q452+ARBITRAGES!$K453,Q452))</f>
        <v/>
      </c>
      <c r="R453" s="378" t="str">
        <f>IF(Q453="","", IF(ARBITRAGES!$H453="WIF",R452+ARBITRAGES!$K453,R452))</f>
        <v/>
      </c>
      <c r="S453" s="378" t="str">
        <f>IF(R453="","", IF(ARBITRAGES!$H453="RAY",S452+ARBITRAGES!$K453,S452))</f>
        <v/>
      </c>
      <c r="T453" s="360"/>
      <c r="U453" s="360"/>
      <c r="V453" s="360"/>
      <c r="W453" s="360"/>
      <c r="X453" s="360"/>
      <c r="Y453" s="360"/>
      <c r="Z453" s="360"/>
      <c r="AA453" s="360"/>
      <c r="AB453" s="360"/>
      <c r="AC453" s="360"/>
      <c r="AD453" s="360"/>
      <c r="AE453" s="360"/>
      <c r="AF453" s="360"/>
      <c r="AG453" s="360"/>
      <c r="AH453" s="360"/>
    </row>
    <row r="454" ht="18.75" customHeight="1">
      <c r="A454" s="399"/>
      <c r="B454" s="375" t="str">
        <f>IF(A454="","", IF(ARBITRAGES!$H454="BTC",B453+ARBITRAGES!$K454,B453))</f>
        <v/>
      </c>
      <c r="C454" s="375" t="str">
        <f>IF(B454="","", IF(ARBITRAGES!$H454="eth",C453+ARBITRAGES!$K454,C453))</f>
        <v/>
      </c>
      <c r="D454" s="376" t="str">
        <f>IF(C454="","", IF(ARBITRAGES!$H454="ondo",D453+ARBITRAGES!$K454,D453))</f>
        <v/>
      </c>
      <c r="E454" s="376" t="str">
        <f>IF(D454="","", IF(ARBITRAGES!$H454="sol",E453+ARBITRAGES!$K454,E453))</f>
        <v/>
      </c>
      <c r="F454" s="377" t="str">
        <f>IF(E454="","", IF(ARBITRAGES!$H454="tao",F453+ARBITRAGES!$K454,F453))</f>
        <v/>
      </c>
      <c r="G454" s="378" t="str">
        <f>IF(F454="","", IF(ARBITRAGES!$H454="ron",G453+ARBITRAGES!$K454,G453))</f>
        <v/>
      </c>
      <c r="H454" s="378" t="str">
        <f>IF(G454="","", IF(ARBITRAGES!$H454="link",H453+ARBITRAGES!$K454,H453))</f>
        <v/>
      </c>
      <c r="I454" s="378" t="str">
        <f>IF(H454="","", IF(ARBITRAGES!$H454="doge",I453+ARBITRAGES!$K454,I453))</f>
        <v/>
      </c>
      <c r="J454" s="378" t="str">
        <f>IF(I454="","", IF(ARBITRAGES!$H454="shib",J453-ARBITRAGES!$K454,J453))</f>
        <v/>
      </c>
      <c r="K454" s="378" t="str">
        <f>IF(J454="","", IF(ARBITRAGES!$H454="cake",K453+ARBITRAGES!$K454,K453))</f>
        <v/>
      </c>
      <c r="L454" s="378" t="str">
        <f>IF(K454="","", IF(ARBITRAGES!$H454="JUP",L453+ARBITRAGES!$K454,L453))</f>
        <v/>
      </c>
      <c r="M454" s="376" t="str">
        <f>IF(L454="","", IF(ARBITRAGES!$H454="aave",M453+ARBITRAGES!$K454,M453))</f>
        <v/>
      </c>
      <c r="N454" s="378" t="str">
        <f>IF(M454="","", IF(ARBITRAGES!$H454="ckb",N453+ARBITRAGES!$K454,N453))</f>
        <v/>
      </c>
      <c r="O454" s="378" t="str">
        <f>IF(N454="","", IF(ARBITRAGES!$H454="pendle",O453-ARBITRAGES!$K454+0.1,O453))</f>
        <v/>
      </c>
      <c r="P454" s="378" t="str">
        <f>IF(O454="","", IF(ARBITRAGES!$H454="BOME",P453+ARBITRAGES!$K454,P453))</f>
        <v/>
      </c>
      <c r="Q454" s="378" t="str">
        <f>IF(P454="","", IF(ARBITRAGES!$H454="PEPE",Q453+ARBITRAGES!$K454,Q453))</f>
        <v/>
      </c>
      <c r="R454" s="378" t="str">
        <f>IF(Q454="","", IF(ARBITRAGES!$H454="WIF",R453+ARBITRAGES!$K454,R453))</f>
        <v/>
      </c>
      <c r="S454" s="378" t="str">
        <f>IF(R454="","", IF(ARBITRAGES!$H454="RAY",S453+ARBITRAGES!$K454,S453))</f>
        <v/>
      </c>
      <c r="T454" s="360"/>
      <c r="U454" s="360"/>
      <c r="V454" s="360"/>
      <c r="W454" s="360"/>
      <c r="X454" s="360"/>
      <c r="Y454" s="360"/>
      <c r="Z454" s="360"/>
      <c r="AA454" s="360"/>
      <c r="AB454" s="360"/>
      <c r="AC454" s="360"/>
      <c r="AD454" s="360"/>
      <c r="AE454" s="360"/>
      <c r="AF454" s="360"/>
      <c r="AG454" s="360"/>
      <c r="AH454" s="360"/>
    </row>
    <row r="455" ht="18.75" customHeight="1">
      <c r="A455" s="399"/>
      <c r="B455" s="375" t="str">
        <f>IF(A455="","", IF(ARBITRAGES!$H455="BTC",B454+ARBITRAGES!$K455,B454))</f>
        <v/>
      </c>
      <c r="C455" s="375" t="str">
        <f>IF(B455="","", IF(ARBITRAGES!$H455="eth",C454+ARBITRAGES!$K455,C454))</f>
        <v/>
      </c>
      <c r="D455" s="376" t="str">
        <f>IF(C455="","", IF(ARBITRAGES!$H455="ondo",D454+ARBITRAGES!$K455,D454))</f>
        <v/>
      </c>
      <c r="E455" s="376" t="str">
        <f>IF(D455="","", IF(ARBITRAGES!$H455="sol",E454+ARBITRAGES!$K455,E454))</f>
        <v/>
      </c>
      <c r="F455" s="377" t="str">
        <f>IF(E455="","", IF(ARBITRAGES!$H455="tao",F454+ARBITRAGES!$K455,F454))</f>
        <v/>
      </c>
      <c r="G455" s="378" t="str">
        <f>IF(F455="","", IF(ARBITRAGES!$H455="ron",G454+ARBITRAGES!$K455,G454))</f>
        <v/>
      </c>
      <c r="H455" s="378" t="str">
        <f>IF(G455="","", IF(ARBITRAGES!$H455="link",H454+ARBITRAGES!$K455,H454))</f>
        <v/>
      </c>
      <c r="I455" s="378" t="str">
        <f>IF(H455="","", IF(ARBITRAGES!$H455="doge",I454+ARBITRAGES!$K455,I454))</f>
        <v/>
      </c>
      <c r="J455" s="378" t="str">
        <f>IF(I455="","", IF(ARBITRAGES!$H455="shib",J454-ARBITRAGES!$K455,J454))</f>
        <v/>
      </c>
      <c r="K455" s="378" t="str">
        <f>IF(J455="","", IF(ARBITRAGES!$H455="cake",K454+ARBITRAGES!$K455,K454))</f>
        <v/>
      </c>
      <c r="L455" s="378" t="str">
        <f>IF(K455="","", IF(ARBITRAGES!$H455="JUP",L454+ARBITRAGES!$K455,L454))</f>
        <v/>
      </c>
      <c r="M455" s="376" t="str">
        <f>IF(L455="","", IF(ARBITRAGES!$H455="aave",M454+ARBITRAGES!$K455,M454))</f>
        <v/>
      </c>
      <c r="N455" s="378" t="str">
        <f>IF(M455="","", IF(ARBITRAGES!$H455="ckb",N454+ARBITRAGES!$K455,N454))</f>
        <v/>
      </c>
      <c r="O455" s="378" t="str">
        <f>IF(N455="","", IF(ARBITRAGES!$H455="pendle",O454-ARBITRAGES!$K455+0.1,O454))</f>
        <v/>
      </c>
      <c r="P455" s="378" t="str">
        <f>IF(O455="","", IF(ARBITRAGES!$H455="BOME",P454+ARBITRAGES!$K455,P454))</f>
        <v/>
      </c>
      <c r="Q455" s="378" t="str">
        <f>IF(P455="","", IF(ARBITRAGES!$H455="PEPE",Q454+ARBITRAGES!$K455,Q454))</f>
        <v/>
      </c>
      <c r="R455" s="378" t="str">
        <f>IF(Q455="","", IF(ARBITRAGES!$H455="WIF",R454+ARBITRAGES!$K455,R454))</f>
        <v/>
      </c>
      <c r="S455" s="378" t="str">
        <f>IF(R455="","", IF(ARBITRAGES!$H455="RAY",S454+ARBITRAGES!$K455,S454))</f>
        <v/>
      </c>
      <c r="T455" s="360"/>
      <c r="U455" s="360"/>
      <c r="V455" s="360"/>
      <c r="W455" s="360"/>
      <c r="X455" s="360"/>
      <c r="Y455" s="360"/>
      <c r="Z455" s="360"/>
      <c r="AA455" s="360"/>
      <c r="AB455" s="360"/>
      <c r="AC455" s="360"/>
      <c r="AD455" s="360"/>
      <c r="AE455" s="360"/>
      <c r="AF455" s="360"/>
      <c r="AG455" s="360"/>
      <c r="AH455" s="360"/>
    </row>
    <row r="456" ht="18.75" customHeight="1">
      <c r="A456" s="399"/>
      <c r="B456" s="375" t="str">
        <f>IF(A456="","", IF(ARBITRAGES!$H456="BTC",B455+ARBITRAGES!$K456,B455))</f>
        <v/>
      </c>
      <c r="C456" s="375" t="str">
        <f>IF(B456="","", IF(ARBITRAGES!$H456="eth",C455+ARBITRAGES!$K456,C455))</f>
        <v/>
      </c>
      <c r="D456" s="376" t="str">
        <f>IF(C456="","", IF(ARBITRAGES!$H456="ondo",D455+ARBITRAGES!$K456,D455))</f>
        <v/>
      </c>
      <c r="E456" s="376" t="str">
        <f>IF(D456="","", IF(ARBITRAGES!$H456="sol",E455+ARBITRAGES!$K456,E455))</f>
        <v/>
      </c>
      <c r="F456" s="377" t="str">
        <f>IF(E456="","", IF(ARBITRAGES!$H456="tao",F455+ARBITRAGES!$K456,F455))</f>
        <v/>
      </c>
      <c r="G456" s="378" t="str">
        <f>IF(F456="","", IF(ARBITRAGES!$H456="ron",G455+ARBITRAGES!$K456,G455))</f>
        <v/>
      </c>
      <c r="H456" s="378" t="str">
        <f>IF(G456="","", IF(ARBITRAGES!$H456="link",H455+ARBITRAGES!$K456,H455))</f>
        <v/>
      </c>
      <c r="I456" s="378" t="str">
        <f>IF(H456="","", IF(ARBITRAGES!$H456="doge",I455+ARBITRAGES!$K456,I455))</f>
        <v/>
      </c>
      <c r="J456" s="378" t="str">
        <f>IF(I456="","", IF(ARBITRAGES!$H456="shib",J455-ARBITRAGES!$K456,J455))</f>
        <v/>
      </c>
      <c r="K456" s="378" t="str">
        <f>IF(J456="","", IF(ARBITRAGES!$H456="cake",K455+ARBITRAGES!$K456,K455))</f>
        <v/>
      </c>
      <c r="L456" s="378" t="str">
        <f>IF(K456="","", IF(ARBITRAGES!$H456="JUP",L455+ARBITRAGES!$K456,L455))</f>
        <v/>
      </c>
      <c r="M456" s="376" t="str">
        <f>IF(L456="","", IF(ARBITRAGES!$H456="aave",M455+ARBITRAGES!$K456,M455))</f>
        <v/>
      </c>
      <c r="N456" s="378" t="str">
        <f>IF(M456="","", IF(ARBITRAGES!$H456="ckb",N455+ARBITRAGES!$K456,N455))</f>
        <v/>
      </c>
      <c r="O456" s="378" t="str">
        <f>IF(N456="","", IF(ARBITRAGES!$H456="pendle",O455-ARBITRAGES!$K456+0.1,O455))</f>
        <v/>
      </c>
      <c r="P456" s="378" t="str">
        <f>IF(O456="","", IF(ARBITRAGES!$H456="BOME",P455+ARBITRAGES!$K456,P455))</f>
        <v/>
      </c>
      <c r="Q456" s="378" t="str">
        <f>IF(P456="","", IF(ARBITRAGES!$H456="PEPE",Q455+ARBITRAGES!$K456,Q455))</f>
        <v/>
      </c>
      <c r="R456" s="378" t="str">
        <f>IF(Q456="","", IF(ARBITRAGES!$H456="WIF",R455+ARBITRAGES!$K456,R455))</f>
        <v/>
      </c>
      <c r="S456" s="378" t="str">
        <f>IF(R456="","", IF(ARBITRAGES!$H456="RAY",S455+ARBITRAGES!$K456,S455))</f>
        <v/>
      </c>
      <c r="T456" s="360"/>
      <c r="U456" s="360"/>
      <c r="V456" s="360"/>
      <c r="W456" s="360"/>
      <c r="X456" s="360"/>
      <c r="Y456" s="360"/>
      <c r="Z456" s="360"/>
      <c r="AA456" s="360"/>
      <c r="AB456" s="360"/>
      <c r="AC456" s="360"/>
      <c r="AD456" s="360"/>
      <c r="AE456" s="360"/>
      <c r="AF456" s="360"/>
      <c r="AG456" s="360"/>
      <c r="AH456" s="360"/>
    </row>
    <row r="457" ht="18.75" customHeight="1">
      <c r="A457" s="399"/>
      <c r="B457" s="375" t="str">
        <f>IF(A457="","", IF(ARBITRAGES!$H457="BTC",B456+ARBITRAGES!$K457,B456))</f>
        <v/>
      </c>
      <c r="C457" s="375" t="str">
        <f>IF(B457="","", IF(ARBITRAGES!$H457="eth",C456+ARBITRAGES!$K457,C456))</f>
        <v/>
      </c>
      <c r="D457" s="376" t="str">
        <f>IF(C457="","", IF(ARBITRAGES!$H457="ondo",D456+ARBITRAGES!$K457,D456))</f>
        <v/>
      </c>
      <c r="E457" s="376" t="str">
        <f>IF(D457="","", IF(ARBITRAGES!$H457="sol",E456+ARBITRAGES!$K457,E456))</f>
        <v/>
      </c>
      <c r="F457" s="377" t="str">
        <f>IF(E457="","", IF(ARBITRAGES!$H457="tao",F456+ARBITRAGES!$K457,F456))</f>
        <v/>
      </c>
      <c r="G457" s="378" t="str">
        <f>IF(F457="","", IF(ARBITRAGES!$H457="ron",G456+ARBITRAGES!$K457,G456))</f>
        <v/>
      </c>
      <c r="H457" s="378" t="str">
        <f>IF(G457="","", IF(ARBITRAGES!$H457="link",H456+ARBITRAGES!$K457,H456))</f>
        <v/>
      </c>
      <c r="I457" s="378" t="str">
        <f>IF(H457="","", IF(ARBITRAGES!$H457="doge",I456+ARBITRAGES!$K457,I456))</f>
        <v/>
      </c>
      <c r="J457" s="378" t="str">
        <f>IF(I457="","", IF(ARBITRAGES!$H457="shib",J456-ARBITRAGES!$K457,J456))</f>
        <v/>
      </c>
      <c r="K457" s="378" t="str">
        <f>IF(J457="","", IF(ARBITRAGES!$H457="cake",K456+ARBITRAGES!$K457,K456))</f>
        <v/>
      </c>
      <c r="L457" s="378" t="str">
        <f>IF(K457="","", IF(ARBITRAGES!$H457="JUP",L456+ARBITRAGES!$K457,L456))</f>
        <v/>
      </c>
      <c r="M457" s="376" t="str">
        <f>IF(L457="","", IF(ARBITRAGES!$H457="aave",M456+ARBITRAGES!$K457,M456))</f>
        <v/>
      </c>
      <c r="N457" s="378" t="str">
        <f>IF(M457="","", IF(ARBITRAGES!$H457="ckb",N456+ARBITRAGES!$K457,N456))</f>
        <v/>
      </c>
      <c r="O457" s="378" t="str">
        <f>IF(N457="","", IF(ARBITRAGES!$H457="pendle",O456-ARBITRAGES!$K457+0.1,O456))</f>
        <v/>
      </c>
      <c r="P457" s="378" t="str">
        <f>IF(O457="","", IF(ARBITRAGES!$H457="BOME",P456+ARBITRAGES!$K457,P456))</f>
        <v/>
      </c>
      <c r="Q457" s="378" t="str">
        <f>IF(P457="","", IF(ARBITRAGES!$H457="PEPE",Q456+ARBITRAGES!$K457,Q456))</f>
        <v/>
      </c>
      <c r="R457" s="378" t="str">
        <f>IF(Q457="","", IF(ARBITRAGES!$H457="WIF",R456+ARBITRAGES!$K457,R456))</f>
        <v/>
      </c>
      <c r="S457" s="378" t="str">
        <f>IF(R457="","", IF(ARBITRAGES!$H457="RAY",S456+ARBITRAGES!$K457,S456))</f>
        <v/>
      </c>
      <c r="T457" s="360"/>
      <c r="U457" s="360"/>
      <c r="V457" s="360"/>
      <c r="W457" s="360"/>
      <c r="X457" s="360"/>
      <c r="Y457" s="360"/>
      <c r="Z457" s="360"/>
      <c r="AA457" s="360"/>
      <c r="AB457" s="360"/>
      <c r="AC457" s="360"/>
      <c r="AD457" s="360"/>
      <c r="AE457" s="360"/>
      <c r="AF457" s="360"/>
      <c r="AG457" s="360"/>
      <c r="AH457" s="360"/>
    </row>
    <row r="458" ht="18.75" customHeight="1">
      <c r="A458" s="399"/>
      <c r="B458" s="375" t="str">
        <f>IF(A458="","", IF(ARBITRAGES!$H458="BTC",B457+ARBITRAGES!$K458,B457))</f>
        <v/>
      </c>
      <c r="C458" s="375" t="str">
        <f>IF(B458="","", IF(ARBITRAGES!$H458="eth",C457+ARBITRAGES!$K458,C457))</f>
        <v/>
      </c>
      <c r="D458" s="376" t="str">
        <f>IF(C458="","", IF(ARBITRAGES!$H458="ondo",D457+ARBITRAGES!$K458,D457))</f>
        <v/>
      </c>
      <c r="E458" s="376" t="str">
        <f>IF(D458="","", IF(ARBITRAGES!$H458="sol",E457+ARBITRAGES!$K458,E457))</f>
        <v/>
      </c>
      <c r="F458" s="377" t="str">
        <f>IF(E458="","", IF(ARBITRAGES!$H458="tao",F457+ARBITRAGES!$K458,F457))</f>
        <v/>
      </c>
      <c r="G458" s="378" t="str">
        <f>IF(F458="","", IF(ARBITRAGES!$H458="ron",G457+ARBITRAGES!$K458,G457))</f>
        <v/>
      </c>
      <c r="H458" s="378" t="str">
        <f>IF(G458="","", IF(ARBITRAGES!$H458="link",H457+ARBITRAGES!$K458,H457))</f>
        <v/>
      </c>
      <c r="I458" s="378" t="str">
        <f>IF(H458="","", IF(ARBITRAGES!$H458="doge",I457+ARBITRAGES!$K458,I457))</f>
        <v/>
      </c>
      <c r="J458" s="378" t="str">
        <f>IF(I458="","", IF(ARBITRAGES!$H458="shib",J457-ARBITRAGES!$K458,J457))</f>
        <v/>
      </c>
      <c r="K458" s="378" t="str">
        <f>IF(J458="","", IF(ARBITRAGES!$H458="cake",K457+ARBITRAGES!$K458,K457))</f>
        <v/>
      </c>
      <c r="L458" s="378" t="str">
        <f>IF(K458="","", IF(ARBITRAGES!$H458="JUP",L457+ARBITRAGES!$K458,L457))</f>
        <v/>
      </c>
      <c r="M458" s="376" t="str">
        <f>IF(L458="","", IF(ARBITRAGES!$H458="aave",M457+ARBITRAGES!$K458,M457))</f>
        <v/>
      </c>
      <c r="N458" s="378" t="str">
        <f>IF(M458="","", IF(ARBITRAGES!$H458="ckb",N457+ARBITRAGES!$K458,N457))</f>
        <v/>
      </c>
      <c r="O458" s="378" t="str">
        <f>IF(N458="","", IF(ARBITRAGES!$H458="pendle",O457-ARBITRAGES!$K458+0.1,O457))</f>
        <v/>
      </c>
      <c r="P458" s="378" t="str">
        <f>IF(O458="","", IF(ARBITRAGES!$H458="BOME",P457+ARBITRAGES!$K458,P457))</f>
        <v/>
      </c>
      <c r="Q458" s="378" t="str">
        <f>IF(P458="","", IF(ARBITRAGES!$H458="PEPE",Q457+ARBITRAGES!$K458,Q457))</f>
        <v/>
      </c>
      <c r="R458" s="378" t="str">
        <f>IF(Q458="","", IF(ARBITRAGES!$H458="WIF",R457+ARBITRAGES!$K458,R457))</f>
        <v/>
      </c>
      <c r="S458" s="378" t="str">
        <f>IF(R458="","", IF(ARBITRAGES!$H458="RAY",S457+ARBITRAGES!$K458,S457))</f>
        <v/>
      </c>
      <c r="T458" s="360"/>
      <c r="U458" s="360"/>
      <c r="V458" s="360"/>
      <c r="W458" s="360"/>
      <c r="X458" s="360"/>
      <c r="Y458" s="360"/>
      <c r="Z458" s="360"/>
      <c r="AA458" s="360"/>
      <c r="AB458" s="360"/>
      <c r="AC458" s="360"/>
      <c r="AD458" s="360"/>
      <c r="AE458" s="360"/>
      <c r="AF458" s="360"/>
      <c r="AG458" s="360"/>
      <c r="AH458" s="360"/>
    </row>
    <row r="459" ht="18.75" customHeight="1">
      <c r="A459" s="399"/>
      <c r="B459" s="375" t="str">
        <f>IF(A459="","", IF(ARBITRAGES!$H459="BTC",B458+ARBITRAGES!$K459,B458))</f>
        <v/>
      </c>
      <c r="C459" s="375" t="str">
        <f>IF(B459="","", IF(ARBITRAGES!$H459="eth",C458+ARBITRAGES!$K459,C458))</f>
        <v/>
      </c>
      <c r="D459" s="376" t="str">
        <f>IF(C459="","", IF(ARBITRAGES!$H459="ondo",D458+ARBITRAGES!$K459,D458))</f>
        <v/>
      </c>
      <c r="E459" s="376" t="str">
        <f>IF(D459="","", IF(ARBITRAGES!$H459="sol",E458+ARBITRAGES!$K459,E458))</f>
        <v/>
      </c>
      <c r="F459" s="377" t="str">
        <f>IF(E459="","", IF(ARBITRAGES!$H459="tao",F458+ARBITRAGES!$K459,F458))</f>
        <v/>
      </c>
      <c r="G459" s="378" t="str">
        <f>IF(F459="","", IF(ARBITRAGES!$H459="ron",G458+ARBITRAGES!$K459,G458))</f>
        <v/>
      </c>
      <c r="H459" s="378" t="str">
        <f>IF(G459="","", IF(ARBITRAGES!$H459="link",H458+ARBITRAGES!$K459,H458))</f>
        <v/>
      </c>
      <c r="I459" s="378" t="str">
        <f>IF(H459="","", IF(ARBITRAGES!$H459="doge",I458+ARBITRAGES!$K459,I458))</f>
        <v/>
      </c>
      <c r="J459" s="378" t="str">
        <f>IF(I459="","", IF(ARBITRAGES!$H459="shib",J458-ARBITRAGES!$K459,J458))</f>
        <v/>
      </c>
      <c r="K459" s="378" t="str">
        <f>IF(J459="","", IF(ARBITRAGES!$H459="cake",K458+ARBITRAGES!$K459,K458))</f>
        <v/>
      </c>
      <c r="L459" s="378" t="str">
        <f>IF(K459="","", IF(ARBITRAGES!$H459="JUP",L458+ARBITRAGES!$K459,L458))</f>
        <v/>
      </c>
      <c r="M459" s="376" t="str">
        <f>IF(L459="","", IF(ARBITRAGES!$H459="aave",M458+ARBITRAGES!$K459,M458))</f>
        <v/>
      </c>
      <c r="N459" s="378" t="str">
        <f>IF(M459="","", IF(ARBITRAGES!$H459="ckb",N458+ARBITRAGES!$K459,N458))</f>
        <v/>
      </c>
      <c r="O459" s="378" t="str">
        <f>IF(N459="","", IF(ARBITRAGES!$H459="pendle",O458-ARBITRAGES!$K459+0.1,O458))</f>
        <v/>
      </c>
      <c r="P459" s="378" t="str">
        <f>IF(O459="","", IF(ARBITRAGES!$H459="BOME",P458+ARBITRAGES!$K459,P458))</f>
        <v/>
      </c>
      <c r="Q459" s="378" t="str">
        <f>IF(P459="","", IF(ARBITRAGES!$H459="PEPE",Q458+ARBITRAGES!$K459,Q458))</f>
        <v/>
      </c>
      <c r="R459" s="378" t="str">
        <f>IF(Q459="","", IF(ARBITRAGES!$H459="WIF",R458+ARBITRAGES!$K459,R458))</f>
        <v/>
      </c>
      <c r="S459" s="378" t="str">
        <f>IF(R459="","", IF(ARBITRAGES!$H459="RAY",S458+ARBITRAGES!$K459,S458))</f>
        <v/>
      </c>
      <c r="T459" s="360"/>
      <c r="U459" s="360"/>
      <c r="V459" s="360"/>
      <c r="W459" s="360"/>
      <c r="X459" s="360"/>
      <c r="Y459" s="360"/>
      <c r="Z459" s="360"/>
      <c r="AA459" s="360"/>
      <c r="AB459" s="360"/>
      <c r="AC459" s="360"/>
      <c r="AD459" s="360"/>
      <c r="AE459" s="360"/>
      <c r="AF459" s="360"/>
      <c r="AG459" s="360"/>
      <c r="AH459" s="360"/>
    </row>
    <row r="460" ht="18.75" customHeight="1">
      <c r="A460" s="399"/>
      <c r="B460" s="375" t="str">
        <f>IF(A460="","", IF(ARBITRAGES!$H460="BTC",B459+ARBITRAGES!$K460,B459))</f>
        <v/>
      </c>
      <c r="C460" s="375" t="str">
        <f>IF(B460="","", IF(ARBITRAGES!$H460="eth",C459+ARBITRAGES!$K460,C459))</f>
        <v/>
      </c>
      <c r="D460" s="376" t="str">
        <f>IF(C460="","", IF(ARBITRAGES!$H460="ondo",D459+ARBITRAGES!$K460,D459))</f>
        <v/>
      </c>
      <c r="E460" s="376" t="str">
        <f>IF(D460="","", IF(ARBITRAGES!$H460="sol",E459+ARBITRAGES!$K460,E459))</f>
        <v/>
      </c>
      <c r="F460" s="377" t="str">
        <f>IF(E460="","", IF(ARBITRAGES!$H460="tao",F459+ARBITRAGES!$K460,F459))</f>
        <v/>
      </c>
      <c r="G460" s="378" t="str">
        <f>IF(F460="","", IF(ARBITRAGES!$H460="ron",G459+ARBITRAGES!$K460,G459))</f>
        <v/>
      </c>
      <c r="H460" s="378" t="str">
        <f>IF(G460="","", IF(ARBITRAGES!$H460="link",H459+ARBITRAGES!$K460,H459))</f>
        <v/>
      </c>
      <c r="I460" s="378" t="str">
        <f>IF(H460="","", IF(ARBITRAGES!$H460="doge",I459+ARBITRAGES!$K460,I459))</f>
        <v/>
      </c>
      <c r="J460" s="378" t="str">
        <f>IF(I460="","", IF(ARBITRAGES!$H460="shib",J459-ARBITRAGES!$K460,J459))</f>
        <v/>
      </c>
      <c r="K460" s="378" t="str">
        <f>IF(J460="","", IF(ARBITRAGES!$H460="cake",K459+ARBITRAGES!$K460,K459))</f>
        <v/>
      </c>
      <c r="L460" s="378" t="str">
        <f>IF(K460="","", IF(ARBITRAGES!$H460="JUP",L459+ARBITRAGES!$K460,L459))</f>
        <v/>
      </c>
      <c r="M460" s="376" t="str">
        <f>IF(L460="","", IF(ARBITRAGES!$H460="aave",M459+ARBITRAGES!$K460,M459))</f>
        <v/>
      </c>
      <c r="N460" s="378" t="str">
        <f>IF(M460="","", IF(ARBITRAGES!$H460="ckb",N459+ARBITRAGES!$K460,N459))</f>
        <v/>
      </c>
      <c r="O460" s="378" t="str">
        <f>IF(N460="","", IF(ARBITRAGES!$H460="pendle",O459-ARBITRAGES!$K460+0.1,O459))</f>
        <v/>
      </c>
      <c r="P460" s="378" t="str">
        <f>IF(O460="","", IF(ARBITRAGES!$H460="BOME",P459+ARBITRAGES!$K460,P459))</f>
        <v/>
      </c>
      <c r="Q460" s="378" t="str">
        <f>IF(P460="","", IF(ARBITRAGES!$H460="PEPE",Q459+ARBITRAGES!$K460,Q459))</f>
        <v/>
      </c>
      <c r="R460" s="378" t="str">
        <f>IF(Q460="","", IF(ARBITRAGES!$H460="WIF",R459+ARBITRAGES!$K460,R459))</f>
        <v/>
      </c>
      <c r="S460" s="378" t="str">
        <f>IF(R460="","", IF(ARBITRAGES!$H460="RAY",S459+ARBITRAGES!$K460,S459))</f>
        <v/>
      </c>
      <c r="T460" s="360"/>
      <c r="U460" s="360"/>
      <c r="V460" s="360"/>
      <c r="W460" s="360"/>
      <c r="X460" s="360"/>
      <c r="Y460" s="360"/>
      <c r="Z460" s="360"/>
      <c r="AA460" s="360"/>
      <c r="AB460" s="360"/>
      <c r="AC460" s="360"/>
      <c r="AD460" s="360"/>
      <c r="AE460" s="360"/>
      <c r="AF460" s="360"/>
      <c r="AG460" s="360"/>
      <c r="AH460" s="360"/>
    </row>
    <row r="461" ht="18.75" customHeight="1">
      <c r="A461" s="399"/>
      <c r="B461" s="375" t="str">
        <f>IF(A461="","", IF(ARBITRAGES!$H461="BTC",B460+ARBITRAGES!$K461,B460))</f>
        <v/>
      </c>
      <c r="C461" s="375" t="str">
        <f>IF(B461="","", IF(ARBITRAGES!$H461="eth",C460+ARBITRAGES!$K461,C460))</f>
        <v/>
      </c>
      <c r="D461" s="376" t="str">
        <f>IF(C461="","", IF(ARBITRAGES!$H461="ondo",D460+ARBITRAGES!$K461,D460))</f>
        <v/>
      </c>
      <c r="E461" s="376" t="str">
        <f>IF(D461="","", IF(ARBITRAGES!$H461="sol",E460+ARBITRAGES!$K461,E460))</f>
        <v/>
      </c>
      <c r="F461" s="377" t="str">
        <f>IF(E461="","", IF(ARBITRAGES!$H461="tao",F460+ARBITRAGES!$K461,F460))</f>
        <v/>
      </c>
      <c r="G461" s="378" t="str">
        <f>IF(F461="","", IF(ARBITRAGES!$H461="ron",G460+ARBITRAGES!$K461,G460))</f>
        <v/>
      </c>
      <c r="H461" s="378" t="str">
        <f>IF(G461="","", IF(ARBITRAGES!$H461="link",H460+ARBITRAGES!$K461,H460))</f>
        <v/>
      </c>
      <c r="I461" s="378" t="str">
        <f>IF(H461="","", IF(ARBITRAGES!$H461="doge",I460+ARBITRAGES!$K461,I460))</f>
        <v/>
      </c>
      <c r="J461" s="378" t="str">
        <f>IF(I461="","", IF(ARBITRAGES!$H461="shib",J460-ARBITRAGES!$K461,J460))</f>
        <v/>
      </c>
      <c r="K461" s="378" t="str">
        <f>IF(J461="","", IF(ARBITRAGES!$H461="cake",K460+ARBITRAGES!$K461,K460))</f>
        <v/>
      </c>
      <c r="L461" s="378" t="str">
        <f>IF(K461="","", IF(ARBITRAGES!$H461="JUP",L460+ARBITRAGES!$K461,L460))</f>
        <v/>
      </c>
      <c r="M461" s="376" t="str">
        <f>IF(L461="","", IF(ARBITRAGES!$H461="aave",M460+ARBITRAGES!$K461,M460))</f>
        <v/>
      </c>
      <c r="N461" s="378" t="str">
        <f>IF(M461="","", IF(ARBITRAGES!$H461="ckb",N460+ARBITRAGES!$K461,N460))</f>
        <v/>
      </c>
      <c r="O461" s="378" t="str">
        <f>IF(N461="","", IF(ARBITRAGES!$H461="pendle",O460-ARBITRAGES!$K461+0.1,O460))</f>
        <v/>
      </c>
      <c r="P461" s="378" t="str">
        <f>IF(O461="","", IF(ARBITRAGES!$H461="BOME",P460+ARBITRAGES!$K461,P460))</f>
        <v/>
      </c>
      <c r="Q461" s="378" t="str">
        <f>IF(P461="","", IF(ARBITRAGES!$H461="PEPE",Q460+ARBITRAGES!$K461,Q460))</f>
        <v/>
      </c>
      <c r="R461" s="378" t="str">
        <f>IF(Q461="","", IF(ARBITRAGES!$H461="WIF",R460+ARBITRAGES!$K461,R460))</f>
        <v/>
      </c>
      <c r="S461" s="378" t="str">
        <f>IF(R461="","", IF(ARBITRAGES!$H461="RAY",S460+ARBITRAGES!$K461,S460))</f>
        <v/>
      </c>
      <c r="T461" s="360"/>
      <c r="U461" s="360"/>
      <c r="V461" s="360"/>
      <c r="W461" s="360"/>
      <c r="X461" s="360"/>
      <c r="Y461" s="360"/>
      <c r="Z461" s="360"/>
      <c r="AA461" s="360"/>
      <c r="AB461" s="360"/>
      <c r="AC461" s="360"/>
      <c r="AD461" s="360"/>
      <c r="AE461" s="360"/>
      <c r="AF461" s="360"/>
      <c r="AG461" s="360"/>
      <c r="AH461" s="360"/>
    </row>
    <row r="462" ht="18.75" customHeight="1">
      <c r="A462" s="399"/>
      <c r="B462" s="375" t="str">
        <f>IF(A462="","", IF(ARBITRAGES!$H462="BTC",B461+ARBITRAGES!$K462,B461))</f>
        <v/>
      </c>
      <c r="C462" s="375" t="str">
        <f>IF(B462="","", IF(ARBITRAGES!$H462="eth",C461+ARBITRAGES!$K462,C461))</f>
        <v/>
      </c>
      <c r="D462" s="376" t="str">
        <f>IF(C462="","", IF(ARBITRAGES!$H462="ondo",D461+ARBITRAGES!$K462,D461))</f>
        <v/>
      </c>
      <c r="E462" s="376" t="str">
        <f>IF(D462="","", IF(ARBITRAGES!$H462="sol",E461+ARBITRAGES!$K462,E461))</f>
        <v/>
      </c>
      <c r="F462" s="377" t="str">
        <f>IF(E462="","", IF(ARBITRAGES!$H462="tao",F461+ARBITRAGES!$K462,F461))</f>
        <v/>
      </c>
      <c r="G462" s="378" t="str">
        <f>IF(F462="","", IF(ARBITRAGES!$H462="ron",G461+ARBITRAGES!$K462,G461))</f>
        <v/>
      </c>
      <c r="H462" s="378" t="str">
        <f>IF(G462="","", IF(ARBITRAGES!$H462="link",H461+ARBITRAGES!$K462,H461))</f>
        <v/>
      </c>
      <c r="I462" s="378" t="str">
        <f>IF(H462="","", IF(ARBITRAGES!$H462="doge",I461+ARBITRAGES!$K462,I461))</f>
        <v/>
      </c>
      <c r="J462" s="378" t="str">
        <f>IF(I462="","", IF(ARBITRAGES!$H462="shib",J461-ARBITRAGES!$K462,J461))</f>
        <v/>
      </c>
      <c r="K462" s="378" t="str">
        <f>IF(J462="","", IF(ARBITRAGES!$H462="cake",K461+ARBITRAGES!$K462,K461))</f>
        <v/>
      </c>
      <c r="L462" s="378" t="str">
        <f>IF(K462="","", IF(ARBITRAGES!$H462="JUP",L461+ARBITRAGES!$K462,L461))</f>
        <v/>
      </c>
      <c r="M462" s="376" t="str">
        <f>IF(L462="","", IF(ARBITRAGES!$H462="aave",M461+ARBITRAGES!$K462,M461))</f>
        <v/>
      </c>
      <c r="N462" s="378" t="str">
        <f>IF(M462="","", IF(ARBITRAGES!$H462="ckb",N461+ARBITRAGES!$K462,N461))</f>
        <v/>
      </c>
      <c r="O462" s="378" t="str">
        <f>IF(N462="","", IF(ARBITRAGES!$H462="pendle",O461-ARBITRAGES!$K462+0.1,O461))</f>
        <v/>
      </c>
      <c r="P462" s="378" t="str">
        <f>IF(O462="","", IF(ARBITRAGES!$H462="BOME",P461+ARBITRAGES!$K462,P461))</f>
        <v/>
      </c>
      <c r="Q462" s="378" t="str">
        <f>IF(P462="","", IF(ARBITRAGES!$H462="PEPE",Q461+ARBITRAGES!$K462,Q461))</f>
        <v/>
      </c>
      <c r="R462" s="378" t="str">
        <f>IF(Q462="","", IF(ARBITRAGES!$H462="WIF",R461+ARBITRAGES!$K462,R461))</f>
        <v/>
      </c>
      <c r="S462" s="378" t="str">
        <f>IF(R462="","", IF(ARBITRAGES!$H462="RAY",S461+ARBITRAGES!$K462,S461))</f>
        <v/>
      </c>
      <c r="T462" s="360"/>
      <c r="U462" s="360"/>
      <c r="V462" s="360"/>
      <c r="W462" s="360"/>
      <c r="X462" s="360"/>
      <c r="Y462" s="360"/>
      <c r="Z462" s="360"/>
      <c r="AA462" s="360"/>
      <c r="AB462" s="360"/>
      <c r="AC462" s="360"/>
      <c r="AD462" s="360"/>
      <c r="AE462" s="360"/>
      <c r="AF462" s="360"/>
      <c r="AG462" s="360"/>
      <c r="AH462" s="360"/>
    </row>
    <row r="463" ht="18.75" customHeight="1">
      <c r="A463" s="399"/>
      <c r="B463" s="375" t="str">
        <f>IF(A463="","", IF(ARBITRAGES!$H463="BTC",B462+ARBITRAGES!$K463,B462))</f>
        <v/>
      </c>
      <c r="C463" s="375" t="str">
        <f>IF(B463="","", IF(ARBITRAGES!$H463="eth",C462+ARBITRAGES!$K463,C462))</f>
        <v/>
      </c>
      <c r="D463" s="376" t="str">
        <f>IF(C463="","", IF(ARBITRAGES!$H463="ondo",D462+ARBITRAGES!$K463,D462))</f>
        <v/>
      </c>
      <c r="E463" s="376" t="str">
        <f>IF(D463="","", IF(ARBITRAGES!$H463="sol",E462+ARBITRAGES!$K463,E462))</f>
        <v/>
      </c>
      <c r="F463" s="377" t="str">
        <f>IF(E463="","", IF(ARBITRAGES!$H463="tao",F462+ARBITRAGES!$K463,F462))</f>
        <v/>
      </c>
      <c r="G463" s="378" t="str">
        <f>IF(F463="","", IF(ARBITRAGES!$H463="ron",G462+ARBITRAGES!$K463,G462))</f>
        <v/>
      </c>
      <c r="H463" s="378" t="str">
        <f>IF(G463="","", IF(ARBITRAGES!$H463="link",H462+ARBITRAGES!$K463,H462))</f>
        <v/>
      </c>
      <c r="I463" s="378" t="str">
        <f>IF(H463="","", IF(ARBITRAGES!$H463="doge",I462+ARBITRAGES!$K463,I462))</f>
        <v/>
      </c>
      <c r="J463" s="378" t="str">
        <f>IF(I463="","", IF(ARBITRAGES!$H463="shib",J462-ARBITRAGES!$K463,J462))</f>
        <v/>
      </c>
      <c r="K463" s="378" t="str">
        <f>IF(J463="","", IF(ARBITRAGES!$H463="cake",K462+ARBITRAGES!$K463,K462))</f>
        <v/>
      </c>
      <c r="L463" s="378" t="str">
        <f>IF(K463="","", IF(ARBITRAGES!$H463="JUP",L462+ARBITRAGES!$K463,L462))</f>
        <v/>
      </c>
      <c r="M463" s="376" t="str">
        <f>IF(L463="","", IF(ARBITRAGES!$H463="aave",M462+ARBITRAGES!$K463,M462))</f>
        <v/>
      </c>
      <c r="N463" s="378" t="str">
        <f>IF(M463="","", IF(ARBITRAGES!$H463="ckb",N462+ARBITRAGES!$K463,N462))</f>
        <v/>
      </c>
      <c r="O463" s="378" t="str">
        <f>IF(N463="","", IF(ARBITRAGES!$H463="pendle",O462-ARBITRAGES!$K463+0.1,O462))</f>
        <v/>
      </c>
      <c r="P463" s="378" t="str">
        <f>IF(O463="","", IF(ARBITRAGES!$H463="BOME",P462+ARBITRAGES!$K463,P462))</f>
        <v/>
      </c>
      <c r="Q463" s="378" t="str">
        <f>IF(P463="","", IF(ARBITRAGES!$H463="PEPE",Q462+ARBITRAGES!$K463,Q462))</f>
        <v/>
      </c>
      <c r="R463" s="378" t="str">
        <f>IF(Q463="","", IF(ARBITRAGES!$H463="WIF",R462+ARBITRAGES!$K463,R462))</f>
        <v/>
      </c>
      <c r="S463" s="378" t="str">
        <f>IF(R463="","", IF(ARBITRAGES!$H463="RAY",S462+ARBITRAGES!$K463,S462))</f>
        <v/>
      </c>
      <c r="T463" s="360"/>
      <c r="U463" s="360"/>
      <c r="V463" s="360"/>
      <c r="W463" s="360"/>
      <c r="X463" s="360"/>
      <c r="Y463" s="360"/>
      <c r="Z463" s="360"/>
      <c r="AA463" s="360"/>
      <c r="AB463" s="360"/>
      <c r="AC463" s="360"/>
      <c r="AD463" s="360"/>
      <c r="AE463" s="360"/>
      <c r="AF463" s="360"/>
      <c r="AG463" s="360"/>
      <c r="AH463" s="360"/>
    </row>
    <row r="464" ht="18.75" customHeight="1">
      <c r="A464" s="399"/>
      <c r="B464" s="375" t="str">
        <f>IF(A464="","", IF(ARBITRAGES!$H464="BTC",B463+ARBITRAGES!$K464,B463))</f>
        <v/>
      </c>
      <c r="C464" s="375" t="str">
        <f>IF(B464="","", IF(ARBITRAGES!$H464="eth",C463+ARBITRAGES!$K464,C463))</f>
        <v/>
      </c>
      <c r="D464" s="376" t="str">
        <f>IF(C464="","", IF(ARBITRAGES!$H464="ondo",D463+ARBITRAGES!$K464,D463))</f>
        <v/>
      </c>
      <c r="E464" s="376" t="str">
        <f>IF(D464="","", IF(ARBITRAGES!$H464="sol",E463+ARBITRAGES!$K464,E463))</f>
        <v/>
      </c>
      <c r="F464" s="377" t="str">
        <f>IF(E464="","", IF(ARBITRAGES!$H464="tao",F463+ARBITRAGES!$K464,F463))</f>
        <v/>
      </c>
      <c r="G464" s="378" t="str">
        <f>IF(F464="","", IF(ARBITRAGES!$H464="ron",G463+ARBITRAGES!$K464,G463))</f>
        <v/>
      </c>
      <c r="H464" s="378" t="str">
        <f>IF(G464="","", IF(ARBITRAGES!$H464="link",H463+ARBITRAGES!$K464,H463))</f>
        <v/>
      </c>
      <c r="I464" s="378" t="str">
        <f>IF(H464="","", IF(ARBITRAGES!$H464="doge",I463+ARBITRAGES!$K464,I463))</f>
        <v/>
      </c>
      <c r="J464" s="378" t="str">
        <f>IF(I464="","", IF(ARBITRAGES!$H464="shib",J463-ARBITRAGES!$K464,J463))</f>
        <v/>
      </c>
      <c r="K464" s="378" t="str">
        <f>IF(J464="","", IF(ARBITRAGES!$H464="cake",K463+ARBITRAGES!$K464,K463))</f>
        <v/>
      </c>
      <c r="L464" s="378" t="str">
        <f>IF(K464="","", IF(ARBITRAGES!$H464="JUP",L463+ARBITRAGES!$K464,L463))</f>
        <v/>
      </c>
      <c r="M464" s="376" t="str">
        <f>IF(L464="","", IF(ARBITRAGES!$H464="aave",M463+ARBITRAGES!$K464,M463))</f>
        <v/>
      </c>
      <c r="N464" s="378" t="str">
        <f>IF(M464="","", IF(ARBITRAGES!$H464="ckb",N463+ARBITRAGES!$K464,N463))</f>
        <v/>
      </c>
      <c r="O464" s="378" t="str">
        <f>IF(N464="","", IF(ARBITRAGES!$H464="pendle",O463-ARBITRAGES!$K464+0.1,O463))</f>
        <v/>
      </c>
      <c r="P464" s="378" t="str">
        <f>IF(O464="","", IF(ARBITRAGES!$H464="BOME",P463+ARBITRAGES!$K464,P463))</f>
        <v/>
      </c>
      <c r="Q464" s="378" t="str">
        <f>IF(P464="","", IF(ARBITRAGES!$H464="PEPE",Q463+ARBITRAGES!$K464,Q463))</f>
        <v/>
      </c>
      <c r="R464" s="378" t="str">
        <f>IF(Q464="","", IF(ARBITRAGES!$H464="WIF",R463+ARBITRAGES!$K464,R463))</f>
        <v/>
      </c>
      <c r="S464" s="378" t="str">
        <f>IF(R464="","", IF(ARBITRAGES!$H464="RAY",S463+ARBITRAGES!$K464,S463))</f>
        <v/>
      </c>
      <c r="T464" s="360"/>
      <c r="U464" s="360"/>
      <c r="V464" s="360"/>
      <c r="W464" s="360"/>
      <c r="X464" s="360"/>
      <c r="Y464" s="360"/>
      <c r="Z464" s="360"/>
      <c r="AA464" s="360"/>
      <c r="AB464" s="360"/>
      <c r="AC464" s="360"/>
      <c r="AD464" s="360"/>
      <c r="AE464" s="360"/>
      <c r="AF464" s="360"/>
      <c r="AG464" s="360"/>
      <c r="AH464" s="360"/>
    </row>
    <row r="465" ht="18.75" customHeight="1">
      <c r="A465" s="399"/>
      <c r="B465" s="375" t="str">
        <f>IF(A465="","", IF(ARBITRAGES!$H465="BTC",B464+ARBITRAGES!$K465,B464))</f>
        <v/>
      </c>
      <c r="C465" s="375" t="str">
        <f>IF(B465="","", IF(ARBITRAGES!$H465="eth",C464+ARBITRAGES!$K465,C464))</f>
        <v/>
      </c>
      <c r="D465" s="376" t="str">
        <f>IF(C465="","", IF(ARBITRAGES!$H465="ondo",D464+ARBITRAGES!$K465,D464))</f>
        <v/>
      </c>
      <c r="E465" s="376" t="str">
        <f>IF(D465="","", IF(ARBITRAGES!$H465="sol",E464+ARBITRAGES!$K465,E464))</f>
        <v/>
      </c>
      <c r="F465" s="377" t="str">
        <f>IF(E465="","", IF(ARBITRAGES!$H465="tao",F464+ARBITRAGES!$K465,F464))</f>
        <v/>
      </c>
      <c r="G465" s="378" t="str">
        <f>IF(F465="","", IF(ARBITRAGES!$H465="ron",G464+ARBITRAGES!$K465,G464))</f>
        <v/>
      </c>
      <c r="H465" s="378" t="str">
        <f>IF(G465="","", IF(ARBITRAGES!$H465="link",H464+ARBITRAGES!$K465,H464))</f>
        <v/>
      </c>
      <c r="I465" s="378" t="str">
        <f>IF(H465="","", IF(ARBITRAGES!$H465="doge",I464+ARBITRAGES!$K465,I464))</f>
        <v/>
      </c>
      <c r="J465" s="378" t="str">
        <f>IF(I465="","", IF(ARBITRAGES!$H465="shib",J464-ARBITRAGES!$K465,J464))</f>
        <v/>
      </c>
      <c r="K465" s="378" t="str">
        <f>IF(J465="","", IF(ARBITRAGES!$H465="cake",K464+ARBITRAGES!$K465,K464))</f>
        <v/>
      </c>
      <c r="L465" s="378" t="str">
        <f>IF(K465="","", IF(ARBITRAGES!$H465="JUP",L464+ARBITRAGES!$K465,L464))</f>
        <v/>
      </c>
      <c r="M465" s="376" t="str">
        <f>IF(L465="","", IF(ARBITRAGES!$H465="aave",M464+ARBITRAGES!$K465,M464))</f>
        <v/>
      </c>
      <c r="N465" s="378" t="str">
        <f>IF(M465="","", IF(ARBITRAGES!$H465="ckb",N464+ARBITRAGES!$K465,N464))</f>
        <v/>
      </c>
      <c r="O465" s="378" t="str">
        <f>IF(N465="","", IF(ARBITRAGES!$H465="pendle",O464-ARBITRAGES!$K465+0.1,O464))</f>
        <v/>
      </c>
      <c r="P465" s="378" t="str">
        <f>IF(O465="","", IF(ARBITRAGES!$H465="BOME",P464+ARBITRAGES!$K465,P464))</f>
        <v/>
      </c>
      <c r="Q465" s="378" t="str">
        <f>IF(P465="","", IF(ARBITRAGES!$H465="PEPE",Q464+ARBITRAGES!$K465,Q464))</f>
        <v/>
      </c>
      <c r="R465" s="378" t="str">
        <f>IF(Q465="","", IF(ARBITRAGES!$H465="WIF",R464+ARBITRAGES!$K465,R464))</f>
        <v/>
      </c>
      <c r="S465" s="378" t="str">
        <f>IF(R465="","", IF(ARBITRAGES!$H465="RAY",S464+ARBITRAGES!$K465,S464))</f>
        <v/>
      </c>
      <c r="T465" s="360"/>
      <c r="U465" s="360"/>
      <c r="V465" s="360"/>
      <c r="W465" s="360"/>
      <c r="X465" s="360"/>
      <c r="Y465" s="360"/>
      <c r="Z465" s="360"/>
      <c r="AA465" s="360"/>
      <c r="AB465" s="360"/>
      <c r="AC465" s="360"/>
      <c r="AD465" s="360"/>
      <c r="AE465" s="360"/>
      <c r="AF465" s="360"/>
      <c r="AG465" s="360"/>
      <c r="AH465" s="360"/>
    </row>
    <row r="466" ht="18.75" customHeight="1">
      <c r="A466" s="399"/>
      <c r="B466" s="375" t="str">
        <f>IF(A466="","", IF(ARBITRAGES!$H466="BTC",B465+ARBITRAGES!$K466,B465))</f>
        <v/>
      </c>
      <c r="C466" s="375" t="str">
        <f>IF(B466="","", IF(ARBITRAGES!$H466="eth",C465+ARBITRAGES!$K466,C465))</f>
        <v/>
      </c>
      <c r="D466" s="376" t="str">
        <f>IF(C466="","", IF(ARBITRAGES!$H466="ondo",D465+ARBITRAGES!$K466,D465))</f>
        <v/>
      </c>
      <c r="E466" s="376" t="str">
        <f>IF(D466="","", IF(ARBITRAGES!$H466="sol",E465+ARBITRAGES!$K466,E465))</f>
        <v/>
      </c>
      <c r="F466" s="377" t="str">
        <f>IF(E466="","", IF(ARBITRAGES!$H466="tao",F465+ARBITRAGES!$K466,F465))</f>
        <v/>
      </c>
      <c r="G466" s="378" t="str">
        <f>IF(F466="","", IF(ARBITRAGES!$H466="ron",G465+ARBITRAGES!$K466,G465))</f>
        <v/>
      </c>
      <c r="H466" s="378" t="str">
        <f>IF(G466="","", IF(ARBITRAGES!$H466="link",H465+ARBITRAGES!$K466,H465))</f>
        <v/>
      </c>
      <c r="I466" s="378" t="str">
        <f>IF(H466="","", IF(ARBITRAGES!$H466="doge",I465+ARBITRAGES!$K466,I465))</f>
        <v/>
      </c>
      <c r="J466" s="378" t="str">
        <f>IF(I466="","", IF(ARBITRAGES!$H466="shib",J465-ARBITRAGES!$K466,J465))</f>
        <v/>
      </c>
      <c r="K466" s="378" t="str">
        <f>IF(J466="","", IF(ARBITRAGES!$H466="cake",K465+ARBITRAGES!$K466,K465))</f>
        <v/>
      </c>
      <c r="L466" s="378" t="str">
        <f>IF(K466="","", IF(ARBITRAGES!$H466="JUP",L465+ARBITRAGES!$K466,L465))</f>
        <v/>
      </c>
      <c r="M466" s="376" t="str">
        <f>IF(L466="","", IF(ARBITRAGES!$H466="aave",M465+ARBITRAGES!$K466,M465))</f>
        <v/>
      </c>
      <c r="N466" s="378" t="str">
        <f>IF(M466="","", IF(ARBITRAGES!$H466="ckb",N465+ARBITRAGES!$K466,N465))</f>
        <v/>
      </c>
      <c r="O466" s="378" t="str">
        <f>IF(N466="","", IF(ARBITRAGES!$H466="pendle",O465-ARBITRAGES!$K466+0.1,O465))</f>
        <v/>
      </c>
      <c r="P466" s="378" t="str">
        <f>IF(O466="","", IF(ARBITRAGES!$H466="BOME",P465+ARBITRAGES!$K466,P465))</f>
        <v/>
      </c>
      <c r="Q466" s="378" t="str">
        <f>IF(P466="","", IF(ARBITRAGES!$H466="PEPE",Q465+ARBITRAGES!$K466,Q465))</f>
        <v/>
      </c>
      <c r="R466" s="378" t="str">
        <f>IF(Q466="","", IF(ARBITRAGES!$H466="WIF",R465+ARBITRAGES!$K466,R465))</f>
        <v/>
      </c>
      <c r="S466" s="378" t="str">
        <f>IF(R466="","", IF(ARBITRAGES!$H466="RAY",S465+ARBITRAGES!$K466,S465))</f>
        <v/>
      </c>
      <c r="T466" s="360"/>
      <c r="U466" s="360"/>
      <c r="V466" s="360"/>
      <c r="W466" s="360"/>
      <c r="X466" s="360"/>
      <c r="Y466" s="360"/>
      <c r="Z466" s="360"/>
      <c r="AA466" s="360"/>
      <c r="AB466" s="360"/>
      <c r="AC466" s="360"/>
      <c r="AD466" s="360"/>
      <c r="AE466" s="360"/>
      <c r="AF466" s="360"/>
      <c r="AG466" s="360"/>
      <c r="AH466" s="360"/>
    </row>
    <row r="467" ht="18.75" customHeight="1">
      <c r="A467" s="399"/>
      <c r="B467" s="375" t="str">
        <f>IF(A467="","", IF(ARBITRAGES!$H467="BTC",B466+ARBITRAGES!$K467,B466))</f>
        <v/>
      </c>
      <c r="C467" s="375" t="str">
        <f>IF(B467="","", IF(ARBITRAGES!$H467="eth",C466+ARBITRAGES!$K467,C466))</f>
        <v/>
      </c>
      <c r="D467" s="376" t="str">
        <f>IF(C467="","", IF(ARBITRAGES!$H467="ondo",D466+ARBITRAGES!$K467,D466))</f>
        <v/>
      </c>
      <c r="E467" s="376" t="str">
        <f>IF(D467="","", IF(ARBITRAGES!$H467="sol",E466+ARBITRAGES!$K467,E466))</f>
        <v/>
      </c>
      <c r="F467" s="377" t="str">
        <f>IF(E467="","", IF(ARBITRAGES!$H467="tao",F466+ARBITRAGES!$K467,F466))</f>
        <v/>
      </c>
      <c r="G467" s="378" t="str">
        <f>IF(F467="","", IF(ARBITRAGES!$H467="ron",G466+ARBITRAGES!$K467,G466))</f>
        <v/>
      </c>
      <c r="H467" s="378" t="str">
        <f>IF(G467="","", IF(ARBITRAGES!$H467="link",H466+ARBITRAGES!$K467,H466))</f>
        <v/>
      </c>
      <c r="I467" s="378" t="str">
        <f>IF(H467="","", IF(ARBITRAGES!$H467="doge",I466+ARBITRAGES!$K467,I466))</f>
        <v/>
      </c>
      <c r="J467" s="378" t="str">
        <f>IF(I467="","", IF(ARBITRAGES!$H467="shib",J466-ARBITRAGES!$K467,J466))</f>
        <v/>
      </c>
      <c r="K467" s="378" t="str">
        <f>IF(J467="","", IF(ARBITRAGES!$H467="cake",K466+ARBITRAGES!$K467,K466))</f>
        <v/>
      </c>
      <c r="L467" s="378" t="str">
        <f>IF(K467="","", IF(ARBITRAGES!$H467="JUP",L466+ARBITRAGES!$K467,L466))</f>
        <v/>
      </c>
      <c r="M467" s="376" t="str">
        <f>IF(L467="","", IF(ARBITRAGES!$H467="aave",M466+ARBITRAGES!$K467,M466))</f>
        <v/>
      </c>
      <c r="N467" s="378" t="str">
        <f>IF(M467="","", IF(ARBITRAGES!$H467="ckb",N466+ARBITRAGES!$K467,N466))</f>
        <v/>
      </c>
      <c r="O467" s="378" t="str">
        <f>IF(N467="","", IF(ARBITRAGES!$H467="pendle",O466-ARBITRAGES!$K467+0.1,O466))</f>
        <v/>
      </c>
      <c r="P467" s="378" t="str">
        <f>IF(O467="","", IF(ARBITRAGES!$H467="BOME",P466+ARBITRAGES!$K467,P466))</f>
        <v/>
      </c>
      <c r="Q467" s="378" t="str">
        <f>IF(P467="","", IF(ARBITRAGES!$H467="PEPE",Q466+ARBITRAGES!$K467,Q466))</f>
        <v/>
      </c>
      <c r="R467" s="378" t="str">
        <f>IF(Q467="","", IF(ARBITRAGES!$H467="WIF",R466+ARBITRAGES!$K467,R466))</f>
        <v/>
      </c>
      <c r="S467" s="378" t="str">
        <f>IF(R467="","", IF(ARBITRAGES!$H467="RAY",S466+ARBITRAGES!$K467,S466))</f>
        <v/>
      </c>
      <c r="T467" s="360"/>
      <c r="U467" s="360"/>
      <c r="V467" s="360"/>
      <c r="W467" s="360"/>
      <c r="X467" s="360"/>
      <c r="Y467" s="360"/>
      <c r="Z467" s="360"/>
      <c r="AA467" s="360"/>
      <c r="AB467" s="360"/>
      <c r="AC467" s="360"/>
      <c r="AD467" s="360"/>
      <c r="AE467" s="360"/>
      <c r="AF467" s="360"/>
      <c r="AG467" s="360"/>
      <c r="AH467" s="360"/>
    </row>
    <row r="468" ht="18.75" customHeight="1">
      <c r="A468" s="399"/>
      <c r="B468" s="375" t="str">
        <f>IF(A468="","", IF(ARBITRAGES!$H468="BTC",B467+ARBITRAGES!$K468,B467))</f>
        <v/>
      </c>
      <c r="C468" s="375" t="str">
        <f>IF(B468="","", IF(ARBITRAGES!$H468="eth",C467+ARBITRAGES!$K468,C467))</f>
        <v/>
      </c>
      <c r="D468" s="376" t="str">
        <f>IF(C468="","", IF(ARBITRAGES!$H468="ondo",D467+ARBITRAGES!$K468,D467))</f>
        <v/>
      </c>
      <c r="E468" s="376" t="str">
        <f>IF(D468="","", IF(ARBITRAGES!$H468="sol",E467+ARBITRAGES!$K468,E467))</f>
        <v/>
      </c>
      <c r="F468" s="377" t="str">
        <f>IF(E468="","", IF(ARBITRAGES!$H468="tao",F467+ARBITRAGES!$K468,F467))</f>
        <v/>
      </c>
      <c r="G468" s="378" t="str">
        <f>IF(F468="","", IF(ARBITRAGES!$H468="ron",G467+ARBITRAGES!$K468,G467))</f>
        <v/>
      </c>
      <c r="H468" s="378" t="str">
        <f>IF(G468="","", IF(ARBITRAGES!$H468="link",H467+ARBITRAGES!$K468,H467))</f>
        <v/>
      </c>
      <c r="I468" s="378" t="str">
        <f>IF(H468="","", IF(ARBITRAGES!$H468="doge",I467+ARBITRAGES!$K468,I467))</f>
        <v/>
      </c>
      <c r="J468" s="378" t="str">
        <f>IF(I468="","", IF(ARBITRAGES!$H468="shib",J467-ARBITRAGES!$K468,J467))</f>
        <v/>
      </c>
      <c r="K468" s="378" t="str">
        <f>IF(J468="","", IF(ARBITRAGES!$H468="cake",K467+ARBITRAGES!$K468,K467))</f>
        <v/>
      </c>
      <c r="L468" s="378" t="str">
        <f>IF(K468="","", IF(ARBITRAGES!$H468="JUP",L467+ARBITRAGES!$K468,L467))</f>
        <v/>
      </c>
      <c r="M468" s="376" t="str">
        <f>IF(L468="","", IF(ARBITRAGES!$H468="aave",M467+ARBITRAGES!$K468,M467))</f>
        <v/>
      </c>
      <c r="N468" s="378" t="str">
        <f>IF(M468="","", IF(ARBITRAGES!$H468="ckb",N467+ARBITRAGES!$K468,N467))</f>
        <v/>
      </c>
      <c r="O468" s="378" t="str">
        <f>IF(N468="","", IF(ARBITRAGES!$H468="pendle",O467-ARBITRAGES!$K468+0.1,O467))</f>
        <v/>
      </c>
      <c r="P468" s="378" t="str">
        <f>IF(O468="","", IF(ARBITRAGES!$H468="BOME",P467+ARBITRAGES!$K468,P467))</f>
        <v/>
      </c>
      <c r="Q468" s="378" t="str">
        <f>IF(P468="","", IF(ARBITRAGES!$H468="PEPE",Q467+ARBITRAGES!$K468,Q467))</f>
        <v/>
      </c>
      <c r="R468" s="378" t="str">
        <f>IF(Q468="","", IF(ARBITRAGES!$H468="WIF",R467+ARBITRAGES!$K468,R467))</f>
        <v/>
      </c>
      <c r="S468" s="378" t="str">
        <f>IF(R468="","", IF(ARBITRAGES!$H468="RAY",S467+ARBITRAGES!$K468,S467))</f>
        <v/>
      </c>
      <c r="T468" s="360"/>
      <c r="U468" s="360"/>
      <c r="V468" s="360"/>
      <c r="W468" s="360"/>
      <c r="X468" s="360"/>
      <c r="Y468" s="360"/>
      <c r="Z468" s="360"/>
      <c r="AA468" s="360"/>
      <c r="AB468" s="360"/>
      <c r="AC468" s="360"/>
      <c r="AD468" s="360"/>
      <c r="AE468" s="360"/>
      <c r="AF468" s="360"/>
      <c r="AG468" s="360"/>
      <c r="AH468" s="360"/>
    </row>
    <row r="469" ht="18.75" customHeight="1">
      <c r="A469" s="399"/>
      <c r="B469" s="375" t="str">
        <f>IF(A469="","", IF(ARBITRAGES!$H469="BTC",B468+ARBITRAGES!$K469,B468))</f>
        <v/>
      </c>
      <c r="C469" s="375" t="str">
        <f>IF(B469="","", IF(ARBITRAGES!$H469="eth",C468+ARBITRAGES!$K469,C468))</f>
        <v/>
      </c>
      <c r="D469" s="376" t="str">
        <f>IF(C469="","", IF(ARBITRAGES!$H469="ondo",D468+ARBITRAGES!$K469,D468))</f>
        <v/>
      </c>
      <c r="E469" s="376" t="str">
        <f>IF(D469="","", IF(ARBITRAGES!$H469="sol",E468+ARBITRAGES!$K469,E468))</f>
        <v/>
      </c>
      <c r="F469" s="377" t="str">
        <f>IF(E469="","", IF(ARBITRAGES!$H469="tao",F468+ARBITRAGES!$K469,F468))</f>
        <v/>
      </c>
      <c r="G469" s="378" t="str">
        <f>IF(F469="","", IF(ARBITRAGES!$H469="ron",G468+ARBITRAGES!$K469,G468))</f>
        <v/>
      </c>
      <c r="H469" s="378" t="str">
        <f>IF(G469="","", IF(ARBITRAGES!$H469="link",H468+ARBITRAGES!$K469,H468))</f>
        <v/>
      </c>
      <c r="I469" s="378" t="str">
        <f>IF(H469="","", IF(ARBITRAGES!$H469="doge",I468+ARBITRAGES!$K469,I468))</f>
        <v/>
      </c>
      <c r="J469" s="378" t="str">
        <f>IF(I469="","", IF(ARBITRAGES!$H469="shib",J468-ARBITRAGES!$K469,J468))</f>
        <v/>
      </c>
      <c r="K469" s="378" t="str">
        <f>IF(J469="","", IF(ARBITRAGES!$H469="cake",K468+ARBITRAGES!$K469,K468))</f>
        <v/>
      </c>
      <c r="L469" s="378" t="str">
        <f>IF(K469="","", IF(ARBITRAGES!$H469="JUP",L468+ARBITRAGES!$K469,L468))</f>
        <v/>
      </c>
      <c r="M469" s="376" t="str">
        <f>IF(L469="","", IF(ARBITRAGES!$H469="aave",M468+ARBITRAGES!$K469,M468))</f>
        <v/>
      </c>
      <c r="N469" s="378" t="str">
        <f>IF(M469="","", IF(ARBITRAGES!$H469="ckb",N468+ARBITRAGES!$K469,N468))</f>
        <v/>
      </c>
      <c r="O469" s="378" t="str">
        <f>IF(N469="","", IF(ARBITRAGES!$H469="pendle",O468-ARBITRAGES!$K469+0.1,O468))</f>
        <v/>
      </c>
      <c r="P469" s="378" t="str">
        <f>IF(O469="","", IF(ARBITRAGES!$H469="BOME",P468+ARBITRAGES!$K469,P468))</f>
        <v/>
      </c>
      <c r="Q469" s="378" t="str">
        <f>IF(P469="","", IF(ARBITRAGES!$H469="PEPE",Q468+ARBITRAGES!$K469,Q468))</f>
        <v/>
      </c>
      <c r="R469" s="378" t="str">
        <f>IF(Q469="","", IF(ARBITRAGES!$H469="WIF",R468+ARBITRAGES!$K469,R468))</f>
        <v/>
      </c>
      <c r="S469" s="378" t="str">
        <f>IF(R469="","", IF(ARBITRAGES!$H469="RAY",S468+ARBITRAGES!$K469,S468))</f>
        <v/>
      </c>
      <c r="T469" s="360"/>
      <c r="U469" s="360"/>
      <c r="V469" s="360"/>
      <c r="W469" s="360"/>
      <c r="X469" s="360"/>
      <c r="Y469" s="360"/>
      <c r="Z469" s="360"/>
      <c r="AA469" s="360"/>
      <c r="AB469" s="360"/>
      <c r="AC469" s="360"/>
      <c r="AD469" s="360"/>
      <c r="AE469" s="360"/>
      <c r="AF469" s="360"/>
      <c r="AG469" s="360"/>
      <c r="AH469" s="360"/>
    </row>
    <row r="470" ht="18.75" customHeight="1">
      <c r="A470" s="399"/>
      <c r="B470" s="375" t="str">
        <f>IF(A470="","", IF(ARBITRAGES!$H470="BTC",B469+ARBITRAGES!$K470,B469))</f>
        <v/>
      </c>
      <c r="C470" s="375" t="str">
        <f>IF(B470="","", IF(ARBITRAGES!$H470="eth",C469+ARBITRAGES!$K470,C469))</f>
        <v/>
      </c>
      <c r="D470" s="376" t="str">
        <f>IF(C470="","", IF(ARBITRAGES!$H470="ondo",D469+ARBITRAGES!$K470,D469))</f>
        <v/>
      </c>
      <c r="E470" s="376" t="str">
        <f>IF(D470="","", IF(ARBITRAGES!$H470="sol",E469+ARBITRAGES!$K470,E469))</f>
        <v/>
      </c>
      <c r="F470" s="377" t="str">
        <f>IF(E470="","", IF(ARBITRAGES!$H470="tao",F469+ARBITRAGES!$K470,F469))</f>
        <v/>
      </c>
      <c r="G470" s="378" t="str">
        <f>IF(F470="","", IF(ARBITRAGES!$H470="ron",G469+ARBITRAGES!$K470,G469))</f>
        <v/>
      </c>
      <c r="H470" s="378" t="str">
        <f>IF(G470="","", IF(ARBITRAGES!$H470="link",H469+ARBITRAGES!$K470,H469))</f>
        <v/>
      </c>
      <c r="I470" s="378" t="str">
        <f>IF(H470="","", IF(ARBITRAGES!$H470="doge",I469+ARBITRAGES!$K470,I469))</f>
        <v/>
      </c>
      <c r="J470" s="378" t="str">
        <f>IF(I470="","", IF(ARBITRAGES!$H470="shib",J469-ARBITRAGES!$K470,J469))</f>
        <v/>
      </c>
      <c r="K470" s="378" t="str">
        <f>IF(J470="","", IF(ARBITRAGES!$H470="cake",K469+ARBITRAGES!$K470,K469))</f>
        <v/>
      </c>
      <c r="L470" s="378" t="str">
        <f>IF(K470="","", IF(ARBITRAGES!$H470="JUP",L469+ARBITRAGES!$K470,L469))</f>
        <v/>
      </c>
      <c r="M470" s="376" t="str">
        <f>IF(L470="","", IF(ARBITRAGES!$H470="aave",M469+ARBITRAGES!$K470,M469))</f>
        <v/>
      </c>
      <c r="N470" s="378" t="str">
        <f>IF(M470="","", IF(ARBITRAGES!$H470="ckb",N469+ARBITRAGES!$K470,N469))</f>
        <v/>
      </c>
      <c r="O470" s="378" t="str">
        <f>IF(N470="","", IF(ARBITRAGES!$H470="pendle",O469-ARBITRAGES!$K470+0.1,O469))</f>
        <v/>
      </c>
      <c r="P470" s="378" t="str">
        <f>IF(O470="","", IF(ARBITRAGES!$H470="BOME",P469+ARBITRAGES!$K470,P469))</f>
        <v/>
      </c>
      <c r="Q470" s="378" t="str">
        <f>IF(P470="","", IF(ARBITRAGES!$H470="PEPE",Q469+ARBITRAGES!$K470,Q469))</f>
        <v/>
      </c>
      <c r="R470" s="378" t="str">
        <f>IF(Q470="","", IF(ARBITRAGES!$H470="WIF",R469+ARBITRAGES!$K470,R469))</f>
        <v/>
      </c>
      <c r="S470" s="378" t="str">
        <f>IF(R470="","", IF(ARBITRAGES!$H470="RAY",S469+ARBITRAGES!$K470,S469))</f>
        <v/>
      </c>
      <c r="T470" s="360"/>
      <c r="U470" s="360"/>
      <c r="V470" s="360"/>
      <c r="W470" s="360"/>
      <c r="X470" s="360"/>
      <c r="Y470" s="360"/>
      <c r="Z470" s="360"/>
      <c r="AA470" s="360"/>
      <c r="AB470" s="360"/>
      <c r="AC470" s="360"/>
      <c r="AD470" s="360"/>
      <c r="AE470" s="360"/>
      <c r="AF470" s="360"/>
      <c r="AG470" s="360"/>
      <c r="AH470" s="360"/>
    </row>
    <row r="471" ht="18.75" customHeight="1">
      <c r="A471" s="399"/>
      <c r="B471" s="375" t="str">
        <f>IF(A471="","", IF(ARBITRAGES!$H471="BTC",B470+ARBITRAGES!$K471,B470))</f>
        <v/>
      </c>
      <c r="C471" s="375" t="str">
        <f>IF(B471="","", IF(ARBITRAGES!$H471="eth",C470+ARBITRAGES!$K471,C470))</f>
        <v/>
      </c>
      <c r="D471" s="376" t="str">
        <f>IF(C471="","", IF(ARBITRAGES!$H471="ondo",D470+ARBITRAGES!$K471,D470))</f>
        <v/>
      </c>
      <c r="E471" s="376" t="str">
        <f>IF(D471="","", IF(ARBITRAGES!$H471="sol",E470+ARBITRAGES!$K471,E470))</f>
        <v/>
      </c>
      <c r="F471" s="377" t="str">
        <f>IF(E471="","", IF(ARBITRAGES!$H471="tao",F470+ARBITRAGES!$K471,F470))</f>
        <v/>
      </c>
      <c r="G471" s="378" t="str">
        <f>IF(F471="","", IF(ARBITRAGES!$H471="ron",G470+ARBITRAGES!$K471,G470))</f>
        <v/>
      </c>
      <c r="H471" s="378" t="str">
        <f>IF(G471="","", IF(ARBITRAGES!$H471="link",H470+ARBITRAGES!$K471,H470))</f>
        <v/>
      </c>
      <c r="I471" s="378" t="str">
        <f>IF(H471="","", IF(ARBITRAGES!$H471="doge",I470+ARBITRAGES!$K471,I470))</f>
        <v/>
      </c>
      <c r="J471" s="378" t="str">
        <f>IF(I471="","", IF(ARBITRAGES!$H471="shib",J470-ARBITRAGES!$K471,J470))</f>
        <v/>
      </c>
      <c r="K471" s="378" t="str">
        <f>IF(J471="","", IF(ARBITRAGES!$H471="cake",K470+ARBITRAGES!$K471,K470))</f>
        <v/>
      </c>
      <c r="L471" s="378" t="str">
        <f>IF(K471="","", IF(ARBITRAGES!$H471="JUP",L470+ARBITRAGES!$K471,L470))</f>
        <v/>
      </c>
      <c r="M471" s="376" t="str">
        <f>IF(L471="","", IF(ARBITRAGES!$H471="aave",M470+ARBITRAGES!$K471,M470))</f>
        <v/>
      </c>
      <c r="N471" s="378" t="str">
        <f>IF(M471="","", IF(ARBITRAGES!$H471="ckb",N470+ARBITRAGES!$K471,N470))</f>
        <v/>
      </c>
      <c r="O471" s="378" t="str">
        <f>IF(N471="","", IF(ARBITRAGES!$H471="pendle",O470-ARBITRAGES!$K471+0.1,O470))</f>
        <v/>
      </c>
      <c r="P471" s="378" t="str">
        <f>IF(O471="","", IF(ARBITRAGES!$H471="BOME",P470+ARBITRAGES!$K471,P470))</f>
        <v/>
      </c>
      <c r="Q471" s="378" t="str">
        <f>IF(P471="","", IF(ARBITRAGES!$H471="PEPE",Q470+ARBITRAGES!$K471,Q470))</f>
        <v/>
      </c>
      <c r="R471" s="378" t="str">
        <f>IF(Q471="","", IF(ARBITRAGES!$H471="WIF",R470+ARBITRAGES!$K471,R470))</f>
        <v/>
      </c>
      <c r="S471" s="378" t="str">
        <f>IF(R471="","", IF(ARBITRAGES!$H471="RAY",S470+ARBITRAGES!$K471,S470))</f>
        <v/>
      </c>
      <c r="T471" s="360"/>
      <c r="U471" s="360"/>
      <c r="V471" s="360"/>
      <c r="W471" s="360"/>
      <c r="X471" s="360"/>
      <c r="Y471" s="360"/>
      <c r="Z471" s="360"/>
      <c r="AA471" s="360"/>
      <c r="AB471" s="360"/>
      <c r="AC471" s="360"/>
      <c r="AD471" s="360"/>
      <c r="AE471" s="360"/>
      <c r="AF471" s="360"/>
      <c r="AG471" s="360"/>
      <c r="AH471" s="360"/>
    </row>
    <row r="472" ht="18.75" customHeight="1">
      <c r="A472" s="399"/>
      <c r="B472" s="375" t="str">
        <f>IF(A472="","", IF(ARBITRAGES!$H472="BTC",B471+ARBITRAGES!$K472,B471))</f>
        <v/>
      </c>
      <c r="C472" s="375" t="str">
        <f>IF(B472="","", IF(ARBITRAGES!$H472="eth",C471+ARBITRAGES!$K472,C471))</f>
        <v/>
      </c>
      <c r="D472" s="376" t="str">
        <f>IF(C472="","", IF(ARBITRAGES!$H472="ondo",D471+ARBITRAGES!$K472,D471))</f>
        <v/>
      </c>
      <c r="E472" s="376" t="str">
        <f>IF(D472="","", IF(ARBITRAGES!$H472="sol",E471+ARBITRAGES!$K472,E471))</f>
        <v/>
      </c>
      <c r="F472" s="377" t="str">
        <f>IF(E472="","", IF(ARBITRAGES!$H472="tao",F471+ARBITRAGES!$K472,F471))</f>
        <v/>
      </c>
      <c r="G472" s="378" t="str">
        <f>IF(F472="","", IF(ARBITRAGES!$H472="ron",G471+ARBITRAGES!$K472,G471))</f>
        <v/>
      </c>
      <c r="H472" s="378" t="str">
        <f>IF(G472="","", IF(ARBITRAGES!$H472="link",H471+ARBITRAGES!$K472,H471))</f>
        <v/>
      </c>
      <c r="I472" s="378" t="str">
        <f>IF(H472="","", IF(ARBITRAGES!$H472="doge",I471+ARBITRAGES!$K472,I471))</f>
        <v/>
      </c>
      <c r="J472" s="378" t="str">
        <f>IF(I472="","", IF(ARBITRAGES!$H472="shib",J471-ARBITRAGES!$K472,J471))</f>
        <v/>
      </c>
      <c r="K472" s="378" t="str">
        <f>IF(J472="","", IF(ARBITRAGES!$H472="cake",K471+ARBITRAGES!$K472,K471))</f>
        <v/>
      </c>
      <c r="L472" s="378" t="str">
        <f>IF(K472="","", IF(ARBITRAGES!$H472="JUP",L471+ARBITRAGES!$K472,L471))</f>
        <v/>
      </c>
      <c r="M472" s="376" t="str">
        <f>IF(L472="","", IF(ARBITRAGES!$H472="aave",M471+ARBITRAGES!$K472,M471))</f>
        <v/>
      </c>
      <c r="N472" s="378" t="str">
        <f>IF(M472="","", IF(ARBITRAGES!$H472="ckb",N471+ARBITRAGES!$K472,N471))</f>
        <v/>
      </c>
      <c r="O472" s="378" t="str">
        <f>IF(N472="","", IF(ARBITRAGES!$H472="pendle",O471-ARBITRAGES!$K472+0.1,O471))</f>
        <v/>
      </c>
      <c r="P472" s="378" t="str">
        <f>IF(O472="","", IF(ARBITRAGES!$H472="BOME",P471+ARBITRAGES!$K472,P471))</f>
        <v/>
      </c>
      <c r="Q472" s="378" t="str">
        <f>IF(P472="","", IF(ARBITRAGES!$H472="PEPE",Q471+ARBITRAGES!$K472,Q471))</f>
        <v/>
      </c>
      <c r="R472" s="378" t="str">
        <f>IF(Q472="","", IF(ARBITRAGES!$H472="WIF",R471+ARBITRAGES!$K472,R471))</f>
        <v/>
      </c>
      <c r="S472" s="378" t="str">
        <f>IF(R472="","", IF(ARBITRAGES!$H472="RAY",S471+ARBITRAGES!$K472,S471))</f>
        <v/>
      </c>
      <c r="T472" s="360"/>
      <c r="U472" s="360"/>
      <c r="V472" s="360"/>
      <c r="W472" s="360"/>
      <c r="X472" s="360"/>
      <c r="Y472" s="360"/>
      <c r="Z472" s="360"/>
      <c r="AA472" s="360"/>
      <c r="AB472" s="360"/>
      <c r="AC472" s="360"/>
      <c r="AD472" s="360"/>
      <c r="AE472" s="360"/>
      <c r="AF472" s="360"/>
      <c r="AG472" s="360"/>
      <c r="AH472" s="360"/>
    </row>
    <row r="473" ht="18.75" customHeight="1">
      <c r="A473" s="399"/>
      <c r="B473" s="375" t="str">
        <f>IF(A473="","", IF(ARBITRAGES!$H473="BTC",B472+ARBITRAGES!$K473,B472))</f>
        <v/>
      </c>
      <c r="C473" s="375" t="str">
        <f>IF(B473="","", IF(ARBITRAGES!$H473="eth",C472+ARBITRAGES!$K473,C472))</f>
        <v/>
      </c>
      <c r="D473" s="376" t="str">
        <f>IF(C473="","", IF(ARBITRAGES!$H473="ondo",D472+ARBITRAGES!$K473,D472))</f>
        <v/>
      </c>
      <c r="E473" s="376" t="str">
        <f>IF(D473="","", IF(ARBITRAGES!$H473="sol",E472+ARBITRAGES!$K473,E472))</f>
        <v/>
      </c>
      <c r="F473" s="377" t="str">
        <f>IF(E473="","", IF(ARBITRAGES!$H473="tao",F472+ARBITRAGES!$K473,F472))</f>
        <v/>
      </c>
      <c r="G473" s="378" t="str">
        <f>IF(F473="","", IF(ARBITRAGES!$H473="ron",G472+ARBITRAGES!$K473,G472))</f>
        <v/>
      </c>
      <c r="H473" s="378" t="str">
        <f>IF(G473="","", IF(ARBITRAGES!$H473="link",H472+ARBITRAGES!$K473,H472))</f>
        <v/>
      </c>
      <c r="I473" s="378" t="str">
        <f>IF(H473="","", IF(ARBITRAGES!$H473="doge",I472+ARBITRAGES!$K473,I472))</f>
        <v/>
      </c>
      <c r="J473" s="378" t="str">
        <f>IF(I473="","", IF(ARBITRAGES!$H473="shib",J472-ARBITRAGES!$K473,J472))</f>
        <v/>
      </c>
      <c r="K473" s="378" t="str">
        <f>IF(J473="","", IF(ARBITRAGES!$H473="cake",K472+ARBITRAGES!$K473,K472))</f>
        <v/>
      </c>
      <c r="L473" s="378" t="str">
        <f>IF(K473="","", IF(ARBITRAGES!$H473="JUP",L472+ARBITRAGES!$K473,L472))</f>
        <v/>
      </c>
      <c r="M473" s="376" t="str">
        <f>IF(L473="","", IF(ARBITRAGES!$H473="aave",M472+ARBITRAGES!$K473,M472))</f>
        <v/>
      </c>
      <c r="N473" s="378" t="str">
        <f>IF(M473="","", IF(ARBITRAGES!$H473="ckb",N472+ARBITRAGES!$K473,N472))</f>
        <v/>
      </c>
      <c r="O473" s="378" t="str">
        <f>IF(N473="","", IF(ARBITRAGES!$H473="pendle",O472-ARBITRAGES!$K473+0.1,O472))</f>
        <v/>
      </c>
      <c r="P473" s="378" t="str">
        <f>IF(O473="","", IF(ARBITRAGES!$H473="BOME",P472+ARBITRAGES!$K473,P472))</f>
        <v/>
      </c>
      <c r="Q473" s="378" t="str">
        <f>IF(P473="","", IF(ARBITRAGES!$H473="PEPE",Q472+ARBITRAGES!$K473,Q472))</f>
        <v/>
      </c>
      <c r="R473" s="378" t="str">
        <f>IF(Q473="","", IF(ARBITRAGES!$H473="WIF",R472+ARBITRAGES!$K473,R472))</f>
        <v/>
      </c>
      <c r="S473" s="378" t="str">
        <f>IF(R473="","", IF(ARBITRAGES!$H473="RAY",S472+ARBITRAGES!$K473,S472))</f>
        <v/>
      </c>
      <c r="T473" s="360"/>
      <c r="U473" s="360"/>
      <c r="V473" s="360"/>
      <c r="W473" s="360"/>
      <c r="X473" s="360"/>
      <c r="Y473" s="360"/>
      <c r="Z473" s="360"/>
      <c r="AA473" s="360"/>
      <c r="AB473" s="360"/>
      <c r="AC473" s="360"/>
      <c r="AD473" s="360"/>
      <c r="AE473" s="360"/>
      <c r="AF473" s="360"/>
      <c r="AG473" s="360"/>
      <c r="AH473" s="360"/>
    </row>
    <row r="474" ht="18.75" customHeight="1">
      <c r="A474" s="399"/>
      <c r="B474" s="375" t="str">
        <f>IF(A474="","", IF(ARBITRAGES!$H474="BTC",B473+ARBITRAGES!$K474,B473))</f>
        <v/>
      </c>
      <c r="C474" s="375" t="str">
        <f>IF(B474="","", IF(ARBITRAGES!$H474="eth",C473+ARBITRAGES!$K474,C473))</f>
        <v/>
      </c>
      <c r="D474" s="376" t="str">
        <f>IF(C474="","", IF(ARBITRAGES!$H474="ondo",D473+ARBITRAGES!$K474,D473))</f>
        <v/>
      </c>
      <c r="E474" s="376" t="str">
        <f>IF(D474="","", IF(ARBITRAGES!$H474="sol",E473+ARBITRAGES!$K474,E473))</f>
        <v/>
      </c>
      <c r="F474" s="377" t="str">
        <f>IF(E474="","", IF(ARBITRAGES!$H474="tao",F473+ARBITRAGES!$K474,F473))</f>
        <v/>
      </c>
      <c r="G474" s="378" t="str">
        <f>IF(F474="","", IF(ARBITRAGES!$H474="ron",G473+ARBITRAGES!$K474,G473))</f>
        <v/>
      </c>
      <c r="H474" s="378" t="str">
        <f>IF(G474="","", IF(ARBITRAGES!$H474="link",H473+ARBITRAGES!$K474,H473))</f>
        <v/>
      </c>
      <c r="I474" s="378" t="str">
        <f>IF(H474="","", IF(ARBITRAGES!$H474="doge",I473+ARBITRAGES!$K474,I473))</f>
        <v/>
      </c>
      <c r="J474" s="378" t="str">
        <f>IF(I474="","", IF(ARBITRAGES!$H474="shib",J473-ARBITRAGES!$K474,J473))</f>
        <v/>
      </c>
      <c r="K474" s="378" t="str">
        <f>IF(J474="","", IF(ARBITRAGES!$H474="cake",K473+ARBITRAGES!$K474,K473))</f>
        <v/>
      </c>
      <c r="L474" s="378" t="str">
        <f>IF(K474="","", IF(ARBITRAGES!$H474="JUP",L473+ARBITRAGES!$K474,L473))</f>
        <v/>
      </c>
      <c r="M474" s="376" t="str">
        <f>IF(L474="","", IF(ARBITRAGES!$H474="aave",M473+ARBITRAGES!$K474,M473))</f>
        <v/>
      </c>
      <c r="N474" s="378" t="str">
        <f>IF(M474="","", IF(ARBITRAGES!$H474="ckb",N473+ARBITRAGES!$K474,N473))</f>
        <v/>
      </c>
      <c r="O474" s="378" t="str">
        <f>IF(N474="","", IF(ARBITRAGES!$H474="pendle",O473-ARBITRAGES!$K474+0.1,O473))</f>
        <v/>
      </c>
      <c r="P474" s="378" t="str">
        <f>IF(O474="","", IF(ARBITRAGES!$H474="BOME",P473+ARBITRAGES!$K474,P473))</f>
        <v/>
      </c>
      <c r="Q474" s="378" t="str">
        <f>IF(P474="","", IF(ARBITRAGES!$H474="PEPE",Q473+ARBITRAGES!$K474,Q473))</f>
        <v/>
      </c>
      <c r="R474" s="378" t="str">
        <f>IF(Q474="","", IF(ARBITRAGES!$H474="WIF",R473+ARBITRAGES!$K474,R473))</f>
        <v/>
      </c>
      <c r="S474" s="378" t="str">
        <f>IF(R474="","", IF(ARBITRAGES!$H474="RAY",S473+ARBITRAGES!$K474,S473))</f>
        <v/>
      </c>
      <c r="T474" s="360"/>
      <c r="U474" s="360"/>
      <c r="V474" s="360"/>
      <c r="W474" s="360"/>
      <c r="X474" s="360"/>
      <c r="Y474" s="360"/>
      <c r="Z474" s="360"/>
      <c r="AA474" s="360"/>
      <c r="AB474" s="360"/>
      <c r="AC474" s="360"/>
      <c r="AD474" s="360"/>
      <c r="AE474" s="360"/>
      <c r="AF474" s="360"/>
      <c r="AG474" s="360"/>
      <c r="AH474" s="360"/>
    </row>
    <row r="475" ht="18.75" customHeight="1">
      <c r="A475" s="399"/>
      <c r="B475" s="375" t="str">
        <f>IF(A475="","", IF(ARBITRAGES!$H475="BTC",B474+ARBITRAGES!$K475,B474))</f>
        <v/>
      </c>
      <c r="C475" s="375" t="str">
        <f>IF(B475="","", IF(ARBITRAGES!$H475="eth",C474+ARBITRAGES!$K475,C474))</f>
        <v/>
      </c>
      <c r="D475" s="376" t="str">
        <f>IF(C475="","", IF(ARBITRAGES!$H475="ondo",D474+ARBITRAGES!$K475,D474))</f>
        <v/>
      </c>
      <c r="E475" s="376" t="str">
        <f>IF(D475="","", IF(ARBITRAGES!$H475="sol",E474+ARBITRAGES!$K475,E474))</f>
        <v/>
      </c>
      <c r="F475" s="377" t="str">
        <f>IF(E475="","", IF(ARBITRAGES!$H475="tao",F474+ARBITRAGES!$K475,F474))</f>
        <v/>
      </c>
      <c r="G475" s="378" t="str">
        <f>IF(F475="","", IF(ARBITRAGES!$H475="ron",G474+ARBITRAGES!$K475,G474))</f>
        <v/>
      </c>
      <c r="H475" s="378" t="str">
        <f>IF(G475="","", IF(ARBITRAGES!$H475="link",H474+ARBITRAGES!$K475,H474))</f>
        <v/>
      </c>
      <c r="I475" s="378" t="str">
        <f>IF(H475="","", IF(ARBITRAGES!$H475="doge",I474+ARBITRAGES!$K475,I474))</f>
        <v/>
      </c>
      <c r="J475" s="378" t="str">
        <f>IF(I475="","", IF(ARBITRAGES!$H475="shib",J474-ARBITRAGES!$K475,J474))</f>
        <v/>
      </c>
      <c r="K475" s="378" t="str">
        <f>IF(J475="","", IF(ARBITRAGES!$H475="cake",K474+ARBITRAGES!$K475,K474))</f>
        <v/>
      </c>
      <c r="L475" s="378" t="str">
        <f>IF(K475="","", IF(ARBITRAGES!$H475="JUP",L474+ARBITRAGES!$K475,L474))</f>
        <v/>
      </c>
      <c r="M475" s="376" t="str">
        <f>IF(L475="","", IF(ARBITRAGES!$H475="aave",M474+ARBITRAGES!$K475,M474))</f>
        <v/>
      </c>
      <c r="N475" s="378" t="str">
        <f>IF(M475="","", IF(ARBITRAGES!$H475="ckb",N474+ARBITRAGES!$K475,N474))</f>
        <v/>
      </c>
      <c r="O475" s="378" t="str">
        <f>IF(N475="","", IF(ARBITRAGES!$H475="pendle",O474-ARBITRAGES!$K475+0.1,O474))</f>
        <v/>
      </c>
      <c r="P475" s="378" t="str">
        <f>IF(O475="","", IF(ARBITRAGES!$H475="BOME",P474+ARBITRAGES!$K475,P474))</f>
        <v/>
      </c>
      <c r="Q475" s="378" t="str">
        <f>IF(P475="","", IF(ARBITRAGES!$H475="PEPE",Q474+ARBITRAGES!$K475,Q474))</f>
        <v/>
      </c>
      <c r="R475" s="378" t="str">
        <f>IF(Q475="","", IF(ARBITRAGES!$H475="WIF",R474+ARBITRAGES!$K475,R474))</f>
        <v/>
      </c>
      <c r="S475" s="378" t="str">
        <f>IF(R475="","", IF(ARBITRAGES!$H475="RAY",S474+ARBITRAGES!$K475,S474))</f>
        <v/>
      </c>
      <c r="T475" s="360"/>
      <c r="U475" s="360"/>
      <c r="V475" s="360"/>
      <c r="W475" s="360"/>
      <c r="X475" s="360"/>
      <c r="Y475" s="360"/>
      <c r="Z475" s="360"/>
      <c r="AA475" s="360"/>
      <c r="AB475" s="360"/>
      <c r="AC475" s="360"/>
      <c r="AD475" s="360"/>
      <c r="AE475" s="360"/>
      <c r="AF475" s="360"/>
      <c r="AG475" s="360"/>
      <c r="AH475" s="360"/>
    </row>
    <row r="476" ht="18.75" customHeight="1">
      <c r="A476" s="399"/>
      <c r="B476" s="375" t="str">
        <f>IF(A476="","", IF(ARBITRAGES!$H476="BTC",B475+ARBITRAGES!$K476,B475))</f>
        <v/>
      </c>
      <c r="C476" s="375" t="str">
        <f>IF(B476="","", IF(ARBITRAGES!$H476="eth",C475+ARBITRAGES!$K476,C475))</f>
        <v/>
      </c>
      <c r="D476" s="376" t="str">
        <f>IF(C476="","", IF(ARBITRAGES!$H476="ondo",D475+ARBITRAGES!$K476,D475))</f>
        <v/>
      </c>
      <c r="E476" s="376" t="str">
        <f>IF(D476="","", IF(ARBITRAGES!$H476="sol",E475+ARBITRAGES!$K476,E475))</f>
        <v/>
      </c>
      <c r="F476" s="377" t="str">
        <f>IF(E476="","", IF(ARBITRAGES!$H476="tao",F475+ARBITRAGES!$K476,F475))</f>
        <v/>
      </c>
      <c r="G476" s="378" t="str">
        <f>IF(F476="","", IF(ARBITRAGES!$H476="ron",G475+ARBITRAGES!$K476,G475))</f>
        <v/>
      </c>
      <c r="H476" s="378" t="str">
        <f>IF(G476="","", IF(ARBITRAGES!$H476="link",H475+ARBITRAGES!$K476,H475))</f>
        <v/>
      </c>
      <c r="I476" s="378" t="str">
        <f>IF(H476="","", IF(ARBITRAGES!$H476="doge",I475+ARBITRAGES!$K476,I475))</f>
        <v/>
      </c>
      <c r="J476" s="378" t="str">
        <f>IF(I476="","", IF(ARBITRAGES!$H476="shib",J475-ARBITRAGES!$K476,J475))</f>
        <v/>
      </c>
      <c r="K476" s="378" t="str">
        <f>IF(J476="","", IF(ARBITRAGES!$H476="cake",K475+ARBITRAGES!$K476,K475))</f>
        <v/>
      </c>
      <c r="L476" s="378" t="str">
        <f>IF(K476="","", IF(ARBITRAGES!$H476="JUP",L475+ARBITRAGES!$K476,L475))</f>
        <v/>
      </c>
      <c r="M476" s="376" t="str">
        <f>IF(L476="","", IF(ARBITRAGES!$H476="aave",M475+ARBITRAGES!$K476,M475))</f>
        <v/>
      </c>
      <c r="N476" s="378" t="str">
        <f>IF(M476="","", IF(ARBITRAGES!$H476="ckb",N475+ARBITRAGES!$K476,N475))</f>
        <v/>
      </c>
      <c r="O476" s="378" t="str">
        <f>IF(N476="","", IF(ARBITRAGES!$H476="pendle",O475-ARBITRAGES!$K476+0.1,O475))</f>
        <v/>
      </c>
      <c r="P476" s="378" t="str">
        <f>IF(O476="","", IF(ARBITRAGES!$H476="BOME",P475+ARBITRAGES!$K476,P475))</f>
        <v/>
      </c>
      <c r="Q476" s="378" t="str">
        <f>IF(P476="","", IF(ARBITRAGES!$H476="PEPE",Q475+ARBITRAGES!$K476,Q475))</f>
        <v/>
      </c>
      <c r="R476" s="378" t="str">
        <f>IF(Q476="","", IF(ARBITRAGES!$H476="WIF",R475+ARBITRAGES!$K476,R475))</f>
        <v/>
      </c>
      <c r="S476" s="378" t="str">
        <f>IF(R476="","", IF(ARBITRAGES!$H476="RAY",S475+ARBITRAGES!$K476,S475))</f>
        <v/>
      </c>
      <c r="T476" s="360"/>
      <c r="U476" s="360"/>
      <c r="V476" s="360"/>
      <c r="W476" s="360"/>
      <c r="X476" s="360"/>
      <c r="Y476" s="360"/>
      <c r="Z476" s="360"/>
      <c r="AA476" s="360"/>
      <c r="AB476" s="360"/>
      <c r="AC476" s="360"/>
      <c r="AD476" s="360"/>
      <c r="AE476" s="360"/>
      <c r="AF476" s="360"/>
      <c r="AG476" s="360"/>
      <c r="AH476" s="360"/>
    </row>
    <row r="477" ht="18.75" customHeight="1">
      <c r="A477" s="399"/>
      <c r="B477" s="375" t="str">
        <f>IF(A477="","", IF(ARBITRAGES!$H477="BTC",B476+ARBITRAGES!$K477,B476))</f>
        <v/>
      </c>
      <c r="C477" s="375" t="str">
        <f>IF(B477="","", IF(ARBITRAGES!$H477="eth",C476+ARBITRAGES!$K477,C476))</f>
        <v/>
      </c>
      <c r="D477" s="376" t="str">
        <f>IF(C477="","", IF(ARBITRAGES!$H477="ondo",D476+ARBITRAGES!$K477,D476))</f>
        <v/>
      </c>
      <c r="E477" s="376" t="str">
        <f>IF(D477="","", IF(ARBITRAGES!$H477="sol",E476+ARBITRAGES!$K477,E476))</f>
        <v/>
      </c>
      <c r="F477" s="377" t="str">
        <f>IF(E477="","", IF(ARBITRAGES!$H477="tao",F476+ARBITRAGES!$K477,F476))</f>
        <v/>
      </c>
      <c r="G477" s="378" t="str">
        <f>IF(F477="","", IF(ARBITRAGES!$H477="ron",G476+ARBITRAGES!$K477,G476))</f>
        <v/>
      </c>
      <c r="H477" s="378" t="str">
        <f>IF(G477="","", IF(ARBITRAGES!$H477="link",H476+ARBITRAGES!$K477,H476))</f>
        <v/>
      </c>
      <c r="I477" s="378" t="str">
        <f>IF(H477="","", IF(ARBITRAGES!$H477="doge",I476+ARBITRAGES!$K477,I476))</f>
        <v/>
      </c>
      <c r="J477" s="378" t="str">
        <f>IF(I477="","", IF(ARBITRAGES!$H477="shib",J476-ARBITRAGES!$K477,J476))</f>
        <v/>
      </c>
      <c r="K477" s="378" t="str">
        <f>IF(J477="","", IF(ARBITRAGES!$H477="cake",K476+ARBITRAGES!$K477,K476))</f>
        <v/>
      </c>
      <c r="L477" s="378" t="str">
        <f>IF(K477="","", IF(ARBITRAGES!$H477="JUP",L476+ARBITRAGES!$K477,L476))</f>
        <v/>
      </c>
      <c r="M477" s="376" t="str">
        <f>IF(L477="","", IF(ARBITRAGES!$H477="aave",M476+ARBITRAGES!$K477,M476))</f>
        <v/>
      </c>
      <c r="N477" s="378" t="str">
        <f>IF(M477="","", IF(ARBITRAGES!$H477="ckb",N476+ARBITRAGES!$K477,N476))</f>
        <v/>
      </c>
      <c r="O477" s="378" t="str">
        <f>IF(N477="","", IF(ARBITRAGES!$H477="pendle",O476-ARBITRAGES!$K477+0.1,O476))</f>
        <v/>
      </c>
      <c r="P477" s="378" t="str">
        <f>IF(O477="","", IF(ARBITRAGES!$H477="BOME",P476+ARBITRAGES!$K477,P476))</f>
        <v/>
      </c>
      <c r="Q477" s="378" t="str">
        <f>IF(P477="","", IF(ARBITRAGES!$H477="PEPE",Q476+ARBITRAGES!$K477,Q476))</f>
        <v/>
      </c>
      <c r="R477" s="378" t="str">
        <f>IF(Q477="","", IF(ARBITRAGES!$H477="WIF",R476+ARBITRAGES!$K477,R476))</f>
        <v/>
      </c>
      <c r="S477" s="378" t="str">
        <f>IF(R477="","", IF(ARBITRAGES!$H477="RAY",S476+ARBITRAGES!$K477,S476))</f>
        <v/>
      </c>
      <c r="T477" s="360"/>
      <c r="U477" s="360"/>
      <c r="V477" s="360"/>
      <c r="W477" s="360"/>
      <c r="X477" s="360"/>
      <c r="Y477" s="360"/>
      <c r="Z477" s="360"/>
      <c r="AA477" s="360"/>
      <c r="AB477" s="360"/>
      <c r="AC477" s="360"/>
      <c r="AD477" s="360"/>
      <c r="AE477" s="360"/>
      <c r="AF477" s="360"/>
      <c r="AG477" s="360"/>
      <c r="AH477" s="360"/>
    </row>
    <row r="478" ht="18.75" customHeight="1">
      <c r="A478" s="399"/>
      <c r="B478" s="375" t="str">
        <f>IF(A478="","", IF(ARBITRAGES!$H478="BTC",B477+ARBITRAGES!$K478,B477))</f>
        <v/>
      </c>
      <c r="C478" s="375" t="str">
        <f>IF(B478="","", IF(ARBITRAGES!$H478="eth",C477+ARBITRAGES!$K478,C477))</f>
        <v/>
      </c>
      <c r="D478" s="376" t="str">
        <f>IF(C478="","", IF(ARBITRAGES!$H478="ondo",D477+ARBITRAGES!$K478,D477))</f>
        <v/>
      </c>
      <c r="E478" s="376" t="str">
        <f>IF(D478="","", IF(ARBITRAGES!$H478="sol",E477+ARBITRAGES!$K478,E477))</f>
        <v/>
      </c>
      <c r="F478" s="377" t="str">
        <f>IF(E478="","", IF(ARBITRAGES!$H478="tao",F477+ARBITRAGES!$K478,F477))</f>
        <v/>
      </c>
      <c r="G478" s="378" t="str">
        <f>IF(F478="","", IF(ARBITRAGES!$H478="ron",G477+ARBITRAGES!$K478,G477))</f>
        <v/>
      </c>
      <c r="H478" s="378" t="str">
        <f>IF(G478="","", IF(ARBITRAGES!$H478="link",H477+ARBITRAGES!$K478,H477))</f>
        <v/>
      </c>
      <c r="I478" s="378" t="str">
        <f>IF(H478="","", IF(ARBITRAGES!$H478="doge",I477+ARBITRAGES!$K478,I477))</f>
        <v/>
      </c>
      <c r="J478" s="378" t="str">
        <f>IF(I478="","", IF(ARBITRAGES!$H478="shib",J477-ARBITRAGES!$K478,J477))</f>
        <v/>
      </c>
      <c r="K478" s="378" t="str">
        <f>IF(J478="","", IF(ARBITRAGES!$H478="cake",K477+ARBITRAGES!$K478,K477))</f>
        <v/>
      </c>
      <c r="L478" s="378" t="str">
        <f>IF(K478="","", IF(ARBITRAGES!$H478="JUP",L477+ARBITRAGES!$K478,L477))</f>
        <v/>
      </c>
      <c r="M478" s="376" t="str">
        <f>IF(L478="","", IF(ARBITRAGES!$H478="aave",M477+ARBITRAGES!$K478,M477))</f>
        <v/>
      </c>
      <c r="N478" s="378" t="str">
        <f>IF(M478="","", IF(ARBITRAGES!$H478="ckb",N477+ARBITRAGES!$K478,N477))</f>
        <v/>
      </c>
      <c r="O478" s="378" t="str">
        <f>IF(N478="","", IF(ARBITRAGES!$H478="pendle",O477-ARBITRAGES!$K478+0.1,O477))</f>
        <v/>
      </c>
      <c r="P478" s="378" t="str">
        <f>IF(O478="","", IF(ARBITRAGES!$H478="BOME",P477+ARBITRAGES!$K478,P477))</f>
        <v/>
      </c>
      <c r="Q478" s="378" t="str">
        <f>IF(P478="","", IF(ARBITRAGES!$H478="PEPE",Q477+ARBITRAGES!$K478,Q477))</f>
        <v/>
      </c>
      <c r="R478" s="378" t="str">
        <f>IF(Q478="","", IF(ARBITRAGES!$H478="WIF",R477+ARBITRAGES!$K478,R477))</f>
        <v/>
      </c>
      <c r="S478" s="378" t="str">
        <f>IF(R478="","", IF(ARBITRAGES!$H478="RAY",S477+ARBITRAGES!$K478,S477))</f>
        <v/>
      </c>
      <c r="T478" s="360"/>
      <c r="U478" s="360"/>
      <c r="V478" s="360"/>
      <c r="W478" s="360"/>
      <c r="X478" s="360"/>
      <c r="Y478" s="360"/>
      <c r="Z478" s="360"/>
      <c r="AA478" s="360"/>
      <c r="AB478" s="360"/>
      <c r="AC478" s="360"/>
      <c r="AD478" s="360"/>
      <c r="AE478" s="360"/>
      <c r="AF478" s="360"/>
      <c r="AG478" s="360"/>
      <c r="AH478" s="360"/>
    </row>
    <row r="479" ht="18.75" customHeight="1">
      <c r="A479" s="399"/>
      <c r="B479" s="375" t="str">
        <f>IF(A479="","", IF(ARBITRAGES!$H479="BTC",B478+ARBITRAGES!$K479,B478))</f>
        <v/>
      </c>
      <c r="C479" s="375" t="str">
        <f>IF(B479="","", IF(ARBITRAGES!$H479="eth",C478+ARBITRAGES!$K479,C478))</f>
        <v/>
      </c>
      <c r="D479" s="376" t="str">
        <f>IF(C479="","", IF(ARBITRAGES!$H479="ondo",D478+ARBITRAGES!$K479,D478))</f>
        <v/>
      </c>
      <c r="E479" s="376" t="str">
        <f>IF(D479="","", IF(ARBITRAGES!$H479="sol",E478+ARBITRAGES!$K479,E478))</f>
        <v/>
      </c>
      <c r="F479" s="377" t="str">
        <f>IF(E479="","", IF(ARBITRAGES!$H479="tao",F478+ARBITRAGES!$K479,F478))</f>
        <v/>
      </c>
      <c r="G479" s="378" t="str">
        <f>IF(F479="","", IF(ARBITRAGES!$H479="ron",G478+ARBITRAGES!$K479,G478))</f>
        <v/>
      </c>
      <c r="H479" s="378" t="str">
        <f>IF(G479="","", IF(ARBITRAGES!$H479="link",H478+ARBITRAGES!$K479,H478))</f>
        <v/>
      </c>
      <c r="I479" s="378" t="str">
        <f>IF(H479="","", IF(ARBITRAGES!$H479="doge",I478+ARBITRAGES!$K479,I478))</f>
        <v/>
      </c>
      <c r="J479" s="378" t="str">
        <f>IF(I479="","", IF(ARBITRAGES!$H479="shib",J478-ARBITRAGES!$K479,J478))</f>
        <v/>
      </c>
      <c r="K479" s="378" t="str">
        <f>IF(J479="","", IF(ARBITRAGES!$H479="cake",K478+ARBITRAGES!$K479,K478))</f>
        <v/>
      </c>
      <c r="L479" s="378" t="str">
        <f>IF(K479="","", IF(ARBITRAGES!$H479="JUP",L478+ARBITRAGES!$K479,L478))</f>
        <v/>
      </c>
      <c r="M479" s="376" t="str">
        <f>IF(L479="","", IF(ARBITRAGES!$H479="aave",M478+ARBITRAGES!$K479,M478))</f>
        <v/>
      </c>
      <c r="N479" s="378" t="str">
        <f>IF(M479="","", IF(ARBITRAGES!$H479="ckb",N478+ARBITRAGES!$K479,N478))</f>
        <v/>
      </c>
      <c r="O479" s="378" t="str">
        <f>IF(N479="","", IF(ARBITRAGES!$H479="pendle",O478-ARBITRAGES!$K479+0.1,O478))</f>
        <v/>
      </c>
      <c r="P479" s="378" t="str">
        <f>IF(O479="","", IF(ARBITRAGES!$H479="BOME",P478+ARBITRAGES!$K479,P478))</f>
        <v/>
      </c>
      <c r="Q479" s="378" t="str">
        <f>IF(P479="","", IF(ARBITRAGES!$H479="PEPE",Q478+ARBITRAGES!$K479,Q478))</f>
        <v/>
      </c>
      <c r="R479" s="378" t="str">
        <f>IF(Q479="","", IF(ARBITRAGES!$H479="WIF",R478+ARBITRAGES!$K479,R478))</f>
        <v/>
      </c>
      <c r="S479" s="378" t="str">
        <f>IF(R479="","", IF(ARBITRAGES!$H479="RAY",S478+ARBITRAGES!$K479,S478))</f>
        <v/>
      </c>
      <c r="T479" s="360"/>
      <c r="U479" s="360"/>
      <c r="V479" s="360"/>
      <c r="W479" s="360"/>
      <c r="X479" s="360"/>
      <c r="Y479" s="360"/>
      <c r="Z479" s="360"/>
      <c r="AA479" s="360"/>
      <c r="AB479" s="360"/>
      <c r="AC479" s="360"/>
      <c r="AD479" s="360"/>
      <c r="AE479" s="360"/>
      <c r="AF479" s="360"/>
      <c r="AG479" s="360"/>
      <c r="AH479" s="360"/>
    </row>
    <row r="480" ht="18.75" customHeight="1">
      <c r="A480" s="399"/>
      <c r="B480" s="375" t="str">
        <f>IF(A480="","", IF(ARBITRAGES!$H480="BTC",B479+ARBITRAGES!$K480,B479))</f>
        <v/>
      </c>
      <c r="C480" s="375" t="str">
        <f>IF(B480="","", IF(ARBITRAGES!$H480="eth",C479+ARBITRAGES!$K480,C479))</f>
        <v/>
      </c>
      <c r="D480" s="376" t="str">
        <f>IF(C480="","", IF(ARBITRAGES!$H480="ondo",D479+ARBITRAGES!$K480,D479))</f>
        <v/>
      </c>
      <c r="E480" s="376" t="str">
        <f>IF(D480="","", IF(ARBITRAGES!$H480="sol",E479+ARBITRAGES!$K480,E479))</f>
        <v/>
      </c>
      <c r="F480" s="377" t="str">
        <f>IF(E480="","", IF(ARBITRAGES!$H480="tao",F479+ARBITRAGES!$K480,F479))</f>
        <v/>
      </c>
      <c r="G480" s="378" t="str">
        <f>IF(F480="","", IF(ARBITRAGES!$H480="ron",G479+ARBITRAGES!$K480,G479))</f>
        <v/>
      </c>
      <c r="H480" s="378" t="str">
        <f>IF(G480="","", IF(ARBITRAGES!$H480="link",H479+ARBITRAGES!$K480,H479))</f>
        <v/>
      </c>
      <c r="I480" s="378" t="str">
        <f>IF(H480="","", IF(ARBITRAGES!$H480="doge",I479+ARBITRAGES!$K480,I479))</f>
        <v/>
      </c>
      <c r="J480" s="378" t="str">
        <f>IF(I480="","", IF(ARBITRAGES!$H480="shib",J479-ARBITRAGES!$K480,J479))</f>
        <v/>
      </c>
      <c r="K480" s="378" t="str">
        <f>IF(J480="","", IF(ARBITRAGES!$H480="cake",K479+ARBITRAGES!$K480,K479))</f>
        <v/>
      </c>
      <c r="L480" s="378" t="str">
        <f>IF(K480="","", IF(ARBITRAGES!$H480="JUP",L479+ARBITRAGES!$K480,L479))</f>
        <v/>
      </c>
      <c r="M480" s="376" t="str">
        <f>IF(L480="","", IF(ARBITRAGES!$H480="aave",M479+ARBITRAGES!$K480,M479))</f>
        <v/>
      </c>
      <c r="N480" s="378" t="str">
        <f>IF(M480="","", IF(ARBITRAGES!$H480="ckb",N479+ARBITRAGES!$K480,N479))</f>
        <v/>
      </c>
      <c r="O480" s="378" t="str">
        <f>IF(N480="","", IF(ARBITRAGES!$H480="pendle",O479-ARBITRAGES!$K480+0.1,O479))</f>
        <v/>
      </c>
      <c r="P480" s="378" t="str">
        <f>IF(O480="","", IF(ARBITRAGES!$H480="BOME",P479+ARBITRAGES!$K480,P479))</f>
        <v/>
      </c>
      <c r="Q480" s="378" t="str">
        <f>IF(P480="","", IF(ARBITRAGES!$H480="PEPE",Q479+ARBITRAGES!$K480,Q479))</f>
        <v/>
      </c>
      <c r="R480" s="378" t="str">
        <f>IF(Q480="","", IF(ARBITRAGES!$H480="WIF",R479+ARBITRAGES!$K480,R479))</f>
        <v/>
      </c>
      <c r="S480" s="378" t="str">
        <f>IF(R480="","", IF(ARBITRAGES!$H480="RAY",S479+ARBITRAGES!$K480,S479))</f>
        <v/>
      </c>
      <c r="T480" s="360"/>
      <c r="U480" s="360"/>
      <c r="V480" s="360"/>
      <c r="W480" s="360"/>
      <c r="X480" s="360"/>
      <c r="Y480" s="360"/>
      <c r="Z480" s="360"/>
      <c r="AA480" s="360"/>
      <c r="AB480" s="360"/>
      <c r="AC480" s="360"/>
      <c r="AD480" s="360"/>
      <c r="AE480" s="360"/>
      <c r="AF480" s="360"/>
      <c r="AG480" s="360"/>
      <c r="AH480" s="360"/>
    </row>
    <row r="481" ht="18.75" customHeight="1">
      <c r="A481" s="399"/>
      <c r="B481" s="375" t="str">
        <f>IF(A481="","", IF(ARBITRAGES!$H481="BTC",B480+ARBITRAGES!$K481,B480))</f>
        <v/>
      </c>
      <c r="C481" s="375" t="str">
        <f>IF(B481="","", IF(ARBITRAGES!$H481="eth",C480+ARBITRAGES!$K481,C480))</f>
        <v/>
      </c>
      <c r="D481" s="376" t="str">
        <f>IF(C481="","", IF(ARBITRAGES!$H481="ondo",D480+ARBITRAGES!$K481,D480))</f>
        <v/>
      </c>
      <c r="E481" s="376" t="str">
        <f>IF(D481="","", IF(ARBITRAGES!$H481="sol",E480+ARBITRAGES!$K481,E480))</f>
        <v/>
      </c>
      <c r="F481" s="377" t="str">
        <f>IF(E481="","", IF(ARBITRAGES!$H481="tao",F480+ARBITRAGES!$K481,F480))</f>
        <v/>
      </c>
      <c r="G481" s="378" t="str">
        <f>IF(F481="","", IF(ARBITRAGES!$H481="ron",G480+ARBITRAGES!$K481,G480))</f>
        <v/>
      </c>
      <c r="H481" s="378" t="str">
        <f>IF(G481="","", IF(ARBITRAGES!$H481="link",H480+ARBITRAGES!$K481,H480))</f>
        <v/>
      </c>
      <c r="I481" s="378" t="str">
        <f>IF(H481="","", IF(ARBITRAGES!$H481="doge",I480+ARBITRAGES!$K481,I480))</f>
        <v/>
      </c>
      <c r="J481" s="378" t="str">
        <f>IF(I481="","", IF(ARBITRAGES!$H481="shib",J480-ARBITRAGES!$K481,J480))</f>
        <v/>
      </c>
      <c r="K481" s="378" t="str">
        <f>IF(J481="","", IF(ARBITRAGES!$H481="cake",K480+ARBITRAGES!$K481,K480))</f>
        <v/>
      </c>
      <c r="L481" s="378" t="str">
        <f>IF(K481="","", IF(ARBITRAGES!$H481="JUP",L480+ARBITRAGES!$K481,L480))</f>
        <v/>
      </c>
      <c r="M481" s="376" t="str">
        <f>IF(L481="","", IF(ARBITRAGES!$H481="aave",M480+ARBITRAGES!$K481,M480))</f>
        <v/>
      </c>
      <c r="N481" s="378" t="str">
        <f>IF(M481="","", IF(ARBITRAGES!$H481="ckb",N480+ARBITRAGES!$K481,N480))</f>
        <v/>
      </c>
      <c r="O481" s="378" t="str">
        <f>IF(N481="","", IF(ARBITRAGES!$H481="pendle",O480-ARBITRAGES!$K481+0.1,O480))</f>
        <v/>
      </c>
      <c r="P481" s="378" t="str">
        <f>IF(O481="","", IF(ARBITRAGES!$H481="BOME",P480+ARBITRAGES!$K481,P480))</f>
        <v/>
      </c>
      <c r="Q481" s="378" t="str">
        <f>IF(P481="","", IF(ARBITRAGES!$H481="PEPE",Q480+ARBITRAGES!$K481,Q480))</f>
        <v/>
      </c>
      <c r="R481" s="378" t="str">
        <f>IF(Q481="","", IF(ARBITRAGES!$H481="WIF",R480+ARBITRAGES!$K481,R480))</f>
        <v/>
      </c>
      <c r="S481" s="378" t="str">
        <f>IF(R481="","", IF(ARBITRAGES!$H481="RAY",S480+ARBITRAGES!$K481,S480))</f>
        <v/>
      </c>
      <c r="T481" s="360"/>
      <c r="U481" s="360"/>
      <c r="V481" s="360"/>
      <c r="W481" s="360"/>
      <c r="X481" s="360"/>
      <c r="Y481" s="360"/>
      <c r="Z481" s="360"/>
      <c r="AA481" s="360"/>
      <c r="AB481" s="360"/>
      <c r="AC481" s="360"/>
      <c r="AD481" s="360"/>
      <c r="AE481" s="360"/>
      <c r="AF481" s="360"/>
      <c r="AG481" s="360"/>
      <c r="AH481" s="360"/>
    </row>
    <row r="482" ht="18.75" customHeight="1">
      <c r="A482" s="399"/>
      <c r="B482" s="375" t="str">
        <f>IF(A482="","", IF(ARBITRAGES!$H482="BTC",B481+ARBITRAGES!$K482,B481))</f>
        <v/>
      </c>
      <c r="C482" s="375" t="str">
        <f>IF(B482="","", IF(ARBITRAGES!$H482="eth",C481+ARBITRAGES!$K482,C481))</f>
        <v/>
      </c>
      <c r="D482" s="376" t="str">
        <f>IF(C482="","", IF(ARBITRAGES!$H482="ondo",D481+ARBITRAGES!$K482,D481))</f>
        <v/>
      </c>
      <c r="E482" s="376" t="str">
        <f>IF(D482="","", IF(ARBITRAGES!$H482="sol",E481+ARBITRAGES!$K482,E481))</f>
        <v/>
      </c>
      <c r="F482" s="377" t="str">
        <f>IF(E482="","", IF(ARBITRAGES!$H482="tao",F481+ARBITRAGES!$K482,F481))</f>
        <v/>
      </c>
      <c r="G482" s="378" t="str">
        <f>IF(F482="","", IF(ARBITRAGES!$H482="ron",G481+ARBITRAGES!$K482,G481))</f>
        <v/>
      </c>
      <c r="H482" s="378" t="str">
        <f>IF(G482="","", IF(ARBITRAGES!$H482="link",H481+ARBITRAGES!$K482,H481))</f>
        <v/>
      </c>
      <c r="I482" s="378" t="str">
        <f>IF(H482="","", IF(ARBITRAGES!$H482="doge",I481+ARBITRAGES!$K482,I481))</f>
        <v/>
      </c>
      <c r="J482" s="378" t="str">
        <f>IF(I482="","", IF(ARBITRAGES!$H482="shib",J481-ARBITRAGES!$K482,J481))</f>
        <v/>
      </c>
      <c r="K482" s="378" t="str">
        <f>IF(J482="","", IF(ARBITRAGES!$H482="cake",K481+ARBITRAGES!$K482,K481))</f>
        <v/>
      </c>
      <c r="L482" s="378" t="str">
        <f>IF(K482="","", IF(ARBITRAGES!$H482="JUP",L481+ARBITRAGES!$K482,L481))</f>
        <v/>
      </c>
      <c r="M482" s="376" t="str">
        <f>IF(L482="","", IF(ARBITRAGES!$H482="aave",M481+ARBITRAGES!$K482,M481))</f>
        <v/>
      </c>
      <c r="N482" s="378" t="str">
        <f>IF(M482="","", IF(ARBITRAGES!$H482="ckb",N481+ARBITRAGES!$K482,N481))</f>
        <v/>
      </c>
      <c r="O482" s="378" t="str">
        <f>IF(N482="","", IF(ARBITRAGES!$H482="pendle",O481-ARBITRAGES!$K482+0.1,O481))</f>
        <v/>
      </c>
      <c r="P482" s="378" t="str">
        <f>IF(O482="","", IF(ARBITRAGES!$H482="BOME",P481+ARBITRAGES!$K482,P481))</f>
        <v/>
      </c>
      <c r="Q482" s="378" t="str">
        <f>IF(P482="","", IF(ARBITRAGES!$H482="PEPE",Q481+ARBITRAGES!$K482,Q481))</f>
        <v/>
      </c>
      <c r="R482" s="378" t="str">
        <f>IF(Q482="","", IF(ARBITRAGES!$H482="WIF",R481+ARBITRAGES!$K482,R481))</f>
        <v/>
      </c>
      <c r="S482" s="378" t="str">
        <f>IF(R482="","", IF(ARBITRAGES!$H482="RAY",S481+ARBITRAGES!$K482,S481))</f>
        <v/>
      </c>
      <c r="T482" s="360"/>
      <c r="U482" s="360"/>
      <c r="V482" s="360"/>
      <c r="W482" s="360"/>
      <c r="X482" s="360"/>
      <c r="Y482" s="360"/>
      <c r="Z482" s="360"/>
      <c r="AA482" s="360"/>
      <c r="AB482" s="360"/>
      <c r="AC482" s="360"/>
      <c r="AD482" s="360"/>
      <c r="AE482" s="360"/>
      <c r="AF482" s="360"/>
      <c r="AG482" s="360"/>
      <c r="AH482" s="360"/>
    </row>
    <row r="483" ht="18.75" customHeight="1">
      <c r="A483" s="399"/>
      <c r="B483" s="375" t="str">
        <f>IF(A483="","", IF(ARBITRAGES!$H483="BTC",B482+ARBITRAGES!$K483,B482))</f>
        <v/>
      </c>
      <c r="C483" s="375" t="str">
        <f>IF(B483="","", IF(ARBITRAGES!$H483="eth",C482+ARBITRAGES!$K483,C482))</f>
        <v/>
      </c>
      <c r="D483" s="376" t="str">
        <f>IF(C483="","", IF(ARBITRAGES!$H483="ondo",D482+ARBITRAGES!$K483,D482))</f>
        <v/>
      </c>
      <c r="E483" s="376" t="str">
        <f>IF(D483="","", IF(ARBITRAGES!$H483="sol",E482+ARBITRAGES!$K483,E482))</f>
        <v/>
      </c>
      <c r="F483" s="377" t="str">
        <f>IF(E483="","", IF(ARBITRAGES!$H483="tao",F482+ARBITRAGES!$K483,F482))</f>
        <v/>
      </c>
      <c r="G483" s="378" t="str">
        <f>IF(F483="","", IF(ARBITRAGES!$H483="ron",G482+ARBITRAGES!$K483,G482))</f>
        <v/>
      </c>
      <c r="H483" s="378" t="str">
        <f>IF(G483="","", IF(ARBITRAGES!$H483="link",H482+ARBITRAGES!$K483,H482))</f>
        <v/>
      </c>
      <c r="I483" s="378" t="str">
        <f>IF(H483="","", IF(ARBITRAGES!$H483="doge",I482+ARBITRAGES!$K483,I482))</f>
        <v/>
      </c>
      <c r="J483" s="378" t="str">
        <f>IF(I483="","", IF(ARBITRAGES!$H483="shib",J482-ARBITRAGES!$K483,J482))</f>
        <v/>
      </c>
      <c r="K483" s="378" t="str">
        <f>IF(J483="","", IF(ARBITRAGES!$H483="cake",K482+ARBITRAGES!$K483,K482))</f>
        <v/>
      </c>
      <c r="L483" s="378" t="str">
        <f>IF(K483="","", IF(ARBITRAGES!$H483="JUP",L482+ARBITRAGES!$K483,L482))</f>
        <v/>
      </c>
      <c r="M483" s="376" t="str">
        <f>IF(L483="","", IF(ARBITRAGES!$H483="aave",M482+ARBITRAGES!$K483,M482))</f>
        <v/>
      </c>
      <c r="N483" s="378" t="str">
        <f>IF(M483="","", IF(ARBITRAGES!$H483="ckb",N482+ARBITRAGES!$K483,N482))</f>
        <v/>
      </c>
      <c r="O483" s="378" t="str">
        <f>IF(N483="","", IF(ARBITRAGES!$H483="pendle",O482-ARBITRAGES!$K483+0.1,O482))</f>
        <v/>
      </c>
      <c r="P483" s="378" t="str">
        <f>IF(O483="","", IF(ARBITRAGES!$H483="BOME",P482+ARBITRAGES!$K483,P482))</f>
        <v/>
      </c>
      <c r="Q483" s="378" t="str">
        <f>IF(P483="","", IF(ARBITRAGES!$H483="PEPE",Q482+ARBITRAGES!$K483,Q482))</f>
        <v/>
      </c>
      <c r="R483" s="378" t="str">
        <f>IF(Q483="","", IF(ARBITRAGES!$H483="WIF",R482+ARBITRAGES!$K483,R482))</f>
        <v/>
      </c>
      <c r="S483" s="378" t="str">
        <f>IF(R483="","", IF(ARBITRAGES!$H483="RAY",S482+ARBITRAGES!$K483,S482))</f>
        <v/>
      </c>
      <c r="T483" s="360"/>
      <c r="U483" s="360"/>
      <c r="V483" s="360"/>
      <c r="W483" s="360"/>
      <c r="X483" s="360"/>
      <c r="Y483" s="360"/>
      <c r="Z483" s="360"/>
      <c r="AA483" s="360"/>
      <c r="AB483" s="360"/>
      <c r="AC483" s="360"/>
      <c r="AD483" s="360"/>
      <c r="AE483" s="360"/>
      <c r="AF483" s="360"/>
      <c r="AG483" s="360"/>
      <c r="AH483" s="360"/>
    </row>
    <row r="484" ht="18.75" customHeight="1">
      <c r="A484" s="399"/>
      <c r="B484" s="375" t="str">
        <f>IF(A484="","", IF(ARBITRAGES!$H484="BTC",B483+ARBITRAGES!$K484,B483))</f>
        <v/>
      </c>
      <c r="C484" s="375" t="str">
        <f>IF(B484="","", IF(ARBITRAGES!$H484="eth",C483+ARBITRAGES!$K484,C483))</f>
        <v/>
      </c>
      <c r="D484" s="376" t="str">
        <f>IF(C484="","", IF(ARBITRAGES!$H484="ondo",D483+ARBITRAGES!$K484,D483))</f>
        <v/>
      </c>
      <c r="E484" s="376" t="str">
        <f>IF(D484="","", IF(ARBITRAGES!$H484="sol",E483+ARBITRAGES!$K484,E483))</f>
        <v/>
      </c>
      <c r="F484" s="377" t="str">
        <f>IF(E484="","", IF(ARBITRAGES!$H484="tao",F483+ARBITRAGES!$K484,F483))</f>
        <v/>
      </c>
      <c r="G484" s="378" t="str">
        <f>IF(F484="","", IF(ARBITRAGES!$H484="ron",G483+ARBITRAGES!$K484,G483))</f>
        <v/>
      </c>
      <c r="H484" s="378" t="str">
        <f>IF(G484="","", IF(ARBITRAGES!$H484="link",H483+ARBITRAGES!$K484,H483))</f>
        <v/>
      </c>
      <c r="I484" s="378" t="str">
        <f>IF(H484="","", IF(ARBITRAGES!$H484="doge",I483+ARBITRAGES!$K484,I483))</f>
        <v/>
      </c>
      <c r="J484" s="378" t="str">
        <f>IF(I484="","", IF(ARBITRAGES!$H484="shib",J483-ARBITRAGES!$K484,J483))</f>
        <v/>
      </c>
      <c r="K484" s="378" t="str">
        <f>IF(J484="","", IF(ARBITRAGES!$H484="cake",K483+ARBITRAGES!$K484,K483))</f>
        <v/>
      </c>
      <c r="L484" s="378" t="str">
        <f>IF(K484="","", IF(ARBITRAGES!$H484="JUP",L483+ARBITRAGES!$K484,L483))</f>
        <v/>
      </c>
      <c r="M484" s="376" t="str">
        <f>IF(L484="","", IF(ARBITRAGES!$H484="aave",M483+ARBITRAGES!$K484,M483))</f>
        <v/>
      </c>
      <c r="N484" s="378" t="str">
        <f>IF(M484="","", IF(ARBITRAGES!$H484="ckb",N483+ARBITRAGES!$K484,N483))</f>
        <v/>
      </c>
      <c r="O484" s="378" t="str">
        <f>IF(N484="","", IF(ARBITRAGES!$H484="pendle",O483-ARBITRAGES!$K484+0.1,O483))</f>
        <v/>
      </c>
      <c r="P484" s="378" t="str">
        <f>IF(O484="","", IF(ARBITRAGES!$H484="BOME",P483+ARBITRAGES!$K484,P483))</f>
        <v/>
      </c>
      <c r="Q484" s="378" t="str">
        <f>IF(P484="","", IF(ARBITRAGES!$H484="PEPE",Q483+ARBITRAGES!$K484,Q483))</f>
        <v/>
      </c>
      <c r="R484" s="378" t="str">
        <f>IF(Q484="","", IF(ARBITRAGES!$H484="WIF",R483+ARBITRAGES!$K484,R483))</f>
        <v/>
      </c>
      <c r="S484" s="378" t="str">
        <f>IF(R484="","", IF(ARBITRAGES!$H484="RAY",S483+ARBITRAGES!$K484,S483))</f>
        <v/>
      </c>
      <c r="T484" s="360"/>
      <c r="U484" s="360"/>
      <c r="V484" s="360"/>
      <c r="W484" s="360"/>
      <c r="X484" s="360"/>
      <c r="Y484" s="360"/>
      <c r="Z484" s="360"/>
      <c r="AA484" s="360"/>
      <c r="AB484" s="360"/>
      <c r="AC484" s="360"/>
      <c r="AD484" s="360"/>
      <c r="AE484" s="360"/>
      <c r="AF484" s="360"/>
      <c r="AG484" s="360"/>
      <c r="AH484" s="360"/>
    </row>
    <row r="485" ht="18.75" customHeight="1">
      <c r="A485" s="399"/>
      <c r="B485" s="375" t="str">
        <f>IF(A485="","", IF(ARBITRAGES!$H485="BTC",B484+ARBITRAGES!$K485,B484))</f>
        <v/>
      </c>
      <c r="C485" s="375" t="str">
        <f>IF(B485="","", IF(ARBITRAGES!$H485="eth",C484+ARBITRAGES!$K485,C484))</f>
        <v/>
      </c>
      <c r="D485" s="376" t="str">
        <f>IF(C485="","", IF(ARBITRAGES!$H485="ondo",D484+ARBITRAGES!$K485,D484))</f>
        <v/>
      </c>
      <c r="E485" s="376" t="str">
        <f>IF(D485="","", IF(ARBITRAGES!$H485="sol",E484+ARBITRAGES!$K485,E484))</f>
        <v/>
      </c>
      <c r="F485" s="377" t="str">
        <f>IF(E485="","", IF(ARBITRAGES!$H485="tao",F484+ARBITRAGES!$K485,F484))</f>
        <v/>
      </c>
      <c r="G485" s="378" t="str">
        <f>IF(F485="","", IF(ARBITRAGES!$H485="ron",G484+ARBITRAGES!$K485,G484))</f>
        <v/>
      </c>
      <c r="H485" s="378" t="str">
        <f>IF(G485="","", IF(ARBITRAGES!$H485="link",H484+ARBITRAGES!$K485,H484))</f>
        <v/>
      </c>
      <c r="I485" s="378" t="str">
        <f>IF(H485="","", IF(ARBITRAGES!$H485="doge",I484+ARBITRAGES!$K485,I484))</f>
        <v/>
      </c>
      <c r="J485" s="378" t="str">
        <f>IF(I485="","", IF(ARBITRAGES!$H485="shib",J484-ARBITRAGES!$K485,J484))</f>
        <v/>
      </c>
      <c r="K485" s="378" t="str">
        <f>IF(J485="","", IF(ARBITRAGES!$H485="cake",K484+ARBITRAGES!$K485,K484))</f>
        <v/>
      </c>
      <c r="L485" s="378" t="str">
        <f>IF(K485="","", IF(ARBITRAGES!$H485="JUP",L484+ARBITRAGES!$K485,L484))</f>
        <v/>
      </c>
      <c r="M485" s="376" t="str">
        <f>IF(L485="","", IF(ARBITRAGES!$H485="aave",M484+ARBITRAGES!$K485,M484))</f>
        <v/>
      </c>
      <c r="N485" s="378" t="str">
        <f>IF(M485="","", IF(ARBITRAGES!$H485="ckb",N484+ARBITRAGES!$K485,N484))</f>
        <v/>
      </c>
      <c r="O485" s="378" t="str">
        <f>IF(N485="","", IF(ARBITRAGES!$H485="pendle",O484-ARBITRAGES!$K485+0.1,O484))</f>
        <v/>
      </c>
      <c r="P485" s="378" t="str">
        <f>IF(O485="","", IF(ARBITRAGES!$H485="BOME",P484+ARBITRAGES!$K485,P484))</f>
        <v/>
      </c>
      <c r="Q485" s="378" t="str">
        <f>IF(P485="","", IF(ARBITRAGES!$H485="PEPE",Q484+ARBITRAGES!$K485,Q484))</f>
        <v/>
      </c>
      <c r="R485" s="378" t="str">
        <f>IF(Q485="","", IF(ARBITRAGES!$H485="WIF",R484+ARBITRAGES!$K485,R484))</f>
        <v/>
      </c>
      <c r="S485" s="378" t="str">
        <f>IF(R485="","", IF(ARBITRAGES!$H485="RAY",S484+ARBITRAGES!$K485,S484))</f>
        <v/>
      </c>
      <c r="T485" s="360"/>
      <c r="U485" s="360"/>
      <c r="V485" s="360"/>
      <c r="W485" s="360"/>
      <c r="X485" s="360"/>
      <c r="Y485" s="360"/>
      <c r="Z485" s="360"/>
      <c r="AA485" s="360"/>
      <c r="AB485" s="360"/>
      <c r="AC485" s="360"/>
      <c r="AD485" s="360"/>
      <c r="AE485" s="360"/>
      <c r="AF485" s="360"/>
      <c r="AG485" s="360"/>
      <c r="AH485" s="360"/>
    </row>
    <row r="486" ht="18.75" customHeight="1">
      <c r="A486" s="399"/>
      <c r="B486" s="375" t="str">
        <f>IF(A486="","", IF(ARBITRAGES!$H486="BTC",B485+ARBITRAGES!$K486,B485))</f>
        <v/>
      </c>
      <c r="C486" s="375" t="str">
        <f>IF(B486="","", IF(ARBITRAGES!$H486="eth",C485+ARBITRAGES!$K486,C485))</f>
        <v/>
      </c>
      <c r="D486" s="376" t="str">
        <f>IF(C486="","", IF(ARBITRAGES!$H486="ondo",D485+ARBITRAGES!$K486,D485))</f>
        <v/>
      </c>
      <c r="E486" s="376" t="str">
        <f>IF(D486="","", IF(ARBITRAGES!$H486="sol",E485+ARBITRAGES!$K486,E485))</f>
        <v/>
      </c>
      <c r="F486" s="377" t="str">
        <f>IF(E486="","", IF(ARBITRAGES!$H486="tao",F485+ARBITRAGES!$K486,F485))</f>
        <v/>
      </c>
      <c r="G486" s="378" t="str">
        <f>IF(F486="","", IF(ARBITRAGES!$H486="ron",G485+ARBITRAGES!$K486,G485))</f>
        <v/>
      </c>
      <c r="H486" s="378" t="str">
        <f>IF(G486="","", IF(ARBITRAGES!$H486="link",H485+ARBITRAGES!$K486,H485))</f>
        <v/>
      </c>
      <c r="I486" s="378" t="str">
        <f>IF(H486="","", IF(ARBITRAGES!$H486="doge",I485+ARBITRAGES!$K486,I485))</f>
        <v/>
      </c>
      <c r="J486" s="378" t="str">
        <f>IF(I486="","", IF(ARBITRAGES!$H486="shib",J485-ARBITRAGES!$K486,J485))</f>
        <v/>
      </c>
      <c r="K486" s="378" t="str">
        <f>IF(J486="","", IF(ARBITRAGES!$H486="cake",K485+ARBITRAGES!$K486,K485))</f>
        <v/>
      </c>
      <c r="L486" s="378" t="str">
        <f>IF(K486="","", IF(ARBITRAGES!$H486="JUP",L485+ARBITRAGES!$K486,L485))</f>
        <v/>
      </c>
      <c r="M486" s="376" t="str">
        <f>IF(L486="","", IF(ARBITRAGES!$H486="aave",M485+ARBITRAGES!$K486,M485))</f>
        <v/>
      </c>
      <c r="N486" s="378" t="str">
        <f>IF(M486="","", IF(ARBITRAGES!$H486="ckb",N485+ARBITRAGES!$K486,N485))</f>
        <v/>
      </c>
      <c r="O486" s="378" t="str">
        <f>IF(N486="","", IF(ARBITRAGES!$H486="pendle",O485-ARBITRAGES!$K486+0.1,O485))</f>
        <v/>
      </c>
      <c r="P486" s="378" t="str">
        <f>IF(O486="","", IF(ARBITRAGES!$H486="BOME",P485+ARBITRAGES!$K486,P485))</f>
        <v/>
      </c>
      <c r="Q486" s="378" t="str">
        <f>IF(P486="","", IF(ARBITRAGES!$H486="PEPE",Q485+ARBITRAGES!$K486,Q485))</f>
        <v/>
      </c>
      <c r="R486" s="378" t="str">
        <f>IF(Q486="","", IF(ARBITRAGES!$H486="WIF",R485+ARBITRAGES!$K486,R485))</f>
        <v/>
      </c>
      <c r="S486" s="378" t="str">
        <f>IF(R486="","", IF(ARBITRAGES!$H486="RAY",S485+ARBITRAGES!$K486,S485))</f>
        <v/>
      </c>
      <c r="T486" s="360"/>
      <c r="U486" s="360"/>
      <c r="V486" s="360"/>
      <c r="W486" s="360"/>
      <c r="X486" s="360"/>
      <c r="Y486" s="360"/>
      <c r="Z486" s="360"/>
      <c r="AA486" s="360"/>
      <c r="AB486" s="360"/>
      <c r="AC486" s="360"/>
      <c r="AD486" s="360"/>
      <c r="AE486" s="360"/>
      <c r="AF486" s="360"/>
      <c r="AG486" s="360"/>
      <c r="AH486" s="360"/>
    </row>
    <row r="487" ht="18.75" customHeight="1">
      <c r="A487" s="399"/>
      <c r="B487" s="375" t="str">
        <f>IF(A487="","", IF(ARBITRAGES!$H487="BTC",B486+ARBITRAGES!$K487,B486))</f>
        <v/>
      </c>
      <c r="C487" s="375" t="str">
        <f>IF(B487="","", IF(ARBITRAGES!$H487="eth",C486+ARBITRAGES!$K487,C486))</f>
        <v/>
      </c>
      <c r="D487" s="376" t="str">
        <f>IF(C487="","", IF(ARBITRAGES!$H487="ondo",D486+ARBITRAGES!$K487,D486))</f>
        <v/>
      </c>
      <c r="E487" s="376" t="str">
        <f>IF(D487="","", IF(ARBITRAGES!$H487="sol",E486+ARBITRAGES!$K487,E486))</f>
        <v/>
      </c>
      <c r="F487" s="377" t="str">
        <f>IF(E487="","", IF(ARBITRAGES!$H487="tao",F486+ARBITRAGES!$K487,F486))</f>
        <v/>
      </c>
      <c r="G487" s="378" t="str">
        <f>IF(F487="","", IF(ARBITRAGES!$H487="ron",G486+ARBITRAGES!$K487,G486))</f>
        <v/>
      </c>
      <c r="H487" s="378" t="str">
        <f>IF(G487="","", IF(ARBITRAGES!$H487="link",H486+ARBITRAGES!$K487,H486))</f>
        <v/>
      </c>
      <c r="I487" s="378" t="str">
        <f>IF(H487="","", IF(ARBITRAGES!$H487="doge",I486+ARBITRAGES!$K487,I486))</f>
        <v/>
      </c>
      <c r="J487" s="378" t="str">
        <f>IF(I487="","", IF(ARBITRAGES!$H487="shib",J486-ARBITRAGES!$K487,J486))</f>
        <v/>
      </c>
      <c r="K487" s="378" t="str">
        <f>IF(J487="","", IF(ARBITRAGES!$H487="cake",K486+ARBITRAGES!$K487,K486))</f>
        <v/>
      </c>
      <c r="L487" s="378" t="str">
        <f>IF(K487="","", IF(ARBITRAGES!$H487="JUP",L486+ARBITRAGES!$K487,L486))</f>
        <v/>
      </c>
      <c r="M487" s="376" t="str">
        <f>IF(L487="","", IF(ARBITRAGES!$H487="aave",M486+ARBITRAGES!$K487,M486))</f>
        <v/>
      </c>
      <c r="N487" s="378" t="str">
        <f>IF(M487="","", IF(ARBITRAGES!$H487="ckb",N486+ARBITRAGES!$K487,N486))</f>
        <v/>
      </c>
      <c r="O487" s="378" t="str">
        <f>IF(N487="","", IF(ARBITRAGES!$H487="pendle",O486-ARBITRAGES!$K487+0.1,O486))</f>
        <v/>
      </c>
      <c r="P487" s="378" t="str">
        <f>IF(O487="","", IF(ARBITRAGES!$H487="BOME",P486+ARBITRAGES!$K487,P486))</f>
        <v/>
      </c>
      <c r="Q487" s="378" t="str">
        <f>IF(P487="","", IF(ARBITRAGES!$H487="PEPE",Q486+ARBITRAGES!$K487,Q486))</f>
        <v/>
      </c>
      <c r="R487" s="378" t="str">
        <f>IF(Q487="","", IF(ARBITRAGES!$H487="WIF",R486+ARBITRAGES!$K487,R486))</f>
        <v/>
      </c>
      <c r="S487" s="378" t="str">
        <f>IF(R487="","", IF(ARBITRAGES!$H487="RAY",S486+ARBITRAGES!$K487,S486))</f>
        <v/>
      </c>
      <c r="T487" s="360"/>
      <c r="U487" s="360"/>
      <c r="V487" s="360"/>
      <c r="W487" s="360"/>
      <c r="X487" s="360"/>
      <c r="Y487" s="360"/>
      <c r="Z487" s="360"/>
      <c r="AA487" s="360"/>
      <c r="AB487" s="360"/>
      <c r="AC487" s="360"/>
      <c r="AD487" s="360"/>
      <c r="AE487" s="360"/>
      <c r="AF487" s="360"/>
      <c r="AG487" s="360"/>
      <c r="AH487" s="360"/>
    </row>
    <row r="488" ht="18.75" customHeight="1">
      <c r="A488" s="399"/>
      <c r="B488" s="375" t="str">
        <f>IF(A488="","", IF(ARBITRAGES!$H488="BTC",B487+ARBITRAGES!$K488,B487))</f>
        <v/>
      </c>
      <c r="C488" s="375" t="str">
        <f>IF(B488="","", IF(ARBITRAGES!$H488="eth",C487+ARBITRAGES!$K488,C487))</f>
        <v/>
      </c>
      <c r="D488" s="376" t="str">
        <f>IF(C488="","", IF(ARBITRAGES!$H488="ondo",D487+ARBITRAGES!$K488,D487))</f>
        <v/>
      </c>
      <c r="E488" s="376" t="str">
        <f>IF(D488="","", IF(ARBITRAGES!$H488="sol",E487+ARBITRAGES!$K488,E487))</f>
        <v/>
      </c>
      <c r="F488" s="377" t="str">
        <f>IF(E488="","", IF(ARBITRAGES!$H488="tao",F487+ARBITRAGES!$K488,F487))</f>
        <v/>
      </c>
      <c r="G488" s="378" t="str">
        <f>IF(F488="","", IF(ARBITRAGES!$H488="ron",G487+ARBITRAGES!$K488,G487))</f>
        <v/>
      </c>
      <c r="H488" s="378" t="str">
        <f>IF(G488="","", IF(ARBITRAGES!$H488="link",H487+ARBITRAGES!$K488,H487))</f>
        <v/>
      </c>
      <c r="I488" s="378" t="str">
        <f>IF(H488="","", IF(ARBITRAGES!$H488="doge",I487+ARBITRAGES!$K488,I487))</f>
        <v/>
      </c>
      <c r="J488" s="378" t="str">
        <f>IF(I488="","", IF(ARBITRAGES!$H488="shib",J487-ARBITRAGES!$K488,J487))</f>
        <v/>
      </c>
      <c r="K488" s="378" t="str">
        <f>IF(J488="","", IF(ARBITRAGES!$H488="cake",K487+ARBITRAGES!$K488,K487))</f>
        <v/>
      </c>
      <c r="L488" s="378" t="str">
        <f>IF(K488="","", IF(ARBITRAGES!$H488="JUP",L487+ARBITRAGES!$K488,L487))</f>
        <v/>
      </c>
      <c r="M488" s="376" t="str">
        <f>IF(L488="","", IF(ARBITRAGES!$H488="aave",M487+ARBITRAGES!$K488,M487))</f>
        <v/>
      </c>
      <c r="N488" s="378" t="str">
        <f>IF(M488="","", IF(ARBITRAGES!$H488="ckb",N487+ARBITRAGES!$K488,N487))</f>
        <v/>
      </c>
      <c r="O488" s="378" t="str">
        <f>IF(N488="","", IF(ARBITRAGES!$H488="pendle",O487-ARBITRAGES!$K488+0.1,O487))</f>
        <v/>
      </c>
      <c r="P488" s="378" t="str">
        <f>IF(O488="","", IF(ARBITRAGES!$H488="BOME",P487+ARBITRAGES!$K488,P487))</f>
        <v/>
      </c>
      <c r="Q488" s="378" t="str">
        <f>IF(P488="","", IF(ARBITRAGES!$H488="PEPE",Q487+ARBITRAGES!$K488,Q487))</f>
        <v/>
      </c>
      <c r="R488" s="378" t="str">
        <f>IF(Q488="","", IF(ARBITRAGES!$H488="WIF",R487+ARBITRAGES!$K488,R487))</f>
        <v/>
      </c>
      <c r="S488" s="378" t="str">
        <f>IF(R488="","", IF(ARBITRAGES!$H488="RAY",S487+ARBITRAGES!$K488,S487))</f>
        <v/>
      </c>
      <c r="T488" s="360"/>
      <c r="U488" s="360"/>
      <c r="V488" s="360"/>
      <c r="W488" s="360"/>
      <c r="X488" s="360"/>
      <c r="Y488" s="360"/>
      <c r="Z488" s="360"/>
      <c r="AA488" s="360"/>
      <c r="AB488" s="360"/>
      <c r="AC488" s="360"/>
      <c r="AD488" s="360"/>
      <c r="AE488" s="360"/>
      <c r="AF488" s="360"/>
      <c r="AG488" s="360"/>
      <c r="AH488" s="360"/>
    </row>
    <row r="489" ht="18.75" customHeight="1">
      <c r="A489" s="399"/>
      <c r="B489" s="375" t="str">
        <f>IF(A489="","", IF(ARBITRAGES!$H489="BTC",B488+ARBITRAGES!$K489,B488))</f>
        <v/>
      </c>
      <c r="C489" s="375" t="str">
        <f>IF(B489="","", IF(ARBITRAGES!$H489="eth",C488+ARBITRAGES!$K489,C488))</f>
        <v/>
      </c>
      <c r="D489" s="376" t="str">
        <f>IF(C489="","", IF(ARBITRAGES!$H489="ondo",D488+ARBITRAGES!$K489,D488))</f>
        <v/>
      </c>
      <c r="E489" s="376" t="str">
        <f>IF(D489="","", IF(ARBITRAGES!$H489="sol",E488+ARBITRAGES!$K489,E488))</f>
        <v/>
      </c>
      <c r="F489" s="377" t="str">
        <f>IF(E489="","", IF(ARBITRAGES!$H489="tao",F488+ARBITRAGES!$K489,F488))</f>
        <v/>
      </c>
      <c r="G489" s="378" t="str">
        <f>IF(F489="","", IF(ARBITRAGES!$H489="ron",G488+ARBITRAGES!$K489,G488))</f>
        <v/>
      </c>
      <c r="H489" s="378" t="str">
        <f>IF(G489="","", IF(ARBITRAGES!$H489="link",H488+ARBITRAGES!$K489,H488))</f>
        <v/>
      </c>
      <c r="I489" s="378" t="str">
        <f>IF(H489="","", IF(ARBITRAGES!$H489="doge",I488+ARBITRAGES!$K489,I488))</f>
        <v/>
      </c>
      <c r="J489" s="378" t="str">
        <f>IF(I489="","", IF(ARBITRAGES!$H489="shib",J488-ARBITRAGES!$K489,J488))</f>
        <v/>
      </c>
      <c r="K489" s="378" t="str">
        <f>IF(J489="","", IF(ARBITRAGES!$H489="cake",K488+ARBITRAGES!$K489,K488))</f>
        <v/>
      </c>
      <c r="L489" s="378" t="str">
        <f>IF(K489="","", IF(ARBITRAGES!$H489="JUP",L488+ARBITRAGES!$K489,L488))</f>
        <v/>
      </c>
      <c r="M489" s="376" t="str">
        <f>IF(L489="","", IF(ARBITRAGES!$H489="aave",M488+ARBITRAGES!$K489,M488))</f>
        <v/>
      </c>
      <c r="N489" s="378" t="str">
        <f>IF(M489="","", IF(ARBITRAGES!$H489="ckb",N488+ARBITRAGES!$K489,N488))</f>
        <v/>
      </c>
      <c r="O489" s="378" t="str">
        <f>IF(N489="","", IF(ARBITRAGES!$H489="pendle",O488-ARBITRAGES!$K489+0.1,O488))</f>
        <v/>
      </c>
      <c r="P489" s="378" t="str">
        <f>IF(O489="","", IF(ARBITRAGES!$H489="BOME",P488+ARBITRAGES!$K489,P488))</f>
        <v/>
      </c>
      <c r="Q489" s="378" t="str">
        <f>IF(P489="","", IF(ARBITRAGES!$H489="PEPE",Q488+ARBITRAGES!$K489,Q488))</f>
        <v/>
      </c>
      <c r="R489" s="378" t="str">
        <f>IF(Q489="","", IF(ARBITRAGES!$H489="WIF",R488+ARBITRAGES!$K489,R488))</f>
        <v/>
      </c>
      <c r="S489" s="378" t="str">
        <f>IF(R489="","", IF(ARBITRAGES!$H489="RAY",S488+ARBITRAGES!$K489,S488))</f>
        <v/>
      </c>
      <c r="T489" s="360"/>
      <c r="U489" s="360"/>
      <c r="V489" s="360"/>
      <c r="W489" s="360"/>
      <c r="X489" s="360"/>
      <c r="Y489" s="360"/>
      <c r="Z489" s="360"/>
      <c r="AA489" s="360"/>
      <c r="AB489" s="360"/>
      <c r="AC489" s="360"/>
      <c r="AD489" s="360"/>
      <c r="AE489" s="360"/>
      <c r="AF489" s="360"/>
      <c r="AG489" s="360"/>
      <c r="AH489" s="360"/>
    </row>
    <row r="490" ht="18.75" customHeight="1">
      <c r="A490" s="399"/>
      <c r="B490" s="375" t="str">
        <f>IF(A490="","", IF(ARBITRAGES!$H490="BTC",B489+ARBITRAGES!$K490,B489))</f>
        <v/>
      </c>
      <c r="C490" s="375" t="str">
        <f>IF(B490="","", IF(ARBITRAGES!$H490="eth",C489+ARBITRAGES!$K490,C489))</f>
        <v/>
      </c>
      <c r="D490" s="376" t="str">
        <f>IF(C490="","", IF(ARBITRAGES!$H490="ondo",D489+ARBITRAGES!$K490,D489))</f>
        <v/>
      </c>
      <c r="E490" s="376" t="str">
        <f>IF(D490="","", IF(ARBITRAGES!$H490="sol",E489+ARBITRAGES!$K490,E489))</f>
        <v/>
      </c>
      <c r="F490" s="377" t="str">
        <f>IF(E490="","", IF(ARBITRAGES!$H490="tao",F489+ARBITRAGES!$K490,F489))</f>
        <v/>
      </c>
      <c r="G490" s="378" t="str">
        <f>IF(F490="","", IF(ARBITRAGES!$H490="ron",G489+ARBITRAGES!$K490,G489))</f>
        <v/>
      </c>
      <c r="H490" s="378" t="str">
        <f>IF(G490="","", IF(ARBITRAGES!$H490="link",H489+ARBITRAGES!$K490,H489))</f>
        <v/>
      </c>
      <c r="I490" s="378" t="str">
        <f>IF(H490="","", IF(ARBITRAGES!$H490="doge",I489+ARBITRAGES!$K490,I489))</f>
        <v/>
      </c>
      <c r="J490" s="378" t="str">
        <f>IF(I490="","", IF(ARBITRAGES!$H490="shib",J489-ARBITRAGES!$K490,J489))</f>
        <v/>
      </c>
      <c r="K490" s="378" t="str">
        <f>IF(J490="","", IF(ARBITRAGES!$H490="cake",K489+ARBITRAGES!$K490,K489))</f>
        <v/>
      </c>
      <c r="L490" s="378" t="str">
        <f>IF(K490="","", IF(ARBITRAGES!$H490="JUP",L489+ARBITRAGES!$K490,L489))</f>
        <v/>
      </c>
      <c r="M490" s="376" t="str">
        <f>IF(L490="","", IF(ARBITRAGES!$H490="aave",M489+ARBITRAGES!$K490,M489))</f>
        <v/>
      </c>
      <c r="N490" s="378" t="str">
        <f>IF(M490="","", IF(ARBITRAGES!$H490="ckb",N489+ARBITRAGES!$K490,N489))</f>
        <v/>
      </c>
      <c r="O490" s="378" t="str">
        <f>IF(N490="","", IF(ARBITRAGES!$H490="pendle",O489-ARBITRAGES!$K490+0.1,O489))</f>
        <v/>
      </c>
      <c r="P490" s="378" t="str">
        <f>IF(O490="","", IF(ARBITRAGES!$H490="BOME",P489+ARBITRAGES!$K490,P489))</f>
        <v/>
      </c>
      <c r="Q490" s="378" t="str">
        <f>IF(P490="","", IF(ARBITRAGES!$H490="PEPE",Q489+ARBITRAGES!$K490,Q489))</f>
        <v/>
      </c>
      <c r="R490" s="378" t="str">
        <f>IF(Q490="","", IF(ARBITRAGES!$H490="WIF",R489+ARBITRAGES!$K490,R489))</f>
        <v/>
      </c>
      <c r="S490" s="378" t="str">
        <f>IF(R490="","", IF(ARBITRAGES!$H490="RAY",S489+ARBITRAGES!$K490,S489))</f>
        <v/>
      </c>
      <c r="T490" s="360"/>
      <c r="U490" s="360"/>
      <c r="V490" s="360"/>
      <c r="W490" s="360"/>
      <c r="X490" s="360"/>
      <c r="Y490" s="360"/>
      <c r="Z490" s="360"/>
      <c r="AA490" s="360"/>
      <c r="AB490" s="360"/>
      <c r="AC490" s="360"/>
      <c r="AD490" s="360"/>
      <c r="AE490" s="360"/>
      <c r="AF490" s="360"/>
      <c r="AG490" s="360"/>
      <c r="AH490" s="360"/>
    </row>
    <row r="491" ht="18.75" customHeight="1">
      <c r="A491" s="399"/>
      <c r="B491" s="375" t="str">
        <f>IF(A491="","", IF(ARBITRAGES!$H491="BTC",B490+ARBITRAGES!$K491,B490))</f>
        <v/>
      </c>
      <c r="C491" s="375" t="str">
        <f>IF(B491="","", IF(ARBITRAGES!$H491="eth",C490+ARBITRAGES!$K491,C490))</f>
        <v/>
      </c>
      <c r="D491" s="376" t="str">
        <f>IF(C491="","", IF(ARBITRAGES!$H491="ondo",D490+ARBITRAGES!$K491,D490))</f>
        <v/>
      </c>
      <c r="E491" s="376" t="str">
        <f>IF(D491="","", IF(ARBITRAGES!$H491="sol",E490+ARBITRAGES!$K491,E490))</f>
        <v/>
      </c>
      <c r="F491" s="377" t="str">
        <f>IF(E491="","", IF(ARBITRAGES!$H491="tao",F490+ARBITRAGES!$K491,F490))</f>
        <v/>
      </c>
      <c r="G491" s="378" t="str">
        <f>IF(F491="","", IF(ARBITRAGES!$H491="ron",G490+ARBITRAGES!$K491,G490))</f>
        <v/>
      </c>
      <c r="H491" s="378" t="str">
        <f>IF(G491="","", IF(ARBITRAGES!$H491="link",H490+ARBITRAGES!$K491,H490))</f>
        <v/>
      </c>
      <c r="I491" s="378" t="str">
        <f>IF(H491="","", IF(ARBITRAGES!$H491="doge",I490+ARBITRAGES!$K491,I490))</f>
        <v/>
      </c>
      <c r="J491" s="378" t="str">
        <f>IF(I491="","", IF(ARBITRAGES!$H491="shib",J490-ARBITRAGES!$K491,J490))</f>
        <v/>
      </c>
      <c r="K491" s="378" t="str">
        <f>IF(J491="","", IF(ARBITRAGES!$H491="cake",K490+ARBITRAGES!$K491,K490))</f>
        <v/>
      </c>
      <c r="L491" s="378" t="str">
        <f>IF(K491="","", IF(ARBITRAGES!$H491="JUP",L490+ARBITRAGES!$K491,L490))</f>
        <v/>
      </c>
      <c r="M491" s="376" t="str">
        <f>IF(L491="","", IF(ARBITRAGES!$H491="aave",M490+ARBITRAGES!$K491,M490))</f>
        <v/>
      </c>
      <c r="N491" s="378" t="str">
        <f>IF(M491="","", IF(ARBITRAGES!$H491="ckb",N490+ARBITRAGES!$K491,N490))</f>
        <v/>
      </c>
      <c r="O491" s="378" t="str">
        <f>IF(N491="","", IF(ARBITRAGES!$H491="pendle",O490-ARBITRAGES!$K491+0.1,O490))</f>
        <v/>
      </c>
      <c r="P491" s="378" t="str">
        <f>IF(O491="","", IF(ARBITRAGES!$H491="BOME",P490+ARBITRAGES!$K491,P490))</f>
        <v/>
      </c>
      <c r="Q491" s="378" t="str">
        <f>IF(P491="","", IF(ARBITRAGES!$H491="PEPE",Q490+ARBITRAGES!$K491,Q490))</f>
        <v/>
      </c>
      <c r="R491" s="378" t="str">
        <f>IF(Q491="","", IF(ARBITRAGES!$H491="WIF",R490+ARBITRAGES!$K491,R490))</f>
        <v/>
      </c>
      <c r="S491" s="378" t="str">
        <f>IF(R491="","", IF(ARBITRAGES!$H491="RAY",S490+ARBITRAGES!$K491,S490))</f>
        <v/>
      </c>
      <c r="T491" s="360"/>
      <c r="U491" s="360"/>
      <c r="V491" s="360"/>
      <c r="W491" s="360"/>
      <c r="X491" s="360"/>
      <c r="Y491" s="360"/>
      <c r="Z491" s="360"/>
      <c r="AA491" s="360"/>
      <c r="AB491" s="360"/>
      <c r="AC491" s="360"/>
      <c r="AD491" s="360"/>
      <c r="AE491" s="360"/>
      <c r="AF491" s="360"/>
      <c r="AG491" s="360"/>
      <c r="AH491" s="360"/>
    </row>
    <row r="492" ht="18.75" customHeight="1">
      <c r="A492" s="399"/>
      <c r="B492" s="375" t="str">
        <f>IF(A492="","", IF(ARBITRAGES!$H492="BTC",B491+ARBITRAGES!$K492,B491))</f>
        <v/>
      </c>
      <c r="C492" s="375" t="str">
        <f>IF(B492="","", IF(ARBITRAGES!$H492="eth",C491+ARBITRAGES!$K492,C491))</f>
        <v/>
      </c>
      <c r="D492" s="376" t="str">
        <f>IF(C492="","", IF(ARBITRAGES!$H492="ondo",D491+ARBITRAGES!$K492,D491))</f>
        <v/>
      </c>
      <c r="E492" s="376" t="str">
        <f>IF(D492="","", IF(ARBITRAGES!$H492="sol",E491+ARBITRAGES!$K492,E491))</f>
        <v/>
      </c>
      <c r="F492" s="377" t="str">
        <f>IF(E492="","", IF(ARBITRAGES!$H492="tao",F491+ARBITRAGES!$K492,F491))</f>
        <v/>
      </c>
      <c r="G492" s="378" t="str">
        <f>IF(F492="","", IF(ARBITRAGES!$H492="ron",G491+ARBITRAGES!$K492,G491))</f>
        <v/>
      </c>
      <c r="H492" s="378" t="str">
        <f>IF(G492="","", IF(ARBITRAGES!$H492="link",H491+ARBITRAGES!$K492,H491))</f>
        <v/>
      </c>
      <c r="I492" s="378" t="str">
        <f>IF(H492="","", IF(ARBITRAGES!$H492="doge",I491+ARBITRAGES!$K492,I491))</f>
        <v/>
      </c>
      <c r="J492" s="378" t="str">
        <f>IF(I492="","", IF(ARBITRAGES!$H492="shib",J491-ARBITRAGES!$K492,J491))</f>
        <v/>
      </c>
      <c r="K492" s="378" t="str">
        <f>IF(J492="","", IF(ARBITRAGES!$H492="cake",K491+ARBITRAGES!$K492,K491))</f>
        <v/>
      </c>
      <c r="L492" s="378" t="str">
        <f>IF(K492="","", IF(ARBITRAGES!$H492="JUP",L491+ARBITRAGES!$K492,L491))</f>
        <v/>
      </c>
      <c r="M492" s="376" t="str">
        <f>IF(L492="","", IF(ARBITRAGES!$H492="aave",M491+ARBITRAGES!$K492,M491))</f>
        <v/>
      </c>
      <c r="N492" s="378" t="str">
        <f>IF(M492="","", IF(ARBITRAGES!$H492="ckb",N491+ARBITRAGES!$K492,N491))</f>
        <v/>
      </c>
      <c r="O492" s="378" t="str">
        <f>IF(N492="","", IF(ARBITRAGES!$H492="pendle",O491-ARBITRAGES!$K492+0.1,O491))</f>
        <v/>
      </c>
      <c r="P492" s="378" t="str">
        <f>IF(O492="","", IF(ARBITRAGES!$H492="BOME",P491+ARBITRAGES!$K492,P491))</f>
        <v/>
      </c>
      <c r="Q492" s="378" t="str">
        <f>IF(P492="","", IF(ARBITRAGES!$H492="PEPE",Q491+ARBITRAGES!$K492,Q491))</f>
        <v/>
      </c>
      <c r="R492" s="378" t="str">
        <f>IF(Q492="","", IF(ARBITRAGES!$H492="WIF",R491+ARBITRAGES!$K492,R491))</f>
        <v/>
      </c>
      <c r="S492" s="378" t="str">
        <f>IF(R492="","", IF(ARBITRAGES!$H492="RAY",S491+ARBITRAGES!$K492,S491))</f>
        <v/>
      </c>
      <c r="T492" s="360"/>
      <c r="U492" s="360"/>
      <c r="V492" s="360"/>
      <c r="W492" s="360"/>
      <c r="X492" s="360"/>
      <c r="Y492" s="360"/>
      <c r="Z492" s="360"/>
      <c r="AA492" s="360"/>
      <c r="AB492" s="360"/>
      <c r="AC492" s="360"/>
      <c r="AD492" s="360"/>
      <c r="AE492" s="360"/>
      <c r="AF492" s="360"/>
      <c r="AG492" s="360"/>
      <c r="AH492" s="360"/>
    </row>
    <row r="493" ht="18.75" customHeight="1">
      <c r="A493" s="399"/>
      <c r="B493" s="375" t="str">
        <f>IF(A493="","", IF(ARBITRAGES!$H493="BTC",B492+ARBITRAGES!$K493,B492))</f>
        <v/>
      </c>
      <c r="C493" s="375" t="str">
        <f>IF(B493="","", IF(ARBITRAGES!$H493="eth",C492+ARBITRAGES!$K493,C492))</f>
        <v/>
      </c>
      <c r="D493" s="376" t="str">
        <f>IF(C493="","", IF(ARBITRAGES!$H493="ondo",D492+ARBITRAGES!$K493,D492))</f>
        <v/>
      </c>
      <c r="E493" s="376" t="str">
        <f>IF(D493="","", IF(ARBITRAGES!$H493="sol",E492+ARBITRAGES!$K493,E492))</f>
        <v/>
      </c>
      <c r="F493" s="377" t="str">
        <f>IF(E493="","", IF(ARBITRAGES!$H493="tao",F492+ARBITRAGES!$K493,F492))</f>
        <v/>
      </c>
      <c r="G493" s="378" t="str">
        <f>IF(F493="","", IF(ARBITRAGES!$H493="ron",G492+ARBITRAGES!$K493,G492))</f>
        <v/>
      </c>
      <c r="H493" s="378" t="str">
        <f>IF(G493="","", IF(ARBITRAGES!$H493="link",H492+ARBITRAGES!$K493,H492))</f>
        <v/>
      </c>
      <c r="I493" s="378" t="str">
        <f>IF(H493="","", IF(ARBITRAGES!$H493="doge",I492+ARBITRAGES!$K493,I492))</f>
        <v/>
      </c>
      <c r="J493" s="378" t="str">
        <f>IF(I493="","", IF(ARBITRAGES!$H493="shib",J492-ARBITRAGES!$K493,J492))</f>
        <v/>
      </c>
      <c r="K493" s="378" t="str">
        <f>IF(J493="","", IF(ARBITRAGES!$H493="cake",K492+ARBITRAGES!$K493,K492))</f>
        <v/>
      </c>
      <c r="L493" s="378" t="str">
        <f>IF(K493="","", IF(ARBITRAGES!$H493="JUP",L492+ARBITRAGES!$K493,L492))</f>
        <v/>
      </c>
      <c r="M493" s="376" t="str">
        <f>IF(L493="","", IF(ARBITRAGES!$H493="aave",M492+ARBITRAGES!$K493,M492))</f>
        <v/>
      </c>
      <c r="N493" s="378" t="str">
        <f>IF(M493="","", IF(ARBITRAGES!$H493="ckb",N492+ARBITRAGES!$K493,N492))</f>
        <v/>
      </c>
      <c r="O493" s="378" t="str">
        <f>IF(N493="","", IF(ARBITRAGES!$H493="pendle",O492-ARBITRAGES!$K493+0.1,O492))</f>
        <v/>
      </c>
      <c r="P493" s="378" t="str">
        <f>IF(O493="","", IF(ARBITRAGES!$H493="BOME",P492+ARBITRAGES!$K493,P492))</f>
        <v/>
      </c>
      <c r="Q493" s="378" t="str">
        <f>IF(P493="","", IF(ARBITRAGES!$H493="PEPE",Q492+ARBITRAGES!$K493,Q492))</f>
        <v/>
      </c>
      <c r="R493" s="378" t="str">
        <f>IF(Q493="","", IF(ARBITRAGES!$H493="WIF",R492+ARBITRAGES!$K493,R492))</f>
        <v/>
      </c>
      <c r="S493" s="378" t="str">
        <f>IF(R493="","", IF(ARBITRAGES!$H493="RAY",S492+ARBITRAGES!$K493,S492))</f>
        <v/>
      </c>
      <c r="T493" s="360"/>
      <c r="U493" s="360"/>
      <c r="V493" s="360"/>
      <c r="W493" s="360"/>
      <c r="X493" s="360"/>
      <c r="Y493" s="360"/>
      <c r="Z493" s="360"/>
      <c r="AA493" s="360"/>
      <c r="AB493" s="360"/>
      <c r="AC493" s="360"/>
      <c r="AD493" s="360"/>
      <c r="AE493" s="360"/>
      <c r="AF493" s="360"/>
      <c r="AG493" s="360"/>
      <c r="AH493" s="360"/>
    </row>
    <row r="494" ht="18.75" customHeight="1">
      <c r="A494" s="399"/>
      <c r="B494" s="375" t="str">
        <f>IF(A494="","", IF(ARBITRAGES!$H494="BTC",B493+ARBITRAGES!$K494,B493))</f>
        <v/>
      </c>
      <c r="C494" s="375" t="str">
        <f>IF(B494="","", IF(ARBITRAGES!$H494="eth",C493+ARBITRAGES!$K494,C493))</f>
        <v/>
      </c>
      <c r="D494" s="376" t="str">
        <f>IF(C494="","", IF(ARBITRAGES!$H494="ondo",D493+ARBITRAGES!$K494,D493))</f>
        <v/>
      </c>
      <c r="E494" s="376" t="str">
        <f>IF(D494="","", IF(ARBITRAGES!$H494="sol",E493+ARBITRAGES!$K494,E493))</f>
        <v/>
      </c>
      <c r="F494" s="377" t="str">
        <f>IF(E494="","", IF(ARBITRAGES!$H494="tao",F493+ARBITRAGES!$K494,F493))</f>
        <v/>
      </c>
      <c r="G494" s="378" t="str">
        <f>IF(F494="","", IF(ARBITRAGES!$H494="ron",G493+ARBITRAGES!$K494,G493))</f>
        <v/>
      </c>
      <c r="H494" s="378" t="str">
        <f>IF(G494="","", IF(ARBITRAGES!$H494="link",H493+ARBITRAGES!$K494,H493))</f>
        <v/>
      </c>
      <c r="I494" s="378" t="str">
        <f>IF(H494="","", IF(ARBITRAGES!$H494="doge",I493+ARBITRAGES!$K494,I493))</f>
        <v/>
      </c>
      <c r="J494" s="378" t="str">
        <f>IF(I494="","", IF(ARBITRAGES!$H494="shib",J493-ARBITRAGES!$K494,J493))</f>
        <v/>
      </c>
      <c r="K494" s="378" t="str">
        <f>IF(J494="","", IF(ARBITRAGES!$H494="cake",K493+ARBITRAGES!$K494,K493))</f>
        <v/>
      </c>
      <c r="L494" s="378" t="str">
        <f>IF(K494="","", IF(ARBITRAGES!$H494="JUP",L493+ARBITRAGES!$K494,L493))</f>
        <v/>
      </c>
      <c r="M494" s="376" t="str">
        <f>IF(L494="","", IF(ARBITRAGES!$H494="aave",M493+ARBITRAGES!$K494,M493))</f>
        <v/>
      </c>
      <c r="N494" s="378" t="str">
        <f>IF(M494="","", IF(ARBITRAGES!$H494="ckb",N493+ARBITRAGES!$K494,N493))</f>
        <v/>
      </c>
      <c r="O494" s="378" t="str">
        <f>IF(N494="","", IF(ARBITRAGES!$H494="pendle",O493-ARBITRAGES!$K494+0.1,O493))</f>
        <v/>
      </c>
      <c r="P494" s="378" t="str">
        <f>IF(O494="","", IF(ARBITRAGES!$H494="BOME",P493+ARBITRAGES!$K494,P493))</f>
        <v/>
      </c>
      <c r="Q494" s="378" t="str">
        <f>IF(P494="","", IF(ARBITRAGES!$H494="PEPE",Q493+ARBITRAGES!$K494,Q493))</f>
        <v/>
      </c>
      <c r="R494" s="378" t="str">
        <f>IF(Q494="","", IF(ARBITRAGES!$H494="WIF",R493+ARBITRAGES!$K494,R493))</f>
        <v/>
      </c>
      <c r="S494" s="378" t="str">
        <f>IF(R494="","", IF(ARBITRAGES!$H494="RAY",S493+ARBITRAGES!$K494,S493))</f>
        <v/>
      </c>
      <c r="T494" s="360"/>
      <c r="U494" s="360"/>
      <c r="V494" s="360"/>
      <c r="W494" s="360"/>
      <c r="X494" s="360"/>
      <c r="Y494" s="360"/>
      <c r="Z494" s="360"/>
      <c r="AA494" s="360"/>
      <c r="AB494" s="360"/>
      <c r="AC494" s="360"/>
      <c r="AD494" s="360"/>
      <c r="AE494" s="360"/>
      <c r="AF494" s="360"/>
      <c r="AG494" s="360"/>
      <c r="AH494" s="360"/>
    </row>
    <row r="495" ht="18.75" customHeight="1">
      <c r="A495" s="399"/>
      <c r="B495" s="375" t="str">
        <f>IF(A495="","", IF(ARBITRAGES!$H495="BTC",B494+ARBITRAGES!$K495,B494))</f>
        <v/>
      </c>
      <c r="C495" s="375" t="str">
        <f>IF(B495="","", IF(ARBITRAGES!$H495="eth",C494+ARBITRAGES!$K495,C494))</f>
        <v/>
      </c>
      <c r="D495" s="376" t="str">
        <f>IF(C495="","", IF(ARBITRAGES!$H495="ondo",D494+ARBITRAGES!$K495,D494))</f>
        <v/>
      </c>
      <c r="E495" s="376" t="str">
        <f>IF(D495="","", IF(ARBITRAGES!$H495="sol",E494+ARBITRAGES!$K495,E494))</f>
        <v/>
      </c>
      <c r="F495" s="377" t="str">
        <f>IF(E495="","", IF(ARBITRAGES!$H495="tao",F494+ARBITRAGES!$K495,F494))</f>
        <v/>
      </c>
      <c r="G495" s="378" t="str">
        <f>IF(F495="","", IF(ARBITRAGES!$H495="ron",G494+ARBITRAGES!$K495,G494))</f>
        <v/>
      </c>
      <c r="H495" s="378" t="str">
        <f>IF(G495="","", IF(ARBITRAGES!$H495="link",H494+ARBITRAGES!$K495,H494))</f>
        <v/>
      </c>
      <c r="I495" s="378" t="str">
        <f>IF(H495="","", IF(ARBITRAGES!$H495="doge",I494+ARBITRAGES!$K495,I494))</f>
        <v/>
      </c>
      <c r="J495" s="378" t="str">
        <f>IF(I495="","", IF(ARBITRAGES!$H495="shib",J494-ARBITRAGES!$K495,J494))</f>
        <v/>
      </c>
      <c r="K495" s="378" t="str">
        <f>IF(J495="","", IF(ARBITRAGES!$H495="cake",K494+ARBITRAGES!$K495,K494))</f>
        <v/>
      </c>
      <c r="L495" s="378" t="str">
        <f>IF(K495="","", IF(ARBITRAGES!$H495="JUP",L494+ARBITRAGES!$K495,L494))</f>
        <v/>
      </c>
      <c r="M495" s="376" t="str">
        <f>IF(L495="","", IF(ARBITRAGES!$H495="aave",M494+ARBITRAGES!$K495,M494))</f>
        <v/>
      </c>
      <c r="N495" s="378" t="str">
        <f>IF(M495="","", IF(ARBITRAGES!$H495="ckb",N494+ARBITRAGES!$K495,N494))</f>
        <v/>
      </c>
      <c r="O495" s="378" t="str">
        <f>IF(N495="","", IF(ARBITRAGES!$H495="pendle",O494-ARBITRAGES!$K495+0.1,O494))</f>
        <v/>
      </c>
      <c r="P495" s="378" t="str">
        <f>IF(O495="","", IF(ARBITRAGES!$H495="BOME",P494+ARBITRAGES!$K495,P494))</f>
        <v/>
      </c>
      <c r="Q495" s="378" t="str">
        <f>IF(P495="","", IF(ARBITRAGES!$H495="PEPE",Q494+ARBITRAGES!$K495,Q494))</f>
        <v/>
      </c>
      <c r="R495" s="378" t="str">
        <f>IF(Q495="","", IF(ARBITRAGES!$H495="WIF",R494+ARBITRAGES!$K495,R494))</f>
        <v/>
      </c>
      <c r="S495" s="378" t="str">
        <f>IF(R495="","", IF(ARBITRAGES!$H495="RAY",S494+ARBITRAGES!$K495,S494))</f>
        <v/>
      </c>
      <c r="T495" s="360"/>
      <c r="U495" s="360"/>
      <c r="V495" s="360"/>
      <c r="W495" s="360"/>
      <c r="X495" s="360"/>
      <c r="Y495" s="360"/>
      <c r="Z495" s="360"/>
      <c r="AA495" s="360"/>
      <c r="AB495" s="360"/>
      <c r="AC495" s="360"/>
      <c r="AD495" s="360"/>
      <c r="AE495" s="360"/>
      <c r="AF495" s="360"/>
      <c r="AG495" s="360"/>
      <c r="AH495" s="360"/>
    </row>
    <row r="496" ht="18.75" customHeight="1">
      <c r="A496" s="399"/>
      <c r="B496" s="375" t="str">
        <f>IF(A496="","", IF(ARBITRAGES!$H496="BTC",B495+ARBITRAGES!$K496,B495))</f>
        <v/>
      </c>
      <c r="C496" s="375" t="str">
        <f>IF(B496="","", IF(ARBITRAGES!$H496="eth",C495+ARBITRAGES!$K496,C495))</f>
        <v/>
      </c>
      <c r="D496" s="376" t="str">
        <f>IF(C496="","", IF(ARBITRAGES!$H496="ondo",D495+ARBITRAGES!$K496,D495))</f>
        <v/>
      </c>
      <c r="E496" s="376" t="str">
        <f>IF(D496="","", IF(ARBITRAGES!$H496="sol",E495+ARBITRAGES!$K496,E495))</f>
        <v/>
      </c>
      <c r="F496" s="377" t="str">
        <f>IF(E496="","", IF(ARBITRAGES!$H496="tao",F495+ARBITRAGES!$K496,F495))</f>
        <v/>
      </c>
      <c r="G496" s="378" t="str">
        <f>IF(F496="","", IF(ARBITRAGES!$H496="ron",G495+ARBITRAGES!$K496,G495))</f>
        <v/>
      </c>
      <c r="H496" s="378" t="str">
        <f>IF(G496="","", IF(ARBITRAGES!$H496="link",H495+ARBITRAGES!$K496,H495))</f>
        <v/>
      </c>
      <c r="I496" s="378" t="str">
        <f>IF(H496="","", IF(ARBITRAGES!$H496="doge",I495+ARBITRAGES!$K496,I495))</f>
        <v/>
      </c>
      <c r="J496" s="378" t="str">
        <f>IF(I496="","", IF(ARBITRAGES!$H496="shib",J495-ARBITRAGES!$K496,J495))</f>
        <v/>
      </c>
      <c r="K496" s="378" t="str">
        <f>IF(J496="","", IF(ARBITRAGES!$H496="cake",K495+ARBITRAGES!$K496,K495))</f>
        <v/>
      </c>
      <c r="L496" s="378" t="str">
        <f>IF(K496="","", IF(ARBITRAGES!$H496="JUP",L495+ARBITRAGES!$K496,L495))</f>
        <v/>
      </c>
      <c r="M496" s="376" t="str">
        <f>IF(L496="","", IF(ARBITRAGES!$H496="aave",M495+ARBITRAGES!$K496,M495))</f>
        <v/>
      </c>
      <c r="N496" s="378" t="str">
        <f>IF(M496="","", IF(ARBITRAGES!$H496="ckb",N495+ARBITRAGES!$K496,N495))</f>
        <v/>
      </c>
      <c r="O496" s="378" t="str">
        <f>IF(N496="","", IF(ARBITRAGES!$H496="pendle",O495-ARBITRAGES!$K496+0.1,O495))</f>
        <v/>
      </c>
      <c r="P496" s="378"/>
      <c r="Q496" s="378"/>
      <c r="R496" s="378"/>
      <c r="S496" s="378" t="str">
        <f>IF(R496="","", IF(ARBITRAGES!$H496="RAY",S495+ARBITRAGES!$K496,S495))</f>
        <v/>
      </c>
      <c r="T496" s="360"/>
      <c r="U496" s="360"/>
      <c r="V496" s="360"/>
      <c r="W496" s="360"/>
      <c r="X496" s="360"/>
      <c r="Y496" s="360"/>
      <c r="Z496" s="360"/>
      <c r="AA496" s="360"/>
      <c r="AB496" s="360"/>
      <c r="AC496" s="360"/>
      <c r="AD496" s="360"/>
      <c r="AE496" s="360"/>
      <c r="AF496" s="360"/>
      <c r="AG496" s="360"/>
      <c r="AH496" s="360"/>
    </row>
    <row r="497" ht="18.75" customHeight="1">
      <c r="A497" s="399"/>
      <c r="B497" s="375" t="str">
        <f>IF(A497="","", IF(ARBITRAGES!$H497="BTC",B496+ARBITRAGES!$K497,B496))</f>
        <v/>
      </c>
      <c r="C497" s="375" t="str">
        <f>IF(B497="","", IF(ARBITRAGES!$H497="eth",C496+ARBITRAGES!$K497,C496))</f>
        <v/>
      </c>
      <c r="D497" s="376" t="str">
        <f>IF(C497="","", IF(ARBITRAGES!$H497="ondo",D496+ARBITRAGES!$K497,D496))</f>
        <v/>
      </c>
      <c r="E497" s="376" t="str">
        <f>IF(D497="","", IF(ARBITRAGES!$H497="sol",E496+ARBITRAGES!$K497,E496))</f>
        <v/>
      </c>
      <c r="F497" s="377" t="str">
        <f>IF(E497="","", IF(ARBITRAGES!$H497="tao",F496+ARBITRAGES!$K497,F496))</f>
        <v/>
      </c>
      <c r="G497" s="378" t="str">
        <f>IF(F497="","", IF(ARBITRAGES!$H497="ron",G496+ARBITRAGES!$K497,G496))</f>
        <v/>
      </c>
      <c r="H497" s="378" t="str">
        <f>IF(G497="","", IF(ARBITRAGES!$H497="link",H496+ARBITRAGES!$K497,H496))</f>
        <v/>
      </c>
      <c r="I497" s="378" t="str">
        <f>IF(H497="","", IF(ARBITRAGES!$H497="doge",I496+ARBITRAGES!$K497,I496))</f>
        <v/>
      </c>
      <c r="J497" s="378" t="str">
        <f>IF(I497="","", IF(ARBITRAGES!$H497="shib",J496-ARBITRAGES!$K497,J496))</f>
        <v/>
      </c>
      <c r="K497" s="378" t="str">
        <f>IF(J497="","", IF(ARBITRAGES!$H497="cake",K496+ARBITRAGES!$K497,K496))</f>
        <v/>
      </c>
      <c r="L497" s="378" t="str">
        <f>IF(K497="","", IF(ARBITRAGES!$H497="JUP",L496+ARBITRAGES!$K497,L496))</f>
        <v/>
      </c>
      <c r="M497" s="376" t="str">
        <f>IF(L497="","", IF(ARBITRAGES!$H497="aave",M496+ARBITRAGES!$K497,M496))</f>
        <v/>
      </c>
      <c r="N497" s="378" t="str">
        <f>IF(M497="","", IF(ARBITRAGES!$H497="ckb",N496+ARBITRAGES!$K497,N496))</f>
        <v/>
      </c>
      <c r="O497" s="378" t="str">
        <f>IF(N497="","", IF(ARBITRAGES!$H497="pendle",O496-ARBITRAGES!$K497+0.1,O496))</f>
        <v/>
      </c>
      <c r="P497" s="378"/>
      <c r="Q497" s="378"/>
      <c r="R497" s="378"/>
      <c r="S497" s="378" t="str">
        <f>IF(R497="","", IF(ARBITRAGES!$H497="RAY",S496+ARBITRAGES!$K497,S496))</f>
        <v/>
      </c>
      <c r="T497" s="360"/>
      <c r="U497" s="360"/>
      <c r="V497" s="360"/>
      <c r="W497" s="360"/>
      <c r="X497" s="360"/>
      <c r="Y497" s="360"/>
      <c r="Z497" s="360"/>
      <c r="AA497" s="360"/>
      <c r="AB497" s="360"/>
      <c r="AC497" s="360"/>
      <c r="AD497" s="360"/>
      <c r="AE497" s="360"/>
      <c r="AF497" s="360"/>
      <c r="AG497" s="360"/>
      <c r="AH497" s="360"/>
    </row>
    <row r="498" ht="18.75" customHeight="1">
      <c r="A498" s="399"/>
      <c r="B498" s="375" t="str">
        <f>IF(A498="","", IF(ARBITRAGES!$H498="BTC",B497+ARBITRAGES!$K498,B497))</f>
        <v/>
      </c>
      <c r="C498" s="375" t="str">
        <f>IF(B498="","", IF(ARBITRAGES!$H498="eth",C497+ARBITRAGES!$K498,C497))</f>
        <v/>
      </c>
      <c r="D498" s="376" t="str">
        <f>IF(C498="","", IF(ARBITRAGES!$H498="ondo",D497+ARBITRAGES!$K498,D497))</f>
        <v/>
      </c>
      <c r="E498" s="376" t="str">
        <f>IF(D498="","", IF(ARBITRAGES!$H498="sol",E497+ARBITRAGES!$K498,E497))</f>
        <v/>
      </c>
      <c r="F498" s="377" t="str">
        <f>IF(E498="","", IF(ARBITRAGES!$H498="tao",F497+ARBITRAGES!$K498,F497))</f>
        <v/>
      </c>
      <c r="G498" s="378" t="str">
        <f>IF(F498="","", IF(ARBITRAGES!$H498="ron",G497+ARBITRAGES!$K498,G497))</f>
        <v/>
      </c>
      <c r="H498" s="378" t="str">
        <f>IF(G498="","", IF(ARBITRAGES!$H498="link",H497+ARBITRAGES!$K498,H497))</f>
        <v/>
      </c>
      <c r="I498" s="378" t="str">
        <f>IF(H498="","", IF(ARBITRAGES!$H498="doge",I497+ARBITRAGES!$K498,I497))</f>
        <v/>
      </c>
      <c r="J498" s="378" t="str">
        <f>IF(I498="","", IF(ARBITRAGES!$H498="shib",J497-ARBITRAGES!$K498,J497))</f>
        <v/>
      </c>
      <c r="K498" s="378" t="str">
        <f>IF(J498="","", IF(ARBITRAGES!$H498="cake",K497+ARBITRAGES!$K498,K497))</f>
        <v/>
      </c>
      <c r="L498" s="378" t="str">
        <f>IF(K498="","", IF(ARBITRAGES!$H498="JUP",L497+ARBITRAGES!$K498,L497))</f>
        <v/>
      </c>
      <c r="M498" s="376" t="str">
        <f>IF(L498="","", IF(ARBITRAGES!$H498="aave",M497+ARBITRAGES!$K498,M497))</f>
        <v/>
      </c>
      <c r="N498" s="378" t="str">
        <f>IF(M498="","", IF(ARBITRAGES!$H498="ckb",N497+ARBITRAGES!$K498,N497))</f>
        <v/>
      </c>
      <c r="O498" s="378" t="str">
        <f>IF(N498="","", IF(ARBITRAGES!$H498="pendle",O497-ARBITRAGES!$K498+0.1,O497))</f>
        <v/>
      </c>
      <c r="P498" s="378"/>
      <c r="Q498" s="378"/>
      <c r="R498" s="378"/>
      <c r="S498" s="378" t="str">
        <f>IF(R498="","", IF(ARBITRAGES!$H498="RAY",S497+ARBITRAGES!$K498,S497))</f>
        <v/>
      </c>
      <c r="T498" s="360"/>
      <c r="U498" s="360"/>
      <c r="V498" s="360"/>
      <c r="W498" s="360"/>
      <c r="X498" s="360"/>
      <c r="Y498" s="360"/>
      <c r="Z498" s="360"/>
      <c r="AA498" s="360"/>
      <c r="AB498" s="360"/>
      <c r="AC498" s="360"/>
      <c r="AD498" s="360"/>
      <c r="AE498" s="360"/>
      <c r="AF498" s="360"/>
      <c r="AG498" s="360"/>
      <c r="AH498" s="360"/>
    </row>
    <row r="499" ht="18.75" customHeight="1">
      <c r="A499" s="399"/>
      <c r="B499" s="375" t="str">
        <f>IF(A499="","", IF(ARBITRAGES!$H499="BTC",B498+ARBITRAGES!$K499,B498))</f>
        <v/>
      </c>
      <c r="C499" s="375" t="str">
        <f>IF(B499="","", IF(ARBITRAGES!$H499="eth",C498+ARBITRAGES!$K499,C498))</f>
        <v/>
      </c>
      <c r="D499" s="376" t="str">
        <f>IF(C499="","", IF(ARBITRAGES!$H499="ondo",D498+ARBITRAGES!$K499,D498))</f>
        <v/>
      </c>
      <c r="E499" s="376" t="str">
        <f>IF(D499="","", IF(ARBITRAGES!$H499="sol",E498+ARBITRAGES!$K499,E498))</f>
        <v/>
      </c>
      <c r="F499" s="377" t="str">
        <f>IF(E499="","", IF(ARBITRAGES!$H499="tao",F498+ARBITRAGES!$K499,F498))</f>
        <v/>
      </c>
      <c r="G499" s="378" t="str">
        <f>IF(F499="","", IF(ARBITRAGES!$H499="ron",G498+ARBITRAGES!$K499,G498))</f>
        <v/>
      </c>
      <c r="H499" s="378" t="str">
        <f>IF(G499="","", IF(ARBITRAGES!$H499="link",H498+ARBITRAGES!$K499,H498))</f>
        <v/>
      </c>
      <c r="I499" s="378" t="str">
        <f>IF(H499="","", IF(ARBITRAGES!$H499="doge",I498+ARBITRAGES!$K499,I498))</f>
        <v/>
      </c>
      <c r="J499" s="378" t="str">
        <f>IF(I499="","", IF(ARBITRAGES!$H499="shib",J498-ARBITRAGES!$K499,J498))</f>
        <v/>
      </c>
      <c r="K499" s="378" t="str">
        <f>IF(J499="","", IF(ARBITRAGES!$H499="cake",K498+ARBITRAGES!$K499,K498))</f>
        <v/>
      </c>
      <c r="L499" s="378" t="str">
        <f>IF(K499="","", IF(ARBITRAGES!$H499="JUP",L498+ARBITRAGES!$K499,L498))</f>
        <v/>
      </c>
      <c r="M499" s="376" t="str">
        <f>IF(L499="","", IF(ARBITRAGES!$H499="aave",M498+ARBITRAGES!$K499,M498))</f>
        <v/>
      </c>
      <c r="N499" s="378" t="str">
        <f>IF(M499="","", IF(ARBITRAGES!$H499="ckb",N498+ARBITRAGES!$K499,N498))</f>
        <v/>
      </c>
      <c r="O499" s="378" t="str">
        <f>IF(N499="","", IF(ARBITRAGES!$H499="pendle",O498-ARBITRAGES!$K499+0.1,O498))</f>
        <v/>
      </c>
      <c r="P499" s="378"/>
      <c r="Q499" s="378"/>
      <c r="R499" s="378"/>
      <c r="S499" s="378" t="str">
        <f>IF(R499="","", IF(ARBITRAGES!$H499="RAY",S498+ARBITRAGES!$K499,S498))</f>
        <v/>
      </c>
      <c r="T499" s="360"/>
      <c r="U499" s="360"/>
      <c r="V499" s="360"/>
      <c r="W499" s="360"/>
      <c r="X499" s="360"/>
      <c r="Y499" s="360"/>
      <c r="Z499" s="360"/>
      <c r="AA499" s="360"/>
      <c r="AB499" s="360"/>
      <c r="AC499" s="360"/>
      <c r="AD499" s="360"/>
      <c r="AE499" s="360"/>
      <c r="AF499" s="360"/>
      <c r="AG499" s="360"/>
      <c r="AH499" s="360"/>
    </row>
    <row r="500" ht="18.75" customHeight="1">
      <c r="A500" s="399"/>
      <c r="B500" s="375" t="str">
        <f>IF(A500="","", IF(ARBITRAGES!$H500="BTC",B499+ARBITRAGES!$K500,B499))</f>
        <v/>
      </c>
      <c r="C500" s="375" t="str">
        <f>IF(B500="","", IF(ARBITRAGES!$H500="eth",C499+ARBITRAGES!$K500,C499))</f>
        <v/>
      </c>
      <c r="D500" s="376" t="str">
        <f>IF(C500="","", IF(ARBITRAGES!$H500="ondo",D499+ARBITRAGES!$K500,D499))</f>
        <v/>
      </c>
      <c r="E500" s="376" t="str">
        <f>IF(D500="","", IF(ARBITRAGES!$H500="sol",E499+ARBITRAGES!$K500,E499))</f>
        <v/>
      </c>
      <c r="F500" s="377" t="str">
        <f>IF(E500="","", IF(ARBITRAGES!$H500="tao",F499+ARBITRAGES!$K500,F499))</f>
        <v/>
      </c>
      <c r="G500" s="378" t="str">
        <f>IF(F500="","", IF(ARBITRAGES!$H500="ron",G499+ARBITRAGES!$K500,G499))</f>
        <v/>
      </c>
      <c r="H500" s="378" t="str">
        <f>IF(G500="","", IF(ARBITRAGES!$H500="link",H499+ARBITRAGES!$K500,H499))</f>
        <v/>
      </c>
      <c r="I500" s="378" t="str">
        <f>IF(H500="","", IF(ARBITRAGES!$H500="doge",I499+ARBITRAGES!$K500,I499))</f>
        <v/>
      </c>
      <c r="J500" s="378" t="str">
        <f>IF(I500="","", IF(ARBITRAGES!$H500="shib",J499-ARBITRAGES!$K500,J499))</f>
        <v/>
      </c>
      <c r="K500" s="378" t="str">
        <f>IF(J500="","", IF(ARBITRAGES!$H500="cake",K499+ARBITRAGES!$K500,K499))</f>
        <v/>
      </c>
      <c r="L500" s="378" t="str">
        <f>IF(K500="","", IF(ARBITRAGES!$H500="JUP",L499+ARBITRAGES!$K500,L499))</f>
        <v/>
      </c>
      <c r="M500" s="376" t="str">
        <f>IF(L500="","", IF(ARBITRAGES!$H500="aave",M499+ARBITRAGES!$K500,M499))</f>
        <v/>
      </c>
      <c r="N500" s="378" t="str">
        <f>IF(M500="","", IF(ARBITRAGES!$H500="ckb",N499+ARBITRAGES!$K500,N499))</f>
        <v/>
      </c>
      <c r="O500" s="378" t="str">
        <f>IF(N500="","", IF(ARBITRAGES!$H500="pendle",O499-ARBITRAGES!$K500+0.1,O499))</f>
        <v/>
      </c>
      <c r="P500" s="378"/>
      <c r="Q500" s="378"/>
      <c r="R500" s="378"/>
      <c r="S500" s="378" t="str">
        <f>IF(R500="","", IF(ARBITRAGES!$H500="RAY",S499+ARBITRAGES!$K500,S499))</f>
        <v/>
      </c>
      <c r="T500" s="360"/>
      <c r="U500" s="360"/>
      <c r="V500" s="360"/>
      <c r="W500" s="360"/>
      <c r="X500" s="360"/>
      <c r="Y500" s="360"/>
      <c r="Z500" s="360"/>
      <c r="AA500" s="360"/>
      <c r="AB500" s="360"/>
      <c r="AC500" s="360"/>
      <c r="AD500" s="360"/>
      <c r="AE500" s="360"/>
      <c r="AF500" s="360"/>
      <c r="AG500" s="360"/>
      <c r="AH500" s="360"/>
    </row>
    <row r="501" ht="18.75" customHeight="1">
      <c r="A501" s="399"/>
      <c r="B501" s="375" t="str">
        <f>IF(A501="","", IF(ARBITRAGES!$H501="BTC",B500+ARBITRAGES!$K501,B500))</f>
        <v/>
      </c>
      <c r="C501" s="375" t="str">
        <f>IF(B501="","", IF(ARBITRAGES!$H501="eth",C500+ARBITRAGES!$K501,C500))</f>
        <v/>
      </c>
      <c r="D501" s="376" t="str">
        <f>IF(C501="","", IF(ARBITRAGES!$H501="ondo",D500+ARBITRAGES!$K501,D500))</f>
        <v/>
      </c>
      <c r="E501" s="376" t="str">
        <f>IF(D501="","", IF(ARBITRAGES!$H501="sol",E500+ARBITRAGES!$K501,E500))</f>
        <v/>
      </c>
      <c r="F501" s="377" t="str">
        <f>IF(E501="","", IF(ARBITRAGES!$H501="tao",F500+ARBITRAGES!$K501,F500))</f>
        <v/>
      </c>
      <c r="G501" s="378" t="str">
        <f>IF(F501="","", IF(ARBITRAGES!$H501="ron",G500+ARBITRAGES!$K501,G500))</f>
        <v/>
      </c>
      <c r="H501" s="378" t="str">
        <f>IF(G501="","", IF(ARBITRAGES!$H501="link",H500+ARBITRAGES!$K501,H500))</f>
        <v/>
      </c>
      <c r="I501" s="378" t="str">
        <f>IF(H501="","", IF(ARBITRAGES!$H501="doge",I500+ARBITRAGES!$K501,I500))</f>
        <v/>
      </c>
      <c r="J501" s="378" t="str">
        <f>IF(I501="","", IF(ARBITRAGES!$H501="shib",J500-ARBITRAGES!$K501,J500))</f>
        <v/>
      </c>
      <c r="K501" s="378" t="str">
        <f>IF(J501="","", IF(ARBITRAGES!$H501="cake",K500+ARBITRAGES!$K501,K500))</f>
        <v/>
      </c>
      <c r="L501" s="378" t="str">
        <f>IF(K501="","", IF(ARBITRAGES!$H501="JUP",L500+ARBITRAGES!$K501,L500))</f>
        <v/>
      </c>
      <c r="M501" s="376" t="str">
        <f>IF(L501="","", IF(ARBITRAGES!$H501="aave",M500+ARBITRAGES!$K501,M500))</f>
        <v/>
      </c>
      <c r="N501" s="378" t="str">
        <f>IF(M501="","", IF(ARBITRAGES!$H501="ckb",N500+ARBITRAGES!$K501,N500))</f>
        <v/>
      </c>
      <c r="O501" s="378" t="str">
        <f>IF(N501="","", IF(ARBITRAGES!$H501="pendle",O500-ARBITRAGES!$K501+0.1,O500))</f>
        <v/>
      </c>
      <c r="P501" s="378"/>
      <c r="Q501" s="378"/>
      <c r="R501" s="378"/>
      <c r="S501" s="378" t="str">
        <f>IF(R501="","", IF(ARBITRAGES!$H501="RAY",S500+ARBITRAGES!$K501,S500))</f>
        <v/>
      </c>
      <c r="T501" s="360"/>
      <c r="U501" s="360"/>
      <c r="V501" s="360"/>
      <c r="W501" s="360"/>
      <c r="X501" s="360"/>
      <c r="Y501" s="360"/>
      <c r="Z501" s="360"/>
      <c r="AA501" s="360"/>
      <c r="AB501" s="360"/>
      <c r="AC501" s="360"/>
      <c r="AD501" s="360"/>
      <c r="AE501" s="360"/>
      <c r="AF501" s="360"/>
      <c r="AG501" s="360"/>
      <c r="AH501" s="360"/>
    </row>
    <row r="502" ht="18.75" customHeight="1">
      <c r="A502" s="399"/>
      <c r="B502" s="375" t="str">
        <f>IF(A502="","", IF(ARBITRAGES!$H502="BTC",B501+ARBITRAGES!$K502,B501))</f>
        <v/>
      </c>
      <c r="C502" s="375" t="str">
        <f>IF(B502="","", IF(ARBITRAGES!$H502="eth",C501+ARBITRAGES!$K502,C501))</f>
        <v/>
      </c>
      <c r="D502" s="376" t="str">
        <f>IF(C502="","", IF(ARBITRAGES!$H502="ondo",D501+ARBITRAGES!$K502,D501))</f>
        <v/>
      </c>
      <c r="E502" s="376" t="str">
        <f>IF(D502="","", IF(ARBITRAGES!$H502="sol",E501+ARBITRAGES!$K502,E501))</f>
        <v/>
      </c>
      <c r="F502" s="377" t="str">
        <f>IF(E502="","", IF(ARBITRAGES!$H502="tao",F501+ARBITRAGES!$K502,F501))</f>
        <v/>
      </c>
      <c r="G502" s="378" t="str">
        <f>IF(F502="","", IF(ARBITRAGES!$H502="ron",G501+ARBITRAGES!$K502,G501))</f>
        <v/>
      </c>
      <c r="H502" s="378" t="str">
        <f>IF(G502="","", IF(ARBITRAGES!$H502="link",H501+ARBITRAGES!$K502,H501))</f>
        <v/>
      </c>
      <c r="I502" s="378" t="str">
        <f>IF(H502="","", IF(ARBITRAGES!$H502="doge",I501+ARBITRAGES!$K502,I501))</f>
        <v/>
      </c>
      <c r="J502" s="378" t="str">
        <f>IF(I502="","", IF(ARBITRAGES!$H502="shib",J501-ARBITRAGES!$K502,J501))</f>
        <v/>
      </c>
      <c r="K502" s="378" t="str">
        <f>IF(J502="","", IF(ARBITRAGES!$H502="cake",K501+ARBITRAGES!$K502,K501))</f>
        <v/>
      </c>
      <c r="L502" s="378" t="str">
        <f>IF(K502="","", IF(ARBITRAGES!$H502="JUP",L501+ARBITRAGES!$K502,L501))</f>
        <v/>
      </c>
      <c r="M502" s="376" t="str">
        <f>IF(L502="","", IF(ARBITRAGES!$H502="aave",M501+ARBITRAGES!$K502,M501))</f>
        <v/>
      </c>
      <c r="N502" s="378" t="str">
        <f>IF(M502="","", IF(ARBITRAGES!$H502="ckb",N501+ARBITRAGES!$K502,N501))</f>
        <v/>
      </c>
      <c r="O502" s="378" t="str">
        <f>IF(N502="","", IF(ARBITRAGES!$H502="pendle",O501-ARBITRAGES!$K502+0.1,O501))</f>
        <v/>
      </c>
      <c r="P502" s="378"/>
      <c r="Q502" s="378"/>
      <c r="R502" s="378"/>
      <c r="S502" s="378" t="str">
        <f>IF(R502="","", IF(ARBITRAGES!$H502="RAY",S501+ARBITRAGES!$K502,S501))</f>
        <v/>
      </c>
      <c r="T502" s="360"/>
      <c r="U502" s="360"/>
      <c r="V502" s="360"/>
      <c r="W502" s="360"/>
      <c r="X502" s="360"/>
      <c r="Y502" s="360"/>
      <c r="Z502" s="360"/>
      <c r="AA502" s="360"/>
      <c r="AB502" s="360"/>
      <c r="AC502" s="360"/>
      <c r="AD502" s="360"/>
      <c r="AE502" s="360"/>
      <c r="AF502" s="360"/>
      <c r="AG502" s="360"/>
      <c r="AH502" s="360"/>
    </row>
    <row r="503" ht="18.75" customHeight="1">
      <c r="A503" s="399"/>
      <c r="B503" s="375" t="str">
        <f>IF(A503="","", IF(ARBITRAGES!$H503="BTC",B502+ARBITRAGES!$K503,B502))</f>
        <v/>
      </c>
      <c r="C503" s="375" t="str">
        <f>IF(B503="","", IF(ARBITRAGES!$H503="eth",C502+ARBITRAGES!$K503,C502))</f>
        <v/>
      </c>
      <c r="D503" s="376" t="str">
        <f>IF(C503="","", IF(ARBITRAGES!$H503="ondo",D502+ARBITRAGES!$K503,D502))</f>
        <v/>
      </c>
      <c r="E503" s="376" t="str">
        <f>IF(D503="","", IF(ARBITRAGES!$H503="sol",E502+ARBITRAGES!$K503,E502))</f>
        <v/>
      </c>
      <c r="F503" s="377" t="str">
        <f>IF(E503="","", IF(ARBITRAGES!$H503="tao",F502+ARBITRAGES!$K503,F502))</f>
        <v/>
      </c>
      <c r="G503" s="378" t="str">
        <f>IF(F503="","", IF(ARBITRAGES!$H503="ron",G502+ARBITRAGES!$K503,G502))</f>
        <v/>
      </c>
      <c r="H503" s="378" t="str">
        <f>IF(G503="","", IF(ARBITRAGES!$H503="link",H502+ARBITRAGES!$K503,H502))</f>
        <v/>
      </c>
      <c r="I503" s="378" t="str">
        <f>IF(H503="","", IF(ARBITRAGES!$H503="doge",I502+ARBITRAGES!$K503,I502))</f>
        <v/>
      </c>
      <c r="J503" s="378" t="str">
        <f>IF(I503="","", IF(ARBITRAGES!$H503="shib",J502-ARBITRAGES!$K503,J502))</f>
        <v/>
      </c>
      <c r="K503" s="378" t="str">
        <f>IF(J503="","", IF(ARBITRAGES!$H503="cake",K502+ARBITRAGES!$K503,K502))</f>
        <v/>
      </c>
      <c r="L503" s="378" t="str">
        <f>IF(K503="","", IF(ARBITRAGES!$H503="JUP",L502+ARBITRAGES!$K503,L502))</f>
        <v/>
      </c>
      <c r="M503" s="376" t="str">
        <f>IF(L503="","", IF(ARBITRAGES!$H503="aave",M502+ARBITRAGES!$K503,M502))</f>
        <v/>
      </c>
      <c r="N503" s="378" t="str">
        <f>IF(M503="","", IF(ARBITRAGES!$H503="ckb",N502+ARBITRAGES!$K503,N502))</f>
        <v/>
      </c>
      <c r="O503" s="378" t="str">
        <f>IF(N503="","", IF(ARBITRAGES!$H503="pendle",O502-ARBITRAGES!$K503+0.1,O502))</f>
        <v/>
      </c>
      <c r="P503" s="378"/>
      <c r="Q503" s="378"/>
      <c r="R503" s="378"/>
      <c r="S503" s="378" t="str">
        <f>IF(R503="","", IF(ARBITRAGES!$H503="RAY",S502+ARBITRAGES!$K503,S502))</f>
        <v/>
      </c>
      <c r="T503" s="360"/>
      <c r="U503" s="360"/>
      <c r="V503" s="360"/>
      <c r="W503" s="360"/>
      <c r="X503" s="360"/>
      <c r="Y503" s="360"/>
      <c r="Z503" s="360"/>
      <c r="AA503" s="360"/>
      <c r="AB503" s="360"/>
      <c r="AC503" s="360"/>
      <c r="AD503" s="360"/>
      <c r="AE503" s="360"/>
      <c r="AF503" s="360"/>
      <c r="AG503" s="360"/>
      <c r="AH503" s="360"/>
    </row>
    <row r="504" ht="18.75" customHeight="1">
      <c r="A504" s="399"/>
      <c r="B504" s="375" t="str">
        <f>IF(A504="","", IF(ARBITRAGES!$H504="BTC",B503+ARBITRAGES!$K504,B503))</f>
        <v/>
      </c>
      <c r="C504" s="375" t="str">
        <f>IF(B504="","", IF(ARBITRAGES!$H504="eth",C503+ARBITRAGES!$K504,C503))</f>
        <v/>
      </c>
      <c r="D504" s="376" t="str">
        <f>IF(C504="","", IF(ARBITRAGES!$H504="ondo",D503+ARBITRAGES!$K504,D503))</f>
        <v/>
      </c>
      <c r="E504" s="376" t="str">
        <f>IF(D504="","", IF(ARBITRAGES!$H504="sol",E503+ARBITRAGES!$K504,E503))</f>
        <v/>
      </c>
      <c r="F504" s="377" t="str">
        <f>IF(E504="","", IF(ARBITRAGES!$H504="tao",F503+ARBITRAGES!$K504,F503))</f>
        <v/>
      </c>
      <c r="G504" s="378" t="str">
        <f>IF(F504="","", IF(ARBITRAGES!$H504="ron",G503+ARBITRAGES!$K504,G503))</f>
        <v/>
      </c>
      <c r="H504" s="378" t="str">
        <f>IF(G504="","", IF(ARBITRAGES!$H504="link",H503+ARBITRAGES!$K504,H503))</f>
        <v/>
      </c>
      <c r="I504" s="378" t="str">
        <f>IF(H504="","", IF(ARBITRAGES!$H504="doge",I503+ARBITRAGES!$K504,I503))</f>
        <v/>
      </c>
      <c r="J504" s="378" t="str">
        <f>IF(I504="","", IF(ARBITRAGES!$H504="shib",J503-ARBITRAGES!$K504,J503))</f>
        <v/>
      </c>
      <c r="K504" s="378" t="str">
        <f>IF(J504="","", IF(ARBITRAGES!$H504="cake",K503+ARBITRAGES!$K504,K503))</f>
        <v/>
      </c>
      <c r="L504" s="378" t="str">
        <f>IF(K504="","", IF(ARBITRAGES!$H504="JUP",L503+ARBITRAGES!$K504,L503))</f>
        <v/>
      </c>
      <c r="M504" s="376" t="str">
        <f>IF(L504="","", IF(ARBITRAGES!$H504="aave",M503+ARBITRAGES!$K504,M503))</f>
        <v/>
      </c>
      <c r="N504" s="378" t="str">
        <f>IF(M504="","", IF(ARBITRAGES!$H504="ckb",N503+ARBITRAGES!$K504,N503))</f>
        <v/>
      </c>
      <c r="O504" s="378" t="str">
        <f>IF(N504="","", IF(ARBITRAGES!$H504="pendle",O503-ARBITRAGES!$K504+0.1,O503))</f>
        <v/>
      </c>
      <c r="P504" s="378"/>
      <c r="Q504" s="378"/>
      <c r="R504" s="378"/>
      <c r="S504" s="378" t="str">
        <f>IF(R504="","", IF(ARBITRAGES!$H504="RAY",S503+ARBITRAGES!$K504,S503))</f>
        <v/>
      </c>
      <c r="T504" s="360"/>
      <c r="U504" s="360"/>
      <c r="V504" s="360"/>
      <c r="W504" s="360"/>
      <c r="X504" s="360"/>
      <c r="Y504" s="360"/>
      <c r="Z504" s="360"/>
      <c r="AA504" s="360"/>
      <c r="AB504" s="360"/>
      <c r="AC504" s="360"/>
      <c r="AD504" s="360"/>
      <c r="AE504" s="360"/>
      <c r="AF504" s="360"/>
      <c r="AG504" s="360"/>
      <c r="AH504" s="360"/>
    </row>
    <row r="505" ht="18.75" customHeight="1">
      <c r="A505" s="399"/>
      <c r="B505" s="375" t="str">
        <f>IF(A505="","", IF(ARBITRAGES!$H505="BTC",B504+ARBITRAGES!$K505,B504))</f>
        <v/>
      </c>
      <c r="C505" s="375" t="str">
        <f>IF(B505="","", IF(ARBITRAGES!$H505="eth",C504+ARBITRAGES!$K505,C504))</f>
        <v/>
      </c>
      <c r="D505" s="376" t="str">
        <f>IF(C505="","", IF(ARBITRAGES!$H505="ondo",D504+ARBITRAGES!$K505,D504))</f>
        <v/>
      </c>
      <c r="E505" s="376" t="str">
        <f>IF(D505="","", IF(ARBITRAGES!$H505="sol",E504+ARBITRAGES!$K505,E504))</f>
        <v/>
      </c>
      <c r="F505" s="377" t="str">
        <f>IF(E505="","", IF(ARBITRAGES!$H505="tao",F504+ARBITRAGES!$K505,F504))</f>
        <v/>
      </c>
      <c r="G505" s="378" t="str">
        <f>IF(F505="","", IF(ARBITRAGES!$H505="ron",G504+ARBITRAGES!$K505,G504))</f>
        <v/>
      </c>
      <c r="H505" s="378" t="str">
        <f>IF(G505="","", IF(ARBITRAGES!$H505="link",H504+ARBITRAGES!$K505,H504))</f>
        <v/>
      </c>
      <c r="I505" s="378" t="str">
        <f>IF(H505="","", IF(ARBITRAGES!$H505="doge",I504+ARBITRAGES!$K505,I504))</f>
        <v/>
      </c>
      <c r="J505" s="378" t="str">
        <f>IF(I505="","", IF(ARBITRAGES!$H505="shib",J504-ARBITRAGES!$K505,J504))</f>
        <v/>
      </c>
      <c r="K505" s="378" t="str">
        <f>IF(J505="","", IF(ARBITRAGES!$H505="cake",K504+ARBITRAGES!$K505,K504))</f>
        <v/>
      </c>
      <c r="L505" s="378" t="str">
        <f>IF(K505="","", IF(ARBITRAGES!$H505="JUP",L504+ARBITRAGES!$K505,L504))</f>
        <v/>
      </c>
      <c r="M505" s="376" t="str">
        <f>IF(L505="","", IF(ARBITRAGES!$H505="aave",M504+ARBITRAGES!$K505,M504))</f>
        <v/>
      </c>
      <c r="N505" s="378" t="str">
        <f>IF(M505="","", IF(ARBITRAGES!$H505="ckb",N504+ARBITRAGES!$K505,N504))</f>
        <v/>
      </c>
      <c r="O505" s="378" t="str">
        <f>IF(N505="","", IF(ARBITRAGES!$H505="pendle",O504-ARBITRAGES!$K505+0.1,O504))</f>
        <v/>
      </c>
      <c r="P505" s="378"/>
      <c r="Q505" s="378"/>
      <c r="R505" s="378"/>
      <c r="S505" s="378" t="str">
        <f>IF(R505="","", IF(ARBITRAGES!$H505="RAY",S504+ARBITRAGES!$K505,S504))</f>
        <v/>
      </c>
      <c r="T505" s="360"/>
      <c r="U505" s="360"/>
      <c r="V505" s="360"/>
      <c r="W505" s="360"/>
      <c r="X505" s="360"/>
      <c r="Y505" s="360"/>
      <c r="Z505" s="360"/>
      <c r="AA505" s="360"/>
      <c r="AB505" s="360"/>
      <c r="AC505" s="360"/>
      <c r="AD505" s="360"/>
      <c r="AE505" s="360"/>
      <c r="AF505" s="360"/>
      <c r="AG505" s="360"/>
      <c r="AH505" s="360"/>
    </row>
    <row r="506" ht="18.75" customHeight="1">
      <c r="A506" s="399"/>
      <c r="B506" s="375" t="str">
        <f>IF(A506="","", IF(ARBITRAGES!$H506="BTC",B505+ARBITRAGES!$K506,B505))</f>
        <v/>
      </c>
      <c r="C506" s="375" t="str">
        <f>IF(B506="","", IF(ARBITRAGES!$H506="eth",C505+ARBITRAGES!$K506,C505))</f>
        <v/>
      </c>
      <c r="D506" s="376" t="str">
        <f>IF(C506="","", IF(ARBITRAGES!$H506="ondo",D505+ARBITRAGES!$K506,D505))</f>
        <v/>
      </c>
      <c r="E506" s="376" t="str">
        <f>IF(D506="","", IF(ARBITRAGES!$H506="sol",E505+ARBITRAGES!$K506,E505))</f>
        <v/>
      </c>
      <c r="F506" s="377" t="str">
        <f>IF(E506="","", IF(ARBITRAGES!$H506="tao",F505+ARBITRAGES!$K506,F505))</f>
        <v/>
      </c>
      <c r="G506" s="378" t="str">
        <f>IF(F506="","", IF(ARBITRAGES!$H506="ron",G505+ARBITRAGES!$K506,G505))</f>
        <v/>
      </c>
      <c r="H506" s="378" t="str">
        <f>IF(G506="","", IF(ARBITRAGES!$H506="link",H505+ARBITRAGES!$K506,H505))</f>
        <v/>
      </c>
      <c r="I506" s="378" t="str">
        <f>IF(H506="","", IF(ARBITRAGES!$H506="doge",I505+ARBITRAGES!$K506,I505))</f>
        <v/>
      </c>
      <c r="J506" s="378" t="str">
        <f>IF(I506="","", IF(ARBITRAGES!$H506="shib",J505-ARBITRAGES!$K506,J505))</f>
        <v/>
      </c>
      <c r="K506" s="378" t="str">
        <f>IF(J506="","", IF(ARBITRAGES!$H506="cake",K505+ARBITRAGES!$K506,K505))</f>
        <v/>
      </c>
      <c r="L506" s="378" t="str">
        <f>IF(K506="","", IF(ARBITRAGES!$H506="JUP",L505+ARBITRAGES!$K506,L505))</f>
        <v/>
      </c>
      <c r="M506" s="376" t="str">
        <f>IF(L506="","", IF(ARBITRAGES!$H506="aave",M505+ARBITRAGES!$K506,M505))</f>
        <v/>
      </c>
      <c r="N506" s="378" t="str">
        <f>IF(M506="","", IF(ARBITRAGES!$H506="ckb",N505+ARBITRAGES!$K506,N505))</f>
        <v/>
      </c>
      <c r="O506" s="378" t="str">
        <f>IF(N506="","", IF(ARBITRAGES!$H506="pendle",O505-ARBITRAGES!$K506+0.1,O505))</f>
        <v/>
      </c>
      <c r="P506" s="378"/>
      <c r="Q506" s="378"/>
      <c r="R506" s="378"/>
      <c r="S506" s="378" t="str">
        <f>IF(R506="","", IF(ARBITRAGES!$H506="RAY",S505+ARBITRAGES!$K506,S505))</f>
        <v/>
      </c>
      <c r="T506" s="360"/>
      <c r="U506" s="360"/>
      <c r="V506" s="360"/>
      <c r="W506" s="360"/>
      <c r="X506" s="360"/>
      <c r="Y506" s="360"/>
      <c r="Z506" s="360"/>
      <c r="AA506" s="360"/>
      <c r="AB506" s="360"/>
      <c r="AC506" s="360"/>
      <c r="AD506" s="360"/>
      <c r="AE506" s="360"/>
      <c r="AF506" s="360"/>
      <c r="AG506" s="360"/>
      <c r="AH506" s="360"/>
    </row>
    <row r="507" ht="18.75" customHeight="1">
      <c r="A507" s="399"/>
      <c r="B507" s="375" t="str">
        <f>IF(A507="","", IF(ARBITRAGES!$H507="BTC",B506+ARBITRAGES!$K507,B506))</f>
        <v/>
      </c>
      <c r="C507" s="375" t="str">
        <f>IF(B507="","", IF(ARBITRAGES!$H507="eth",C506+ARBITRAGES!$K507,C506))</f>
        <v/>
      </c>
      <c r="D507" s="376" t="str">
        <f>IF(C507="","", IF(ARBITRAGES!$H507="ondo",D506+ARBITRAGES!$K507,D506))</f>
        <v/>
      </c>
      <c r="E507" s="376" t="str">
        <f>IF(D507="","", IF(ARBITRAGES!$H507="sol",E506+ARBITRAGES!$K507,E506))</f>
        <v/>
      </c>
      <c r="F507" s="377" t="str">
        <f>IF(E507="","", IF(ARBITRAGES!$H507="tao",F506+ARBITRAGES!$K507,F506))</f>
        <v/>
      </c>
      <c r="G507" s="378" t="str">
        <f>IF(F507="","", IF(ARBITRAGES!$H507="ron",G506+ARBITRAGES!$K507,G506))</f>
        <v/>
      </c>
      <c r="H507" s="378" t="str">
        <f>IF(G507="","", IF(ARBITRAGES!$H507="link",H506+ARBITRAGES!$K507,H506))</f>
        <v/>
      </c>
      <c r="I507" s="378" t="str">
        <f>IF(H507="","", IF(ARBITRAGES!$H507="doge",I506+ARBITRAGES!$K507,I506))</f>
        <v/>
      </c>
      <c r="J507" s="378" t="str">
        <f>IF(I507="","", IF(ARBITRAGES!$H507="shib",J506-ARBITRAGES!$K507,J506))</f>
        <v/>
      </c>
      <c r="K507" s="378" t="str">
        <f>IF(J507="","", IF(ARBITRAGES!$H507="cake",K506+ARBITRAGES!$K507,K506))</f>
        <v/>
      </c>
      <c r="L507" s="378" t="str">
        <f>IF(K507="","", IF(ARBITRAGES!$H507="JUP",L506+ARBITRAGES!$K507,L506))</f>
        <v/>
      </c>
      <c r="M507" s="376" t="str">
        <f>IF(L507="","", IF(ARBITRAGES!$H507="aave",M506+ARBITRAGES!$K507,M506))</f>
        <v/>
      </c>
      <c r="N507" s="378" t="str">
        <f>IF(M507="","", IF(ARBITRAGES!$H507="ckb",N506+ARBITRAGES!$K507,N506))</f>
        <v/>
      </c>
      <c r="O507" s="378" t="str">
        <f>IF(N507="","", IF(ARBITRAGES!$H507="pendle",O506-ARBITRAGES!$K507+0.1,O506))</f>
        <v/>
      </c>
      <c r="P507" s="378"/>
      <c r="Q507" s="378"/>
      <c r="R507" s="378"/>
      <c r="S507" s="378" t="str">
        <f>IF(R507="","", IF(ARBITRAGES!$H507="RAY",S506+ARBITRAGES!$K507,S506))</f>
        <v/>
      </c>
      <c r="T507" s="360"/>
      <c r="U507" s="360"/>
      <c r="V507" s="360"/>
      <c r="W507" s="360"/>
      <c r="X507" s="360"/>
      <c r="Y507" s="360"/>
      <c r="Z507" s="360"/>
      <c r="AA507" s="360"/>
      <c r="AB507" s="360"/>
      <c r="AC507" s="360"/>
      <c r="AD507" s="360"/>
      <c r="AE507" s="360"/>
      <c r="AF507" s="360"/>
      <c r="AG507" s="360"/>
      <c r="AH507" s="360"/>
    </row>
    <row r="508" ht="18.75" customHeight="1">
      <c r="A508" s="399"/>
      <c r="B508" s="375" t="str">
        <f>IF(A508="","", IF(ARBITRAGES!$H508="BTC",B507+ARBITRAGES!$K508,B507))</f>
        <v/>
      </c>
      <c r="C508" s="375" t="str">
        <f>IF(B508="","", IF(ARBITRAGES!$H508="eth",C507+ARBITRAGES!$K508,C507))</f>
        <v/>
      </c>
      <c r="D508" s="376" t="str">
        <f>IF(C508="","", IF(ARBITRAGES!$H508="ondo",D507+ARBITRAGES!$K508,D507))</f>
        <v/>
      </c>
      <c r="E508" s="376" t="str">
        <f>IF(D508="","", IF(ARBITRAGES!$H508="sol",E507+ARBITRAGES!$K508,E507))</f>
        <v/>
      </c>
      <c r="F508" s="377" t="str">
        <f>IF(E508="","", IF(ARBITRAGES!$H508="tao",F507+ARBITRAGES!$K508,F507))</f>
        <v/>
      </c>
      <c r="G508" s="378" t="str">
        <f>IF(F508="","", IF(ARBITRAGES!$H508="ron",G507+ARBITRAGES!$K508,G507))</f>
        <v/>
      </c>
      <c r="H508" s="378" t="str">
        <f>IF(G508="","", IF(ARBITRAGES!$H508="link",H507+ARBITRAGES!$K508,H507))</f>
        <v/>
      </c>
      <c r="I508" s="378" t="str">
        <f>IF(H508="","", IF(ARBITRAGES!$H508="doge",I507+ARBITRAGES!$K508,I507))</f>
        <v/>
      </c>
      <c r="J508" s="378" t="str">
        <f>IF(I508="","", IF(ARBITRAGES!$H508="shib",J507-ARBITRAGES!$K508,J507))</f>
        <v/>
      </c>
      <c r="K508" s="378" t="str">
        <f>IF(J508="","", IF(ARBITRAGES!$H508="cake",K507+ARBITRAGES!$K508,K507))</f>
        <v/>
      </c>
      <c r="L508" s="378" t="str">
        <f>IF(K508="","", IF(ARBITRAGES!$H508="JUP",L507+ARBITRAGES!$K508,L507))</f>
        <v/>
      </c>
      <c r="M508" s="376" t="str">
        <f>IF(L508="","", IF(ARBITRAGES!$H508="aave",M507+ARBITRAGES!$K508,M507))</f>
        <v/>
      </c>
      <c r="N508" s="378" t="str">
        <f>IF(M508="","", IF(ARBITRAGES!$H508="ckb",N507+ARBITRAGES!$K508,N507))</f>
        <v/>
      </c>
      <c r="O508" s="378" t="str">
        <f>IF(N508="","", IF(ARBITRAGES!$H508="pendle",O507-ARBITRAGES!$K508+0.1,O507))</f>
        <v/>
      </c>
      <c r="P508" s="378"/>
      <c r="Q508" s="378"/>
      <c r="R508" s="378"/>
      <c r="S508" s="378" t="str">
        <f>IF(R508="","", IF(ARBITRAGES!$H508="RAY",S507+ARBITRAGES!$K508,S507))</f>
        <v/>
      </c>
      <c r="T508" s="360"/>
      <c r="U508" s="360"/>
      <c r="V508" s="360"/>
      <c r="W508" s="360"/>
      <c r="X508" s="360"/>
      <c r="Y508" s="360"/>
      <c r="Z508" s="360"/>
      <c r="AA508" s="360"/>
      <c r="AB508" s="360"/>
      <c r="AC508" s="360"/>
      <c r="AD508" s="360"/>
      <c r="AE508" s="360"/>
      <c r="AF508" s="360"/>
      <c r="AG508" s="360"/>
      <c r="AH508" s="360"/>
    </row>
    <row r="509" ht="18.75" customHeight="1">
      <c r="A509" s="399"/>
      <c r="B509" s="375" t="str">
        <f>IF(A509="","", IF(ARBITRAGES!$H509="BTC",B508+ARBITRAGES!$K509,B508))</f>
        <v/>
      </c>
      <c r="C509" s="375" t="str">
        <f>IF(B509="","", IF(ARBITRAGES!$H509="eth",C508+ARBITRAGES!$K509,C508))</f>
        <v/>
      </c>
      <c r="D509" s="376" t="str">
        <f>IF(C509="","", IF(ARBITRAGES!$H509="ondo",D508+ARBITRAGES!$K509,D508))</f>
        <v/>
      </c>
      <c r="E509" s="376" t="str">
        <f>IF(D509="","", IF(ARBITRAGES!$H509="sol",E508+ARBITRAGES!$K509,E508))</f>
        <v/>
      </c>
      <c r="F509" s="377" t="str">
        <f>IF(E509="","", IF(ARBITRAGES!$H509="tao",F508+ARBITRAGES!$K509,F508))</f>
        <v/>
      </c>
      <c r="G509" s="378" t="str">
        <f>IF(F509="","", IF(ARBITRAGES!$H509="ron",G508+ARBITRAGES!$K509,G508))</f>
        <v/>
      </c>
      <c r="H509" s="378" t="str">
        <f>IF(G509="","", IF(ARBITRAGES!$H509="link",H508+ARBITRAGES!$K509,H508))</f>
        <v/>
      </c>
      <c r="I509" s="378" t="str">
        <f>IF(H509="","", IF(ARBITRAGES!$H509="doge",I508+ARBITRAGES!$K509,I508))</f>
        <v/>
      </c>
      <c r="J509" s="378" t="str">
        <f>IF(I509="","", IF(ARBITRAGES!$H509="shib",J508-ARBITRAGES!$K509,J508))</f>
        <v/>
      </c>
      <c r="K509" s="378" t="str">
        <f>IF(J509="","", IF(ARBITRAGES!$H509="cake",K508+ARBITRAGES!$K509,K508))</f>
        <v/>
      </c>
      <c r="L509" s="378" t="str">
        <f>IF(K509="","", IF(ARBITRAGES!$H509="JUP",L508+ARBITRAGES!$K509,L508))</f>
        <v/>
      </c>
      <c r="M509" s="376" t="str">
        <f>IF(L509="","", IF(ARBITRAGES!$H509="aave",M508+ARBITRAGES!$K509,M508))</f>
        <v/>
      </c>
      <c r="N509" s="378" t="str">
        <f>IF(M509="","", IF(ARBITRAGES!$H509="ckb",N508+ARBITRAGES!$K509,N508))</f>
        <v/>
      </c>
      <c r="O509" s="378" t="str">
        <f>IF(N509="","", IF(ARBITRAGES!$H509="pendle",O508-ARBITRAGES!$K509+0.1,O508))</f>
        <v/>
      </c>
      <c r="P509" s="378"/>
      <c r="Q509" s="378"/>
      <c r="R509" s="378"/>
      <c r="S509" s="378" t="str">
        <f>IF(R509="","", IF(ARBITRAGES!$H509="RAY",S508+ARBITRAGES!$K509,S508))</f>
        <v/>
      </c>
      <c r="T509" s="360"/>
      <c r="U509" s="360"/>
      <c r="V509" s="360"/>
      <c r="W509" s="360"/>
      <c r="X509" s="360"/>
      <c r="Y509" s="360"/>
      <c r="Z509" s="360"/>
      <c r="AA509" s="360"/>
      <c r="AB509" s="360"/>
      <c r="AC509" s="360"/>
      <c r="AD509" s="360"/>
      <c r="AE509" s="360"/>
      <c r="AF509" s="360"/>
      <c r="AG509" s="360"/>
      <c r="AH509" s="360"/>
    </row>
    <row r="510" ht="18.75" customHeight="1">
      <c r="A510" s="399"/>
      <c r="B510" s="375" t="str">
        <f>IF(A510="","", IF(ARBITRAGES!$H510="BTC",B509+ARBITRAGES!$K510,B509))</f>
        <v/>
      </c>
      <c r="C510" s="375" t="str">
        <f>IF(B510="","", IF(ARBITRAGES!$H510="eth",C509+ARBITRAGES!$K510,C509))</f>
        <v/>
      </c>
      <c r="D510" s="376" t="str">
        <f>IF(C510="","", IF(ARBITRAGES!$H510="ondo",D509+ARBITRAGES!$K510,D509))</f>
        <v/>
      </c>
      <c r="E510" s="376" t="str">
        <f>IF(D510="","", IF(ARBITRAGES!$H510="sol",E509+ARBITRAGES!$K510,E509))</f>
        <v/>
      </c>
      <c r="F510" s="377" t="str">
        <f>IF(E510="","", IF(ARBITRAGES!$H510="tao",F509+ARBITRAGES!$K510,F509))</f>
        <v/>
      </c>
      <c r="G510" s="378" t="str">
        <f>IF(F510="","", IF(ARBITRAGES!$H510="ron",G509+ARBITRAGES!$K510,G509))</f>
        <v/>
      </c>
      <c r="H510" s="378" t="str">
        <f>IF(G510="","", IF(ARBITRAGES!$H510="link",H509+ARBITRAGES!$K510,H509))</f>
        <v/>
      </c>
      <c r="I510" s="378" t="str">
        <f>IF(H510="","", IF(ARBITRAGES!$H510="doge",I509+ARBITRAGES!$K510,I509))</f>
        <v/>
      </c>
      <c r="J510" s="378" t="str">
        <f>IF(I510="","", IF(ARBITRAGES!$H510="shib",J509-ARBITRAGES!$K510,J509))</f>
        <v/>
      </c>
      <c r="K510" s="378" t="str">
        <f>IF(J510="","", IF(ARBITRAGES!$H510="cake",K509+ARBITRAGES!$K510,K509))</f>
        <v/>
      </c>
      <c r="L510" s="378" t="str">
        <f>IF(K510="","", IF(ARBITRAGES!$H510="JUP",L509+ARBITRAGES!$K510,L509))</f>
        <v/>
      </c>
      <c r="M510" s="376" t="str">
        <f>IF(L510="","", IF(ARBITRAGES!$H510="aave",M509+ARBITRAGES!$K510,M509))</f>
        <v/>
      </c>
      <c r="N510" s="378" t="str">
        <f>IF(M510="","", IF(ARBITRAGES!$H510="ckb",N509+ARBITRAGES!$K510,N509))</f>
        <v/>
      </c>
      <c r="O510" s="378" t="str">
        <f>IF(N510="","", IF(ARBITRAGES!$H510="pendle",O509-ARBITRAGES!$K510+0.1,O509))</f>
        <v/>
      </c>
      <c r="P510" s="378"/>
      <c r="Q510" s="378"/>
      <c r="R510" s="378"/>
      <c r="S510" s="378" t="str">
        <f>IF(R510="","", IF(ARBITRAGES!$H510="RAY",S509+ARBITRAGES!$K510,S509))</f>
        <v/>
      </c>
      <c r="T510" s="360"/>
      <c r="U510" s="360"/>
      <c r="V510" s="360"/>
      <c r="W510" s="360"/>
      <c r="X510" s="360"/>
      <c r="Y510" s="360"/>
      <c r="Z510" s="360"/>
      <c r="AA510" s="360"/>
      <c r="AB510" s="360"/>
      <c r="AC510" s="360"/>
      <c r="AD510" s="360"/>
      <c r="AE510" s="360"/>
      <c r="AF510" s="360"/>
      <c r="AG510" s="360"/>
      <c r="AH510" s="360"/>
    </row>
    <row r="511" ht="18.75" customHeight="1">
      <c r="A511" s="399"/>
      <c r="B511" s="375" t="str">
        <f>IF(A511="","", IF(ARBITRAGES!$H511="BTC",B510+ARBITRAGES!$K511,B510))</f>
        <v/>
      </c>
      <c r="C511" s="375" t="str">
        <f>IF(B511="","", IF(ARBITRAGES!$H511="eth",C510+ARBITRAGES!$K511,C510))</f>
        <v/>
      </c>
      <c r="D511" s="376" t="str">
        <f>IF(C511="","", IF(ARBITRAGES!$H511="ondo",D510+ARBITRAGES!$K511,D510))</f>
        <v/>
      </c>
      <c r="E511" s="376" t="str">
        <f>IF(D511="","", IF(ARBITRAGES!$H511="sol",E510+ARBITRAGES!$K511,E510))</f>
        <v/>
      </c>
      <c r="F511" s="377" t="str">
        <f>IF(E511="","", IF(ARBITRAGES!$H511="tao",F510+ARBITRAGES!$K511,F510))</f>
        <v/>
      </c>
      <c r="G511" s="378" t="str">
        <f>IF(F511="","", IF(ARBITRAGES!$H511="ron",G510+ARBITRAGES!$K511,G510))</f>
        <v/>
      </c>
      <c r="H511" s="378" t="str">
        <f>IF(G511="","", IF(ARBITRAGES!$H511="link",H510+ARBITRAGES!$K511,H510))</f>
        <v/>
      </c>
      <c r="I511" s="378" t="str">
        <f>IF(H511="","", IF(ARBITRAGES!$H511="doge",I510+ARBITRAGES!$K511,I510))</f>
        <v/>
      </c>
      <c r="J511" s="378" t="str">
        <f>IF(I511="","", IF(ARBITRAGES!$H511="shib",J510-ARBITRAGES!$K511,J510))</f>
        <v/>
      </c>
      <c r="K511" s="378" t="str">
        <f>IF(J511="","", IF(ARBITRAGES!$H511="cake",K510+ARBITRAGES!$K511,K510))</f>
        <v/>
      </c>
      <c r="L511" s="378" t="str">
        <f>IF(K511="","", IF(ARBITRAGES!$H511="JUP",L510+ARBITRAGES!$K511,L510))</f>
        <v/>
      </c>
      <c r="M511" s="376" t="str">
        <f>IF(L511="","", IF(ARBITRAGES!$H511="aave",M510+ARBITRAGES!$K511,M510))</f>
        <v/>
      </c>
      <c r="N511" s="378" t="str">
        <f>IF(M511="","", IF(ARBITRAGES!$H511="ckb",N510+ARBITRAGES!$K511,N510))</f>
        <v/>
      </c>
      <c r="O511" s="378" t="str">
        <f>IF(N511="","", IF(ARBITRAGES!$H511="pendle",O510-ARBITRAGES!$K511+0.1,O510))</f>
        <v/>
      </c>
      <c r="P511" s="378"/>
      <c r="Q511" s="378"/>
      <c r="R511" s="378"/>
      <c r="S511" s="378" t="str">
        <f>IF(R511="","", IF(ARBITRAGES!$H511="RAY",S510+ARBITRAGES!$K511,S510))</f>
        <v/>
      </c>
      <c r="T511" s="360"/>
      <c r="U511" s="360"/>
      <c r="V511" s="360"/>
      <c r="W511" s="360"/>
      <c r="X511" s="360"/>
      <c r="Y511" s="360"/>
      <c r="Z511" s="360"/>
      <c r="AA511" s="360"/>
      <c r="AB511" s="360"/>
      <c r="AC511" s="360"/>
      <c r="AD511" s="360"/>
      <c r="AE511" s="360"/>
      <c r="AF511" s="360"/>
      <c r="AG511" s="360"/>
      <c r="AH511" s="360"/>
    </row>
    <row r="512" ht="18.75" customHeight="1">
      <c r="A512" s="399"/>
      <c r="B512" s="375" t="str">
        <f>IF(A512="","", IF(ARBITRAGES!$H512="BTC",B511+ARBITRAGES!$K512,B511))</f>
        <v/>
      </c>
      <c r="C512" s="375" t="str">
        <f>IF(B512="","", IF(ARBITRAGES!$H512="eth",C511+ARBITRAGES!$K512,C511))</f>
        <v/>
      </c>
      <c r="D512" s="376" t="str">
        <f>IF(C512="","", IF(ARBITRAGES!$H512="ondo",D511+ARBITRAGES!$K512,D511))</f>
        <v/>
      </c>
      <c r="E512" s="376" t="str">
        <f>IF(D512="","", IF(ARBITRAGES!$H512="sol",E511+ARBITRAGES!$K512,E511))</f>
        <v/>
      </c>
      <c r="F512" s="377" t="str">
        <f>IF(E512="","", IF(ARBITRAGES!$H512="tao",F511+ARBITRAGES!$K512,F511))</f>
        <v/>
      </c>
      <c r="G512" s="378" t="str">
        <f>IF(F512="","", IF(ARBITRAGES!$H512="ron",G511+ARBITRAGES!$K512,G511))</f>
        <v/>
      </c>
      <c r="H512" s="378" t="str">
        <f>IF(G512="","", IF(ARBITRAGES!$H512="link",H511+ARBITRAGES!$K512,H511))</f>
        <v/>
      </c>
      <c r="I512" s="378" t="str">
        <f>IF(H512="","", IF(ARBITRAGES!$H512="doge",I511+ARBITRAGES!$K512,I511))</f>
        <v/>
      </c>
      <c r="J512" s="378" t="str">
        <f>IF(I512="","", IF(ARBITRAGES!$H512="shib",J511-ARBITRAGES!$K512,J511))</f>
        <v/>
      </c>
      <c r="K512" s="378" t="str">
        <f>IF(J512="","", IF(ARBITRAGES!$H512="cake",K511+ARBITRAGES!$K512,K511))</f>
        <v/>
      </c>
      <c r="L512" s="378" t="str">
        <f>IF(K512="","", IF(ARBITRAGES!$H512="JUP",L511+ARBITRAGES!$K512,L511))</f>
        <v/>
      </c>
      <c r="M512" s="376" t="str">
        <f>IF(L512="","", IF(ARBITRAGES!$H512="aave",M511+ARBITRAGES!$K512,M511))</f>
        <v/>
      </c>
      <c r="N512" s="378" t="str">
        <f>IF(M512="","", IF(ARBITRAGES!$H512="ckb",N511+ARBITRAGES!$K512,N511))</f>
        <v/>
      </c>
      <c r="O512" s="378" t="str">
        <f>IF(N512="","", IF(ARBITRAGES!$H512="pendle",O511-ARBITRAGES!$K512+0.1,O511))</f>
        <v/>
      </c>
      <c r="P512" s="378"/>
      <c r="Q512" s="378"/>
      <c r="R512" s="378"/>
      <c r="S512" s="378" t="str">
        <f>IF(R512="","", IF(ARBITRAGES!$H512="RAY",S511+ARBITRAGES!$K512,S511))</f>
        <v/>
      </c>
      <c r="T512" s="360"/>
      <c r="U512" s="360"/>
      <c r="V512" s="360"/>
      <c r="W512" s="360"/>
      <c r="X512" s="360"/>
      <c r="Y512" s="360"/>
      <c r="Z512" s="360"/>
      <c r="AA512" s="360"/>
      <c r="AB512" s="360"/>
      <c r="AC512" s="360"/>
      <c r="AD512" s="360"/>
      <c r="AE512" s="360"/>
      <c r="AF512" s="360"/>
      <c r="AG512" s="360"/>
      <c r="AH512" s="360"/>
    </row>
    <row r="513" ht="18.75" customHeight="1">
      <c r="A513" s="399"/>
      <c r="B513" s="375" t="str">
        <f>IF(A513="","", IF(ARBITRAGES!$H513="BTC",B512+ARBITRAGES!$K513,B512))</f>
        <v/>
      </c>
      <c r="C513" s="375" t="str">
        <f>IF(B513="","", IF(ARBITRAGES!$H513="eth",C512+ARBITRAGES!$K513,C512))</f>
        <v/>
      </c>
      <c r="D513" s="376" t="str">
        <f>IF(C513="","", IF(ARBITRAGES!$H513="ondo",D512+ARBITRAGES!$K513,D512))</f>
        <v/>
      </c>
      <c r="E513" s="376" t="str">
        <f>IF(D513="","", IF(ARBITRAGES!$H513="sol",E512+ARBITRAGES!$K513,E512))</f>
        <v/>
      </c>
      <c r="F513" s="377" t="str">
        <f>IF(E513="","", IF(ARBITRAGES!$H513="tao",F512+ARBITRAGES!$K513,F512))</f>
        <v/>
      </c>
      <c r="G513" s="378" t="str">
        <f>IF(F513="","", IF(ARBITRAGES!$H513="ron",G512+ARBITRAGES!$K513,G512))</f>
        <v/>
      </c>
      <c r="H513" s="378" t="str">
        <f>IF(G513="","", IF(ARBITRAGES!$H513="link",H512+ARBITRAGES!$K513,H512))</f>
        <v/>
      </c>
      <c r="I513" s="378" t="str">
        <f>IF(H513="","", IF(ARBITRAGES!$H513="doge",I512+ARBITRAGES!$K513,I512))</f>
        <v/>
      </c>
      <c r="J513" s="378" t="str">
        <f>IF(I513="","", IF(ARBITRAGES!$H513="shib",J512-ARBITRAGES!$K513,J512))</f>
        <v/>
      </c>
      <c r="K513" s="378" t="str">
        <f>IF(J513="","", IF(ARBITRAGES!$H513="cake",K512+ARBITRAGES!$K513,K512))</f>
        <v/>
      </c>
      <c r="L513" s="378" t="str">
        <f>IF(K513="","", IF(ARBITRAGES!$H513="JUP",L512+ARBITRAGES!$K513,L512))</f>
        <v/>
      </c>
      <c r="M513" s="376" t="str">
        <f>IF(L513="","", IF(ARBITRAGES!$H513="aave",M512+ARBITRAGES!$K513,M512))</f>
        <v/>
      </c>
      <c r="N513" s="378" t="str">
        <f>IF(M513="","", IF(ARBITRAGES!$H513="ckb",N512+ARBITRAGES!$K513,N512))</f>
        <v/>
      </c>
      <c r="O513" s="378" t="str">
        <f>IF(N513="","", IF(ARBITRAGES!$H513="pendle",O512-ARBITRAGES!$K513+0.1,O512))</f>
        <v/>
      </c>
      <c r="P513" s="378"/>
      <c r="Q513" s="378"/>
      <c r="R513" s="378"/>
      <c r="S513" s="378" t="str">
        <f>IF(R513="","", IF(ARBITRAGES!$H513="RAY",S512+ARBITRAGES!$K513,S512))</f>
        <v/>
      </c>
      <c r="T513" s="360"/>
      <c r="U513" s="360"/>
      <c r="V513" s="360"/>
      <c r="W513" s="360"/>
      <c r="X513" s="360"/>
      <c r="Y513" s="360"/>
      <c r="Z513" s="360"/>
      <c r="AA513" s="360"/>
      <c r="AB513" s="360"/>
      <c r="AC513" s="360"/>
      <c r="AD513" s="360"/>
      <c r="AE513" s="360"/>
      <c r="AF513" s="360"/>
      <c r="AG513" s="360"/>
      <c r="AH513" s="360"/>
    </row>
    <row r="514" ht="18.75" customHeight="1">
      <c r="A514" s="399"/>
      <c r="B514" s="375" t="str">
        <f>IF(A514="","", IF(ARBITRAGES!$H514="BTC",B513+ARBITRAGES!$K514,B513))</f>
        <v/>
      </c>
      <c r="C514" s="375" t="str">
        <f>IF(B514="","", IF(ARBITRAGES!$H514="eth",C513+ARBITRAGES!$K514,C513))</f>
        <v/>
      </c>
      <c r="D514" s="376" t="str">
        <f>IF(C514="","", IF(ARBITRAGES!$H514="ondo",D513+ARBITRAGES!$K514,D513))</f>
        <v/>
      </c>
      <c r="E514" s="376" t="str">
        <f>IF(D514="","", IF(ARBITRAGES!$H514="sol",E513+ARBITRAGES!$K514,E513))</f>
        <v/>
      </c>
      <c r="F514" s="377" t="str">
        <f>IF(E514="","", IF(ARBITRAGES!$H514="tao",F513+ARBITRAGES!$K514,F513))</f>
        <v/>
      </c>
      <c r="G514" s="378" t="str">
        <f>IF(F514="","", IF(ARBITRAGES!$H514="ron",G513+ARBITRAGES!$K514,G513))</f>
        <v/>
      </c>
      <c r="H514" s="378" t="str">
        <f>IF(G514="","", IF(ARBITRAGES!$H514="link",H513+ARBITRAGES!$K514,H513))</f>
        <v/>
      </c>
      <c r="I514" s="378" t="str">
        <f>IF(H514="","", IF(ARBITRAGES!$H514="doge",I513+ARBITRAGES!$K514,I513))</f>
        <v/>
      </c>
      <c r="J514" s="378" t="str">
        <f>IF(I514="","", IF(ARBITRAGES!$H514="shib",J513-ARBITRAGES!$K514,J513))</f>
        <v/>
      </c>
      <c r="K514" s="378" t="str">
        <f>IF(J514="","", IF(ARBITRAGES!$H514="cake",K513+ARBITRAGES!$K514,K513))</f>
        <v/>
      </c>
      <c r="L514" s="378" t="str">
        <f>IF(K514="","", IF(ARBITRAGES!$H514="JUP",L513+ARBITRAGES!$K514,L513))</f>
        <v/>
      </c>
      <c r="M514" s="376" t="str">
        <f>IF(L514="","", IF(ARBITRAGES!$H514="aave",M513+ARBITRAGES!$K514,M513))</f>
        <v/>
      </c>
      <c r="N514" s="378" t="str">
        <f>IF(M514="","", IF(ARBITRAGES!$H514="ckb",N513+ARBITRAGES!$K514,N513))</f>
        <v/>
      </c>
      <c r="O514" s="378" t="str">
        <f>IF(N514="","", IF(ARBITRAGES!$H514="pendle",O513-ARBITRAGES!$K514+0.1,O513))</f>
        <v/>
      </c>
      <c r="P514" s="378"/>
      <c r="Q514" s="378"/>
      <c r="R514" s="378"/>
      <c r="S514" s="378" t="str">
        <f>IF(R514="","", IF(ARBITRAGES!$H514="RAY",S513+ARBITRAGES!$K514,S513))</f>
        <v/>
      </c>
      <c r="T514" s="360"/>
      <c r="U514" s="360"/>
      <c r="V514" s="360"/>
      <c r="W514" s="360"/>
      <c r="X514" s="360"/>
      <c r="Y514" s="360"/>
      <c r="Z514" s="360"/>
      <c r="AA514" s="360"/>
      <c r="AB514" s="360"/>
      <c r="AC514" s="360"/>
      <c r="AD514" s="360"/>
      <c r="AE514" s="360"/>
      <c r="AF514" s="360"/>
      <c r="AG514" s="360"/>
      <c r="AH514" s="360"/>
    </row>
    <row r="515" ht="18.75" customHeight="1">
      <c r="A515" s="399"/>
      <c r="B515" s="375" t="str">
        <f>IF(A515="","", IF(ARBITRAGES!$H515="BTC",B514+ARBITRAGES!$K515,B514))</f>
        <v/>
      </c>
      <c r="C515" s="375" t="str">
        <f>IF(B515="","", IF(ARBITRAGES!$H515="eth",C514+ARBITRAGES!$K515,C514))</f>
        <v/>
      </c>
      <c r="D515" s="376" t="str">
        <f>IF(C515="","", IF(ARBITRAGES!$H515="ondo",D514+ARBITRAGES!$K515,D514))</f>
        <v/>
      </c>
      <c r="E515" s="376" t="str">
        <f>IF(D515="","", IF(ARBITRAGES!$H515="sol",E514+ARBITRAGES!$K515,E514))</f>
        <v/>
      </c>
      <c r="F515" s="377" t="str">
        <f>IF(E515="","", IF(ARBITRAGES!$H515="tao",F514+ARBITRAGES!$K515,F514))</f>
        <v/>
      </c>
      <c r="G515" s="378" t="str">
        <f>IF(F515="","", IF(ARBITRAGES!$H515="ron",G514+ARBITRAGES!$K515,G514))</f>
        <v/>
      </c>
      <c r="H515" s="378" t="str">
        <f>IF(G515="","", IF(ARBITRAGES!$H515="link",H514+ARBITRAGES!$K515,H514))</f>
        <v/>
      </c>
      <c r="I515" s="378" t="str">
        <f>IF(H515="","", IF(ARBITRAGES!$H515="doge",I514+ARBITRAGES!$K515,I514))</f>
        <v/>
      </c>
      <c r="J515" s="378" t="str">
        <f>IF(I515="","", IF(ARBITRAGES!$H515="shib",J514-ARBITRAGES!$K515,J514))</f>
        <v/>
      </c>
      <c r="K515" s="378" t="str">
        <f>IF(J515="","", IF(ARBITRAGES!$H515="cake",K514+ARBITRAGES!$K515,K514))</f>
        <v/>
      </c>
      <c r="L515" s="378" t="str">
        <f>IF(K515="","", IF(ARBITRAGES!$H515="JUP",L514+ARBITRAGES!$K515,L514))</f>
        <v/>
      </c>
      <c r="M515" s="376" t="str">
        <f>IF(L515="","", IF(ARBITRAGES!$H515="aave",M514+ARBITRAGES!$K515,M514))</f>
        <v/>
      </c>
      <c r="N515" s="378" t="str">
        <f>IF(M515="","", IF(ARBITRAGES!$H515="ckb",N514+ARBITRAGES!$K515,N514))</f>
        <v/>
      </c>
      <c r="O515" s="378" t="str">
        <f>IF(N515="","", IF(ARBITRAGES!$H515="pendle",O514-ARBITRAGES!$K515+0.1,O514))</f>
        <v/>
      </c>
      <c r="P515" s="378"/>
      <c r="Q515" s="378"/>
      <c r="R515" s="378"/>
      <c r="S515" s="378" t="str">
        <f>IF(R515="","", IF(ARBITRAGES!$H515="RAY",S514+ARBITRAGES!$K515,S514))</f>
        <v/>
      </c>
      <c r="T515" s="360"/>
      <c r="U515" s="360"/>
      <c r="V515" s="360"/>
      <c r="W515" s="360"/>
      <c r="X515" s="360"/>
      <c r="Y515" s="360"/>
      <c r="Z515" s="360"/>
      <c r="AA515" s="360"/>
      <c r="AB515" s="360"/>
      <c r="AC515" s="360"/>
      <c r="AD515" s="360"/>
      <c r="AE515" s="360"/>
      <c r="AF515" s="360"/>
      <c r="AG515" s="360"/>
      <c r="AH515" s="360"/>
    </row>
    <row r="516" ht="18.75" customHeight="1">
      <c r="A516" s="399"/>
      <c r="B516" s="375" t="str">
        <f>IF(A516="","", IF(ARBITRAGES!$H516="BTC",B515+ARBITRAGES!$K516,B515))</f>
        <v/>
      </c>
      <c r="C516" s="375" t="str">
        <f>IF(B516="","", IF(ARBITRAGES!$H516="eth",C515+ARBITRAGES!$K516,C515))</f>
        <v/>
      </c>
      <c r="D516" s="376" t="str">
        <f>IF(C516="","", IF(ARBITRAGES!$H516="ondo",D515+ARBITRAGES!$K516,D515))</f>
        <v/>
      </c>
      <c r="E516" s="376" t="str">
        <f>IF(D516="","", IF(ARBITRAGES!$H516="sol",E515+ARBITRAGES!$K516,E515))</f>
        <v/>
      </c>
      <c r="F516" s="377" t="str">
        <f>IF(E516="","", IF(ARBITRAGES!$H516="tao",F515+ARBITRAGES!$K516,F515))</f>
        <v/>
      </c>
      <c r="G516" s="378" t="str">
        <f>IF(F516="","", IF(ARBITRAGES!$H516="ron",G515+ARBITRAGES!$K516,G515))</f>
        <v/>
      </c>
      <c r="H516" s="378" t="str">
        <f>IF(G516="","", IF(ARBITRAGES!$H516="link",H515+ARBITRAGES!$K516,H515))</f>
        <v/>
      </c>
      <c r="I516" s="378" t="str">
        <f>IF(H516="","", IF(ARBITRAGES!$H516="doge",I515+ARBITRAGES!$K516,I515))</f>
        <v/>
      </c>
      <c r="J516" s="378" t="str">
        <f>IF(I516="","", IF(ARBITRAGES!$H516="shib",J515-ARBITRAGES!$K516,J515))</f>
        <v/>
      </c>
      <c r="K516" s="378" t="str">
        <f>IF(J516="","", IF(ARBITRAGES!$H516="cake",K515+ARBITRAGES!$K516,K515))</f>
        <v/>
      </c>
      <c r="L516" s="378" t="str">
        <f>IF(K516="","", IF(ARBITRAGES!$H516="JUP",L515+ARBITRAGES!$K516,L515))</f>
        <v/>
      </c>
      <c r="M516" s="376" t="str">
        <f>IF(L516="","", IF(ARBITRAGES!$H516="aave",M515+ARBITRAGES!$K516,M515))</f>
        <v/>
      </c>
      <c r="N516" s="378" t="str">
        <f>IF(M516="","", IF(ARBITRAGES!$H516="ckb",N515+ARBITRAGES!$K516,N515))</f>
        <v/>
      </c>
      <c r="O516" s="378" t="str">
        <f>IF(N516="","", IF(ARBITRAGES!$H516="pendle",O515-ARBITRAGES!$K516+0.1,O515))</f>
        <v/>
      </c>
      <c r="P516" s="378"/>
      <c r="Q516" s="378"/>
      <c r="R516" s="378"/>
      <c r="S516" s="378" t="str">
        <f>IF(R516="","", IF(ARBITRAGES!$H516="RAY",S515+ARBITRAGES!$K516,S515))</f>
        <v/>
      </c>
      <c r="T516" s="360"/>
      <c r="U516" s="360"/>
      <c r="V516" s="360"/>
      <c r="W516" s="360"/>
      <c r="X516" s="360"/>
      <c r="Y516" s="360"/>
      <c r="Z516" s="360"/>
      <c r="AA516" s="360"/>
      <c r="AB516" s="360"/>
      <c r="AC516" s="360"/>
      <c r="AD516" s="360"/>
      <c r="AE516" s="360"/>
      <c r="AF516" s="360"/>
      <c r="AG516" s="360"/>
      <c r="AH516" s="360"/>
    </row>
    <row r="517" ht="18.75" customHeight="1">
      <c r="A517" s="399"/>
      <c r="B517" s="375" t="str">
        <f>IF(A517="","", IF(ARBITRAGES!$H517="BTC",B516+ARBITRAGES!$K517,B516))</f>
        <v/>
      </c>
      <c r="C517" s="375" t="str">
        <f>IF(B517="","", IF(ARBITRAGES!$H517="eth",C516+ARBITRAGES!$K517,C516))</f>
        <v/>
      </c>
      <c r="D517" s="376" t="str">
        <f>IF(C517="","", IF(ARBITRAGES!$H517="ondo",D516+ARBITRAGES!$K517,D516))</f>
        <v/>
      </c>
      <c r="E517" s="376" t="str">
        <f>IF(D517="","", IF(ARBITRAGES!$H517="sol",E516+ARBITRAGES!$K517,E516))</f>
        <v/>
      </c>
      <c r="F517" s="377" t="str">
        <f>IF(E517="","", IF(ARBITRAGES!$H517="tao",F516+ARBITRAGES!$K517,F516))</f>
        <v/>
      </c>
      <c r="G517" s="378" t="str">
        <f>IF(F517="","", IF(ARBITRAGES!$H517="ron",G516+ARBITRAGES!$K517,G516))</f>
        <v/>
      </c>
      <c r="H517" s="378" t="str">
        <f>IF(G517="","", IF(ARBITRAGES!$H517="link",H516+ARBITRAGES!$K517,H516))</f>
        <v/>
      </c>
      <c r="I517" s="378" t="str">
        <f>IF(H517="","", IF(ARBITRAGES!$H517="doge",I516+ARBITRAGES!$K517,I516))</f>
        <v/>
      </c>
      <c r="J517" s="378" t="str">
        <f>IF(I517="","", IF(ARBITRAGES!$H517="shib",J516-ARBITRAGES!$K517,J516))</f>
        <v/>
      </c>
      <c r="K517" s="378" t="str">
        <f>IF(J517="","", IF(ARBITRAGES!$H517="cake",K516+ARBITRAGES!$K517,K516))</f>
        <v/>
      </c>
      <c r="L517" s="378" t="str">
        <f>IF(K517="","", IF(ARBITRAGES!$H517="JUP",L516+ARBITRAGES!$K517,L516))</f>
        <v/>
      </c>
      <c r="M517" s="376" t="str">
        <f>IF(L517="","", IF(ARBITRAGES!$H517="aave",M516+ARBITRAGES!$K517,M516))</f>
        <v/>
      </c>
      <c r="N517" s="378" t="str">
        <f>IF(M517="","", IF(ARBITRAGES!$H517="ckb",N516+ARBITRAGES!$K517,N516))</f>
        <v/>
      </c>
      <c r="O517" s="378" t="str">
        <f>IF(N517="","", IF(ARBITRAGES!$H517="pendle",O516-ARBITRAGES!$K517+0.1,O516))</f>
        <v/>
      </c>
      <c r="P517" s="378"/>
      <c r="Q517" s="378"/>
      <c r="R517" s="378"/>
      <c r="S517" s="378" t="str">
        <f>IF(R517="","", IF(ARBITRAGES!$H517="RAY",S516+ARBITRAGES!$K517,S516))</f>
        <v/>
      </c>
      <c r="T517" s="360"/>
      <c r="U517" s="360"/>
      <c r="V517" s="360"/>
      <c r="W517" s="360"/>
      <c r="X517" s="360"/>
      <c r="Y517" s="360"/>
      <c r="Z517" s="360"/>
      <c r="AA517" s="360"/>
      <c r="AB517" s="360"/>
      <c r="AC517" s="360"/>
      <c r="AD517" s="360"/>
      <c r="AE517" s="360"/>
      <c r="AF517" s="360"/>
      <c r="AG517" s="360"/>
      <c r="AH517" s="360"/>
    </row>
    <row r="518" ht="18.75" customHeight="1">
      <c r="A518" s="399"/>
      <c r="B518" s="375" t="str">
        <f>IF(A518="","", IF(ARBITRAGES!$H518="BTC",B517+ARBITRAGES!$K518,B517))</f>
        <v/>
      </c>
      <c r="C518" s="375" t="str">
        <f>IF(B518="","", IF(ARBITRAGES!$H518="eth",C517+ARBITRAGES!$K518,C517))</f>
        <v/>
      </c>
      <c r="D518" s="376" t="str">
        <f>IF(C518="","", IF(ARBITRAGES!$H518="ondo",D517+ARBITRAGES!$K518,D517))</f>
        <v/>
      </c>
      <c r="E518" s="376" t="str">
        <f>IF(D518="","", IF(ARBITRAGES!$H518="sol",E517+ARBITRAGES!$K518,E517))</f>
        <v/>
      </c>
      <c r="F518" s="377" t="str">
        <f>IF(E518="","", IF(ARBITRAGES!$H518="tao",F517+ARBITRAGES!$K518,F517))</f>
        <v/>
      </c>
      <c r="G518" s="378" t="str">
        <f>IF(F518="","", IF(ARBITRAGES!$H518="ron",G517+ARBITRAGES!$K518,G517))</f>
        <v/>
      </c>
      <c r="H518" s="378" t="str">
        <f>IF(G518="","", IF(ARBITRAGES!$H518="link",H517+ARBITRAGES!$K518,H517))</f>
        <v/>
      </c>
      <c r="I518" s="378" t="str">
        <f>IF(H518="","", IF(ARBITRAGES!$H518="doge",I517+ARBITRAGES!$K518,I517))</f>
        <v/>
      </c>
      <c r="J518" s="378" t="str">
        <f>IF(I518="","", IF(ARBITRAGES!$H518="shib",J517-ARBITRAGES!$K518,J517))</f>
        <v/>
      </c>
      <c r="K518" s="378" t="str">
        <f>IF(J518="","", IF(ARBITRAGES!$H518="cake",K517+ARBITRAGES!$K518,K517))</f>
        <v/>
      </c>
      <c r="L518" s="378" t="str">
        <f>IF(K518="","", IF(ARBITRAGES!$H518="JUP",L517+ARBITRAGES!$K518,L517))</f>
        <v/>
      </c>
      <c r="M518" s="376" t="str">
        <f>IF(L518="","", IF(ARBITRAGES!$H518="aave",M517+ARBITRAGES!$K518,M517))</f>
        <v/>
      </c>
      <c r="N518" s="378" t="str">
        <f>IF(M518="","", IF(ARBITRAGES!$H518="ckb",N517+ARBITRAGES!$K518,N517))</f>
        <v/>
      </c>
      <c r="O518" s="378" t="str">
        <f>IF(N518="","", IF(ARBITRAGES!$H518="pendle",O517-ARBITRAGES!$K518+0.1,O517))</f>
        <v/>
      </c>
      <c r="P518" s="378"/>
      <c r="Q518" s="378"/>
      <c r="R518" s="378"/>
      <c r="S518" s="378" t="str">
        <f>IF(R518="","", IF(ARBITRAGES!$H518="RAY",S517+ARBITRAGES!$K518,S517))</f>
        <v/>
      </c>
      <c r="T518" s="360"/>
      <c r="U518" s="360"/>
      <c r="V518" s="360"/>
      <c r="W518" s="360"/>
      <c r="X518" s="360"/>
      <c r="Y518" s="360"/>
      <c r="Z518" s="360"/>
      <c r="AA518" s="360"/>
      <c r="AB518" s="360"/>
      <c r="AC518" s="360"/>
      <c r="AD518" s="360"/>
      <c r="AE518" s="360"/>
      <c r="AF518" s="360"/>
      <c r="AG518" s="360"/>
      <c r="AH518" s="360"/>
    </row>
    <row r="519" ht="18.75" customHeight="1">
      <c r="A519" s="399"/>
      <c r="B519" s="375" t="str">
        <f>IF(A519="","", IF(ARBITRAGES!$H519="BTC",B518+ARBITRAGES!$K519,B518))</f>
        <v/>
      </c>
      <c r="C519" s="375" t="str">
        <f>IF(B519="","", IF(ARBITRAGES!$H519="eth",C518+ARBITRAGES!$K519,C518))</f>
        <v/>
      </c>
      <c r="D519" s="376" t="str">
        <f>IF(C519="","", IF(ARBITRAGES!$H519="ondo",D518+ARBITRAGES!$K519,D518))</f>
        <v/>
      </c>
      <c r="E519" s="376" t="str">
        <f>IF(D519="","", IF(ARBITRAGES!$H519="sol",E518+ARBITRAGES!$K519,E518))</f>
        <v/>
      </c>
      <c r="F519" s="377" t="str">
        <f>IF(E519="","", IF(ARBITRAGES!$H519="tao",F518+ARBITRAGES!$K519,F518))</f>
        <v/>
      </c>
      <c r="G519" s="378" t="str">
        <f>IF(F519="","", IF(ARBITRAGES!$H519="ron",G518+ARBITRAGES!$K519,G518))</f>
        <v/>
      </c>
      <c r="H519" s="378" t="str">
        <f>IF(G519="","", IF(ARBITRAGES!$H519="link",H518+ARBITRAGES!$K519,H518))</f>
        <v/>
      </c>
      <c r="I519" s="378" t="str">
        <f>IF(H519="","", IF(ARBITRAGES!$H519="doge",I518+ARBITRAGES!$K519,I518))</f>
        <v/>
      </c>
      <c r="J519" s="378" t="str">
        <f>IF(I519="","", IF(ARBITRAGES!$H519="shib",J518-ARBITRAGES!$K519,J518))</f>
        <v/>
      </c>
      <c r="K519" s="378" t="str">
        <f>IF(J519="","", IF(ARBITRAGES!$H519="cake",K518+ARBITRAGES!$K519,K518))</f>
        <v/>
      </c>
      <c r="L519" s="378" t="str">
        <f>IF(K519="","", IF(ARBITRAGES!$H519="JUP",L518+ARBITRAGES!$K519,L518))</f>
        <v/>
      </c>
      <c r="M519" s="376" t="str">
        <f>IF(L519="","", IF(ARBITRAGES!$H519="aave",M518+ARBITRAGES!$K519,M518))</f>
        <v/>
      </c>
      <c r="N519" s="378" t="str">
        <f>IF(M519="","", IF(ARBITRAGES!$H519="ckb",N518+ARBITRAGES!$K519,N518))</f>
        <v/>
      </c>
      <c r="O519" s="378" t="str">
        <f>IF(N519="","", IF(ARBITRAGES!$H519="pendle",O518-ARBITRAGES!$K519+0.1,O518))</f>
        <v/>
      </c>
      <c r="P519" s="378"/>
      <c r="Q519" s="378"/>
      <c r="R519" s="378"/>
      <c r="S519" s="378" t="str">
        <f>IF(R519="","", IF(ARBITRAGES!$H519="RAY",S518+ARBITRAGES!$K519,S518))</f>
        <v/>
      </c>
      <c r="T519" s="360"/>
      <c r="U519" s="360"/>
      <c r="V519" s="360"/>
      <c r="W519" s="360"/>
      <c r="X519" s="360"/>
      <c r="Y519" s="360"/>
      <c r="Z519" s="360"/>
      <c r="AA519" s="360"/>
      <c r="AB519" s="360"/>
      <c r="AC519" s="360"/>
      <c r="AD519" s="360"/>
      <c r="AE519" s="360"/>
      <c r="AF519" s="360"/>
      <c r="AG519" s="360"/>
      <c r="AH519" s="360"/>
    </row>
    <row r="520" ht="18.75" customHeight="1">
      <c r="A520" s="399"/>
      <c r="B520" s="375" t="str">
        <f>IF(A520="","", IF(ARBITRAGES!$H520="BTC",B519+ARBITRAGES!$K520,B519))</f>
        <v/>
      </c>
      <c r="C520" s="375" t="str">
        <f>IF(B520="","", IF(ARBITRAGES!$H520="eth",C519+ARBITRAGES!$K520,C519))</f>
        <v/>
      </c>
      <c r="D520" s="376" t="str">
        <f>IF(C520="","", IF(ARBITRAGES!$H520="ondo",D519+ARBITRAGES!$K520,D519))</f>
        <v/>
      </c>
      <c r="E520" s="376" t="str">
        <f>IF(D520="","", IF(ARBITRAGES!$H520="sol",E519+ARBITRAGES!$K520,E519))</f>
        <v/>
      </c>
      <c r="F520" s="377" t="str">
        <f>IF(E520="","", IF(ARBITRAGES!$H520="tao",F519+ARBITRAGES!$K520,F519))</f>
        <v/>
      </c>
      <c r="G520" s="378" t="str">
        <f>IF(F520="","", IF(ARBITRAGES!$H520="ron",G519+ARBITRAGES!$K520,G519))</f>
        <v/>
      </c>
      <c r="H520" s="378" t="str">
        <f>IF(G520="","", IF(ARBITRAGES!$H520="link",H519+ARBITRAGES!$K520,H519))</f>
        <v/>
      </c>
      <c r="I520" s="378" t="str">
        <f>IF(H520="","", IF(ARBITRAGES!$H520="doge",I519+ARBITRAGES!$K520,I519))</f>
        <v/>
      </c>
      <c r="J520" s="378" t="str">
        <f>IF(I520="","", IF(ARBITRAGES!$H520="shib",J519-ARBITRAGES!$K520,J519))</f>
        <v/>
      </c>
      <c r="K520" s="378" t="str">
        <f>IF(J520="","", IF(ARBITRAGES!$H520="cake",K519+ARBITRAGES!$K520,K519))</f>
        <v/>
      </c>
      <c r="L520" s="378" t="str">
        <f>IF(K520="","", IF(ARBITRAGES!$H520="JUP",L519+ARBITRAGES!$K520,L519))</f>
        <v/>
      </c>
      <c r="M520" s="376" t="str">
        <f>IF(L520="","", IF(ARBITRAGES!$H520="aave",M519+ARBITRAGES!$K520,M519))</f>
        <v/>
      </c>
      <c r="N520" s="378" t="str">
        <f>IF(M520="","", IF(ARBITRAGES!$H520="ckb",N519+ARBITRAGES!$K520,N519))</f>
        <v/>
      </c>
      <c r="O520" s="378" t="str">
        <f>IF(N520="","", IF(ARBITRAGES!$H520="pendle",O519-ARBITRAGES!$K520+0.1,O519))</f>
        <v/>
      </c>
      <c r="P520" s="378"/>
      <c r="Q520" s="378"/>
      <c r="R520" s="378"/>
      <c r="S520" s="378" t="str">
        <f>IF(R520="","", IF(ARBITRAGES!$H520="RAY",S519+ARBITRAGES!$K520,S519))</f>
        <v/>
      </c>
      <c r="T520" s="360"/>
      <c r="U520" s="360"/>
      <c r="V520" s="360"/>
      <c r="W520" s="360"/>
      <c r="X520" s="360"/>
      <c r="Y520" s="360"/>
      <c r="Z520" s="360"/>
      <c r="AA520" s="360"/>
      <c r="AB520" s="360"/>
      <c r="AC520" s="360"/>
      <c r="AD520" s="360"/>
      <c r="AE520" s="360"/>
      <c r="AF520" s="360"/>
      <c r="AG520" s="360"/>
      <c r="AH520" s="360"/>
    </row>
    <row r="521" ht="18.75" customHeight="1">
      <c r="A521" s="399"/>
      <c r="B521" s="375" t="str">
        <f>IF(A521="","", IF(ARBITRAGES!$H521="BTC",B520+ARBITRAGES!$K521,B520))</f>
        <v/>
      </c>
      <c r="C521" s="375" t="str">
        <f>IF(B521="","", IF(ARBITRAGES!$H521="eth",C520+ARBITRAGES!$K521,C520))</f>
        <v/>
      </c>
      <c r="D521" s="376" t="str">
        <f>IF(C521="","", IF(ARBITRAGES!$H521="ondo",D520+ARBITRAGES!$K521,D520))</f>
        <v/>
      </c>
      <c r="E521" s="376" t="str">
        <f>IF(D521="","", IF(ARBITRAGES!$H521="sol",E520+ARBITRAGES!$K521,E520))</f>
        <v/>
      </c>
      <c r="F521" s="377" t="str">
        <f>IF(E521="","", IF(ARBITRAGES!$H521="tao",F520+ARBITRAGES!$K521,F520))</f>
        <v/>
      </c>
      <c r="G521" s="378" t="str">
        <f>IF(F521="","", IF(ARBITRAGES!$H521="ron",G520+ARBITRAGES!$K521,G520))</f>
        <v/>
      </c>
      <c r="H521" s="378" t="str">
        <f>IF(G521="","", IF(ARBITRAGES!$H521="link",H520+ARBITRAGES!$K521,H520))</f>
        <v/>
      </c>
      <c r="I521" s="378" t="str">
        <f>IF(H521="","", IF(ARBITRAGES!$H521="doge",I520+ARBITRAGES!$K521,I520))</f>
        <v/>
      </c>
      <c r="J521" s="378" t="str">
        <f>IF(I521="","", IF(ARBITRAGES!$H521="shib",J520-ARBITRAGES!$K521,J520))</f>
        <v/>
      </c>
      <c r="K521" s="378" t="str">
        <f>IF(J521="","", IF(ARBITRAGES!$H521="cake",K520+ARBITRAGES!$K521,K520))</f>
        <v/>
      </c>
      <c r="L521" s="378" t="str">
        <f>IF(K521="","", IF(ARBITRAGES!$H521="JUP",L520+ARBITRAGES!$K521,L520))</f>
        <v/>
      </c>
      <c r="M521" s="376" t="str">
        <f>IF(L521="","", IF(ARBITRAGES!$H521="aave",M520+ARBITRAGES!$K521,M520))</f>
        <v/>
      </c>
      <c r="N521" s="378" t="str">
        <f>IF(M521="","", IF(ARBITRAGES!$H521="ckb",N520+ARBITRAGES!$K521,N520))</f>
        <v/>
      </c>
      <c r="O521" s="378" t="str">
        <f>IF(N521="","", IF(ARBITRAGES!$H521="pendle",O520-ARBITRAGES!$K521+0.1,O520))</f>
        <v/>
      </c>
      <c r="P521" s="378"/>
      <c r="Q521" s="378"/>
      <c r="R521" s="378"/>
      <c r="S521" s="378" t="str">
        <f>IF(R521="","", IF(ARBITRAGES!$H521="RAY",S520+ARBITRAGES!$K521,S520))</f>
        <v/>
      </c>
      <c r="T521" s="360"/>
      <c r="U521" s="360"/>
      <c r="V521" s="360"/>
      <c r="W521" s="360"/>
      <c r="X521" s="360"/>
      <c r="Y521" s="360"/>
      <c r="Z521" s="360"/>
      <c r="AA521" s="360"/>
      <c r="AB521" s="360"/>
      <c r="AC521" s="360"/>
      <c r="AD521" s="360"/>
      <c r="AE521" s="360"/>
      <c r="AF521" s="360"/>
      <c r="AG521" s="360"/>
      <c r="AH521" s="360"/>
    </row>
    <row r="522" ht="18.75" customHeight="1">
      <c r="A522" s="399"/>
      <c r="B522" s="375" t="str">
        <f>IF(A522="","", IF(ARBITRAGES!$H522="BTC",B521+ARBITRAGES!$K522,B521))</f>
        <v/>
      </c>
      <c r="C522" s="375" t="str">
        <f>IF(B522="","", IF(ARBITRAGES!$H522="eth",C521+ARBITRAGES!$K522,C521))</f>
        <v/>
      </c>
      <c r="D522" s="376" t="str">
        <f>IF(C522="","", IF(ARBITRAGES!$H522="ondo",D521+ARBITRAGES!$K522,D521))</f>
        <v/>
      </c>
      <c r="E522" s="376" t="str">
        <f>IF(D522="","", IF(ARBITRAGES!$H522="sol",E521+ARBITRAGES!$K522,E521))</f>
        <v/>
      </c>
      <c r="F522" s="377" t="str">
        <f>IF(E522="","", IF(ARBITRAGES!$H522="tao",F521+ARBITRAGES!$K522,F521))</f>
        <v/>
      </c>
      <c r="G522" s="378" t="str">
        <f>IF(F522="","", IF(ARBITRAGES!$H522="ron",G521+ARBITRAGES!$K522,G521))</f>
        <v/>
      </c>
      <c r="H522" s="378" t="str">
        <f>IF(G522="","", IF(ARBITRAGES!$H522="link",H521+ARBITRAGES!$K522,H521))</f>
        <v/>
      </c>
      <c r="I522" s="378" t="str">
        <f>IF(H522="","", IF(ARBITRAGES!$H522="doge",I521+ARBITRAGES!$K522,I521))</f>
        <v/>
      </c>
      <c r="J522" s="378" t="str">
        <f>IF(I522="","", IF(ARBITRAGES!$H522="shib",J521-ARBITRAGES!$K522,J521))</f>
        <v/>
      </c>
      <c r="K522" s="378" t="str">
        <f>IF(J522="","", IF(ARBITRAGES!$H522="cake",K521+ARBITRAGES!$K522,K521))</f>
        <v/>
      </c>
      <c r="L522" s="378" t="str">
        <f>IF(K522="","", IF(ARBITRAGES!$H522="JUP",L521+ARBITRAGES!$K522,L521))</f>
        <v/>
      </c>
      <c r="M522" s="376" t="str">
        <f>IF(L522="","", IF(ARBITRAGES!$H522="aave",M521+ARBITRAGES!$K522,M521))</f>
        <v/>
      </c>
      <c r="N522" s="378" t="str">
        <f>IF(M522="","", IF(ARBITRAGES!$H522="ckb",N521+ARBITRAGES!$K522,N521))</f>
        <v/>
      </c>
      <c r="O522" s="378" t="str">
        <f>IF(N522="","", IF(ARBITRAGES!$H522="pendle",O521-ARBITRAGES!$K522+0.1,O521))</f>
        <v/>
      </c>
      <c r="P522" s="378"/>
      <c r="Q522" s="378"/>
      <c r="R522" s="378"/>
      <c r="S522" s="378" t="str">
        <f>IF(R522="","", IF(ARBITRAGES!$H522="RAY",S521+ARBITRAGES!$K522,S521))</f>
        <v/>
      </c>
      <c r="T522" s="360"/>
      <c r="U522" s="360"/>
      <c r="V522" s="360"/>
      <c r="W522" s="360"/>
      <c r="X522" s="360"/>
      <c r="Y522" s="360"/>
      <c r="Z522" s="360"/>
      <c r="AA522" s="360"/>
      <c r="AB522" s="360"/>
      <c r="AC522" s="360"/>
      <c r="AD522" s="360"/>
      <c r="AE522" s="360"/>
      <c r="AF522" s="360"/>
      <c r="AG522" s="360"/>
      <c r="AH522" s="360"/>
    </row>
    <row r="523" ht="18.75" customHeight="1">
      <c r="A523" s="399"/>
      <c r="B523" s="375" t="str">
        <f>IF(A523="","", IF(ARBITRAGES!$H523="BTC",B522+ARBITRAGES!$K523,B522))</f>
        <v/>
      </c>
      <c r="C523" s="375" t="str">
        <f>IF(B523="","", IF(ARBITRAGES!$H523="eth",C522+ARBITRAGES!$K523,C522))</f>
        <v/>
      </c>
      <c r="D523" s="376" t="str">
        <f>IF(C523="","", IF(ARBITRAGES!$H523="ondo",D522+ARBITRAGES!$K523,D522))</f>
        <v/>
      </c>
      <c r="E523" s="376" t="str">
        <f>IF(D523="","", IF(ARBITRAGES!$H523="sol",E522+ARBITRAGES!$K523,E522))</f>
        <v/>
      </c>
      <c r="F523" s="377" t="str">
        <f>IF(E523="","", IF(ARBITRAGES!$H523="tao",F522+ARBITRAGES!$K523,F522))</f>
        <v/>
      </c>
      <c r="G523" s="378" t="str">
        <f>IF(F523="","", IF(ARBITRAGES!$H523="ron",G522+ARBITRAGES!$K523,G522))</f>
        <v/>
      </c>
      <c r="H523" s="378" t="str">
        <f>IF(G523="","", IF(ARBITRAGES!$H523="link",H522+ARBITRAGES!$K523,H522))</f>
        <v/>
      </c>
      <c r="I523" s="378" t="str">
        <f>IF(H523="","", IF(ARBITRAGES!$H523="doge",I522+ARBITRAGES!$K523,I522))</f>
        <v/>
      </c>
      <c r="J523" s="378" t="str">
        <f>IF(I523="","", IF(ARBITRAGES!$H523="shib",J522-ARBITRAGES!$K523,J522))</f>
        <v/>
      </c>
      <c r="K523" s="378" t="str">
        <f>IF(J523="","", IF(ARBITRAGES!$H523="cake",K522+ARBITRAGES!$K523,K522))</f>
        <v/>
      </c>
      <c r="L523" s="378" t="str">
        <f>IF(K523="","", IF(ARBITRAGES!$H523="JUP",L522+ARBITRAGES!$K523,L522))</f>
        <v/>
      </c>
      <c r="M523" s="376" t="str">
        <f>IF(L523="","", IF(ARBITRAGES!$H523="aave",M522+ARBITRAGES!$K523,M522))</f>
        <v/>
      </c>
      <c r="N523" s="378" t="str">
        <f>IF(M523="","", IF(ARBITRAGES!$H523="ckb",N522+ARBITRAGES!$K523,N522))</f>
        <v/>
      </c>
      <c r="O523" s="378" t="str">
        <f>IF(N523="","", IF(ARBITRAGES!$H523="pendle",O522-ARBITRAGES!$K523+0.1,O522))</f>
        <v/>
      </c>
      <c r="P523" s="378"/>
      <c r="Q523" s="378"/>
      <c r="R523" s="378"/>
      <c r="S523" s="378" t="str">
        <f>IF(R523="","", IF(ARBITRAGES!$H523="RAY",S522+ARBITRAGES!$K523,S522))</f>
        <v/>
      </c>
      <c r="T523" s="360"/>
      <c r="U523" s="360"/>
      <c r="V523" s="360"/>
      <c r="W523" s="360"/>
      <c r="X523" s="360"/>
      <c r="Y523" s="360"/>
      <c r="Z523" s="360"/>
      <c r="AA523" s="360"/>
      <c r="AB523" s="360"/>
      <c r="AC523" s="360"/>
      <c r="AD523" s="360"/>
      <c r="AE523" s="360"/>
      <c r="AF523" s="360"/>
      <c r="AG523" s="360"/>
      <c r="AH523" s="360"/>
    </row>
    <row r="524" ht="18.75" customHeight="1">
      <c r="A524" s="399"/>
      <c r="B524" s="375" t="str">
        <f>IF(A524="","", IF(ARBITRAGES!$H524="BTC",B523+ARBITRAGES!$K524,B523))</f>
        <v/>
      </c>
      <c r="C524" s="375" t="str">
        <f>IF(B524="","", IF(ARBITRAGES!$H524="eth",C523+ARBITRAGES!$K524,C523))</f>
        <v/>
      </c>
      <c r="D524" s="376" t="str">
        <f>IF(C524="","", IF(ARBITRAGES!$H524="ondo",D523+ARBITRAGES!$K524,D523))</f>
        <v/>
      </c>
      <c r="E524" s="376" t="str">
        <f>IF(D524="","", IF(ARBITRAGES!$H524="sol",E523+ARBITRAGES!$K524,E523))</f>
        <v/>
      </c>
      <c r="F524" s="377" t="str">
        <f>IF(E524="","", IF(ARBITRAGES!$H524="tao",F523+ARBITRAGES!$K524,F523))</f>
        <v/>
      </c>
      <c r="G524" s="378" t="str">
        <f>IF(F524="","", IF(ARBITRAGES!$H524="ron",G523+ARBITRAGES!$K524,G523))</f>
        <v/>
      </c>
      <c r="H524" s="378" t="str">
        <f>IF(G524="","", IF(ARBITRAGES!$H524="link",H523+ARBITRAGES!$K524,H523))</f>
        <v/>
      </c>
      <c r="I524" s="378" t="str">
        <f>IF(H524="","", IF(ARBITRAGES!$H524="doge",I523+ARBITRAGES!$K524,I523))</f>
        <v/>
      </c>
      <c r="J524" s="378" t="str">
        <f>IF(I524="","", IF(ARBITRAGES!$H524="shib",J523-ARBITRAGES!$K524,J523))</f>
        <v/>
      </c>
      <c r="K524" s="378" t="str">
        <f>IF(J524="","", IF(ARBITRAGES!$H524="cake",K523+ARBITRAGES!$K524,K523))</f>
        <v/>
      </c>
      <c r="L524" s="378" t="str">
        <f>IF(K524="","", IF(ARBITRAGES!$H524="JUP",L523+ARBITRAGES!$K524,L523))</f>
        <v/>
      </c>
      <c r="M524" s="376" t="str">
        <f>IF(L524="","", IF(ARBITRAGES!$H524="aave",M523+ARBITRAGES!$K524,M523))</f>
        <v/>
      </c>
      <c r="N524" s="378" t="str">
        <f>IF(M524="","", IF(ARBITRAGES!$H524="ckb",N523+ARBITRAGES!$K524,N523))</f>
        <v/>
      </c>
      <c r="O524" s="378" t="str">
        <f>IF(N524="","", IF(ARBITRAGES!$H524="pendle",O523-ARBITRAGES!$K524+0.1,O523))</f>
        <v/>
      </c>
      <c r="P524" s="378"/>
      <c r="Q524" s="378"/>
      <c r="R524" s="378"/>
      <c r="S524" s="378" t="str">
        <f>IF(R524="","", IF(ARBITRAGES!$H524="RAY",S523+ARBITRAGES!$K524,S523))</f>
        <v/>
      </c>
      <c r="T524" s="360"/>
      <c r="U524" s="360"/>
      <c r="V524" s="360"/>
      <c r="W524" s="360"/>
      <c r="X524" s="360"/>
      <c r="Y524" s="360"/>
      <c r="Z524" s="360"/>
      <c r="AA524" s="360"/>
      <c r="AB524" s="360"/>
      <c r="AC524" s="360"/>
      <c r="AD524" s="360"/>
      <c r="AE524" s="360"/>
      <c r="AF524" s="360"/>
      <c r="AG524" s="360"/>
      <c r="AH524" s="360"/>
    </row>
    <row r="525" ht="18.75" customHeight="1">
      <c r="A525" s="399"/>
      <c r="B525" s="375" t="str">
        <f>IF(A525="","", IF(ARBITRAGES!$H525="BTC",B524+ARBITRAGES!$K525,B524))</f>
        <v/>
      </c>
      <c r="C525" s="375" t="str">
        <f>IF(B525="","", IF(ARBITRAGES!$H525="eth",C524+ARBITRAGES!$K525,C524))</f>
        <v/>
      </c>
      <c r="D525" s="376" t="str">
        <f>IF(C525="","", IF(ARBITRAGES!$H525="ondo",D524+ARBITRAGES!$K525,D524))</f>
        <v/>
      </c>
      <c r="E525" s="376" t="str">
        <f>IF(D525="","", IF(ARBITRAGES!$H525="sol",E524+ARBITRAGES!$K525,E524))</f>
        <v/>
      </c>
      <c r="F525" s="377" t="str">
        <f>IF(E525="","", IF(ARBITRAGES!$H525="tao",F524+ARBITRAGES!$K525,F524))</f>
        <v/>
      </c>
      <c r="G525" s="378" t="str">
        <f>IF(F525="","", IF(ARBITRAGES!$H525="ron",G524+ARBITRAGES!$K525,G524))</f>
        <v/>
      </c>
      <c r="H525" s="378" t="str">
        <f>IF(G525="","", IF(ARBITRAGES!$H525="link",H524+ARBITRAGES!$K525,H524))</f>
        <v/>
      </c>
      <c r="I525" s="378" t="str">
        <f>IF(H525="","", IF(ARBITRAGES!$H525="doge",I524+ARBITRAGES!$K525,I524))</f>
        <v/>
      </c>
      <c r="J525" s="378" t="str">
        <f>IF(I525="","", IF(ARBITRAGES!$H525="shib",J524-ARBITRAGES!$K525,J524))</f>
        <v/>
      </c>
      <c r="K525" s="378" t="str">
        <f>IF(J525="","", IF(ARBITRAGES!$H525="cake",K524+ARBITRAGES!$K525,K524))</f>
        <v/>
      </c>
      <c r="L525" s="378" t="str">
        <f>IF(K525="","", IF(ARBITRAGES!$H525="JUP",L524+ARBITRAGES!$K525,L524))</f>
        <v/>
      </c>
      <c r="M525" s="376" t="str">
        <f>IF(L525="","", IF(ARBITRAGES!$H525="aave",M524+ARBITRAGES!$K525,M524))</f>
        <v/>
      </c>
      <c r="N525" s="378" t="str">
        <f>IF(M525="","", IF(ARBITRAGES!$H525="ckb",N524+ARBITRAGES!$K525,N524))</f>
        <v/>
      </c>
      <c r="O525" s="378" t="str">
        <f>IF(N525="","", IF(ARBITRAGES!$H525="pendle",O524-ARBITRAGES!$K525+0.1,O524))</f>
        <v/>
      </c>
      <c r="P525" s="378"/>
      <c r="Q525" s="378"/>
      <c r="R525" s="378"/>
      <c r="S525" s="378" t="str">
        <f>IF(R525="","", IF(ARBITRAGES!$H525="RAY",S524+ARBITRAGES!$K525,S524))</f>
        <v/>
      </c>
      <c r="T525" s="360"/>
      <c r="U525" s="360"/>
      <c r="V525" s="360"/>
      <c r="W525" s="360"/>
      <c r="X525" s="360"/>
      <c r="Y525" s="360"/>
      <c r="Z525" s="360"/>
      <c r="AA525" s="360"/>
      <c r="AB525" s="360"/>
      <c r="AC525" s="360"/>
      <c r="AD525" s="360"/>
      <c r="AE525" s="360"/>
      <c r="AF525" s="360"/>
      <c r="AG525" s="360"/>
      <c r="AH525" s="360"/>
    </row>
    <row r="526" ht="18.75" customHeight="1">
      <c r="A526" s="399"/>
      <c r="B526" s="375" t="str">
        <f>IF(A526="","", IF(ARBITRAGES!$H526="BTC",B525+ARBITRAGES!$K526,B525))</f>
        <v/>
      </c>
      <c r="C526" s="375" t="str">
        <f>IF(B526="","", IF(ARBITRAGES!$H526="eth",C525+ARBITRAGES!$K526,C525))</f>
        <v/>
      </c>
      <c r="D526" s="376" t="str">
        <f>IF(C526="","", IF(ARBITRAGES!$H526="ondo",D525+ARBITRAGES!$K526,D525))</f>
        <v/>
      </c>
      <c r="E526" s="376" t="str">
        <f>IF(D526="","", IF(ARBITRAGES!$H526="sol",E525+ARBITRAGES!$K526,E525))</f>
        <v/>
      </c>
      <c r="F526" s="377" t="str">
        <f>IF(E526="","", IF(ARBITRAGES!$H526="tao",F525+ARBITRAGES!$K526,F525))</f>
        <v/>
      </c>
      <c r="G526" s="378" t="str">
        <f>IF(F526="","", IF(ARBITRAGES!$H526="ron",G525+ARBITRAGES!$K526,G525))</f>
        <v/>
      </c>
      <c r="H526" s="378" t="str">
        <f>IF(G526="","", IF(ARBITRAGES!$H526="link",H525+ARBITRAGES!$K526,H525))</f>
        <v/>
      </c>
      <c r="I526" s="378" t="str">
        <f>IF(H526="","", IF(ARBITRAGES!$H526="doge",I525+ARBITRAGES!$K526,I525))</f>
        <v/>
      </c>
      <c r="J526" s="378" t="str">
        <f>IF(I526="","", IF(ARBITRAGES!$H526="shib",J525-ARBITRAGES!$K526,J525))</f>
        <v/>
      </c>
      <c r="K526" s="378" t="str">
        <f>IF(J526="","", IF(ARBITRAGES!$H526="cake",K525+ARBITRAGES!$K526,K525))</f>
        <v/>
      </c>
      <c r="L526" s="378" t="str">
        <f>IF(K526="","", IF(ARBITRAGES!$H526="JUP",L525+ARBITRAGES!$K526,L525))</f>
        <v/>
      </c>
      <c r="M526" s="376" t="str">
        <f>IF(L526="","", IF(ARBITRAGES!$H526="aave",M525+ARBITRAGES!$K526,M525))</f>
        <v/>
      </c>
      <c r="N526" s="378" t="str">
        <f>IF(M526="","", IF(ARBITRAGES!$H526="ckb",N525+ARBITRAGES!$K526,N525))</f>
        <v/>
      </c>
      <c r="O526" s="378" t="str">
        <f>IF(N526="","", IF(ARBITRAGES!$H526="pendle",O525-ARBITRAGES!$K526+0.1,O525))</f>
        <v/>
      </c>
      <c r="P526" s="378"/>
      <c r="Q526" s="378"/>
      <c r="R526" s="378"/>
      <c r="S526" s="378" t="str">
        <f>IF(R526="","", IF(ARBITRAGES!$H526="RAY",S525+ARBITRAGES!$K526,S525))</f>
        <v/>
      </c>
      <c r="T526" s="360"/>
      <c r="U526" s="360"/>
      <c r="V526" s="360"/>
      <c r="W526" s="360"/>
      <c r="X526" s="360"/>
      <c r="Y526" s="360"/>
      <c r="Z526" s="360"/>
      <c r="AA526" s="360"/>
      <c r="AB526" s="360"/>
      <c r="AC526" s="360"/>
      <c r="AD526" s="360"/>
      <c r="AE526" s="360"/>
      <c r="AF526" s="360"/>
      <c r="AG526" s="360"/>
      <c r="AH526" s="360"/>
    </row>
    <row r="527" ht="18.75" customHeight="1">
      <c r="A527" s="399"/>
      <c r="B527" s="375" t="str">
        <f>IF(A527="","", IF(ARBITRAGES!$H527="BTC",B526+ARBITRAGES!$K527,B526))</f>
        <v/>
      </c>
      <c r="C527" s="375" t="str">
        <f>IF(B527="","", IF(ARBITRAGES!$H527="eth",C526+ARBITRAGES!$K527,C526))</f>
        <v/>
      </c>
      <c r="D527" s="376" t="str">
        <f>IF(C527="","", IF(ARBITRAGES!$H527="ondo",D526+ARBITRAGES!$K527,D526))</f>
        <v/>
      </c>
      <c r="E527" s="376" t="str">
        <f>IF(D527="","", IF(ARBITRAGES!$H527="sol",E526+ARBITRAGES!$K527,E526))</f>
        <v/>
      </c>
      <c r="F527" s="377" t="str">
        <f>IF(E527="","", IF(ARBITRAGES!$H527="tao",F526+ARBITRAGES!$K527,F526))</f>
        <v/>
      </c>
      <c r="G527" s="378" t="str">
        <f>IF(F527="","", IF(ARBITRAGES!$H527="ron",G526+ARBITRAGES!$K527,G526))</f>
        <v/>
      </c>
      <c r="H527" s="378" t="str">
        <f>IF(G527="","", IF(ARBITRAGES!$H527="link",H526+ARBITRAGES!$K527,H526))</f>
        <v/>
      </c>
      <c r="I527" s="378" t="str">
        <f>IF(H527="","", IF(ARBITRAGES!$H527="doge",I526+ARBITRAGES!$K527,I526))</f>
        <v/>
      </c>
      <c r="J527" s="378" t="str">
        <f>IF(I527="","", IF(ARBITRAGES!$H527="shib",J526-ARBITRAGES!$K527,J526))</f>
        <v/>
      </c>
      <c r="K527" s="378" t="str">
        <f>IF(J527="","", IF(ARBITRAGES!$H527="cake",K526+ARBITRAGES!$K527,K526))</f>
        <v/>
      </c>
      <c r="L527" s="378" t="str">
        <f>IF(K527="","", IF(ARBITRAGES!$H527="JUP",L526+ARBITRAGES!$K527,L526))</f>
        <v/>
      </c>
      <c r="M527" s="376" t="str">
        <f>IF(L527="","", IF(ARBITRAGES!$H527="aave",M526+ARBITRAGES!$K527,M526))</f>
        <v/>
      </c>
      <c r="N527" s="378" t="str">
        <f>IF(M527="","", IF(ARBITRAGES!$H527="ckb",N526+ARBITRAGES!$K527,N526))</f>
        <v/>
      </c>
      <c r="O527" s="378" t="str">
        <f>IF(N527="","", IF(ARBITRAGES!$H527="pendle",O526-ARBITRAGES!$K527+0.1,O526))</f>
        <v/>
      </c>
      <c r="P527" s="378"/>
      <c r="Q527" s="378"/>
      <c r="R527" s="378"/>
      <c r="S527" s="378" t="str">
        <f>IF(R527="","", IF(ARBITRAGES!$H527="RAY",S526+ARBITRAGES!$K527,S526))</f>
        <v/>
      </c>
      <c r="T527" s="360"/>
      <c r="U527" s="360"/>
      <c r="V527" s="360"/>
      <c r="W527" s="360"/>
      <c r="X527" s="360"/>
      <c r="Y527" s="360"/>
      <c r="Z527" s="360"/>
      <c r="AA527" s="360"/>
      <c r="AB527" s="360"/>
      <c r="AC527" s="360"/>
      <c r="AD527" s="360"/>
      <c r="AE527" s="360"/>
      <c r="AF527" s="360"/>
      <c r="AG527" s="360"/>
      <c r="AH527" s="360"/>
    </row>
    <row r="528" ht="18.75" customHeight="1">
      <c r="A528" s="399"/>
      <c r="B528" s="375" t="str">
        <f>IF(A528="","", IF(ARBITRAGES!$H528="BTC",B527+ARBITRAGES!$K528,B527))</f>
        <v/>
      </c>
      <c r="C528" s="375" t="str">
        <f>IF(B528="","", IF(ARBITRAGES!$H528="eth",C527+ARBITRAGES!$K528,C527))</f>
        <v/>
      </c>
      <c r="D528" s="376" t="str">
        <f>IF(C528="","", IF(ARBITRAGES!$H528="ondo",D527+ARBITRAGES!$K528,D527))</f>
        <v/>
      </c>
      <c r="E528" s="376" t="str">
        <f>IF(D528="","", IF(ARBITRAGES!$H528="sol",E527+ARBITRAGES!$K528,E527))</f>
        <v/>
      </c>
      <c r="F528" s="377" t="str">
        <f>IF(E528="","", IF(ARBITRAGES!$H528="tao",F527+ARBITRAGES!$K528,F527))</f>
        <v/>
      </c>
      <c r="G528" s="378" t="str">
        <f>IF(F528="","", IF(ARBITRAGES!$H528="ron",G527+ARBITRAGES!$K528,G527))</f>
        <v/>
      </c>
      <c r="H528" s="378" t="str">
        <f>IF(G528="","", IF(ARBITRAGES!$H528="link",H527+ARBITRAGES!$K528,H527))</f>
        <v/>
      </c>
      <c r="I528" s="378" t="str">
        <f>IF(H528="","", IF(ARBITRAGES!$H528="doge",I527+ARBITRAGES!$K528,I527))</f>
        <v/>
      </c>
      <c r="J528" s="378" t="str">
        <f>IF(I528="","", IF(ARBITRAGES!$H528="shib",J527-ARBITRAGES!$K528,J527))</f>
        <v/>
      </c>
      <c r="K528" s="378" t="str">
        <f>IF(J528="","", IF(ARBITRAGES!$H528="cake",K527+ARBITRAGES!$K528,K527))</f>
        <v/>
      </c>
      <c r="L528" s="378" t="str">
        <f>IF(K528="","", IF(ARBITRAGES!$H528="JUP",L527+ARBITRAGES!$K528,L527))</f>
        <v/>
      </c>
      <c r="M528" s="376" t="str">
        <f>IF(L528="","", IF(ARBITRAGES!$H528="aave",M527+ARBITRAGES!$K528,M527))</f>
        <v/>
      </c>
      <c r="N528" s="378" t="str">
        <f>IF(M528="","", IF(ARBITRAGES!$H528="ckb",N527+ARBITRAGES!$K528,N527))</f>
        <v/>
      </c>
      <c r="O528" s="378" t="str">
        <f>IF(N528="","", IF(ARBITRAGES!$H528="pendle",O527-ARBITRAGES!$K528+0.1,O527))</f>
        <v/>
      </c>
      <c r="P528" s="378"/>
      <c r="Q528" s="378"/>
      <c r="R528" s="378"/>
      <c r="S528" s="378" t="str">
        <f>IF(R528="","", IF(ARBITRAGES!$H528="RAY",S527+ARBITRAGES!$K528,S527))</f>
        <v/>
      </c>
      <c r="T528" s="360"/>
      <c r="U528" s="360"/>
      <c r="V528" s="360"/>
      <c r="W528" s="360"/>
      <c r="X528" s="360"/>
      <c r="Y528" s="360"/>
      <c r="Z528" s="360"/>
      <c r="AA528" s="360"/>
      <c r="AB528" s="360"/>
      <c r="AC528" s="360"/>
      <c r="AD528" s="360"/>
      <c r="AE528" s="360"/>
      <c r="AF528" s="360"/>
      <c r="AG528" s="360"/>
      <c r="AH528" s="360"/>
    </row>
    <row r="529" ht="18.75" customHeight="1">
      <c r="A529" s="399"/>
      <c r="B529" s="375" t="str">
        <f>IF(A529="","", IF(ARBITRAGES!$H529="BTC",B528+ARBITRAGES!$K529,B528))</f>
        <v/>
      </c>
      <c r="C529" s="375" t="str">
        <f>IF(B529="","", IF(ARBITRAGES!$H529="eth",C528+ARBITRAGES!$K529,C528))</f>
        <v/>
      </c>
      <c r="D529" s="376" t="str">
        <f>IF(C529="","", IF(ARBITRAGES!$H529="ondo",D528+ARBITRAGES!$K529,D528))</f>
        <v/>
      </c>
      <c r="E529" s="376" t="str">
        <f>IF(D529="","", IF(ARBITRAGES!$H529="sol",E528+ARBITRAGES!$K529,E528))</f>
        <v/>
      </c>
      <c r="F529" s="377" t="str">
        <f>IF(E529="","", IF(ARBITRAGES!$H529="tao",F528+ARBITRAGES!$K529,F528))</f>
        <v/>
      </c>
      <c r="G529" s="378" t="str">
        <f>IF(F529="","", IF(ARBITRAGES!$H529="ron",G528+ARBITRAGES!$K529,G528))</f>
        <v/>
      </c>
      <c r="H529" s="378" t="str">
        <f>IF(G529="","", IF(ARBITRAGES!$H529="link",H528+ARBITRAGES!$K529,H528))</f>
        <v/>
      </c>
      <c r="I529" s="378" t="str">
        <f>IF(H529="","", IF(ARBITRAGES!$H529="doge",I528+ARBITRAGES!$K529,I528))</f>
        <v/>
      </c>
      <c r="J529" s="378" t="str">
        <f>IF(I529="","", IF(ARBITRAGES!$H529="shib",J528-ARBITRAGES!$K529,J528))</f>
        <v/>
      </c>
      <c r="K529" s="378" t="str">
        <f>IF(J529="","", IF(ARBITRAGES!$H529="cake",K528+ARBITRAGES!$K529,K528))</f>
        <v/>
      </c>
      <c r="L529" s="378" t="str">
        <f>IF(K529="","", IF(ARBITRAGES!$H529="JUP",L528+ARBITRAGES!$K529,L528))</f>
        <v/>
      </c>
      <c r="M529" s="376" t="str">
        <f>IF(L529="","", IF(ARBITRAGES!$H529="aave",M528+ARBITRAGES!$K529,M528))</f>
        <v/>
      </c>
      <c r="N529" s="378" t="str">
        <f>IF(M529="","", IF(ARBITRAGES!$H529="ckb",N528+ARBITRAGES!$K529,N528))</f>
        <v/>
      </c>
      <c r="O529" s="378" t="str">
        <f>IF(N529="","", IF(ARBITRAGES!$H529="pendle",O528-ARBITRAGES!$K529+0.1,O528))</f>
        <v/>
      </c>
      <c r="P529" s="378"/>
      <c r="Q529" s="378"/>
      <c r="R529" s="378"/>
      <c r="S529" s="378" t="str">
        <f>IF(R529="","", IF(ARBITRAGES!$H529="RAY",S528+ARBITRAGES!$K529,S528))</f>
        <v/>
      </c>
      <c r="T529" s="360"/>
      <c r="U529" s="360"/>
      <c r="V529" s="360"/>
      <c r="W529" s="360"/>
      <c r="X529" s="360"/>
      <c r="Y529" s="360"/>
      <c r="Z529" s="360"/>
      <c r="AA529" s="360"/>
      <c r="AB529" s="360"/>
      <c r="AC529" s="360"/>
      <c r="AD529" s="360"/>
      <c r="AE529" s="360"/>
      <c r="AF529" s="360"/>
      <c r="AG529" s="360"/>
      <c r="AH529" s="360"/>
    </row>
    <row r="530" ht="18.75" customHeight="1">
      <c r="A530" s="399"/>
      <c r="B530" s="375" t="str">
        <f>IF(A530="","", IF(ARBITRAGES!$H530="BTC",B529+ARBITRAGES!$K530,B529))</f>
        <v/>
      </c>
      <c r="C530" s="375" t="str">
        <f>IF(B530="","", IF(ARBITRAGES!$H530="eth",C529+ARBITRAGES!$K530,C529))</f>
        <v/>
      </c>
      <c r="D530" s="376" t="str">
        <f>IF(C530="","", IF(ARBITRAGES!$H530="ondo",D529+ARBITRAGES!$K530,D529))</f>
        <v/>
      </c>
      <c r="E530" s="376" t="str">
        <f>IF(D530="","", IF(ARBITRAGES!$H530="sol",E529+ARBITRAGES!$K530,E529))</f>
        <v/>
      </c>
      <c r="F530" s="377" t="str">
        <f>IF(E530="","", IF(ARBITRAGES!$H530="tao",F529+ARBITRAGES!$K530,F529))</f>
        <v/>
      </c>
      <c r="G530" s="378" t="str">
        <f>IF(F530="","", IF(ARBITRAGES!$H530="ron",G529+ARBITRAGES!$K530,G529))</f>
        <v/>
      </c>
      <c r="H530" s="378" t="str">
        <f>IF(G530="","", IF(ARBITRAGES!$H530="link",H529+ARBITRAGES!$K530,H529))</f>
        <v/>
      </c>
      <c r="I530" s="378" t="str">
        <f>IF(H530="","", IF(ARBITRAGES!$H530="doge",I529+ARBITRAGES!$K530,I529))</f>
        <v/>
      </c>
      <c r="J530" s="378" t="str">
        <f>IF(I530="","", IF(ARBITRAGES!$H530="shib",J529-ARBITRAGES!$K530,J529))</f>
        <v/>
      </c>
      <c r="K530" s="378" t="str">
        <f>IF(J530="","", IF(ARBITRAGES!$H530="cake",K529+ARBITRAGES!$K530,K529))</f>
        <v/>
      </c>
      <c r="L530" s="378" t="str">
        <f>IF(K530="","", IF(ARBITRAGES!$H530="JUP",L529+ARBITRAGES!$K530,L529))</f>
        <v/>
      </c>
      <c r="M530" s="376" t="str">
        <f>IF(L530="","", IF(ARBITRAGES!$H530="aave",M529+ARBITRAGES!$K530,M529))</f>
        <v/>
      </c>
      <c r="N530" s="378" t="str">
        <f>IF(M530="","", IF(ARBITRAGES!$H530="ckb",N529+ARBITRAGES!$K530,N529))</f>
        <v/>
      </c>
      <c r="O530" s="378" t="str">
        <f>IF(N530="","", IF(ARBITRAGES!$H530="pendle",O529-ARBITRAGES!$K530+0.1,O529))</f>
        <v/>
      </c>
      <c r="P530" s="378"/>
      <c r="Q530" s="378"/>
      <c r="R530" s="378"/>
      <c r="S530" s="378" t="str">
        <f>IF(R530="","", IF(ARBITRAGES!$H530="RAY",S529+ARBITRAGES!$K530,S529))</f>
        <v/>
      </c>
      <c r="T530" s="360"/>
      <c r="U530" s="360"/>
      <c r="V530" s="360"/>
      <c r="W530" s="360"/>
      <c r="X530" s="360"/>
      <c r="Y530" s="360"/>
      <c r="Z530" s="360"/>
      <c r="AA530" s="360"/>
      <c r="AB530" s="360"/>
      <c r="AC530" s="360"/>
      <c r="AD530" s="360"/>
      <c r="AE530" s="360"/>
      <c r="AF530" s="360"/>
      <c r="AG530" s="360"/>
      <c r="AH530" s="360"/>
    </row>
    <row r="531" ht="18.75" customHeight="1">
      <c r="A531" s="399"/>
      <c r="B531" s="375" t="str">
        <f>IF(A531="","", IF(ARBITRAGES!$H531="BTC",B530+ARBITRAGES!$K531,B530))</f>
        <v/>
      </c>
      <c r="C531" s="375" t="str">
        <f>IF(B531="","", IF(ARBITRAGES!$H531="eth",C530+ARBITRAGES!$K531,C530))</f>
        <v/>
      </c>
      <c r="D531" s="376" t="str">
        <f>IF(C531="","", IF(ARBITRAGES!$H531="ondo",D530+ARBITRAGES!$K531,D530))</f>
        <v/>
      </c>
      <c r="E531" s="376" t="str">
        <f>IF(D531="","", IF(ARBITRAGES!$H531="sol",E530+ARBITRAGES!$K531,E530))</f>
        <v/>
      </c>
      <c r="F531" s="377" t="str">
        <f>IF(E531="","", IF(ARBITRAGES!$H531="tao",F530+ARBITRAGES!$K531,F530))</f>
        <v/>
      </c>
      <c r="G531" s="378" t="str">
        <f>IF(F531="","", IF(ARBITRAGES!$H531="ron",G530+ARBITRAGES!$K531,G530))</f>
        <v/>
      </c>
      <c r="H531" s="378" t="str">
        <f>IF(G531="","", IF(ARBITRAGES!$H531="link",H530+ARBITRAGES!$K531,H530))</f>
        <v/>
      </c>
      <c r="I531" s="378" t="str">
        <f>IF(H531="","", IF(ARBITRAGES!$H531="doge",I530+ARBITRAGES!$K531,I530))</f>
        <v/>
      </c>
      <c r="J531" s="378" t="str">
        <f>IF(I531="","", IF(ARBITRAGES!$H531="shib",J530-ARBITRAGES!$K531,J530))</f>
        <v/>
      </c>
      <c r="K531" s="378" t="str">
        <f>IF(J531="","", IF(ARBITRAGES!$H531="cake",K530+ARBITRAGES!$K531,K530))</f>
        <v/>
      </c>
      <c r="L531" s="378" t="str">
        <f>IF(K531="","", IF(ARBITRAGES!$H531="JUP",L530+ARBITRAGES!$K531,L530))</f>
        <v/>
      </c>
      <c r="M531" s="376" t="str">
        <f>IF(L531="","", IF(ARBITRAGES!$H531="aave",M530+ARBITRAGES!$K531,M530))</f>
        <v/>
      </c>
      <c r="N531" s="378" t="str">
        <f>IF(M531="","", IF(ARBITRAGES!$H531="ckb",N530+ARBITRAGES!$K531,N530))</f>
        <v/>
      </c>
      <c r="O531" s="378" t="str">
        <f>IF(N531="","", IF(ARBITRAGES!$H531="pendle",O530-ARBITRAGES!$K531+0.1,O530))</f>
        <v/>
      </c>
      <c r="P531" s="378"/>
      <c r="Q531" s="378"/>
      <c r="R531" s="378"/>
      <c r="S531" s="378" t="str">
        <f>IF(R531="","", IF(ARBITRAGES!$H531="RAY",S530+ARBITRAGES!$K531,S530))</f>
        <v/>
      </c>
      <c r="T531" s="360"/>
      <c r="U531" s="360"/>
      <c r="V531" s="360"/>
      <c r="W531" s="360"/>
      <c r="X531" s="360"/>
      <c r="Y531" s="360"/>
      <c r="Z531" s="360"/>
      <c r="AA531" s="360"/>
      <c r="AB531" s="360"/>
      <c r="AC531" s="360"/>
      <c r="AD531" s="360"/>
      <c r="AE531" s="360"/>
      <c r="AF531" s="360"/>
      <c r="AG531" s="360"/>
      <c r="AH531" s="360"/>
    </row>
    <row r="532" ht="18.75" customHeight="1">
      <c r="A532" s="399"/>
      <c r="B532" s="375" t="str">
        <f>IF(A532="","", IF(ARBITRAGES!$H532="BTC",B531+ARBITRAGES!$K532,B531))</f>
        <v/>
      </c>
      <c r="C532" s="375" t="str">
        <f>IF(B532="","", IF(ARBITRAGES!$H532="eth",C531+ARBITRAGES!$K532,C531))</f>
        <v/>
      </c>
      <c r="D532" s="376" t="str">
        <f>IF(C532="","", IF(ARBITRAGES!$H532="ondo",D531+ARBITRAGES!$K532,D531))</f>
        <v/>
      </c>
      <c r="E532" s="376" t="str">
        <f>IF(D532="","", IF(ARBITRAGES!$H532="sol",E531+ARBITRAGES!$K532,E531))</f>
        <v/>
      </c>
      <c r="F532" s="377" t="str">
        <f>IF(E532="","", IF(ARBITRAGES!$H532="tao",F531+ARBITRAGES!$K532,F531))</f>
        <v/>
      </c>
      <c r="G532" s="378" t="str">
        <f>IF(F532="","", IF(ARBITRAGES!$H532="ron",G531+ARBITRAGES!$K532,G531))</f>
        <v/>
      </c>
      <c r="H532" s="378" t="str">
        <f>IF(G532="","", IF(ARBITRAGES!$H532="link",H531+ARBITRAGES!$K532,H531))</f>
        <v/>
      </c>
      <c r="I532" s="378" t="str">
        <f>IF(H532="","", IF(ARBITRAGES!$H532="doge",I531+ARBITRAGES!$K532,I531))</f>
        <v/>
      </c>
      <c r="J532" s="378" t="str">
        <f>IF(I532="","", IF(ARBITRAGES!$H532="shib",J531-ARBITRAGES!$K532,J531))</f>
        <v/>
      </c>
      <c r="K532" s="378" t="str">
        <f>IF(J532="","", IF(ARBITRAGES!$H532="cake",K531+ARBITRAGES!$K532,K531))</f>
        <v/>
      </c>
      <c r="L532" s="378" t="str">
        <f>IF(K532="","", IF(ARBITRAGES!$H532="JUP",L531+ARBITRAGES!$K532,L531))</f>
        <v/>
      </c>
      <c r="M532" s="376" t="str">
        <f>IF(L532="","", IF(ARBITRAGES!$H532="aave",M531+ARBITRAGES!$K532,M531))</f>
        <v/>
      </c>
      <c r="N532" s="378" t="str">
        <f>IF(M532="","", IF(ARBITRAGES!$H532="ckb",N531+ARBITRAGES!$K532,N531))</f>
        <v/>
      </c>
      <c r="O532" s="378" t="str">
        <f>IF(N532="","", IF(ARBITRAGES!$H532="pendle",O531-ARBITRAGES!$K532+0.1,O531))</f>
        <v/>
      </c>
      <c r="P532" s="378"/>
      <c r="Q532" s="378"/>
      <c r="R532" s="378"/>
      <c r="S532" s="378" t="str">
        <f>IF(R532="","", IF(ARBITRAGES!$H532="RAY",S531+ARBITRAGES!$K532,S531))</f>
        <v/>
      </c>
      <c r="T532" s="360"/>
      <c r="U532" s="360"/>
      <c r="V532" s="360"/>
      <c r="W532" s="360"/>
      <c r="X532" s="360"/>
      <c r="Y532" s="360"/>
      <c r="Z532" s="360"/>
      <c r="AA532" s="360"/>
      <c r="AB532" s="360"/>
      <c r="AC532" s="360"/>
      <c r="AD532" s="360"/>
      <c r="AE532" s="360"/>
      <c r="AF532" s="360"/>
      <c r="AG532" s="360"/>
      <c r="AH532" s="360"/>
    </row>
    <row r="533" ht="18.75" customHeight="1">
      <c r="A533" s="399"/>
      <c r="B533" s="375" t="str">
        <f>IF(A533="","", IF(ARBITRAGES!$H533="BTC",B532+ARBITRAGES!$K533,B532))</f>
        <v/>
      </c>
      <c r="C533" s="375" t="str">
        <f>IF(B533="","", IF(ARBITRAGES!$H533="eth",C532+ARBITRAGES!$K533,C532))</f>
        <v/>
      </c>
      <c r="D533" s="376" t="str">
        <f>IF(C533="","", IF(ARBITRAGES!$H533="ondo",D532+ARBITRAGES!$K533,D532))</f>
        <v/>
      </c>
      <c r="E533" s="376" t="str">
        <f>IF(D533="","", IF(ARBITRAGES!$H533="sol",E532+ARBITRAGES!$K533,E532))</f>
        <v/>
      </c>
      <c r="F533" s="377" t="str">
        <f>IF(E533="","", IF(ARBITRAGES!$H533="tao",F532+ARBITRAGES!$K533,F532))</f>
        <v/>
      </c>
      <c r="G533" s="378" t="str">
        <f>IF(F533="","", IF(ARBITRAGES!$H533="ron",G532+ARBITRAGES!$K533,G532))</f>
        <v/>
      </c>
      <c r="H533" s="378" t="str">
        <f>IF(G533="","", IF(ARBITRAGES!$H533="link",H532+ARBITRAGES!$K533,H532))</f>
        <v/>
      </c>
      <c r="I533" s="378" t="str">
        <f>IF(H533="","", IF(ARBITRAGES!$H533="doge",I532+ARBITRAGES!$K533,I532))</f>
        <v/>
      </c>
      <c r="J533" s="378" t="str">
        <f>IF(I533="","", IF(ARBITRAGES!$H533="shib",J532-ARBITRAGES!$K533,J532))</f>
        <v/>
      </c>
      <c r="K533" s="378" t="str">
        <f>IF(J533="","", IF(ARBITRAGES!$H533="cake",K532+ARBITRAGES!$K533,K532))</f>
        <v/>
      </c>
      <c r="L533" s="378" t="str">
        <f>IF(K533="","", IF(ARBITRAGES!$H533="JUP",L532+ARBITRAGES!$K533,L532))</f>
        <v/>
      </c>
      <c r="M533" s="376" t="str">
        <f>IF(L533="","", IF(ARBITRAGES!$H533="aave",M532+ARBITRAGES!$K533,M532))</f>
        <v/>
      </c>
      <c r="N533" s="378" t="str">
        <f>IF(M533="","", IF(ARBITRAGES!$H533="ckb",N532+ARBITRAGES!$K533,N532))</f>
        <v/>
      </c>
      <c r="O533" s="378" t="str">
        <f>IF(N533="","", IF(ARBITRAGES!$H533="pendle",O532-ARBITRAGES!$K533+0.1,O532))</f>
        <v/>
      </c>
      <c r="P533" s="378"/>
      <c r="Q533" s="378"/>
      <c r="R533" s="378"/>
      <c r="S533" s="378" t="str">
        <f>IF(R533="","", IF(ARBITRAGES!$H533="RAY",S532+ARBITRAGES!$K533,S532))</f>
        <v/>
      </c>
      <c r="T533" s="360"/>
      <c r="U533" s="360"/>
      <c r="V533" s="360"/>
      <c r="W533" s="360"/>
      <c r="X533" s="360"/>
      <c r="Y533" s="360"/>
      <c r="Z533" s="360"/>
      <c r="AA533" s="360"/>
      <c r="AB533" s="360"/>
      <c r="AC533" s="360"/>
      <c r="AD533" s="360"/>
      <c r="AE533" s="360"/>
      <c r="AF533" s="360"/>
      <c r="AG533" s="360"/>
      <c r="AH533" s="360"/>
    </row>
    <row r="534" ht="18.75" customHeight="1">
      <c r="A534" s="399"/>
      <c r="B534" s="375" t="str">
        <f>IF(A534="","", IF(ARBITRAGES!$H534="BTC",B533+ARBITRAGES!$K534,B533))</f>
        <v/>
      </c>
      <c r="C534" s="375" t="str">
        <f>IF(B534="","", IF(ARBITRAGES!$H534="eth",C533+ARBITRAGES!$K534,C533))</f>
        <v/>
      </c>
      <c r="D534" s="376" t="str">
        <f>IF(C534="","", IF(ARBITRAGES!$H534="ondo",D533+ARBITRAGES!$K534,D533))</f>
        <v/>
      </c>
      <c r="E534" s="376" t="str">
        <f>IF(D534="","", IF(ARBITRAGES!$H534="sol",E533+ARBITRAGES!$K534,E533))</f>
        <v/>
      </c>
      <c r="F534" s="377" t="str">
        <f>IF(E534="","", IF(ARBITRAGES!$H534="tao",F533+ARBITRAGES!$K534,F533))</f>
        <v/>
      </c>
      <c r="G534" s="378" t="str">
        <f>IF(F534="","", IF(ARBITRAGES!$H534="ron",G533+ARBITRAGES!$K534,G533))</f>
        <v/>
      </c>
      <c r="H534" s="378" t="str">
        <f>IF(G534="","", IF(ARBITRAGES!$H534="link",H533+ARBITRAGES!$K534,H533))</f>
        <v/>
      </c>
      <c r="I534" s="378" t="str">
        <f>IF(H534="","", IF(ARBITRAGES!$H534="doge",I533+ARBITRAGES!$K534,I533))</f>
        <v/>
      </c>
      <c r="J534" s="378" t="str">
        <f>IF(I534="","", IF(ARBITRAGES!$H534="shib",J533-ARBITRAGES!$K534,J533))</f>
        <v/>
      </c>
      <c r="K534" s="378" t="str">
        <f>IF(J534="","", IF(ARBITRAGES!$H534="cake",K533+ARBITRAGES!$K534,K533))</f>
        <v/>
      </c>
      <c r="L534" s="378" t="str">
        <f>IF(K534="","", IF(ARBITRAGES!$H534="JUP",L533+ARBITRAGES!$K534,L533))</f>
        <v/>
      </c>
      <c r="M534" s="376" t="str">
        <f>IF(L534="","", IF(ARBITRAGES!$H534="aave",M533+ARBITRAGES!$K534,M533))</f>
        <v/>
      </c>
      <c r="N534" s="378" t="str">
        <f>IF(M534="","", IF(ARBITRAGES!$H534="ckb",N533+ARBITRAGES!$K534,N533))</f>
        <v/>
      </c>
      <c r="O534" s="378" t="str">
        <f>IF(N534="","", IF(ARBITRAGES!$H534="pendle",O533-ARBITRAGES!$K534+0.1,O533))</f>
        <v/>
      </c>
      <c r="P534" s="378"/>
      <c r="Q534" s="378"/>
      <c r="R534" s="378"/>
      <c r="S534" s="378" t="str">
        <f>IF(R534="","", IF(ARBITRAGES!$H534="RAY",S533+ARBITRAGES!$K534,S533))</f>
        <v/>
      </c>
      <c r="T534" s="360"/>
      <c r="U534" s="360"/>
      <c r="V534" s="360"/>
      <c r="W534" s="360"/>
      <c r="X534" s="360"/>
      <c r="Y534" s="360"/>
      <c r="Z534" s="360"/>
      <c r="AA534" s="360"/>
      <c r="AB534" s="360"/>
      <c r="AC534" s="360"/>
      <c r="AD534" s="360"/>
      <c r="AE534" s="360"/>
      <c r="AF534" s="360"/>
      <c r="AG534" s="360"/>
      <c r="AH534" s="360"/>
    </row>
    <row r="535" ht="18.75" customHeight="1">
      <c r="A535" s="399"/>
      <c r="B535" s="375" t="str">
        <f>IF(A535="","", IF(ARBITRAGES!$H535="BTC",B534+ARBITRAGES!$K535,B534))</f>
        <v/>
      </c>
      <c r="C535" s="375" t="str">
        <f>IF(B535="","", IF(ARBITRAGES!$H535="eth",C534+ARBITRAGES!$K535,C534))</f>
        <v/>
      </c>
      <c r="D535" s="376" t="str">
        <f>IF(C535="","", IF(ARBITRAGES!$H535="ondo",D534+ARBITRAGES!$K535,D534))</f>
        <v/>
      </c>
      <c r="E535" s="376" t="str">
        <f>IF(D535="","", IF(ARBITRAGES!$H535="sol",E534+ARBITRAGES!$K535,E534))</f>
        <v/>
      </c>
      <c r="F535" s="377" t="str">
        <f>IF(E535="","", IF(ARBITRAGES!$H535="tao",F534+ARBITRAGES!$K535,F534))</f>
        <v/>
      </c>
      <c r="G535" s="378" t="str">
        <f>IF(F535="","", IF(ARBITRAGES!$H535="ron",G534+ARBITRAGES!$K535,G534))</f>
        <v/>
      </c>
      <c r="H535" s="378" t="str">
        <f>IF(G535="","", IF(ARBITRAGES!$H535="link",H534+ARBITRAGES!$K535,H534))</f>
        <v/>
      </c>
      <c r="I535" s="378" t="str">
        <f>IF(H535="","", IF(ARBITRAGES!$H535="doge",I534+ARBITRAGES!$K535,I534))</f>
        <v/>
      </c>
      <c r="J535" s="378" t="str">
        <f>IF(I535="","", IF(ARBITRAGES!$H535="shib",J534-ARBITRAGES!$K535,J534))</f>
        <v/>
      </c>
      <c r="K535" s="378" t="str">
        <f>IF(J535="","", IF(ARBITRAGES!$H535="cake",K534+ARBITRAGES!$K535,K534))</f>
        <v/>
      </c>
      <c r="L535" s="378" t="str">
        <f>IF(K535="","", IF(ARBITRAGES!$H535="JUP",L534+ARBITRAGES!$K535,L534))</f>
        <v/>
      </c>
      <c r="M535" s="376" t="str">
        <f>IF(L535="","", IF(ARBITRAGES!$H535="aave",M534+ARBITRAGES!$K535,M534))</f>
        <v/>
      </c>
      <c r="N535" s="378" t="str">
        <f>IF(M535="","", IF(ARBITRAGES!$H535="ckb",N534+ARBITRAGES!$K535,N534))</f>
        <v/>
      </c>
      <c r="O535" s="378" t="str">
        <f>IF(N535="","", IF(ARBITRAGES!$H535="pendle",O534-ARBITRAGES!$K535+0.1,O534))</f>
        <v/>
      </c>
      <c r="P535" s="378"/>
      <c r="Q535" s="378"/>
      <c r="R535" s="378"/>
      <c r="S535" s="378" t="str">
        <f>IF(R535="","", IF(ARBITRAGES!$H535="RAY",S534+ARBITRAGES!$K535,S534))</f>
        <v/>
      </c>
      <c r="T535" s="360"/>
      <c r="U535" s="360"/>
      <c r="V535" s="360"/>
      <c r="W535" s="360"/>
      <c r="X535" s="360"/>
      <c r="Y535" s="360"/>
      <c r="Z535" s="360"/>
      <c r="AA535" s="360"/>
      <c r="AB535" s="360"/>
      <c r="AC535" s="360"/>
      <c r="AD535" s="360"/>
      <c r="AE535" s="360"/>
      <c r="AF535" s="360"/>
      <c r="AG535" s="360"/>
      <c r="AH535" s="360"/>
    </row>
    <row r="536" ht="18.75" customHeight="1">
      <c r="A536" s="399"/>
      <c r="B536" s="375" t="str">
        <f>IF(A536="","", IF(ARBITRAGES!$H536="BTC",B535+ARBITRAGES!$K536,B535))</f>
        <v/>
      </c>
      <c r="C536" s="375" t="str">
        <f>IF(B536="","", IF(ARBITRAGES!$H536="eth",C535+ARBITRAGES!$K536,C535))</f>
        <v/>
      </c>
      <c r="D536" s="376" t="str">
        <f>IF(C536="","", IF(ARBITRAGES!$H536="ondo",D535+ARBITRAGES!$K536,D535))</f>
        <v/>
      </c>
      <c r="E536" s="376" t="str">
        <f>IF(D536="","", IF(ARBITRAGES!$H536="sol",E535+ARBITRAGES!$K536,E535))</f>
        <v/>
      </c>
      <c r="F536" s="377" t="str">
        <f>IF(E536="","", IF(ARBITRAGES!$H536="tao",F535+ARBITRAGES!$K536,F535))</f>
        <v/>
      </c>
      <c r="G536" s="378" t="str">
        <f>IF(F536="","", IF(ARBITRAGES!$H536="ron",G535+ARBITRAGES!$K536,G535))</f>
        <v/>
      </c>
      <c r="H536" s="378" t="str">
        <f>IF(G536="","", IF(ARBITRAGES!$H536="link",H535+ARBITRAGES!$K536,H535))</f>
        <v/>
      </c>
      <c r="I536" s="378" t="str">
        <f>IF(H536="","", IF(ARBITRAGES!$H536="doge",I535+ARBITRAGES!$K536,I535))</f>
        <v/>
      </c>
      <c r="J536" s="378" t="str">
        <f>IF(I536="","", IF(ARBITRAGES!$H536="shib",J535-ARBITRAGES!$K536,J535))</f>
        <v/>
      </c>
      <c r="K536" s="378" t="str">
        <f>IF(J536="","", IF(ARBITRAGES!$H536="cake",K535+ARBITRAGES!$K536,K535))</f>
        <v/>
      </c>
      <c r="L536" s="378" t="str">
        <f>IF(K536="","", IF(ARBITRAGES!$H536="JUP",L535+ARBITRAGES!$K536,L535))</f>
        <v/>
      </c>
      <c r="M536" s="376" t="str">
        <f>IF(L536="","", IF(ARBITRAGES!$H536="aave",M535+ARBITRAGES!$K536,M535))</f>
        <v/>
      </c>
      <c r="N536" s="378" t="str">
        <f>IF(M536="","", IF(ARBITRAGES!$H536="ckb",N535+ARBITRAGES!$K536,N535))</f>
        <v/>
      </c>
      <c r="O536" s="378" t="str">
        <f>IF(N536="","", IF(ARBITRAGES!$H536="pendle",O535-ARBITRAGES!$K536+0.1,O535))</f>
        <v/>
      </c>
      <c r="P536" s="378"/>
      <c r="Q536" s="378"/>
      <c r="R536" s="378"/>
      <c r="S536" s="378" t="str">
        <f>IF(R536="","", IF(ARBITRAGES!$H536="RAY",S535+ARBITRAGES!$K536,S535))</f>
        <v/>
      </c>
      <c r="T536" s="360"/>
      <c r="U536" s="360"/>
      <c r="V536" s="360"/>
      <c r="W536" s="360"/>
      <c r="X536" s="360"/>
      <c r="Y536" s="360"/>
      <c r="Z536" s="360"/>
      <c r="AA536" s="360"/>
      <c r="AB536" s="360"/>
      <c r="AC536" s="360"/>
      <c r="AD536" s="360"/>
      <c r="AE536" s="360"/>
      <c r="AF536" s="360"/>
      <c r="AG536" s="360"/>
      <c r="AH536" s="360"/>
    </row>
    <row r="537" ht="18.75" customHeight="1">
      <c r="A537" s="399"/>
      <c r="B537" s="375" t="str">
        <f>IF(A537="","", IF(ARBITRAGES!$H537="BTC",B536+ARBITRAGES!$K537,B536))</f>
        <v/>
      </c>
      <c r="C537" s="375" t="str">
        <f>IF(B537="","", IF(ARBITRAGES!$H537="eth",C536+ARBITRAGES!$K537,C536))</f>
        <v/>
      </c>
      <c r="D537" s="376" t="str">
        <f>IF(C537="","", IF(ARBITRAGES!$H537="ondo",D536+ARBITRAGES!$K537,D536))</f>
        <v/>
      </c>
      <c r="E537" s="376" t="str">
        <f>IF(D537="","", IF(ARBITRAGES!$H537="sol",E536+ARBITRAGES!$K537,E536))</f>
        <v/>
      </c>
      <c r="F537" s="377" t="str">
        <f>IF(E537="","", IF(ARBITRAGES!$H537="tao",F536+ARBITRAGES!$K537,F536))</f>
        <v/>
      </c>
      <c r="G537" s="378" t="str">
        <f>IF(F537="","", IF(ARBITRAGES!$H537="ron",G536+ARBITRAGES!$K537,G536))</f>
        <v/>
      </c>
      <c r="H537" s="378" t="str">
        <f>IF(G537="","", IF(ARBITRAGES!$H537="link",H536+ARBITRAGES!$K537,H536))</f>
        <v/>
      </c>
      <c r="I537" s="378" t="str">
        <f>IF(H537="","", IF(ARBITRAGES!$H537="doge",I536+ARBITRAGES!$K537,I536))</f>
        <v/>
      </c>
      <c r="J537" s="378" t="str">
        <f>IF(I537="","", IF(ARBITRAGES!$H537="shib",J536-ARBITRAGES!$K537,J536))</f>
        <v/>
      </c>
      <c r="K537" s="378" t="str">
        <f>IF(J537="","", IF(ARBITRAGES!$H537="cake",K536+ARBITRAGES!$K537,K536))</f>
        <v/>
      </c>
      <c r="L537" s="378" t="str">
        <f>IF(K537="","", IF(ARBITRAGES!$H537="JUP",L536+ARBITRAGES!$K537,L536))</f>
        <v/>
      </c>
      <c r="M537" s="376" t="str">
        <f>IF(L537="","", IF(ARBITRAGES!$H537="aave",M536+ARBITRAGES!$K537,M536))</f>
        <v/>
      </c>
      <c r="N537" s="378" t="str">
        <f>IF(M537="","", IF(ARBITRAGES!$H537="ckb",N536+ARBITRAGES!$K537,N536))</f>
        <v/>
      </c>
      <c r="O537" s="378" t="str">
        <f>IF(N537="","", IF(ARBITRAGES!$H537="pendle",O536-ARBITRAGES!$K537+0.1,O536))</f>
        <v/>
      </c>
      <c r="P537" s="378"/>
      <c r="Q537" s="378"/>
      <c r="R537" s="378"/>
      <c r="S537" s="378" t="str">
        <f>IF(R537="","", IF(ARBITRAGES!$H537="RAY",S536+ARBITRAGES!$K537,S536))</f>
        <v/>
      </c>
      <c r="T537" s="360"/>
      <c r="U537" s="360"/>
      <c r="V537" s="360"/>
      <c r="W537" s="360"/>
      <c r="X537" s="360"/>
      <c r="Y537" s="360"/>
      <c r="Z537" s="360"/>
      <c r="AA537" s="360"/>
      <c r="AB537" s="360"/>
      <c r="AC537" s="360"/>
      <c r="AD537" s="360"/>
      <c r="AE537" s="360"/>
      <c r="AF537" s="360"/>
      <c r="AG537" s="360"/>
      <c r="AH537" s="360"/>
    </row>
    <row r="538" ht="18.75" customHeight="1">
      <c r="A538" s="399"/>
      <c r="B538" s="375" t="str">
        <f>IF(A538="","", IF(ARBITRAGES!$H538="BTC",B537+ARBITRAGES!$K538,B537))</f>
        <v/>
      </c>
      <c r="C538" s="375" t="str">
        <f>IF(B538="","", IF(ARBITRAGES!$H538="eth",C537+ARBITRAGES!$K538,C537))</f>
        <v/>
      </c>
      <c r="D538" s="376" t="str">
        <f>IF(C538="","", IF(ARBITRAGES!$H538="ondo",D537+ARBITRAGES!$K538,D537))</f>
        <v/>
      </c>
      <c r="E538" s="376" t="str">
        <f>IF(D538="","", IF(ARBITRAGES!$H538="sol",E537+ARBITRAGES!$K538,E537))</f>
        <v/>
      </c>
      <c r="F538" s="377" t="str">
        <f>IF(E538="","", IF(ARBITRAGES!$H538="tao",F537+ARBITRAGES!$K538,F537))</f>
        <v/>
      </c>
      <c r="G538" s="378" t="str">
        <f>IF(F538="","", IF(ARBITRAGES!$H538="ron",G537+ARBITRAGES!$K538,G537))</f>
        <v/>
      </c>
      <c r="H538" s="378" t="str">
        <f>IF(G538="","", IF(ARBITRAGES!$H538="link",H537+ARBITRAGES!$K538,H537))</f>
        <v/>
      </c>
      <c r="I538" s="378" t="str">
        <f>IF(H538="","", IF(ARBITRAGES!$H538="doge",I537+ARBITRAGES!$K538,I537))</f>
        <v/>
      </c>
      <c r="J538" s="378" t="str">
        <f>IF(I538="","", IF(ARBITRAGES!$H538="shib",J537-ARBITRAGES!$K538,J537))</f>
        <v/>
      </c>
      <c r="K538" s="378" t="str">
        <f>IF(J538="","", IF(ARBITRAGES!$H538="cake",K537+ARBITRAGES!$K538,K537))</f>
        <v/>
      </c>
      <c r="L538" s="378" t="str">
        <f>IF(K538="","", IF(ARBITRAGES!$H538="JUP",L537+ARBITRAGES!$K538,L537))</f>
        <v/>
      </c>
      <c r="M538" s="376" t="str">
        <f>IF(L538="","", IF(ARBITRAGES!$H538="aave",M537+ARBITRAGES!$K538,M537))</f>
        <v/>
      </c>
      <c r="N538" s="378" t="str">
        <f>IF(M538="","", IF(ARBITRAGES!$H538="ckb",N537+ARBITRAGES!$K538,N537))</f>
        <v/>
      </c>
      <c r="O538" s="378" t="str">
        <f>IF(N538="","", IF(ARBITRAGES!$H538="pendle",O537-ARBITRAGES!$K538+0.1,O537))</f>
        <v/>
      </c>
      <c r="P538" s="378"/>
      <c r="Q538" s="378"/>
      <c r="R538" s="378"/>
      <c r="S538" s="378" t="str">
        <f>IF(R538="","", IF(ARBITRAGES!$H538="RAY",S537+ARBITRAGES!$K538,S537))</f>
        <v/>
      </c>
      <c r="T538" s="360"/>
      <c r="U538" s="360"/>
      <c r="V538" s="360"/>
      <c r="W538" s="360"/>
      <c r="X538" s="360"/>
      <c r="Y538" s="360"/>
      <c r="Z538" s="360"/>
      <c r="AA538" s="360"/>
      <c r="AB538" s="360"/>
      <c r="AC538" s="360"/>
      <c r="AD538" s="360"/>
      <c r="AE538" s="360"/>
      <c r="AF538" s="360"/>
      <c r="AG538" s="360"/>
      <c r="AH538" s="360"/>
    </row>
    <row r="539" ht="18.75" customHeight="1">
      <c r="A539" s="399"/>
      <c r="B539" s="375" t="str">
        <f>IF(A539="","", IF(ARBITRAGES!$H539="BTC",B538+ARBITRAGES!$K539,B538))</f>
        <v/>
      </c>
      <c r="C539" s="375" t="str">
        <f>IF(B539="","", IF(ARBITRAGES!$H539="eth",C538+ARBITRAGES!$K539,C538))</f>
        <v/>
      </c>
      <c r="D539" s="376" t="str">
        <f>IF(C539="","", IF(ARBITRAGES!$H539="ondo",D538+ARBITRAGES!$K539,D538))</f>
        <v/>
      </c>
      <c r="E539" s="376" t="str">
        <f>IF(D539="","", IF(ARBITRAGES!$H539="sol",E538+ARBITRAGES!$K539,E538))</f>
        <v/>
      </c>
      <c r="F539" s="377" t="str">
        <f>IF(E539="","", IF(ARBITRAGES!$H539="tao",F538+ARBITRAGES!$K539,F538))</f>
        <v/>
      </c>
      <c r="G539" s="378" t="str">
        <f>IF(F539="","", IF(ARBITRAGES!$H539="ron",G538+ARBITRAGES!$K539,G538))</f>
        <v/>
      </c>
      <c r="H539" s="378" t="str">
        <f>IF(G539="","", IF(ARBITRAGES!$H539="link",H538+ARBITRAGES!$K539,H538))</f>
        <v/>
      </c>
      <c r="I539" s="378" t="str">
        <f>IF(H539="","", IF(ARBITRAGES!$H539="doge",I538+ARBITRAGES!$K539,I538))</f>
        <v/>
      </c>
      <c r="J539" s="378" t="str">
        <f>IF(I539="","", IF(ARBITRAGES!$H539="shib",J538-ARBITRAGES!$K539,J538))</f>
        <v/>
      </c>
      <c r="K539" s="378" t="str">
        <f>IF(J539="","", IF(ARBITRAGES!$H539="cake",K538+ARBITRAGES!$K539,K538))</f>
        <v/>
      </c>
      <c r="L539" s="378" t="str">
        <f>IF(K539="","", IF(ARBITRAGES!$H539="JUP",L538+ARBITRAGES!$K539,L538))</f>
        <v/>
      </c>
      <c r="M539" s="376" t="str">
        <f>IF(L539="","", IF(ARBITRAGES!$H539="aave",M538+ARBITRAGES!$K539,M538))</f>
        <v/>
      </c>
      <c r="N539" s="378" t="str">
        <f>IF(M539="","", IF(ARBITRAGES!$H539="ckb",N538+ARBITRAGES!$K539,N538))</f>
        <v/>
      </c>
      <c r="O539" s="378" t="str">
        <f>IF(N539="","", IF(ARBITRAGES!$H539="pendle",O538-ARBITRAGES!$K539+0.1,O538))</f>
        <v/>
      </c>
      <c r="P539" s="378"/>
      <c r="Q539" s="378"/>
      <c r="R539" s="378"/>
      <c r="S539" s="378" t="str">
        <f>IF(R539="","", IF(ARBITRAGES!$H539="RAY",S538+ARBITRAGES!$K539,S538))</f>
        <v/>
      </c>
      <c r="T539" s="360"/>
      <c r="U539" s="360"/>
      <c r="V539" s="360"/>
      <c r="W539" s="360"/>
      <c r="X539" s="360"/>
      <c r="Y539" s="360"/>
      <c r="Z539" s="360"/>
      <c r="AA539" s="360"/>
      <c r="AB539" s="360"/>
      <c r="AC539" s="360"/>
      <c r="AD539" s="360"/>
      <c r="AE539" s="360"/>
      <c r="AF539" s="360"/>
      <c r="AG539" s="360"/>
      <c r="AH539" s="360"/>
    </row>
    <row r="540" ht="18.75" customHeight="1">
      <c r="A540" s="399"/>
      <c r="B540" s="375" t="str">
        <f>IF(A540="","", IF(ARBITRAGES!$H540="BTC",B539+ARBITRAGES!$K540,B539))</f>
        <v/>
      </c>
      <c r="C540" s="375" t="str">
        <f>IF(B540="","", IF(ARBITRAGES!$H540="eth",C539+ARBITRAGES!$K540,C539))</f>
        <v/>
      </c>
      <c r="D540" s="376" t="str">
        <f>IF(C540="","", IF(ARBITRAGES!$H540="ondo",D539+ARBITRAGES!$K540,D539))</f>
        <v/>
      </c>
      <c r="E540" s="376" t="str">
        <f>IF(D540="","", IF(ARBITRAGES!$H540="sol",E539+ARBITRAGES!$K540,E539))</f>
        <v/>
      </c>
      <c r="F540" s="377" t="str">
        <f>IF(E540="","", IF(ARBITRAGES!$H540="tao",F539+ARBITRAGES!$K540,F539))</f>
        <v/>
      </c>
      <c r="G540" s="378" t="str">
        <f>IF(F540="","", IF(ARBITRAGES!$H540="ron",G539+ARBITRAGES!$K540,G539))</f>
        <v/>
      </c>
      <c r="H540" s="378" t="str">
        <f>IF(G540="","", IF(ARBITRAGES!$H540="link",H539+ARBITRAGES!$K540,H539))</f>
        <v/>
      </c>
      <c r="I540" s="378" t="str">
        <f>IF(H540="","", IF(ARBITRAGES!$H540="doge",I539+ARBITRAGES!$K540,I539))</f>
        <v/>
      </c>
      <c r="J540" s="378" t="str">
        <f>IF(I540="","", IF(ARBITRAGES!$H540="shib",J539-ARBITRAGES!$K540,J539))</f>
        <v/>
      </c>
      <c r="K540" s="378" t="str">
        <f>IF(J540="","", IF(ARBITRAGES!$H540="cake",K539+ARBITRAGES!$K540,K539))</f>
        <v/>
      </c>
      <c r="L540" s="378" t="str">
        <f>IF(K540="","", IF(ARBITRAGES!$H540="JUP",L539+ARBITRAGES!$K540,L539))</f>
        <v/>
      </c>
      <c r="M540" s="376" t="str">
        <f>IF(L540="","", IF(ARBITRAGES!$H540="aave",M539+ARBITRAGES!$K540,M539))</f>
        <v/>
      </c>
      <c r="N540" s="378" t="str">
        <f>IF(M540="","", IF(ARBITRAGES!$H540="ckb",N539+ARBITRAGES!$K540,N539))</f>
        <v/>
      </c>
      <c r="O540" s="378" t="str">
        <f>IF(N540="","", IF(ARBITRAGES!$H540="pendle",O539-ARBITRAGES!$K540+0.1,O539))</f>
        <v/>
      </c>
      <c r="P540" s="378"/>
      <c r="Q540" s="378"/>
      <c r="R540" s="378"/>
      <c r="S540" s="378" t="str">
        <f>IF(R540="","", IF(ARBITRAGES!$H540="RAY",S539+ARBITRAGES!$K540,S539))</f>
        <v/>
      </c>
      <c r="T540" s="360"/>
      <c r="U540" s="360"/>
      <c r="V540" s="360"/>
      <c r="W540" s="360"/>
      <c r="X540" s="360"/>
      <c r="Y540" s="360"/>
      <c r="Z540" s="360"/>
      <c r="AA540" s="360"/>
      <c r="AB540" s="360"/>
      <c r="AC540" s="360"/>
      <c r="AD540" s="360"/>
      <c r="AE540" s="360"/>
      <c r="AF540" s="360"/>
      <c r="AG540" s="360"/>
      <c r="AH540" s="360"/>
    </row>
    <row r="541" ht="18.75" customHeight="1">
      <c r="A541" s="399"/>
      <c r="B541" s="375" t="str">
        <f>IF(A541="","", IF(ARBITRAGES!$H541="BTC",B540+ARBITRAGES!$K541,B540))</f>
        <v/>
      </c>
      <c r="C541" s="375" t="str">
        <f>IF(B541="","", IF(ARBITRAGES!$H541="eth",C540+ARBITRAGES!$K541,C540))</f>
        <v/>
      </c>
      <c r="D541" s="376" t="str">
        <f>IF(C541="","", IF(ARBITRAGES!$H541="ondo",D540+ARBITRAGES!$K541,D540))</f>
        <v/>
      </c>
      <c r="E541" s="376" t="str">
        <f>IF(D541="","", IF(ARBITRAGES!$H541="sol",E540+ARBITRAGES!$K541,E540))</f>
        <v/>
      </c>
      <c r="F541" s="377" t="str">
        <f>IF(E541="","", IF(ARBITRAGES!$H541="tao",F540+ARBITRAGES!$K541,F540))</f>
        <v/>
      </c>
      <c r="G541" s="378" t="str">
        <f>IF(F541="","", IF(ARBITRAGES!$H541="ron",G540+ARBITRAGES!$K541,G540))</f>
        <v/>
      </c>
      <c r="H541" s="378" t="str">
        <f>IF(G541="","", IF(ARBITRAGES!$H541="link",H540+ARBITRAGES!$K541,H540))</f>
        <v/>
      </c>
      <c r="I541" s="378" t="str">
        <f>IF(H541="","", IF(ARBITRAGES!$H541="doge",I540+ARBITRAGES!$K541,I540))</f>
        <v/>
      </c>
      <c r="J541" s="378" t="str">
        <f>IF(I541="","", IF(ARBITRAGES!$H541="shib",J540-ARBITRAGES!$K541,J540))</f>
        <v/>
      </c>
      <c r="K541" s="378" t="str">
        <f>IF(J541="","", IF(ARBITRAGES!$H541="cake",K540+ARBITRAGES!$K541,K540))</f>
        <v/>
      </c>
      <c r="L541" s="378" t="str">
        <f>IF(K541="","", IF(ARBITRAGES!$H541="JUP",L540+ARBITRAGES!$K541,L540))</f>
        <v/>
      </c>
      <c r="M541" s="376" t="str">
        <f>IF(L541="","", IF(ARBITRAGES!$H541="aave",M540+ARBITRAGES!$K541,M540))</f>
        <v/>
      </c>
      <c r="N541" s="378" t="str">
        <f>IF(M541="","", IF(ARBITRAGES!$H541="ckb",N540+ARBITRAGES!$K541,N540))</f>
        <v/>
      </c>
      <c r="O541" s="378" t="str">
        <f>IF(N541="","", IF(ARBITRAGES!$H541="pendle",O540-ARBITRAGES!$K541+0.1,O540))</f>
        <v/>
      </c>
      <c r="P541" s="378"/>
      <c r="Q541" s="378"/>
      <c r="R541" s="378"/>
      <c r="S541" s="378" t="str">
        <f>IF(R541="","", IF(ARBITRAGES!$H541="RAY",S540+ARBITRAGES!$K541,S540))</f>
        <v/>
      </c>
      <c r="T541" s="360"/>
      <c r="U541" s="360"/>
      <c r="V541" s="360"/>
      <c r="W541" s="360"/>
      <c r="X541" s="360"/>
      <c r="Y541" s="360"/>
      <c r="Z541" s="360"/>
      <c r="AA541" s="360"/>
      <c r="AB541" s="360"/>
      <c r="AC541" s="360"/>
      <c r="AD541" s="360"/>
      <c r="AE541" s="360"/>
      <c r="AF541" s="360"/>
      <c r="AG541" s="360"/>
      <c r="AH541" s="360"/>
    </row>
    <row r="542" ht="18.75" customHeight="1">
      <c r="A542" s="399"/>
      <c r="B542" s="375" t="str">
        <f>IF(A542="","", IF(ARBITRAGES!$H542="BTC",B541+ARBITRAGES!$K542,B541))</f>
        <v/>
      </c>
      <c r="C542" s="375" t="str">
        <f>IF(B542="","", IF(ARBITRAGES!$H542="eth",C541+ARBITRAGES!$K542,C541))</f>
        <v/>
      </c>
      <c r="D542" s="376" t="str">
        <f>IF(C542="","", IF(ARBITRAGES!$H542="ondo",D541+ARBITRAGES!$K542,D541))</f>
        <v/>
      </c>
      <c r="E542" s="376" t="str">
        <f>IF(D542="","", IF(ARBITRAGES!$H542="sol",E541+ARBITRAGES!$K542,E541))</f>
        <v/>
      </c>
      <c r="F542" s="377" t="str">
        <f>IF(E542="","", IF(ARBITRAGES!$H542="tao",F541+ARBITRAGES!$K542,F541))</f>
        <v/>
      </c>
      <c r="G542" s="378" t="str">
        <f>IF(F542="","", IF(ARBITRAGES!$H542="ron",G541+ARBITRAGES!$K542,G541))</f>
        <v/>
      </c>
      <c r="H542" s="378" t="str">
        <f>IF(G542="","", IF(ARBITRAGES!$H542="link",H541+ARBITRAGES!$K542,H541))</f>
        <v/>
      </c>
      <c r="I542" s="378" t="str">
        <f>IF(H542="","", IF(ARBITRAGES!$H542="doge",I541+ARBITRAGES!$K542,I541))</f>
        <v/>
      </c>
      <c r="J542" s="378" t="str">
        <f>IF(I542="","", IF(ARBITRAGES!$H542="shib",J541-ARBITRAGES!$K542,J541))</f>
        <v/>
      </c>
      <c r="K542" s="378" t="str">
        <f>IF(J542="","", IF(ARBITRAGES!$H542="cake",K541+ARBITRAGES!$K542,K541))</f>
        <v/>
      </c>
      <c r="L542" s="378" t="str">
        <f>IF(K542="","", IF(ARBITRAGES!$H542="JUP",L541+ARBITRAGES!$K542,L541))</f>
        <v/>
      </c>
      <c r="M542" s="376" t="str">
        <f>IF(L542="","", IF(ARBITRAGES!$H542="aave",M541+ARBITRAGES!$K542,M541))</f>
        <v/>
      </c>
      <c r="N542" s="378" t="str">
        <f>IF(M542="","", IF(ARBITRAGES!$H542="ckb",N541+ARBITRAGES!$K542,N541))</f>
        <v/>
      </c>
      <c r="O542" s="378" t="str">
        <f>IF(N542="","", IF(ARBITRAGES!$H542="pendle",O541-ARBITRAGES!$K542+0.1,O541))</f>
        <v/>
      </c>
      <c r="P542" s="378"/>
      <c r="Q542" s="378"/>
      <c r="R542" s="378"/>
      <c r="S542" s="378" t="str">
        <f>IF(R542="","", IF(ARBITRAGES!$H542="RAY",S541+ARBITRAGES!$K542,S541))</f>
        <v/>
      </c>
      <c r="T542" s="360"/>
      <c r="U542" s="360"/>
      <c r="V542" s="360"/>
      <c r="W542" s="360"/>
      <c r="X542" s="360"/>
      <c r="Y542" s="360"/>
      <c r="Z542" s="360"/>
      <c r="AA542" s="360"/>
      <c r="AB542" s="360"/>
      <c r="AC542" s="360"/>
      <c r="AD542" s="360"/>
      <c r="AE542" s="360"/>
      <c r="AF542" s="360"/>
      <c r="AG542" s="360"/>
      <c r="AH542" s="360"/>
    </row>
    <row r="543" ht="18.75" customHeight="1">
      <c r="A543" s="399"/>
      <c r="B543" s="375" t="str">
        <f>IF(A543="","", IF(ARBITRAGES!$H543="BTC",B542+ARBITRAGES!$K543,B542))</f>
        <v/>
      </c>
      <c r="C543" s="375" t="str">
        <f>IF(B543="","", IF(ARBITRAGES!$H543="eth",C542+ARBITRAGES!$K543,C542))</f>
        <v/>
      </c>
      <c r="D543" s="376" t="str">
        <f>IF(C543="","", IF(ARBITRAGES!$H543="ondo",D542+ARBITRAGES!$K543,D542))</f>
        <v/>
      </c>
      <c r="E543" s="376" t="str">
        <f>IF(D543="","", IF(ARBITRAGES!$H543="sol",E542+ARBITRAGES!$K543,E542))</f>
        <v/>
      </c>
      <c r="F543" s="377" t="str">
        <f>IF(E543="","", IF(ARBITRAGES!$H543="tao",F542+ARBITRAGES!$K543,F542))</f>
        <v/>
      </c>
      <c r="G543" s="378" t="str">
        <f>IF(F543="","", IF(ARBITRAGES!$H543="ron",G542+ARBITRAGES!$K543,G542))</f>
        <v/>
      </c>
      <c r="H543" s="378" t="str">
        <f>IF(G543="","", IF(ARBITRAGES!$H543="link",H542+ARBITRAGES!$K543,H542))</f>
        <v/>
      </c>
      <c r="I543" s="378" t="str">
        <f>IF(H543="","", IF(ARBITRAGES!$H543="doge",I542+ARBITRAGES!$K543,I542))</f>
        <v/>
      </c>
      <c r="J543" s="378" t="str">
        <f>IF(I543="","", IF(ARBITRAGES!$H543="shib",J542-ARBITRAGES!$K543,J542))</f>
        <v/>
      </c>
      <c r="K543" s="378" t="str">
        <f>IF(J543="","", IF(ARBITRAGES!$H543="cake",K542+ARBITRAGES!$K543,K542))</f>
        <v/>
      </c>
      <c r="L543" s="378" t="str">
        <f>IF(K543="","", IF(ARBITRAGES!$H543="JUP",L542+ARBITRAGES!$K543,L542))</f>
        <v/>
      </c>
      <c r="M543" s="376" t="str">
        <f>IF(L543="","", IF(ARBITRAGES!$H543="aave",M542+ARBITRAGES!$K543,M542))</f>
        <v/>
      </c>
      <c r="N543" s="378" t="str">
        <f>IF(M543="","", IF(ARBITRAGES!$H543="ckb",N542+ARBITRAGES!$K543,N542))</f>
        <v/>
      </c>
      <c r="O543" s="378" t="str">
        <f>IF(N543="","", IF(ARBITRAGES!$H543="pendle",O542-ARBITRAGES!$K543+0.1,O542))</f>
        <v/>
      </c>
      <c r="P543" s="378"/>
      <c r="Q543" s="378"/>
      <c r="R543" s="378"/>
      <c r="S543" s="378" t="str">
        <f>IF(R543="","", IF(ARBITRAGES!$H543="RAY",S542+ARBITRAGES!$K543,S542))</f>
        <v/>
      </c>
      <c r="T543" s="360"/>
      <c r="U543" s="360"/>
      <c r="V543" s="360"/>
      <c r="W543" s="360"/>
      <c r="X543" s="360"/>
      <c r="Y543" s="360"/>
      <c r="Z543" s="360"/>
      <c r="AA543" s="360"/>
      <c r="AB543" s="360"/>
      <c r="AC543" s="360"/>
      <c r="AD543" s="360"/>
      <c r="AE543" s="360"/>
      <c r="AF543" s="360"/>
      <c r="AG543" s="360"/>
      <c r="AH543" s="360"/>
    </row>
    <row r="544" ht="18.75" customHeight="1">
      <c r="A544" s="399"/>
      <c r="B544" s="375" t="str">
        <f>IF(A544="","", IF(ARBITRAGES!$H544="BTC",B543+ARBITRAGES!$K544,B543))</f>
        <v/>
      </c>
      <c r="C544" s="375" t="str">
        <f>IF(B544="","", IF(ARBITRAGES!$H544="eth",C543+ARBITRAGES!$K544,C543))</f>
        <v/>
      </c>
      <c r="D544" s="376" t="str">
        <f>IF(C544="","", IF(ARBITRAGES!$H544="ondo",D543+ARBITRAGES!$K544,D543))</f>
        <v/>
      </c>
      <c r="E544" s="376" t="str">
        <f>IF(D544="","", IF(ARBITRAGES!$H544="sol",E543+ARBITRAGES!$K544,E543))</f>
        <v/>
      </c>
      <c r="F544" s="377" t="str">
        <f>IF(E544="","", IF(ARBITRAGES!$H544="tao",F543+ARBITRAGES!$K544,F543))</f>
        <v/>
      </c>
      <c r="G544" s="378" t="str">
        <f>IF(F544="","", IF(ARBITRAGES!$H544="ron",G543+ARBITRAGES!$K544,G543))</f>
        <v/>
      </c>
      <c r="H544" s="378" t="str">
        <f>IF(G544="","", IF(ARBITRAGES!$H544="link",H543+ARBITRAGES!$K544,H543))</f>
        <v/>
      </c>
      <c r="I544" s="378" t="str">
        <f>IF(H544="","", IF(ARBITRAGES!$H544="doge",I543+ARBITRAGES!$K544,I543))</f>
        <v/>
      </c>
      <c r="J544" s="378" t="str">
        <f>IF(I544="","", IF(ARBITRAGES!$H544="shib",J543-ARBITRAGES!$K544,J543))</f>
        <v/>
      </c>
      <c r="K544" s="378" t="str">
        <f>IF(J544="","", IF(ARBITRAGES!$H544="cake",K543+ARBITRAGES!$K544,K543))</f>
        <v/>
      </c>
      <c r="L544" s="378" t="str">
        <f>IF(K544="","", IF(ARBITRAGES!$H544="JUP",L543+ARBITRAGES!$K544,L543))</f>
        <v/>
      </c>
      <c r="M544" s="376" t="str">
        <f>IF(L544="","", IF(ARBITRAGES!$H544="aave",M543+ARBITRAGES!$K544,M543))</f>
        <v/>
      </c>
      <c r="N544" s="378" t="str">
        <f>IF(M544="","", IF(ARBITRAGES!$H544="ckb",N543+ARBITRAGES!$K544,N543))</f>
        <v/>
      </c>
      <c r="O544" s="378" t="str">
        <f>IF(N544="","", IF(ARBITRAGES!$H544="pendle",O543-ARBITRAGES!$K544+0.1,O543))</f>
        <v/>
      </c>
      <c r="P544" s="378"/>
      <c r="Q544" s="378"/>
      <c r="R544" s="378"/>
      <c r="S544" s="378" t="str">
        <f>IF(R544="","", IF(ARBITRAGES!$H544="RAY",S543+ARBITRAGES!$K544,S543))</f>
        <v/>
      </c>
      <c r="T544" s="360"/>
      <c r="U544" s="360"/>
      <c r="V544" s="360"/>
      <c r="W544" s="360"/>
      <c r="X544" s="360"/>
      <c r="Y544" s="360"/>
      <c r="Z544" s="360"/>
      <c r="AA544" s="360"/>
      <c r="AB544" s="360"/>
      <c r="AC544" s="360"/>
      <c r="AD544" s="360"/>
      <c r="AE544" s="360"/>
      <c r="AF544" s="360"/>
      <c r="AG544" s="360"/>
      <c r="AH544" s="360"/>
    </row>
    <row r="545" ht="18.75" customHeight="1">
      <c r="A545" s="399"/>
      <c r="B545" s="375" t="str">
        <f>IF(A545="","", IF(ARBITRAGES!$H545="BTC",B544+ARBITRAGES!$K545,B544))</f>
        <v/>
      </c>
      <c r="C545" s="375" t="str">
        <f>IF(B545="","", IF(ARBITRAGES!$H545="eth",C544+ARBITRAGES!$K545,C544))</f>
        <v/>
      </c>
      <c r="D545" s="376" t="str">
        <f>IF(C545="","", IF(ARBITRAGES!$H545="ondo",D544+ARBITRAGES!$K545,D544))</f>
        <v/>
      </c>
      <c r="E545" s="376" t="str">
        <f>IF(D545="","", IF(ARBITRAGES!$H545="sol",E544+ARBITRAGES!$K545,E544))</f>
        <v/>
      </c>
      <c r="F545" s="377" t="str">
        <f>IF(E545="","", IF(ARBITRAGES!$H545="tao",F544+ARBITRAGES!$K545,F544))</f>
        <v/>
      </c>
      <c r="G545" s="378" t="str">
        <f>IF(F545="","", IF(ARBITRAGES!$H545="ron",G544+ARBITRAGES!$K545,G544))</f>
        <v/>
      </c>
      <c r="H545" s="378" t="str">
        <f>IF(G545="","", IF(ARBITRAGES!$H545="link",H544+ARBITRAGES!$K545,H544))</f>
        <v/>
      </c>
      <c r="I545" s="378" t="str">
        <f>IF(H545="","", IF(ARBITRAGES!$H545="doge",I544+ARBITRAGES!$K545,I544))</f>
        <v/>
      </c>
      <c r="J545" s="378" t="str">
        <f>IF(I545="","", IF(ARBITRAGES!$H545="shib",J544-ARBITRAGES!$K545,J544))</f>
        <v/>
      </c>
      <c r="K545" s="378" t="str">
        <f>IF(J545="","", IF(ARBITRAGES!$H545="cake",K544+ARBITRAGES!$K545,K544))</f>
        <v/>
      </c>
      <c r="L545" s="378" t="str">
        <f>IF(K545="","", IF(ARBITRAGES!$H545="JUP",L544+ARBITRAGES!$K545,L544))</f>
        <v/>
      </c>
      <c r="M545" s="376" t="str">
        <f>IF(L545="","", IF(ARBITRAGES!$H545="aave",M544+ARBITRAGES!$K545,M544))</f>
        <v/>
      </c>
      <c r="N545" s="378" t="str">
        <f>IF(M545="","", IF(ARBITRAGES!$H545="ckb",N544+ARBITRAGES!$K545,N544))</f>
        <v/>
      </c>
      <c r="O545" s="378" t="str">
        <f>IF(N545="","", IF(ARBITRAGES!$H545="pendle",O544-ARBITRAGES!$K545+0.1,O544))</f>
        <v/>
      </c>
      <c r="P545" s="378"/>
      <c r="Q545" s="378"/>
      <c r="R545" s="378"/>
      <c r="S545" s="378" t="str">
        <f>IF(R545="","", IF(ARBITRAGES!$H545="RAY",S544+ARBITRAGES!$K545,S544))</f>
        <v/>
      </c>
      <c r="T545" s="360"/>
      <c r="U545" s="360"/>
      <c r="V545" s="360"/>
      <c r="W545" s="360"/>
      <c r="X545" s="360"/>
      <c r="Y545" s="360"/>
      <c r="Z545" s="360"/>
      <c r="AA545" s="360"/>
      <c r="AB545" s="360"/>
      <c r="AC545" s="360"/>
      <c r="AD545" s="360"/>
      <c r="AE545" s="360"/>
      <c r="AF545" s="360"/>
      <c r="AG545" s="360"/>
      <c r="AH545" s="360"/>
    </row>
    <row r="546" ht="18.75" customHeight="1">
      <c r="A546" s="399"/>
      <c r="B546" s="375" t="str">
        <f>IF(A546="","", IF(ARBITRAGES!$H546="BTC",B545+ARBITRAGES!$K546,B545))</f>
        <v/>
      </c>
      <c r="C546" s="375" t="str">
        <f>IF(B546="","", IF(ARBITRAGES!$H546="eth",C545+ARBITRAGES!$K546,C545))</f>
        <v/>
      </c>
      <c r="D546" s="376" t="str">
        <f>IF(C546="","", IF(ARBITRAGES!$H546="ondo",D545+ARBITRAGES!$K546,D545))</f>
        <v/>
      </c>
      <c r="E546" s="376" t="str">
        <f>IF(D546="","", IF(ARBITRAGES!$H546="sol",E545+ARBITRAGES!$K546,E545))</f>
        <v/>
      </c>
      <c r="F546" s="377" t="str">
        <f>IF(E546="","", IF(ARBITRAGES!$H546="tao",F545+ARBITRAGES!$K546,F545))</f>
        <v/>
      </c>
      <c r="G546" s="378" t="str">
        <f>IF(F546="","", IF(ARBITRAGES!$H546="ron",G545+ARBITRAGES!$K546,G545))</f>
        <v/>
      </c>
      <c r="H546" s="378" t="str">
        <f>IF(G546="","", IF(ARBITRAGES!$H546="link",H545+ARBITRAGES!$K546,H545))</f>
        <v/>
      </c>
      <c r="I546" s="378" t="str">
        <f>IF(H546="","", IF(ARBITRAGES!$H546="doge",I545+ARBITRAGES!$K546,I545))</f>
        <v/>
      </c>
      <c r="J546" s="378" t="str">
        <f>IF(I546="","", IF(ARBITRAGES!$H546="shib",J545-ARBITRAGES!$K546,J545))</f>
        <v/>
      </c>
      <c r="K546" s="378" t="str">
        <f>IF(J546="","", IF(ARBITRAGES!$H546="cake",K545+ARBITRAGES!$K546,K545))</f>
        <v/>
      </c>
      <c r="L546" s="378" t="str">
        <f>IF(K546="","", IF(ARBITRAGES!$H546="JUP",L545+ARBITRAGES!$K546,L545))</f>
        <v/>
      </c>
      <c r="M546" s="376" t="str">
        <f>IF(L546="","", IF(ARBITRAGES!$H546="aave",M545+ARBITRAGES!$K546,M545))</f>
        <v/>
      </c>
      <c r="N546" s="378" t="str">
        <f>IF(M546="","", IF(ARBITRAGES!$H546="ckb",N545+ARBITRAGES!$K546,N545))</f>
        <v/>
      </c>
      <c r="O546" s="378" t="str">
        <f>IF(N546="","", IF(ARBITRAGES!$H546="pendle",O545-ARBITRAGES!$K546+0.1,O545))</f>
        <v/>
      </c>
      <c r="P546" s="378"/>
      <c r="Q546" s="378"/>
      <c r="R546" s="378"/>
      <c r="S546" s="378" t="str">
        <f>IF(R546="","", IF(ARBITRAGES!$H546="RAY",S545+ARBITRAGES!$K546,S545))</f>
        <v/>
      </c>
      <c r="T546" s="360"/>
      <c r="U546" s="360"/>
      <c r="V546" s="360"/>
      <c r="W546" s="360"/>
      <c r="X546" s="360"/>
      <c r="Y546" s="360"/>
      <c r="Z546" s="360"/>
      <c r="AA546" s="360"/>
      <c r="AB546" s="360"/>
      <c r="AC546" s="360"/>
      <c r="AD546" s="360"/>
      <c r="AE546" s="360"/>
      <c r="AF546" s="360"/>
      <c r="AG546" s="360"/>
      <c r="AH546" s="360"/>
    </row>
    <row r="547" ht="18.75" customHeight="1">
      <c r="A547" s="399"/>
      <c r="B547" s="375" t="str">
        <f>IF(A547="","", IF(ARBITRAGES!$H547="BTC",B546+ARBITRAGES!$K547,B546))</f>
        <v/>
      </c>
      <c r="C547" s="375" t="str">
        <f>IF(B547="","", IF(ARBITRAGES!$H547="eth",C546+ARBITRAGES!$K547,C546))</f>
        <v/>
      </c>
      <c r="D547" s="376" t="str">
        <f>IF(C547="","", IF(ARBITRAGES!$H547="ondo",D546+ARBITRAGES!$K547,D546))</f>
        <v/>
      </c>
      <c r="E547" s="376" t="str">
        <f>IF(D547="","", IF(ARBITRAGES!$H547="sol",E546+ARBITRAGES!$K547,E546))</f>
        <v/>
      </c>
      <c r="F547" s="377" t="str">
        <f>IF(E547="","", IF(ARBITRAGES!$H547="tao",F546+ARBITRAGES!$K547,F546))</f>
        <v/>
      </c>
      <c r="G547" s="378" t="str">
        <f>IF(F547="","", IF(ARBITRAGES!$H547="ron",G546+ARBITRAGES!$K547,G546))</f>
        <v/>
      </c>
      <c r="H547" s="378" t="str">
        <f>IF(G547="","", IF(ARBITRAGES!$H547="link",H546+ARBITRAGES!$K547,H546))</f>
        <v/>
      </c>
      <c r="I547" s="378" t="str">
        <f>IF(H547="","", IF(ARBITRAGES!$H547="doge",I546+ARBITRAGES!$K547,I546))</f>
        <v/>
      </c>
      <c r="J547" s="378" t="str">
        <f>IF(I547="","", IF(ARBITRAGES!$H547="shib",J546-ARBITRAGES!$K547,J546))</f>
        <v/>
      </c>
      <c r="K547" s="378" t="str">
        <f>IF(J547="","", IF(ARBITRAGES!$H547="cake",K546+ARBITRAGES!$K547,K546))</f>
        <v/>
      </c>
      <c r="L547" s="378" t="str">
        <f>IF(K547="","", IF(ARBITRAGES!$H547="JUP",L546+ARBITRAGES!$K547,L546))</f>
        <v/>
      </c>
      <c r="M547" s="376" t="str">
        <f>IF(L547="","", IF(ARBITRAGES!$H547="aave",M546+ARBITRAGES!$K547,M546))</f>
        <v/>
      </c>
      <c r="N547" s="378" t="str">
        <f>IF(M547="","", IF(ARBITRAGES!$H547="ckb",N546+ARBITRAGES!$K547,N546))</f>
        <v/>
      </c>
      <c r="O547" s="378" t="str">
        <f>IF(N547="","", IF(ARBITRAGES!$H547="pendle",O546-ARBITRAGES!$K547+0.1,O546))</f>
        <v/>
      </c>
      <c r="P547" s="378"/>
      <c r="Q547" s="378"/>
      <c r="R547" s="378"/>
      <c r="S547" s="378" t="str">
        <f>IF(R547="","", IF(ARBITRAGES!$H547="RAY",S546+ARBITRAGES!$K547,S546))</f>
        <v/>
      </c>
      <c r="T547" s="360"/>
      <c r="U547" s="360"/>
      <c r="V547" s="360"/>
      <c r="W547" s="360"/>
      <c r="X547" s="360"/>
      <c r="Y547" s="360"/>
      <c r="Z547" s="360"/>
      <c r="AA547" s="360"/>
      <c r="AB547" s="360"/>
      <c r="AC547" s="360"/>
      <c r="AD547" s="360"/>
      <c r="AE547" s="360"/>
      <c r="AF547" s="360"/>
      <c r="AG547" s="360"/>
      <c r="AH547" s="360"/>
    </row>
    <row r="548" ht="18.75" customHeight="1">
      <c r="A548" s="399"/>
      <c r="B548" s="375" t="str">
        <f>IF(A548="","", IF(ARBITRAGES!$H548="BTC",B547+ARBITRAGES!$K548,B547))</f>
        <v/>
      </c>
      <c r="C548" s="375" t="str">
        <f>IF(B548="","", IF(ARBITRAGES!$H548="eth",C547+ARBITRAGES!$K548,C547))</f>
        <v/>
      </c>
      <c r="D548" s="376" t="str">
        <f>IF(C548="","", IF(ARBITRAGES!$H548="ondo",D547+ARBITRAGES!$K548,D547))</f>
        <v/>
      </c>
      <c r="E548" s="376" t="str">
        <f>IF(D548="","", IF(ARBITRAGES!$H548="sol",E547+ARBITRAGES!$K548,E547))</f>
        <v/>
      </c>
      <c r="F548" s="377" t="str">
        <f>IF(E548="","", IF(ARBITRAGES!$H548="tao",F547+ARBITRAGES!$K548,F547))</f>
        <v/>
      </c>
      <c r="G548" s="378" t="str">
        <f>IF(F548="","", IF(ARBITRAGES!$H548="ron",G547+ARBITRAGES!$K548,G547))</f>
        <v/>
      </c>
      <c r="H548" s="378" t="str">
        <f>IF(G548="","", IF(ARBITRAGES!$H548="link",H547+ARBITRAGES!$K548,H547))</f>
        <v/>
      </c>
      <c r="I548" s="378" t="str">
        <f>IF(H548="","", IF(ARBITRAGES!$H548="doge",I547+ARBITRAGES!$K548,I547))</f>
        <v/>
      </c>
      <c r="J548" s="378" t="str">
        <f>IF(I548="","", IF(ARBITRAGES!$H548="shib",J547-ARBITRAGES!$K548,J547))</f>
        <v/>
      </c>
      <c r="K548" s="378" t="str">
        <f>IF(J548="","", IF(ARBITRAGES!$H548="cake",K547+ARBITRAGES!$K548,K547))</f>
        <v/>
      </c>
      <c r="L548" s="378" t="str">
        <f>IF(K548="","", IF(ARBITRAGES!$H548="JUP",L547+ARBITRAGES!$K548,L547))</f>
        <v/>
      </c>
      <c r="M548" s="376" t="str">
        <f>IF(L548="","", IF(ARBITRAGES!$H548="aave",M547+ARBITRAGES!$K548,M547))</f>
        <v/>
      </c>
      <c r="N548" s="378" t="str">
        <f>IF(M548="","", IF(ARBITRAGES!$H548="ckb",N547+ARBITRAGES!$K548,N547))</f>
        <v/>
      </c>
      <c r="O548" s="378" t="str">
        <f>IF(N548="","", IF(ARBITRAGES!$H548="pendle",O547-ARBITRAGES!$K548+0.1,O547))</f>
        <v/>
      </c>
      <c r="P548" s="378"/>
      <c r="Q548" s="378"/>
      <c r="R548" s="378"/>
      <c r="S548" s="378" t="str">
        <f>IF(R548="","", IF(ARBITRAGES!$H548="RAY",S547+ARBITRAGES!$K548,S547))</f>
        <v/>
      </c>
      <c r="T548" s="360"/>
      <c r="U548" s="360"/>
      <c r="V548" s="360"/>
      <c r="W548" s="360"/>
      <c r="X548" s="360"/>
      <c r="Y548" s="360"/>
      <c r="Z548" s="360"/>
      <c r="AA548" s="360"/>
      <c r="AB548" s="360"/>
      <c r="AC548" s="360"/>
      <c r="AD548" s="360"/>
      <c r="AE548" s="360"/>
      <c r="AF548" s="360"/>
      <c r="AG548" s="360"/>
      <c r="AH548" s="360"/>
    </row>
    <row r="549" ht="18.75" customHeight="1">
      <c r="A549" s="399"/>
      <c r="B549" s="375" t="str">
        <f>IF(A549="","", IF(ARBITRAGES!$H549="BTC",B548+ARBITRAGES!$K549,B548))</f>
        <v/>
      </c>
      <c r="C549" s="375" t="str">
        <f>IF(B549="","", IF(ARBITRAGES!$H549="eth",C548+ARBITRAGES!$K549,C548))</f>
        <v/>
      </c>
      <c r="D549" s="376" t="str">
        <f>IF(C549="","", IF(ARBITRAGES!$H549="ondo",D548+ARBITRAGES!$K549,D548))</f>
        <v/>
      </c>
      <c r="E549" s="376" t="str">
        <f>IF(D549="","", IF(ARBITRAGES!$H549="sol",E548+ARBITRAGES!$K549,E548))</f>
        <v/>
      </c>
      <c r="F549" s="377" t="str">
        <f>IF(E549="","", IF(ARBITRAGES!$H549="tao",F548+ARBITRAGES!$K549,F548))</f>
        <v/>
      </c>
      <c r="G549" s="378" t="str">
        <f>IF(F549="","", IF(ARBITRAGES!$H549="ron",G548+ARBITRAGES!$K549,G548))</f>
        <v/>
      </c>
      <c r="H549" s="378" t="str">
        <f>IF(G549="","", IF(ARBITRAGES!$H549="link",H548+ARBITRAGES!$K549,H548))</f>
        <v/>
      </c>
      <c r="I549" s="378" t="str">
        <f>IF(H549="","", IF(ARBITRAGES!$H549="doge",I548+ARBITRAGES!$K549,I548))</f>
        <v/>
      </c>
      <c r="J549" s="378" t="str">
        <f>IF(I549="","", IF(ARBITRAGES!$H549="shib",J548-ARBITRAGES!$K549,J548))</f>
        <v/>
      </c>
      <c r="K549" s="378" t="str">
        <f>IF(J549="","", IF(ARBITRAGES!$H549="cake",K548+ARBITRAGES!$K549,K548))</f>
        <v/>
      </c>
      <c r="L549" s="378" t="str">
        <f>IF(K549="","", IF(ARBITRAGES!$H549="JUP",L548+ARBITRAGES!$K549,L548))</f>
        <v/>
      </c>
      <c r="M549" s="376" t="str">
        <f>IF(L549="","", IF(ARBITRAGES!$H549="aave",M548+ARBITRAGES!$K549,M548))</f>
        <v/>
      </c>
      <c r="N549" s="378" t="str">
        <f>IF(M549="","", IF(ARBITRAGES!$H549="ckb",N548+ARBITRAGES!$K549,N548))</f>
        <v/>
      </c>
      <c r="O549" s="378" t="str">
        <f>IF(N549="","", IF(ARBITRAGES!$H549="pendle",O548-ARBITRAGES!$K549+0.1,O548))</f>
        <v/>
      </c>
      <c r="P549" s="378"/>
      <c r="Q549" s="378"/>
      <c r="R549" s="378"/>
      <c r="S549" s="378" t="str">
        <f>IF(R549="","", IF(ARBITRAGES!$H549="RAY",S548+ARBITRAGES!$K549,S548))</f>
        <v/>
      </c>
      <c r="T549" s="360"/>
      <c r="U549" s="360"/>
      <c r="V549" s="360"/>
      <c r="W549" s="360"/>
      <c r="X549" s="360"/>
      <c r="Y549" s="360"/>
      <c r="Z549" s="360"/>
      <c r="AA549" s="360"/>
      <c r="AB549" s="360"/>
      <c r="AC549" s="360"/>
      <c r="AD549" s="360"/>
      <c r="AE549" s="360"/>
      <c r="AF549" s="360"/>
      <c r="AG549" s="360"/>
      <c r="AH549" s="360"/>
    </row>
    <row r="550" ht="18.75" customHeight="1">
      <c r="A550" s="399"/>
      <c r="B550" s="375" t="str">
        <f>IF(A550="","", IF(ARBITRAGES!$H550="BTC",B549+ARBITRAGES!$K550,B549))</f>
        <v/>
      </c>
      <c r="C550" s="375" t="str">
        <f>IF(B550="","", IF(ARBITRAGES!$H550="eth",C549+ARBITRAGES!$K550,C549))</f>
        <v/>
      </c>
      <c r="D550" s="376" t="str">
        <f>IF(C550="","", IF(ARBITRAGES!$H550="ondo",D549+ARBITRAGES!$K550,D549))</f>
        <v/>
      </c>
      <c r="E550" s="376" t="str">
        <f>IF(D550="","", IF(ARBITRAGES!$H550="sol",E549+ARBITRAGES!$K550,E549))</f>
        <v/>
      </c>
      <c r="F550" s="377" t="str">
        <f>IF(E550="","", IF(ARBITRAGES!$H550="tao",F549+ARBITRAGES!$K550,F549))</f>
        <v/>
      </c>
      <c r="G550" s="378" t="str">
        <f>IF(F550="","", IF(ARBITRAGES!$H550="ron",G549+ARBITRAGES!$K550,G549))</f>
        <v/>
      </c>
      <c r="H550" s="378" t="str">
        <f>IF(G550="","", IF(ARBITRAGES!$H550="link",H549+ARBITRAGES!$K550,H549))</f>
        <v/>
      </c>
      <c r="I550" s="378" t="str">
        <f>IF(H550="","", IF(ARBITRAGES!$H550="doge",I549+ARBITRAGES!$K550,I549))</f>
        <v/>
      </c>
      <c r="J550" s="378" t="str">
        <f>IF(I550="","", IF(ARBITRAGES!$H550="shib",J549-ARBITRAGES!$K550,J549))</f>
        <v/>
      </c>
      <c r="K550" s="378" t="str">
        <f>IF(J550="","", IF(ARBITRAGES!$H550="cake",K549+ARBITRAGES!$K550,K549))</f>
        <v/>
      </c>
      <c r="L550" s="378" t="str">
        <f>IF(K550="","", IF(ARBITRAGES!$H550="JUP",L549+ARBITRAGES!$K550,L549))</f>
        <v/>
      </c>
      <c r="M550" s="376" t="str">
        <f>IF(L550="","", IF(ARBITRAGES!$H550="aave",M549+ARBITRAGES!$K550,M549))</f>
        <v/>
      </c>
      <c r="N550" s="378" t="str">
        <f>IF(M550="","", IF(ARBITRAGES!$H550="ckb",N549+ARBITRAGES!$K550,N549))</f>
        <v/>
      </c>
      <c r="O550" s="378" t="str">
        <f>IF(N550="","", IF(ARBITRAGES!$H550="pendle",O549-ARBITRAGES!$K550+0.1,O549))</f>
        <v/>
      </c>
      <c r="P550" s="378"/>
      <c r="Q550" s="378"/>
      <c r="R550" s="378"/>
      <c r="S550" s="378" t="str">
        <f>IF(R550="","", IF(ARBITRAGES!$H550="RAY",S549+ARBITRAGES!$K550,S549))</f>
        <v/>
      </c>
      <c r="T550" s="360"/>
      <c r="U550" s="360"/>
      <c r="V550" s="360"/>
      <c r="W550" s="360"/>
      <c r="X550" s="360"/>
      <c r="Y550" s="360"/>
      <c r="Z550" s="360"/>
      <c r="AA550" s="360"/>
      <c r="AB550" s="360"/>
      <c r="AC550" s="360"/>
      <c r="AD550" s="360"/>
      <c r="AE550" s="360"/>
      <c r="AF550" s="360"/>
      <c r="AG550" s="360"/>
      <c r="AH550" s="360"/>
    </row>
    <row r="551" ht="18.75" customHeight="1">
      <c r="A551" s="399"/>
      <c r="B551" s="375" t="str">
        <f>IF(A551="","", IF(ARBITRAGES!$H551="BTC",B550+ARBITRAGES!$K551,B550))</f>
        <v/>
      </c>
      <c r="C551" s="375" t="str">
        <f>IF(B551="","", IF(ARBITRAGES!$H551="eth",C550+ARBITRAGES!$K551,C550))</f>
        <v/>
      </c>
      <c r="D551" s="376" t="str">
        <f>IF(C551="","", IF(ARBITRAGES!$H551="ondo",D550+ARBITRAGES!$K551,D550))</f>
        <v/>
      </c>
      <c r="E551" s="376" t="str">
        <f>IF(D551="","", IF(ARBITRAGES!$H551="sol",E550+ARBITRAGES!$K551,E550))</f>
        <v/>
      </c>
      <c r="F551" s="377" t="str">
        <f>IF(E551="","", IF(ARBITRAGES!$H551="tao",F550+ARBITRAGES!$K551,F550))</f>
        <v/>
      </c>
      <c r="G551" s="378" t="str">
        <f>IF(F551="","", IF(ARBITRAGES!$H551="ron",G550+ARBITRAGES!$K551,G550))</f>
        <v/>
      </c>
      <c r="H551" s="378" t="str">
        <f>IF(G551="","", IF(ARBITRAGES!$H551="link",H550+ARBITRAGES!$K551,H550))</f>
        <v/>
      </c>
      <c r="I551" s="378" t="str">
        <f>IF(H551="","", IF(ARBITRAGES!$H551="doge",I550+ARBITRAGES!$K551,I550))</f>
        <v/>
      </c>
      <c r="J551" s="378" t="str">
        <f>IF(I551="","", IF(ARBITRAGES!$H551="shib",J550-ARBITRAGES!$K551,J550))</f>
        <v/>
      </c>
      <c r="K551" s="378" t="str">
        <f>IF(J551="","", IF(ARBITRAGES!$H551="cake",K550+ARBITRAGES!$K551,K550))</f>
        <v/>
      </c>
      <c r="L551" s="378" t="str">
        <f>IF(K551="","", IF(ARBITRAGES!$H551="JUP",L550+ARBITRAGES!$K551,L550))</f>
        <v/>
      </c>
      <c r="M551" s="376" t="str">
        <f>IF(L551="","", IF(ARBITRAGES!$H551="aave",M550+ARBITRAGES!$K551,M550))</f>
        <v/>
      </c>
      <c r="N551" s="378" t="str">
        <f>IF(M551="","", IF(ARBITRAGES!$H551="ckb",N550+ARBITRAGES!$K551,N550))</f>
        <v/>
      </c>
      <c r="O551" s="378" t="str">
        <f>IF(N551="","", IF(ARBITRAGES!$H551="pendle",O550-ARBITRAGES!$K551+0.1,O550))</f>
        <v/>
      </c>
      <c r="P551" s="378"/>
      <c r="Q551" s="378"/>
      <c r="R551" s="378"/>
      <c r="S551" s="378" t="str">
        <f>IF(R551="","", IF(ARBITRAGES!$H551="RAY",S550+ARBITRAGES!$K551,S550))</f>
        <v/>
      </c>
      <c r="T551" s="360"/>
      <c r="U551" s="360"/>
      <c r="V551" s="360"/>
      <c r="W551" s="360"/>
      <c r="X551" s="360"/>
      <c r="Y551" s="360"/>
      <c r="Z551" s="360"/>
      <c r="AA551" s="360"/>
      <c r="AB551" s="360"/>
      <c r="AC551" s="360"/>
      <c r="AD551" s="360"/>
      <c r="AE551" s="360"/>
      <c r="AF551" s="360"/>
      <c r="AG551" s="360"/>
      <c r="AH551" s="360"/>
    </row>
    <row r="552" ht="18.75" customHeight="1">
      <c r="A552" s="399"/>
      <c r="B552" s="375" t="str">
        <f>IF(A552="","", IF(ARBITRAGES!$H552="BTC",B551+ARBITRAGES!$K552,B551))</f>
        <v/>
      </c>
      <c r="C552" s="375" t="str">
        <f>IF(B552="","", IF(ARBITRAGES!$H552="eth",C551+ARBITRAGES!$K552,C551))</f>
        <v/>
      </c>
      <c r="D552" s="376" t="str">
        <f>IF(C552="","", IF(ARBITRAGES!$H552="ondo",D551+ARBITRAGES!$K552,D551))</f>
        <v/>
      </c>
      <c r="E552" s="376" t="str">
        <f>IF(D552="","", IF(ARBITRAGES!$H552="sol",E551+ARBITRAGES!$K552,E551))</f>
        <v/>
      </c>
      <c r="F552" s="377" t="str">
        <f>IF(E552="","", IF(ARBITRAGES!$H552="tao",F551+ARBITRAGES!$K552,F551))</f>
        <v/>
      </c>
      <c r="G552" s="378" t="str">
        <f>IF(F552="","", IF(ARBITRAGES!$H552="ron",G551+ARBITRAGES!$K552,G551))</f>
        <v/>
      </c>
      <c r="H552" s="378" t="str">
        <f>IF(G552="","", IF(ARBITRAGES!$H552="link",H551+ARBITRAGES!$K552,H551))</f>
        <v/>
      </c>
      <c r="I552" s="378" t="str">
        <f>IF(H552="","", IF(ARBITRAGES!$H552="doge",I551+ARBITRAGES!$K552,I551))</f>
        <v/>
      </c>
      <c r="J552" s="378" t="str">
        <f>IF(I552="","", IF(ARBITRAGES!$H552="shib",J551-ARBITRAGES!$K552,J551))</f>
        <v/>
      </c>
      <c r="K552" s="378" t="str">
        <f>IF(J552="","", IF(ARBITRAGES!$H552="cake",K551+ARBITRAGES!$K552,K551))</f>
        <v/>
      </c>
      <c r="L552" s="378" t="str">
        <f>IF(K552="","", IF(ARBITRAGES!$H552="JUP",L551+ARBITRAGES!$K552,L551))</f>
        <v/>
      </c>
      <c r="M552" s="376" t="str">
        <f>IF(L552="","", IF(ARBITRAGES!$H552="aave",M551+ARBITRAGES!$K552,M551))</f>
        <v/>
      </c>
      <c r="N552" s="378" t="str">
        <f>IF(M552="","", IF(ARBITRAGES!$H552="ckb",N551+ARBITRAGES!$K552,N551))</f>
        <v/>
      </c>
      <c r="O552" s="378" t="str">
        <f>IF(N552="","", IF(ARBITRAGES!$H552="pendle",O551-ARBITRAGES!$K552+0.1,O551))</f>
        <v/>
      </c>
      <c r="P552" s="378"/>
      <c r="Q552" s="378"/>
      <c r="R552" s="378"/>
      <c r="S552" s="378" t="str">
        <f>IF(R552="","", IF(ARBITRAGES!$H552="RAY",S551+ARBITRAGES!$K552,S551))</f>
        <v/>
      </c>
      <c r="T552" s="360"/>
      <c r="U552" s="360"/>
      <c r="V552" s="360"/>
      <c r="W552" s="360"/>
      <c r="X552" s="360"/>
      <c r="Y552" s="360"/>
      <c r="Z552" s="360"/>
      <c r="AA552" s="360"/>
      <c r="AB552" s="360"/>
      <c r="AC552" s="360"/>
      <c r="AD552" s="360"/>
      <c r="AE552" s="360"/>
      <c r="AF552" s="360"/>
      <c r="AG552" s="360"/>
      <c r="AH552" s="360"/>
    </row>
    <row r="553" ht="18.75" customHeight="1">
      <c r="A553" s="399"/>
      <c r="B553" s="400"/>
      <c r="C553" s="400"/>
      <c r="D553" s="360"/>
      <c r="E553" s="401"/>
      <c r="F553" s="402"/>
      <c r="G553" s="403"/>
      <c r="H553" s="403"/>
      <c r="I553" s="403"/>
      <c r="J553" s="403"/>
      <c r="K553" s="403"/>
      <c r="L553" s="403"/>
      <c r="M553" s="404"/>
      <c r="N553" s="403"/>
      <c r="O553" s="403"/>
      <c r="P553" s="403"/>
      <c r="Q553" s="403"/>
      <c r="R553" s="403"/>
      <c r="S553" s="403"/>
      <c r="T553" s="360"/>
      <c r="U553" s="360"/>
      <c r="V553" s="360"/>
      <c r="W553" s="360"/>
      <c r="X553" s="360"/>
      <c r="Y553" s="360"/>
      <c r="Z553" s="360"/>
      <c r="AA553" s="360"/>
      <c r="AB553" s="360"/>
      <c r="AC553" s="360"/>
      <c r="AD553" s="360"/>
      <c r="AE553" s="360"/>
      <c r="AF553" s="360"/>
      <c r="AG553" s="360"/>
      <c r="AH553" s="360"/>
    </row>
    <row r="554" ht="18.75" customHeight="1">
      <c r="A554" s="399"/>
      <c r="B554" s="400"/>
      <c r="C554" s="400"/>
      <c r="D554" s="360"/>
      <c r="E554" s="401"/>
      <c r="F554" s="402"/>
      <c r="G554" s="403"/>
      <c r="H554" s="403"/>
      <c r="I554" s="403"/>
      <c r="J554" s="403"/>
      <c r="K554" s="403"/>
      <c r="L554" s="403"/>
      <c r="M554" s="404"/>
      <c r="N554" s="403"/>
      <c r="O554" s="403"/>
      <c r="P554" s="403"/>
      <c r="Q554" s="403"/>
      <c r="R554" s="403"/>
      <c r="S554" s="403"/>
      <c r="T554" s="360"/>
      <c r="U554" s="360"/>
      <c r="V554" s="360"/>
      <c r="W554" s="360"/>
      <c r="X554" s="360"/>
      <c r="Y554" s="360"/>
      <c r="Z554" s="360"/>
      <c r="AA554" s="360"/>
      <c r="AB554" s="360"/>
      <c r="AC554" s="360"/>
      <c r="AD554" s="360"/>
      <c r="AE554" s="360"/>
      <c r="AF554" s="360"/>
      <c r="AG554" s="360"/>
      <c r="AH554" s="360"/>
    </row>
    <row r="555" ht="18.75" customHeight="1">
      <c r="A555" s="399"/>
      <c r="B555" s="400"/>
      <c r="C555" s="400"/>
      <c r="D555" s="360"/>
      <c r="E555" s="401"/>
      <c r="F555" s="402"/>
      <c r="G555" s="403"/>
      <c r="H555" s="403"/>
      <c r="I555" s="403"/>
      <c r="J555" s="403"/>
      <c r="K555" s="403"/>
      <c r="L555" s="403"/>
      <c r="M555" s="404"/>
      <c r="N555" s="403"/>
      <c r="O555" s="403"/>
      <c r="P555" s="403"/>
      <c r="Q555" s="403"/>
      <c r="R555" s="403"/>
      <c r="S555" s="403"/>
      <c r="T555" s="360"/>
      <c r="U555" s="360"/>
      <c r="V555" s="360"/>
      <c r="W555" s="360"/>
      <c r="X555" s="360"/>
      <c r="Y555" s="360"/>
      <c r="Z555" s="360"/>
      <c r="AA555" s="360"/>
      <c r="AB555" s="360"/>
      <c r="AC555" s="360"/>
      <c r="AD555" s="360"/>
      <c r="AE555" s="360"/>
      <c r="AF555" s="360"/>
      <c r="AG555" s="360"/>
      <c r="AH555" s="360"/>
    </row>
    <row r="556" ht="18.75" customHeight="1">
      <c r="A556" s="399"/>
      <c r="B556" s="400"/>
      <c r="C556" s="400"/>
      <c r="D556" s="360"/>
      <c r="E556" s="401"/>
      <c r="F556" s="402"/>
      <c r="G556" s="403"/>
      <c r="H556" s="403"/>
      <c r="I556" s="403"/>
      <c r="J556" s="403"/>
      <c r="K556" s="403"/>
      <c r="L556" s="403"/>
      <c r="M556" s="404"/>
      <c r="N556" s="403"/>
      <c r="O556" s="403"/>
      <c r="P556" s="403"/>
      <c r="Q556" s="403"/>
      <c r="R556" s="403"/>
      <c r="S556" s="403"/>
      <c r="T556" s="360"/>
      <c r="U556" s="360"/>
      <c r="V556" s="360"/>
      <c r="W556" s="360"/>
      <c r="X556" s="360"/>
      <c r="Y556" s="360"/>
      <c r="Z556" s="360"/>
      <c r="AA556" s="360"/>
      <c r="AB556" s="360"/>
      <c r="AC556" s="360"/>
      <c r="AD556" s="360"/>
      <c r="AE556" s="360"/>
      <c r="AF556" s="360"/>
      <c r="AG556" s="360"/>
      <c r="AH556" s="360"/>
    </row>
    <row r="557" ht="18.75" customHeight="1">
      <c r="A557" s="399"/>
      <c r="B557" s="400"/>
      <c r="C557" s="400"/>
      <c r="D557" s="360"/>
      <c r="E557" s="401"/>
      <c r="F557" s="402"/>
      <c r="G557" s="403"/>
      <c r="H557" s="403"/>
      <c r="I557" s="403"/>
      <c r="J557" s="403"/>
      <c r="K557" s="403"/>
      <c r="L557" s="403"/>
      <c r="M557" s="404"/>
      <c r="N557" s="403"/>
      <c r="O557" s="403"/>
      <c r="P557" s="403"/>
      <c r="Q557" s="403"/>
      <c r="R557" s="403"/>
      <c r="S557" s="403"/>
      <c r="T557" s="360"/>
      <c r="U557" s="360"/>
      <c r="V557" s="360"/>
      <c r="W557" s="360"/>
      <c r="X557" s="360"/>
      <c r="Y557" s="360"/>
      <c r="Z557" s="360"/>
      <c r="AA557" s="360"/>
      <c r="AB557" s="360"/>
      <c r="AC557" s="360"/>
      <c r="AD557" s="360"/>
      <c r="AE557" s="360"/>
      <c r="AF557" s="360"/>
      <c r="AG557" s="360"/>
      <c r="AH557" s="360"/>
    </row>
    <row r="558" ht="18.75" customHeight="1">
      <c r="A558" s="399"/>
      <c r="B558" s="400"/>
      <c r="C558" s="400"/>
      <c r="D558" s="360"/>
      <c r="E558" s="401"/>
      <c r="F558" s="402"/>
      <c r="G558" s="403"/>
      <c r="H558" s="403"/>
      <c r="I558" s="403"/>
      <c r="J558" s="403"/>
      <c r="K558" s="403"/>
      <c r="L558" s="403"/>
      <c r="M558" s="404"/>
      <c r="N558" s="403"/>
      <c r="O558" s="403"/>
      <c r="P558" s="403"/>
      <c r="Q558" s="403"/>
      <c r="R558" s="403"/>
      <c r="S558" s="403"/>
      <c r="T558" s="360"/>
      <c r="U558" s="360"/>
      <c r="V558" s="360"/>
      <c r="W558" s="360"/>
      <c r="X558" s="360"/>
      <c r="Y558" s="360"/>
      <c r="Z558" s="360"/>
      <c r="AA558" s="360"/>
      <c r="AB558" s="360"/>
      <c r="AC558" s="360"/>
      <c r="AD558" s="360"/>
      <c r="AE558" s="360"/>
      <c r="AF558" s="360"/>
      <c r="AG558" s="360"/>
      <c r="AH558" s="360"/>
    </row>
    <row r="559" ht="18.75" customHeight="1">
      <c r="A559" s="399"/>
      <c r="B559" s="400"/>
      <c r="C559" s="400"/>
      <c r="D559" s="360"/>
      <c r="E559" s="401"/>
      <c r="F559" s="402"/>
      <c r="G559" s="403"/>
      <c r="H559" s="403"/>
      <c r="I559" s="403"/>
      <c r="J559" s="403"/>
      <c r="K559" s="403"/>
      <c r="L559" s="403"/>
      <c r="M559" s="404"/>
      <c r="N559" s="403"/>
      <c r="O559" s="403"/>
      <c r="P559" s="403"/>
      <c r="Q559" s="403"/>
      <c r="R559" s="403"/>
      <c r="S559" s="403"/>
      <c r="T559" s="360"/>
      <c r="U559" s="360"/>
      <c r="V559" s="360"/>
      <c r="W559" s="360"/>
      <c r="X559" s="360"/>
      <c r="Y559" s="360"/>
      <c r="Z559" s="360"/>
      <c r="AA559" s="360"/>
      <c r="AB559" s="360"/>
      <c r="AC559" s="360"/>
      <c r="AD559" s="360"/>
      <c r="AE559" s="360"/>
      <c r="AF559" s="360"/>
      <c r="AG559" s="360"/>
      <c r="AH559" s="360"/>
    </row>
    <row r="560" ht="18.75" customHeight="1">
      <c r="A560" s="399"/>
      <c r="B560" s="400"/>
      <c r="C560" s="400"/>
      <c r="D560" s="360"/>
      <c r="E560" s="401"/>
      <c r="F560" s="402"/>
      <c r="G560" s="403"/>
      <c r="H560" s="403"/>
      <c r="I560" s="403"/>
      <c r="J560" s="403"/>
      <c r="K560" s="403"/>
      <c r="L560" s="403"/>
      <c r="M560" s="404"/>
      <c r="N560" s="403"/>
      <c r="O560" s="403"/>
      <c r="P560" s="403"/>
      <c r="Q560" s="403"/>
      <c r="R560" s="403"/>
      <c r="S560" s="403"/>
      <c r="T560" s="360"/>
      <c r="U560" s="360"/>
      <c r="V560" s="360"/>
      <c r="W560" s="360"/>
      <c r="X560" s="360"/>
      <c r="Y560" s="360"/>
      <c r="Z560" s="360"/>
      <c r="AA560" s="360"/>
      <c r="AB560" s="360"/>
      <c r="AC560" s="360"/>
      <c r="AD560" s="360"/>
      <c r="AE560" s="360"/>
      <c r="AF560" s="360"/>
      <c r="AG560" s="360"/>
      <c r="AH560" s="360"/>
    </row>
    <row r="561" ht="18.75" customHeight="1">
      <c r="A561" s="399"/>
      <c r="B561" s="400"/>
      <c r="C561" s="400"/>
      <c r="D561" s="360"/>
      <c r="E561" s="401"/>
      <c r="F561" s="402"/>
      <c r="G561" s="403"/>
      <c r="H561" s="403"/>
      <c r="I561" s="403"/>
      <c r="J561" s="403"/>
      <c r="K561" s="403"/>
      <c r="L561" s="403"/>
      <c r="M561" s="404"/>
      <c r="N561" s="403"/>
      <c r="O561" s="403"/>
      <c r="P561" s="403"/>
      <c r="Q561" s="403"/>
      <c r="R561" s="403"/>
      <c r="S561" s="403"/>
      <c r="T561" s="360"/>
      <c r="U561" s="360"/>
      <c r="V561" s="360"/>
      <c r="W561" s="360"/>
      <c r="X561" s="360"/>
      <c r="Y561" s="360"/>
      <c r="Z561" s="360"/>
      <c r="AA561" s="360"/>
      <c r="AB561" s="360"/>
      <c r="AC561" s="360"/>
      <c r="AD561" s="360"/>
      <c r="AE561" s="360"/>
      <c r="AF561" s="360"/>
      <c r="AG561" s="360"/>
      <c r="AH561" s="360"/>
    </row>
    <row r="562" ht="18.75" customHeight="1">
      <c r="A562" s="399"/>
      <c r="B562" s="400"/>
      <c r="C562" s="400"/>
      <c r="D562" s="360"/>
      <c r="E562" s="401"/>
      <c r="F562" s="402"/>
      <c r="G562" s="403"/>
      <c r="H562" s="403"/>
      <c r="I562" s="403"/>
      <c r="J562" s="403"/>
      <c r="K562" s="403"/>
      <c r="L562" s="403"/>
      <c r="M562" s="404"/>
      <c r="N562" s="403"/>
      <c r="O562" s="403"/>
      <c r="P562" s="403"/>
      <c r="Q562" s="403"/>
      <c r="R562" s="403"/>
      <c r="S562" s="403"/>
      <c r="T562" s="360"/>
      <c r="U562" s="360"/>
      <c r="V562" s="360"/>
      <c r="W562" s="360"/>
      <c r="X562" s="360"/>
      <c r="Y562" s="360"/>
      <c r="Z562" s="360"/>
      <c r="AA562" s="360"/>
      <c r="AB562" s="360"/>
      <c r="AC562" s="360"/>
      <c r="AD562" s="360"/>
      <c r="AE562" s="360"/>
      <c r="AF562" s="360"/>
      <c r="AG562" s="360"/>
      <c r="AH562" s="360"/>
    </row>
    <row r="563" ht="18.75" customHeight="1">
      <c r="A563" s="399"/>
      <c r="B563" s="400"/>
      <c r="C563" s="400"/>
      <c r="D563" s="360"/>
      <c r="E563" s="401"/>
      <c r="F563" s="402"/>
      <c r="G563" s="403"/>
      <c r="H563" s="403"/>
      <c r="I563" s="403"/>
      <c r="J563" s="403"/>
      <c r="K563" s="403"/>
      <c r="L563" s="403"/>
      <c r="M563" s="404"/>
      <c r="N563" s="403"/>
      <c r="O563" s="403"/>
      <c r="P563" s="403"/>
      <c r="Q563" s="403"/>
      <c r="R563" s="403"/>
      <c r="S563" s="403"/>
      <c r="T563" s="360"/>
      <c r="U563" s="360"/>
      <c r="V563" s="360"/>
      <c r="W563" s="360"/>
      <c r="X563" s="360"/>
      <c r="Y563" s="360"/>
      <c r="Z563" s="360"/>
      <c r="AA563" s="360"/>
      <c r="AB563" s="360"/>
      <c r="AC563" s="360"/>
      <c r="AD563" s="360"/>
      <c r="AE563" s="360"/>
      <c r="AF563" s="360"/>
      <c r="AG563" s="360"/>
      <c r="AH563" s="360"/>
    </row>
    <row r="564" ht="18.75" customHeight="1">
      <c r="A564" s="399"/>
      <c r="B564" s="400"/>
      <c r="C564" s="400"/>
      <c r="D564" s="360"/>
      <c r="E564" s="401"/>
      <c r="F564" s="402"/>
      <c r="G564" s="403"/>
      <c r="H564" s="403"/>
      <c r="I564" s="403"/>
      <c r="J564" s="403"/>
      <c r="K564" s="403"/>
      <c r="L564" s="403"/>
      <c r="M564" s="404"/>
      <c r="N564" s="403"/>
      <c r="O564" s="403"/>
      <c r="P564" s="403"/>
      <c r="Q564" s="403"/>
      <c r="R564" s="403"/>
      <c r="S564" s="403"/>
      <c r="T564" s="360"/>
      <c r="U564" s="360"/>
      <c r="V564" s="360"/>
      <c r="W564" s="360"/>
      <c r="X564" s="360"/>
      <c r="Y564" s="360"/>
      <c r="Z564" s="360"/>
      <c r="AA564" s="360"/>
      <c r="AB564" s="360"/>
      <c r="AC564" s="360"/>
      <c r="AD564" s="360"/>
      <c r="AE564" s="360"/>
      <c r="AF564" s="360"/>
      <c r="AG564" s="360"/>
      <c r="AH564" s="360"/>
    </row>
    <row r="565" ht="18.75" customHeight="1">
      <c r="A565" s="399"/>
      <c r="B565" s="400"/>
      <c r="C565" s="400"/>
      <c r="D565" s="360"/>
      <c r="E565" s="401"/>
      <c r="F565" s="402"/>
      <c r="G565" s="403"/>
      <c r="H565" s="403"/>
      <c r="I565" s="403"/>
      <c r="J565" s="403"/>
      <c r="K565" s="403"/>
      <c r="L565" s="403"/>
      <c r="M565" s="404"/>
      <c r="N565" s="403"/>
      <c r="O565" s="403"/>
      <c r="P565" s="403"/>
      <c r="Q565" s="403"/>
      <c r="R565" s="403"/>
      <c r="S565" s="403"/>
      <c r="T565" s="360"/>
      <c r="U565" s="360"/>
      <c r="V565" s="360"/>
      <c r="W565" s="360"/>
      <c r="X565" s="360"/>
      <c r="Y565" s="360"/>
      <c r="Z565" s="360"/>
      <c r="AA565" s="360"/>
      <c r="AB565" s="360"/>
      <c r="AC565" s="360"/>
      <c r="AD565" s="360"/>
      <c r="AE565" s="360"/>
      <c r="AF565" s="360"/>
      <c r="AG565" s="360"/>
      <c r="AH565" s="360"/>
    </row>
    <row r="566" ht="18.75" customHeight="1">
      <c r="A566" s="399"/>
      <c r="B566" s="400"/>
      <c r="C566" s="400"/>
      <c r="D566" s="360"/>
      <c r="E566" s="401"/>
      <c r="F566" s="402"/>
      <c r="G566" s="403"/>
      <c r="H566" s="403"/>
      <c r="I566" s="403"/>
      <c r="J566" s="403"/>
      <c r="K566" s="403"/>
      <c r="L566" s="403"/>
      <c r="M566" s="404"/>
      <c r="N566" s="403"/>
      <c r="O566" s="403"/>
      <c r="P566" s="403"/>
      <c r="Q566" s="403"/>
      <c r="R566" s="403"/>
      <c r="S566" s="403"/>
      <c r="T566" s="360"/>
      <c r="U566" s="360"/>
      <c r="V566" s="360"/>
      <c r="W566" s="360"/>
      <c r="X566" s="360"/>
      <c r="Y566" s="360"/>
      <c r="Z566" s="360"/>
      <c r="AA566" s="360"/>
      <c r="AB566" s="360"/>
      <c r="AC566" s="360"/>
      <c r="AD566" s="360"/>
      <c r="AE566" s="360"/>
      <c r="AF566" s="360"/>
      <c r="AG566" s="360"/>
      <c r="AH566" s="360"/>
    </row>
    <row r="567" ht="18.75" customHeight="1">
      <c r="A567" s="399"/>
      <c r="B567" s="400"/>
      <c r="C567" s="400"/>
      <c r="D567" s="360"/>
      <c r="E567" s="401"/>
      <c r="F567" s="402"/>
      <c r="G567" s="403"/>
      <c r="H567" s="403"/>
      <c r="I567" s="403"/>
      <c r="J567" s="403"/>
      <c r="K567" s="403"/>
      <c r="L567" s="403"/>
      <c r="M567" s="404"/>
      <c r="N567" s="403"/>
      <c r="O567" s="403"/>
      <c r="P567" s="403"/>
      <c r="Q567" s="403"/>
      <c r="R567" s="403"/>
      <c r="S567" s="403"/>
      <c r="T567" s="360"/>
      <c r="U567" s="360"/>
      <c r="V567" s="360"/>
      <c r="W567" s="360"/>
      <c r="X567" s="360"/>
      <c r="Y567" s="360"/>
      <c r="Z567" s="360"/>
      <c r="AA567" s="360"/>
      <c r="AB567" s="360"/>
      <c r="AC567" s="360"/>
      <c r="AD567" s="360"/>
      <c r="AE567" s="360"/>
      <c r="AF567" s="360"/>
      <c r="AG567" s="360"/>
      <c r="AH567" s="360"/>
    </row>
    <row r="568" ht="18.75" customHeight="1">
      <c r="A568" s="399"/>
      <c r="B568" s="400"/>
      <c r="C568" s="400"/>
      <c r="D568" s="360"/>
      <c r="E568" s="401"/>
      <c r="F568" s="402"/>
      <c r="G568" s="403"/>
      <c r="H568" s="403"/>
      <c r="I568" s="403"/>
      <c r="J568" s="403"/>
      <c r="K568" s="403"/>
      <c r="L568" s="403"/>
      <c r="M568" s="404"/>
      <c r="N568" s="403"/>
      <c r="O568" s="403"/>
      <c r="P568" s="403"/>
      <c r="Q568" s="403"/>
      <c r="R568" s="403"/>
      <c r="S568" s="403"/>
      <c r="T568" s="360"/>
      <c r="U568" s="360"/>
      <c r="V568" s="360"/>
      <c r="W568" s="360"/>
      <c r="X568" s="360"/>
      <c r="Y568" s="360"/>
      <c r="Z568" s="360"/>
      <c r="AA568" s="360"/>
      <c r="AB568" s="360"/>
      <c r="AC568" s="360"/>
      <c r="AD568" s="360"/>
      <c r="AE568" s="360"/>
      <c r="AF568" s="360"/>
      <c r="AG568" s="360"/>
      <c r="AH568" s="360"/>
    </row>
    <row r="569" ht="18.75" customHeight="1">
      <c r="A569" s="399"/>
      <c r="B569" s="400"/>
      <c r="C569" s="400"/>
      <c r="D569" s="360"/>
      <c r="E569" s="401"/>
      <c r="F569" s="402"/>
      <c r="G569" s="403"/>
      <c r="H569" s="403"/>
      <c r="I569" s="403"/>
      <c r="J569" s="403"/>
      <c r="K569" s="403"/>
      <c r="L569" s="403"/>
      <c r="M569" s="404"/>
      <c r="N569" s="403"/>
      <c r="O569" s="403"/>
      <c r="P569" s="403"/>
      <c r="Q569" s="403"/>
      <c r="R569" s="403"/>
      <c r="S569" s="403"/>
      <c r="T569" s="360"/>
      <c r="U569" s="360"/>
      <c r="V569" s="360"/>
      <c r="W569" s="360"/>
      <c r="X569" s="360"/>
      <c r="Y569" s="360"/>
      <c r="Z569" s="360"/>
      <c r="AA569" s="360"/>
      <c r="AB569" s="360"/>
      <c r="AC569" s="360"/>
      <c r="AD569" s="360"/>
      <c r="AE569" s="360"/>
      <c r="AF569" s="360"/>
      <c r="AG569" s="360"/>
      <c r="AH569" s="360"/>
    </row>
    <row r="570" ht="18.75" customHeight="1">
      <c r="A570" s="399"/>
      <c r="B570" s="400"/>
      <c r="C570" s="400"/>
      <c r="D570" s="360"/>
      <c r="E570" s="401"/>
      <c r="F570" s="402"/>
      <c r="G570" s="403"/>
      <c r="H570" s="403"/>
      <c r="I570" s="403"/>
      <c r="J570" s="403"/>
      <c r="K570" s="403"/>
      <c r="L570" s="403"/>
      <c r="M570" s="404"/>
      <c r="N570" s="403"/>
      <c r="O570" s="403"/>
      <c r="P570" s="403"/>
      <c r="Q570" s="403"/>
      <c r="R570" s="403"/>
      <c r="S570" s="403"/>
      <c r="T570" s="360"/>
      <c r="U570" s="360"/>
      <c r="V570" s="360"/>
      <c r="W570" s="360"/>
      <c r="X570" s="360"/>
      <c r="Y570" s="360"/>
      <c r="Z570" s="360"/>
      <c r="AA570" s="360"/>
      <c r="AB570" s="360"/>
      <c r="AC570" s="360"/>
      <c r="AD570" s="360"/>
      <c r="AE570" s="360"/>
      <c r="AF570" s="360"/>
      <c r="AG570" s="360"/>
      <c r="AH570" s="360"/>
    </row>
    <row r="571" ht="18.75" customHeight="1">
      <c r="A571" s="399"/>
      <c r="B571" s="400"/>
      <c r="C571" s="400"/>
      <c r="D571" s="360"/>
      <c r="E571" s="401"/>
      <c r="F571" s="402"/>
      <c r="G571" s="403"/>
      <c r="H571" s="403"/>
      <c r="I571" s="403"/>
      <c r="J571" s="403"/>
      <c r="K571" s="403"/>
      <c r="L571" s="403"/>
      <c r="M571" s="404"/>
      <c r="N571" s="403"/>
      <c r="O571" s="403"/>
      <c r="P571" s="403"/>
      <c r="Q571" s="403"/>
      <c r="R571" s="403"/>
      <c r="S571" s="403"/>
      <c r="T571" s="360"/>
      <c r="U571" s="360"/>
      <c r="V571" s="360"/>
      <c r="W571" s="360"/>
      <c r="X571" s="360"/>
      <c r="Y571" s="360"/>
      <c r="Z571" s="360"/>
      <c r="AA571" s="360"/>
      <c r="AB571" s="360"/>
      <c r="AC571" s="360"/>
      <c r="AD571" s="360"/>
      <c r="AE571" s="360"/>
      <c r="AF571" s="360"/>
      <c r="AG571" s="360"/>
      <c r="AH571" s="360"/>
    </row>
    <row r="572" ht="18.75" customHeight="1">
      <c r="A572" s="399"/>
      <c r="B572" s="400"/>
      <c r="C572" s="400"/>
      <c r="D572" s="360"/>
      <c r="E572" s="401"/>
      <c r="F572" s="402"/>
      <c r="G572" s="403"/>
      <c r="H572" s="403"/>
      <c r="I572" s="403"/>
      <c r="J572" s="403"/>
      <c r="K572" s="403"/>
      <c r="L572" s="403"/>
      <c r="M572" s="404"/>
      <c r="N572" s="403"/>
      <c r="O572" s="403"/>
      <c r="P572" s="403"/>
      <c r="Q572" s="403"/>
      <c r="R572" s="403"/>
      <c r="S572" s="403"/>
      <c r="T572" s="360"/>
      <c r="U572" s="360"/>
      <c r="V572" s="360"/>
      <c r="W572" s="360"/>
      <c r="X572" s="360"/>
      <c r="Y572" s="360"/>
      <c r="Z572" s="360"/>
      <c r="AA572" s="360"/>
      <c r="AB572" s="360"/>
      <c r="AC572" s="360"/>
      <c r="AD572" s="360"/>
      <c r="AE572" s="360"/>
      <c r="AF572" s="360"/>
      <c r="AG572" s="360"/>
      <c r="AH572" s="360"/>
    </row>
    <row r="573" ht="18.75" customHeight="1">
      <c r="A573" s="399"/>
      <c r="B573" s="400"/>
      <c r="C573" s="400"/>
      <c r="D573" s="360"/>
      <c r="E573" s="401"/>
      <c r="F573" s="402"/>
      <c r="G573" s="403"/>
      <c r="H573" s="403"/>
      <c r="I573" s="403"/>
      <c r="J573" s="403"/>
      <c r="K573" s="403"/>
      <c r="L573" s="403"/>
      <c r="M573" s="404"/>
      <c r="N573" s="403"/>
      <c r="O573" s="403"/>
      <c r="P573" s="403"/>
      <c r="Q573" s="403"/>
      <c r="R573" s="403"/>
      <c r="S573" s="403"/>
      <c r="T573" s="360"/>
      <c r="U573" s="360"/>
      <c r="V573" s="360"/>
      <c r="W573" s="360"/>
      <c r="X573" s="360"/>
      <c r="Y573" s="360"/>
      <c r="Z573" s="360"/>
      <c r="AA573" s="360"/>
      <c r="AB573" s="360"/>
      <c r="AC573" s="360"/>
      <c r="AD573" s="360"/>
      <c r="AE573" s="360"/>
      <c r="AF573" s="360"/>
      <c r="AG573" s="360"/>
      <c r="AH573" s="360"/>
    </row>
    <row r="574" ht="18.75" customHeight="1">
      <c r="A574" s="399"/>
      <c r="B574" s="400"/>
      <c r="C574" s="400"/>
      <c r="D574" s="360"/>
      <c r="E574" s="401"/>
      <c r="F574" s="402"/>
      <c r="G574" s="403"/>
      <c r="H574" s="403"/>
      <c r="I574" s="403"/>
      <c r="J574" s="403"/>
      <c r="K574" s="403"/>
      <c r="L574" s="403"/>
      <c r="M574" s="404"/>
      <c r="N574" s="403"/>
      <c r="O574" s="403"/>
      <c r="P574" s="403"/>
      <c r="Q574" s="403"/>
      <c r="R574" s="403"/>
      <c r="S574" s="403"/>
      <c r="T574" s="360"/>
      <c r="U574" s="360"/>
      <c r="V574" s="360"/>
      <c r="W574" s="360"/>
      <c r="X574" s="360"/>
      <c r="Y574" s="360"/>
      <c r="Z574" s="360"/>
      <c r="AA574" s="360"/>
      <c r="AB574" s="360"/>
      <c r="AC574" s="360"/>
      <c r="AD574" s="360"/>
      <c r="AE574" s="360"/>
      <c r="AF574" s="360"/>
      <c r="AG574" s="360"/>
      <c r="AH574" s="360"/>
    </row>
    <row r="575" ht="18.75" customHeight="1">
      <c r="A575" s="399"/>
      <c r="B575" s="400"/>
      <c r="C575" s="400"/>
      <c r="D575" s="360"/>
      <c r="E575" s="401"/>
      <c r="F575" s="402"/>
      <c r="G575" s="403"/>
      <c r="H575" s="403"/>
      <c r="I575" s="403"/>
      <c r="J575" s="403"/>
      <c r="K575" s="403"/>
      <c r="L575" s="403"/>
      <c r="M575" s="404"/>
      <c r="N575" s="403"/>
      <c r="O575" s="403"/>
      <c r="P575" s="403"/>
      <c r="Q575" s="403"/>
      <c r="R575" s="403"/>
      <c r="S575" s="403"/>
      <c r="T575" s="360"/>
      <c r="U575" s="360"/>
      <c r="V575" s="360"/>
      <c r="W575" s="360"/>
      <c r="X575" s="360"/>
      <c r="Y575" s="360"/>
      <c r="Z575" s="360"/>
      <c r="AA575" s="360"/>
      <c r="AB575" s="360"/>
      <c r="AC575" s="360"/>
      <c r="AD575" s="360"/>
      <c r="AE575" s="360"/>
      <c r="AF575" s="360"/>
      <c r="AG575" s="360"/>
      <c r="AH575" s="360"/>
    </row>
    <row r="576" ht="18.75" customHeight="1">
      <c r="A576" s="399"/>
      <c r="B576" s="400"/>
      <c r="C576" s="400"/>
      <c r="D576" s="360"/>
      <c r="E576" s="401"/>
      <c r="F576" s="402"/>
      <c r="G576" s="403"/>
      <c r="H576" s="403"/>
      <c r="I576" s="403"/>
      <c r="J576" s="403"/>
      <c r="K576" s="403"/>
      <c r="L576" s="403"/>
      <c r="M576" s="404"/>
      <c r="N576" s="403"/>
      <c r="O576" s="403"/>
      <c r="P576" s="403"/>
      <c r="Q576" s="403"/>
      <c r="R576" s="403"/>
      <c r="S576" s="403"/>
      <c r="T576" s="360"/>
      <c r="U576" s="360"/>
      <c r="V576" s="360"/>
      <c r="W576" s="360"/>
      <c r="X576" s="360"/>
      <c r="Y576" s="360"/>
      <c r="Z576" s="360"/>
      <c r="AA576" s="360"/>
      <c r="AB576" s="360"/>
      <c r="AC576" s="360"/>
      <c r="AD576" s="360"/>
      <c r="AE576" s="360"/>
      <c r="AF576" s="360"/>
      <c r="AG576" s="360"/>
      <c r="AH576" s="360"/>
    </row>
    <row r="577" ht="18.75" customHeight="1">
      <c r="A577" s="399"/>
      <c r="B577" s="400"/>
      <c r="C577" s="400"/>
      <c r="D577" s="360"/>
      <c r="E577" s="401"/>
      <c r="F577" s="402"/>
      <c r="G577" s="403"/>
      <c r="H577" s="403"/>
      <c r="I577" s="403"/>
      <c r="J577" s="403"/>
      <c r="K577" s="403"/>
      <c r="L577" s="403"/>
      <c r="M577" s="404"/>
      <c r="N577" s="403"/>
      <c r="O577" s="403"/>
      <c r="P577" s="403"/>
      <c r="Q577" s="403"/>
      <c r="R577" s="403"/>
      <c r="S577" s="403"/>
      <c r="T577" s="360"/>
      <c r="U577" s="360"/>
      <c r="V577" s="360"/>
      <c r="W577" s="360"/>
      <c r="X577" s="360"/>
      <c r="Y577" s="360"/>
      <c r="Z577" s="360"/>
      <c r="AA577" s="360"/>
      <c r="AB577" s="360"/>
      <c r="AC577" s="360"/>
      <c r="AD577" s="360"/>
      <c r="AE577" s="360"/>
      <c r="AF577" s="360"/>
      <c r="AG577" s="360"/>
      <c r="AH577" s="360"/>
    </row>
    <row r="578" ht="18.75" customHeight="1">
      <c r="A578" s="399"/>
      <c r="B578" s="400"/>
      <c r="C578" s="400"/>
      <c r="D578" s="360"/>
      <c r="E578" s="401"/>
      <c r="F578" s="402"/>
      <c r="G578" s="403"/>
      <c r="H578" s="403"/>
      <c r="I578" s="403"/>
      <c r="J578" s="403"/>
      <c r="K578" s="403"/>
      <c r="L578" s="403"/>
      <c r="M578" s="404"/>
      <c r="N578" s="403"/>
      <c r="O578" s="403"/>
      <c r="P578" s="403"/>
      <c r="Q578" s="403"/>
      <c r="R578" s="403"/>
      <c r="S578" s="403"/>
      <c r="T578" s="360"/>
      <c r="U578" s="360"/>
      <c r="V578" s="360"/>
      <c r="W578" s="360"/>
      <c r="X578" s="360"/>
      <c r="Y578" s="360"/>
      <c r="Z578" s="360"/>
      <c r="AA578" s="360"/>
      <c r="AB578" s="360"/>
      <c r="AC578" s="360"/>
      <c r="AD578" s="360"/>
      <c r="AE578" s="360"/>
      <c r="AF578" s="360"/>
      <c r="AG578" s="360"/>
      <c r="AH578" s="360"/>
    </row>
    <row r="579" ht="18.75" customHeight="1">
      <c r="A579" s="399"/>
      <c r="B579" s="400"/>
      <c r="C579" s="400"/>
      <c r="D579" s="360"/>
      <c r="E579" s="401"/>
      <c r="F579" s="402"/>
      <c r="G579" s="403"/>
      <c r="H579" s="403"/>
      <c r="I579" s="403"/>
      <c r="J579" s="403"/>
      <c r="K579" s="403"/>
      <c r="L579" s="403"/>
      <c r="M579" s="404"/>
      <c r="N579" s="403"/>
      <c r="O579" s="403"/>
      <c r="P579" s="403"/>
      <c r="Q579" s="403"/>
      <c r="R579" s="403"/>
      <c r="S579" s="403"/>
      <c r="T579" s="360"/>
      <c r="U579" s="360"/>
      <c r="V579" s="360"/>
      <c r="W579" s="360"/>
      <c r="X579" s="360"/>
      <c r="Y579" s="360"/>
      <c r="Z579" s="360"/>
      <c r="AA579" s="360"/>
      <c r="AB579" s="360"/>
      <c r="AC579" s="360"/>
      <c r="AD579" s="360"/>
      <c r="AE579" s="360"/>
      <c r="AF579" s="360"/>
      <c r="AG579" s="360"/>
      <c r="AH579" s="360"/>
    </row>
    <row r="580" ht="18.75" customHeight="1">
      <c r="A580" s="399"/>
      <c r="B580" s="400"/>
      <c r="C580" s="400"/>
      <c r="D580" s="360"/>
      <c r="E580" s="401"/>
      <c r="F580" s="402"/>
      <c r="G580" s="403"/>
      <c r="H580" s="403"/>
      <c r="I580" s="403"/>
      <c r="J580" s="403"/>
      <c r="K580" s="403"/>
      <c r="L580" s="403"/>
      <c r="M580" s="404"/>
      <c r="N580" s="403"/>
      <c r="O580" s="403"/>
      <c r="P580" s="403"/>
      <c r="Q580" s="403"/>
      <c r="R580" s="403"/>
      <c r="S580" s="403"/>
      <c r="T580" s="360"/>
      <c r="U580" s="360"/>
      <c r="V580" s="360"/>
      <c r="W580" s="360"/>
      <c r="X580" s="360"/>
      <c r="Y580" s="360"/>
      <c r="Z580" s="360"/>
      <c r="AA580" s="360"/>
      <c r="AB580" s="360"/>
      <c r="AC580" s="360"/>
      <c r="AD580" s="360"/>
      <c r="AE580" s="360"/>
      <c r="AF580" s="360"/>
      <c r="AG580" s="360"/>
      <c r="AH580" s="360"/>
    </row>
    <row r="581" ht="18.75" customHeight="1">
      <c r="A581" s="399"/>
      <c r="B581" s="400"/>
      <c r="C581" s="400"/>
      <c r="D581" s="360"/>
      <c r="E581" s="401"/>
      <c r="F581" s="402"/>
      <c r="G581" s="403"/>
      <c r="H581" s="403"/>
      <c r="I581" s="403"/>
      <c r="J581" s="403"/>
      <c r="K581" s="403"/>
      <c r="L581" s="403"/>
      <c r="M581" s="404"/>
      <c r="N581" s="403"/>
      <c r="O581" s="403"/>
      <c r="P581" s="403"/>
      <c r="Q581" s="403"/>
      <c r="R581" s="403"/>
      <c r="S581" s="403"/>
      <c r="T581" s="360"/>
      <c r="U581" s="360"/>
      <c r="V581" s="360"/>
      <c r="W581" s="360"/>
      <c r="X581" s="360"/>
      <c r="Y581" s="360"/>
      <c r="Z581" s="360"/>
      <c r="AA581" s="360"/>
      <c r="AB581" s="360"/>
      <c r="AC581" s="360"/>
      <c r="AD581" s="360"/>
      <c r="AE581" s="360"/>
      <c r="AF581" s="360"/>
      <c r="AG581" s="360"/>
      <c r="AH581" s="360"/>
    </row>
    <row r="582" ht="18.75" customHeight="1">
      <c r="A582" s="399"/>
      <c r="B582" s="400"/>
      <c r="C582" s="400"/>
      <c r="D582" s="360"/>
      <c r="E582" s="401"/>
      <c r="F582" s="402"/>
      <c r="G582" s="403"/>
      <c r="H582" s="403"/>
      <c r="I582" s="403"/>
      <c r="J582" s="403"/>
      <c r="K582" s="403"/>
      <c r="L582" s="403"/>
      <c r="M582" s="404"/>
      <c r="N582" s="403"/>
      <c r="O582" s="403"/>
      <c r="P582" s="403"/>
      <c r="Q582" s="403"/>
      <c r="R582" s="403"/>
      <c r="S582" s="403"/>
      <c r="T582" s="360"/>
      <c r="U582" s="360"/>
      <c r="V582" s="360"/>
      <c r="W582" s="360"/>
      <c r="X582" s="360"/>
      <c r="Y582" s="360"/>
      <c r="Z582" s="360"/>
      <c r="AA582" s="360"/>
      <c r="AB582" s="360"/>
      <c r="AC582" s="360"/>
      <c r="AD582" s="360"/>
      <c r="AE582" s="360"/>
      <c r="AF582" s="360"/>
      <c r="AG582" s="360"/>
      <c r="AH582" s="360"/>
    </row>
    <row r="583" ht="18.75" customHeight="1">
      <c r="A583" s="399"/>
      <c r="B583" s="400"/>
      <c r="C583" s="400"/>
      <c r="D583" s="360"/>
      <c r="E583" s="401"/>
      <c r="F583" s="402"/>
      <c r="G583" s="403"/>
      <c r="H583" s="403"/>
      <c r="I583" s="403"/>
      <c r="J583" s="403"/>
      <c r="K583" s="403"/>
      <c r="L583" s="403"/>
      <c r="M583" s="404"/>
      <c r="N583" s="403"/>
      <c r="O583" s="403"/>
      <c r="P583" s="403"/>
      <c r="Q583" s="403"/>
      <c r="R583" s="403"/>
      <c r="S583" s="403"/>
      <c r="T583" s="360"/>
      <c r="U583" s="360"/>
      <c r="V583" s="360"/>
      <c r="W583" s="360"/>
      <c r="X583" s="360"/>
      <c r="Y583" s="360"/>
      <c r="Z583" s="360"/>
      <c r="AA583" s="360"/>
      <c r="AB583" s="360"/>
      <c r="AC583" s="360"/>
      <c r="AD583" s="360"/>
      <c r="AE583" s="360"/>
      <c r="AF583" s="360"/>
      <c r="AG583" s="360"/>
      <c r="AH583" s="360"/>
    </row>
    <row r="584" ht="18.75" customHeight="1">
      <c r="A584" s="399"/>
      <c r="B584" s="400"/>
      <c r="C584" s="400"/>
      <c r="D584" s="360"/>
      <c r="E584" s="401"/>
      <c r="F584" s="402"/>
      <c r="G584" s="403"/>
      <c r="H584" s="403"/>
      <c r="I584" s="403"/>
      <c r="J584" s="403"/>
      <c r="K584" s="403"/>
      <c r="L584" s="403"/>
      <c r="M584" s="404"/>
      <c r="N584" s="403"/>
      <c r="O584" s="403"/>
      <c r="P584" s="403"/>
      <c r="Q584" s="403"/>
      <c r="R584" s="403"/>
      <c r="S584" s="403"/>
      <c r="T584" s="360"/>
      <c r="U584" s="360"/>
      <c r="V584" s="360"/>
      <c r="W584" s="360"/>
      <c r="X584" s="360"/>
      <c r="Y584" s="360"/>
      <c r="Z584" s="360"/>
      <c r="AA584" s="360"/>
      <c r="AB584" s="360"/>
      <c r="AC584" s="360"/>
      <c r="AD584" s="360"/>
      <c r="AE584" s="360"/>
      <c r="AF584" s="360"/>
      <c r="AG584" s="360"/>
      <c r="AH584" s="360"/>
    </row>
    <row r="585" ht="18.75" customHeight="1">
      <c r="A585" s="399"/>
      <c r="B585" s="400"/>
      <c r="C585" s="400"/>
      <c r="D585" s="360"/>
      <c r="E585" s="401"/>
      <c r="F585" s="402"/>
      <c r="G585" s="403"/>
      <c r="H585" s="403"/>
      <c r="I585" s="403"/>
      <c r="J585" s="403"/>
      <c r="K585" s="403"/>
      <c r="L585" s="403"/>
      <c r="M585" s="404"/>
      <c r="N585" s="403"/>
      <c r="O585" s="403"/>
      <c r="P585" s="403"/>
      <c r="Q585" s="403"/>
      <c r="R585" s="403"/>
      <c r="S585" s="403"/>
      <c r="T585" s="360"/>
      <c r="U585" s="360"/>
      <c r="V585" s="360"/>
      <c r="W585" s="360"/>
      <c r="X585" s="360"/>
      <c r="Y585" s="360"/>
      <c r="Z585" s="360"/>
      <c r="AA585" s="360"/>
      <c r="AB585" s="360"/>
      <c r="AC585" s="360"/>
      <c r="AD585" s="360"/>
      <c r="AE585" s="360"/>
      <c r="AF585" s="360"/>
      <c r="AG585" s="360"/>
      <c r="AH585" s="360"/>
    </row>
    <row r="586" ht="18.75" customHeight="1">
      <c r="A586" s="399"/>
      <c r="B586" s="400"/>
      <c r="C586" s="400"/>
      <c r="D586" s="360"/>
      <c r="E586" s="401"/>
      <c r="F586" s="402"/>
      <c r="G586" s="403"/>
      <c r="H586" s="403"/>
      <c r="I586" s="403"/>
      <c r="J586" s="403"/>
      <c r="K586" s="403"/>
      <c r="L586" s="403"/>
      <c r="M586" s="404"/>
      <c r="N586" s="403"/>
      <c r="O586" s="403"/>
      <c r="P586" s="403"/>
      <c r="Q586" s="403"/>
      <c r="R586" s="403"/>
      <c r="S586" s="403"/>
      <c r="T586" s="360"/>
      <c r="U586" s="360"/>
      <c r="V586" s="360"/>
      <c r="W586" s="360"/>
      <c r="X586" s="360"/>
      <c r="Y586" s="360"/>
      <c r="Z586" s="360"/>
      <c r="AA586" s="360"/>
      <c r="AB586" s="360"/>
      <c r="AC586" s="360"/>
      <c r="AD586" s="360"/>
      <c r="AE586" s="360"/>
      <c r="AF586" s="360"/>
      <c r="AG586" s="360"/>
      <c r="AH586" s="360"/>
    </row>
    <row r="587" ht="18.75" customHeight="1">
      <c r="A587" s="399"/>
      <c r="B587" s="400"/>
      <c r="C587" s="400"/>
      <c r="D587" s="360"/>
      <c r="E587" s="401"/>
      <c r="F587" s="402"/>
      <c r="G587" s="403"/>
      <c r="H587" s="403"/>
      <c r="I587" s="403"/>
      <c r="J587" s="403"/>
      <c r="K587" s="403"/>
      <c r="L587" s="403"/>
      <c r="M587" s="404"/>
      <c r="N587" s="403"/>
      <c r="O587" s="403"/>
      <c r="P587" s="403"/>
      <c r="Q587" s="403"/>
      <c r="R587" s="403"/>
      <c r="S587" s="403"/>
      <c r="T587" s="360"/>
      <c r="U587" s="360"/>
      <c r="V587" s="360"/>
      <c r="W587" s="360"/>
      <c r="X587" s="360"/>
      <c r="Y587" s="360"/>
      <c r="Z587" s="360"/>
      <c r="AA587" s="360"/>
      <c r="AB587" s="360"/>
      <c r="AC587" s="360"/>
      <c r="AD587" s="360"/>
      <c r="AE587" s="360"/>
      <c r="AF587" s="360"/>
      <c r="AG587" s="360"/>
      <c r="AH587" s="360"/>
    </row>
    <row r="588" ht="18.75" customHeight="1">
      <c r="A588" s="399"/>
      <c r="B588" s="400"/>
      <c r="C588" s="400"/>
      <c r="D588" s="360"/>
      <c r="E588" s="401"/>
      <c r="F588" s="402"/>
      <c r="G588" s="403"/>
      <c r="H588" s="403"/>
      <c r="I588" s="403"/>
      <c r="J588" s="403"/>
      <c r="K588" s="403"/>
      <c r="L588" s="403"/>
      <c r="M588" s="404"/>
      <c r="N588" s="403"/>
      <c r="O588" s="403"/>
      <c r="P588" s="403"/>
      <c r="Q588" s="403"/>
      <c r="R588" s="403"/>
      <c r="S588" s="403"/>
      <c r="T588" s="360"/>
      <c r="U588" s="360"/>
      <c r="V588" s="360"/>
      <c r="W588" s="360"/>
      <c r="X588" s="360"/>
      <c r="Y588" s="360"/>
      <c r="Z588" s="360"/>
      <c r="AA588" s="360"/>
      <c r="AB588" s="360"/>
      <c r="AC588" s="360"/>
      <c r="AD588" s="360"/>
      <c r="AE588" s="360"/>
      <c r="AF588" s="360"/>
      <c r="AG588" s="360"/>
      <c r="AH588" s="360"/>
    </row>
    <row r="589" ht="18.75" customHeight="1">
      <c r="A589" s="399"/>
      <c r="B589" s="400"/>
      <c r="C589" s="400"/>
      <c r="D589" s="360"/>
      <c r="E589" s="401"/>
      <c r="F589" s="402"/>
      <c r="G589" s="403"/>
      <c r="H589" s="403"/>
      <c r="I589" s="403"/>
      <c r="J589" s="403"/>
      <c r="K589" s="403"/>
      <c r="L589" s="403"/>
      <c r="M589" s="404"/>
      <c r="N589" s="403"/>
      <c r="O589" s="403"/>
      <c r="P589" s="403"/>
      <c r="Q589" s="403"/>
      <c r="R589" s="403"/>
      <c r="S589" s="403"/>
      <c r="T589" s="360"/>
      <c r="U589" s="360"/>
      <c r="V589" s="360"/>
      <c r="W589" s="360"/>
      <c r="X589" s="360"/>
      <c r="Y589" s="360"/>
      <c r="Z589" s="360"/>
      <c r="AA589" s="360"/>
      <c r="AB589" s="360"/>
      <c r="AC589" s="360"/>
      <c r="AD589" s="360"/>
      <c r="AE589" s="360"/>
      <c r="AF589" s="360"/>
      <c r="AG589" s="360"/>
      <c r="AH589" s="360"/>
    </row>
    <row r="590" ht="18.75" customHeight="1">
      <c r="A590" s="399"/>
      <c r="B590" s="400"/>
      <c r="C590" s="400"/>
      <c r="D590" s="360"/>
      <c r="E590" s="401"/>
      <c r="F590" s="402"/>
      <c r="G590" s="403"/>
      <c r="H590" s="403"/>
      <c r="I590" s="403"/>
      <c r="J590" s="403"/>
      <c r="K590" s="403"/>
      <c r="L590" s="403"/>
      <c r="M590" s="404"/>
      <c r="N590" s="403"/>
      <c r="O590" s="403"/>
      <c r="P590" s="403"/>
      <c r="Q590" s="403"/>
      <c r="R590" s="403"/>
      <c r="S590" s="403"/>
      <c r="T590" s="360"/>
      <c r="U590" s="360"/>
      <c r="V590" s="360"/>
      <c r="W590" s="360"/>
      <c r="X590" s="360"/>
      <c r="Y590" s="360"/>
      <c r="Z590" s="360"/>
      <c r="AA590" s="360"/>
      <c r="AB590" s="360"/>
      <c r="AC590" s="360"/>
      <c r="AD590" s="360"/>
      <c r="AE590" s="360"/>
      <c r="AF590" s="360"/>
      <c r="AG590" s="360"/>
      <c r="AH590" s="360"/>
    </row>
    <row r="591" ht="18.75" customHeight="1">
      <c r="A591" s="399"/>
      <c r="B591" s="400"/>
      <c r="C591" s="400"/>
      <c r="D591" s="360"/>
      <c r="E591" s="401"/>
      <c r="F591" s="402"/>
      <c r="G591" s="403"/>
      <c r="H591" s="403"/>
      <c r="I591" s="403"/>
      <c r="J591" s="403"/>
      <c r="K591" s="403"/>
      <c r="L591" s="403"/>
      <c r="M591" s="404"/>
      <c r="N591" s="403"/>
      <c r="O591" s="403"/>
      <c r="P591" s="403"/>
      <c r="Q591" s="403"/>
      <c r="R591" s="403"/>
      <c r="S591" s="403"/>
      <c r="T591" s="360"/>
      <c r="U591" s="360"/>
      <c r="V591" s="360"/>
      <c r="W591" s="360"/>
      <c r="X591" s="360"/>
      <c r="Y591" s="360"/>
      <c r="Z591" s="360"/>
      <c r="AA591" s="360"/>
      <c r="AB591" s="360"/>
      <c r="AC591" s="360"/>
      <c r="AD591" s="360"/>
      <c r="AE591" s="360"/>
      <c r="AF591" s="360"/>
      <c r="AG591" s="360"/>
      <c r="AH591" s="360"/>
    </row>
    <row r="592" ht="18.75" customHeight="1">
      <c r="A592" s="399"/>
      <c r="B592" s="400"/>
      <c r="C592" s="400"/>
      <c r="D592" s="360"/>
      <c r="E592" s="401"/>
      <c r="F592" s="402"/>
      <c r="G592" s="403"/>
      <c r="H592" s="403"/>
      <c r="I592" s="403"/>
      <c r="J592" s="403"/>
      <c r="K592" s="403"/>
      <c r="L592" s="403"/>
      <c r="M592" s="404"/>
      <c r="N592" s="403"/>
      <c r="O592" s="403"/>
      <c r="P592" s="403"/>
      <c r="Q592" s="403"/>
      <c r="R592" s="403"/>
      <c r="S592" s="403"/>
      <c r="T592" s="360"/>
      <c r="U592" s="360"/>
      <c r="V592" s="360"/>
      <c r="W592" s="360"/>
      <c r="X592" s="360"/>
      <c r="Y592" s="360"/>
      <c r="Z592" s="360"/>
      <c r="AA592" s="360"/>
      <c r="AB592" s="360"/>
      <c r="AC592" s="360"/>
      <c r="AD592" s="360"/>
      <c r="AE592" s="360"/>
      <c r="AF592" s="360"/>
      <c r="AG592" s="360"/>
      <c r="AH592" s="360"/>
    </row>
    <row r="593" ht="18.75" customHeight="1">
      <c r="A593" s="399"/>
      <c r="B593" s="400"/>
      <c r="C593" s="400"/>
      <c r="D593" s="360"/>
      <c r="E593" s="401"/>
      <c r="F593" s="402"/>
      <c r="G593" s="403"/>
      <c r="H593" s="403"/>
      <c r="I593" s="403"/>
      <c r="J593" s="403"/>
      <c r="K593" s="403"/>
      <c r="L593" s="403"/>
      <c r="M593" s="404"/>
      <c r="N593" s="403"/>
      <c r="O593" s="403"/>
      <c r="P593" s="403"/>
      <c r="Q593" s="403"/>
      <c r="R593" s="403"/>
      <c r="S593" s="403"/>
      <c r="T593" s="360"/>
      <c r="U593" s="360"/>
      <c r="V593" s="360"/>
      <c r="W593" s="360"/>
      <c r="X593" s="360"/>
      <c r="Y593" s="360"/>
      <c r="Z593" s="360"/>
      <c r="AA593" s="360"/>
      <c r="AB593" s="360"/>
      <c r="AC593" s="360"/>
      <c r="AD593" s="360"/>
      <c r="AE593" s="360"/>
      <c r="AF593" s="360"/>
      <c r="AG593" s="360"/>
      <c r="AH593" s="360"/>
    </row>
    <row r="594" ht="18.75" customHeight="1">
      <c r="A594" s="399"/>
      <c r="B594" s="400"/>
      <c r="C594" s="400"/>
      <c r="D594" s="360"/>
      <c r="E594" s="401"/>
      <c r="F594" s="402"/>
      <c r="G594" s="403"/>
      <c r="H594" s="403"/>
      <c r="I594" s="403"/>
      <c r="J594" s="403"/>
      <c r="K594" s="403"/>
      <c r="L594" s="403"/>
      <c r="M594" s="404"/>
      <c r="N594" s="403"/>
      <c r="O594" s="403"/>
      <c r="P594" s="403"/>
      <c r="Q594" s="403"/>
      <c r="R594" s="403"/>
      <c r="S594" s="403"/>
      <c r="T594" s="360"/>
      <c r="U594" s="360"/>
      <c r="V594" s="360"/>
      <c r="W594" s="360"/>
      <c r="X594" s="360"/>
      <c r="Y594" s="360"/>
      <c r="Z594" s="360"/>
      <c r="AA594" s="360"/>
      <c r="AB594" s="360"/>
      <c r="AC594" s="360"/>
      <c r="AD594" s="360"/>
      <c r="AE594" s="360"/>
      <c r="AF594" s="360"/>
      <c r="AG594" s="360"/>
      <c r="AH594" s="360"/>
    </row>
    <row r="595" ht="18.75" customHeight="1">
      <c r="A595" s="399"/>
      <c r="B595" s="400"/>
      <c r="C595" s="400"/>
      <c r="D595" s="360"/>
      <c r="E595" s="401"/>
      <c r="F595" s="402"/>
      <c r="G595" s="403"/>
      <c r="H595" s="403"/>
      <c r="I595" s="403"/>
      <c r="J595" s="403"/>
      <c r="K595" s="403"/>
      <c r="L595" s="403"/>
      <c r="M595" s="404"/>
      <c r="N595" s="403"/>
      <c r="O595" s="403"/>
      <c r="P595" s="403"/>
      <c r="Q595" s="403"/>
      <c r="R595" s="403"/>
      <c r="S595" s="403"/>
      <c r="T595" s="360"/>
      <c r="U595" s="360"/>
      <c r="V595" s="360"/>
      <c r="W595" s="360"/>
      <c r="X595" s="360"/>
      <c r="Y595" s="360"/>
      <c r="Z595" s="360"/>
      <c r="AA595" s="360"/>
      <c r="AB595" s="360"/>
      <c r="AC595" s="360"/>
      <c r="AD595" s="360"/>
      <c r="AE595" s="360"/>
      <c r="AF595" s="360"/>
      <c r="AG595" s="360"/>
      <c r="AH595" s="360"/>
    </row>
    <row r="596" ht="18.75" customHeight="1">
      <c r="A596" s="399"/>
      <c r="B596" s="400"/>
      <c r="C596" s="400"/>
      <c r="D596" s="360"/>
      <c r="E596" s="401"/>
      <c r="F596" s="402"/>
      <c r="G596" s="403"/>
      <c r="H596" s="403"/>
      <c r="I596" s="403"/>
      <c r="J596" s="403"/>
      <c r="K596" s="403"/>
      <c r="L596" s="403"/>
      <c r="M596" s="404"/>
      <c r="N596" s="403"/>
      <c r="O596" s="403"/>
      <c r="P596" s="403"/>
      <c r="Q596" s="403"/>
      <c r="R596" s="403"/>
      <c r="S596" s="403"/>
      <c r="T596" s="360"/>
      <c r="U596" s="360"/>
      <c r="V596" s="360"/>
      <c r="W596" s="360"/>
      <c r="X596" s="360"/>
      <c r="Y596" s="360"/>
      <c r="Z596" s="360"/>
      <c r="AA596" s="360"/>
      <c r="AB596" s="360"/>
      <c r="AC596" s="360"/>
      <c r="AD596" s="360"/>
      <c r="AE596" s="360"/>
      <c r="AF596" s="360"/>
      <c r="AG596" s="360"/>
      <c r="AH596" s="360"/>
    </row>
    <row r="597" ht="18.75" customHeight="1">
      <c r="A597" s="399"/>
      <c r="B597" s="400"/>
      <c r="C597" s="400"/>
      <c r="D597" s="360"/>
      <c r="E597" s="401"/>
      <c r="F597" s="402"/>
      <c r="G597" s="403"/>
      <c r="H597" s="403"/>
      <c r="I597" s="403"/>
      <c r="J597" s="403"/>
      <c r="K597" s="403"/>
      <c r="L597" s="403"/>
      <c r="M597" s="404"/>
      <c r="N597" s="403"/>
      <c r="O597" s="403"/>
      <c r="P597" s="403"/>
      <c r="Q597" s="403"/>
      <c r="R597" s="403"/>
      <c r="S597" s="403"/>
      <c r="T597" s="360"/>
      <c r="U597" s="360"/>
      <c r="V597" s="360"/>
      <c r="W597" s="360"/>
      <c r="X597" s="360"/>
      <c r="Y597" s="360"/>
      <c r="Z597" s="360"/>
      <c r="AA597" s="360"/>
      <c r="AB597" s="360"/>
      <c r="AC597" s="360"/>
      <c r="AD597" s="360"/>
      <c r="AE597" s="360"/>
      <c r="AF597" s="360"/>
      <c r="AG597" s="360"/>
      <c r="AH597" s="360"/>
    </row>
    <row r="598" ht="18.75" customHeight="1">
      <c r="A598" s="399"/>
      <c r="B598" s="400"/>
      <c r="C598" s="400"/>
      <c r="D598" s="360"/>
      <c r="E598" s="401"/>
      <c r="F598" s="402"/>
      <c r="G598" s="403"/>
      <c r="H598" s="403"/>
      <c r="I598" s="403"/>
      <c r="J598" s="403"/>
      <c r="K598" s="403"/>
      <c r="L598" s="403"/>
      <c r="M598" s="404"/>
      <c r="N598" s="403"/>
      <c r="O598" s="403"/>
      <c r="P598" s="403"/>
      <c r="Q598" s="403"/>
      <c r="R598" s="403"/>
      <c r="S598" s="403"/>
      <c r="T598" s="360"/>
      <c r="U598" s="360"/>
      <c r="V598" s="360"/>
      <c r="W598" s="360"/>
      <c r="X598" s="360"/>
      <c r="Y598" s="360"/>
      <c r="Z598" s="360"/>
      <c r="AA598" s="360"/>
      <c r="AB598" s="360"/>
      <c r="AC598" s="360"/>
      <c r="AD598" s="360"/>
      <c r="AE598" s="360"/>
      <c r="AF598" s="360"/>
      <c r="AG598" s="360"/>
      <c r="AH598" s="360"/>
    </row>
    <row r="599" ht="18.75" customHeight="1">
      <c r="A599" s="399"/>
      <c r="B599" s="400"/>
      <c r="C599" s="400"/>
      <c r="D599" s="360"/>
      <c r="E599" s="401"/>
      <c r="F599" s="402"/>
      <c r="G599" s="403"/>
      <c r="H599" s="403"/>
      <c r="I599" s="403"/>
      <c r="J599" s="403"/>
      <c r="K599" s="403"/>
      <c r="L599" s="403"/>
      <c r="M599" s="404"/>
      <c r="N599" s="403"/>
      <c r="O599" s="403"/>
      <c r="P599" s="403"/>
      <c r="Q599" s="403"/>
      <c r="R599" s="403"/>
      <c r="S599" s="403"/>
      <c r="T599" s="360"/>
      <c r="U599" s="360"/>
      <c r="V599" s="360"/>
      <c r="W599" s="360"/>
      <c r="X599" s="360"/>
      <c r="Y599" s="360"/>
      <c r="Z599" s="360"/>
      <c r="AA599" s="360"/>
      <c r="AB599" s="360"/>
      <c r="AC599" s="360"/>
      <c r="AD599" s="360"/>
      <c r="AE599" s="360"/>
      <c r="AF599" s="360"/>
      <c r="AG599" s="360"/>
      <c r="AH599" s="360"/>
    </row>
    <row r="600" ht="18.75" customHeight="1">
      <c r="A600" s="399"/>
      <c r="B600" s="400"/>
      <c r="C600" s="400"/>
      <c r="D600" s="360"/>
      <c r="E600" s="401"/>
      <c r="F600" s="402"/>
      <c r="G600" s="403"/>
      <c r="H600" s="403"/>
      <c r="I600" s="403"/>
      <c r="J600" s="403"/>
      <c r="K600" s="403"/>
      <c r="L600" s="403"/>
      <c r="M600" s="404"/>
      <c r="N600" s="403"/>
      <c r="O600" s="403"/>
      <c r="P600" s="403"/>
      <c r="Q600" s="403"/>
      <c r="R600" s="403"/>
      <c r="S600" s="403"/>
      <c r="T600" s="360"/>
      <c r="U600" s="360"/>
      <c r="V600" s="360"/>
      <c r="W600" s="360"/>
      <c r="X600" s="360"/>
      <c r="Y600" s="360"/>
      <c r="Z600" s="360"/>
      <c r="AA600" s="360"/>
      <c r="AB600" s="360"/>
      <c r="AC600" s="360"/>
      <c r="AD600" s="360"/>
      <c r="AE600" s="360"/>
      <c r="AF600" s="360"/>
      <c r="AG600" s="360"/>
      <c r="AH600" s="360"/>
    </row>
    <row r="601" ht="18.75" customHeight="1">
      <c r="A601" s="399"/>
      <c r="B601" s="400"/>
      <c r="C601" s="400"/>
      <c r="D601" s="360"/>
      <c r="E601" s="401"/>
      <c r="F601" s="402"/>
      <c r="G601" s="403"/>
      <c r="H601" s="403"/>
      <c r="I601" s="403"/>
      <c r="J601" s="403"/>
      <c r="K601" s="403"/>
      <c r="L601" s="403"/>
      <c r="M601" s="404"/>
      <c r="N601" s="403"/>
      <c r="O601" s="403"/>
      <c r="P601" s="403"/>
      <c r="Q601" s="403"/>
      <c r="R601" s="403"/>
      <c r="S601" s="403"/>
      <c r="T601" s="360"/>
      <c r="U601" s="360"/>
      <c r="V601" s="360"/>
      <c r="W601" s="360"/>
      <c r="X601" s="360"/>
      <c r="Y601" s="360"/>
      <c r="Z601" s="360"/>
      <c r="AA601" s="360"/>
      <c r="AB601" s="360"/>
      <c r="AC601" s="360"/>
      <c r="AD601" s="360"/>
      <c r="AE601" s="360"/>
      <c r="AF601" s="360"/>
      <c r="AG601" s="360"/>
      <c r="AH601" s="360"/>
    </row>
    <row r="602" ht="18.75" customHeight="1">
      <c r="A602" s="399"/>
      <c r="B602" s="400"/>
      <c r="C602" s="400"/>
      <c r="D602" s="360"/>
      <c r="E602" s="401"/>
      <c r="F602" s="402"/>
      <c r="G602" s="403"/>
      <c r="H602" s="403"/>
      <c r="I602" s="403"/>
      <c r="J602" s="403"/>
      <c r="K602" s="403"/>
      <c r="L602" s="403"/>
      <c r="M602" s="404"/>
      <c r="N602" s="403"/>
      <c r="O602" s="403"/>
      <c r="P602" s="403"/>
      <c r="Q602" s="403"/>
      <c r="R602" s="403"/>
      <c r="S602" s="403"/>
      <c r="T602" s="360"/>
      <c r="U602" s="360"/>
      <c r="V602" s="360"/>
      <c r="W602" s="360"/>
      <c r="X602" s="360"/>
      <c r="Y602" s="360"/>
      <c r="Z602" s="360"/>
      <c r="AA602" s="360"/>
      <c r="AB602" s="360"/>
      <c r="AC602" s="360"/>
      <c r="AD602" s="360"/>
      <c r="AE602" s="360"/>
      <c r="AF602" s="360"/>
      <c r="AG602" s="360"/>
      <c r="AH602" s="360"/>
    </row>
    <row r="603" ht="18.75" customHeight="1">
      <c r="A603" s="399"/>
      <c r="B603" s="400"/>
      <c r="C603" s="400"/>
      <c r="D603" s="360"/>
      <c r="E603" s="401"/>
      <c r="F603" s="402"/>
      <c r="G603" s="403"/>
      <c r="H603" s="403"/>
      <c r="I603" s="403"/>
      <c r="J603" s="403"/>
      <c r="K603" s="403"/>
      <c r="L603" s="403"/>
      <c r="M603" s="404"/>
      <c r="N603" s="403"/>
      <c r="O603" s="403"/>
      <c r="P603" s="403"/>
      <c r="Q603" s="403"/>
      <c r="R603" s="403"/>
      <c r="S603" s="403"/>
      <c r="T603" s="360"/>
      <c r="U603" s="360"/>
      <c r="V603" s="360"/>
      <c r="W603" s="360"/>
      <c r="X603" s="360"/>
      <c r="Y603" s="360"/>
      <c r="Z603" s="360"/>
      <c r="AA603" s="360"/>
      <c r="AB603" s="360"/>
      <c r="AC603" s="360"/>
      <c r="AD603" s="360"/>
      <c r="AE603" s="360"/>
      <c r="AF603" s="360"/>
      <c r="AG603" s="360"/>
      <c r="AH603" s="360"/>
    </row>
    <row r="604" ht="18.75" customHeight="1">
      <c r="A604" s="399"/>
      <c r="B604" s="400"/>
      <c r="C604" s="400"/>
      <c r="D604" s="360"/>
      <c r="E604" s="401"/>
      <c r="F604" s="402"/>
      <c r="G604" s="403"/>
      <c r="H604" s="403"/>
      <c r="I604" s="403"/>
      <c r="J604" s="403"/>
      <c r="K604" s="403"/>
      <c r="L604" s="403"/>
      <c r="M604" s="404"/>
      <c r="N604" s="403"/>
      <c r="O604" s="403"/>
      <c r="P604" s="403"/>
      <c r="Q604" s="403"/>
      <c r="R604" s="403"/>
      <c r="S604" s="403"/>
      <c r="T604" s="360"/>
      <c r="U604" s="360"/>
      <c r="V604" s="360"/>
      <c r="W604" s="360"/>
      <c r="X604" s="360"/>
      <c r="Y604" s="360"/>
      <c r="Z604" s="360"/>
      <c r="AA604" s="360"/>
      <c r="AB604" s="360"/>
      <c r="AC604" s="360"/>
      <c r="AD604" s="360"/>
      <c r="AE604" s="360"/>
      <c r="AF604" s="360"/>
      <c r="AG604" s="360"/>
      <c r="AH604" s="360"/>
    </row>
    <row r="605" ht="18.75" customHeight="1">
      <c r="A605" s="399"/>
      <c r="B605" s="400"/>
      <c r="C605" s="400"/>
      <c r="D605" s="360"/>
      <c r="E605" s="401"/>
      <c r="F605" s="402"/>
      <c r="G605" s="403"/>
      <c r="H605" s="403"/>
      <c r="I605" s="403"/>
      <c r="J605" s="403"/>
      <c r="K605" s="403"/>
      <c r="L605" s="403"/>
      <c r="M605" s="404"/>
      <c r="N605" s="403"/>
      <c r="O605" s="403"/>
      <c r="P605" s="403"/>
      <c r="Q605" s="403"/>
      <c r="R605" s="403"/>
      <c r="S605" s="403"/>
      <c r="T605" s="360"/>
      <c r="U605" s="360"/>
      <c r="V605" s="360"/>
      <c r="W605" s="360"/>
      <c r="X605" s="360"/>
      <c r="Y605" s="360"/>
      <c r="Z605" s="360"/>
      <c r="AA605" s="360"/>
      <c r="AB605" s="360"/>
      <c r="AC605" s="360"/>
      <c r="AD605" s="360"/>
      <c r="AE605" s="360"/>
      <c r="AF605" s="360"/>
      <c r="AG605" s="360"/>
      <c r="AH605" s="360"/>
    </row>
    <row r="606" ht="18.75" customHeight="1">
      <c r="A606" s="399"/>
      <c r="B606" s="400"/>
      <c r="C606" s="400"/>
      <c r="D606" s="360"/>
      <c r="E606" s="401"/>
      <c r="F606" s="402"/>
      <c r="G606" s="403"/>
      <c r="H606" s="403"/>
      <c r="I606" s="403"/>
      <c r="J606" s="403"/>
      <c r="K606" s="403"/>
      <c r="L606" s="403"/>
      <c r="M606" s="404"/>
      <c r="N606" s="403"/>
      <c r="O606" s="403"/>
      <c r="P606" s="403"/>
      <c r="Q606" s="403"/>
      <c r="R606" s="403"/>
      <c r="S606" s="403"/>
      <c r="T606" s="360"/>
      <c r="U606" s="360"/>
      <c r="V606" s="360"/>
      <c r="W606" s="360"/>
      <c r="X606" s="360"/>
      <c r="Y606" s="360"/>
      <c r="Z606" s="360"/>
      <c r="AA606" s="360"/>
      <c r="AB606" s="360"/>
      <c r="AC606" s="360"/>
      <c r="AD606" s="360"/>
      <c r="AE606" s="360"/>
      <c r="AF606" s="360"/>
      <c r="AG606" s="360"/>
      <c r="AH606" s="360"/>
    </row>
    <row r="607" ht="18.75" customHeight="1">
      <c r="A607" s="399"/>
      <c r="B607" s="400"/>
      <c r="C607" s="400"/>
      <c r="D607" s="360"/>
      <c r="E607" s="401"/>
      <c r="F607" s="402"/>
      <c r="G607" s="403"/>
      <c r="H607" s="403"/>
      <c r="I607" s="403"/>
      <c r="J607" s="403"/>
      <c r="K607" s="403"/>
      <c r="L607" s="403"/>
      <c r="M607" s="404"/>
      <c r="N607" s="403"/>
      <c r="O607" s="403"/>
      <c r="P607" s="403"/>
      <c r="Q607" s="403"/>
      <c r="R607" s="403"/>
      <c r="S607" s="403"/>
      <c r="T607" s="360"/>
      <c r="U607" s="360"/>
      <c r="V607" s="360"/>
      <c r="W607" s="360"/>
      <c r="X607" s="360"/>
      <c r="Y607" s="360"/>
      <c r="Z607" s="360"/>
      <c r="AA607" s="360"/>
      <c r="AB607" s="360"/>
      <c r="AC607" s="360"/>
      <c r="AD607" s="360"/>
      <c r="AE607" s="360"/>
      <c r="AF607" s="360"/>
      <c r="AG607" s="360"/>
      <c r="AH607" s="360"/>
    </row>
    <row r="608" ht="18.75" customHeight="1">
      <c r="A608" s="399"/>
      <c r="B608" s="400"/>
      <c r="C608" s="400"/>
      <c r="D608" s="360"/>
      <c r="E608" s="401"/>
      <c r="F608" s="402"/>
      <c r="G608" s="403"/>
      <c r="H608" s="403"/>
      <c r="I608" s="403"/>
      <c r="J608" s="403"/>
      <c r="K608" s="403"/>
      <c r="L608" s="403"/>
      <c r="M608" s="404"/>
      <c r="N608" s="403"/>
      <c r="O608" s="403"/>
      <c r="P608" s="403"/>
      <c r="Q608" s="403"/>
      <c r="R608" s="403"/>
      <c r="S608" s="403"/>
      <c r="T608" s="360"/>
      <c r="U608" s="360"/>
      <c r="V608" s="360"/>
      <c r="W608" s="360"/>
      <c r="X608" s="360"/>
      <c r="Y608" s="360"/>
      <c r="Z608" s="360"/>
      <c r="AA608" s="360"/>
      <c r="AB608" s="360"/>
      <c r="AC608" s="360"/>
      <c r="AD608" s="360"/>
      <c r="AE608" s="360"/>
      <c r="AF608" s="360"/>
      <c r="AG608" s="360"/>
      <c r="AH608" s="360"/>
    </row>
    <row r="609" ht="18.75" customHeight="1">
      <c r="A609" s="399"/>
      <c r="B609" s="400"/>
      <c r="C609" s="400"/>
      <c r="D609" s="360"/>
      <c r="E609" s="401"/>
      <c r="F609" s="402"/>
      <c r="G609" s="403"/>
      <c r="H609" s="403"/>
      <c r="I609" s="403"/>
      <c r="J609" s="403"/>
      <c r="K609" s="403"/>
      <c r="L609" s="403"/>
      <c r="M609" s="404"/>
      <c r="N609" s="403"/>
      <c r="O609" s="403"/>
      <c r="P609" s="403"/>
      <c r="Q609" s="403"/>
      <c r="R609" s="403"/>
      <c r="S609" s="403"/>
      <c r="T609" s="360"/>
      <c r="U609" s="360"/>
      <c r="V609" s="360"/>
      <c r="W609" s="360"/>
      <c r="X609" s="360"/>
      <c r="Y609" s="360"/>
      <c r="Z609" s="360"/>
      <c r="AA609" s="360"/>
      <c r="AB609" s="360"/>
      <c r="AC609" s="360"/>
      <c r="AD609" s="360"/>
      <c r="AE609" s="360"/>
      <c r="AF609" s="360"/>
      <c r="AG609" s="360"/>
      <c r="AH609" s="360"/>
    </row>
    <row r="610" ht="18.75" customHeight="1">
      <c r="A610" s="399"/>
      <c r="B610" s="400"/>
      <c r="C610" s="400"/>
      <c r="D610" s="360"/>
      <c r="E610" s="401"/>
      <c r="F610" s="402"/>
      <c r="G610" s="403"/>
      <c r="H610" s="403"/>
      <c r="I610" s="403"/>
      <c r="J610" s="403"/>
      <c r="K610" s="403"/>
      <c r="L610" s="403"/>
      <c r="M610" s="404"/>
      <c r="N610" s="403"/>
      <c r="O610" s="403"/>
      <c r="P610" s="403"/>
      <c r="Q610" s="403"/>
      <c r="R610" s="403"/>
      <c r="S610" s="403"/>
      <c r="T610" s="360"/>
      <c r="U610" s="360"/>
      <c r="V610" s="360"/>
      <c r="W610" s="360"/>
      <c r="X610" s="360"/>
      <c r="Y610" s="360"/>
      <c r="Z610" s="360"/>
      <c r="AA610" s="360"/>
      <c r="AB610" s="360"/>
      <c r="AC610" s="360"/>
      <c r="AD610" s="360"/>
      <c r="AE610" s="360"/>
      <c r="AF610" s="360"/>
      <c r="AG610" s="360"/>
      <c r="AH610" s="360"/>
    </row>
    <row r="611" ht="18.75" customHeight="1">
      <c r="A611" s="399"/>
      <c r="B611" s="400"/>
      <c r="C611" s="400"/>
      <c r="D611" s="360"/>
      <c r="E611" s="401"/>
      <c r="F611" s="402"/>
      <c r="G611" s="403"/>
      <c r="H611" s="403"/>
      <c r="I611" s="403"/>
      <c r="J611" s="403"/>
      <c r="K611" s="403"/>
      <c r="L611" s="403"/>
      <c r="M611" s="404"/>
      <c r="N611" s="403"/>
      <c r="O611" s="403"/>
      <c r="P611" s="403"/>
      <c r="Q611" s="403"/>
      <c r="R611" s="403"/>
      <c r="S611" s="403"/>
      <c r="T611" s="360"/>
      <c r="U611" s="360"/>
      <c r="V611" s="360"/>
      <c r="W611" s="360"/>
      <c r="X611" s="360"/>
      <c r="Y611" s="360"/>
      <c r="Z611" s="360"/>
      <c r="AA611" s="360"/>
      <c r="AB611" s="360"/>
      <c r="AC611" s="360"/>
      <c r="AD611" s="360"/>
      <c r="AE611" s="360"/>
      <c r="AF611" s="360"/>
      <c r="AG611" s="360"/>
      <c r="AH611" s="360"/>
    </row>
    <row r="612" ht="18.75" customHeight="1">
      <c r="A612" s="399"/>
      <c r="B612" s="400"/>
      <c r="C612" s="400"/>
      <c r="D612" s="360"/>
      <c r="E612" s="401"/>
      <c r="F612" s="402"/>
      <c r="G612" s="403"/>
      <c r="H612" s="403"/>
      <c r="I612" s="403"/>
      <c r="J612" s="403"/>
      <c r="K612" s="403"/>
      <c r="L612" s="403"/>
      <c r="M612" s="404"/>
      <c r="N612" s="403"/>
      <c r="O612" s="403"/>
      <c r="P612" s="403"/>
      <c r="Q612" s="403"/>
      <c r="R612" s="403"/>
      <c r="S612" s="403"/>
      <c r="T612" s="360"/>
      <c r="U612" s="360"/>
      <c r="V612" s="360"/>
      <c r="W612" s="360"/>
      <c r="X612" s="360"/>
      <c r="Y612" s="360"/>
      <c r="Z612" s="360"/>
      <c r="AA612" s="360"/>
      <c r="AB612" s="360"/>
      <c r="AC612" s="360"/>
      <c r="AD612" s="360"/>
      <c r="AE612" s="360"/>
      <c r="AF612" s="360"/>
      <c r="AG612" s="360"/>
      <c r="AH612" s="360"/>
    </row>
    <row r="613" ht="18.75" customHeight="1">
      <c r="A613" s="399"/>
      <c r="B613" s="400"/>
      <c r="C613" s="400"/>
      <c r="D613" s="360"/>
      <c r="E613" s="401"/>
      <c r="F613" s="402"/>
      <c r="G613" s="403"/>
      <c r="H613" s="403"/>
      <c r="I613" s="403"/>
      <c r="J613" s="403"/>
      <c r="K613" s="403"/>
      <c r="L613" s="403"/>
      <c r="M613" s="404"/>
      <c r="N613" s="403"/>
      <c r="O613" s="403"/>
      <c r="P613" s="403"/>
      <c r="Q613" s="403"/>
      <c r="R613" s="403"/>
      <c r="S613" s="403"/>
      <c r="T613" s="360"/>
      <c r="U613" s="360"/>
      <c r="V613" s="360"/>
      <c r="W613" s="360"/>
      <c r="X613" s="360"/>
      <c r="Y613" s="360"/>
      <c r="Z613" s="360"/>
      <c r="AA613" s="360"/>
      <c r="AB613" s="360"/>
      <c r="AC613" s="360"/>
      <c r="AD613" s="360"/>
      <c r="AE613" s="360"/>
      <c r="AF613" s="360"/>
      <c r="AG613" s="360"/>
      <c r="AH613" s="360"/>
    </row>
    <row r="614" ht="18.75" customHeight="1">
      <c r="A614" s="399"/>
      <c r="B614" s="400"/>
      <c r="C614" s="400"/>
      <c r="D614" s="360"/>
      <c r="E614" s="401"/>
      <c r="F614" s="402"/>
      <c r="G614" s="403"/>
      <c r="H614" s="403"/>
      <c r="I614" s="403"/>
      <c r="J614" s="403"/>
      <c r="K614" s="403"/>
      <c r="L614" s="403"/>
      <c r="M614" s="404"/>
      <c r="N614" s="403"/>
      <c r="O614" s="403"/>
      <c r="P614" s="403"/>
      <c r="Q614" s="403"/>
      <c r="R614" s="403"/>
      <c r="S614" s="403"/>
      <c r="T614" s="360"/>
      <c r="U614" s="360"/>
      <c r="V614" s="360"/>
      <c r="W614" s="360"/>
      <c r="X614" s="360"/>
      <c r="Y614" s="360"/>
      <c r="Z614" s="360"/>
      <c r="AA614" s="360"/>
      <c r="AB614" s="360"/>
      <c r="AC614" s="360"/>
      <c r="AD614" s="360"/>
      <c r="AE614" s="360"/>
      <c r="AF614" s="360"/>
      <c r="AG614" s="360"/>
      <c r="AH614" s="360"/>
    </row>
    <row r="615" ht="18.75" customHeight="1">
      <c r="A615" s="399"/>
      <c r="B615" s="400"/>
      <c r="C615" s="400"/>
      <c r="D615" s="360"/>
      <c r="E615" s="401"/>
      <c r="F615" s="402"/>
      <c r="G615" s="403"/>
      <c r="H615" s="403"/>
      <c r="I615" s="403"/>
      <c r="J615" s="403"/>
      <c r="K615" s="403"/>
      <c r="L615" s="403"/>
      <c r="M615" s="404"/>
      <c r="N615" s="403"/>
      <c r="O615" s="403"/>
      <c r="P615" s="403"/>
      <c r="Q615" s="403"/>
      <c r="R615" s="403"/>
      <c r="S615" s="403"/>
      <c r="T615" s="360"/>
      <c r="U615" s="360"/>
      <c r="V615" s="360"/>
      <c r="W615" s="360"/>
      <c r="X615" s="360"/>
      <c r="Y615" s="360"/>
      <c r="Z615" s="360"/>
      <c r="AA615" s="360"/>
      <c r="AB615" s="360"/>
      <c r="AC615" s="360"/>
      <c r="AD615" s="360"/>
      <c r="AE615" s="360"/>
      <c r="AF615" s="360"/>
      <c r="AG615" s="360"/>
      <c r="AH615" s="360"/>
    </row>
    <row r="616" ht="18.75" customHeight="1">
      <c r="A616" s="399"/>
      <c r="B616" s="400"/>
      <c r="C616" s="400"/>
      <c r="D616" s="360"/>
      <c r="E616" s="401"/>
      <c r="F616" s="402"/>
      <c r="G616" s="403"/>
      <c r="H616" s="403"/>
      <c r="I616" s="403"/>
      <c r="J616" s="403"/>
      <c r="K616" s="403"/>
      <c r="L616" s="403"/>
      <c r="M616" s="404"/>
      <c r="N616" s="403"/>
      <c r="O616" s="403"/>
      <c r="P616" s="403"/>
      <c r="Q616" s="403"/>
      <c r="R616" s="403"/>
      <c r="S616" s="403"/>
      <c r="T616" s="360"/>
      <c r="U616" s="360"/>
      <c r="V616" s="360"/>
      <c r="W616" s="360"/>
      <c r="X616" s="360"/>
      <c r="Y616" s="360"/>
      <c r="Z616" s="360"/>
      <c r="AA616" s="360"/>
      <c r="AB616" s="360"/>
      <c r="AC616" s="360"/>
      <c r="AD616" s="360"/>
      <c r="AE616" s="360"/>
      <c r="AF616" s="360"/>
      <c r="AG616" s="360"/>
      <c r="AH616" s="360"/>
    </row>
    <row r="617" ht="18.75" customHeight="1">
      <c r="A617" s="399"/>
      <c r="B617" s="400"/>
      <c r="C617" s="400"/>
      <c r="D617" s="360"/>
      <c r="E617" s="401"/>
      <c r="F617" s="402"/>
      <c r="G617" s="403"/>
      <c r="H617" s="403"/>
      <c r="I617" s="403"/>
      <c r="J617" s="403"/>
      <c r="K617" s="403"/>
      <c r="L617" s="403"/>
      <c r="M617" s="404"/>
      <c r="N617" s="403"/>
      <c r="O617" s="403"/>
      <c r="P617" s="403"/>
      <c r="Q617" s="403"/>
      <c r="R617" s="403"/>
      <c r="S617" s="403"/>
      <c r="T617" s="360"/>
      <c r="U617" s="360"/>
      <c r="V617" s="360"/>
      <c r="W617" s="360"/>
      <c r="X617" s="360"/>
      <c r="Y617" s="360"/>
      <c r="Z617" s="360"/>
      <c r="AA617" s="360"/>
      <c r="AB617" s="360"/>
      <c r="AC617" s="360"/>
      <c r="AD617" s="360"/>
      <c r="AE617" s="360"/>
      <c r="AF617" s="360"/>
      <c r="AG617" s="360"/>
      <c r="AH617" s="360"/>
    </row>
    <row r="618" ht="18.75" customHeight="1">
      <c r="A618" s="399"/>
      <c r="B618" s="400"/>
      <c r="C618" s="400"/>
      <c r="D618" s="360"/>
      <c r="E618" s="401"/>
      <c r="F618" s="402"/>
      <c r="G618" s="403"/>
      <c r="H618" s="403"/>
      <c r="I618" s="403"/>
      <c r="J618" s="403"/>
      <c r="K618" s="403"/>
      <c r="L618" s="403"/>
      <c r="M618" s="404"/>
      <c r="N618" s="403"/>
      <c r="O618" s="403"/>
      <c r="P618" s="403"/>
      <c r="Q618" s="403"/>
      <c r="R618" s="403"/>
      <c r="S618" s="403"/>
      <c r="T618" s="360"/>
      <c r="U618" s="360"/>
      <c r="V618" s="360"/>
      <c r="W618" s="360"/>
      <c r="X618" s="360"/>
      <c r="Y618" s="360"/>
      <c r="Z618" s="360"/>
      <c r="AA618" s="360"/>
      <c r="AB618" s="360"/>
      <c r="AC618" s="360"/>
      <c r="AD618" s="360"/>
      <c r="AE618" s="360"/>
      <c r="AF618" s="360"/>
      <c r="AG618" s="360"/>
      <c r="AH618" s="360"/>
    </row>
    <row r="619" ht="18.75" customHeight="1">
      <c r="A619" s="399"/>
      <c r="B619" s="400"/>
      <c r="C619" s="400"/>
      <c r="D619" s="360"/>
      <c r="E619" s="401"/>
      <c r="F619" s="402"/>
      <c r="G619" s="403"/>
      <c r="H619" s="403"/>
      <c r="I619" s="403"/>
      <c r="J619" s="403"/>
      <c r="K619" s="403"/>
      <c r="L619" s="403"/>
      <c r="M619" s="404"/>
      <c r="N619" s="403"/>
      <c r="O619" s="403"/>
      <c r="P619" s="403"/>
      <c r="Q619" s="403"/>
      <c r="R619" s="403"/>
      <c r="S619" s="403"/>
      <c r="T619" s="360"/>
      <c r="U619" s="360"/>
      <c r="V619" s="360"/>
      <c r="W619" s="360"/>
      <c r="X619" s="360"/>
      <c r="Y619" s="360"/>
      <c r="Z619" s="360"/>
      <c r="AA619" s="360"/>
      <c r="AB619" s="360"/>
      <c r="AC619" s="360"/>
      <c r="AD619" s="360"/>
      <c r="AE619" s="360"/>
      <c r="AF619" s="360"/>
      <c r="AG619" s="360"/>
      <c r="AH619" s="360"/>
    </row>
    <row r="620" ht="18.75" customHeight="1">
      <c r="A620" s="399"/>
      <c r="B620" s="400"/>
      <c r="C620" s="400"/>
      <c r="D620" s="360"/>
      <c r="E620" s="401"/>
      <c r="F620" s="402"/>
      <c r="G620" s="403"/>
      <c r="H620" s="403"/>
      <c r="I620" s="403"/>
      <c r="J620" s="403"/>
      <c r="K620" s="403"/>
      <c r="L620" s="403"/>
      <c r="M620" s="404"/>
      <c r="N620" s="403"/>
      <c r="O620" s="403"/>
      <c r="P620" s="403"/>
      <c r="Q620" s="403"/>
      <c r="R620" s="403"/>
      <c r="S620" s="403"/>
      <c r="T620" s="360"/>
      <c r="U620" s="360"/>
      <c r="V620" s="360"/>
      <c r="W620" s="360"/>
      <c r="X620" s="360"/>
      <c r="Y620" s="360"/>
      <c r="Z620" s="360"/>
      <c r="AA620" s="360"/>
      <c r="AB620" s="360"/>
      <c r="AC620" s="360"/>
      <c r="AD620" s="360"/>
      <c r="AE620" s="360"/>
      <c r="AF620" s="360"/>
      <c r="AG620" s="360"/>
      <c r="AH620" s="360"/>
    </row>
    <row r="621" ht="18.75" customHeight="1">
      <c r="A621" s="399"/>
      <c r="B621" s="400"/>
      <c r="C621" s="400"/>
      <c r="D621" s="360"/>
      <c r="E621" s="401"/>
      <c r="F621" s="402"/>
      <c r="G621" s="403"/>
      <c r="H621" s="403"/>
      <c r="I621" s="403"/>
      <c r="J621" s="403"/>
      <c r="K621" s="403"/>
      <c r="L621" s="403"/>
      <c r="M621" s="404"/>
      <c r="N621" s="403"/>
      <c r="O621" s="403"/>
      <c r="P621" s="403"/>
      <c r="Q621" s="403"/>
      <c r="R621" s="403"/>
      <c r="S621" s="403"/>
      <c r="T621" s="360"/>
      <c r="U621" s="360"/>
      <c r="V621" s="360"/>
      <c r="W621" s="360"/>
      <c r="X621" s="360"/>
      <c r="Y621" s="360"/>
      <c r="Z621" s="360"/>
      <c r="AA621" s="360"/>
      <c r="AB621" s="360"/>
      <c r="AC621" s="360"/>
      <c r="AD621" s="360"/>
      <c r="AE621" s="360"/>
      <c r="AF621" s="360"/>
      <c r="AG621" s="360"/>
      <c r="AH621" s="360"/>
    </row>
    <row r="622" ht="18.75" customHeight="1">
      <c r="A622" s="399"/>
      <c r="B622" s="400"/>
      <c r="C622" s="400"/>
      <c r="D622" s="360"/>
      <c r="E622" s="401"/>
      <c r="F622" s="402"/>
      <c r="G622" s="403"/>
      <c r="H622" s="403"/>
      <c r="I622" s="403"/>
      <c r="J622" s="403"/>
      <c r="K622" s="403"/>
      <c r="L622" s="403"/>
      <c r="M622" s="404"/>
      <c r="N622" s="403"/>
      <c r="O622" s="403"/>
      <c r="P622" s="403"/>
      <c r="Q622" s="403"/>
      <c r="R622" s="403"/>
      <c r="S622" s="403"/>
      <c r="T622" s="360"/>
      <c r="U622" s="360"/>
      <c r="V622" s="360"/>
      <c r="W622" s="360"/>
      <c r="X622" s="360"/>
      <c r="Y622" s="360"/>
      <c r="Z622" s="360"/>
      <c r="AA622" s="360"/>
      <c r="AB622" s="360"/>
      <c r="AC622" s="360"/>
      <c r="AD622" s="360"/>
      <c r="AE622" s="360"/>
      <c r="AF622" s="360"/>
      <c r="AG622" s="360"/>
      <c r="AH622" s="360"/>
    </row>
    <row r="623" ht="18.75" customHeight="1">
      <c r="A623" s="399"/>
      <c r="B623" s="400"/>
      <c r="C623" s="400"/>
      <c r="D623" s="360"/>
      <c r="E623" s="401"/>
      <c r="F623" s="402"/>
      <c r="G623" s="403"/>
      <c r="H623" s="403"/>
      <c r="I623" s="403"/>
      <c r="J623" s="403"/>
      <c r="K623" s="403"/>
      <c r="L623" s="403"/>
      <c r="M623" s="404"/>
      <c r="N623" s="403"/>
      <c r="O623" s="403"/>
      <c r="P623" s="403"/>
      <c r="Q623" s="403"/>
      <c r="R623" s="403"/>
      <c r="S623" s="403"/>
      <c r="T623" s="360"/>
      <c r="U623" s="360"/>
      <c r="V623" s="360"/>
      <c r="W623" s="360"/>
      <c r="X623" s="360"/>
      <c r="Y623" s="360"/>
      <c r="Z623" s="360"/>
      <c r="AA623" s="360"/>
      <c r="AB623" s="360"/>
      <c r="AC623" s="360"/>
      <c r="AD623" s="360"/>
      <c r="AE623" s="360"/>
      <c r="AF623" s="360"/>
      <c r="AG623" s="360"/>
      <c r="AH623" s="360"/>
    </row>
    <row r="624" ht="18.75" customHeight="1">
      <c r="A624" s="399"/>
      <c r="B624" s="400"/>
      <c r="C624" s="400"/>
      <c r="D624" s="360"/>
      <c r="E624" s="401"/>
      <c r="F624" s="402"/>
      <c r="G624" s="403"/>
      <c r="H624" s="403"/>
      <c r="I624" s="403"/>
      <c r="J624" s="403"/>
      <c r="K624" s="403"/>
      <c r="L624" s="403"/>
      <c r="M624" s="404"/>
      <c r="N624" s="403"/>
      <c r="O624" s="403"/>
      <c r="P624" s="403"/>
      <c r="Q624" s="403"/>
      <c r="R624" s="403"/>
      <c r="S624" s="403"/>
      <c r="T624" s="360"/>
      <c r="U624" s="360"/>
      <c r="V624" s="360"/>
      <c r="W624" s="360"/>
      <c r="X624" s="360"/>
      <c r="Y624" s="360"/>
      <c r="Z624" s="360"/>
      <c r="AA624" s="360"/>
      <c r="AB624" s="360"/>
      <c r="AC624" s="360"/>
      <c r="AD624" s="360"/>
      <c r="AE624" s="360"/>
      <c r="AF624" s="360"/>
      <c r="AG624" s="360"/>
      <c r="AH624" s="360"/>
    </row>
    <row r="625" ht="18.75" customHeight="1">
      <c r="A625" s="399"/>
      <c r="B625" s="400"/>
      <c r="C625" s="400"/>
      <c r="D625" s="360"/>
      <c r="E625" s="401"/>
      <c r="F625" s="402"/>
      <c r="G625" s="403"/>
      <c r="H625" s="403"/>
      <c r="I625" s="403"/>
      <c r="J625" s="403"/>
      <c r="K625" s="403"/>
      <c r="L625" s="403"/>
      <c r="M625" s="404"/>
      <c r="N625" s="403"/>
      <c r="O625" s="403"/>
      <c r="P625" s="403"/>
      <c r="Q625" s="403"/>
      <c r="R625" s="403"/>
      <c r="S625" s="403"/>
      <c r="T625" s="360"/>
      <c r="U625" s="360"/>
      <c r="V625" s="360"/>
      <c r="W625" s="360"/>
      <c r="X625" s="360"/>
      <c r="Y625" s="360"/>
      <c r="Z625" s="360"/>
      <c r="AA625" s="360"/>
      <c r="AB625" s="360"/>
      <c r="AC625" s="360"/>
      <c r="AD625" s="360"/>
      <c r="AE625" s="360"/>
      <c r="AF625" s="360"/>
      <c r="AG625" s="360"/>
      <c r="AH625" s="360"/>
    </row>
    <row r="626" ht="18.75" customHeight="1">
      <c r="A626" s="399"/>
      <c r="B626" s="400"/>
      <c r="C626" s="400"/>
      <c r="D626" s="360"/>
      <c r="E626" s="401"/>
      <c r="F626" s="402"/>
      <c r="G626" s="403"/>
      <c r="H626" s="403"/>
      <c r="I626" s="403"/>
      <c r="J626" s="403"/>
      <c r="K626" s="403"/>
      <c r="L626" s="403"/>
      <c r="M626" s="404"/>
      <c r="N626" s="403"/>
      <c r="O626" s="403"/>
      <c r="P626" s="403"/>
      <c r="Q626" s="403"/>
      <c r="R626" s="403"/>
      <c r="S626" s="403"/>
      <c r="T626" s="360"/>
      <c r="U626" s="360"/>
      <c r="V626" s="360"/>
      <c r="W626" s="360"/>
      <c r="X626" s="360"/>
      <c r="Y626" s="360"/>
      <c r="Z626" s="360"/>
      <c r="AA626" s="360"/>
      <c r="AB626" s="360"/>
      <c r="AC626" s="360"/>
      <c r="AD626" s="360"/>
      <c r="AE626" s="360"/>
      <c r="AF626" s="360"/>
      <c r="AG626" s="360"/>
      <c r="AH626" s="360"/>
    </row>
    <row r="627" ht="18.75" customHeight="1">
      <c r="A627" s="399"/>
      <c r="B627" s="400"/>
      <c r="C627" s="400"/>
      <c r="D627" s="360"/>
      <c r="E627" s="401"/>
      <c r="F627" s="402"/>
      <c r="G627" s="403"/>
      <c r="H627" s="403"/>
      <c r="I627" s="403"/>
      <c r="J627" s="403"/>
      <c r="K627" s="403"/>
      <c r="L627" s="403"/>
      <c r="M627" s="404"/>
      <c r="N627" s="403"/>
      <c r="O627" s="403"/>
      <c r="P627" s="403"/>
      <c r="Q627" s="403"/>
      <c r="R627" s="403"/>
      <c r="S627" s="403"/>
      <c r="T627" s="360"/>
      <c r="U627" s="360"/>
      <c r="V627" s="360"/>
      <c r="W627" s="360"/>
      <c r="X627" s="360"/>
      <c r="Y627" s="360"/>
      <c r="Z627" s="360"/>
      <c r="AA627" s="360"/>
      <c r="AB627" s="360"/>
      <c r="AC627" s="360"/>
      <c r="AD627" s="360"/>
      <c r="AE627" s="360"/>
      <c r="AF627" s="360"/>
      <c r="AG627" s="360"/>
      <c r="AH627" s="360"/>
    </row>
    <row r="628" ht="18.75" customHeight="1">
      <c r="A628" s="399"/>
      <c r="B628" s="400"/>
      <c r="C628" s="400"/>
      <c r="D628" s="360"/>
      <c r="E628" s="401"/>
      <c r="F628" s="402"/>
      <c r="G628" s="403"/>
      <c r="H628" s="403"/>
      <c r="I628" s="403"/>
      <c r="J628" s="403"/>
      <c r="K628" s="403"/>
      <c r="L628" s="403"/>
      <c r="M628" s="404"/>
      <c r="N628" s="403"/>
      <c r="O628" s="403"/>
      <c r="P628" s="403"/>
      <c r="Q628" s="403"/>
      <c r="R628" s="403"/>
      <c r="S628" s="403"/>
      <c r="T628" s="360"/>
      <c r="U628" s="360"/>
      <c r="V628" s="360"/>
      <c r="W628" s="360"/>
      <c r="X628" s="360"/>
      <c r="Y628" s="360"/>
      <c r="Z628" s="360"/>
      <c r="AA628" s="360"/>
      <c r="AB628" s="360"/>
      <c r="AC628" s="360"/>
      <c r="AD628" s="360"/>
      <c r="AE628" s="360"/>
      <c r="AF628" s="360"/>
      <c r="AG628" s="360"/>
      <c r="AH628" s="360"/>
    </row>
    <row r="629" ht="18.75" customHeight="1">
      <c r="A629" s="399"/>
      <c r="B629" s="400"/>
      <c r="C629" s="400"/>
      <c r="D629" s="360"/>
      <c r="E629" s="401"/>
      <c r="F629" s="402"/>
      <c r="G629" s="403"/>
      <c r="H629" s="403"/>
      <c r="I629" s="403"/>
      <c r="J629" s="403"/>
      <c r="K629" s="403"/>
      <c r="L629" s="403"/>
      <c r="M629" s="404"/>
      <c r="N629" s="403"/>
      <c r="O629" s="403"/>
      <c r="P629" s="403"/>
      <c r="Q629" s="403"/>
      <c r="R629" s="403"/>
      <c r="S629" s="403"/>
      <c r="T629" s="360"/>
      <c r="U629" s="360"/>
      <c r="V629" s="360"/>
      <c r="W629" s="360"/>
      <c r="X629" s="360"/>
      <c r="Y629" s="360"/>
      <c r="Z629" s="360"/>
      <c r="AA629" s="360"/>
      <c r="AB629" s="360"/>
      <c r="AC629" s="360"/>
      <c r="AD629" s="360"/>
      <c r="AE629" s="360"/>
      <c r="AF629" s="360"/>
      <c r="AG629" s="360"/>
      <c r="AH629" s="360"/>
    </row>
    <row r="630" ht="18.75" customHeight="1">
      <c r="A630" s="399"/>
      <c r="B630" s="400"/>
      <c r="C630" s="400"/>
      <c r="D630" s="360"/>
      <c r="E630" s="401"/>
      <c r="F630" s="402"/>
      <c r="G630" s="403"/>
      <c r="H630" s="403"/>
      <c r="I630" s="403"/>
      <c r="J630" s="403"/>
      <c r="K630" s="403"/>
      <c r="L630" s="403"/>
      <c r="M630" s="404"/>
      <c r="N630" s="403"/>
      <c r="O630" s="403"/>
      <c r="P630" s="403"/>
      <c r="Q630" s="403"/>
      <c r="R630" s="403"/>
      <c r="S630" s="403"/>
      <c r="T630" s="360"/>
      <c r="U630" s="360"/>
      <c r="V630" s="360"/>
      <c r="W630" s="360"/>
      <c r="X630" s="360"/>
      <c r="Y630" s="360"/>
      <c r="Z630" s="360"/>
      <c r="AA630" s="360"/>
      <c r="AB630" s="360"/>
      <c r="AC630" s="360"/>
      <c r="AD630" s="360"/>
      <c r="AE630" s="360"/>
      <c r="AF630" s="360"/>
      <c r="AG630" s="360"/>
      <c r="AH630" s="360"/>
    </row>
    <row r="631" ht="18.75" customHeight="1">
      <c r="A631" s="399"/>
      <c r="B631" s="400"/>
      <c r="C631" s="400"/>
      <c r="D631" s="360"/>
      <c r="E631" s="401"/>
      <c r="F631" s="402"/>
      <c r="G631" s="403"/>
      <c r="H631" s="403"/>
      <c r="I631" s="403"/>
      <c r="J631" s="403"/>
      <c r="K631" s="403"/>
      <c r="L631" s="403"/>
      <c r="M631" s="404"/>
      <c r="N631" s="403"/>
      <c r="O631" s="403"/>
      <c r="P631" s="403"/>
      <c r="Q631" s="403"/>
      <c r="R631" s="403"/>
      <c r="S631" s="403"/>
      <c r="T631" s="360"/>
      <c r="U631" s="360"/>
      <c r="V631" s="360"/>
      <c r="W631" s="360"/>
      <c r="X631" s="360"/>
      <c r="Y631" s="360"/>
      <c r="Z631" s="360"/>
      <c r="AA631" s="360"/>
      <c r="AB631" s="360"/>
      <c r="AC631" s="360"/>
      <c r="AD631" s="360"/>
      <c r="AE631" s="360"/>
      <c r="AF631" s="360"/>
      <c r="AG631" s="360"/>
      <c r="AH631" s="360"/>
    </row>
    <row r="632" ht="18.75" customHeight="1">
      <c r="A632" s="399"/>
      <c r="B632" s="400"/>
      <c r="C632" s="400"/>
      <c r="D632" s="360"/>
      <c r="E632" s="401"/>
      <c r="F632" s="402"/>
      <c r="G632" s="403"/>
      <c r="H632" s="403"/>
      <c r="I632" s="403"/>
      <c r="J632" s="403"/>
      <c r="K632" s="403"/>
      <c r="L632" s="403"/>
      <c r="M632" s="404"/>
      <c r="N632" s="403"/>
      <c r="O632" s="403"/>
      <c r="P632" s="403"/>
      <c r="Q632" s="403"/>
      <c r="R632" s="403"/>
      <c r="S632" s="403"/>
      <c r="T632" s="360"/>
      <c r="U632" s="360"/>
      <c r="V632" s="360"/>
      <c r="W632" s="360"/>
      <c r="X632" s="360"/>
      <c r="Y632" s="360"/>
      <c r="Z632" s="360"/>
      <c r="AA632" s="360"/>
      <c r="AB632" s="360"/>
      <c r="AC632" s="360"/>
      <c r="AD632" s="360"/>
      <c r="AE632" s="360"/>
      <c r="AF632" s="360"/>
      <c r="AG632" s="360"/>
      <c r="AH632" s="360"/>
    </row>
    <row r="633" ht="18.75" customHeight="1">
      <c r="A633" s="399"/>
      <c r="B633" s="400"/>
      <c r="C633" s="400"/>
      <c r="D633" s="360"/>
      <c r="E633" s="401"/>
      <c r="F633" s="402"/>
      <c r="G633" s="403"/>
      <c r="H633" s="403"/>
      <c r="I633" s="403"/>
      <c r="J633" s="403"/>
      <c r="K633" s="403"/>
      <c r="L633" s="403"/>
      <c r="M633" s="404"/>
      <c r="N633" s="403"/>
      <c r="O633" s="403"/>
      <c r="P633" s="403"/>
      <c r="Q633" s="403"/>
      <c r="R633" s="403"/>
      <c r="S633" s="403"/>
      <c r="T633" s="360"/>
      <c r="U633" s="360"/>
      <c r="V633" s="360"/>
      <c r="W633" s="360"/>
      <c r="X633" s="360"/>
      <c r="Y633" s="360"/>
      <c r="Z633" s="360"/>
      <c r="AA633" s="360"/>
      <c r="AB633" s="360"/>
      <c r="AC633" s="360"/>
      <c r="AD633" s="360"/>
      <c r="AE633" s="360"/>
      <c r="AF633" s="360"/>
      <c r="AG633" s="360"/>
      <c r="AH633" s="360"/>
    </row>
    <row r="634" ht="18.75" customHeight="1">
      <c r="A634" s="399"/>
      <c r="B634" s="400"/>
      <c r="C634" s="400"/>
      <c r="D634" s="360"/>
      <c r="E634" s="401"/>
      <c r="F634" s="402"/>
      <c r="G634" s="403"/>
      <c r="H634" s="403"/>
      <c r="I634" s="403"/>
      <c r="J634" s="403"/>
      <c r="K634" s="403"/>
      <c r="L634" s="403"/>
      <c r="M634" s="404"/>
      <c r="N634" s="403"/>
      <c r="O634" s="403"/>
      <c r="P634" s="403"/>
      <c r="Q634" s="403"/>
      <c r="R634" s="403"/>
      <c r="S634" s="403"/>
      <c r="T634" s="360"/>
      <c r="U634" s="360"/>
      <c r="V634" s="360"/>
      <c r="W634" s="360"/>
      <c r="X634" s="360"/>
      <c r="Y634" s="360"/>
      <c r="Z634" s="360"/>
      <c r="AA634" s="360"/>
      <c r="AB634" s="360"/>
      <c r="AC634" s="360"/>
      <c r="AD634" s="360"/>
      <c r="AE634" s="360"/>
      <c r="AF634" s="360"/>
      <c r="AG634" s="360"/>
      <c r="AH634" s="360"/>
    </row>
    <row r="635" ht="18.75" customHeight="1">
      <c r="A635" s="399"/>
      <c r="B635" s="400"/>
      <c r="C635" s="400"/>
      <c r="D635" s="360"/>
      <c r="E635" s="401"/>
      <c r="F635" s="402"/>
      <c r="G635" s="403"/>
      <c r="H635" s="403"/>
      <c r="I635" s="403"/>
      <c r="J635" s="403"/>
      <c r="K635" s="403"/>
      <c r="L635" s="403"/>
      <c r="M635" s="404"/>
      <c r="N635" s="403"/>
      <c r="O635" s="403"/>
      <c r="P635" s="403"/>
      <c r="Q635" s="403"/>
      <c r="R635" s="403"/>
      <c r="S635" s="403"/>
      <c r="T635" s="360"/>
      <c r="U635" s="360"/>
      <c r="V635" s="360"/>
      <c r="W635" s="360"/>
      <c r="X635" s="360"/>
      <c r="Y635" s="360"/>
      <c r="Z635" s="360"/>
      <c r="AA635" s="360"/>
      <c r="AB635" s="360"/>
      <c r="AC635" s="360"/>
      <c r="AD635" s="360"/>
      <c r="AE635" s="360"/>
      <c r="AF635" s="360"/>
      <c r="AG635" s="360"/>
      <c r="AH635" s="360"/>
    </row>
    <row r="636" ht="18.75" customHeight="1">
      <c r="A636" s="399"/>
      <c r="B636" s="400"/>
      <c r="C636" s="400"/>
      <c r="D636" s="360"/>
      <c r="E636" s="401"/>
      <c r="F636" s="402"/>
      <c r="G636" s="403"/>
      <c r="H636" s="403"/>
      <c r="I636" s="403"/>
      <c r="J636" s="403"/>
      <c r="K636" s="403"/>
      <c r="L636" s="403"/>
      <c r="M636" s="404"/>
      <c r="N636" s="403"/>
      <c r="O636" s="403"/>
      <c r="P636" s="403"/>
      <c r="Q636" s="403"/>
      <c r="R636" s="403"/>
      <c r="S636" s="403"/>
      <c r="T636" s="360"/>
      <c r="U636" s="360"/>
      <c r="V636" s="360"/>
      <c r="W636" s="360"/>
      <c r="X636" s="360"/>
      <c r="Y636" s="360"/>
      <c r="Z636" s="360"/>
      <c r="AA636" s="360"/>
      <c r="AB636" s="360"/>
      <c r="AC636" s="360"/>
      <c r="AD636" s="360"/>
      <c r="AE636" s="360"/>
      <c r="AF636" s="360"/>
      <c r="AG636" s="360"/>
      <c r="AH636" s="360"/>
    </row>
    <row r="637" ht="18.75" customHeight="1">
      <c r="A637" s="399"/>
      <c r="B637" s="400"/>
      <c r="C637" s="400"/>
      <c r="D637" s="360"/>
      <c r="E637" s="401"/>
      <c r="F637" s="402"/>
      <c r="G637" s="403"/>
      <c r="H637" s="403"/>
      <c r="I637" s="403"/>
      <c r="J637" s="403"/>
      <c r="K637" s="403"/>
      <c r="L637" s="403"/>
      <c r="M637" s="404"/>
      <c r="N637" s="403"/>
      <c r="O637" s="403"/>
      <c r="P637" s="403"/>
      <c r="Q637" s="403"/>
      <c r="R637" s="403"/>
      <c r="S637" s="403"/>
      <c r="T637" s="360"/>
      <c r="U637" s="360"/>
      <c r="V637" s="360"/>
      <c r="W637" s="360"/>
      <c r="X637" s="360"/>
      <c r="Y637" s="360"/>
      <c r="Z637" s="360"/>
      <c r="AA637" s="360"/>
      <c r="AB637" s="360"/>
      <c r="AC637" s="360"/>
      <c r="AD637" s="360"/>
      <c r="AE637" s="360"/>
      <c r="AF637" s="360"/>
      <c r="AG637" s="360"/>
      <c r="AH637" s="360"/>
    </row>
    <row r="638" ht="18.75" customHeight="1">
      <c r="A638" s="399"/>
      <c r="B638" s="400"/>
      <c r="C638" s="400"/>
      <c r="D638" s="360"/>
      <c r="E638" s="401"/>
      <c r="F638" s="402"/>
      <c r="G638" s="403"/>
      <c r="H638" s="403"/>
      <c r="I638" s="403"/>
      <c r="J638" s="403"/>
      <c r="K638" s="403"/>
      <c r="L638" s="403"/>
      <c r="M638" s="404"/>
      <c r="N638" s="403"/>
      <c r="O638" s="403"/>
      <c r="P638" s="403"/>
      <c r="Q638" s="403"/>
      <c r="R638" s="403"/>
      <c r="S638" s="403"/>
      <c r="T638" s="360"/>
      <c r="U638" s="360"/>
      <c r="V638" s="360"/>
      <c r="W638" s="360"/>
      <c r="X638" s="360"/>
      <c r="Y638" s="360"/>
      <c r="Z638" s="360"/>
      <c r="AA638" s="360"/>
      <c r="AB638" s="360"/>
      <c r="AC638" s="360"/>
      <c r="AD638" s="360"/>
      <c r="AE638" s="360"/>
      <c r="AF638" s="360"/>
      <c r="AG638" s="360"/>
      <c r="AH638" s="360"/>
    </row>
    <row r="639" ht="18.75" customHeight="1">
      <c r="A639" s="399"/>
      <c r="B639" s="400"/>
      <c r="C639" s="400"/>
      <c r="D639" s="360"/>
      <c r="E639" s="401"/>
      <c r="F639" s="402"/>
      <c r="G639" s="403"/>
      <c r="H639" s="403"/>
      <c r="I639" s="403"/>
      <c r="J639" s="403"/>
      <c r="K639" s="403"/>
      <c r="L639" s="403"/>
      <c r="M639" s="404"/>
      <c r="N639" s="403"/>
      <c r="O639" s="403"/>
      <c r="P639" s="403"/>
      <c r="Q639" s="403"/>
      <c r="R639" s="403"/>
      <c r="S639" s="403"/>
      <c r="T639" s="360"/>
      <c r="U639" s="360"/>
      <c r="V639" s="360"/>
      <c r="W639" s="360"/>
      <c r="X639" s="360"/>
      <c r="Y639" s="360"/>
      <c r="Z639" s="360"/>
      <c r="AA639" s="360"/>
      <c r="AB639" s="360"/>
      <c r="AC639" s="360"/>
      <c r="AD639" s="360"/>
      <c r="AE639" s="360"/>
      <c r="AF639" s="360"/>
      <c r="AG639" s="360"/>
      <c r="AH639" s="360"/>
    </row>
    <row r="640" ht="18.75" customHeight="1">
      <c r="A640" s="399"/>
      <c r="B640" s="400"/>
      <c r="C640" s="400"/>
      <c r="D640" s="360"/>
      <c r="E640" s="401"/>
      <c r="F640" s="402"/>
      <c r="G640" s="403"/>
      <c r="H640" s="403"/>
      <c r="I640" s="403"/>
      <c r="J640" s="403"/>
      <c r="K640" s="403"/>
      <c r="L640" s="403"/>
      <c r="M640" s="404"/>
      <c r="N640" s="403"/>
      <c r="O640" s="403"/>
      <c r="P640" s="403"/>
      <c r="Q640" s="403"/>
      <c r="R640" s="403"/>
      <c r="S640" s="403"/>
      <c r="T640" s="360"/>
      <c r="U640" s="360"/>
      <c r="V640" s="360"/>
      <c r="W640" s="360"/>
      <c r="X640" s="360"/>
      <c r="Y640" s="360"/>
      <c r="Z640" s="360"/>
      <c r="AA640" s="360"/>
      <c r="AB640" s="360"/>
      <c r="AC640" s="360"/>
      <c r="AD640" s="360"/>
      <c r="AE640" s="360"/>
      <c r="AF640" s="360"/>
      <c r="AG640" s="360"/>
      <c r="AH640" s="360"/>
    </row>
    <row r="641" ht="18.75" customHeight="1">
      <c r="A641" s="399"/>
      <c r="B641" s="400"/>
      <c r="C641" s="400"/>
      <c r="D641" s="360"/>
      <c r="E641" s="401"/>
      <c r="F641" s="402"/>
      <c r="G641" s="403"/>
      <c r="H641" s="403"/>
      <c r="I641" s="403"/>
      <c r="J641" s="403"/>
      <c r="K641" s="403"/>
      <c r="L641" s="403"/>
      <c r="M641" s="404"/>
      <c r="N641" s="403"/>
      <c r="O641" s="403"/>
      <c r="P641" s="403"/>
      <c r="Q641" s="403"/>
      <c r="R641" s="403"/>
      <c r="S641" s="403"/>
      <c r="T641" s="360"/>
      <c r="U641" s="360"/>
      <c r="V641" s="360"/>
      <c r="W641" s="360"/>
      <c r="X641" s="360"/>
      <c r="Y641" s="360"/>
      <c r="Z641" s="360"/>
      <c r="AA641" s="360"/>
      <c r="AB641" s="360"/>
      <c r="AC641" s="360"/>
      <c r="AD641" s="360"/>
      <c r="AE641" s="360"/>
      <c r="AF641" s="360"/>
      <c r="AG641" s="360"/>
      <c r="AH641" s="360"/>
    </row>
    <row r="642" ht="18.75" customHeight="1">
      <c r="A642" s="399"/>
      <c r="B642" s="400"/>
      <c r="C642" s="400"/>
      <c r="D642" s="360"/>
      <c r="E642" s="401"/>
      <c r="F642" s="402"/>
      <c r="G642" s="403"/>
      <c r="H642" s="403"/>
      <c r="I642" s="403"/>
      <c r="J642" s="403"/>
      <c r="K642" s="403"/>
      <c r="L642" s="403"/>
      <c r="M642" s="404"/>
      <c r="N642" s="403"/>
      <c r="O642" s="403"/>
      <c r="P642" s="403"/>
      <c r="Q642" s="403"/>
      <c r="R642" s="403"/>
      <c r="S642" s="403"/>
      <c r="T642" s="360"/>
      <c r="U642" s="360"/>
      <c r="V642" s="360"/>
      <c r="W642" s="360"/>
      <c r="X642" s="360"/>
      <c r="Y642" s="360"/>
      <c r="Z642" s="360"/>
      <c r="AA642" s="360"/>
      <c r="AB642" s="360"/>
      <c r="AC642" s="360"/>
      <c r="AD642" s="360"/>
      <c r="AE642" s="360"/>
      <c r="AF642" s="360"/>
      <c r="AG642" s="360"/>
      <c r="AH642" s="360"/>
    </row>
    <row r="643" ht="18.75" customHeight="1">
      <c r="A643" s="399"/>
      <c r="B643" s="400"/>
      <c r="C643" s="400"/>
      <c r="D643" s="360"/>
      <c r="E643" s="401"/>
      <c r="F643" s="402"/>
      <c r="G643" s="403"/>
      <c r="H643" s="403"/>
      <c r="I643" s="403"/>
      <c r="J643" s="403"/>
      <c r="K643" s="403"/>
      <c r="L643" s="403"/>
      <c r="M643" s="404"/>
      <c r="N643" s="403"/>
      <c r="O643" s="403"/>
      <c r="P643" s="403"/>
      <c r="Q643" s="403"/>
      <c r="R643" s="403"/>
      <c r="S643" s="403"/>
      <c r="T643" s="360"/>
      <c r="U643" s="360"/>
      <c r="V643" s="360"/>
      <c r="W643" s="360"/>
      <c r="X643" s="360"/>
      <c r="Y643" s="360"/>
      <c r="Z643" s="360"/>
      <c r="AA643" s="360"/>
      <c r="AB643" s="360"/>
      <c r="AC643" s="360"/>
      <c r="AD643" s="360"/>
      <c r="AE643" s="360"/>
      <c r="AF643" s="360"/>
      <c r="AG643" s="360"/>
      <c r="AH643" s="360"/>
    </row>
    <row r="644" ht="18.75" customHeight="1">
      <c r="A644" s="399"/>
      <c r="B644" s="400"/>
      <c r="C644" s="400"/>
      <c r="D644" s="360"/>
      <c r="E644" s="401"/>
      <c r="F644" s="402"/>
      <c r="G644" s="403"/>
      <c r="H644" s="403"/>
      <c r="I644" s="403"/>
      <c r="J644" s="403"/>
      <c r="K644" s="403"/>
      <c r="L644" s="403"/>
      <c r="M644" s="404"/>
      <c r="N644" s="403"/>
      <c r="O644" s="403"/>
      <c r="P644" s="403"/>
      <c r="Q644" s="403"/>
      <c r="R644" s="403"/>
      <c r="S644" s="403"/>
      <c r="T644" s="360"/>
      <c r="U644" s="360"/>
      <c r="V644" s="360"/>
      <c r="W644" s="360"/>
      <c r="X644" s="360"/>
      <c r="Y644" s="360"/>
      <c r="Z644" s="360"/>
      <c r="AA644" s="360"/>
      <c r="AB644" s="360"/>
      <c r="AC644" s="360"/>
      <c r="AD644" s="360"/>
      <c r="AE644" s="360"/>
      <c r="AF644" s="360"/>
      <c r="AG644" s="360"/>
      <c r="AH644" s="360"/>
    </row>
    <row r="645" ht="18.75" customHeight="1">
      <c r="A645" s="399"/>
      <c r="B645" s="400"/>
      <c r="C645" s="400"/>
      <c r="D645" s="360"/>
      <c r="E645" s="401"/>
      <c r="F645" s="402"/>
      <c r="G645" s="403"/>
      <c r="H645" s="403"/>
      <c r="I645" s="403"/>
      <c r="J645" s="403"/>
      <c r="K645" s="403"/>
      <c r="L645" s="403"/>
      <c r="M645" s="404"/>
      <c r="N645" s="403"/>
      <c r="O645" s="403"/>
      <c r="P645" s="403"/>
      <c r="Q645" s="403"/>
      <c r="R645" s="403"/>
      <c r="S645" s="403"/>
      <c r="T645" s="360"/>
      <c r="U645" s="360"/>
      <c r="V645" s="360"/>
      <c r="W645" s="360"/>
      <c r="X645" s="360"/>
      <c r="Y645" s="360"/>
      <c r="Z645" s="360"/>
      <c r="AA645" s="360"/>
      <c r="AB645" s="360"/>
      <c r="AC645" s="360"/>
      <c r="AD645" s="360"/>
      <c r="AE645" s="360"/>
      <c r="AF645" s="360"/>
      <c r="AG645" s="360"/>
      <c r="AH645" s="360"/>
    </row>
    <row r="646" ht="18.75" customHeight="1">
      <c r="A646" s="399"/>
      <c r="B646" s="400"/>
      <c r="C646" s="400"/>
      <c r="D646" s="360"/>
      <c r="E646" s="401"/>
      <c r="F646" s="402"/>
      <c r="G646" s="403"/>
      <c r="H646" s="403"/>
      <c r="I646" s="403"/>
      <c r="J646" s="403"/>
      <c r="K646" s="403"/>
      <c r="L646" s="403"/>
      <c r="M646" s="404"/>
      <c r="N646" s="403"/>
      <c r="O646" s="403"/>
      <c r="P646" s="403"/>
      <c r="Q646" s="403"/>
      <c r="R646" s="403"/>
      <c r="S646" s="403"/>
      <c r="T646" s="360"/>
      <c r="U646" s="360"/>
      <c r="V646" s="360"/>
      <c r="W646" s="360"/>
      <c r="X646" s="360"/>
      <c r="Y646" s="360"/>
      <c r="Z646" s="360"/>
      <c r="AA646" s="360"/>
      <c r="AB646" s="360"/>
      <c r="AC646" s="360"/>
      <c r="AD646" s="360"/>
      <c r="AE646" s="360"/>
      <c r="AF646" s="360"/>
      <c r="AG646" s="360"/>
      <c r="AH646" s="360"/>
    </row>
    <row r="647" ht="18.75" customHeight="1">
      <c r="A647" s="399"/>
      <c r="B647" s="400"/>
      <c r="C647" s="400"/>
      <c r="D647" s="360"/>
      <c r="E647" s="401"/>
      <c r="F647" s="402"/>
      <c r="G647" s="403"/>
      <c r="H647" s="403"/>
      <c r="I647" s="403"/>
      <c r="J647" s="403"/>
      <c r="K647" s="403"/>
      <c r="L647" s="403"/>
      <c r="M647" s="404"/>
      <c r="N647" s="403"/>
      <c r="O647" s="403"/>
      <c r="P647" s="403"/>
      <c r="Q647" s="403"/>
      <c r="R647" s="403"/>
      <c r="S647" s="403"/>
      <c r="T647" s="360"/>
      <c r="U647" s="360"/>
      <c r="V647" s="360"/>
      <c r="W647" s="360"/>
      <c r="X647" s="360"/>
      <c r="Y647" s="360"/>
      <c r="Z647" s="360"/>
      <c r="AA647" s="360"/>
      <c r="AB647" s="360"/>
      <c r="AC647" s="360"/>
      <c r="AD647" s="360"/>
      <c r="AE647" s="360"/>
      <c r="AF647" s="360"/>
      <c r="AG647" s="360"/>
      <c r="AH647" s="360"/>
    </row>
    <row r="648" ht="18.75" customHeight="1">
      <c r="A648" s="399"/>
      <c r="B648" s="400"/>
      <c r="C648" s="400"/>
      <c r="D648" s="360"/>
      <c r="E648" s="401"/>
      <c r="F648" s="402"/>
      <c r="G648" s="403"/>
      <c r="H648" s="403"/>
      <c r="I648" s="403"/>
      <c r="J648" s="403"/>
      <c r="K648" s="403"/>
      <c r="L648" s="403"/>
      <c r="M648" s="404"/>
      <c r="N648" s="403"/>
      <c r="O648" s="403"/>
      <c r="P648" s="403"/>
      <c r="Q648" s="403"/>
      <c r="R648" s="403"/>
      <c r="S648" s="403"/>
      <c r="T648" s="360"/>
      <c r="U648" s="360"/>
      <c r="V648" s="360"/>
      <c r="W648" s="360"/>
      <c r="X648" s="360"/>
      <c r="Y648" s="360"/>
      <c r="Z648" s="360"/>
      <c r="AA648" s="360"/>
      <c r="AB648" s="360"/>
      <c r="AC648" s="360"/>
      <c r="AD648" s="360"/>
      <c r="AE648" s="360"/>
      <c r="AF648" s="360"/>
      <c r="AG648" s="360"/>
      <c r="AH648" s="360"/>
    </row>
    <row r="649" ht="18.75" customHeight="1">
      <c r="A649" s="399"/>
      <c r="B649" s="400"/>
      <c r="C649" s="400"/>
      <c r="D649" s="360"/>
      <c r="E649" s="401"/>
      <c r="F649" s="402"/>
      <c r="G649" s="403"/>
      <c r="H649" s="403"/>
      <c r="I649" s="403"/>
      <c r="J649" s="403"/>
      <c r="K649" s="403"/>
      <c r="L649" s="403"/>
      <c r="M649" s="404"/>
      <c r="N649" s="403"/>
      <c r="O649" s="403"/>
      <c r="P649" s="403"/>
      <c r="Q649" s="403"/>
      <c r="R649" s="403"/>
      <c r="S649" s="403"/>
      <c r="T649" s="360"/>
      <c r="U649" s="360"/>
      <c r="V649" s="360"/>
      <c r="W649" s="360"/>
      <c r="X649" s="360"/>
      <c r="Y649" s="360"/>
      <c r="Z649" s="360"/>
      <c r="AA649" s="360"/>
      <c r="AB649" s="360"/>
      <c r="AC649" s="360"/>
      <c r="AD649" s="360"/>
      <c r="AE649" s="360"/>
      <c r="AF649" s="360"/>
      <c r="AG649" s="360"/>
      <c r="AH649" s="360"/>
    </row>
    <row r="650" ht="18.75" customHeight="1">
      <c r="A650" s="399"/>
      <c r="B650" s="400"/>
      <c r="C650" s="400"/>
      <c r="D650" s="360"/>
      <c r="E650" s="401"/>
      <c r="F650" s="402"/>
      <c r="G650" s="403"/>
      <c r="H650" s="403"/>
      <c r="I650" s="403"/>
      <c r="J650" s="403"/>
      <c r="K650" s="403"/>
      <c r="L650" s="403"/>
      <c r="M650" s="404"/>
      <c r="N650" s="403"/>
      <c r="O650" s="403"/>
      <c r="P650" s="403"/>
      <c r="Q650" s="403"/>
      <c r="R650" s="403"/>
      <c r="S650" s="403"/>
      <c r="T650" s="360"/>
      <c r="U650" s="360"/>
      <c r="V650" s="360"/>
      <c r="W650" s="360"/>
      <c r="X650" s="360"/>
      <c r="Y650" s="360"/>
      <c r="Z650" s="360"/>
      <c r="AA650" s="360"/>
      <c r="AB650" s="360"/>
      <c r="AC650" s="360"/>
      <c r="AD650" s="360"/>
      <c r="AE650" s="360"/>
      <c r="AF650" s="360"/>
      <c r="AG650" s="360"/>
      <c r="AH650" s="360"/>
    </row>
    <row r="651" ht="18.75" customHeight="1">
      <c r="A651" s="399"/>
      <c r="B651" s="400"/>
      <c r="C651" s="400"/>
      <c r="D651" s="360"/>
      <c r="E651" s="401"/>
      <c r="F651" s="402"/>
      <c r="G651" s="403"/>
      <c r="H651" s="403"/>
      <c r="I651" s="403"/>
      <c r="J651" s="403"/>
      <c r="K651" s="403"/>
      <c r="L651" s="403"/>
      <c r="M651" s="404"/>
      <c r="N651" s="403"/>
      <c r="O651" s="403"/>
      <c r="P651" s="403"/>
      <c r="Q651" s="403"/>
      <c r="R651" s="403"/>
      <c r="S651" s="403"/>
      <c r="T651" s="360"/>
      <c r="U651" s="360"/>
      <c r="V651" s="360"/>
      <c r="W651" s="360"/>
      <c r="X651" s="360"/>
      <c r="Y651" s="360"/>
      <c r="Z651" s="360"/>
      <c r="AA651" s="360"/>
      <c r="AB651" s="360"/>
      <c r="AC651" s="360"/>
      <c r="AD651" s="360"/>
      <c r="AE651" s="360"/>
      <c r="AF651" s="360"/>
      <c r="AG651" s="360"/>
      <c r="AH651" s="360"/>
    </row>
    <row r="652" ht="18.75" customHeight="1">
      <c r="A652" s="399"/>
      <c r="B652" s="400"/>
      <c r="C652" s="400"/>
      <c r="D652" s="360"/>
      <c r="E652" s="401"/>
      <c r="F652" s="402"/>
      <c r="G652" s="403"/>
      <c r="H652" s="403"/>
      <c r="I652" s="403"/>
      <c r="J652" s="403"/>
      <c r="K652" s="403"/>
      <c r="L652" s="403"/>
      <c r="M652" s="404"/>
      <c r="N652" s="403"/>
      <c r="O652" s="403"/>
      <c r="P652" s="403"/>
      <c r="Q652" s="403"/>
      <c r="R652" s="403"/>
      <c r="S652" s="403"/>
      <c r="T652" s="360"/>
      <c r="U652" s="360"/>
      <c r="V652" s="360"/>
      <c r="W652" s="360"/>
      <c r="X652" s="360"/>
      <c r="Y652" s="360"/>
      <c r="Z652" s="360"/>
      <c r="AA652" s="360"/>
      <c r="AB652" s="360"/>
      <c r="AC652" s="360"/>
      <c r="AD652" s="360"/>
      <c r="AE652" s="360"/>
      <c r="AF652" s="360"/>
      <c r="AG652" s="360"/>
      <c r="AH652" s="360"/>
    </row>
    <row r="653" ht="18.75" customHeight="1">
      <c r="A653" s="399"/>
      <c r="B653" s="400"/>
      <c r="C653" s="400"/>
      <c r="D653" s="360"/>
      <c r="E653" s="401"/>
      <c r="F653" s="402"/>
      <c r="G653" s="403"/>
      <c r="H653" s="403"/>
      <c r="I653" s="403"/>
      <c r="J653" s="403"/>
      <c r="K653" s="403"/>
      <c r="L653" s="403"/>
      <c r="M653" s="404"/>
      <c r="N653" s="403"/>
      <c r="O653" s="403"/>
      <c r="P653" s="403"/>
      <c r="Q653" s="403"/>
      <c r="R653" s="403"/>
      <c r="S653" s="403"/>
      <c r="T653" s="360"/>
      <c r="U653" s="360"/>
      <c r="V653" s="360"/>
      <c r="W653" s="360"/>
      <c r="X653" s="360"/>
      <c r="Y653" s="360"/>
      <c r="Z653" s="360"/>
      <c r="AA653" s="360"/>
      <c r="AB653" s="360"/>
      <c r="AC653" s="360"/>
      <c r="AD653" s="360"/>
      <c r="AE653" s="360"/>
      <c r="AF653" s="360"/>
      <c r="AG653" s="360"/>
      <c r="AH653" s="360"/>
    </row>
    <row r="654" ht="18.75" customHeight="1">
      <c r="A654" s="399"/>
      <c r="B654" s="400"/>
      <c r="C654" s="400"/>
      <c r="D654" s="360"/>
      <c r="E654" s="401"/>
      <c r="F654" s="402"/>
      <c r="G654" s="403"/>
      <c r="H654" s="403"/>
      <c r="I654" s="403"/>
      <c r="J654" s="403"/>
      <c r="K654" s="403"/>
      <c r="L654" s="403"/>
      <c r="M654" s="404"/>
      <c r="N654" s="403"/>
      <c r="O654" s="403"/>
      <c r="P654" s="403"/>
      <c r="Q654" s="403"/>
      <c r="R654" s="403"/>
      <c r="S654" s="403"/>
      <c r="T654" s="360"/>
      <c r="U654" s="360"/>
      <c r="V654" s="360"/>
      <c r="W654" s="360"/>
      <c r="X654" s="360"/>
      <c r="Y654" s="360"/>
      <c r="Z654" s="360"/>
      <c r="AA654" s="360"/>
      <c r="AB654" s="360"/>
      <c r="AC654" s="360"/>
      <c r="AD654" s="360"/>
      <c r="AE654" s="360"/>
      <c r="AF654" s="360"/>
      <c r="AG654" s="360"/>
      <c r="AH654" s="360"/>
    </row>
    <row r="655" ht="18.75" customHeight="1">
      <c r="A655" s="399"/>
      <c r="B655" s="400"/>
      <c r="C655" s="400"/>
      <c r="D655" s="360"/>
      <c r="E655" s="401"/>
      <c r="F655" s="402"/>
      <c r="G655" s="403"/>
      <c r="H655" s="403"/>
      <c r="I655" s="403"/>
      <c r="J655" s="403"/>
      <c r="K655" s="403"/>
      <c r="L655" s="403"/>
      <c r="M655" s="404"/>
      <c r="N655" s="403"/>
      <c r="O655" s="403"/>
      <c r="P655" s="403"/>
      <c r="Q655" s="403"/>
      <c r="R655" s="403"/>
      <c r="S655" s="403"/>
      <c r="T655" s="360"/>
      <c r="U655" s="360"/>
      <c r="V655" s="360"/>
      <c r="W655" s="360"/>
      <c r="X655" s="360"/>
      <c r="Y655" s="360"/>
      <c r="Z655" s="360"/>
      <c r="AA655" s="360"/>
      <c r="AB655" s="360"/>
      <c r="AC655" s="360"/>
      <c r="AD655" s="360"/>
      <c r="AE655" s="360"/>
      <c r="AF655" s="360"/>
      <c r="AG655" s="360"/>
      <c r="AH655" s="360"/>
    </row>
    <row r="656" ht="18.75" customHeight="1">
      <c r="A656" s="399"/>
      <c r="B656" s="400"/>
      <c r="C656" s="400"/>
      <c r="D656" s="360"/>
      <c r="E656" s="401"/>
      <c r="F656" s="402"/>
      <c r="G656" s="403"/>
      <c r="H656" s="403"/>
      <c r="I656" s="403"/>
      <c r="J656" s="403"/>
      <c r="K656" s="403"/>
      <c r="L656" s="403"/>
      <c r="M656" s="404"/>
      <c r="N656" s="403"/>
      <c r="O656" s="403"/>
      <c r="P656" s="403"/>
      <c r="Q656" s="403"/>
      <c r="R656" s="403"/>
      <c r="S656" s="403"/>
      <c r="T656" s="360"/>
      <c r="U656" s="360"/>
      <c r="V656" s="360"/>
      <c r="W656" s="360"/>
      <c r="X656" s="360"/>
      <c r="Y656" s="360"/>
      <c r="Z656" s="360"/>
      <c r="AA656" s="360"/>
      <c r="AB656" s="360"/>
      <c r="AC656" s="360"/>
      <c r="AD656" s="360"/>
      <c r="AE656" s="360"/>
      <c r="AF656" s="360"/>
      <c r="AG656" s="360"/>
      <c r="AH656" s="360"/>
    </row>
    <row r="657" ht="18.75" customHeight="1">
      <c r="A657" s="399"/>
      <c r="B657" s="400"/>
      <c r="C657" s="400"/>
      <c r="D657" s="360"/>
      <c r="E657" s="401"/>
      <c r="F657" s="402"/>
      <c r="G657" s="403"/>
      <c r="H657" s="403"/>
      <c r="I657" s="403"/>
      <c r="J657" s="403"/>
      <c r="K657" s="403"/>
      <c r="L657" s="403"/>
      <c r="M657" s="404"/>
      <c r="N657" s="403"/>
      <c r="O657" s="403"/>
      <c r="P657" s="403"/>
      <c r="Q657" s="403"/>
      <c r="R657" s="403"/>
      <c r="S657" s="403"/>
      <c r="T657" s="360"/>
      <c r="U657" s="360"/>
      <c r="V657" s="360"/>
      <c r="W657" s="360"/>
      <c r="X657" s="360"/>
      <c r="Y657" s="360"/>
      <c r="Z657" s="360"/>
      <c r="AA657" s="360"/>
      <c r="AB657" s="360"/>
      <c r="AC657" s="360"/>
      <c r="AD657" s="360"/>
      <c r="AE657" s="360"/>
      <c r="AF657" s="360"/>
      <c r="AG657" s="360"/>
      <c r="AH657" s="360"/>
    </row>
    <row r="658" ht="18.75" customHeight="1">
      <c r="A658" s="399"/>
      <c r="B658" s="400"/>
      <c r="C658" s="400"/>
      <c r="D658" s="360"/>
      <c r="E658" s="401"/>
      <c r="F658" s="402"/>
      <c r="G658" s="403"/>
      <c r="H658" s="403"/>
      <c r="I658" s="403"/>
      <c r="J658" s="403"/>
      <c r="K658" s="403"/>
      <c r="L658" s="403"/>
      <c r="M658" s="404"/>
      <c r="N658" s="403"/>
      <c r="O658" s="403"/>
      <c r="P658" s="403"/>
      <c r="Q658" s="403"/>
      <c r="R658" s="403"/>
      <c r="S658" s="403"/>
      <c r="T658" s="360"/>
      <c r="U658" s="360"/>
      <c r="V658" s="360"/>
      <c r="W658" s="360"/>
      <c r="X658" s="360"/>
      <c r="Y658" s="360"/>
      <c r="Z658" s="360"/>
      <c r="AA658" s="360"/>
      <c r="AB658" s="360"/>
      <c r="AC658" s="360"/>
      <c r="AD658" s="360"/>
      <c r="AE658" s="360"/>
      <c r="AF658" s="360"/>
      <c r="AG658" s="360"/>
      <c r="AH658" s="360"/>
    </row>
    <row r="659" ht="18.75" customHeight="1">
      <c r="A659" s="399"/>
      <c r="B659" s="400"/>
      <c r="C659" s="400"/>
      <c r="D659" s="360"/>
      <c r="E659" s="401"/>
      <c r="F659" s="402"/>
      <c r="G659" s="403"/>
      <c r="H659" s="403"/>
      <c r="I659" s="403"/>
      <c r="J659" s="403"/>
      <c r="K659" s="403"/>
      <c r="L659" s="403"/>
      <c r="M659" s="404"/>
      <c r="N659" s="403"/>
      <c r="O659" s="403"/>
      <c r="P659" s="403"/>
      <c r="Q659" s="403"/>
      <c r="R659" s="403"/>
      <c r="S659" s="403"/>
      <c r="T659" s="360"/>
      <c r="U659" s="360"/>
      <c r="V659" s="360"/>
      <c r="W659" s="360"/>
      <c r="X659" s="360"/>
      <c r="Y659" s="360"/>
      <c r="Z659" s="360"/>
      <c r="AA659" s="360"/>
      <c r="AB659" s="360"/>
      <c r="AC659" s="360"/>
      <c r="AD659" s="360"/>
      <c r="AE659" s="360"/>
      <c r="AF659" s="360"/>
      <c r="AG659" s="360"/>
      <c r="AH659" s="360"/>
    </row>
    <row r="660" ht="18.75" customHeight="1">
      <c r="A660" s="399"/>
      <c r="B660" s="400"/>
      <c r="C660" s="400"/>
      <c r="D660" s="360"/>
      <c r="E660" s="401"/>
      <c r="F660" s="402"/>
      <c r="G660" s="403"/>
      <c r="H660" s="403"/>
      <c r="I660" s="403"/>
      <c r="J660" s="403"/>
      <c r="K660" s="403"/>
      <c r="L660" s="403"/>
      <c r="M660" s="404"/>
      <c r="N660" s="403"/>
      <c r="O660" s="403"/>
      <c r="P660" s="403"/>
      <c r="Q660" s="403"/>
      <c r="R660" s="403"/>
      <c r="S660" s="403"/>
      <c r="T660" s="360"/>
      <c r="U660" s="360"/>
      <c r="V660" s="360"/>
      <c r="W660" s="360"/>
      <c r="X660" s="360"/>
      <c r="Y660" s="360"/>
      <c r="Z660" s="360"/>
      <c r="AA660" s="360"/>
      <c r="AB660" s="360"/>
      <c r="AC660" s="360"/>
      <c r="AD660" s="360"/>
      <c r="AE660" s="360"/>
      <c r="AF660" s="360"/>
      <c r="AG660" s="360"/>
      <c r="AH660" s="360"/>
    </row>
    <row r="661" ht="18.75" customHeight="1">
      <c r="A661" s="399"/>
      <c r="B661" s="400"/>
      <c r="C661" s="400"/>
      <c r="D661" s="360"/>
      <c r="E661" s="401"/>
      <c r="F661" s="402"/>
      <c r="G661" s="403"/>
      <c r="H661" s="403"/>
      <c r="I661" s="403"/>
      <c r="J661" s="403"/>
      <c r="K661" s="403"/>
      <c r="L661" s="403"/>
      <c r="M661" s="404"/>
      <c r="N661" s="403"/>
      <c r="O661" s="403"/>
      <c r="P661" s="403"/>
      <c r="Q661" s="403"/>
      <c r="R661" s="403"/>
      <c r="S661" s="403"/>
      <c r="T661" s="360"/>
      <c r="U661" s="360"/>
      <c r="V661" s="360"/>
      <c r="W661" s="360"/>
      <c r="X661" s="360"/>
      <c r="Y661" s="360"/>
      <c r="Z661" s="360"/>
      <c r="AA661" s="360"/>
      <c r="AB661" s="360"/>
      <c r="AC661" s="360"/>
      <c r="AD661" s="360"/>
      <c r="AE661" s="360"/>
      <c r="AF661" s="360"/>
      <c r="AG661" s="360"/>
      <c r="AH661" s="360"/>
    </row>
    <row r="662" ht="18.75" customHeight="1">
      <c r="A662" s="399"/>
      <c r="B662" s="400"/>
      <c r="C662" s="400"/>
      <c r="D662" s="360"/>
      <c r="E662" s="401"/>
      <c r="F662" s="402"/>
      <c r="G662" s="403"/>
      <c r="H662" s="403"/>
      <c r="I662" s="403"/>
      <c r="J662" s="403"/>
      <c r="K662" s="403"/>
      <c r="L662" s="403"/>
      <c r="M662" s="404"/>
      <c r="N662" s="403"/>
      <c r="O662" s="403"/>
      <c r="P662" s="403"/>
      <c r="Q662" s="403"/>
      <c r="R662" s="403"/>
      <c r="S662" s="403"/>
      <c r="T662" s="360"/>
      <c r="U662" s="360"/>
      <c r="V662" s="360"/>
      <c r="W662" s="360"/>
      <c r="X662" s="360"/>
      <c r="Y662" s="360"/>
      <c r="Z662" s="360"/>
      <c r="AA662" s="360"/>
      <c r="AB662" s="360"/>
      <c r="AC662" s="360"/>
      <c r="AD662" s="360"/>
      <c r="AE662" s="360"/>
      <c r="AF662" s="360"/>
      <c r="AG662" s="360"/>
      <c r="AH662" s="360"/>
    </row>
    <row r="663" ht="18.75" customHeight="1">
      <c r="A663" s="399"/>
      <c r="B663" s="400"/>
      <c r="C663" s="400"/>
      <c r="D663" s="360"/>
      <c r="E663" s="401"/>
      <c r="F663" s="402"/>
      <c r="G663" s="403"/>
      <c r="H663" s="403"/>
      <c r="I663" s="403"/>
      <c r="J663" s="403"/>
      <c r="K663" s="403"/>
      <c r="L663" s="403"/>
      <c r="M663" s="404"/>
      <c r="N663" s="403"/>
      <c r="O663" s="403"/>
      <c r="P663" s="403"/>
      <c r="Q663" s="403"/>
      <c r="R663" s="403"/>
      <c r="S663" s="403"/>
      <c r="T663" s="360"/>
      <c r="U663" s="360"/>
      <c r="V663" s="360"/>
      <c r="W663" s="360"/>
      <c r="X663" s="360"/>
      <c r="Y663" s="360"/>
      <c r="Z663" s="360"/>
      <c r="AA663" s="360"/>
      <c r="AB663" s="360"/>
      <c r="AC663" s="360"/>
      <c r="AD663" s="360"/>
      <c r="AE663" s="360"/>
      <c r="AF663" s="360"/>
      <c r="AG663" s="360"/>
      <c r="AH663" s="360"/>
    </row>
    <row r="664" ht="18.75" customHeight="1">
      <c r="A664" s="399"/>
      <c r="B664" s="400"/>
      <c r="C664" s="400"/>
      <c r="D664" s="360"/>
      <c r="E664" s="401"/>
      <c r="F664" s="402"/>
      <c r="G664" s="403"/>
      <c r="H664" s="403"/>
      <c r="I664" s="403"/>
      <c r="J664" s="403"/>
      <c r="K664" s="403"/>
      <c r="L664" s="403"/>
      <c r="M664" s="404"/>
      <c r="N664" s="403"/>
      <c r="O664" s="403"/>
      <c r="P664" s="403"/>
      <c r="Q664" s="403"/>
      <c r="R664" s="403"/>
      <c r="S664" s="403"/>
      <c r="T664" s="360"/>
      <c r="U664" s="360"/>
      <c r="V664" s="360"/>
      <c r="W664" s="360"/>
      <c r="X664" s="360"/>
      <c r="Y664" s="360"/>
      <c r="Z664" s="360"/>
      <c r="AA664" s="360"/>
      <c r="AB664" s="360"/>
      <c r="AC664" s="360"/>
      <c r="AD664" s="360"/>
      <c r="AE664" s="360"/>
      <c r="AF664" s="360"/>
      <c r="AG664" s="360"/>
      <c r="AH664" s="360"/>
    </row>
    <row r="665" ht="18.75" customHeight="1">
      <c r="A665" s="399"/>
      <c r="B665" s="400"/>
      <c r="C665" s="400"/>
      <c r="D665" s="360"/>
      <c r="E665" s="401"/>
      <c r="F665" s="402"/>
      <c r="G665" s="403"/>
      <c r="H665" s="403"/>
      <c r="I665" s="403"/>
      <c r="J665" s="403"/>
      <c r="K665" s="403"/>
      <c r="L665" s="403"/>
      <c r="M665" s="404"/>
      <c r="N665" s="403"/>
      <c r="O665" s="403"/>
      <c r="P665" s="403"/>
      <c r="Q665" s="403"/>
      <c r="R665" s="403"/>
      <c r="S665" s="403"/>
      <c r="T665" s="360"/>
      <c r="U665" s="360"/>
      <c r="V665" s="360"/>
      <c r="W665" s="360"/>
      <c r="X665" s="360"/>
      <c r="Y665" s="360"/>
      <c r="Z665" s="360"/>
      <c r="AA665" s="360"/>
      <c r="AB665" s="360"/>
      <c r="AC665" s="360"/>
      <c r="AD665" s="360"/>
      <c r="AE665" s="360"/>
      <c r="AF665" s="360"/>
      <c r="AG665" s="360"/>
      <c r="AH665" s="360"/>
    </row>
    <row r="666" ht="18.75" customHeight="1">
      <c r="A666" s="399"/>
      <c r="B666" s="400"/>
      <c r="C666" s="400"/>
      <c r="D666" s="360"/>
      <c r="E666" s="401"/>
      <c r="F666" s="402"/>
      <c r="G666" s="403"/>
      <c r="H666" s="403"/>
      <c r="I666" s="403"/>
      <c r="J666" s="403"/>
      <c r="K666" s="403"/>
      <c r="L666" s="403"/>
      <c r="M666" s="404"/>
      <c r="N666" s="403"/>
      <c r="O666" s="403"/>
      <c r="P666" s="403"/>
      <c r="Q666" s="403"/>
      <c r="R666" s="403"/>
      <c r="S666" s="403"/>
      <c r="T666" s="360"/>
      <c r="U666" s="360"/>
      <c r="V666" s="360"/>
      <c r="W666" s="360"/>
      <c r="X666" s="360"/>
      <c r="Y666" s="360"/>
      <c r="Z666" s="360"/>
      <c r="AA666" s="360"/>
      <c r="AB666" s="360"/>
      <c r="AC666" s="360"/>
      <c r="AD666" s="360"/>
      <c r="AE666" s="360"/>
      <c r="AF666" s="360"/>
      <c r="AG666" s="360"/>
      <c r="AH666" s="360"/>
    </row>
    <row r="667" ht="18.75" customHeight="1">
      <c r="A667" s="399"/>
      <c r="B667" s="400"/>
      <c r="C667" s="400"/>
      <c r="D667" s="360"/>
      <c r="E667" s="401"/>
      <c r="F667" s="402"/>
      <c r="G667" s="403"/>
      <c r="H667" s="403"/>
      <c r="I667" s="403"/>
      <c r="J667" s="403"/>
      <c r="K667" s="403"/>
      <c r="L667" s="403"/>
      <c r="M667" s="404"/>
      <c r="N667" s="403"/>
      <c r="O667" s="403"/>
      <c r="P667" s="403"/>
      <c r="Q667" s="403"/>
      <c r="R667" s="403"/>
      <c r="S667" s="403"/>
      <c r="T667" s="360"/>
      <c r="U667" s="360"/>
      <c r="V667" s="360"/>
      <c r="W667" s="360"/>
      <c r="X667" s="360"/>
      <c r="Y667" s="360"/>
      <c r="Z667" s="360"/>
      <c r="AA667" s="360"/>
      <c r="AB667" s="360"/>
      <c r="AC667" s="360"/>
      <c r="AD667" s="360"/>
      <c r="AE667" s="360"/>
      <c r="AF667" s="360"/>
      <c r="AG667" s="360"/>
      <c r="AH667" s="360"/>
    </row>
    <row r="668" ht="18.75" customHeight="1">
      <c r="A668" s="399"/>
      <c r="B668" s="400"/>
      <c r="C668" s="400"/>
      <c r="D668" s="360"/>
      <c r="E668" s="401"/>
      <c r="F668" s="402"/>
      <c r="G668" s="403"/>
      <c r="H668" s="403"/>
      <c r="I668" s="403"/>
      <c r="J668" s="403"/>
      <c r="K668" s="403"/>
      <c r="L668" s="403"/>
      <c r="M668" s="404"/>
      <c r="N668" s="403"/>
      <c r="O668" s="403"/>
      <c r="P668" s="403"/>
      <c r="Q668" s="403"/>
      <c r="R668" s="403"/>
      <c r="S668" s="403"/>
      <c r="T668" s="360"/>
      <c r="U668" s="360"/>
      <c r="V668" s="360"/>
      <c r="W668" s="360"/>
      <c r="X668" s="360"/>
      <c r="Y668" s="360"/>
      <c r="Z668" s="360"/>
      <c r="AA668" s="360"/>
      <c r="AB668" s="360"/>
      <c r="AC668" s="360"/>
      <c r="AD668" s="360"/>
      <c r="AE668" s="360"/>
      <c r="AF668" s="360"/>
      <c r="AG668" s="360"/>
      <c r="AH668" s="360"/>
    </row>
    <row r="669" ht="18.75" customHeight="1">
      <c r="A669" s="399"/>
      <c r="B669" s="400"/>
      <c r="C669" s="400"/>
      <c r="D669" s="360"/>
      <c r="E669" s="401"/>
      <c r="F669" s="402"/>
      <c r="G669" s="403"/>
      <c r="H669" s="403"/>
      <c r="I669" s="403"/>
      <c r="J669" s="403"/>
      <c r="K669" s="403"/>
      <c r="L669" s="403"/>
      <c r="M669" s="404"/>
      <c r="N669" s="403"/>
      <c r="O669" s="403"/>
      <c r="P669" s="403"/>
      <c r="Q669" s="403"/>
      <c r="R669" s="403"/>
      <c r="S669" s="403"/>
      <c r="T669" s="360"/>
      <c r="U669" s="360"/>
      <c r="V669" s="360"/>
      <c r="W669" s="360"/>
      <c r="X669" s="360"/>
      <c r="Y669" s="360"/>
      <c r="Z669" s="360"/>
      <c r="AA669" s="360"/>
      <c r="AB669" s="360"/>
      <c r="AC669" s="360"/>
      <c r="AD669" s="360"/>
      <c r="AE669" s="360"/>
      <c r="AF669" s="360"/>
      <c r="AG669" s="360"/>
      <c r="AH669" s="360"/>
    </row>
    <row r="670" ht="18.75" customHeight="1">
      <c r="A670" s="399"/>
      <c r="B670" s="400"/>
      <c r="C670" s="400"/>
      <c r="D670" s="360"/>
      <c r="E670" s="401"/>
      <c r="F670" s="402"/>
      <c r="G670" s="403"/>
      <c r="H670" s="403"/>
      <c r="I670" s="403"/>
      <c r="J670" s="403"/>
      <c r="K670" s="403"/>
      <c r="L670" s="403"/>
      <c r="M670" s="404"/>
      <c r="N670" s="403"/>
      <c r="O670" s="403"/>
      <c r="P670" s="403"/>
      <c r="Q670" s="403"/>
      <c r="R670" s="403"/>
      <c r="S670" s="403"/>
      <c r="T670" s="360"/>
      <c r="U670" s="360"/>
      <c r="V670" s="360"/>
      <c r="W670" s="360"/>
      <c r="X670" s="360"/>
      <c r="Y670" s="360"/>
      <c r="Z670" s="360"/>
      <c r="AA670" s="360"/>
      <c r="AB670" s="360"/>
      <c r="AC670" s="360"/>
      <c r="AD670" s="360"/>
      <c r="AE670" s="360"/>
      <c r="AF670" s="360"/>
      <c r="AG670" s="360"/>
      <c r="AH670" s="360"/>
    </row>
    <row r="671" ht="18.75" customHeight="1">
      <c r="A671" s="399"/>
      <c r="B671" s="400"/>
      <c r="C671" s="400"/>
      <c r="D671" s="360"/>
      <c r="E671" s="401"/>
      <c r="F671" s="402"/>
      <c r="G671" s="403"/>
      <c r="H671" s="403"/>
      <c r="I671" s="403"/>
      <c r="J671" s="403"/>
      <c r="K671" s="403"/>
      <c r="L671" s="403"/>
      <c r="M671" s="404"/>
      <c r="N671" s="403"/>
      <c r="O671" s="403"/>
      <c r="P671" s="403"/>
      <c r="Q671" s="403"/>
      <c r="R671" s="403"/>
      <c r="S671" s="403"/>
      <c r="T671" s="360"/>
      <c r="U671" s="360"/>
      <c r="V671" s="360"/>
      <c r="W671" s="360"/>
      <c r="X671" s="360"/>
      <c r="Y671" s="360"/>
      <c r="Z671" s="360"/>
      <c r="AA671" s="360"/>
      <c r="AB671" s="360"/>
      <c r="AC671" s="360"/>
      <c r="AD671" s="360"/>
      <c r="AE671" s="360"/>
      <c r="AF671" s="360"/>
      <c r="AG671" s="360"/>
      <c r="AH671" s="360"/>
    </row>
    <row r="672" ht="18.75" customHeight="1">
      <c r="A672" s="399"/>
      <c r="B672" s="400"/>
      <c r="C672" s="400"/>
      <c r="D672" s="360"/>
      <c r="E672" s="401"/>
      <c r="F672" s="402"/>
      <c r="G672" s="403"/>
      <c r="H672" s="403"/>
      <c r="I672" s="403"/>
      <c r="J672" s="403"/>
      <c r="K672" s="403"/>
      <c r="L672" s="403"/>
      <c r="M672" s="404"/>
      <c r="N672" s="403"/>
      <c r="O672" s="403"/>
      <c r="P672" s="403"/>
      <c r="Q672" s="403"/>
      <c r="R672" s="403"/>
      <c r="S672" s="403"/>
      <c r="T672" s="360"/>
      <c r="U672" s="360"/>
      <c r="V672" s="360"/>
      <c r="W672" s="360"/>
      <c r="X672" s="360"/>
      <c r="Y672" s="360"/>
      <c r="Z672" s="360"/>
      <c r="AA672" s="360"/>
      <c r="AB672" s="360"/>
      <c r="AC672" s="360"/>
      <c r="AD672" s="360"/>
      <c r="AE672" s="360"/>
      <c r="AF672" s="360"/>
      <c r="AG672" s="360"/>
      <c r="AH672" s="360"/>
    </row>
    <row r="673" ht="18.75" customHeight="1">
      <c r="A673" s="399"/>
      <c r="B673" s="400"/>
      <c r="C673" s="400"/>
      <c r="D673" s="360"/>
      <c r="E673" s="401"/>
      <c r="F673" s="402"/>
      <c r="G673" s="403"/>
      <c r="H673" s="403"/>
      <c r="I673" s="403"/>
      <c r="J673" s="403"/>
      <c r="K673" s="403"/>
      <c r="L673" s="403"/>
      <c r="M673" s="404"/>
      <c r="N673" s="403"/>
      <c r="O673" s="403"/>
      <c r="P673" s="403"/>
      <c r="Q673" s="403"/>
      <c r="R673" s="403"/>
      <c r="S673" s="403"/>
      <c r="T673" s="360"/>
      <c r="U673" s="360"/>
      <c r="V673" s="360"/>
      <c r="W673" s="360"/>
      <c r="X673" s="360"/>
      <c r="Y673" s="360"/>
      <c r="Z673" s="360"/>
      <c r="AA673" s="360"/>
      <c r="AB673" s="360"/>
      <c r="AC673" s="360"/>
      <c r="AD673" s="360"/>
      <c r="AE673" s="360"/>
      <c r="AF673" s="360"/>
      <c r="AG673" s="360"/>
      <c r="AH673" s="360"/>
    </row>
    <row r="674" ht="18.75" customHeight="1">
      <c r="A674" s="399"/>
      <c r="B674" s="400"/>
      <c r="C674" s="400"/>
      <c r="D674" s="360"/>
      <c r="E674" s="401"/>
      <c r="F674" s="402"/>
      <c r="G674" s="403"/>
      <c r="H674" s="403"/>
      <c r="I674" s="403"/>
      <c r="J674" s="403"/>
      <c r="K674" s="403"/>
      <c r="L674" s="403"/>
      <c r="M674" s="404"/>
      <c r="N674" s="403"/>
      <c r="O674" s="403"/>
      <c r="P674" s="403"/>
      <c r="Q674" s="403"/>
      <c r="R674" s="403"/>
      <c r="S674" s="403"/>
      <c r="T674" s="360"/>
      <c r="U674" s="360"/>
      <c r="V674" s="360"/>
      <c r="W674" s="360"/>
      <c r="X674" s="360"/>
      <c r="Y674" s="360"/>
      <c r="Z674" s="360"/>
      <c r="AA674" s="360"/>
      <c r="AB674" s="360"/>
      <c r="AC674" s="360"/>
      <c r="AD674" s="360"/>
      <c r="AE674" s="360"/>
      <c r="AF674" s="360"/>
      <c r="AG674" s="360"/>
      <c r="AH674" s="360"/>
    </row>
    <row r="675" ht="18.75" customHeight="1">
      <c r="A675" s="399"/>
      <c r="B675" s="400"/>
      <c r="C675" s="400"/>
      <c r="D675" s="360"/>
      <c r="E675" s="401"/>
      <c r="F675" s="402"/>
      <c r="G675" s="403"/>
      <c r="H675" s="403"/>
      <c r="I675" s="403"/>
      <c r="J675" s="403"/>
      <c r="K675" s="403"/>
      <c r="L675" s="403"/>
      <c r="M675" s="404"/>
      <c r="N675" s="403"/>
      <c r="O675" s="403"/>
      <c r="P675" s="403"/>
      <c r="Q675" s="403"/>
      <c r="R675" s="403"/>
      <c r="S675" s="403"/>
      <c r="T675" s="360"/>
      <c r="U675" s="360"/>
      <c r="V675" s="360"/>
      <c r="W675" s="360"/>
      <c r="X675" s="360"/>
      <c r="Y675" s="360"/>
      <c r="Z675" s="360"/>
      <c r="AA675" s="360"/>
      <c r="AB675" s="360"/>
      <c r="AC675" s="360"/>
      <c r="AD675" s="360"/>
      <c r="AE675" s="360"/>
      <c r="AF675" s="360"/>
      <c r="AG675" s="360"/>
      <c r="AH675" s="360"/>
    </row>
    <row r="676" ht="18.75" customHeight="1">
      <c r="A676" s="399"/>
      <c r="B676" s="400"/>
      <c r="C676" s="400"/>
      <c r="D676" s="360"/>
      <c r="E676" s="401"/>
      <c r="F676" s="402"/>
      <c r="G676" s="403"/>
      <c r="H676" s="403"/>
      <c r="I676" s="403"/>
      <c r="J676" s="403"/>
      <c r="K676" s="403"/>
      <c r="L676" s="403"/>
      <c r="M676" s="404"/>
      <c r="N676" s="403"/>
      <c r="O676" s="403"/>
      <c r="P676" s="403"/>
      <c r="Q676" s="403"/>
      <c r="R676" s="403"/>
      <c r="S676" s="403"/>
      <c r="T676" s="360"/>
      <c r="U676" s="360"/>
      <c r="V676" s="360"/>
      <c r="W676" s="360"/>
      <c r="X676" s="360"/>
      <c r="Y676" s="360"/>
      <c r="Z676" s="360"/>
      <c r="AA676" s="360"/>
      <c r="AB676" s="360"/>
      <c r="AC676" s="360"/>
      <c r="AD676" s="360"/>
      <c r="AE676" s="360"/>
      <c r="AF676" s="360"/>
      <c r="AG676" s="360"/>
      <c r="AH676" s="360"/>
    </row>
    <row r="677" ht="18.75" customHeight="1">
      <c r="A677" s="399"/>
      <c r="B677" s="400"/>
      <c r="C677" s="400"/>
      <c r="D677" s="360"/>
      <c r="E677" s="401"/>
      <c r="F677" s="402"/>
      <c r="G677" s="403"/>
      <c r="H677" s="403"/>
      <c r="I677" s="403"/>
      <c r="J677" s="403"/>
      <c r="K677" s="403"/>
      <c r="L677" s="403"/>
      <c r="M677" s="404"/>
      <c r="N677" s="403"/>
      <c r="O677" s="403"/>
      <c r="P677" s="403"/>
      <c r="Q677" s="403"/>
      <c r="R677" s="403"/>
      <c r="S677" s="403"/>
      <c r="T677" s="360"/>
      <c r="U677" s="360"/>
      <c r="V677" s="360"/>
      <c r="W677" s="360"/>
      <c r="X677" s="360"/>
      <c r="Y677" s="360"/>
      <c r="Z677" s="360"/>
      <c r="AA677" s="360"/>
      <c r="AB677" s="360"/>
      <c r="AC677" s="360"/>
      <c r="AD677" s="360"/>
      <c r="AE677" s="360"/>
      <c r="AF677" s="360"/>
      <c r="AG677" s="360"/>
      <c r="AH677" s="360"/>
    </row>
    <row r="678" ht="18.75" customHeight="1">
      <c r="A678" s="399"/>
      <c r="B678" s="400"/>
      <c r="C678" s="400"/>
      <c r="D678" s="360"/>
      <c r="E678" s="401"/>
      <c r="F678" s="402"/>
      <c r="G678" s="403"/>
      <c r="H678" s="403"/>
      <c r="I678" s="403"/>
      <c r="J678" s="403"/>
      <c r="K678" s="403"/>
      <c r="L678" s="403"/>
      <c r="M678" s="404"/>
      <c r="N678" s="403"/>
      <c r="O678" s="403"/>
      <c r="P678" s="403"/>
      <c r="Q678" s="403"/>
      <c r="R678" s="403"/>
      <c r="S678" s="403"/>
      <c r="T678" s="360"/>
      <c r="U678" s="360"/>
      <c r="V678" s="360"/>
      <c r="W678" s="360"/>
      <c r="X678" s="360"/>
      <c r="Y678" s="360"/>
      <c r="Z678" s="360"/>
      <c r="AA678" s="360"/>
      <c r="AB678" s="360"/>
      <c r="AC678" s="360"/>
      <c r="AD678" s="360"/>
      <c r="AE678" s="360"/>
      <c r="AF678" s="360"/>
      <c r="AG678" s="360"/>
      <c r="AH678" s="360"/>
    </row>
    <row r="679" ht="18.75" customHeight="1">
      <c r="A679" s="399"/>
      <c r="B679" s="400"/>
      <c r="C679" s="400"/>
      <c r="D679" s="360"/>
      <c r="E679" s="401"/>
      <c r="F679" s="402"/>
      <c r="G679" s="403"/>
      <c r="H679" s="403"/>
      <c r="I679" s="403"/>
      <c r="J679" s="403"/>
      <c r="K679" s="403"/>
      <c r="L679" s="403"/>
      <c r="M679" s="404"/>
      <c r="N679" s="403"/>
      <c r="O679" s="403"/>
      <c r="P679" s="403"/>
      <c r="Q679" s="403"/>
      <c r="R679" s="403"/>
      <c r="S679" s="403"/>
      <c r="T679" s="360"/>
      <c r="U679" s="360"/>
      <c r="V679" s="360"/>
      <c r="W679" s="360"/>
      <c r="X679" s="360"/>
      <c r="Y679" s="360"/>
      <c r="Z679" s="360"/>
      <c r="AA679" s="360"/>
      <c r="AB679" s="360"/>
      <c r="AC679" s="360"/>
      <c r="AD679" s="360"/>
      <c r="AE679" s="360"/>
      <c r="AF679" s="360"/>
      <c r="AG679" s="360"/>
      <c r="AH679" s="360"/>
    </row>
    <row r="680" ht="18.75" customHeight="1">
      <c r="A680" s="399"/>
      <c r="B680" s="400"/>
      <c r="C680" s="400"/>
      <c r="D680" s="360"/>
      <c r="E680" s="401"/>
      <c r="F680" s="402"/>
      <c r="G680" s="403"/>
      <c r="H680" s="403"/>
      <c r="I680" s="403"/>
      <c r="J680" s="403"/>
      <c r="K680" s="403"/>
      <c r="L680" s="403"/>
      <c r="M680" s="404"/>
      <c r="N680" s="403"/>
      <c r="O680" s="403"/>
      <c r="P680" s="403"/>
      <c r="Q680" s="403"/>
      <c r="R680" s="403"/>
      <c r="S680" s="403"/>
      <c r="T680" s="360"/>
      <c r="U680" s="360"/>
      <c r="V680" s="360"/>
      <c r="W680" s="360"/>
      <c r="X680" s="360"/>
      <c r="Y680" s="360"/>
      <c r="Z680" s="360"/>
      <c r="AA680" s="360"/>
      <c r="AB680" s="360"/>
      <c r="AC680" s="360"/>
      <c r="AD680" s="360"/>
      <c r="AE680" s="360"/>
      <c r="AF680" s="360"/>
      <c r="AG680" s="360"/>
      <c r="AH680" s="360"/>
    </row>
    <row r="681" ht="18.75" customHeight="1">
      <c r="A681" s="399"/>
      <c r="B681" s="400"/>
      <c r="C681" s="400"/>
      <c r="D681" s="360"/>
      <c r="E681" s="401"/>
      <c r="F681" s="402"/>
      <c r="G681" s="403"/>
      <c r="H681" s="403"/>
      <c r="I681" s="403"/>
      <c r="J681" s="403"/>
      <c r="K681" s="403"/>
      <c r="L681" s="403"/>
      <c r="M681" s="404"/>
      <c r="N681" s="403"/>
      <c r="O681" s="403"/>
      <c r="P681" s="403"/>
      <c r="Q681" s="403"/>
      <c r="R681" s="403"/>
      <c r="S681" s="403"/>
      <c r="T681" s="360"/>
      <c r="U681" s="360"/>
      <c r="V681" s="360"/>
      <c r="W681" s="360"/>
      <c r="X681" s="360"/>
      <c r="Y681" s="360"/>
      <c r="Z681" s="360"/>
      <c r="AA681" s="360"/>
      <c r="AB681" s="360"/>
      <c r="AC681" s="360"/>
      <c r="AD681" s="360"/>
      <c r="AE681" s="360"/>
      <c r="AF681" s="360"/>
      <c r="AG681" s="360"/>
      <c r="AH681" s="360"/>
    </row>
    <row r="682" ht="18.75" customHeight="1">
      <c r="A682" s="399"/>
      <c r="B682" s="400"/>
      <c r="C682" s="400"/>
      <c r="D682" s="360"/>
      <c r="E682" s="401"/>
      <c r="F682" s="402"/>
      <c r="G682" s="403"/>
      <c r="H682" s="403"/>
      <c r="I682" s="403"/>
      <c r="J682" s="403"/>
      <c r="K682" s="403"/>
      <c r="L682" s="403"/>
      <c r="M682" s="404"/>
      <c r="N682" s="403"/>
      <c r="O682" s="403"/>
      <c r="P682" s="403"/>
      <c r="Q682" s="403"/>
      <c r="R682" s="403"/>
      <c r="S682" s="403"/>
      <c r="T682" s="360"/>
      <c r="U682" s="360"/>
      <c r="V682" s="360"/>
      <c r="W682" s="360"/>
      <c r="X682" s="360"/>
      <c r="Y682" s="360"/>
      <c r="Z682" s="360"/>
      <c r="AA682" s="360"/>
      <c r="AB682" s="360"/>
      <c r="AC682" s="360"/>
      <c r="AD682" s="360"/>
      <c r="AE682" s="360"/>
      <c r="AF682" s="360"/>
      <c r="AG682" s="360"/>
      <c r="AH682" s="360"/>
    </row>
    <row r="683" ht="18.75" customHeight="1">
      <c r="A683" s="399"/>
      <c r="B683" s="400"/>
      <c r="C683" s="400"/>
      <c r="D683" s="360"/>
      <c r="E683" s="401"/>
      <c r="F683" s="402"/>
      <c r="G683" s="403"/>
      <c r="H683" s="403"/>
      <c r="I683" s="403"/>
      <c r="J683" s="403"/>
      <c r="K683" s="403"/>
      <c r="L683" s="403"/>
      <c r="M683" s="404"/>
      <c r="N683" s="403"/>
      <c r="O683" s="403"/>
      <c r="P683" s="403"/>
      <c r="Q683" s="403"/>
      <c r="R683" s="403"/>
      <c r="S683" s="403"/>
      <c r="T683" s="360"/>
      <c r="U683" s="360"/>
      <c r="V683" s="360"/>
      <c r="W683" s="360"/>
      <c r="X683" s="360"/>
      <c r="Y683" s="360"/>
      <c r="Z683" s="360"/>
      <c r="AA683" s="360"/>
      <c r="AB683" s="360"/>
      <c r="AC683" s="360"/>
      <c r="AD683" s="360"/>
      <c r="AE683" s="360"/>
      <c r="AF683" s="360"/>
      <c r="AG683" s="360"/>
      <c r="AH683" s="360"/>
    </row>
    <row r="684" ht="18.75" customHeight="1">
      <c r="A684" s="399"/>
      <c r="B684" s="400"/>
      <c r="C684" s="400"/>
      <c r="D684" s="360"/>
      <c r="E684" s="401"/>
      <c r="F684" s="402"/>
      <c r="G684" s="403"/>
      <c r="H684" s="403"/>
      <c r="I684" s="403"/>
      <c r="J684" s="403"/>
      <c r="K684" s="403"/>
      <c r="L684" s="403"/>
      <c r="M684" s="404"/>
      <c r="N684" s="403"/>
      <c r="O684" s="403"/>
      <c r="P684" s="403"/>
      <c r="Q684" s="403"/>
      <c r="R684" s="403"/>
      <c r="S684" s="403"/>
      <c r="T684" s="360"/>
      <c r="U684" s="360"/>
      <c r="V684" s="360"/>
      <c r="W684" s="360"/>
      <c r="X684" s="360"/>
      <c r="Y684" s="360"/>
      <c r="Z684" s="360"/>
      <c r="AA684" s="360"/>
      <c r="AB684" s="360"/>
      <c r="AC684" s="360"/>
      <c r="AD684" s="360"/>
      <c r="AE684" s="360"/>
      <c r="AF684" s="360"/>
      <c r="AG684" s="360"/>
      <c r="AH684" s="360"/>
    </row>
    <row r="685" ht="18.75" customHeight="1">
      <c r="A685" s="399"/>
      <c r="B685" s="400"/>
      <c r="C685" s="400"/>
      <c r="D685" s="360"/>
      <c r="E685" s="401"/>
      <c r="F685" s="402"/>
      <c r="G685" s="403"/>
      <c r="H685" s="403"/>
      <c r="I685" s="403"/>
      <c r="J685" s="403"/>
      <c r="K685" s="403"/>
      <c r="L685" s="403"/>
      <c r="M685" s="404"/>
      <c r="N685" s="403"/>
      <c r="O685" s="403"/>
      <c r="P685" s="403"/>
      <c r="Q685" s="403"/>
      <c r="R685" s="403"/>
      <c r="S685" s="403"/>
      <c r="T685" s="360"/>
      <c r="U685" s="360"/>
      <c r="V685" s="360"/>
      <c r="W685" s="360"/>
      <c r="X685" s="360"/>
      <c r="Y685" s="360"/>
      <c r="Z685" s="360"/>
      <c r="AA685" s="360"/>
      <c r="AB685" s="360"/>
      <c r="AC685" s="360"/>
      <c r="AD685" s="360"/>
      <c r="AE685" s="360"/>
      <c r="AF685" s="360"/>
      <c r="AG685" s="360"/>
      <c r="AH685" s="360"/>
    </row>
    <row r="686" ht="18.75" customHeight="1">
      <c r="A686" s="399"/>
      <c r="B686" s="400"/>
      <c r="C686" s="400"/>
      <c r="D686" s="360"/>
      <c r="E686" s="401"/>
      <c r="F686" s="402"/>
      <c r="G686" s="403"/>
      <c r="H686" s="403"/>
      <c r="I686" s="403"/>
      <c r="J686" s="403"/>
      <c r="K686" s="403"/>
      <c r="L686" s="403"/>
      <c r="M686" s="404"/>
      <c r="N686" s="403"/>
      <c r="O686" s="403"/>
      <c r="P686" s="403"/>
      <c r="Q686" s="403"/>
      <c r="R686" s="403"/>
      <c r="S686" s="403"/>
      <c r="T686" s="360"/>
      <c r="U686" s="360"/>
      <c r="V686" s="360"/>
      <c r="W686" s="360"/>
      <c r="X686" s="360"/>
      <c r="Y686" s="360"/>
      <c r="Z686" s="360"/>
      <c r="AA686" s="360"/>
      <c r="AB686" s="360"/>
      <c r="AC686" s="360"/>
      <c r="AD686" s="360"/>
      <c r="AE686" s="360"/>
      <c r="AF686" s="360"/>
      <c r="AG686" s="360"/>
      <c r="AH686" s="360"/>
    </row>
    <row r="687" ht="18.75" customHeight="1">
      <c r="A687" s="399"/>
      <c r="B687" s="400"/>
      <c r="C687" s="400"/>
      <c r="D687" s="360"/>
      <c r="E687" s="401"/>
      <c r="F687" s="402"/>
      <c r="G687" s="403"/>
      <c r="H687" s="403"/>
      <c r="I687" s="403"/>
      <c r="J687" s="403"/>
      <c r="K687" s="403"/>
      <c r="L687" s="403"/>
      <c r="M687" s="404"/>
      <c r="N687" s="403"/>
      <c r="O687" s="403"/>
      <c r="P687" s="403"/>
      <c r="Q687" s="403"/>
      <c r="R687" s="403"/>
      <c r="S687" s="403"/>
      <c r="T687" s="360"/>
      <c r="U687" s="360"/>
      <c r="V687" s="360"/>
      <c r="W687" s="360"/>
      <c r="X687" s="360"/>
      <c r="Y687" s="360"/>
      <c r="Z687" s="360"/>
      <c r="AA687" s="360"/>
      <c r="AB687" s="360"/>
      <c r="AC687" s="360"/>
      <c r="AD687" s="360"/>
      <c r="AE687" s="360"/>
      <c r="AF687" s="360"/>
      <c r="AG687" s="360"/>
      <c r="AH687" s="360"/>
    </row>
    <row r="688" ht="18.75" customHeight="1">
      <c r="A688" s="399"/>
      <c r="B688" s="400"/>
      <c r="C688" s="400"/>
      <c r="D688" s="360"/>
      <c r="E688" s="401"/>
      <c r="F688" s="402"/>
      <c r="G688" s="403"/>
      <c r="H688" s="403"/>
      <c r="I688" s="403"/>
      <c r="J688" s="403"/>
      <c r="K688" s="403"/>
      <c r="L688" s="403"/>
      <c r="M688" s="404"/>
      <c r="N688" s="403"/>
      <c r="O688" s="403"/>
      <c r="P688" s="403"/>
      <c r="Q688" s="403"/>
      <c r="R688" s="403"/>
      <c r="S688" s="403"/>
      <c r="T688" s="360"/>
      <c r="U688" s="360"/>
      <c r="V688" s="360"/>
      <c r="W688" s="360"/>
      <c r="X688" s="360"/>
      <c r="Y688" s="360"/>
      <c r="Z688" s="360"/>
      <c r="AA688" s="360"/>
      <c r="AB688" s="360"/>
      <c r="AC688" s="360"/>
      <c r="AD688" s="360"/>
      <c r="AE688" s="360"/>
      <c r="AF688" s="360"/>
      <c r="AG688" s="360"/>
      <c r="AH688" s="360"/>
    </row>
    <row r="689" ht="18.75" customHeight="1">
      <c r="A689" s="399"/>
      <c r="B689" s="400"/>
      <c r="C689" s="400"/>
      <c r="D689" s="360"/>
      <c r="E689" s="401"/>
      <c r="F689" s="402"/>
      <c r="G689" s="403"/>
      <c r="H689" s="403"/>
      <c r="I689" s="403"/>
      <c r="J689" s="403"/>
      <c r="K689" s="403"/>
      <c r="L689" s="403"/>
      <c r="M689" s="404"/>
      <c r="N689" s="403"/>
      <c r="O689" s="403"/>
      <c r="P689" s="403"/>
      <c r="Q689" s="403"/>
      <c r="R689" s="403"/>
      <c r="S689" s="403"/>
      <c r="T689" s="360"/>
      <c r="U689" s="360"/>
      <c r="V689" s="360"/>
      <c r="W689" s="360"/>
      <c r="X689" s="360"/>
      <c r="Y689" s="360"/>
      <c r="Z689" s="360"/>
      <c r="AA689" s="360"/>
      <c r="AB689" s="360"/>
      <c r="AC689" s="360"/>
      <c r="AD689" s="360"/>
      <c r="AE689" s="360"/>
      <c r="AF689" s="360"/>
      <c r="AG689" s="360"/>
      <c r="AH689" s="360"/>
    </row>
    <row r="690" ht="18.75" customHeight="1">
      <c r="A690" s="399"/>
      <c r="B690" s="400"/>
      <c r="C690" s="400"/>
      <c r="D690" s="360"/>
      <c r="E690" s="401"/>
      <c r="F690" s="402"/>
      <c r="G690" s="403"/>
      <c r="H690" s="403"/>
      <c r="I690" s="403"/>
      <c r="J690" s="403"/>
      <c r="K690" s="403"/>
      <c r="L690" s="403"/>
      <c r="M690" s="404"/>
      <c r="N690" s="403"/>
      <c r="O690" s="403"/>
      <c r="P690" s="403"/>
      <c r="Q690" s="403"/>
      <c r="R690" s="403"/>
      <c r="S690" s="403"/>
      <c r="T690" s="360"/>
      <c r="U690" s="360"/>
      <c r="V690" s="360"/>
      <c r="W690" s="360"/>
      <c r="X690" s="360"/>
      <c r="Y690" s="360"/>
      <c r="Z690" s="360"/>
      <c r="AA690" s="360"/>
      <c r="AB690" s="360"/>
      <c r="AC690" s="360"/>
      <c r="AD690" s="360"/>
      <c r="AE690" s="360"/>
      <c r="AF690" s="360"/>
      <c r="AG690" s="360"/>
      <c r="AH690" s="360"/>
    </row>
    <row r="691" ht="18.75" customHeight="1">
      <c r="A691" s="399"/>
      <c r="B691" s="400"/>
      <c r="C691" s="400"/>
      <c r="D691" s="360"/>
      <c r="E691" s="401"/>
      <c r="F691" s="402"/>
      <c r="G691" s="403"/>
      <c r="H691" s="403"/>
      <c r="I691" s="403"/>
      <c r="J691" s="403"/>
      <c r="K691" s="403"/>
      <c r="L691" s="403"/>
      <c r="M691" s="404"/>
      <c r="N691" s="403"/>
      <c r="O691" s="403"/>
      <c r="P691" s="403"/>
      <c r="Q691" s="403"/>
      <c r="R691" s="403"/>
      <c r="S691" s="403"/>
      <c r="T691" s="360"/>
      <c r="U691" s="360"/>
      <c r="V691" s="360"/>
      <c r="W691" s="360"/>
      <c r="X691" s="360"/>
      <c r="Y691" s="360"/>
      <c r="Z691" s="360"/>
      <c r="AA691" s="360"/>
      <c r="AB691" s="360"/>
      <c r="AC691" s="360"/>
      <c r="AD691" s="360"/>
      <c r="AE691" s="360"/>
      <c r="AF691" s="360"/>
      <c r="AG691" s="360"/>
      <c r="AH691" s="360"/>
    </row>
    <row r="692" ht="18.75" customHeight="1">
      <c r="A692" s="399"/>
      <c r="B692" s="400"/>
      <c r="C692" s="400"/>
      <c r="D692" s="360"/>
      <c r="E692" s="401"/>
      <c r="F692" s="402"/>
      <c r="G692" s="403"/>
      <c r="H692" s="403"/>
      <c r="I692" s="403"/>
      <c r="J692" s="403"/>
      <c r="K692" s="403"/>
      <c r="L692" s="403"/>
      <c r="M692" s="404"/>
      <c r="N692" s="403"/>
      <c r="O692" s="403"/>
      <c r="P692" s="403"/>
      <c r="Q692" s="403"/>
      <c r="R692" s="403"/>
      <c r="S692" s="403"/>
      <c r="T692" s="360"/>
      <c r="U692" s="360"/>
      <c r="V692" s="360"/>
      <c r="W692" s="360"/>
      <c r="X692" s="360"/>
      <c r="Y692" s="360"/>
      <c r="Z692" s="360"/>
      <c r="AA692" s="360"/>
      <c r="AB692" s="360"/>
      <c r="AC692" s="360"/>
      <c r="AD692" s="360"/>
      <c r="AE692" s="360"/>
      <c r="AF692" s="360"/>
      <c r="AG692" s="360"/>
      <c r="AH692" s="360"/>
    </row>
    <row r="693" ht="18.75" customHeight="1">
      <c r="A693" s="399"/>
      <c r="B693" s="400"/>
      <c r="C693" s="400"/>
      <c r="D693" s="360"/>
      <c r="E693" s="401"/>
      <c r="F693" s="402"/>
      <c r="G693" s="403"/>
      <c r="H693" s="403"/>
      <c r="I693" s="403"/>
      <c r="J693" s="403"/>
      <c r="K693" s="403"/>
      <c r="L693" s="403"/>
      <c r="M693" s="404"/>
      <c r="N693" s="403"/>
      <c r="O693" s="403"/>
      <c r="P693" s="403"/>
      <c r="Q693" s="403"/>
      <c r="R693" s="403"/>
      <c r="S693" s="403"/>
      <c r="T693" s="360"/>
      <c r="U693" s="360"/>
      <c r="V693" s="360"/>
      <c r="W693" s="360"/>
      <c r="X693" s="360"/>
      <c r="Y693" s="360"/>
      <c r="Z693" s="360"/>
      <c r="AA693" s="360"/>
      <c r="AB693" s="360"/>
      <c r="AC693" s="360"/>
      <c r="AD693" s="360"/>
      <c r="AE693" s="360"/>
      <c r="AF693" s="360"/>
      <c r="AG693" s="360"/>
      <c r="AH693" s="360"/>
    </row>
    <row r="694" ht="18.75" customHeight="1">
      <c r="A694" s="399"/>
      <c r="B694" s="400"/>
      <c r="C694" s="400"/>
      <c r="D694" s="360"/>
      <c r="E694" s="401"/>
      <c r="F694" s="402"/>
      <c r="G694" s="403"/>
      <c r="H694" s="403"/>
      <c r="I694" s="403"/>
      <c r="J694" s="403"/>
      <c r="K694" s="403"/>
      <c r="L694" s="403"/>
      <c r="M694" s="404"/>
      <c r="N694" s="403"/>
      <c r="O694" s="403"/>
      <c r="P694" s="403"/>
      <c r="Q694" s="403"/>
      <c r="R694" s="403"/>
      <c r="S694" s="403"/>
      <c r="T694" s="360"/>
      <c r="U694" s="360"/>
      <c r="V694" s="360"/>
      <c r="W694" s="360"/>
      <c r="X694" s="360"/>
      <c r="Y694" s="360"/>
      <c r="Z694" s="360"/>
      <c r="AA694" s="360"/>
      <c r="AB694" s="360"/>
      <c r="AC694" s="360"/>
      <c r="AD694" s="360"/>
      <c r="AE694" s="360"/>
      <c r="AF694" s="360"/>
      <c r="AG694" s="360"/>
      <c r="AH694" s="360"/>
    </row>
    <row r="695" ht="18.75" customHeight="1">
      <c r="A695" s="399"/>
      <c r="B695" s="400"/>
      <c r="C695" s="400"/>
      <c r="D695" s="360"/>
      <c r="E695" s="401"/>
      <c r="F695" s="402"/>
      <c r="G695" s="403"/>
      <c r="H695" s="403"/>
      <c r="I695" s="403"/>
      <c r="J695" s="403"/>
      <c r="K695" s="403"/>
      <c r="L695" s="403"/>
      <c r="M695" s="404"/>
      <c r="N695" s="403"/>
      <c r="O695" s="403"/>
      <c r="P695" s="403"/>
      <c r="Q695" s="403"/>
      <c r="R695" s="403"/>
      <c r="S695" s="403"/>
      <c r="T695" s="360"/>
      <c r="U695" s="360"/>
      <c r="V695" s="360"/>
      <c r="W695" s="360"/>
      <c r="X695" s="360"/>
      <c r="Y695" s="360"/>
      <c r="Z695" s="360"/>
      <c r="AA695" s="360"/>
      <c r="AB695" s="360"/>
      <c r="AC695" s="360"/>
      <c r="AD695" s="360"/>
      <c r="AE695" s="360"/>
      <c r="AF695" s="360"/>
      <c r="AG695" s="360"/>
      <c r="AH695" s="360"/>
    </row>
    <row r="696" ht="18.75" customHeight="1">
      <c r="A696" s="399"/>
      <c r="B696" s="400"/>
      <c r="C696" s="400"/>
      <c r="D696" s="360"/>
      <c r="E696" s="401"/>
      <c r="F696" s="402"/>
      <c r="G696" s="403"/>
      <c r="H696" s="403"/>
      <c r="I696" s="403"/>
      <c r="J696" s="403"/>
      <c r="K696" s="403"/>
      <c r="L696" s="403"/>
      <c r="M696" s="404"/>
      <c r="N696" s="403"/>
      <c r="O696" s="403"/>
      <c r="P696" s="403"/>
      <c r="Q696" s="403"/>
      <c r="R696" s="403"/>
      <c r="S696" s="403"/>
      <c r="T696" s="360"/>
      <c r="U696" s="360"/>
      <c r="V696" s="360"/>
      <c r="W696" s="360"/>
      <c r="X696" s="360"/>
      <c r="Y696" s="360"/>
      <c r="Z696" s="360"/>
      <c r="AA696" s="360"/>
      <c r="AB696" s="360"/>
      <c r="AC696" s="360"/>
      <c r="AD696" s="360"/>
      <c r="AE696" s="360"/>
      <c r="AF696" s="360"/>
      <c r="AG696" s="360"/>
      <c r="AH696" s="360"/>
    </row>
    <row r="697" ht="18.75" customHeight="1">
      <c r="A697" s="399"/>
      <c r="B697" s="400"/>
      <c r="C697" s="400"/>
      <c r="D697" s="360"/>
      <c r="E697" s="401"/>
      <c r="F697" s="402"/>
      <c r="G697" s="403"/>
      <c r="H697" s="403"/>
      <c r="I697" s="403"/>
      <c r="J697" s="403"/>
      <c r="K697" s="403"/>
      <c r="L697" s="403"/>
      <c r="M697" s="404"/>
      <c r="N697" s="403"/>
      <c r="O697" s="403"/>
      <c r="P697" s="403"/>
      <c r="Q697" s="403"/>
      <c r="R697" s="403"/>
      <c r="S697" s="403"/>
      <c r="T697" s="360"/>
      <c r="U697" s="360"/>
      <c r="V697" s="360"/>
      <c r="W697" s="360"/>
      <c r="X697" s="360"/>
      <c r="Y697" s="360"/>
      <c r="Z697" s="360"/>
      <c r="AA697" s="360"/>
      <c r="AB697" s="360"/>
      <c r="AC697" s="360"/>
      <c r="AD697" s="360"/>
      <c r="AE697" s="360"/>
      <c r="AF697" s="360"/>
      <c r="AG697" s="360"/>
      <c r="AH697" s="360"/>
    </row>
    <row r="698" ht="18.75" customHeight="1">
      <c r="A698" s="399"/>
      <c r="B698" s="400"/>
      <c r="C698" s="400"/>
      <c r="D698" s="360"/>
      <c r="E698" s="401"/>
      <c r="F698" s="402"/>
      <c r="G698" s="403"/>
      <c r="H698" s="403"/>
      <c r="I698" s="403"/>
      <c r="J698" s="403"/>
      <c r="K698" s="403"/>
      <c r="L698" s="403"/>
      <c r="M698" s="404"/>
      <c r="N698" s="403"/>
      <c r="O698" s="403"/>
      <c r="P698" s="403"/>
      <c r="Q698" s="403"/>
      <c r="R698" s="403"/>
      <c r="S698" s="403"/>
      <c r="T698" s="360"/>
      <c r="U698" s="360"/>
      <c r="V698" s="360"/>
      <c r="W698" s="360"/>
      <c r="X698" s="360"/>
      <c r="Y698" s="360"/>
      <c r="Z698" s="360"/>
      <c r="AA698" s="360"/>
      <c r="AB698" s="360"/>
      <c r="AC698" s="360"/>
      <c r="AD698" s="360"/>
      <c r="AE698" s="360"/>
      <c r="AF698" s="360"/>
      <c r="AG698" s="360"/>
      <c r="AH698" s="360"/>
    </row>
    <row r="699" ht="18.75" customHeight="1">
      <c r="A699" s="399"/>
      <c r="B699" s="400"/>
      <c r="C699" s="400"/>
      <c r="D699" s="360"/>
      <c r="E699" s="401"/>
      <c r="F699" s="402"/>
      <c r="G699" s="403"/>
      <c r="H699" s="403"/>
      <c r="I699" s="403"/>
      <c r="J699" s="403"/>
      <c r="K699" s="403"/>
      <c r="L699" s="403"/>
      <c r="M699" s="404"/>
      <c r="N699" s="403"/>
      <c r="O699" s="403"/>
      <c r="P699" s="403"/>
      <c r="Q699" s="403"/>
      <c r="R699" s="403"/>
      <c r="S699" s="403"/>
      <c r="T699" s="360"/>
      <c r="U699" s="360"/>
      <c r="V699" s="360"/>
      <c r="W699" s="360"/>
      <c r="X699" s="360"/>
      <c r="Y699" s="360"/>
      <c r="Z699" s="360"/>
      <c r="AA699" s="360"/>
      <c r="AB699" s="360"/>
      <c r="AC699" s="360"/>
      <c r="AD699" s="360"/>
      <c r="AE699" s="360"/>
      <c r="AF699" s="360"/>
      <c r="AG699" s="360"/>
      <c r="AH699" s="360"/>
    </row>
    <row r="700" ht="18.75" customHeight="1">
      <c r="A700" s="399"/>
      <c r="B700" s="400"/>
      <c r="C700" s="400"/>
      <c r="D700" s="360"/>
      <c r="E700" s="401"/>
      <c r="F700" s="402"/>
      <c r="G700" s="403"/>
      <c r="H700" s="403"/>
      <c r="I700" s="403"/>
      <c r="J700" s="403"/>
      <c r="K700" s="403"/>
      <c r="L700" s="403"/>
      <c r="M700" s="404"/>
      <c r="N700" s="403"/>
      <c r="O700" s="403"/>
      <c r="P700" s="403"/>
      <c r="Q700" s="403"/>
      <c r="R700" s="403"/>
      <c r="S700" s="403"/>
      <c r="T700" s="360"/>
      <c r="U700" s="360"/>
      <c r="V700" s="360"/>
      <c r="W700" s="360"/>
      <c r="X700" s="360"/>
      <c r="Y700" s="360"/>
      <c r="Z700" s="360"/>
      <c r="AA700" s="360"/>
      <c r="AB700" s="360"/>
      <c r="AC700" s="360"/>
      <c r="AD700" s="360"/>
      <c r="AE700" s="360"/>
      <c r="AF700" s="360"/>
      <c r="AG700" s="360"/>
      <c r="AH700" s="360"/>
    </row>
    <row r="701" ht="18.75" customHeight="1">
      <c r="A701" s="399"/>
      <c r="B701" s="400"/>
      <c r="C701" s="400"/>
      <c r="D701" s="360"/>
      <c r="E701" s="401"/>
      <c r="F701" s="402"/>
      <c r="G701" s="403"/>
      <c r="H701" s="403"/>
      <c r="I701" s="403"/>
      <c r="J701" s="403"/>
      <c r="K701" s="403"/>
      <c r="L701" s="403"/>
      <c r="M701" s="404"/>
      <c r="N701" s="403"/>
      <c r="O701" s="403"/>
      <c r="P701" s="403"/>
      <c r="Q701" s="403"/>
      <c r="R701" s="403"/>
      <c r="S701" s="403"/>
      <c r="T701" s="360"/>
      <c r="U701" s="360"/>
      <c r="V701" s="360"/>
      <c r="W701" s="360"/>
      <c r="X701" s="360"/>
      <c r="Y701" s="360"/>
      <c r="Z701" s="360"/>
      <c r="AA701" s="360"/>
      <c r="AB701" s="360"/>
      <c r="AC701" s="360"/>
      <c r="AD701" s="360"/>
      <c r="AE701" s="360"/>
      <c r="AF701" s="360"/>
      <c r="AG701" s="360"/>
      <c r="AH701" s="360"/>
    </row>
    <row r="702" ht="18.75" customHeight="1">
      <c r="A702" s="399"/>
      <c r="B702" s="400"/>
      <c r="C702" s="400"/>
      <c r="D702" s="360"/>
      <c r="E702" s="401"/>
      <c r="F702" s="402"/>
      <c r="G702" s="403"/>
      <c r="H702" s="403"/>
      <c r="I702" s="403"/>
      <c r="J702" s="403"/>
      <c r="K702" s="403"/>
      <c r="L702" s="403"/>
      <c r="M702" s="404"/>
      <c r="N702" s="403"/>
      <c r="O702" s="403"/>
      <c r="P702" s="403"/>
      <c r="Q702" s="403"/>
      <c r="R702" s="403"/>
      <c r="S702" s="403"/>
      <c r="T702" s="360"/>
      <c r="U702" s="360"/>
      <c r="V702" s="360"/>
      <c r="W702" s="360"/>
      <c r="X702" s="360"/>
      <c r="Y702" s="360"/>
      <c r="Z702" s="360"/>
      <c r="AA702" s="360"/>
      <c r="AB702" s="360"/>
      <c r="AC702" s="360"/>
      <c r="AD702" s="360"/>
      <c r="AE702" s="360"/>
      <c r="AF702" s="360"/>
      <c r="AG702" s="360"/>
      <c r="AH702" s="360"/>
    </row>
    <row r="703" ht="18.75" customHeight="1">
      <c r="A703" s="399"/>
      <c r="B703" s="400"/>
      <c r="C703" s="400"/>
      <c r="D703" s="360"/>
      <c r="E703" s="401"/>
      <c r="F703" s="402"/>
      <c r="G703" s="403"/>
      <c r="H703" s="403"/>
      <c r="I703" s="403"/>
      <c r="J703" s="403"/>
      <c r="K703" s="403"/>
      <c r="L703" s="403"/>
      <c r="M703" s="404"/>
      <c r="N703" s="403"/>
      <c r="O703" s="403"/>
      <c r="P703" s="403"/>
      <c r="Q703" s="403"/>
      <c r="R703" s="403"/>
      <c r="S703" s="403"/>
      <c r="T703" s="360"/>
      <c r="U703" s="360"/>
      <c r="V703" s="360"/>
      <c r="W703" s="360"/>
      <c r="X703" s="360"/>
      <c r="Y703" s="360"/>
      <c r="Z703" s="360"/>
      <c r="AA703" s="360"/>
      <c r="AB703" s="360"/>
      <c r="AC703" s="360"/>
      <c r="AD703" s="360"/>
      <c r="AE703" s="360"/>
      <c r="AF703" s="360"/>
      <c r="AG703" s="360"/>
      <c r="AH703" s="360"/>
    </row>
    <row r="704" ht="18.75" customHeight="1">
      <c r="A704" s="399"/>
      <c r="B704" s="400"/>
      <c r="C704" s="400"/>
      <c r="D704" s="360"/>
      <c r="E704" s="401"/>
      <c r="F704" s="402"/>
      <c r="G704" s="403"/>
      <c r="H704" s="403"/>
      <c r="I704" s="403"/>
      <c r="J704" s="403"/>
      <c r="K704" s="403"/>
      <c r="L704" s="403"/>
      <c r="M704" s="404"/>
      <c r="N704" s="403"/>
      <c r="O704" s="403"/>
      <c r="P704" s="403"/>
      <c r="Q704" s="403"/>
      <c r="R704" s="403"/>
      <c r="S704" s="403"/>
      <c r="T704" s="360"/>
      <c r="U704" s="360"/>
      <c r="V704" s="360"/>
      <c r="W704" s="360"/>
      <c r="X704" s="360"/>
      <c r="Y704" s="360"/>
      <c r="Z704" s="360"/>
      <c r="AA704" s="360"/>
      <c r="AB704" s="360"/>
      <c r="AC704" s="360"/>
      <c r="AD704" s="360"/>
      <c r="AE704" s="360"/>
      <c r="AF704" s="360"/>
      <c r="AG704" s="360"/>
      <c r="AH704" s="360"/>
    </row>
    <row r="705" ht="18.75" customHeight="1">
      <c r="A705" s="399"/>
      <c r="B705" s="400"/>
      <c r="C705" s="400"/>
      <c r="D705" s="360"/>
      <c r="E705" s="401"/>
      <c r="F705" s="402"/>
      <c r="G705" s="403"/>
      <c r="H705" s="403"/>
      <c r="I705" s="403"/>
      <c r="J705" s="403"/>
      <c r="K705" s="403"/>
      <c r="L705" s="403"/>
      <c r="M705" s="404"/>
      <c r="N705" s="403"/>
      <c r="O705" s="403"/>
      <c r="P705" s="403"/>
      <c r="Q705" s="403"/>
      <c r="R705" s="403"/>
      <c r="S705" s="403"/>
      <c r="T705" s="360"/>
      <c r="U705" s="360"/>
      <c r="V705" s="360"/>
      <c r="W705" s="360"/>
      <c r="X705" s="360"/>
      <c r="Y705" s="360"/>
      <c r="Z705" s="360"/>
      <c r="AA705" s="360"/>
      <c r="AB705" s="360"/>
      <c r="AC705" s="360"/>
      <c r="AD705" s="360"/>
      <c r="AE705" s="360"/>
      <c r="AF705" s="360"/>
      <c r="AG705" s="360"/>
      <c r="AH705" s="360"/>
    </row>
    <row r="706" ht="18.75" customHeight="1">
      <c r="A706" s="399"/>
      <c r="B706" s="400"/>
      <c r="C706" s="400"/>
      <c r="D706" s="360"/>
      <c r="E706" s="401"/>
      <c r="F706" s="402"/>
      <c r="G706" s="403"/>
      <c r="H706" s="403"/>
      <c r="I706" s="403"/>
      <c r="J706" s="403"/>
      <c r="K706" s="403"/>
      <c r="L706" s="403"/>
      <c r="M706" s="404"/>
      <c r="N706" s="403"/>
      <c r="O706" s="403"/>
      <c r="P706" s="403"/>
      <c r="Q706" s="403"/>
      <c r="R706" s="403"/>
      <c r="S706" s="403"/>
      <c r="T706" s="360"/>
      <c r="U706" s="360"/>
      <c r="V706" s="360"/>
      <c r="W706" s="360"/>
      <c r="X706" s="360"/>
      <c r="Y706" s="360"/>
      <c r="Z706" s="360"/>
      <c r="AA706" s="360"/>
      <c r="AB706" s="360"/>
      <c r="AC706" s="360"/>
      <c r="AD706" s="360"/>
      <c r="AE706" s="360"/>
      <c r="AF706" s="360"/>
      <c r="AG706" s="360"/>
      <c r="AH706" s="360"/>
    </row>
    <row r="707" ht="18.75" customHeight="1">
      <c r="A707" s="399"/>
      <c r="B707" s="400"/>
      <c r="C707" s="400"/>
      <c r="D707" s="360"/>
      <c r="E707" s="401"/>
      <c r="F707" s="402"/>
      <c r="G707" s="403"/>
      <c r="H707" s="403"/>
      <c r="I707" s="403"/>
      <c r="J707" s="403"/>
      <c r="K707" s="403"/>
      <c r="L707" s="403"/>
      <c r="M707" s="404"/>
      <c r="N707" s="403"/>
      <c r="O707" s="403"/>
      <c r="P707" s="403"/>
      <c r="Q707" s="403"/>
      <c r="R707" s="403"/>
      <c r="S707" s="403"/>
      <c r="T707" s="360"/>
      <c r="U707" s="360"/>
      <c r="V707" s="360"/>
      <c r="W707" s="360"/>
      <c r="X707" s="360"/>
      <c r="Y707" s="360"/>
      <c r="Z707" s="360"/>
      <c r="AA707" s="360"/>
      <c r="AB707" s="360"/>
      <c r="AC707" s="360"/>
      <c r="AD707" s="360"/>
      <c r="AE707" s="360"/>
      <c r="AF707" s="360"/>
      <c r="AG707" s="360"/>
      <c r="AH707" s="360"/>
    </row>
    <row r="708" ht="18.75" customHeight="1">
      <c r="A708" s="399"/>
      <c r="B708" s="400"/>
      <c r="C708" s="400"/>
      <c r="D708" s="360"/>
      <c r="E708" s="401"/>
      <c r="F708" s="402"/>
      <c r="G708" s="403"/>
      <c r="H708" s="403"/>
      <c r="I708" s="403"/>
      <c r="J708" s="403"/>
      <c r="K708" s="403"/>
      <c r="L708" s="403"/>
      <c r="M708" s="404"/>
      <c r="N708" s="403"/>
      <c r="O708" s="403"/>
      <c r="P708" s="403"/>
      <c r="Q708" s="403"/>
      <c r="R708" s="403"/>
      <c r="S708" s="403"/>
      <c r="T708" s="360"/>
      <c r="U708" s="360"/>
      <c r="V708" s="360"/>
      <c r="W708" s="360"/>
      <c r="X708" s="360"/>
      <c r="Y708" s="360"/>
      <c r="Z708" s="360"/>
      <c r="AA708" s="360"/>
      <c r="AB708" s="360"/>
      <c r="AC708" s="360"/>
      <c r="AD708" s="360"/>
      <c r="AE708" s="360"/>
      <c r="AF708" s="360"/>
      <c r="AG708" s="360"/>
      <c r="AH708" s="360"/>
    </row>
    <row r="709" ht="18.75" customHeight="1">
      <c r="A709" s="399"/>
      <c r="B709" s="400"/>
      <c r="C709" s="400"/>
      <c r="D709" s="360"/>
      <c r="E709" s="401"/>
      <c r="F709" s="402"/>
      <c r="G709" s="403"/>
      <c r="H709" s="403"/>
      <c r="I709" s="403"/>
      <c r="J709" s="403"/>
      <c r="K709" s="403"/>
      <c r="L709" s="403"/>
      <c r="M709" s="404"/>
      <c r="N709" s="403"/>
      <c r="O709" s="403"/>
      <c r="P709" s="403"/>
      <c r="Q709" s="403"/>
      <c r="R709" s="403"/>
      <c r="S709" s="403"/>
      <c r="T709" s="360"/>
      <c r="U709" s="360"/>
      <c r="V709" s="360"/>
      <c r="W709" s="360"/>
      <c r="X709" s="360"/>
      <c r="Y709" s="360"/>
      <c r="Z709" s="360"/>
      <c r="AA709" s="360"/>
      <c r="AB709" s="360"/>
      <c r="AC709" s="360"/>
      <c r="AD709" s="360"/>
      <c r="AE709" s="360"/>
      <c r="AF709" s="360"/>
      <c r="AG709" s="360"/>
      <c r="AH709" s="360"/>
    </row>
    <row r="710" ht="18.75" customHeight="1">
      <c r="A710" s="399"/>
      <c r="B710" s="400"/>
      <c r="C710" s="400"/>
      <c r="D710" s="360"/>
      <c r="E710" s="401"/>
      <c r="F710" s="402"/>
      <c r="G710" s="403"/>
      <c r="H710" s="403"/>
      <c r="I710" s="403"/>
      <c r="J710" s="403"/>
      <c r="K710" s="403"/>
      <c r="L710" s="403"/>
      <c r="M710" s="404"/>
      <c r="N710" s="403"/>
      <c r="O710" s="403"/>
      <c r="P710" s="403"/>
      <c r="Q710" s="403"/>
      <c r="R710" s="403"/>
      <c r="S710" s="403"/>
      <c r="T710" s="360"/>
      <c r="U710" s="360"/>
      <c r="V710" s="360"/>
      <c r="W710" s="360"/>
      <c r="X710" s="360"/>
      <c r="Y710" s="360"/>
      <c r="Z710" s="360"/>
      <c r="AA710" s="360"/>
      <c r="AB710" s="360"/>
      <c r="AC710" s="360"/>
      <c r="AD710" s="360"/>
      <c r="AE710" s="360"/>
      <c r="AF710" s="360"/>
      <c r="AG710" s="360"/>
      <c r="AH710" s="360"/>
    </row>
    <row r="711" ht="18.75" customHeight="1">
      <c r="A711" s="399"/>
      <c r="B711" s="400"/>
      <c r="C711" s="400"/>
      <c r="D711" s="360"/>
      <c r="E711" s="401"/>
      <c r="F711" s="402"/>
      <c r="G711" s="403"/>
      <c r="H711" s="403"/>
      <c r="I711" s="403"/>
      <c r="J711" s="403"/>
      <c r="K711" s="403"/>
      <c r="L711" s="403"/>
      <c r="M711" s="404"/>
      <c r="N711" s="403"/>
      <c r="O711" s="403"/>
      <c r="P711" s="403"/>
      <c r="Q711" s="403"/>
      <c r="R711" s="403"/>
      <c r="S711" s="403"/>
      <c r="T711" s="360"/>
      <c r="U711" s="360"/>
      <c r="V711" s="360"/>
      <c r="W711" s="360"/>
      <c r="X711" s="360"/>
      <c r="Y711" s="360"/>
      <c r="Z711" s="360"/>
      <c r="AA711" s="360"/>
      <c r="AB711" s="360"/>
      <c r="AC711" s="360"/>
      <c r="AD711" s="360"/>
      <c r="AE711" s="360"/>
      <c r="AF711" s="360"/>
      <c r="AG711" s="360"/>
      <c r="AH711" s="360"/>
    </row>
    <row r="712" ht="18.75" customHeight="1">
      <c r="A712" s="399"/>
      <c r="B712" s="400"/>
      <c r="C712" s="400"/>
      <c r="D712" s="360"/>
      <c r="E712" s="401"/>
      <c r="F712" s="402"/>
      <c r="G712" s="403"/>
      <c r="H712" s="403"/>
      <c r="I712" s="403"/>
      <c r="J712" s="403"/>
      <c r="K712" s="403"/>
      <c r="L712" s="403"/>
      <c r="M712" s="404"/>
      <c r="N712" s="403"/>
      <c r="O712" s="403"/>
      <c r="P712" s="403"/>
      <c r="Q712" s="403"/>
      <c r="R712" s="403"/>
      <c r="S712" s="403"/>
      <c r="T712" s="360"/>
      <c r="U712" s="360"/>
      <c r="V712" s="360"/>
      <c r="W712" s="360"/>
      <c r="X712" s="360"/>
      <c r="Y712" s="360"/>
      <c r="Z712" s="360"/>
      <c r="AA712" s="360"/>
      <c r="AB712" s="360"/>
      <c r="AC712" s="360"/>
      <c r="AD712" s="360"/>
      <c r="AE712" s="360"/>
      <c r="AF712" s="360"/>
      <c r="AG712" s="360"/>
      <c r="AH712" s="360"/>
    </row>
    <row r="713" ht="18.75" customHeight="1">
      <c r="A713" s="399"/>
      <c r="B713" s="400"/>
      <c r="C713" s="400"/>
      <c r="D713" s="360"/>
      <c r="E713" s="401"/>
      <c r="F713" s="402"/>
      <c r="G713" s="403"/>
      <c r="H713" s="403"/>
      <c r="I713" s="403"/>
      <c r="J713" s="403"/>
      <c r="K713" s="403"/>
      <c r="L713" s="403"/>
      <c r="M713" s="404"/>
      <c r="N713" s="403"/>
      <c r="O713" s="403"/>
      <c r="P713" s="403"/>
      <c r="Q713" s="403"/>
      <c r="R713" s="403"/>
      <c r="S713" s="403"/>
      <c r="T713" s="360"/>
      <c r="U713" s="360"/>
      <c r="V713" s="360"/>
      <c r="W713" s="360"/>
      <c r="X713" s="360"/>
      <c r="Y713" s="360"/>
      <c r="Z713" s="360"/>
      <c r="AA713" s="360"/>
      <c r="AB713" s="360"/>
      <c r="AC713" s="360"/>
      <c r="AD713" s="360"/>
      <c r="AE713" s="360"/>
      <c r="AF713" s="360"/>
      <c r="AG713" s="360"/>
      <c r="AH713" s="360"/>
    </row>
    <row r="714" ht="18.75" customHeight="1">
      <c r="A714" s="399"/>
      <c r="B714" s="400"/>
      <c r="C714" s="400"/>
      <c r="D714" s="360"/>
      <c r="E714" s="401"/>
      <c r="F714" s="402"/>
      <c r="G714" s="403"/>
      <c r="H714" s="403"/>
      <c r="I714" s="403"/>
      <c r="J714" s="403"/>
      <c r="K714" s="403"/>
      <c r="L714" s="403"/>
      <c r="M714" s="404"/>
      <c r="N714" s="403"/>
      <c r="O714" s="403"/>
      <c r="P714" s="403"/>
      <c r="Q714" s="403"/>
      <c r="R714" s="403"/>
      <c r="S714" s="403"/>
      <c r="T714" s="360"/>
      <c r="U714" s="360"/>
      <c r="V714" s="360"/>
      <c r="W714" s="360"/>
      <c r="X714" s="360"/>
      <c r="Y714" s="360"/>
      <c r="Z714" s="360"/>
      <c r="AA714" s="360"/>
      <c r="AB714" s="360"/>
      <c r="AC714" s="360"/>
      <c r="AD714" s="360"/>
      <c r="AE714" s="360"/>
      <c r="AF714" s="360"/>
      <c r="AG714" s="360"/>
      <c r="AH714" s="360"/>
    </row>
    <row r="715" ht="18.75" customHeight="1">
      <c r="A715" s="399"/>
      <c r="B715" s="400"/>
      <c r="C715" s="400"/>
      <c r="D715" s="360"/>
      <c r="E715" s="401"/>
      <c r="F715" s="402"/>
      <c r="G715" s="403"/>
      <c r="H715" s="403"/>
      <c r="I715" s="403"/>
      <c r="J715" s="403"/>
      <c r="K715" s="403"/>
      <c r="L715" s="403"/>
      <c r="M715" s="404"/>
      <c r="N715" s="403"/>
      <c r="O715" s="403"/>
      <c r="P715" s="403"/>
      <c r="Q715" s="403"/>
      <c r="R715" s="403"/>
      <c r="S715" s="403"/>
      <c r="T715" s="360"/>
      <c r="U715" s="360"/>
      <c r="V715" s="360"/>
      <c r="W715" s="360"/>
      <c r="X715" s="360"/>
      <c r="Y715" s="360"/>
      <c r="Z715" s="360"/>
      <c r="AA715" s="360"/>
      <c r="AB715" s="360"/>
      <c r="AC715" s="360"/>
      <c r="AD715" s="360"/>
      <c r="AE715" s="360"/>
      <c r="AF715" s="360"/>
      <c r="AG715" s="360"/>
      <c r="AH715" s="360"/>
    </row>
    <row r="716" ht="18.75" customHeight="1">
      <c r="A716" s="399"/>
      <c r="B716" s="400"/>
      <c r="C716" s="400"/>
      <c r="D716" s="360"/>
      <c r="E716" s="401"/>
      <c r="F716" s="402"/>
      <c r="G716" s="403"/>
      <c r="H716" s="403"/>
      <c r="I716" s="403"/>
      <c r="J716" s="403"/>
      <c r="K716" s="403"/>
      <c r="L716" s="403"/>
      <c r="M716" s="404"/>
      <c r="N716" s="403"/>
      <c r="O716" s="403"/>
      <c r="P716" s="403"/>
      <c r="Q716" s="403"/>
      <c r="R716" s="403"/>
      <c r="S716" s="403"/>
      <c r="T716" s="360"/>
      <c r="U716" s="360"/>
      <c r="V716" s="360"/>
      <c r="W716" s="360"/>
      <c r="X716" s="360"/>
      <c r="Y716" s="360"/>
      <c r="Z716" s="360"/>
      <c r="AA716" s="360"/>
      <c r="AB716" s="360"/>
      <c r="AC716" s="360"/>
      <c r="AD716" s="360"/>
      <c r="AE716" s="360"/>
      <c r="AF716" s="360"/>
      <c r="AG716" s="360"/>
      <c r="AH716" s="360"/>
    </row>
    <row r="717" ht="18.75" customHeight="1">
      <c r="A717" s="399"/>
      <c r="B717" s="400"/>
      <c r="C717" s="400"/>
      <c r="D717" s="360"/>
      <c r="E717" s="401"/>
      <c r="F717" s="402"/>
      <c r="G717" s="403"/>
      <c r="H717" s="403"/>
      <c r="I717" s="403"/>
      <c r="J717" s="403"/>
      <c r="K717" s="403"/>
      <c r="L717" s="403"/>
      <c r="M717" s="404"/>
      <c r="N717" s="403"/>
      <c r="O717" s="403"/>
      <c r="P717" s="403"/>
      <c r="Q717" s="403"/>
      <c r="R717" s="403"/>
      <c r="S717" s="403"/>
      <c r="T717" s="360"/>
      <c r="U717" s="360"/>
      <c r="V717" s="360"/>
      <c r="W717" s="360"/>
      <c r="X717" s="360"/>
      <c r="Y717" s="360"/>
      <c r="Z717" s="360"/>
      <c r="AA717" s="360"/>
      <c r="AB717" s="360"/>
      <c r="AC717" s="360"/>
      <c r="AD717" s="360"/>
      <c r="AE717" s="360"/>
      <c r="AF717" s="360"/>
      <c r="AG717" s="360"/>
      <c r="AH717" s="360"/>
    </row>
    <row r="718" ht="18.75" customHeight="1">
      <c r="A718" s="399"/>
      <c r="B718" s="400"/>
      <c r="C718" s="400"/>
      <c r="D718" s="360"/>
      <c r="E718" s="401"/>
      <c r="F718" s="402"/>
      <c r="G718" s="403"/>
      <c r="H718" s="403"/>
      <c r="I718" s="403"/>
      <c r="J718" s="403"/>
      <c r="K718" s="403"/>
      <c r="L718" s="403"/>
      <c r="M718" s="404"/>
      <c r="N718" s="403"/>
      <c r="O718" s="403"/>
      <c r="P718" s="403"/>
      <c r="Q718" s="403"/>
      <c r="R718" s="403"/>
      <c r="S718" s="403"/>
      <c r="T718" s="360"/>
      <c r="U718" s="360"/>
      <c r="V718" s="360"/>
      <c r="W718" s="360"/>
      <c r="X718" s="360"/>
      <c r="Y718" s="360"/>
      <c r="Z718" s="360"/>
      <c r="AA718" s="360"/>
      <c r="AB718" s="360"/>
      <c r="AC718" s="360"/>
      <c r="AD718" s="360"/>
      <c r="AE718" s="360"/>
      <c r="AF718" s="360"/>
      <c r="AG718" s="360"/>
      <c r="AH718" s="360"/>
    </row>
    <row r="719" ht="18.75" customHeight="1">
      <c r="A719" s="399"/>
      <c r="B719" s="400"/>
      <c r="C719" s="400"/>
      <c r="D719" s="360"/>
      <c r="E719" s="401"/>
      <c r="F719" s="402"/>
      <c r="G719" s="403"/>
      <c r="H719" s="403"/>
      <c r="I719" s="403"/>
      <c r="J719" s="403"/>
      <c r="K719" s="403"/>
      <c r="L719" s="403"/>
      <c r="M719" s="404"/>
      <c r="N719" s="403"/>
      <c r="O719" s="403"/>
      <c r="P719" s="403"/>
      <c r="Q719" s="403"/>
      <c r="R719" s="403"/>
      <c r="S719" s="403"/>
      <c r="T719" s="360"/>
      <c r="U719" s="360"/>
      <c r="V719" s="360"/>
      <c r="W719" s="360"/>
      <c r="X719" s="360"/>
      <c r="Y719" s="360"/>
      <c r="Z719" s="360"/>
      <c r="AA719" s="360"/>
      <c r="AB719" s="360"/>
      <c r="AC719" s="360"/>
      <c r="AD719" s="360"/>
      <c r="AE719" s="360"/>
      <c r="AF719" s="360"/>
      <c r="AG719" s="360"/>
      <c r="AH719" s="360"/>
    </row>
    <row r="720" ht="18.75" customHeight="1">
      <c r="A720" s="399"/>
      <c r="B720" s="400"/>
      <c r="C720" s="400"/>
      <c r="D720" s="360"/>
      <c r="E720" s="401"/>
      <c r="F720" s="402"/>
      <c r="G720" s="403"/>
      <c r="H720" s="403"/>
      <c r="I720" s="403"/>
      <c r="J720" s="403"/>
      <c r="K720" s="403"/>
      <c r="L720" s="403"/>
      <c r="M720" s="404"/>
      <c r="N720" s="403"/>
      <c r="O720" s="403"/>
      <c r="P720" s="403"/>
      <c r="Q720" s="403"/>
      <c r="R720" s="403"/>
      <c r="S720" s="403"/>
      <c r="T720" s="360"/>
      <c r="U720" s="360"/>
      <c r="V720" s="360"/>
      <c r="W720" s="360"/>
      <c r="X720" s="360"/>
      <c r="Y720" s="360"/>
      <c r="Z720" s="360"/>
      <c r="AA720" s="360"/>
      <c r="AB720" s="360"/>
      <c r="AC720" s="360"/>
      <c r="AD720" s="360"/>
      <c r="AE720" s="360"/>
      <c r="AF720" s="360"/>
      <c r="AG720" s="360"/>
      <c r="AH720" s="360"/>
    </row>
    <row r="721" ht="18.75" customHeight="1">
      <c r="A721" s="399"/>
      <c r="B721" s="400"/>
      <c r="C721" s="400"/>
      <c r="D721" s="360"/>
      <c r="E721" s="401"/>
      <c r="F721" s="402"/>
      <c r="G721" s="403"/>
      <c r="H721" s="403"/>
      <c r="I721" s="403"/>
      <c r="J721" s="403"/>
      <c r="K721" s="403"/>
      <c r="L721" s="403"/>
      <c r="M721" s="404"/>
      <c r="N721" s="403"/>
      <c r="O721" s="403"/>
      <c r="P721" s="403"/>
      <c r="Q721" s="403"/>
      <c r="R721" s="403"/>
      <c r="S721" s="403"/>
      <c r="T721" s="360"/>
      <c r="U721" s="360"/>
      <c r="V721" s="360"/>
      <c r="W721" s="360"/>
      <c r="X721" s="360"/>
      <c r="Y721" s="360"/>
      <c r="Z721" s="360"/>
      <c r="AA721" s="360"/>
      <c r="AB721" s="360"/>
      <c r="AC721" s="360"/>
      <c r="AD721" s="360"/>
      <c r="AE721" s="360"/>
      <c r="AF721" s="360"/>
      <c r="AG721" s="360"/>
      <c r="AH721" s="360"/>
    </row>
    <row r="722" ht="18.75" customHeight="1">
      <c r="A722" s="399"/>
      <c r="B722" s="400"/>
      <c r="C722" s="400"/>
      <c r="D722" s="360"/>
      <c r="E722" s="401"/>
      <c r="F722" s="402"/>
      <c r="G722" s="403"/>
      <c r="H722" s="403"/>
      <c r="I722" s="403"/>
      <c r="J722" s="403"/>
      <c r="K722" s="403"/>
      <c r="L722" s="403"/>
      <c r="M722" s="404"/>
      <c r="N722" s="403"/>
      <c r="O722" s="403"/>
      <c r="P722" s="403"/>
      <c r="Q722" s="403"/>
      <c r="R722" s="403"/>
      <c r="S722" s="403"/>
      <c r="T722" s="360"/>
      <c r="U722" s="360"/>
      <c r="V722" s="360"/>
      <c r="W722" s="360"/>
      <c r="X722" s="360"/>
      <c r="Y722" s="360"/>
      <c r="Z722" s="360"/>
      <c r="AA722" s="360"/>
      <c r="AB722" s="360"/>
      <c r="AC722" s="360"/>
      <c r="AD722" s="360"/>
      <c r="AE722" s="360"/>
      <c r="AF722" s="360"/>
      <c r="AG722" s="360"/>
      <c r="AH722" s="360"/>
    </row>
    <row r="723" ht="18.75" customHeight="1">
      <c r="A723" s="399"/>
      <c r="B723" s="400"/>
      <c r="C723" s="400"/>
      <c r="D723" s="360"/>
      <c r="E723" s="401"/>
      <c r="F723" s="402"/>
      <c r="G723" s="403"/>
      <c r="H723" s="403"/>
      <c r="I723" s="403"/>
      <c r="J723" s="403"/>
      <c r="K723" s="403"/>
      <c r="L723" s="403"/>
      <c r="M723" s="404"/>
      <c r="N723" s="403"/>
      <c r="O723" s="403"/>
      <c r="P723" s="403"/>
      <c r="Q723" s="403"/>
      <c r="R723" s="403"/>
      <c r="S723" s="403"/>
      <c r="T723" s="360"/>
      <c r="U723" s="360"/>
      <c r="V723" s="360"/>
      <c r="W723" s="360"/>
      <c r="X723" s="360"/>
      <c r="Y723" s="360"/>
      <c r="Z723" s="360"/>
      <c r="AA723" s="360"/>
      <c r="AB723" s="360"/>
      <c r="AC723" s="360"/>
      <c r="AD723" s="360"/>
      <c r="AE723" s="360"/>
      <c r="AF723" s="360"/>
      <c r="AG723" s="360"/>
      <c r="AH723" s="360"/>
    </row>
    <row r="724" ht="18.75" customHeight="1">
      <c r="A724" s="399"/>
      <c r="B724" s="400"/>
      <c r="C724" s="400"/>
      <c r="D724" s="360"/>
      <c r="E724" s="401"/>
      <c r="F724" s="402"/>
      <c r="G724" s="403"/>
      <c r="H724" s="403"/>
      <c r="I724" s="403"/>
      <c r="J724" s="403"/>
      <c r="K724" s="403"/>
      <c r="L724" s="403"/>
      <c r="M724" s="404"/>
      <c r="N724" s="403"/>
      <c r="O724" s="403"/>
      <c r="P724" s="403"/>
      <c r="Q724" s="403"/>
      <c r="R724" s="403"/>
      <c r="S724" s="403"/>
      <c r="T724" s="360"/>
      <c r="U724" s="360"/>
      <c r="V724" s="360"/>
      <c r="W724" s="360"/>
      <c r="X724" s="360"/>
      <c r="Y724" s="360"/>
      <c r="Z724" s="360"/>
      <c r="AA724" s="360"/>
      <c r="AB724" s="360"/>
      <c r="AC724" s="360"/>
      <c r="AD724" s="360"/>
      <c r="AE724" s="360"/>
      <c r="AF724" s="360"/>
      <c r="AG724" s="360"/>
      <c r="AH724" s="360"/>
    </row>
    <row r="725" ht="18.75" customHeight="1">
      <c r="A725" s="399"/>
      <c r="B725" s="400"/>
      <c r="C725" s="400"/>
      <c r="D725" s="360"/>
      <c r="E725" s="401"/>
      <c r="F725" s="402"/>
      <c r="G725" s="403"/>
      <c r="H725" s="403"/>
      <c r="I725" s="403"/>
      <c r="J725" s="403"/>
      <c r="K725" s="403"/>
      <c r="L725" s="403"/>
      <c r="M725" s="404"/>
      <c r="N725" s="403"/>
      <c r="O725" s="403"/>
      <c r="P725" s="403"/>
      <c r="Q725" s="403"/>
      <c r="R725" s="403"/>
      <c r="S725" s="403"/>
      <c r="T725" s="360"/>
      <c r="U725" s="360"/>
      <c r="V725" s="360"/>
      <c r="W725" s="360"/>
      <c r="X725" s="360"/>
      <c r="Y725" s="360"/>
      <c r="Z725" s="360"/>
      <c r="AA725" s="360"/>
      <c r="AB725" s="360"/>
      <c r="AC725" s="360"/>
      <c r="AD725" s="360"/>
      <c r="AE725" s="360"/>
      <c r="AF725" s="360"/>
      <c r="AG725" s="360"/>
      <c r="AH725" s="360"/>
    </row>
    <row r="726" ht="18.75" customHeight="1">
      <c r="A726" s="399"/>
      <c r="B726" s="400"/>
      <c r="C726" s="400"/>
      <c r="D726" s="360"/>
      <c r="E726" s="401"/>
      <c r="F726" s="402"/>
      <c r="G726" s="403"/>
      <c r="H726" s="403"/>
      <c r="I726" s="403"/>
      <c r="J726" s="403"/>
      <c r="K726" s="403"/>
      <c r="L726" s="403"/>
      <c r="M726" s="404"/>
      <c r="N726" s="403"/>
      <c r="O726" s="403"/>
      <c r="P726" s="403"/>
      <c r="Q726" s="403"/>
      <c r="R726" s="403"/>
      <c r="S726" s="403"/>
      <c r="T726" s="360"/>
      <c r="U726" s="360"/>
      <c r="V726" s="360"/>
      <c r="W726" s="360"/>
      <c r="X726" s="360"/>
      <c r="Y726" s="360"/>
      <c r="Z726" s="360"/>
      <c r="AA726" s="360"/>
      <c r="AB726" s="360"/>
      <c r="AC726" s="360"/>
      <c r="AD726" s="360"/>
      <c r="AE726" s="360"/>
      <c r="AF726" s="360"/>
      <c r="AG726" s="360"/>
      <c r="AH726" s="360"/>
    </row>
    <row r="727" ht="18.75" customHeight="1">
      <c r="A727" s="399"/>
      <c r="B727" s="400"/>
      <c r="C727" s="400"/>
      <c r="D727" s="360"/>
      <c r="E727" s="401"/>
      <c r="F727" s="402"/>
      <c r="G727" s="403"/>
      <c r="H727" s="403"/>
      <c r="I727" s="403"/>
      <c r="J727" s="403"/>
      <c r="K727" s="403"/>
      <c r="L727" s="403"/>
      <c r="M727" s="404"/>
      <c r="N727" s="403"/>
      <c r="O727" s="403"/>
      <c r="P727" s="403"/>
      <c r="Q727" s="403"/>
      <c r="R727" s="403"/>
      <c r="S727" s="403"/>
      <c r="T727" s="360"/>
      <c r="U727" s="360"/>
      <c r="V727" s="360"/>
      <c r="W727" s="360"/>
      <c r="X727" s="360"/>
      <c r="Y727" s="360"/>
      <c r="Z727" s="360"/>
      <c r="AA727" s="360"/>
      <c r="AB727" s="360"/>
      <c r="AC727" s="360"/>
      <c r="AD727" s="360"/>
      <c r="AE727" s="360"/>
      <c r="AF727" s="360"/>
      <c r="AG727" s="360"/>
      <c r="AH727" s="360"/>
    </row>
    <row r="728" ht="18.75" customHeight="1">
      <c r="A728" s="399"/>
      <c r="B728" s="400"/>
      <c r="C728" s="400"/>
      <c r="D728" s="360"/>
      <c r="E728" s="401"/>
      <c r="F728" s="402"/>
      <c r="G728" s="403"/>
      <c r="H728" s="403"/>
      <c r="I728" s="403"/>
      <c r="J728" s="403"/>
      <c r="K728" s="403"/>
      <c r="L728" s="403"/>
      <c r="M728" s="404"/>
      <c r="N728" s="403"/>
      <c r="O728" s="403"/>
      <c r="P728" s="403"/>
      <c r="Q728" s="403"/>
      <c r="R728" s="403"/>
      <c r="S728" s="403"/>
      <c r="T728" s="360"/>
      <c r="U728" s="360"/>
      <c r="V728" s="360"/>
      <c r="W728" s="360"/>
      <c r="X728" s="360"/>
      <c r="Y728" s="360"/>
      <c r="Z728" s="360"/>
      <c r="AA728" s="360"/>
      <c r="AB728" s="360"/>
      <c r="AC728" s="360"/>
      <c r="AD728" s="360"/>
      <c r="AE728" s="360"/>
      <c r="AF728" s="360"/>
      <c r="AG728" s="360"/>
      <c r="AH728" s="360"/>
    </row>
    <row r="729" ht="18.75" customHeight="1">
      <c r="A729" s="399"/>
      <c r="B729" s="400"/>
      <c r="C729" s="400"/>
      <c r="D729" s="360"/>
      <c r="E729" s="401"/>
      <c r="F729" s="402"/>
      <c r="G729" s="403"/>
      <c r="H729" s="403"/>
      <c r="I729" s="403"/>
      <c r="J729" s="403"/>
      <c r="K729" s="403"/>
      <c r="L729" s="403"/>
      <c r="M729" s="404"/>
      <c r="N729" s="403"/>
      <c r="O729" s="403"/>
      <c r="P729" s="403"/>
      <c r="Q729" s="403"/>
      <c r="R729" s="403"/>
      <c r="S729" s="403"/>
      <c r="T729" s="360"/>
      <c r="U729" s="360"/>
      <c r="V729" s="360"/>
      <c r="W729" s="360"/>
      <c r="X729" s="360"/>
      <c r="Y729" s="360"/>
      <c r="Z729" s="360"/>
      <c r="AA729" s="360"/>
      <c r="AB729" s="360"/>
      <c r="AC729" s="360"/>
      <c r="AD729" s="360"/>
      <c r="AE729" s="360"/>
      <c r="AF729" s="360"/>
      <c r="AG729" s="360"/>
      <c r="AH729" s="360"/>
    </row>
    <row r="730" ht="18.75" customHeight="1">
      <c r="A730" s="399"/>
      <c r="B730" s="400"/>
      <c r="C730" s="400"/>
      <c r="D730" s="360"/>
      <c r="E730" s="401"/>
      <c r="F730" s="402"/>
      <c r="G730" s="403"/>
      <c r="H730" s="403"/>
      <c r="I730" s="403"/>
      <c r="J730" s="403"/>
      <c r="K730" s="403"/>
      <c r="L730" s="403"/>
      <c r="M730" s="404"/>
      <c r="N730" s="403"/>
      <c r="O730" s="403"/>
      <c r="P730" s="403"/>
      <c r="Q730" s="403"/>
      <c r="R730" s="403"/>
      <c r="S730" s="403"/>
      <c r="T730" s="360"/>
      <c r="U730" s="360"/>
      <c r="V730" s="360"/>
      <c r="W730" s="360"/>
      <c r="X730" s="360"/>
      <c r="Y730" s="360"/>
      <c r="Z730" s="360"/>
      <c r="AA730" s="360"/>
      <c r="AB730" s="360"/>
      <c r="AC730" s="360"/>
      <c r="AD730" s="360"/>
      <c r="AE730" s="360"/>
      <c r="AF730" s="360"/>
      <c r="AG730" s="360"/>
      <c r="AH730" s="360"/>
    </row>
    <row r="731" ht="18.75" customHeight="1">
      <c r="A731" s="399"/>
      <c r="B731" s="400"/>
      <c r="C731" s="400"/>
      <c r="D731" s="360"/>
      <c r="E731" s="401"/>
      <c r="F731" s="402"/>
      <c r="G731" s="403"/>
      <c r="H731" s="403"/>
      <c r="I731" s="403"/>
      <c r="J731" s="403"/>
      <c r="K731" s="403"/>
      <c r="L731" s="403"/>
      <c r="M731" s="404"/>
      <c r="N731" s="403"/>
      <c r="O731" s="403"/>
      <c r="P731" s="403"/>
      <c r="Q731" s="403"/>
      <c r="R731" s="403"/>
      <c r="S731" s="403"/>
      <c r="T731" s="360"/>
      <c r="U731" s="360"/>
      <c r="V731" s="360"/>
      <c r="W731" s="360"/>
      <c r="X731" s="360"/>
      <c r="Y731" s="360"/>
      <c r="Z731" s="360"/>
      <c r="AA731" s="360"/>
      <c r="AB731" s="360"/>
      <c r="AC731" s="360"/>
      <c r="AD731" s="360"/>
      <c r="AE731" s="360"/>
      <c r="AF731" s="360"/>
      <c r="AG731" s="360"/>
      <c r="AH731" s="360"/>
    </row>
    <row r="732" ht="18.75" customHeight="1">
      <c r="A732" s="399"/>
      <c r="B732" s="400"/>
      <c r="C732" s="400"/>
      <c r="D732" s="360"/>
      <c r="E732" s="401"/>
      <c r="F732" s="402"/>
      <c r="G732" s="403"/>
      <c r="H732" s="403"/>
      <c r="I732" s="403"/>
      <c r="J732" s="403"/>
      <c r="K732" s="403"/>
      <c r="L732" s="403"/>
      <c r="M732" s="404"/>
      <c r="N732" s="403"/>
      <c r="O732" s="403"/>
      <c r="P732" s="403"/>
      <c r="Q732" s="403"/>
      <c r="R732" s="403"/>
      <c r="S732" s="403"/>
      <c r="T732" s="360"/>
      <c r="U732" s="360"/>
      <c r="V732" s="360"/>
      <c r="W732" s="360"/>
      <c r="X732" s="360"/>
      <c r="Y732" s="360"/>
      <c r="Z732" s="360"/>
      <c r="AA732" s="360"/>
      <c r="AB732" s="360"/>
      <c r="AC732" s="360"/>
      <c r="AD732" s="360"/>
      <c r="AE732" s="360"/>
      <c r="AF732" s="360"/>
      <c r="AG732" s="360"/>
      <c r="AH732" s="360"/>
    </row>
    <row r="733" ht="18.75" customHeight="1">
      <c r="A733" s="399"/>
      <c r="B733" s="400"/>
      <c r="C733" s="400"/>
      <c r="D733" s="360"/>
      <c r="E733" s="401"/>
      <c r="F733" s="402"/>
      <c r="G733" s="403"/>
      <c r="H733" s="403"/>
      <c r="I733" s="403"/>
      <c r="J733" s="403"/>
      <c r="K733" s="403"/>
      <c r="L733" s="403"/>
      <c r="M733" s="404"/>
      <c r="N733" s="403"/>
      <c r="O733" s="403"/>
      <c r="P733" s="403"/>
      <c r="Q733" s="403"/>
      <c r="R733" s="403"/>
      <c r="S733" s="403"/>
      <c r="T733" s="360"/>
      <c r="U733" s="360"/>
      <c r="V733" s="360"/>
      <c r="W733" s="360"/>
      <c r="X733" s="360"/>
      <c r="Y733" s="360"/>
      <c r="Z733" s="360"/>
      <c r="AA733" s="360"/>
      <c r="AB733" s="360"/>
      <c r="AC733" s="360"/>
      <c r="AD733" s="360"/>
      <c r="AE733" s="360"/>
      <c r="AF733" s="360"/>
      <c r="AG733" s="360"/>
      <c r="AH733" s="360"/>
    </row>
    <row r="734" ht="18.75" customHeight="1">
      <c r="A734" s="399"/>
      <c r="B734" s="400"/>
      <c r="C734" s="400"/>
      <c r="D734" s="360"/>
      <c r="E734" s="401"/>
      <c r="F734" s="402"/>
      <c r="G734" s="403"/>
      <c r="H734" s="403"/>
      <c r="I734" s="403"/>
      <c r="J734" s="403"/>
      <c r="K734" s="403"/>
      <c r="L734" s="403"/>
      <c r="M734" s="404"/>
      <c r="N734" s="403"/>
      <c r="O734" s="403"/>
      <c r="P734" s="403"/>
      <c r="Q734" s="403"/>
      <c r="R734" s="403"/>
      <c r="S734" s="403"/>
      <c r="T734" s="360"/>
      <c r="U734" s="360"/>
      <c r="V734" s="360"/>
      <c r="W734" s="360"/>
      <c r="X734" s="360"/>
      <c r="Y734" s="360"/>
      <c r="Z734" s="360"/>
      <c r="AA734" s="360"/>
      <c r="AB734" s="360"/>
      <c r="AC734" s="360"/>
      <c r="AD734" s="360"/>
      <c r="AE734" s="360"/>
      <c r="AF734" s="360"/>
      <c r="AG734" s="360"/>
      <c r="AH734" s="360"/>
    </row>
    <row r="735" ht="18.75" customHeight="1">
      <c r="A735" s="399"/>
      <c r="B735" s="400"/>
      <c r="C735" s="400"/>
      <c r="D735" s="360"/>
      <c r="E735" s="401"/>
      <c r="F735" s="402"/>
      <c r="G735" s="403"/>
      <c r="H735" s="403"/>
      <c r="I735" s="403"/>
      <c r="J735" s="403"/>
      <c r="K735" s="403"/>
      <c r="L735" s="403"/>
      <c r="M735" s="404"/>
      <c r="N735" s="403"/>
      <c r="O735" s="403"/>
      <c r="P735" s="403"/>
      <c r="Q735" s="403"/>
      <c r="R735" s="403"/>
      <c r="S735" s="403"/>
      <c r="T735" s="360"/>
      <c r="U735" s="360"/>
      <c r="V735" s="360"/>
      <c r="W735" s="360"/>
      <c r="X735" s="360"/>
      <c r="Y735" s="360"/>
      <c r="Z735" s="360"/>
      <c r="AA735" s="360"/>
      <c r="AB735" s="360"/>
      <c r="AC735" s="360"/>
      <c r="AD735" s="360"/>
      <c r="AE735" s="360"/>
      <c r="AF735" s="360"/>
      <c r="AG735" s="360"/>
      <c r="AH735" s="360"/>
    </row>
    <row r="736" ht="18.75" customHeight="1">
      <c r="A736" s="399"/>
      <c r="B736" s="400"/>
      <c r="C736" s="400"/>
      <c r="D736" s="360"/>
      <c r="E736" s="401"/>
      <c r="F736" s="402"/>
      <c r="G736" s="403"/>
      <c r="H736" s="403"/>
      <c r="I736" s="403"/>
      <c r="J736" s="403"/>
      <c r="K736" s="403"/>
      <c r="L736" s="403"/>
      <c r="M736" s="404"/>
      <c r="N736" s="403"/>
      <c r="O736" s="403"/>
      <c r="P736" s="403"/>
      <c r="Q736" s="403"/>
      <c r="R736" s="403"/>
      <c r="S736" s="403"/>
      <c r="T736" s="360"/>
      <c r="U736" s="360"/>
      <c r="V736" s="360"/>
      <c r="W736" s="360"/>
      <c r="X736" s="360"/>
      <c r="Y736" s="360"/>
      <c r="Z736" s="360"/>
      <c r="AA736" s="360"/>
      <c r="AB736" s="360"/>
      <c r="AC736" s="360"/>
      <c r="AD736" s="360"/>
      <c r="AE736" s="360"/>
      <c r="AF736" s="360"/>
      <c r="AG736" s="360"/>
      <c r="AH736" s="360"/>
    </row>
    <row r="737" ht="18.75" customHeight="1">
      <c r="A737" s="399"/>
      <c r="B737" s="400"/>
      <c r="C737" s="400"/>
      <c r="D737" s="360"/>
      <c r="E737" s="401"/>
      <c r="F737" s="402"/>
      <c r="G737" s="403"/>
      <c r="H737" s="403"/>
      <c r="I737" s="403"/>
      <c r="J737" s="403"/>
      <c r="K737" s="403"/>
      <c r="L737" s="403"/>
      <c r="M737" s="404"/>
      <c r="N737" s="403"/>
      <c r="O737" s="403"/>
      <c r="P737" s="403"/>
      <c r="Q737" s="403"/>
      <c r="R737" s="403"/>
      <c r="S737" s="403"/>
      <c r="T737" s="360"/>
      <c r="U737" s="360"/>
      <c r="V737" s="360"/>
      <c r="W737" s="360"/>
      <c r="X737" s="360"/>
      <c r="Y737" s="360"/>
      <c r="Z737" s="360"/>
      <c r="AA737" s="360"/>
      <c r="AB737" s="360"/>
      <c r="AC737" s="360"/>
      <c r="AD737" s="360"/>
      <c r="AE737" s="360"/>
      <c r="AF737" s="360"/>
      <c r="AG737" s="360"/>
      <c r="AH737" s="360"/>
    </row>
    <row r="738" ht="18.75" customHeight="1">
      <c r="A738" s="399"/>
      <c r="B738" s="400"/>
      <c r="C738" s="400"/>
      <c r="D738" s="360"/>
      <c r="E738" s="401"/>
      <c r="F738" s="402"/>
      <c r="G738" s="403"/>
      <c r="H738" s="403"/>
      <c r="I738" s="403"/>
      <c r="J738" s="403"/>
      <c r="K738" s="403"/>
      <c r="L738" s="403"/>
      <c r="M738" s="404"/>
      <c r="N738" s="403"/>
      <c r="O738" s="403"/>
      <c r="P738" s="403"/>
      <c r="Q738" s="403"/>
      <c r="R738" s="403"/>
      <c r="S738" s="403"/>
      <c r="T738" s="360"/>
      <c r="U738" s="360"/>
      <c r="V738" s="360"/>
      <c r="W738" s="360"/>
      <c r="X738" s="360"/>
      <c r="Y738" s="360"/>
      <c r="Z738" s="360"/>
      <c r="AA738" s="360"/>
      <c r="AB738" s="360"/>
      <c r="AC738" s="360"/>
      <c r="AD738" s="360"/>
      <c r="AE738" s="360"/>
      <c r="AF738" s="360"/>
      <c r="AG738" s="360"/>
      <c r="AH738" s="360"/>
    </row>
    <row r="739" ht="18.75" customHeight="1">
      <c r="A739" s="399"/>
      <c r="B739" s="400"/>
      <c r="C739" s="400"/>
      <c r="D739" s="360"/>
      <c r="E739" s="401"/>
      <c r="F739" s="402"/>
      <c r="G739" s="403"/>
      <c r="H739" s="403"/>
      <c r="I739" s="403"/>
      <c r="J739" s="403"/>
      <c r="K739" s="403"/>
      <c r="L739" s="403"/>
      <c r="M739" s="404"/>
      <c r="N739" s="403"/>
      <c r="O739" s="403"/>
      <c r="P739" s="403"/>
      <c r="Q739" s="403"/>
      <c r="R739" s="403"/>
      <c r="S739" s="403"/>
      <c r="T739" s="360"/>
      <c r="U739" s="360"/>
      <c r="V739" s="360"/>
      <c r="W739" s="360"/>
      <c r="X739" s="360"/>
      <c r="Y739" s="360"/>
      <c r="Z739" s="360"/>
      <c r="AA739" s="360"/>
      <c r="AB739" s="360"/>
      <c r="AC739" s="360"/>
      <c r="AD739" s="360"/>
      <c r="AE739" s="360"/>
      <c r="AF739" s="360"/>
      <c r="AG739" s="360"/>
      <c r="AH739" s="360"/>
    </row>
    <row r="740" ht="18.75" customHeight="1">
      <c r="A740" s="399"/>
      <c r="B740" s="400"/>
      <c r="C740" s="400"/>
      <c r="D740" s="360"/>
      <c r="E740" s="401"/>
      <c r="F740" s="402"/>
      <c r="G740" s="403"/>
      <c r="H740" s="403"/>
      <c r="I740" s="403"/>
      <c r="J740" s="403"/>
      <c r="K740" s="403"/>
      <c r="L740" s="403"/>
      <c r="M740" s="404"/>
      <c r="N740" s="403"/>
      <c r="O740" s="403"/>
      <c r="P740" s="403"/>
      <c r="Q740" s="403"/>
      <c r="R740" s="403"/>
      <c r="S740" s="403"/>
      <c r="T740" s="360"/>
      <c r="U740" s="360"/>
      <c r="V740" s="360"/>
      <c r="W740" s="360"/>
      <c r="X740" s="360"/>
      <c r="Y740" s="360"/>
      <c r="Z740" s="360"/>
      <c r="AA740" s="360"/>
      <c r="AB740" s="360"/>
      <c r="AC740" s="360"/>
      <c r="AD740" s="360"/>
      <c r="AE740" s="360"/>
      <c r="AF740" s="360"/>
      <c r="AG740" s="360"/>
      <c r="AH740" s="360"/>
    </row>
    <row r="741" ht="18.75" customHeight="1">
      <c r="A741" s="399"/>
      <c r="B741" s="400"/>
      <c r="C741" s="400"/>
      <c r="D741" s="360"/>
      <c r="E741" s="401"/>
      <c r="F741" s="402"/>
      <c r="G741" s="403"/>
      <c r="H741" s="403"/>
      <c r="I741" s="403"/>
      <c r="J741" s="403"/>
      <c r="K741" s="403"/>
      <c r="L741" s="403"/>
      <c r="M741" s="404"/>
      <c r="N741" s="403"/>
      <c r="O741" s="403"/>
      <c r="P741" s="403"/>
      <c r="Q741" s="403"/>
      <c r="R741" s="403"/>
      <c r="S741" s="403"/>
      <c r="T741" s="360"/>
      <c r="U741" s="360"/>
      <c r="V741" s="360"/>
      <c r="W741" s="360"/>
      <c r="X741" s="360"/>
      <c r="Y741" s="360"/>
      <c r="Z741" s="360"/>
      <c r="AA741" s="360"/>
      <c r="AB741" s="360"/>
      <c r="AC741" s="360"/>
      <c r="AD741" s="360"/>
      <c r="AE741" s="360"/>
      <c r="AF741" s="360"/>
      <c r="AG741" s="360"/>
      <c r="AH741" s="360"/>
    </row>
    <row r="742" ht="18.75" customHeight="1">
      <c r="A742" s="399"/>
      <c r="B742" s="400"/>
      <c r="C742" s="400"/>
      <c r="D742" s="360"/>
      <c r="E742" s="401"/>
      <c r="F742" s="402"/>
      <c r="G742" s="403"/>
      <c r="H742" s="403"/>
      <c r="I742" s="403"/>
      <c r="J742" s="403"/>
      <c r="K742" s="403"/>
      <c r="L742" s="403"/>
      <c r="M742" s="404"/>
      <c r="N742" s="403"/>
      <c r="O742" s="403"/>
      <c r="P742" s="403"/>
      <c r="Q742" s="403"/>
      <c r="R742" s="403"/>
      <c r="S742" s="403"/>
      <c r="T742" s="360"/>
      <c r="U742" s="360"/>
      <c r="V742" s="360"/>
      <c r="W742" s="360"/>
      <c r="X742" s="360"/>
      <c r="Y742" s="360"/>
      <c r="Z742" s="360"/>
      <c r="AA742" s="360"/>
      <c r="AB742" s="360"/>
      <c r="AC742" s="360"/>
      <c r="AD742" s="360"/>
      <c r="AE742" s="360"/>
      <c r="AF742" s="360"/>
      <c r="AG742" s="360"/>
      <c r="AH742" s="360"/>
    </row>
    <row r="743" ht="18.75" customHeight="1">
      <c r="A743" s="399"/>
      <c r="B743" s="400"/>
      <c r="C743" s="400"/>
      <c r="D743" s="360"/>
      <c r="E743" s="401"/>
      <c r="F743" s="402"/>
      <c r="G743" s="403"/>
      <c r="H743" s="403"/>
      <c r="I743" s="403"/>
      <c r="J743" s="403"/>
      <c r="K743" s="403"/>
      <c r="L743" s="403"/>
      <c r="M743" s="404"/>
      <c r="N743" s="403"/>
      <c r="O743" s="403"/>
      <c r="P743" s="403"/>
      <c r="Q743" s="403"/>
      <c r="R743" s="403"/>
      <c r="S743" s="403"/>
      <c r="T743" s="360"/>
      <c r="U743" s="360"/>
      <c r="V743" s="360"/>
      <c r="W743" s="360"/>
      <c r="X743" s="360"/>
      <c r="Y743" s="360"/>
      <c r="Z743" s="360"/>
      <c r="AA743" s="360"/>
      <c r="AB743" s="360"/>
      <c r="AC743" s="360"/>
      <c r="AD743" s="360"/>
      <c r="AE743" s="360"/>
      <c r="AF743" s="360"/>
      <c r="AG743" s="360"/>
      <c r="AH743" s="360"/>
    </row>
    <row r="744" ht="18.75" customHeight="1">
      <c r="A744" s="399"/>
      <c r="B744" s="400"/>
      <c r="C744" s="400"/>
      <c r="D744" s="360"/>
      <c r="E744" s="401"/>
      <c r="F744" s="402"/>
      <c r="G744" s="403"/>
      <c r="H744" s="403"/>
      <c r="I744" s="403"/>
      <c r="J744" s="403"/>
      <c r="K744" s="403"/>
      <c r="L744" s="403"/>
      <c r="M744" s="404"/>
      <c r="N744" s="403"/>
      <c r="O744" s="403"/>
      <c r="P744" s="403"/>
      <c r="Q744" s="403"/>
      <c r="R744" s="403"/>
      <c r="S744" s="403"/>
      <c r="T744" s="360"/>
      <c r="U744" s="360"/>
      <c r="V744" s="360"/>
      <c r="W744" s="360"/>
      <c r="X744" s="360"/>
      <c r="Y744" s="360"/>
      <c r="Z744" s="360"/>
      <c r="AA744" s="360"/>
      <c r="AB744" s="360"/>
      <c r="AC744" s="360"/>
      <c r="AD744" s="360"/>
      <c r="AE744" s="360"/>
      <c r="AF744" s="360"/>
      <c r="AG744" s="360"/>
      <c r="AH744" s="360"/>
    </row>
    <row r="745" ht="18.75" customHeight="1">
      <c r="A745" s="399"/>
      <c r="B745" s="400"/>
      <c r="C745" s="400"/>
      <c r="D745" s="360"/>
      <c r="E745" s="401"/>
      <c r="F745" s="402"/>
      <c r="G745" s="403"/>
      <c r="H745" s="403"/>
      <c r="I745" s="403"/>
      <c r="J745" s="403"/>
      <c r="K745" s="403"/>
      <c r="L745" s="403"/>
      <c r="M745" s="404"/>
      <c r="N745" s="403"/>
      <c r="O745" s="403"/>
      <c r="P745" s="403"/>
      <c r="Q745" s="403"/>
      <c r="R745" s="403"/>
      <c r="S745" s="403"/>
      <c r="T745" s="360"/>
      <c r="U745" s="360"/>
      <c r="V745" s="360"/>
      <c r="W745" s="360"/>
      <c r="X745" s="360"/>
      <c r="Y745" s="360"/>
      <c r="Z745" s="360"/>
      <c r="AA745" s="360"/>
      <c r="AB745" s="360"/>
      <c r="AC745" s="360"/>
      <c r="AD745" s="360"/>
      <c r="AE745" s="360"/>
      <c r="AF745" s="360"/>
      <c r="AG745" s="360"/>
      <c r="AH745" s="360"/>
    </row>
    <row r="746" ht="18.75" customHeight="1">
      <c r="A746" s="399"/>
      <c r="B746" s="400"/>
      <c r="C746" s="400"/>
      <c r="D746" s="360"/>
      <c r="E746" s="401"/>
      <c r="F746" s="402"/>
      <c r="G746" s="403"/>
      <c r="H746" s="403"/>
      <c r="I746" s="403"/>
      <c r="J746" s="403"/>
      <c r="K746" s="403"/>
      <c r="L746" s="403"/>
      <c r="M746" s="404"/>
      <c r="N746" s="403"/>
      <c r="O746" s="403"/>
      <c r="P746" s="403"/>
      <c r="Q746" s="403"/>
      <c r="R746" s="403"/>
      <c r="S746" s="403"/>
      <c r="T746" s="360"/>
      <c r="U746" s="360"/>
      <c r="V746" s="360"/>
      <c r="W746" s="360"/>
      <c r="X746" s="360"/>
      <c r="Y746" s="360"/>
      <c r="Z746" s="360"/>
      <c r="AA746" s="360"/>
      <c r="AB746" s="360"/>
      <c r="AC746" s="360"/>
      <c r="AD746" s="360"/>
      <c r="AE746" s="360"/>
      <c r="AF746" s="360"/>
      <c r="AG746" s="360"/>
      <c r="AH746" s="360"/>
    </row>
    <row r="747" ht="18.75" customHeight="1">
      <c r="A747" s="399"/>
      <c r="B747" s="400"/>
      <c r="C747" s="400"/>
      <c r="D747" s="360"/>
      <c r="E747" s="401"/>
      <c r="F747" s="402"/>
      <c r="G747" s="403"/>
      <c r="H747" s="403"/>
      <c r="I747" s="403"/>
      <c r="J747" s="403"/>
      <c r="K747" s="403"/>
      <c r="L747" s="403"/>
      <c r="M747" s="404"/>
      <c r="N747" s="403"/>
      <c r="O747" s="403"/>
      <c r="P747" s="403"/>
      <c r="Q747" s="403"/>
      <c r="R747" s="403"/>
      <c r="S747" s="403"/>
      <c r="T747" s="360"/>
      <c r="U747" s="360"/>
      <c r="V747" s="360"/>
      <c r="W747" s="360"/>
      <c r="X747" s="360"/>
      <c r="Y747" s="360"/>
      <c r="Z747" s="360"/>
      <c r="AA747" s="360"/>
      <c r="AB747" s="360"/>
      <c r="AC747" s="360"/>
      <c r="AD747" s="360"/>
      <c r="AE747" s="360"/>
      <c r="AF747" s="360"/>
      <c r="AG747" s="360"/>
      <c r="AH747" s="360"/>
    </row>
    <row r="748" ht="18.75" customHeight="1">
      <c r="A748" s="399"/>
      <c r="B748" s="400"/>
      <c r="C748" s="400"/>
      <c r="D748" s="360"/>
      <c r="E748" s="401"/>
      <c r="F748" s="402"/>
      <c r="G748" s="403"/>
      <c r="H748" s="403"/>
      <c r="I748" s="403"/>
      <c r="J748" s="403"/>
      <c r="K748" s="403"/>
      <c r="L748" s="403"/>
      <c r="M748" s="404"/>
      <c r="N748" s="403"/>
      <c r="O748" s="403"/>
      <c r="P748" s="403"/>
      <c r="Q748" s="403"/>
      <c r="R748" s="403"/>
      <c r="S748" s="403"/>
      <c r="T748" s="360"/>
      <c r="U748" s="360"/>
      <c r="V748" s="360"/>
      <c r="W748" s="360"/>
      <c r="X748" s="360"/>
      <c r="Y748" s="360"/>
      <c r="Z748" s="360"/>
      <c r="AA748" s="360"/>
      <c r="AB748" s="360"/>
      <c r="AC748" s="360"/>
      <c r="AD748" s="360"/>
      <c r="AE748" s="360"/>
      <c r="AF748" s="360"/>
      <c r="AG748" s="360"/>
      <c r="AH748" s="360"/>
    </row>
    <row r="749" ht="18.75" customHeight="1">
      <c r="A749" s="399"/>
      <c r="B749" s="400"/>
      <c r="C749" s="400"/>
      <c r="D749" s="360"/>
      <c r="E749" s="401"/>
      <c r="F749" s="402"/>
      <c r="G749" s="403"/>
      <c r="H749" s="403"/>
      <c r="I749" s="403"/>
      <c r="J749" s="403"/>
      <c r="K749" s="403"/>
      <c r="L749" s="403"/>
      <c r="M749" s="404"/>
      <c r="N749" s="403"/>
      <c r="O749" s="403"/>
      <c r="P749" s="403"/>
      <c r="Q749" s="403"/>
      <c r="R749" s="403"/>
      <c r="S749" s="403"/>
      <c r="T749" s="360"/>
      <c r="U749" s="360"/>
      <c r="V749" s="360"/>
      <c r="W749" s="360"/>
      <c r="X749" s="360"/>
      <c r="Y749" s="360"/>
      <c r="Z749" s="360"/>
      <c r="AA749" s="360"/>
      <c r="AB749" s="360"/>
      <c r="AC749" s="360"/>
      <c r="AD749" s="360"/>
      <c r="AE749" s="360"/>
      <c r="AF749" s="360"/>
      <c r="AG749" s="360"/>
      <c r="AH749" s="360"/>
    </row>
    <row r="750" ht="18.75" customHeight="1">
      <c r="A750" s="399"/>
      <c r="B750" s="400"/>
      <c r="C750" s="400"/>
      <c r="D750" s="360"/>
      <c r="E750" s="401"/>
      <c r="F750" s="402"/>
      <c r="G750" s="403"/>
      <c r="H750" s="403"/>
      <c r="I750" s="403"/>
      <c r="J750" s="403"/>
      <c r="K750" s="403"/>
      <c r="L750" s="403"/>
      <c r="M750" s="404"/>
      <c r="N750" s="403"/>
      <c r="O750" s="403"/>
      <c r="P750" s="403"/>
      <c r="Q750" s="403"/>
      <c r="R750" s="403"/>
      <c r="S750" s="403"/>
      <c r="T750" s="360"/>
      <c r="U750" s="360"/>
      <c r="V750" s="360"/>
      <c r="W750" s="360"/>
      <c r="X750" s="360"/>
      <c r="Y750" s="360"/>
      <c r="Z750" s="360"/>
      <c r="AA750" s="360"/>
      <c r="AB750" s="360"/>
      <c r="AC750" s="360"/>
      <c r="AD750" s="360"/>
      <c r="AE750" s="360"/>
      <c r="AF750" s="360"/>
      <c r="AG750" s="360"/>
      <c r="AH750" s="360"/>
    </row>
    <row r="751" ht="18.75" customHeight="1">
      <c r="A751" s="399"/>
      <c r="B751" s="400"/>
      <c r="C751" s="400"/>
      <c r="D751" s="360"/>
      <c r="E751" s="401"/>
      <c r="F751" s="402"/>
      <c r="G751" s="403"/>
      <c r="H751" s="403"/>
      <c r="I751" s="403"/>
      <c r="J751" s="403"/>
      <c r="K751" s="403"/>
      <c r="L751" s="403"/>
      <c r="M751" s="404"/>
      <c r="N751" s="403"/>
      <c r="O751" s="403"/>
      <c r="P751" s="403"/>
      <c r="Q751" s="403"/>
      <c r="R751" s="403"/>
      <c r="S751" s="403"/>
      <c r="T751" s="360"/>
      <c r="U751" s="360"/>
      <c r="V751" s="360"/>
      <c r="W751" s="360"/>
      <c r="X751" s="360"/>
      <c r="Y751" s="360"/>
      <c r="Z751" s="360"/>
      <c r="AA751" s="360"/>
      <c r="AB751" s="360"/>
      <c r="AC751" s="360"/>
      <c r="AD751" s="360"/>
      <c r="AE751" s="360"/>
      <c r="AF751" s="360"/>
      <c r="AG751" s="360"/>
      <c r="AH751" s="360"/>
    </row>
    <row r="752" ht="18.75" customHeight="1">
      <c r="A752" s="399"/>
      <c r="B752" s="400"/>
      <c r="C752" s="400"/>
      <c r="D752" s="360"/>
      <c r="E752" s="401"/>
      <c r="F752" s="402"/>
      <c r="G752" s="403"/>
      <c r="H752" s="403"/>
      <c r="I752" s="403"/>
      <c r="J752" s="403"/>
      <c r="K752" s="403"/>
      <c r="L752" s="403"/>
      <c r="M752" s="404"/>
      <c r="N752" s="403"/>
      <c r="O752" s="403"/>
      <c r="P752" s="403"/>
      <c r="Q752" s="403"/>
      <c r="R752" s="403"/>
      <c r="S752" s="403"/>
      <c r="T752" s="360"/>
      <c r="U752" s="360"/>
      <c r="V752" s="360"/>
      <c r="W752" s="360"/>
      <c r="X752" s="360"/>
      <c r="Y752" s="360"/>
      <c r="Z752" s="360"/>
      <c r="AA752" s="360"/>
      <c r="AB752" s="360"/>
      <c r="AC752" s="360"/>
      <c r="AD752" s="360"/>
      <c r="AE752" s="360"/>
      <c r="AF752" s="360"/>
      <c r="AG752" s="360"/>
      <c r="AH752" s="360"/>
    </row>
    <row r="753" ht="18.75" customHeight="1">
      <c r="A753" s="399"/>
      <c r="B753" s="400"/>
      <c r="C753" s="400"/>
      <c r="D753" s="360"/>
      <c r="E753" s="401"/>
      <c r="F753" s="402"/>
      <c r="G753" s="403"/>
      <c r="H753" s="403"/>
      <c r="I753" s="403"/>
      <c r="J753" s="403"/>
      <c r="K753" s="403"/>
      <c r="L753" s="403"/>
      <c r="M753" s="404"/>
      <c r="N753" s="403"/>
      <c r="O753" s="403"/>
      <c r="P753" s="403"/>
      <c r="Q753" s="403"/>
      <c r="R753" s="403"/>
      <c r="S753" s="403"/>
      <c r="T753" s="360"/>
      <c r="U753" s="360"/>
      <c r="V753" s="360"/>
      <c r="W753" s="360"/>
      <c r="X753" s="360"/>
      <c r="Y753" s="360"/>
      <c r="Z753" s="360"/>
      <c r="AA753" s="360"/>
      <c r="AB753" s="360"/>
      <c r="AC753" s="360"/>
      <c r="AD753" s="360"/>
      <c r="AE753" s="360"/>
      <c r="AF753" s="360"/>
      <c r="AG753" s="360"/>
      <c r="AH753" s="360"/>
    </row>
    <row r="754" ht="18.75" customHeight="1">
      <c r="A754" s="399"/>
      <c r="B754" s="400"/>
      <c r="C754" s="400"/>
      <c r="D754" s="360"/>
      <c r="E754" s="401"/>
      <c r="F754" s="402"/>
      <c r="G754" s="403"/>
      <c r="H754" s="403"/>
      <c r="I754" s="403"/>
      <c r="J754" s="403"/>
      <c r="K754" s="403"/>
      <c r="L754" s="403"/>
      <c r="M754" s="404"/>
      <c r="N754" s="403"/>
      <c r="O754" s="403"/>
      <c r="P754" s="403"/>
      <c r="Q754" s="403"/>
      <c r="R754" s="403"/>
      <c r="S754" s="403"/>
      <c r="T754" s="360"/>
      <c r="U754" s="360"/>
      <c r="V754" s="360"/>
      <c r="W754" s="360"/>
      <c r="X754" s="360"/>
      <c r="Y754" s="360"/>
      <c r="Z754" s="360"/>
      <c r="AA754" s="360"/>
      <c r="AB754" s="360"/>
      <c r="AC754" s="360"/>
      <c r="AD754" s="360"/>
      <c r="AE754" s="360"/>
      <c r="AF754" s="360"/>
      <c r="AG754" s="360"/>
      <c r="AH754" s="360"/>
    </row>
    <row r="755" ht="18.75" customHeight="1">
      <c r="A755" s="399"/>
      <c r="B755" s="400"/>
      <c r="C755" s="400"/>
      <c r="D755" s="360"/>
      <c r="E755" s="401"/>
      <c r="F755" s="402"/>
      <c r="G755" s="403"/>
      <c r="H755" s="403"/>
      <c r="I755" s="403"/>
      <c r="J755" s="403"/>
      <c r="K755" s="403"/>
      <c r="L755" s="403"/>
      <c r="M755" s="404"/>
      <c r="N755" s="403"/>
      <c r="O755" s="403"/>
      <c r="P755" s="403"/>
      <c r="Q755" s="403"/>
      <c r="R755" s="403"/>
      <c r="S755" s="403"/>
      <c r="T755" s="360"/>
      <c r="U755" s="360"/>
      <c r="V755" s="360"/>
      <c r="W755" s="360"/>
      <c r="X755" s="360"/>
      <c r="Y755" s="360"/>
      <c r="Z755" s="360"/>
      <c r="AA755" s="360"/>
      <c r="AB755" s="360"/>
      <c r="AC755" s="360"/>
      <c r="AD755" s="360"/>
      <c r="AE755" s="360"/>
      <c r="AF755" s="360"/>
      <c r="AG755" s="360"/>
      <c r="AH755" s="360"/>
    </row>
    <row r="756" ht="18.75" customHeight="1">
      <c r="A756" s="399"/>
      <c r="B756" s="400"/>
      <c r="C756" s="400"/>
      <c r="D756" s="360"/>
      <c r="E756" s="401"/>
      <c r="F756" s="402"/>
      <c r="G756" s="403"/>
      <c r="H756" s="403"/>
      <c r="I756" s="403"/>
      <c r="J756" s="403"/>
      <c r="K756" s="403"/>
      <c r="L756" s="403"/>
      <c r="M756" s="404"/>
      <c r="N756" s="403"/>
      <c r="O756" s="403"/>
      <c r="P756" s="403"/>
      <c r="Q756" s="403"/>
      <c r="R756" s="403"/>
      <c r="S756" s="403"/>
      <c r="T756" s="360"/>
      <c r="U756" s="360"/>
      <c r="V756" s="360"/>
      <c r="W756" s="360"/>
      <c r="X756" s="360"/>
      <c r="Y756" s="360"/>
      <c r="Z756" s="360"/>
      <c r="AA756" s="360"/>
      <c r="AB756" s="360"/>
      <c r="AC756" s="360"/>
      <c r="AD756" s="360"/>
      <c r="AE756" s="360"/>
      <c r="AF756" s="360"/>
      <c r="AG756" s="360"/>
      <c r="AH756" s="360"/>
    </row>
    <row r="757" ht="18.75" customHeight="1">
      <c r="A757" s="399"/>
      <c r="B757" s="400"/>
      <c r="C757" s="400"/>
      <c r="D757" s="360"/>
      <c r="E757" s="401"/>
      <c r="F757" s="402"/>
      <c r="G757" s="403"/>
      <c r="H757" s="403"/>
      <c r="I757" s="403"/>
      <c r="J757" s="403"/>
      <c r="K757" s="403"/>
      <c r="L757" s="403"/>
      <c r="M757" s="404"/>
      <c r="N757" s="403"/>
      <c r="O757" s="403"/>
      <c r="P757" s="403"/>
      <c r="Q757" s="403"/>
      <c r="R757" s="403"/>
      <c r="S757" s="403"/>
      <c r="T757" s="360"/>
      <c r="U757" s="360"/>
      <c r="V757" s="360"/>
      <c r="W757" s="360"/>
      <c r="X757" s="360"/>
      <c r="Y757" s="360"/>
      <c r="Z757" s="360"/>
      <c r="AA757" s="360"/>
      <c r="AB757" s="360"/>
      <c r="AC757" s="360"/>
      <c r="AD757" s="360"/>
      <c r="AE757" s="360"/>
      <c r="AF757" s="360"/>
      <c r="AG757" s="360"/>
      <c r="AH757" s="360"/>
    </row>
    <row r="758" ht="18.75" customHeight="1">
      <c r="A758" s="399"/>
      <c r="B758" s="400"/>
      <c r="C758" s="400"/>
      <c r="D758" s="360"/>
      <c r="E758" s="401"/>
      <c r="F758" s="402"/>
      <c r="G758" s="403"/>
      <c r="H758" s="403"/>
      <c r="I758" s="403"/>
      <c r="J758" s="403"/>
      <c r="K758" s="403"/>
      <c r="L758" s="403"/>
      <c r="M758" s="404"/>
      <c r="N758" s="403"/>
      <c r="O758" s="403"/>
      <c r="P758" s="403"/>
      <c r="Q758" s="403"/>
      <c r="R758" s="403"/>
      <c r="S758" s="403"/>
      <c r="T758" s="360"/>
      <c r="U758" s="360"/>
      <c r="V758" s="360"/>
      <c r="W758" s="360"/>
      <c r="X758" s="360"/>
      <c r="Y758" s="360"/>
      <c r="Z758" s="360"/>
      <c r="AA758" s="360"/>
      <c r="AB758" s="360"/>
      <c r="AC758" s="360"/>
      <c r="AD758" s="360"/>
      <c r="AE758" s="360"/>
      <c r="AF758" s="360"/>
      <c r="AG758" s="360"/>
      <c r="AH758" s="360"/>
    </row>
    <row r="759" ht="18.75" customHeight="1">
      <c r="A759" s="399"/>
      <c r="B759" s="400"/>
      <c r="C759" s="400"/>
      <c r="D759" s="360"/>
      <c r="E759" s="401"/>
      <c r="F759" s="402"/>
      <c r="G759" s="403"/>
      <c r="H759" s="403"/>
      <c r="I759" s="403"/>
      <c r="J759" s="403"/>
      <c r="K759" s="403"/>
      <c r="L759" s="403"/>
      <c r="M759" s="404"/>
      <c r="N759" s="403"/>
      <c r="O759" s="403"/>
      <c r="P759" s="403"/>
      <c r="Q759" s="403"/>
      <c r="R759" s="403"/>
      <c r="S759" s="403"/>
      <c r="T759" s="360"/>
      <c r="U759" s="360"/>
      <c r="V759" s="360"/>
      <c r="W759" s="360"/>
      <c r="X759" s="360"/>
      <c r="Y759" s="360"/>
      <c r="Z759" s="360"/>
      <c r="AA759" s="360"/>
      <c r="AB759" s="360"/>
      <c r="AC759" s="360"/>
      <c r="AD759" s="360"/>
      <c r="AE759" s="360"/>
      <c r="AF759" s="360"/>
      <c r="AG759" s="360"/>
      <c r="AH759" s="360"/>
    </row>
    <row r="760" ht="18.75" customHeight="1">
      <c r="A760" s="399"/>
      <c r="B760" s="400"/>
      <c r="C760" s="400"/>
      <c r="D760" s="360"/>
      <c r="E760" s="401"/>
      <c r="F760" s="402"/>
      <c r="G760" s="403"/>
      <c r="H760" s="403"/>
      <c r="I760" s="403"/>
      <c r="J760" s="403"/>
      <c r="K760" s="403"/>
      <c r="L760" s="403"/>
      <c r="M760" s="404"/>
      <c r="N760" s="403"/>
      <c r="O760" s="403"/>
      <c r="P760" s="403"/>
      <c r="Q760" s="403"/>
      <c r="R760" s="403"/>
      <c r="S760" s="403"/>
      <c r="T760" s="360"/>
      <c r="U760" s="360"/>
      <c r="V760" s="360"/>
      <c r="W760" s="360"/>
      <c r="X760" s="360"/>
      <c r="Y760" s="360"/>
      <c r="Z760" s="360"/>
      <c r="AA760" s="360"/>
      <c r="AB760" s="360"/>
      <c r="AC760" s="360"/>
      <c r="AD760" s="360"/>
      <c r="AE760" s="360"/>
      <c r="AF760" s="360"/>
      <c r="AG760" s="360"/>
      <c r="AH760" s="360"/>
    </row>
    <row r="761" ht="18.75" customHeight="1">
      <c r="A761" s="399"/>
      <c r="B761" s="400"/>
      <c r="C761" s="400"/>
      <c r="D761" s="360"/>
      <c r="E761" s="401"/>
      <c r="F761" s="402"/>
      <c r="G761" s="403"/>
      <c r="H761" s="403"/>
      <c r="I761" s="403"/>
      <c r="J761" s="403"/>
      <c r="K761" s="403"/>
      <c r="L761" s="403"/>
      <c r="M761" s="404"/>
      <c r="N761" s="403"/>
      <c r="O761" s="403"/>
      <c r="P761" s="403"/>
      <c r="Q761" s="403"/>
      <c r="R761" s="403"/>
      <c r="S761" s="403"/>
      <c r="T761" s="360"/>
      <c r="U761" s="360"/>
      <c r="V761" s="360"/>
      <c r="W761" s="360"/>
      <c r="X761" s="360"/>
      <c r="Y761" s="360"/>
      <c r="Z761" s="360"/>
      <c r="AA761" s="360"/>
      <c r="AB761" s="360"/>
      <c r="AC761" s="360"/>
      <c r="AD761" s="360"/>
      <c r="AE761" s="360"/>
      <c r="AF761" s="360"/>
      <c r="AG761" s="360"/>
      <c r="AH761" s="360"/>
    </row>
    <row r="762" ht="18.75" customHeight="1">
      <c r="A762" s="399"/>
      <c r="B762" s="400"/>
      <c r="C762" s="400"/>
      <c r="D762" s="360"/>
      <c r="E762" s="401"/>
      <c r="F762" s="402"/>
      <c r="G762" s="403"/>
      <c r="H762" s="403"/>
      <c r="I762" s="403"/>
      <c r="J762" s="403"/>
      <c r="K762" s="403"/>
      <c r="L762" s="403"/>
      <c r="M762" s="404"/>
      <c r="N762" s="403"/>
      <c r="O762" s="403"/>
      <c r="P762" s="403"/>
      <c r="Q762" s="403"/>
      <c r="R762" s="403"/>
      <c r="S762" s="403"/>
      <c r="T762" s="360"/>
      <c r="U762" s="360"/>
      <c r="V762" s="360"/>
      <c r="W762" s="360"/>
      <c r="X762" s="360"/>
      <c r="Y762" s="360"/>
      <c r="Z762" s="360"/>
      <c r="AA762" s="360"/>
      <c r="AB762" s="360"/>
      <c r="AC762" s="360"/>
      <c r="AD762" s="360"/>
      <c r="AE762" s="360"/>
      <c r="AF762" s="360"/>
      <c r="AG762" s="360"/>
      <c r="AH762" s="360"/>
    </row>
    <row r="763" ht="18.75" customHeight="1">
      <c r="A763" s="399"/>
      <c r="B763" s="400"/>
      <c r="C763" s="400"/>
      <c r="D763" s="360"/>
      <c r="E763" s="401"/>
      <c r="F763" s="402"/>
      <c r="G763" s="403"/>
      <c r="H763" s="403"/>
      <c r="I763" s="403"/>
      <c r="J763" s="403"/>
      <c r="K763" s="403"/>
      <c r="L763" s="403"/>
      <c r="M763" s="404"/>
      <c r="N763" s="403"/>
      <c r="O763" s="403"/>
      <c r="P763" s="403"/>
      <c r="Q763" s="403"/>
      <c r="R763" s="403"/>
      <c r="S763" s="403"/>
      <c r="T763" s="360"/>
      <c r="U763" s="360"/>
      <c r="V763" s="360"/>
      <c r="W763" s="360"/>
      <c r="X763" s="360"/>
      <c r="Y763" s="360"/>
      <c r="Z763" s="360"/>
      <c r="AA763" s="360"/>
      <c r="AB763" s="360"/>
      <c r="AC763" s="360"/>
      <c r="AD763" s="360"/>
      <c r="AE763" s="360"/>
      <c r="AF763" s="360"/>
      <c r="AG763" s="360"/>
      <c r="AH763" s="360"/>
    </row>
    <row r="764" ht="18.75" customHeight="1">
      <c r="A764" s="399"/>
      <c r="B764" s="400"/>
      <c r="C764" s="400"/>
      <c r="D764" s="360"/>
      <c r="E764" s="401"/>
      <c r="F764" s="402"/>
      <c r="G764" s="403"/>
      <c r="H764" s="403"/>
      <c r="I764" s="403"/>
      <c r="J764" s="403"/>
      <c r="K764" s="403"/>
      <c r="L764" s="403"/>
      <c r="M764" s="404"/>
      <c r="N764" s="403"/>
      <c r="O764" s="403"/>
      <c r="P764" s="403"/>
      <c r="Q764" s="403"/>
      <c r="R764" s="403"/>
      <c r="S764" s="403"/>
      <c r="T764" s="360"/>
      <c r="U764" s="360"/>
      <c r="V764" s="360"/>
      <c r="W764" s="360"/>
      <c r="X764" s="360"/>
      <c r="Y764" s="360"/>
      <c r="Z764" s="360"/>
      <c r="AA764" s="360"/>
      <c r="AB764" s="360"/>
      <c r="AC764" s="360"/>
      <c r="AD764" s="360"/>
      <c r="AE764" s="360"/>
      <c r="AF764" s="360"/>
      <c r="AG764" s="360"/>
      <c r="AH764" s="360"/>
    </row>
    <row r="765" ht="18.75" customHeight="1">
      <c r="A765" s="399"/>
      <c r="B765" s="400"/>
      <c r="C765" s="400"/>
      <c r="D765" s="360"/>
      <c r="E765" s="401"/>
      <c r="F765" s="402"/>
      <c r="G765" s="403"/>
      <c r="H765" s="403"/>
      <c r="I765" s="403"/>
      <c r="J765" s="403"/>
      <c r="K765" s="403"/>
      <c r="L765" s="403"/>
      <c r="M765" s="404"/>
      <c r="N765" s="403"/>
      <c r="O765" s="403"/>
      <c r="P765" s="403"/>
      <c r="Q765" s="403"/>
      <c r="R765" s="403"/>
      <c r="S765" s="403"/>
      <c r="T765" s="360"/>
      <c r="U765" s="360"/>
      <c r="V765" s="360"/>
      <c r="W765" s="360"/>
      <c r="X765" s="360"/>
      <c r="Y765" s="360"/>
      <c r="Z765" s="360"/>
      <c r="AA765" s="360"/>
      <c r="AB765" s="360"/>
      <c r="AC765" s="360"/>
      <c r="AD765" s="360"/>
      <c r="AE765" s="360"/>
      <c r="AF765" s="360"/>
      <c r="AG765" s="360"/>
      <c r="AH765" s="360"/>
    </row>
    <row r="766" ht="18.75" customHeight="1">
      <c r="A766" s="399"/>
      <c r="B766" s="400"/>
      <c r="C766" s="400"/>
      <c r="D766" s="360"/>
      <c r="E766" s="401"/>
      <c r="F766" s="402"/>
      <c r="G766" s="403"/>
      <c r="H766" s="403"/>
      <c r="I766" s="403"/>
      <c r="J766" s="403"/>
      <c r="K766" s="403"/>
      <c r="L766" s="403"/>
      <c r="M766" s="404"/>
      <c r="N766" s="403"/>
      <c r="O766" s="403"/>
      <c r="P766" s="403"/>
      <c r="Q766" s="403"/>
      <c r="R766" s="403"/>
      <c r="S766" s="403"/>
      <c r="T766" s="360"/>
      <c r="U766" s="360"/>
      <c r="V766" s="360"/>
      <c r="W766" s="360"/>
      <c r="X766" s="360"/>
      <c r="Y766" s="360"/>
      <c r="Z766" s="360"/>
      <c r="AA766" s="360"/>
      <c r="AB766" s="360"/>
      <c r="AC766" s="360"/>
      <c r="AD766" s="360"/>
      <c r="AE766" s="360"/>
      <c r="AF766" s="360"/>
      <c r="AG766" s="360"/>
      <c r="AH766" s="360"/>
    </row>
    <row r="767" ht="18.75" customHeight="1">
      <c r="A767" s="399"/>
      <c r="B767" s="400"/>
      <c r="C767" s="400"/>
      <c r="D767" s="360"/>
      <c r="E767" s="401"/>
      <c r="F767" s="402"/>
      <c r="G767" s="403"/>
      <c r="H767" s="403"/>
      <c r="I767" s="403"/>
      <c r="J767" s="403"/>
      <c r="K767" s="403"/>
      <c r="L767" s="403"/>
      <c r="M767" s="404"/>
      <c r="N767" s="403"/>
      <c r="O767" s="403"/>
      <c r="P767" s="403"/>
      <c r="Q767" s="403"/>
      <c r="R767" s="403"/>
      <c r="S767" s="403"/>
      <c r="T767" s="360"/>
      <c r="U767" s="360"/>
      <c r="V767" s="360"/>
      <c r="W767" s="360"/>
      <c r="X767" s="360"/>
      <c r="Y767" s="360"/>
      <c r="Z767" s="360"/>
      <c r="AA767" s="360"/>
      <c r="AB767" s="360"/>
      <c r="AC767" s="360"/>
      <c r="AD767" s="360"/>
      <c r="AE767" s="360"/>
      <c r="AF767" s="360"/>
      <c r="AG767" s="360"/>
      <c r="AH767" s="360"/>
    </row>
    <row r="768" ht="18.75" customHeight="1">
      <c r="A768" s="399"/>
      <c r="B768" s="400"/>
      <c r="C768" s="400"/>
      <c r="D768" s="360"/>
      <c r="E768" s="401"/>
      <c r="F768" s="402"/>
      <c r="G768" s="403"/>
      <c r="H768" s="403"/>
      <c r="I768" s="403"/>
      <c r="J768" s="403"/>
      <c r="K768" s="403"/>
      <c r="L768" s="403"/>
      <c r="M768" s="404"/>
      <c r="N768" s="403"/>
      <c r="O768" s="403"/>
      <c r="P768" s="403"/>
      <c r="Q768" s="403"/>
      <c r="R768" s="403"/>
      <c r="S768" s="403"/>
      <c r="T768" s="360"/>
      <c r="U768" s="360"/>
      <c r="V768" s="360"/>
      <c r="W768" s="360"/>
      <c r="X768" s="360"/>
      <c r="Y768" s="360"/>
      <c r="Z768" s="360"/>
      <c r="AA768" s="360"/>
      <c r="AB768" s="360"/>
      <c r="AC768" s="360"/>
      <c r="AD768" s="360"/>
      <c r="AE768" s="360"/>
      <c r="AF768" s="360"/>
      <c r="AG768" s="360"/>
      <c r="AH768" s="360"/>
    </row>
    <row r="769" ht="18.75" customHeight="1">
      <c r="A769" s="399"/>
      <c r="B769" s="400"/>
      <c r="C769" s="400"/>
      <c r="D769" s="360"/>
      <c r="E769" s="401"/>
      <c r="F769" s="402"/>
      <c r="G769" s="403"/>
      <c r="H769" s="403"/>
      <c r="I769" s="403"/>
      <c r="J769" s="403"/>
      <c r="K769" s="403"/>
      <c r="L769" s="403"/>
      <c r="M769" s="404"/>
      <c r="N769" s="403"/>
      <c r="O769" s="403"/>
      <c r="P769" s="403"/>
      <c r="Q769" s="403"/>
      <c r="R769" s="403"/>
      <c r="S769" s="403"/>
      <c r="T769" s="360"/>
      <c r="U769" s="360"/>
      <c r="V769" s="360"/>
      <c r="W769" s="360"/>
      <c r="X769" s="360"/>
      <c r="Y769" s="360"/>
      <c r="Z769" s="360"/>
      <c r="AA769" s="360"/>
      <c r="AB769" s="360"/>
      <c r="AC769" s="360"/>
      <c r="AD769" s="360"/>
      <c r="AE769" s="360"/>
      <c r="AF769" s="360"/>
      <c r="AG769" s="360"/>
      <c r="AH769" s="360"/>
    </row>
    <row r="770" ht="18.75" customHeight="1">
      <c r="A770" s="399"/>
      <c r="B770" s="400"/>
      <c r="C770" s="400"/>
      <c r="D770" s="360"/>
      <c r="E770" s="401"/>
      <c r="F770" s="402"/>
      <c r="G770" s="403"/>
      <c r="H770" s="403"/>
      <c r="I770" s="403"/>
      <c r="J770" s="403"/>
      <c r="K770" s="403"/>
      <c r="L770" s="403"/>
      <c r="M770" s="404"/>
      <c r="N770" s="403"/>
      <c r="O770" s="403"/>
      <c r="P770" s="403"/>
      <c r="Q770" s="403"/>
      <c r="R770" s="403"/>
      <c r="S770" s="403"/>
      <c r="T770" s="360"/>
      <c r="U770" s="360"/>
      <c r="V770" s="360"/>
      <c r="W770" s="360"/>
      <c r="X770" s="360"/>
      <c r="Y770" s="360"/>
      <c r="Z770" s="360"/>
      <c r="AA770" s="360"/>
      <c r="AB770" s="360"/>
      <c r="AC770" s="360"/>
      <c r="AD770" s="360"/>
      <c r="AE770" s="360"/>
      <c r="AF770" s="360"/>
      <c r="AG770" s="360"/>
      <c r="AH770" s="360"/>
    </row>
    <row r="771" ht="18.75" customHeight="1">
      <c r="A771" s="399"/>
      <c r="B771" s="400"/>
      <c r="C771" s="400"/>
      <c r="D771" s="360"/>
      <c r="E771" s="401"/>
      <c r="F771" s="402"/>
      <c r="G771" s="403"/>
      <c r="H771" s="403"/>
      <c r="I771" s="403"/>
      <c r="J771" s="403"/>
      <c r="K771" s="403"/>
      <c r="L771" s="403"/>
      <c r="M771" s="404"/>
      <c r="N771" s="403"/>
      <c r="O771" s="403"/>
      <c r="P771" s="403"/>
      <c r="Q771" s="403"/>
      <c r="R771" s="403"/>
      <c r="S771" s="403"/>
      <c r="T771" s="360"/>
      <c r="U771" s="360"/>
      <c r="V771" s="360"/>
      <c r="W771" s="360"/>
      <c r="X771" s="360"/>
      <c r="Y771" s="360"/>
      <c r="Z771" s="360"/>
      <c r="AA771" s="360"/>
      <c r="AB771" s="360"/>
      <c r="AC771" s="360"/>
      <c r="AD771" s="360"/>
      <c r="AE771" s="360"/>
      <c r="AF771" s="360"/>
      <c r="AG771" s="360"/>
      <c r="AH771" s="360"/>
    </row>
    <row r="772" ht="18.75" customHeight="1">
      <c r="A772" s="399"/>
      <c r="B772" s="400"/>
      <c r="C772" s="400"/>
      <c r="D772" s="360"/>
      <c r="E772" s="401"/>
      <c r="F772" s="402"/>
      <c r="G772" s="403"/>
      <c r="H772" s="403"/>
      <c r="I772" s="403"/>
      <c r="J772" s="403"/>
      <c r="K772" s="403"/>
      <c r="L772" s="403"/>
      <c r="M772" s="404"/>
      <c r="N772" s="403"/>
      <c r="O772" s="403"/>
      <c r="P772" s="403"/>
      <c r="Q772" s="403"/>
      <c r="R772" s="403"/>
      <c r="S772" s="403"/>
      <c r="T772" s="360"/>
      <c r="U772" s="360"/>
      <c r="V772" s="360"/>
      <c r="W772" s="360"/>
      <c r="X772" s="360"/>
      <c r="Y772" s="360"/>
      <c r="Z772" s="360"/>
      <c r="AA772" s="360"/>
      <c r="AB772" s="360"/>
      <c r="AC772" s="360"/>
      <c r="AD772" s="360"/>
      <c r="AE772" s="360"/>
      <c r="AF772" s="360"/>
      <c r="AG772" s="360"/>
      <c r="AH772" s="360"/>
    </row>
    <row r="773" ht="18.75" customHeight="1">
      <c r="A773" s="399"/>
      <c r="B773" s="400"/>
      <c r="C773" s="400"/>
      <c r="D773" s="360"/>
      <c r="E773" s="401"/>
      <c r="F773" s="402"/>
      <c r="G773" s="403"/>
      <c r="H773" s="403"/>
      <c r="I773" s="403"/>
      <c r="J773" s="403"/>
      <c r="K773" s="403"/>
      <c r="L773" s="403"/>
      <c r="M773" s="404"/>
      <c r="N773" s="403"/>
      <c r="O773" s="403"/>
      <c r="P773" s="403"/>
      <c r="Q773" s="403"/>
      <c r="R773" s="403"/>
      <c r="S773" s="403"/>
      <c r="T773" s="360"/>
      <c r="U773" s="360"/>
      <c r="V773" s="360"/>
      <c r="W773" s="360"/>
      <c r="X773" s="360"/>
      <c r="Y773" s="360"/>
      <c r="Z773" s="360"/>
      <c r="AA773" s="360"/>
      <c r="AB773" s="360"/>
      <c r="AC773" s="360"/>
      <c r="AD773" s="360"/>
      <c r="AE773" s="360"/>
      <c r="AF773" s="360"/>
      <c r="AG773" s="360"/>
      <c r="AH773" s="360"/>
    </row>
    <row r="774" ht="18.75" customHeight="1">
      <c r="A774" s="399"/>
      <c r="B774" s="400"/>
      <c r="C774" s="400"/>
      <c r="D774" s="360"/>
      <c r="E774" s="401"/>
      <c r="F774" s="402"/>
      <c r="G774" s="403"/>
      <c r="H774" s="403"/>
      <c r="I774" s="403"/>
      <c r="J774" s="403"/>
      <c r="K774" s="403"/>
      <c r="L774" s="403"/>
      <c r="M774" s="404"/>
      <c r="N774" s="403"/>
      <c r="O774" s="403"/>
      <c r="P774" s="403"/>
      <c r="Q774" s="403"/>
      <c r="R774" s="403"/>
      <c r="S774" s="403"/>
      <c r="T774" s="360"/>
      <c r="U774" s="360"/>
      <c r="V774" s="360"/>
      <c r="W774" s="360"/>
      <c r="X774" s="360"/>
      <c r="Y774" s="360"/>
      <c r="Z774" s="360"/>
      <c r="AA774" s="360"/>
      <c r="AB774" s="360"/>
      <c r="AC774" s="360"/>
      <c r="AD774" s="360"/>
      <c r="AE774" s="360"/>
      <c r="AF774" s="360"/>
      <c r="AG774" s="360"/>
      <c r="AH774" s="360"/>
    </row>
    <row r="775" ht="18.75" customHeight="1">
      <c r="A775" s="399"/>
      <c r="B775" s="400"/>
      <c r="C775" s="400"/>
      <c r="D775" s="360"/>
      <c r="E775" s="401"/>
      <c r="F775" s="402"/>
      <c r="G775" s="403"/>
      <c r="H775" s="403"/>
      <c r="I775" s="403"/>
      <c r="J775" s="403"/>
      <c r="K775" s="403"/>
      <c r="L775" s="403"/>
      <c r="M775" s="404"/>
      <c r="N775" s="403"/>
      <c r="O775" s="403"/>
      <c r="P775" s="403"/>
      <c r="Q775" s="403"/>
      <c r="R775" s="403"/>
      <c r="S775" s="403"/>
      <c r="T775" s="360"/>
      <c r="U775" s="360"/>
      <c r="V775" s="360"/>
      <c r="W775" s="360"/>
      <c r="X775" s="360"/>
      <c r="Y775" s="360"/>
      <c r="Z775" s="360"/>
      <c r="AA775" s="360"/>
      <c r="AB775" s="360"/>
      <c r="AC775" s="360"/>
      <c r="AD775" s="360"/>
      <c r="AE775" s="360"/>
      <c r="AF775" s="360"/>
      <c r="AG775" s="360"/>
      <c r="AH775" s="360"/>
    </row>
    <row r="776" ht="18.75" customHeight="1">
      <c r="A776" s="399"/>
      <c r="B776" s="400"/>
      <c r="C776" s="400"/>
      <c r="D776" s="360"/>
      <c r="E776" s="401"/>
      <c r="F776" s="402"/>
      <c r="G776" s="403"/>
      <c r="H776" s="403"/>
      <c r="I776" s="403"/>
      <c r="J776" s="403"/>
      <c r="K776" s="403"/>
      <c r="L776" s="403"/>
      <c r="M776" s="404"/>
      <c r="N776" s="403"/>
      <c r="O776" s="403"/>
      <c r="P776" s="403"/>
      <c r="Q776" s="403"/>
      <c r="R776" s="403"/>
      <c r="S776" s="403"/>
      <c r="T776" s="360"/>
      <c r="U776" s="360"/>
      <c r="V776" s="360"/>
      <c r="W776" s="360"/>
      <c r="X776" s="360"/>
      <c r="Y776" s="360"/>
      <c r="Z776" s="360"/>
      <c r="AA776" s="360"/>
      <c r="AB776" s="360"/>
      <c r="AC776" s="360"/>
      <c r="AD776" s="360"/>
      <c r="AE776" s="360"/>
      <c r="AF776" s="360"/>
      <c r="AG776" s="360"/>
      <c r="AH776" s="360"/>
    </row>
    <row r="777" ht="18.75" customHeight="1">
      <c r="A777" s="399"/>
      <c r="B777" s="400"/>
      <c r="C777" s="400"/>
      <c r="D777" s="360"/>
      <c r="E777" s="401"/>
      <c r="F777" s="402"/>
      <c r="G777" s="403"/>
      <c r="H777" s="403"/>
      <c r="I777" s="403"/>
      <c r="J777" s="403"/>
      <c r="K777" s="403"/>
      <c r="L777" s="403"/>
      <c r="M777" s="404"/>
      <c r="N777" s="403"/>
      <c r="O777" s="403"/>
      <c r="P777" s="403"/>
      <c r="Q777" s="403"/>
      <c r="R777" s="403"/>
      <c r="S777" s="403"/>
      <c r="T777" s="360"/>
      <c r="U777" s="360"/>
      <c r="V777" s="360"/>
      <c r="W777" s="360"/>
      <c r="X777" s="360"/>
      <c r="Y777" s="360"/>
      <c r="Z777" s="360"/>
      <c r="AA777" s="360"/>
      <c r="AB777" s="360"/>
      <c r="AC777" s="360"/>
      <c r="AD777" s="360"/>
      <c r="AE777" s="360"/>
      <c r="AF777" s="360"/>
      <c r="AG777" s="360"/>
      <c r="AH777" s="360"/>
    </row>
    <row r="778" ht="18.75" customHeight="1">
      <c r="A778" s="399"/>
      <c r="B778" s="400"/>
      <c r="C778" s="400"/>
      <c r="D778" s="360"/>
      <c r="E778" s="401"/>
      <c r="F778" s="402"/>
      <c r="G778" s="403"/>
      <c r="H778" s="403"/>
      <c r="I778" s="403"/>
      <c r="J778" s="403"/>
      <c r="K778" s="403"/>
      <c r="L778" s="403"/>
      <c r="M778" s="404"/>
      <c r="N778" s="403"/>
      <c r="O778" s="403"/>
      <c r="P778" s="403"/>
      <c r="Q778" s="403"/>
      <c r="R778" s="403"/>
      <c r="S778" s="403"/>
      <c r="T778" s="360"/>
      <c r="U778" s="360"/>
      <c r="V778" s="360"/>
      <c r="W778" s="360"/>
      <c r="X778" s="360"/>
      <c r="Y778" s="360"/>
      <c r="Z778" s="360"/>
      <c r="AA778" s="360"/>
      <c r="AB778" s="360"/>
      <c r="AC778" s="360"/>
      <c r="AD778" s="360"/>
      <c r="AE778" s="360"/>
      <c r="AF778" s="360"/>
      <c r="AG778" s="360"/>
      <c r="AH778" s="360"/>
    </row>
    <row r="779" ht="18.75" customHeight="1">
      <c r="A779" s="399"/>
      <c r="B779" s="400"/>
      <c r="C779" s="400"/>
      <c r="D779" s="360"/>
      <c r="E779" s="401"/>
      <c r="F779" s="402"/>
      <c r="G779" s="403"/>
      <c r="H779" s="403"/>
      <c r="I779" s="403"/>
      <c r="J779" s="403"/>
      <c r="K779" s="403"/>
      <c r="L779" s="403"/>
      <c r="M779" s="404"/>
      <c r="N779" s="403"/>
      <c r="O779" s="403"/>
      <c r="P779" s="403"/>
      <c r="Q779" s="403"/>
      <c r="R779" s="403"/>
      <c r="S779" s="403"/>
      <c r="T779" s="360"/>
      <c r="U779" s="360"/>
      <c r="V779" s="360"/>
      <c r="W779" s="360"/>
      <c r="X779" s="360"/>
      <c r="Y779" s="360"/>
      <c r="Z779" s="360"/>
      <c r="AA779" s="360"/>
      <c r="AB779" s="360"/>
      <c r="AC779" s="360"/>
      <c r="AD779" s="360"/>
      <c r="AE779" s="360"/>
      <c r="AF779" s="360"/>
      <c r="AG779" s="360"/>
      <c r="AH779" s="360"/>
    </row>
    <row r="780" ht="18.75" customHeight="1">
      <c r="A780" s="399"/>
      <c r="B780" s="400"/>
      <c r="C780" s="400"/>
      <c r="D780" s="360"/>
      <c r="E780" s="401"/>
      <c r="F780" s="402"/>
      <c r="G780" s="403"/>
      <c r="H780" s="403"/>
      <c r="I780" s="403"/>
      <c r="J780" s="403"/>
      <c r="K780" s="403"/>
      <c r="L780" s="403"/>
      <c r="M780" s="404"/>
      <c r="N780" s="403"/>
      <c r="O780" s="403"/>
      <c r="P780" s="403"/>
      <c r="Q780" s="403"/>
      <c r="R780" s="403"/>
      <c r="S780" s="403"/>
      <c r="T780" s="360"/>
      <c r="U780" s="360"/>
      <c r="V780" s="360"/>
      <c r="W780" s="360"/>
      <c r="X780" s="360"/>
      <c r="Y780" s="360"/>
      <c r="Z780" s="360"/>
      <c r="AA780" s="360"/>
      <c r="AB780" s="360"/>
      <c r="AC780" s="360"/>
      <c r="AD780" s="360"/>
      <c r="AE780" s="360"/>
      <c r="AF780" s="360"/>
      <c r="AG780" s="360"/>
      <c r="AH780" s="360"/>
    </row>
    <row r="781" ht="18.75" customHeight="1">
      <c r="A781" s="399"/>
      <c r="B781" s="400"/>
      <c r="C781" s="400"/>
      <c r="D781" s="360"/>
      <c r="E781" s="401"/>
      <c r="F781" s="402"/>
      <c r="G781" s="403"/>
      <c r="H781" s="403"/>
      <c r="I781" s="403"/>
      <c r="J781" s="403"/>
      <c r="K781" s="403"/>
      <c r="L781" s="403"/>
      <c r="M781" s="404"/>
      <c r="N781" s="403"/>
      <c r="O781" s="403"/>
      <c r="P781" s="403"/>
      <c r="Q781" s="403"/>
      <c r="R781" s="403"/>
      <c r="S781" s="403"/>
      <c r="T781" s="360"/>
      <c r="U781" s="360"/>
      <c r="V781" s="360"/>
      <c r="W781" s="360"/>
      <c r="X781" s="360"/>
      <c r="Y781" s="360"/>
      <c r="Z781" s="360"/>
      <c r="AA781" s="360"/>
      <c r="AB781" s="360"/>
      <c r="AC781" s="360"/>
      <c r="AD781" s="360"/>
      <c r="AE781" s="360"/>
      <c r="AF781" s="360"/>
      <c r="AG781" s="360"/>
      <c r="AH781" s="360"/>
    </row>
    <row r="782" ht="18.75" customHeight="1">
      <c r="A782" s="399"/>
      <c r="B782" s="400"/>
      <c r="C782" s="400"/>
      <c r="D782" s="360"/>
      <c r="E782" s="401"/>
      <c r="F782" s="402"/>
      <c r="G782" s="403"/>
      <c r="H782" s="403"/>
      <c r="I782" s="403"/>
      <c r="J782" s="403"/>
      <c r="K782" s="403"/>
      <c r="L782" s="403"/>
      <c r="M782" s="404"/>
      <c r="N782" s="403"/>
      <c r="O782" s="403"/>
      <c r="P782" s="403"/>
      <c r="Q782" s="403"/>
      <c r="R782" s="403"/>
      <c r="S782" s="403"/>
      <c r="T782" s="360"/>
      <c r="U782" s="360"/>
      <c r="V782" s="360"/>
      <c r="W782" s="360"/>
      <c r="X782" s="360"/>
      <c r="Y782" s="360"/>
      <c r="Z782" s="360"/>
      <c r="AA782" s="360"/>
      <c r="AB782" s="360"/>
      <c r="AC782" s="360"/>
      <c r="AD782" s="360"/>
      <c r="AE782" s="360"/>
      <c r="AF782" s="360"/>
      <c r="AG782" s="360"/>
      <c r="AH782" s="360"/>
    </row>
    <row r="783" ht="18.75" customHeight="1">
      <c r="A783" s="399"/>
      <c r="B783" s="400"/>
      <c r="C783" s="400"/>
      <c r="D783" s="360"/>
      <c r="E783" s="401"/>
      <c r="F783" s="402"/>
      <c r="G783" s="403"/>
      <c r="H783" s="403"/>
      <c r="I783" s="403"/>
      <c r="J783" s="403"/>
      <c r="K783" s="403"/>
      <c r="L783" s="403"/>
      <c r="M783" s="404"/>
      <c r="N783" s="403"/>
      <c r="O783" s="403"/>
      <c r="P783" s="403"/>
      <c r="Q783" s="403"/>
      <c r="R783" s="403"/>
      <c r="S783" s="403"/>
      <c r="T783" s="360"/>
      <c r="U783" s="360"/>
      <c r="V783" s="360"/>
      <c r="W783" s="360"/>
      <c r="X783" s="360"/>
      <c r="Y783" s="360"/>
      <c r="Z783" s="360"/>
      <c r="AA783" s="360"/>
      <c r="AB783" s="360"/>
      <c r="AC783" s="360"/>
      <c r="AD783" s="360"/>
      <c r="AE783" s="360"/>
      <c r="AF783" s="360"/>
      <c r="AG783" s="360"/>
      <c r="AH783" s="360"/>
    </row>
    <row r="784" ht="18.75" customHeight="1">
      <c r="A784" s="399"/>
      <c r="B784" s="400"/>
      <c r="C784" s="400"/>
      <c r="D784" s="360"/>
      <c r="E784" s="401"/>
      <c r="F784" s="402"/>
      <c r="G784" s="403"/>
      <c r="H784" s="403"/>
      <c r="I784" s="403"/>
      <c r="J784" s="403"/>
      <c r="K784" s="403"/>
      <c r="L784" s="403"/>
      <c r="M784" s="404"/>
      <c r="N784" s="403"/>
      <c r="O784" s="403"/>
      <c r="P784" s="403"/>
      <c r="Q784" s="403"/>
      <c r="R784" s="403"/>
      <c r="S784" s="403"/>
      <c r="T784" s="360"/>
      <c r="U784" s="360"/>
      <c r="V784" s="360"/>
      <c r="W784" s="360"/>
      <c r="X784" s="360"/>
      <c r="Y784" s="360"/>
      <c r="Z784" s="360"/>
      <c r="AA784" s="360"/>
      <c r="AB784" s="360"/>
      <c r="AC784" s="360"/>
      <c r="AD784" s="360"/>
      <c r="AE784" s="360"/>
      <c r="AF784" s="360"/>
      <c r="AG784" s="360"/>
      <c r="AH784" s="360"/>
    </row>
    <row r="785" ht="18.75" customHeight="1">
      <c r="A785" s="399"/>
      <c r="B785" s="400"/>
      <c r="C785" s="400"/>
      <c r="D785" s="360"/>
      <c r="E785" s="401"/>
      <c r="F785" s="402"/>
      <c r="G785" s="403"/>
      <c r="H785" s="403"/>
      <c r="I785" s="403"/>
      <c r="J785" s="403"/>
      <c r="K785" s="403"/>
      <c r="L785" s="403"/>
      <c r="M785" s="404"/>
      <c r="N785" s="403"/>
      <c r="O785" s="403"/>
      <c r="P785" s="403"/>
      <c r="Q785" s="403"/>
      <c r="R785" s="403"/>
      <c r="S785" s="403"/>
      <c r="T785" s="360"/>
      <c r="U785" s="360"/>
      <c r="V785" s="360"/>
      <c r="W785" s="360"/>
      <c r="X785" s="360"/>
      <c r="Y785" s="360"/>
      <c r="Z785" s="360"/>
      <c r="AA785" s="360"/>
      <c r="AB785" s="360"/>
      <c r="AC785" s="360"/>
      <c r="AD785" s="360"/>
      <c r="AE785" s="360"/>
      <c r="AF785" s="360"/>
      <c r="AG785" s="360"/>
      <c r="AH785" s="360"/>
    </row>
    <row r="786" ht="18.75" customHeight="1">
      <c r="A786" s="399"/>
      <c r="B786" s="400"/>
      <c r="C786" s="400"/>
      <c r="D786" s="360"/>
      <c r="E786" s="401"/>
      <c r="F786" s="402"/>
      <c r="G786" s="403"/>
      <c r="H786" s="403"/>
      <c r="I786" s="403"/>
      <c r="J786" s="403"/>
      <c r="K786" s="403"/>
      <c r="L786" s="403"/>
      <c r="M786" s="404"/>
      <c r="N786" s="403"/>
      <c r="O786" s="403"/>
      <c r="P786" s="403"/>
      <c r="Q786" s="403"/>
      <c r="R786" s="403"/>
      <c r="S786" s="403"/>
      <c r="T786" s="360"/>
      <c r="U786" s="360"/>
      <c r="V786" s="360"/>
      <c r="W786" s="360"/>
      <c r="X786" s="360"/>
      <c r="Y786" s="360"/>
      <c r="Z786" s="360"/>
      <c r="AA786" s="360"/>
      <c r="AB786" s="360"/>
      <c r="AC786" s="360"/>
      <c r="AD786" s="360"/>
      <c r="AE786" s="360"/>
      <c r="AF786" s="360"/>
      <c r="AG786" s="360"/>
      <c r="AH786" s="360"/>
    </row>
    <row r="787" ht="18.75" customHeight="1">
      <c r="A787" s="399"/>
      <c r="B787" s="400"/>
      <c r="C787" s="400"/>
      <c r="D787" s="360"/>
      <c r="E787" s="401"/>
      <c r="F787" s="402"/>
      <c r="G787" s="403"/>
      <c r="H787" s="403"/>
      <c r="I787" s="403"/>
      <c r="J787" s="403"/>
      <c r="K787" s="403"/>
      <c r="L787" s="403"/>
      <c r="M787" s="404"/>
      <c r="N787" s="403"/>
      <c r="O787" s="403"/>
      <c r="P787" s="403"/>
      <c r="Q787" s="403"/>
      <c r="R787" s="403"/>
      <c r="S787" s="403"/>
      <c r="T787" s="360"/>
      <c r="U787" s="360"/>
      <c r="V787" s="360"/>
      <c r="W787" s="360"/>
      <c r="X787" s="360"/>
      <c r="Y787" s="360"/>
      <c r="Z787" s="360"/>
      <c r="AA787" s="360"/>
      <c r="AB787" s="360"/>
      <c r="AC787" s="360"/>
      <c r="AD787" s="360"/>
      <c r="AE787" s="360"/>
      <c r="AF787" s="360"/>
      <c r="AG787" s="360"/>
      <c r="AH787" s="360"/>
    </row>
    <row r="788" ht="18.75" customHeight="1">
      <c r="A788" s="399"/>
      <c r="B788" s="400"/>
      <c r="C788" s="400"/>
      <c r="D788" s="360"/>
      <c r="E788" s="401"/>
      <c r="F788" s="402"/>
      <c r="G788" s="403"/>
      <c r="H788" s="403"/>
      <c r="I788" s="403"/>
      <c r="J788" s="403"/>
      <c r="K788" s="403"/>
      <c r="L788" s="403"/>
      <c r="M788" s="404"/>
      <c r="N788" s="403"/>
      <c r="O788" s="403"/>
      <c r="P788" s="403"/>
      <c r="Q788" s="403"/>
      <c r="R788" s="403"/>
      <c r="S788" s="403"/>
      <c r="T788" s="360"/>
      <c r="U788" s="360"/>
      <c r="V788" s="360"/>
      <c r="W788" s="360"/>
      <c r="X788" s="360"/>
      <c r="Y788" s="360"/>
      <c r="Z788" s="360"/>
      <c r="AA788" s="360"/>
      <c r="AB788" s="360"/>
      <c r="AC788" s="360"/>
      <c r="AD788" s="360"/>
      <c r="AE788" s="360"/>
      <c r="AF788" s="360"/>
      <c r="AG788" s="360"/>
      <c r="AH788" s="360"/>
    </row>
    <row r="789" ht="18.75" customHeight="1">
      <c r="A789" s="399"/>
      <c r="B789" s="400"/>
      <c r="C789" s="400"/>
      <c r="D789" s="360"/>
      <c r="E789" s="401"/>
      <c r="F789" s="402"/>
      <c r="G789" s="403"/>
      <c r="H789" s="403"/>
      <c r="I789" s="403"/>
      <c r="J789" s="403"/>
      <c r="K789" s="403"/>
      <c r="L789" s="403"/>
      <c r="M789" s="404"/>
      <c r="N789" s="403"/>
      <c r="O789" s="403"/>
      <c r="P789" s="403"/>
      <c r="Q789" s="403"/>
      <c r="R789" s="403"/>
      <c r="S789" s="403"/>
      <c r="T789" s="360"/>
      <c r="U789" s="360"/>
      <c r="V789" s="360"/>
      <c r="W789" s="360"/>
      <c r="X789" s="360"/>
      <c r="Y789" s="360"/>
      <c r="Z789" s="360"/>
      <c r="AA789" s="360"/>
      <c r="AB789" s="360"/>
      <c r="AC789" s="360"/>
      <c r="AD789" s="360"/>
      <c r="AE789" s="360"/>
      <c r="AF789" s="360"/>
      <c r="AG789" s="360"/>
      <c r="AH789" s="360"/>
    </row>
    <row r="790" ht="18.75" customHeight="1">
      <c r="A790" s="399"/>
      <c r="B790" s="400"/>
      <c r="C790" s="400"/>
      <c r="D790" s="360"/>
      <c r="E790" s="401"/>
      <c r="F790" s="402"/>
      <c r="G790" s="403"/>
      <c r="H790" s="403"/>
      <c r="I790" s="403"/>
      <c r="J790" s="403"/>
      <c r="K790" s="403"/>
      <c r="L790" s="403"/>
      <c r="M790" s="404"/>
      <c r="N790" s="403"/>
      <c r="O790" s="403"/>
      <c r="P790" s="403"/>
      <c r="Q790" s="403"/>
      <c r="R790" s="403"/>
      <c r="S790" s="403"/>
      <c r="T790" s="360"/>
      <c r="U790" s="360"/>
      <c r="V790" s="360"/>
      <c r="W790" s="360"/>
      <c r="X790" s="360"/>
      <c r="Y790" s="360"/>
      <c r="Z790" s="360"/>
      <c r="AA790" s="360"/>
      <c r="AB790" s="360"/>
      <c r="AC790" s="360"/>
      <c r="AD790" s="360"/>
      <c r="AE790" s="360"/>
      <c r="AF790" s="360"/>
      <c r="AG790" s="360"/>
      <c r="AH790" s="360"/>
    </row>
    <row r="791" ht="18.75" customHeight="1">
      <c r="A791" s="399"/>
      <c r="B791" s="400"/>
      <c r="C791" s="400"/>
      <c r="D791" s="360"/>
      <c r="E791" s="401"/>
      <c r="F791" s="402"/>
      <c r="G791" s="403"/>
      <c r="H791" s="403"/>
      <c r="I791" s="403"/>
      <c r="J791" s="403"/>
      <c r="K791" s="403"/>
      <c r="L791" s="403"/>
      <c r="M791" s="404"/>
      <c r="N791" s="403"/>
      <c r="O791" s="403"/>
      <c r="P791" s="403"/>
      <c r="Q791" s="403"/>
      <c r="R791" s="403"/>
      <c r="S791" s="403"/>
      <c r="T791" s="360"/>
      <c r="U791" s="360"/>
      <c r="V791" s="360"/>
      <c r="W791" s="360"/>
      <c r="X791" s="360"/>
      <c r="Y791" s="360"/>
      <c r="Z791" s="360"/>
      <c r="AA791" s="360"/>
      <c r="AB791" s="360"/>
      <c r="AC791" s="360"/>
      <c r="AD791" s="360"/>
      <c r="AE791" s="360"/>
      <c r="AF791" s="360"/>
      <c r="AG791" s="360"/>
      <c r="AH791" s="360"/>
    </row>
    <row r="792" ht="18.75" customHeight="1">
      <c r="A792" s="399"/>
      <c r="B792" s="400"/>
      <c r="C792" s="400"/>
      <c r="D792" s="360"/>
      <c r="E792" s="401"/>
      <c r="F792" s="402"/>
      <c r="G792" s="403"/>
      <c r="H792" s="403"/>
      <c r="I792" s="403"/>
      <c r="J792" s="403"/>
      <c r="K792" s="403"/>
      <c r="L792" s="403"/>
      <c r="M792" s="404"/>
      <c r="N792" s="403"/>
      <c r="O792" s="403"/>
      <c r="P792" s="403"/>
      <c r="Q792" s="403"/>
      <c r="R792" s="403"/>
      <c r="S792" s="403"/>
      <c r="T792" s="360"/>
      <c r="U792" s="360"/>
      <c r="V792" s="360"/>
      <c r="W792" s="360"/>
      <c r="X792" s="360"/>
      <c r="Y792" s="360"/>
      <c r="Z792" s="360"/>
      <c r="AA792" s="360"/>
      <c r="AB792" s="360"/>
      <c r="AC792" s="360"/>
      <c r="AD792" s="360"/>
      <c r="AE792" s="360"/>
      <c r="AF792" s="360"/>
      <c r="AG792" s="360"/>
      <c r="AH792" s="360"/>
    </row>
    <row r="793" ht="18.75" customHeight="1">
      <c r="A793" s="399"/>
      <c r="B793" s="400"/>
      <c r="C793" s="400"/>
      <c r="D793" s="360"/>
      <c r="E793" s="401"/>
      <c r="F793" s="402"/>
      <c r="G793" s="403"/>
      <c r="H793" s="403"/>
      <c r="I793" s="403"/>
      <c r="J793" s="403"/>
      <c r="K793" s="403"/>
      <c r="L793" s="403"/>
      <c r="M793" s="404"/>
      <c r="N793" s="403"/>
      <c r="O793" s="403"/>
      <c r="P793" s="403"/>
      <c r="Q793" s="403"/>
      <c r="R793" s="403"/>
      <c r="S793" s="403"/>
      <c r="T793" s="360"/>
      <c r="U793" s="360"/>
      <c r="V793" s="360"/>
      <c r="W793" s="360"/>
      <c r="X793" s="360"/>
      <c r="Y793" s="360"/>
      <c r="Z793" s="360"/>
      <c r="AA793" s="360"/>
      <c r="AB793" s="360"/>
      <c r="AC793" s="360"/>
      <c r="AD793" s="360"/>
      <c r="AE793" s="360"/>
      <c r="AF793" s="360"/>
      <c r="AG793" s="360"/>
      <c r="AH793" s="360"/>
    </row>
    <row r="794" ht="18.75" customHeight="1">
      <c r="A794" s="399"/>
      <c r="B794" s="400"/>
      <c r="C794" s="400"/>
      <c r="D794" s="360"/>
      <c r="E794" s="401"/>
      <c r="F794" s="402"/>
      <c r="G794" s="403"/>
      <c r="H794" s="403"/>
      <c r="I794" s="403"/>
      <c r="J794" s="403"/>
      <c r="K794" s="403"/>
      <c r="L794" s="403"/>
      <c r="M794" s="404"/>
      <c r="N794" s="403"/>
      <c r="O794" s="403"/>
      <c r="P794" s="403"/>
      <c r="Q794" s="403"/>
      <c r="R794" s="403"/>
      <c r="S794" s="403"/>
      <c r="T794" s="360"/>
      <c r="U794" s="360"/>
      <c r="V794" s="360"/>
      <c r="W794" s="360"/>
      <c r="X794" s="360"/>
      <c r="Y794" s="360"/>
      <c r="Z794" s="360"/>
      <c r="AA794" s="360"/>
      <c r="AB794" s="360"/>
      <c r="AC794" s="360"/>
      <c r="AD794" s="360"/>
      <c r="AE794" s="360"/>
      <c r="AF794" s="360"/>
      <c r="AG794" s="360"/>
      <c r="AH794" s="360"/>
    </row>
    <row r="795" ht="18.75" customHeight="1">
      <c r="A795" s="399"/>
      <c r="B795" s="400"/>
      <c r="C795" s="400"/>
      <c r="D795" s="360"/>
      <c r="E795" s="401"/>
      <c r="F795" s="402"/>
      <c r="G795" s="403"/>
      <c r="H795" s="403"/>
      <c r="I795" s="403"/>
      <c r="J795" s="403"/>
      <c r="K795" s="403"/>
      <c r="L795" s="403"/>
      <c r="M795" s="404"/>
      <c r="N795" s="403"/>
      <c r="O795" s="403"/>
      <c r="P795" s="403"/>
      <c r="Q795" s="403"/>
      <c r="R795" s="403"/>
      <c r="S795" s="403"/>
      <c r="T795" s="360"/>
      <c r="U795" s="360"/>
      <c r="V795" s="360"/>
      <c r="W795" s="360"/>
      <c r="X795" s="360"/>
      <c r="Y795" s="360"/>
      <c r="Z795" s="360"/>
      <c r="AA795" s="360"/>
      <c r="AB795" s="360"/>
      <c r="AC795" s="360"/>
      <c r="AD795" s="360"/>
      <c r="AE795" s="360"/>
      <c r="AF795" s="360"/>
      <c r="AG795" s="360"/>
      <c r="AH795" s="360"/>
    </row>
    <row r="796" ht="18.75" customHeight="1">
      <c r="A796" s="399"/>
      <c r="B796" s="400"/>
      <c r="C796" s="400"/>
      <c r="D796" s="360"/>
      <c r="E796" s="401"/>
      <c r="F796" s="402"/>
      <c r="G796" s="403"/>
      <c r="H796" s="403"/>
      <c r="I796" s="403"/>
      <c r="J796" s="403"/>
      <c r="K796" s="403"/>
      <c r="L796" s="403"/>
      <c r="M796" s="404"/>
      <c r="N796" s="403"/>
      <c r="O796" s="403"/>
      <c r="P796" s="403"/>
      <c r="Q796" s="403"/>
      <c r="R796" s="403"/>
      <c r="S796" s="403"/>
      <c r="T796" s="360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  <c r="AG796" s="360"/>
      <c r="AH796" s="360"/>
    </row>
    <row r="797" ht="18.75" customHeight="1">
      <c r="A797" s="399"/>
      <c r="B797" s="400"/>
      <c r="C797" s="400"/>
      <c r="D797" s="360"/>
      <c r="E797" s="401"/>
      <c r="F797" s="402"/>
      <c r="G797" s="403"/>
      <c r="H797" s="403"/>
      <c r="I797" s="403"/>
      <c r="J797" s="403"/>
      <c r="K797" s="403"/>
      <c r="L797" s="403"/>
      <c r="M797" s="404"/>
      <c r="N797" s="403"/>
      <c r="O797" s="403"/>
      <c r="P797" s="403"/>
      <c r="Q797" s="403"/>
      <c r="R797" s="403"/>
      <c r="S797" s="403"/>
      <c r="T797" s="360"/>
      <c r="U797" s="360"/>
      <c r="V797" s="360"/>
      <c r="W797" s="360"/>
      <c r="X797" s="360"/>
      <c r="Y797" s="360"/>
      <c r="Z797" s="360"/>
      <c r="AA797" s="360"/>
      <c r="AB797" s="360"/>
      <c r="AC797" s="360"/>
      <c r="AD797" s="360"/>
      <c r="AE797" s="360"/>
      <c r="AF797" s="360"/>
      <c r="AG797" s="360"/>
      <c r="AH797" s="360"/>
    </row>
    <row r="798" ht="18.75" customHeight="1">
      <c r="A798" s="399"/>
      <c r="B798" s="400"/>
      <c r="C798" s="400"/>
      <c r="D798" s="360"/>
      <c r="E798" s="401"/>
      <c r="F798" s="402"/>
      <c r="G798" s="403"/>
      <c r="H798" s="403"/>
      <c r="I798" s="403"/>
      <c r="J798" s="403"/>
      <c r="K798" s="403"/>
      <c r="L798" s="403"/>
      <c r="M798" s="404"/>
      <c r="N798" s="403"/>
      <c r="O798" s="403"/>
      <c r="P798" s="403"/>
      <c r="Q798" s="403"/>
      <c r="R798" s="403"/>
      <c r="S798" s="403"/>
      <c r="T798" s="360"/>
      <c r="U798" s="360"/>
      <c r="V798" s="360"/>
      <c r="W798" s="360"/>
      <c r="X798" s="360"/>
      <c r="Y798" s="360"/>
      <c r="Z798" s="360"/>
      <c r="AA798" s="360"/>
      <c r="AB798" s="360"/>
      <c r="AC798" s="360"/>
      <c r="AD798" s="360"/>
      <c r="AE798" s="360"/>
      <c r="AF798" s="360"/>
      <c r="AG798" s="360"/>
      <c r="AH798" s="360"/>
    </row>
    <row r="799" ht="18.75" customHeight="1">
      <c r="A799" s="399"/>
      <c r="B799" s="400"/>
      <c r="C799" s="400"/>
      <c r="D799" s="360"/>
      <c r="E799" s="401"/>
      <c r="F799" s="402"/>
      <c r="G799" s="403"/>
      <c r="H799" s="403"/>
      <c r="I799" s="403"/>
      <c r="J799" s="403"/>
      <c r="K799" s="403"/>
      <c r="L799" s="403"/>
      <c r="M799" s="404"/>
      <c r="N799" s="403"/>
      <c r="O799" s="403"/>
      <c r="P799" s="403"/>
      <c r="Q799" s="403"/>
      <c r="R799" s="403"/>
      <c r="S799" s="403"/>
      <c r="T799" s="360"/>
      <c r="U799" s="360"/>
      <c r="V799" s="360"/>
      <c r="W799" s="360"/>
      <c r="X799" s="360"/>
      <c r="Y799" s="360"/>
      <c r="Z799" s="360"/>
      <c r="AA799" s="360"/>
      <c r="AB799" s="360"/>
      <c r="AC799" s="360"/>
      <c r="AD799" s="360"/>
      <c r="AE799" s="360"/>
      <c r="AF799" s="360"/>
      <c r="AG799" s="360"/>
      <c r="AH799" s="360"/>
    </row>
    <row r="800" ht="18.75" customHeight="1">
      <c r="A800" s="399"/>
      <c r="B800" s="400"/>
      <c r="C800" s="400"/>
      <c r="D800" s="360"/>
      <c r="E800" s="401"/>
      <c r="F800" s="402"/>
      <c r="G800" s="403"/>
      <c r="H800" s="403"/>
      <c r="I800" s="403"/>
      <c r="J800" s="403"/>
      <c r="K800" s="403"/>
      <c r="L800" s="403"/>
      <c r="M800" s="404"/>
      <c r="N800" s="403"/>
      <c r="O800" s="403"/>
      <c r="P800" s="403"/>
      <c r="Q800" s="403"/>
      <c r="R800" s="403"/>
      <c r="S800" s="403"/>
      <c r="T800" s="360"/>
      <c r="U800" s="360"/>
      <c r="V800" s="360"/>
      <c r="W800" s="360"/>
      <c r="X800" s="360"/>
      <c r="Y800" s="360"/>
      <c r="Z800" s="360"/>
      <c r="AA800" s="360"/>
      <c r="AB800" s="360"/>
      <c r="AC800" s="360"/>
      <c r="AD800" s="360"/>
      <c r="AE800" s="360"/>
      <c r="AF800" s="360"/>
      <c r="AG800" s="360"/>
      <c r="AH800" s="360"/>
    </row>
    <row r="801" ht="18.75" customHeight="1">
      <c r="A801" s="399"/>
      <c r="B801" s="400"/>
      <c r="C801" s="400"/>
      <c r="D801" s="360"/>
      <c r="E801" s="401"/>
      <c r="F801" s="402"/>
      <c r="G801" s="403"/>
      <c r="H801" s="403"/>
      <c r="I801" s="403"/>
      <c r="J801" s="403"/>
      <c r="K801" s="403"/>
      <c r="L801" s="403"/>
      <c r="M801" s="404"/>
      <c r="N801" s="403"/>
      <c r="O801" s="403"/>
      <c r="P801" s="403"/>
      <c r="Q801" s="403"/>
      <c r="R801" s="403"/>
      <c r="S801" s="403"/>
      <c r="T801" s="360"/>
      <c r="U801" s="360"/>
      <c r="V801" s="360"/>
      <c r="W801" s="360"/>
      <c r="X801" s="360"/>
      <c r="Y801" s="360"/>
      <c r="Z801" s="360"/>
      <c r="AA801" s="360"/>
      <c r="AB801" s="360"/>
      <c r="AC801" s="360"/>
      <c r="AD801" s="360"/>
      <c r="AE801" s="360"/>
      <c r="AF801" s="360"/>
      <c r="AG801" s="360"/>
      <c r="AH801" s="360"/>
    </row>
    <row r="802" ht="18.75" customHeight="1">
      <c r="A802" s="399"/>
      <c r="B802" s="400"/>
      <c r="C802" s="400"/>
      <c r="D802" s="360"/>
      <c r="E802" s="401"/>
      <c r="F802" s="402"/>
      <c r="G802" s="403"/>
      <c r="H802" s="403"/>
      <c r="I802" s="403"/>
      <c r="J802" s="403"/>
      <c r="K802" s="403"/>
      <c r="L802" s="403"/>
      <c r="M802" s="404"/>
      <c r="N802" s="403"/>
      <c r="O802" s="403"/>
      <c r="P802" s="403"/>
      <c r="Q802" s="403"/>
      <c r="R802" s="403"/>
      <c r="S802" s="403"/>
      <c r="T802" s="360"/>
      <c r="U802" s="360"/>
      <c r="V802" s="360"/>
      <c r="W802" s="360"/>
      <c r="X802" s="360"/>
      <c r="Y802" s="360"/>
      <c r="Z802" s="360"/>
      <c r="AA802" s="360"/>
      <c r="AB802" s="360"/>
      <c r="AC802" s="360"/>
      <c r="AD802" s="360"/>
      <c r="AE802" s="360"/>
      <c r="AF802" s="360"/>
      <c r="AG802" s="360"/>
      <c r="AH802" s="360"/>
    </row>
    <row r="803" ht="18.75" customHeight="1">
      <c r="A803" s="399"/>
      <c r="B803" s="400"/>
      <c r="C803" s="400"/>
      <c r="D803" s="360"/>
      <c r="E803" s="401"/>
      <c r="F803" s="402"/>
      <c r="G803" s="403"/>
      <c r="H803" s="403"/>
      <c r="I803" s="403"/>
      <c r="J803" s="403"/>
      <c r="K803" s="403"/>
      <c r="L803" s="403"/>
      <c r="M803" s="404"/>
      <c r="N803" s="403"/>
      <c r="O803" s="403"/>
      <c r="P803" s="403"/>
      <c r="Q803" s="403"/>
      <c r="R803" s="403"/>
      <c r="S803" s="403"/>
      <c r="T803" s="360"/>
      <c r="U803" s="360"/>
      <c r="V803" s="360"/>
      <c r="W803" s="360"/>
      <c r="X803" s="360"/>
      <c r="Y803" s="360"/>
      <c r="Z803" s="360"/>
      <c r="AA803" s="360"/>
      <c r="AB803" s="360"/>
      <c r="AC803" s="360"/>
      <c r="AD803" s="360"/>
      <c r="AE803" s="360"/>
      <c r="AF803" s="360"/>
      <c r="AG803" s="360"/>
      <c r="AH803" s="360"/>
    </row>
    <row r="804" ht="18.75" customHeight="1">
      <c r="A804" s="399"/>
      <c r="B804" s="400"/>
      <c r="C804" s="400"/>
      <c r="D804" s="360"/>
      <c r="E804" s="401"/>
      <c r="F804" s="402"/>
      <c r="G804" s="403"/>
      <c r="H804" s="403"/>
      <c r="I804" s="403"/>
      <c r="J804" s="403"/>
      <c r="K804" s="403"/>
      <c r="L804" s="403"/>
      <c r="M804" s="404"/>
      <c r="N804" s="403"/>
      <c r="O804" s="403"/>
      <c r="P804" s="403"/>
      <c r="Q804" s="403"/>
      <c r="R804" s="403"/>
      <c r="S804" s="403"/>
      <c r="T804" s="360"/>
      <c r="U804" s="360"/>
      <c r="V804" s="360"/>
      <c r="W804" s="360"/>
      <c r="X804" s="360"/>
      <c r="Y804" s="360"/>
      <c r="Z804" s="360"/>
      <c r="AA804" s="360"/>
      <c r="AB804" s="360"/>
      <c r="AC804" s="360"/>
      <c r="AD804" s="360"/>
      <c r="AE804" s="360"/>
      <c r="AF804" s="360"/>
      <c r="AG804" s="360"/>
      <c r="AH804" s="360"/>
    </row>
    <row r="805" ht="18.75" customHeight="1">
      <c r="A805" s="399"/>
      <c r="B805" s="400"/>
      <c r="C805" s="400"/>
      <c r="D805" s="360"/>
      <c r="E805" s="401"/>
      <c r="F805" s="402"/>
      <c r="G805" s="403"/>
      <c r="H805" s="403"/>
      <c r="I805" s="403"/>
      <c r="J805" s="403"/>
      <c r="K805" s="403"/>
      <c r="L805" s="403"/>
      <c r="M805" s="404"/>
      <c r="N805" s="403"/>
      <c r="O805" s="403"/>
      <c r="P805" s="403"/>
      <c r="Q805" s="403"/>
      <c r="R805" s="403"/>
      <c r="S805" s="403"/>
      <c r="T805" s="360"/>
      <c r="U805" s="360"/>
      <c r="V805" s="360"/>
      <c r="W805" s="360"/>
      <c r="X805" s="360"/>
      <c r="Y805" s="360"/>
      <c r="Z805" s="360"/>
      <c r="AA805" s="360"/>
      <c r="AB805" s="360"/>
      <c r="AC805" s="360"/>
      <c r="AD805" s="360"/>
      <c r="AE805" s="360"/>
      <c r="AF805" s="360"/>
      <c r="AG805" s="360"/>
      <c r="AH805" s="360"/>
    </row>
    <row r="806" ht="18.75" customHeight="1">
      <c r="A806" s="399"/>
      <c r="B806" s="400"/>
      <c r="C806" s="400"/>
      <c r="D806" s="360"/>
      <c r="E806" s="401"/>
      <c r="F806" s="402"/>
      <c r="G806" s="403"/>
      <c r="H806" s="403"/>
      <c r="I806" s="403"/>
      <c r="J806" s="403"/>
      <c r="K806" s="403"/>
      <c r="L806" s="403"/>
      <c r="M806" s="404"/>
      <c r="N806" s="403"/>
      <c r="O806" s="403"/>
      <c r="P806" s="403"/>
      <c r="Q806" s="403"/>
      <c r="R806" s="403"/>
      <c r="S806" s="403"/>
      <c r="T806" s="360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  <c r="AG806" s="360"/>
      <c r="AH806" s="360"/>
    </row>
    <row r="807" ht="18.75" customHeight="1">
      <c r="A807" s="399"/>
      <c r="B807" s="400"/>
      <c r="C807" s="400"/>
      <c r="D807" s="360"/>
      <c r="E807" s="401"/>
      <c r="F807" s="402"/>
      <c r="G807" s="403"/>
      <c r="H807" s="403"/>
      <c r="I807" s="403"/>
      <c r="J807" s="403"/>
      <c r="K807" s="403"/>
      <c r="L807" s="403"/>
      <c r="M807" s="404"/>
      <c r="N807" s="403"/>
      <c r="O807" s="403"/>
      <c r="P807" s="403"/>
      <c r="Q807" s="403"/>
      <c r="R807" s="403"/>
      <c r="S807" s="403"/>
      <c r="T807" s="360"/>
      <c r="U807" s="360"/>
      <c r="V807" s="360"/>
      <c r="W807" s="360"/>
      <c r="X807" s="360"/>
      <c r="Y807" s="360"/>
      <c r="Z807" s="360"/>
      <c r="AA807" s="360"/>
      <c r="AB807" s="360"/>
      <c r="AC807" s="360"/>
      <c r="AD807" s="360"/>
      <c r="AE807" s="360"/>
      <c r="AF807" s="360"/>
      <c r="AG807" s="360"/>
      <c r="AH807" s="360"/>
    </row>
    <row r="808" ht="18.75" customHeight="1">
      <c r="A808" s="399"/>
      <c r="B808" s="400"/>
      <c r="C808" s="400"/>
      <c r="D808" s="360"/>
      <c r="E808" s="401"/>
      <c r="F808" s="402"/>
      <c r="G808" s="403"/>
      <c r="H808" s="403"/>
      <c r="I808" s="403"/>
      <c r="J808" s="403"/>
      <c r="K808" s="403"/>
      <c r="L808" s="403"/>
      <c r="M808" s="404"/>
      <c r="N808" s="403"/>
      <c r="O808" s="403"/>
      <c r="P808" s="403"/>
      <c r="Q808" s="403"/>
      <c r="R808" s="403"/>
      <c r="S808" s="403"/>
      <c r="T808" s="360"/>
      <c r="U808" s="360"/>
      <c r="V808" s="360"/>
      <c r="W808" s="360"/>
      <c r="X808" s="360"/>
      <c r="Y808" s="360"/>
      <c r="Z808" s="360"/>
      <c r="AA808" s="360"/>
      <c r="AB808" s="360"/>
      <c r="AC808" s="360"/>
      <c r="AD808" s="360"/>
      <c r="AE808" s="360"/>
      <c r="AF808" s="360"/>
      <c r="AG808" s="360"/>
      <c r="AH808" s="360"/>
    </row>
    <row r="809" ht="18.75" customHeight="1">
      <c r="A809" s="399"/>
      <c r="B809" s="400"/>
      <c r="C809" s="400"/>
      <c r="D809" s="360"/>
      <c r="E809" s="401"/>
      <c r="F809" s="402"/>
      <c r="G809" s="403"/>
      <c r="H809" s="403"/>
      <c r="I809" s="403"/>
      <c r="J809" s="403"/>
      <c r="K809" s="403"/>
      <c r="L809" s="403"/>
      <c r="M809" s="404"/>
      <c r="N809" s="403"/>
      <c r="O809" s="403"/>
      <c r="P809" s="403"/>
      <c r="Q809" s="403"/>
      <c r="R809" s="403"/>
      <c r="S809" s="403"/>
      <c r="T809" s="360"/>
      <c r="U809" s="360"/>
      <c r="V809" s="360"/>
      <c r="W809" s="360"/>
      <c r="X809" s="360"/>
      <c r="Y809" s="360"/>
      <c r="Z809" s="360"/>
      <c r="AA809" s="360"/>
      <c r="AB809" s="360"/>
      <c r="AC809" s="360"/>
      <c r="AD809" s="360"/>
      <c r="AE809" s="360"/>
      <c r="AF809" s="360"/>
      <c r="AG809" s="360"/>
      <c r="AH809" s="360"/>
    </row>
    <row r="810" ht="18.75" customHeight="1">
      <c r="A810" s="399"/>
      <c r="B810" s="400"/>
      <c r="C810" s="400"/>
      <c r="D810" s="360"/>
      <c r="E810" s="401"/>
      <c r="F810" s="402"/>
      <c r="G810" s="403"/>
      <c r="H810" s="403"/>
      <c r="I810" s="403"/>
      <c r="J810" s="403"/>
      <c r="K810" s="403"/>
      <c r="L810" s="403"/>
      <c r="M810" s="404"/>
      <c r="N810" s="403"/>
      <c r="O810" s="403"/>
      <c r="P810" s="403"/>
      <c r="Q810" s="403"/>
      <c r="R810" s="403"/>
      <c r="S810" s="403"/>
      <c r="T810" s="360"/>
      <c r="U810" s="360"/>
      <c r="V810" s="360"/>
      <c r="W810" s="360"/>
      <c r="X810" s="360"/>
      <c r="Y810" s="360"/>
      <c r="Z810" s="360"/>
      <c r="AA810" s="360"/>
      <c r="AB810" s="360"/>
      <c r="AC810" s="360"/>
      <c r="AD810" s="360"/>
      <c r="AE810" s="360"/>
      <c r="AF810" s="360"/>
      <c r="AG810" s="360"/>
      <c r="AH810" s="360"/>
    </row>
    <row r="811" ht="18.75" customHeight="1">
      <c r="A811" s="399"/>
      <c r="B811" s="400"/>
      <c r="C811" s="400"/>
      <c r="D811" s="360"/>
      <c r="E811" s="401"/>
      <c r="F811" s="402"/>
      <c r="G811" s="403"/>
      <c r="H811" s="403"/>
      <c r="I811" s="403"/>
      <c r="J811" s="403"/>
      <c r="K811" s="403"/>
      <c r="L811" s="403"/>
      <c r="M811" s="404"/>
      <c r="N811" s="403"/>
      <c r="O811" s="403"/>
      <c r="P811" s="403"/>
      <c r="Q811" s="403"/>
      <c r="R811" s="403"/>
      <c r="S811" s="403"/>
      <c r="T811" s="360"/>
      <c r="U811" s="360"/>
      <c r="V811" s="360"/>
      <c r="W811" s="360"/>
      <c r="X811" s="360"/>
      <c r="Y811" s="360"/>
      <c r="Z811" s="360"/>
      <c r="AA811" s="360"/>
      <c r="AB811" s="360"/>
      <c r="AC811" s="360"/>
      <c r="AD811" s="360"/>
      <c r="AE811" s="360"/>
      <c r="AF811" s="360"/>
      <c r="AG811" s="360"/>
      <c r="AH811" s="360"/>
    </row>
    <row r="812" ht="18.75" customHeight="1">
      <c r="A812" s="399"/>
      <c r="B812" s="400"/>
      <c r="C812" s="400"/>
      <c r="D812" s="360"/>
      <c r="E812" s="401"/>
      <c r="F812" s="402"/>
      <c r="G812" s="403"/>
      <c r="H812" s="403"/>
      <c r="I812" s="403"/>
      <c r="J812" s="403"/>
      <c r="K812" s="403"/>
      <c r="L812" s="403"/>
      <c r="M812" s="404"/>
      <c r="N812" s="403"/>
      <c r="O812" s="403"/>
      <c r="P812" s="403"/>
      <c r="Q812" s="403"/>
      <c r="R812" s="403"/>
      <c r="S812" s="403"/>
      <c r="T812" s="360"/>
      <c r="U812" s="360"/>
      <c r="V812" s="360"/>
      <c r="W812" s="360"/>
      <c r="X812" s="360"/>
      <c r="Y812" s="360"/>
      <c r="Z812" s="360"/>
      <c r="AA812" s="360"/>
      <c r="AB812" s="360"/>
      <c r="AC812" s="360"/>
      <c r="AD812" s="360"/>
      <c r="AE812" s="360"/>
      <c r="AF812" s="360"/>
      <c r="AG812" s="360"/>
      <c r="AH812" s="360"/>
    </row>
    <row r="813" ht="18.75" customHeight="1">
      <c r="A813" s="399"/>
      <c r="B813" s="400"/>
      <c r="C813" s="400"/>
      <c r="D813" s="360"/>
      <c r="E813" s="401"/>
      <c r="F813" s="402"/>
      <c r="G813" s="403"/>
      <c r="H813" s="403"/>
      <c r="I813" s="403"/>
      <c r="J813" s="403"/>
      <c r="K813" s="403"/>
      <c r="L813" s="403"/>
      <c r="M813" s="404"/>
      <c r="N813" s="403"/>
      <c r="O813" s="403"/>
      <c r="P813" s="403"/>
      <c r="Q813" s="403"/>
      <c r="R813" s="403"/>
      <c r="S813" s="403"/>
      <c r="T813" s="360"/>
      <c r="U813" s="360"/>
      <c r="V813" s="360"/>
      <c r="W813" s="360"/>
      <c r="X813" s="360"/>
      <c r="Y813" s="360"/>
      <c r="Z813" s="360"/>
      <c r="AA813" s="360"/>
      <c r="AB813" s="360"/>
      <c r="AC813" s="360"/>
      <c r="AD813" s="360"/>
      <c r="AE813" s="360"/>
      <c r="AF813" s="360"/>
      <c r="AG813" s="360"/>
      <c r="AH813" s="360"/>
    </row>
    <row r="814" ht="18.75" customHeight="1">
      <c r="A814" s="399"/>
      <c r="B814" s="400"/>
      <c r="C814" s="400"/>
      <c r="D814" s="360"/>
      <c r="E814" s="401"/>
      <c r="F814" s="402"/>
      <c r="G814" s="403"/>
      <c r="H814" s="403"/>
      <c r="I814" s="403"/>
      <c r="J814" s="403"/>
      <c r="K814" s="403"/>
      <c r="L814" s="403"/>
      <c r="M814" s="404"/>
      <c r="N814" s="403"/>
      <c r="O814" s="403"/>
      <c r="P814" s="403"/>
      <c r="Q814" s="403"/>
      <c r="R814" s="403"/>
      <c r="S814" s="403"/>
      <c r="T814" s="360"/>
      <c r="U814" s="360"/>
      <c r="V814" s="360"/>
      <c r="W814" s="360"/>
      <c r="X814" s="360"/>
      <c r="Y814" s="360"/>
      <c r="Z814" s="360"/>
      <c r="AA814" s="360"/>
      <c r="AB814" s="360"/>
      <c r="AC814" s="360"/>
      <c r="AD814" s="360"/>
      <c r="AE814" s="360"/>
      <c r="AF814" s="360"/>
      <c r="AG814" s="360"/>
      <c r="AH814" s="360"/>
    </row>
    <row r="815" ht="18.75" customHeight="1">
      <c r="A815" s="399"/>
      <c r="B815" s="400"/>
      <c r="C815" s="400"/>
      <c r="D815" s="360"/>
      <c r="E815" s="401"/>
      <c r="F815" s="402"/>
      <c r="G815" s="403"/>
      <c r="H815" s="403"/>
      <c r="I815" s="403"/>
      <c r="J815" s="403"/>
      <c r="K815" s="403"/>
      <c r="L815" s="403"/>
      <c r="M815" s="404"/>
      <c r="N815" s="403"/>
      <c r="O815" s="403"/>
      <c r="P815" s="403"/>
      <c r="Q815" s="403"/>
      <c r="R815" s="403"/>
      <c r="S815" s="403"/>
      <c r="T815" s="360"/>
      <c r="U815" s="360"/>
      <c r="V815" s="360"/>
      <c r="W815" s="360"/>
      <c r="X815" s="360"/>
      <c r="Y815" s="360"/>
      <c r="Z815" s="360"/>
      <c r="AA815" s="360"/>
      <c r="AB815" s="360"/>
      <c r="AC815" s="360"/>
      <c r="AD815" s="360"/>
      <c r="AE815" s="360"/>
      <c r="AF815" s="360"/>
      <c r="AG815" s="360"/>
      <c r="AH815" s="360"/>
    </row>
    <row r="816" ht="18.75" customHeight="1">
      <c r="A816" s="399"/>
      <c r="B816" s="400"/>
      <c r="C816" s="400"/>
      <c r="D816" s="360"/>
      <c r="E816" s="401"/>
      <c r="F816" s="402"/>
      <c r="G816" s="403"/>
      <c r="H816" s="403"/>
      <c r="I816" s="403"/>
      <c r="J816" s="403"/>
      <c r="K816" s="403"/>
      <c r="L816" s="403"/>
      <c r="M816" s="404"/>
      <c r="N816" s="403"/>
      <c r="O816" s="403"/>
      <c r="P816" s="403"/>
      <c r="Q816" s="403"/>
      <c r="R816" s="403"/>
      <c r="S816" s="403"/>
      <c r="T816" s="360"/>
      <c r="U816" s="360"/>
      <c r="V816" s="360"/>
      <c r="W816" s="360"/>
      <c r="X816" s="360"/>
      <c r="Y816" s="360"/>
      <c r="Z816" s="360"/>
      <c r="AA816" s="360"/>
      <c r="AB816" s="360"/>
      <c r="AC816" s="360"/>
      <c r="AD816" s="360"/>
      <c r="AE816" s="360"/>
      <c r="AF816" s="360"/>
      <c r="AG816" s="360"/>
      <c r="AH816" s="360"/>
    </row>
    <row r="817" ht="18.75" customHeight="1">
      <c r="A817" s="399"/>
      <c r="B817" s="400"/>
      <c r="C817" s="400"/>
      <c r="D817" s="360"/>
      <c r="E817" s="401"/>
      <c r="F817" s="402"/>
      <c r="G817" s="403"/>
      <c r="H817" s="403"/>
      <c r="I817" s="403"/>
      <c r="J817" s="403"/>
      <c r="K817" s="403"/>
      <c r="L817" s="403"/>
      <c r="M817" s="404"/>
      <c r="N817" s="403"/>
      <c r="O817" s="403"/>
      <c r="P817" s="403"/>
      <c r="Q817" s="403"/>
      <c r="R817" s="403"/>
      <c r="S817" s="403"/>
      <c r="T817" s="360"/>
      <c r="U817" s="360"/>
      <c r="V817" s="360"/>
      <c r="W817" s="360"/>
      <c r="X817" s="360"/>
      <c r="Y817" s="360"/>
      <c r="Z817" s="360"/>
      <c r="AA817" s="360"/>
      <c r="AB817" s="360"/>
      <c r="AC817" s="360"/>
      <c r="AD817" s="360"/>
      <c r="AE817" s="360"/>
      <c r="AF817" s="360"/>
      <c r="AG817" s="360"/>
      <c r="AH817" s="360"/>
    </row>
    <row r="818" ht="18.75" customHeight="1">
      <c r="A818" s="399"/>
      <c r="B818" s="400"/>
      <c r="C818" s="400"/>
      <c r="D818" s="360"/>
      <c r="E818" s="401"/>
      <c r="F818" s="402"/>
      <c r="G818" s="403"/>
      <c r="H818" s="403"/>
      <c r="I818" s="403"/>
      <c r="J818" s="403"/>
      <c r="K818" s="403"/>
      <c r="L818" s="403"/>
      <c r="M818" s="404"/>
      <c r="N818" s="403"/>
      <c r="O818" s="403"/>
      <c r="P818" s="403"/>
      <c r="Q818" s="403"/>
      <c r="R818" s="403"/>
      <c r="S818" s="403"/>
      <c r="T818" s="360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  <c r="AG818" s="360"/>
      <c r="AH818" s="360"/>
    </row>
    <row r="819" ht="18.75" customHeight="1">
      <c r="A819" s="399"/>
      <c r="B819" s="400"/>
      <c r="C819" s="400"/>
      <c r="D819" s="360"/>
      <c r="E819" s="401"/>
      <c r="F819" s="402"/>
      <c r="G819" s="403"/>
      <c r="H819" s="403"/>
      <c r="I819" s="403"/>
      <c r="J819" s="403"/>
      <c r="K819" s="403"/>
      <c r="L819" s="403"/>
      <c r="M819" s="404"/>
      <c r="N819" s="403"/>
      <c r="O819" s="403"/>
      <c r="P819" s="403"/>
      <c r="Q819" s="403"/>
      <c r="R819" s="403"/>
      <c r="S819" s="403"/>
      <c r="T819" s="360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  <c r="AG819" s="360"/>
      <c r="AH819" s="360"/>
    </row>
    <row r="820" ht="18.75" customHeight="1">
      <c r="A820" s="399"/>
      <c r="B820" s="400"/>
      <c r="C820" s="400"/>
      <c r="D820" s="360"/>
      <c r="E820" s="401"/>
      <c r="F820" s="402"/>
      <c r="G820" s="403"/>
      <c r="H820" s="403"/>
      <c r="I820" s="403"/>
      <c r="J820" s="403"/>
      <c r="K820" s="403"/>
      <c r="L820" s="403"/>
      <c r="M820" s="404"/>
      <c r="N820" s="403"/>
      <c r="O820" s="403"/>
      <c r="P820" s="403"/>
      <c r="Q820" s="403"/>
      <c r="R820" s="403"/>
      <c r="S820" s="403"/>
      <c r="T820" s="360"/>
      <c r="U820" s="360"/>
      <c r="V820" s="360"/>
      <c r="W820" s="360"/>
      <c r="X820" s="360"/>
      <c r="Y820" s="360"/>
      <c r="Z820" s="360"/>
      <c r="AA820" s="360"/>
      <c r="AB820" s="360"/>
      <c r="AC820" s="360"/>
      <c r="AD820" s="360"/>
      <c r="AE820" s="360"/>
      <c r="AF820" s="360"/>
      <c r="AG820" s="360"/>
      <c r="AH820" s="360"/>
    </row>
    <row r="821" ht="18.75" customHeight="1">
      <c r="A821" s="399"/>
      <c r="B821" s="400"/>
      <c r="C821" s="400"/>
      <c r="D821" s="360"/>
      <c r="E821" s="401"/>
      <c r="F821" s="402"/>
      <c r="G821" s="403"/>
      <c r="H821" s="403"/>
      <c r="I821" s="403"/>
      <c r="J821" s="403"/>
      <c r="K821" s="403"/>
      <c r="L821" s="403"/>
      <c r="M821" s="404"/>
      <c r="N821" s="403"/>
      <c r="O821" s="403"/>
      <c r="P821" s="403"/>
      <c r="Q821" s="403"/>
      <c r="R821" s="403"/>
      <c r="S821" s="403"/>
      <c r="T821" s="360"/>
      <c r="U821" s="360"/>
      <c r="V821" s="360"/>
      <c r="W821" s="360"/>
      <c r="X821" s="360"/>
      <c r="Y821" s="360"/>
      <c r="Z821" s="360"/>
      <c r="AA821" s="360"/>
      <c r="AB821" s="360"/>
      <c r="AC821" s="360"/>
      <c r="AD821" s="360"/>
      <c r="AE821" s="360"/>
      <c r="AF821" s="360"/>
      <c r="AG821" s="360"/>
      <c r="AH821" s="360"/>
    </row>
    <row r="822" ht="18.75" customHeight="1">
      <c r="A822" s="399"/>
      <c r="B822" s="400"/>
      <c r="C822" s="400"/>
      <c r="D822" s="360"/>
      <c r="E822" s="401"/>
      <c r="F822" s="402"/>
      <c r="G822" s="403"/>
      <c r="H822" s="403"/>
      <c r="I822" s="403"/>
      <c r="J822" s="403"/>
      <c r="K822" s="403"/>
      <c r="L822" s="403"/>
      <c r="M822" s="404"/>
      <c r="N822" s="403"/>
      <c r="O822" s="403"/>
      <c r="P822" s="403"/>
      <c r="Q822" s="403"/>
      <c r="R822" s="403"/>
      <c r="S822" s="403"/>
      <c r="T822" s="360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  <c r="AG822" s="360"/>
      <c r="AH822" s="360"/>
    </row>
    <row r="823" ht="18.75" customHeight="1">
      <c r="A823" s="399"/>
      <c r="B823" s="400"/>
      <c r="C823" s="400"/>
      <c r="D823" s="360"/>
      <c r="E823" s="401"/>
      <c r="F823" s="402"/>
      <c r="G823" s="403"/>
      <c r="H823" s="403"/>
      <c r="I823" s="403"/>
      <c r="J823" s="403"/>
      <c r="K823" s="403"/>
      <c r="L823" s="403"/>
      <c r="M823" s="404"/>
      <c r="N823" s="403"/>
      <c r="O823" s="403"/>
      <c r="P823" s="403"/>
      <c r="Q823" s="403"/>
      <c r="R823" s="403"/>
      <c r="S823" s="403"/>
      <c r="T823" s="360"/>
      <c r="U823" s="360"/>
      <c r="V823" s="360"/>
      <c r="W823" s="360"/>
      <c r="X823" s="360"/>
      <c r="Y823" s="360"/>
      <c r="Z823" s="360"/>
      <c r="AA823" s="360"/>
      <c r="AB823" s="360"/>
      <c r="AC823" s="360"/>
      <c r="AD823" s="360"/>
      <c r="AE823" s="360"/>
      <c r="AF823" s="360"/>
      <c r="AG823" s="360"/>
      <c r="AH823" s="360"/>
    </row>
    <row r="824" ht="18.75" customHeight="1">
      <c r="A824" s="399"/>
      <c r="B824" s="400"/>
      <c r="C824" s="400"/>
      <c r="D824" s="360"/>
      <c r="E824" s="401"/>
      <c r="F824" s="402"/>
      <c r="G824" s="403"/>
      <c r="H824" s="403"/>
      <c r="I824" s="403"/>
      <c r="J824" s="403"/>
      <c r="K824" s="403"/>
      <c r="L824" s="403"/>
      <c r="M824" s="404"/>
      <c r="N824" s="403"/>
      <c r="O824" s="403"/>
      <c r="P824" s="403"/>
      <c r="Q824" s="403"/>
      <c r="R824" s="403"/>
      <c r="S824" s="403"/>
      <c r="T824" s="360"/>
      <c r="U824" s="360"/>
      <c r="V824" s="360"/>
      <c r="W824" s="360"/>
      <c r="X824" s="360"/>
      <c r="Y824" s="360"/>
      <c r="Z824" s="360"/>
      <c r="AA824" s="360"/>
      <c r="AB824" s="360"/>
      <c r="AC824" s="360"/>
      <c r="AD824" s="360"/>
      <c r="AE824" s="360"/>
      <c r="AF824" s="360"/>
      <c r="AG824" s="360"/>
      <c r="AH824" s="360"/>
    </row>
    <row r="825" ht="18.75" customHeight="1">
      <c r="A825" s="399"/>
      <c r="B825" s="400"/>
      <c r="C825" s="400"/>
      <c r="D825" s="360"/>
      <c r="E825" s="401"/>
      <c r="F825" s="402"/>
      <c r="G825" s="403"/>
      <c r="H825" s="403"/>
      <c r="I825" s="403"/>
      <c r="J825" s="403"/>
      <c r="K825" s="403"/>
      <c r="L825" s="403"/>
      <c r="M825" s="404"/>
      <c r="N825" s="403"/>
      <c r="O825" s="403"/>
      <c r="P825" s="403"/>
      <c r="Q825" s="403"/>
      <c r="R825" s="403"/>
      <c r="S825" s="403"/>
      <c r="T825" s="360"/>
      <c r="U825" s="360"/>
      <c r="V825" s="360"/>
      <c r="W825" s="360"/>
      <c r="X825" s="360"/>
      <c r="Y825" s="360"/>
      <c r="Z825" s="360"/>
      <c r="AA825" s="360"/>
      <c r="AB825" s="360"/>
      <c r="AC825" s="360"/>
      <c r="AD825" s="360"/>
      <c r="AE825" s="360"/>
      <c r="AF825" s="360"/>
      <c r="AG825" s="360"/>
      <c r="AH825" s="360"/>
    </row>
    <row r="826" ht="18.75" customHeight="1">
      <c r="A826" s="399"/>
      <c r="B826" s="400"/>
      <c r="C826" s="400"/>
      <c r="D826" s="360"/>
      <c r="E826" s="401"/>
      <c r="F826" s="402"/>
      <c r="G826" s="403"/>
      <c r="H826" s="403"/>
      <c r="I826" s="403"/>
      <c r="J826" s="403"/>
      <c r="K826" s="403"/>
      <c r="L826" s="403"/>
      <c r="M826" s="404"/>
      <c r="N826" s="403"/>
      <c r="O826" s="403"/>
      <c r="P826" s="403"/>
      <c r="Q826" s="403"/>
      <c r="R826" s="403"/>
      <c r="S826" s="403"/>
      <c r="T826" s="360"/>
      <c r="U826" s="360"/>
      <c r="V826" s="360"/>
      <c r="W826" s="360"/>
      <c r="X826" s="360"/>
      <c r="Y826" s="360"/>
      <c r="Z826" s="360"/>
      <c r="AA826" s="360"/>
      <c r="AB826" s="360"/>
      <c r="AC826" s="360"/>
      <c r="AD826" s="360"/>
      <c r="AE826" s="360"/>
      <c r="AF826" s="360"/>
      <c r="AG826" s="360"/>
      <c r="AH826" s="360"/>
    </row>
    <row r="827" ht="18.75" customHeight="1">
      <c r="A827" s="399"/>
      <c r="B827" s="400"/>
      <c r="C827" s="400"/>
      <c r="D827" s="360"/>
      <c r="E827" s="401"/>
      <c r="F827" s="402"/>
      <c r="G827" s="403"/>
      <c r="H827" s="403"/>
      <c r="I827" s="403"/>
      <c r="J827" s="403"/>
      <c r="K827" s="403"/>
      <c r="L827" s="403"/>
      <c r="M827" s="404"/>
      <c r="N827" s="403"/>
      <c r="O827" s="403"/>
      <c r="P827" s="403"/>
      <c r="Q827" s="403"/>
      <c r="R827" s="403"/>
      <c r="S827" s="403"/>
      <c r="T827" s="360"/>
      <c r="U827" s="360"/>
      <c r="V827" s="360"/>
      <c r="W827" s="360"/>
      <c r="X827" s="360"/>
      <c r="Y827" s="360"/>
      <c r="Z827" s="360"/>
      <c r="AA827" s="360"/>
      <c r="AB827" s="360"/>
      <c r="AC827" s="360"/>
      <c r="AD827" s="360"/>
      <c r="AE827" s="360"/>
      <c r="AF827" s="360"/>
      <c r="AG827" s="360"/>
      <c r="AH827" s="360"/>
    </row>
    <row r="828" ht="18.75" customHeight="1">
      <c r="A828" s="399"/>
      <c r="B828" s="400"/>
      <c r="C828" s="400"/>
      <c r="D828" s="360"/>
      <c r="E828" s="401"/>
      <c r="F828" s="402"/>
      <c r="G828" s="403"/>
      <c r="H828" s="403"/>
      <c r="I828" s="403"/>
      <c r="J828" s="403"/>
      <c r="K828" s="403"/>
      <c r="L828" s="403"/>
      <c r="M828" s="404"/>
      <c r="N828" s="403"/>
      <c r="O828" s="403"/>
      <c r="P828" s="403"/>
      <c r="Q828" s="403"/>
      <c r="R828" s="403"/>
      <c r="S828" s="403"/>
      <c r="T828" s="360"/>
      <c r="U828" s="360"/>
      <c r="V828" s="360"/>
      <c r="W828" s="360"/>
      <c r="X828" s="360"/>
      <c r="Y828" s="360"/>
      <c r="Z828" s="360"/>
      <c r="AA828" s="360"/>
      <c r="AB828" s="360"/>
      <c r="AC828" s="360"/>
      <c r="AD828" s="360"/>
      <c r="AE828" s="360"/>
      <c r="AF828" s="360"/>
      <c r="AG828" s="360"/>
      <c r="AH828" s="360"/>
    </row>
    <row r="829" ht="18.75" customHeight="1">
      <c r="A829" s="399"/>
      <c r="B829" s="400"/>
      <c r="C829" s="400"/>
      <c r="D829" s="360"/>
      <c r="E829" s="401"/>
      <c r="F829" s="402"/>
      <c r="G829" s="403"/>
      <c r="H829" s="403"/>
      <c r="I829" s="403"/>
      <c r="J829" s="403"/>
      <c r="K829" s="403"/>
      <c r="L829" s="403"/>
      <c r="M829" s="404"/>
      <c r="N829" s="403"/>
      <c r="O829" s="403"/>
      <c r="P829" s="403"/>
      <c r="Q829" s="403"/>
      <c r="R829" s="403"/>
      <c r="S829" s="403"/>
      <c r="T829" s="360"/>
      <c r="U829" s="360"/>
      <c r="V829" s="360"/>
      <c r="W829" s="360"/>
      <c r="X829" s="360"/>
      <c r="Y829" s="360"/>
      <c r="Z829" s="360"/>
      <c r="AA829" s="360"/>
      <c r="AB829" s="360"/>
      <c r="AC829" s="360"/>
      <c r="AD829" s="360"/>
      <c r="AE829" s="360"/>
      <c r="AF829" s="360"/>
      <c r="AG829" s="360"/>
      <c r="AH829" s="360"/>
    </row>
    <row r="830" ht="18.75" customHeight="1">
      <c r="A830" s="399"/>
      <c r="B830" s="400"/>
      <c r="C830" s="400"/>
      <c r="D830" s="360"/>
      <c r="E830" s="401"/>
      <c r="F830" s="402"/>
      <c r="G830" s="403"/>
      <c r="H830" s="403"/>
      <c r="I830" s="403"/>
      <c r="J830" s="403"/>
      <c r="K830" s="403"/>
      <c r="L830" s="403"/>
      <c r="M830" s="404"/>
      <c r="N830" s="403"/>
      <c r="O830" s="403"/>
      <c r="P830" s="403"/>
      <c r="Q830" s="403"/>
      <c r="R830" s="403"/>
      <c r="S830" s="403"/>
      <c r="T830" s="360"/>
      <c r="U830" s="360"/>
      <c r="V830" s="360"/>
      <c r="W830" s="360"/>
      <c r="X830" s="360"/>
      <c r="Y830" s="360"/>
      <c r="Z830" s="360"/>
      <c r="AA830" s="360"/>
      <c r="AB830" s="360"/>
      <c r="AC830" s="360"/>
      <c r="AD830" s="360"/>
      <c r="AE830" s="360"/>
      <c r="AF830" s="360"/>
      <c r="AG830" s="360"/>
      <c r="AH830" s="360"/>
    </row>
    <row r="831" ht="18.75" customHeight="1">
      <c r="A831" s="399"/>
      <c r="B831" s="400"/>
      <c r="C831" s="400"/>
      <c r="D831" s="360"/>
      <c r="E831" s="401"/>
      <c r="F831" s="402"/>
      <c r="G831" s="403"/>
      <c r="H831" s="403"/>
      <c r="I831" s="403"/>
      <c r="J831" s="403"/>
      <c r="K831" s="403"/>
      <c r="L831" s="403"/>
      <c r="M831" s="404"/>
      <c r="N831" s="403"/>
      <c r="O831" s="403"/>
      <c r="P831" s="403"/>
      <c r="Q831" s="403"/>
      <c r="R831" s="403"/>
      <c r="S831" s="403"/>
      <c r="T831" s="360"/>
      <c r="U831" s="360"/>
      <c r="V831" s="360"/>
      <c r="W831" s="360"/>
      <c r="X831" s="360"/>
      <c r="Y831" s="360"/>
      <c r="Z831" s="360"/>
      <c r="AA831" s="360"/>
      <c r="AB831" s="360"/>
      <c r="AC831" s="360"/>
      <c r="AD831" s="360"/>
      <c r="AE831" s="360"/>
      <c r="AF831" s="360"/>
      <c r="AG831" s="360"/>
      <c r="AH831" s="360"/>
    </row>
    <row r="832" ht="18.75" customHeight="1">
      <c r="A832" s="399"/>
      <c r="B832" s="400"/>
      <c r="C832" s="400"/>
      <c r="D832" s="360"/>
      <c r="E832" s="401"/>
      <c r="F832" s="402"/>
      <c r="G832" s="403"/>
      <c r="H832" s="403"/>
      <c r="I832" s="403"/>
      <c r="J832" s="403"/>
      <c r="K832" s="403"/>
      <c r="L832" s="403"/>
      <c r="M832" s="404"/>
      <c r="N832" s="403"/>
      <c r="O832" s="403"/>
      <c r="P832" s="403"/>
      <c r="Q832" s="403"/>
      <c r="R832" s="403"/>
      <c r="S832" s="403"/>
      <c r="T832" s="360"/>
      <c r="U832" s="360"/>
      <c r="V832" s="360"/>
      <c r="W832" s="360"/>
      <c r="X832" s="360"/>
      <c r="Y832" s="360"/>
      <c r="Z832" s="360"/>
      <c r="AA832" s="360"/>
      <c r="AB832" s="360"/>
      <c r="AC832" s="360"/>
      <c r="AD832" s="360"/>
      <c r="AE832" s="360"/>
      <c r="AF832" s="360"/>
      <c r="AG832" s="360"/>
      <c r="AH832" s="360"/>
    </row>
    <row r="833" ht="18.75" customHeight="1">
      <c r="A833" s="399"/>
      <c r="B833" s="400"/>
      <c r="C833" s="400"/>
      <c r="D833" s="360"/>
      <c r="E833" s="401"/>
      <c r="F833" s="402"/>
      <c r="G833" s="403"/>
      <c r="H833" s="403"/>
      <c r="I833" s="403"/>
      <c r="J833" s="403"/>
      <c r="K833" s="403"/>
      <c r="L833" s="403"/>
      <c r="M833" s="404"/>
      <c r="N833" s="403"/>
      <c r="O833" s="403"/>
      <c r="P833" s="403"/>
      <c r="Q833" s="403"/>
      <c r="R833" s="403"/>
      <c r="S833" s="403"/>
      <c r="T833" s="360"/>
      <c r="U833" s="360"/>
      <c r="V833" s="360"/>
      <c r="W833" s="360"/>
      <c r="X833" s="360"/>
      <c r="Y833" s="360"/>
      <c r="Z833" s="360"/>
      <c r="AA833" s="360"/>
      <c r="AB833" s="360"/>
      <c r="AC833" s="360"/>
      <c r="AD833" s="360"/>
      <c r="AE833" s="360"/>
      <c r="AF833" s="360"/>
      <c r="AG833" s="360"/>
      <c r="AH833" s="360"/>
    </row>
    <row r="834" ht="18.75" customHeight="1">
      <c r="A834" s="399"/>
      <c r="B834" s="400"/>
      <c r="C834" s="400"/>
      <c r="D834" s="360"/>
      <c r="E834" s="401"/>
      <c r="F834" s="402"/>
      <c r="G834" s="403"/>
      <c r="H834" s="403"/>
      <c r="I834" s="403"/>
      <c r="J834" s="403"/>
      <c r="K834" s="403"/>
      <c r="L834" s="403"/>
      <c r="M834" s="404"/>
      <c r="N834" s="403"/>
      <c r="O834" s="403"/>
      <c r="P834" s="403"/>
      <c r="Q834" s="403"/>
      <c r="R834" s="403"/>
      <c r="S834" s="403"/>
      <c r="T834" s="360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  <c r="AG834" s="360"/>
      <c r="AH834" s="360"/>
    </row>
    <row r="835" ht="18.75" customHeight="1">
      <c r="A835" s="399"/>
      <c r="B835" s="400"/>
      <c r="C835" s="400"/>
      <c r="D835" s="360"/>
      <c r="E835" s="401"/>
      <c r="F835" s="402"/>
      <c r="G835" s="403"/>
      <c r="H835" s="403"/>
      <c r="I835" s="403"/>
      <c r="J835" s="403"/>
      <c r="K835" s="403"/>
      <c r="L835" s="403"/>
      <c r="M835" s="404"/>
      <c r="N835" s="403"/>
      <c r="O835" s="403"/>
      <c r="P835" s="403"/>
      <c r="Q835" s="403"/>
      <c r="R835" s="403"/>
      <c r="S835" s="403"/>
      <c r="T835" s="360"/>
      <c r="U835" s="360"/>
      <c r="V835" s="360"/>
      <c r="W835" s="360"/>
      <c r="X835" s="360"/>
      <c r="Y835" s="360"/>
      <c r="Z835" s="360"/>
      <c r="AA835" s="360"/>
      <c r="AB835" s="360"/>
      <c r="AC835" s="360"/>
      <c r="AD835" s="360"/>
      <c r="AE835" s="360"/>
      <c r="AF835" s="360"/>
      <c r="AG835" s="360"/>
      <c r="AH835" s="360"/>
    </row>
    <row r="836" ht="18.75" customHeight="1">
      <c r="A836" s="399"/>
      <c r="B836" s="400"/>
      <c r="C836" s="400"/>
      <c r="D836" s="360"/>
      <c r="E836" s="401"/>
      <c r="F836" s="402"/>
      <c r="G836" s="403"/>
      <c r="H836" s="403"/>
      <c r="I836" s="403"/>
      <c r="J836" s="403"/>
      <c r="K836" s="403"/>
      <c r="L836" s="403"/>
      <c r="M836" s="404"/>
      <c r="N836" s="403"/>
      <c r="O836" s="403"/>
      <c r="P836" s="403"/>
      <c r="Q836" s="403"/>
      <c r="R836" s="403"/>
      <c r="S836" s="403"/>
      <c r="T836" s="360"/>
      <c r="U836" s="360"/>
      <c r="V836" s="360"/>
      <c r="W836" s="360"/>
      <c r="X836" s="360"/>
      <c r="Y836" s="360"/>
      <c r="Z836" s="360"/>
      <c r="AA836" s="360"/>
      <c r="AB836" s="360"/>
      <c r="AC836" s="360"/>
      <c r="AD836" s="360"/>
      <c r="AE836" s="360"/>
      <c r="AF836" s="360"/>
      <c r="AG836" s="360"/>
      <c r="AH836" s="360"/>
    </row>
    <row r="837" ht="18.75" customHeight="1">
      <c r="A837" s="399"/>
      <c r="B837" s="400"/>
      <c r="C837" s="400"/>
      <c r="D837" s="360"/>
      <c r="E837" s="401"/>
      <c r="F837" s="402"/>
      <c r="G837" s="403"/>
      <c r="H837" s="403"/>
      <c r="I837" s="403"/>
      <c r="J837" s="403"/>
      <c r="K837" s="403"/>
      <c r="L837" s="403"/>
      <c r="M837" s="404"/>
      <c r="N837" s="403"/>
      <c r="O837" s="403"/>
      <c r="P837" s="403"/>
      <c r="Q837" s="403"/>
      <c r="R837" s="403"/>
      <c r="S837" s="403"/>
      <c r="T837" s="360"/>
      <c r="U837" s="360"/>
      <c r="V837" s="360"/>
      <c r="W837" s="360"/>
      <c r="X837" s="360"/>
      <c r="Y837" s="360"/>
      <c r="Z837" s="360"/>
      <c r="AA837" s="360"/>
      <c r="AB837" s="360"/>
      <c r="AC837" s="360"/>
      <c r="AD837" s="360"/>
      <c r="AE837" s="360"/>
      <c r="AF837" s="360"/>
      <c r="AG837" s="360"/>
      <c r="AH837" s="360"/>
    </row>
    <row r="838" ht="18.75" customHeight="1">
      <c r="A838" s="399"/>
      <c r="B838" s="400"/>
      <c r="C838" s="400"/>
      <c r="D838" s="360"/>
      <c r="E838" s="401"/>
      <c r="F838" s="402"/>
      <c r="G838" s="403"/>
      <c r="H838" s="403"/>
      <c r="I838" s="403"/>
      <c r="J838" s="403"/>
      <c r="K838" s="403"/>
      <c r="L838" s="403"/>
      <c r="M838" s="404"/>
      <c r="N838" s="403"/>
      <c r="O838" s="403"/>
      <c r="P838" s="403"/>
      <c r="Q838" s="403"/>
      <c r="R838" s="403"/>
      <c r="S838" s="403"/>
      <c r="T838" s="360"/>
      <c r="U838" s="360"/>
      <c r="V838" s="360"/>
      <c r="W838" s="360"/>
      <c r="X838" s="360"/>
      <c r="Y838" s="360"/>
      <c r="Z838" s="360"/>
      <c r="AA838" s="360"/>
      <c r="AB838" s="360"/>
      <c r="AC838" s="360"/>
      <c r="AD838" s="360"/>
      <c r="AE838" s="360"/>
      <c r="AF838" s="360"/>
      <c r="AG838" s="360"/>
      <c r="AH838" s="360"/>
    </row>
    <row r="839" ht="18.75" customHeight="1">
      <c r="A839" s="399"/>
      <c r="B839" s="400"/>
      <c r="C839" s="400"/>
      <c r="D839" s="360"/>
      <c r="E839" s="401"/>
      <c r="F839" s="402"/>
      <c r="G839" s="403"/>
      <c r="H839" s="403"/>
      <c r="I839" s="403"/>
      <c r="J839" s="403"/>
      <c r="K839" s="403"/>
      <c r="L839" s="403"/>
      <c r="M839" s="404"/>
      <c r="N839" s="403"/>
      <c r="O839" s="403"/>
      <c r="P839" s="403"/>
      <c r="Q839" s="403"/>
      <c r="R839" s="403"/>
      <c r="S839" s="403"/>
      <c r="T839" s="360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  <c r="AG839" s="360"/>
      <c r="AH839" s="360"/>
    </row>
    <row r="840" ht="18.75" customHeight="1">
      <c r="A840" s="399"/>
      <c r="B840" s="400"/>
      <c r="C840" s="400"/>
      <c r="D840" s="360"/>
      <c r="E840" s="401"/>
      <c r="F840" s="402"/>
      <c r="G840" s="403"/>
      <c r="H840" s="403"/>
      <c r="I840" s="403"/>
      <c r="J840" s="403"/>
      <c r="K840" s="403"/>
      <c r="L840" s="403"/>
      <c r="M840" s="404"/>
      <c r="N840" s="403"/>
      <c r="O840" s="403"/>
      <c r="P840" s="403"/>
      <c r="Q840" s="403"/>
      <c r="R840" s="403"/>
      <c r="S840" s="403"/>
      <c r="T840" s="360"/>
      <c r="U840" s="360"/>
      <c r="V840" s="360"/>
      <c r="W840" s="360"/>
      <c r="X840" s="360"/>
      <c r="Y840" s="360"/>
      <c r="Z840" s="360"/>
      <c r="AA840" s="360"/>
      <c r="AB840" s="360"/>
      <c r="AC840" s="360"/>
      <c r="AD840" s="360"/>
      <c r="AE840" s="360"/>
      <c r="AF840" s="360"/>
      <c r="AG840" s="360"/>
      <c r="AH840" s="360"/>
    </row>
    <row r="841" ht="18.75" customHeight="1">
      <c r="A841" s="399"/>
      <c r="B841" s="400"/>
      <c r="C841" s="400"/>
      <c r="D841" s="360"/>
      <c r="E841" s="401"/>
      <c r="F841" s="402"/>
      <c r="G841" s="403"/>
      <c r="H841" s="403"/>
      <c r="I841" s="403"/>
      <c r="J841" s="403"/>
      <c r="K841" s="403"/>
      <c r="L841" s="403"/>
      <c r="M841" s="404"/>
      <c r="N841" s="403"/>
      <c r="O841" s="403"/>
      <c r="P841" s="403"/>
      <c r="Q841" s="403"/>
      <c r="R841" s="403"/>
      <c r="S841" s="403"/>
      <c r="T841" s="360"/>
      <c r="U841" s="360"/>
      <c r="V841" s="360"/>
      <c r="W841" s="360"/>
      <c r="X841" s="360"/>
      <c r="Y841" s="360"/>
      <c r="Z841" s="360"/>
      <c r="AA841" s="360"/>
      <c r="AB841" s="360"/>
      <c r="AC841" s="360"/>
      <c r="AD841" s="360"/>
      <c r="AE841" s="360"/>
      <c r="AF841" s="360"/>
      <c r="AG841" s="360"/>
      <c r="AH841" s="360"/>
    </row>
    <row r="842" ht="18.75" customHeight="1">
      <c r="A842" s="399"/>
      <c r="B842" s="400"/>
      <c r="C842" s="400"/>
      <c r="D842" s="360"/>
      <c r="E842" s="401"/>
      <c r="F842" s="402"/>
      <c r="G842" s="403"/>
      <c r="H842" s="403"/>
      <c r="I842" s="403"/>
      <c r="J842" s="403"/>
      <c r="K842" s="403"/>
      <c r="L842" s="403"/>
      <c r="M842" s="404"/>
      <c r="N842" s="403"/>
      <c r="O842" s="403"/>
      <c r="P842" s="403"/>
      <c r="Q842" s="403"/>
      <c r="R842" s="403"/>
      <c r="S842" s="403"/>
      <c r="T842" s="360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  <c r="AG842" s="360"/>
      <c r="AH842" s="360"/>
    </row>
    <row r="843" ht="18.75" customHeight="1">
      <c r="A843" s="399"/>
      <c r="B843" s="400"/>
      <c r="C843" s="400"/>
      <c r="D843" s="360"/>
      <c r="E843" s="401"/>
      <c r="F843" s="402"/>
      <c r="G843" s="403"/>
      <c r="H843" s="403"/>
      <c r="I843" s="403"/>
      <c r="J843" s="403"/>
      <c r="K843" s="403"/>
      <c r="L843" s="403"/>
      <c r="M843" s="404"/>
      <c r="N843" s="403"/>
      <c r="O843" s="403"/>
      <c r="P843" s="403"/>
      <c r="Q843" s="403"/>
      <c r="R843" s="403"/>
      <c r="S843" s="403"/>
      <c r="T843" s="360"/>
      <c r="U843" s="360"/>
      <c r="V843" s="360"/>
      <c r="W843" s="360"/>
      <c r="X843" s="360"/>
      <c r="Y843" s="360"/>
      <c r="Z843" s="360"/>
      <c r="AA843" s="360"/>
      <c r="AB843" s="360"/>
      <c r="AC843" s="360"/>
      <c r="AD843" s="360"/>
      <c r="AE843" s="360"/>
      <c r="AF843" s="360"/>
      <c r="AG843" s="360"/>
      <c r="AH843" s="360"/>
    </row>
    <row r="844" ht="18.75" customHeight="1">
      <c r="A844" s="399"/>
      <c r="B844" s="400"/>
      <c r="C844" s="400"/>
      <c r="D844" s="360"/>
      <c r="E844" s="401"/>
      <c r="F844" s="402"/>
      <c r="G844" s="403"/>
      <c r="H844" s="403"/>
      <c r="I844" s="403"/>
      <c r="J844" s="403"/>
      <c r="K844" s="403"/>
      <c r="L844" s="403"/>
      <c r="M844" s="404"/>
      <c r="N844" s="403"/>
      <c r="O844" s="403"/>
      <c r="P844" s="403"/>
      <c r="Q844" s="403"/>
      <c r="R844" s="403"/>
      <c r="S844" s="403"/>
      <c r="T844" s="360"/>
      <c r="U844" s="360"/>
      <c r="V844" s="360"/>
      <c r="W844" s="360"/>
      <c r="X844" s="360"/>
      <c r="Y844" s="360"/>
      <c r="Z844" s="360"/>
      <c r="AA844" s="360"/>
      <c r="AB844" s="360"/>
      <c r="AC844" s="360"/>
      <c r="AD844" s="360"/>
      <c r="AE844" s="360"/>
      <c r="AF844" s="360"/>
      <c r="AG844" s="360"/>
      <c r="AH844" s="360"/>
    </row>
    <row r="845" ht="18.75" customHeight="1">
      <c r="A845" s="399"/>
      <c r="B845" s="400"/>
      <c r="C845" s="400"/>
      <c r="D845" s="360"/>
      <c r="E845" s="401"/>
      <c r="F845" s="402"/>
      <c r="G845" s="403"/>
      <c r="H845" s="403"/>
      <c r="I845" s="403"/>
      <c r="J845" s="403"/>
      <c r="K845" s="403"/>
      <c r="L845" s="403"/>
      <c r="M845" s="404"/>
      <c r="N845" s="403"/>
      <c r="O845" s="403"/>
      <c r="P845" s="403"/>
      <c r="Q845" s="403"/>
      <c r="R845" s="403"/>
      <c r="S845" s="403"/>
      <c r="T845" s="360"/>
      <c r="U845" s="360"/>
      <c r="V845" s="360"/>
      <c r="W845" s="360"/>
      <c r="X845" s="360"/>
      <c r="Y845" s="360"/>
      <c r="Z845" s="360"/>
      <c r="AA845" s="360"/>
      <c r="AB845" s="360"/>
      <c r="AC845" s="360"/>
      <c r="AD845" s="360"/>
      <c r="AE845" s="360"/>
      <c r="AF845" s="360"/>
      <c r="AG845" s="360"/>
      <c r="AH845" s="360"/>
    </row>
    <row r="846" ht="18.75" customHeight="1">
      <c r="A846" s="399"/>
      <c r="B846" s="400"/>
      <c r="C846" s="400"/>
      <c r="D846" s="360"/>
      <c r="E846" s="401"/>
      <c r="F846" s="402"/>
      <c r="G846" s="403"/>
      <c r="H846" s="403"/>
      <c r="I846" s="403"/>
      <c r="J846" s="403"/>
      <c r="K846" s="403"/>
      <c r="L846" s="403"/>
      <c r="M846" s="404"/>
      <c r="N846" s="403"/>
      <c r="O846" s="403"/>
      <c r="P846" s="403"/>
      <c r="Q846" s="403"/>
      <c r="R846" s="403"/>
      <c r="S846" s="403"/>
      <c r="T846" s="360"/>
      <c r="U846" s="360"/>
      <c r="V846" s="360"/>
      <c r="W846" s="360"/>
      <c r="X846" s="360"/>
      <c r="Y846" s="360"/>
      <c r="Z846" s="360"/>
      <c r="AA846" s="360"/>
      <c r="AB846" s="360"/>
      <c r="AC846" s="360"/>
      <c r="AD846" s="360"/>
      <c r="AE846" s="360"/>
      <c r="AF846" s="360"/>
      <c r="AG846" s="360"/>
      <c r="AH846" s="360"/>
    </row>
    <row r="847" ht="18.75" customHeight="1">
      <c r="A847" s="399"/>
      <c r="B847" s="400"/>
      <c r="C847" s="400"/>
      <c r="D847" s="360"/>
      <c r="E847" s="401"/>
      <c r="F847" s="402"/>
      <c r="G847" s="403"/>
      <c r="H847" s="403"/>
      <c r="I847" s="403"/>
      <c r="J847" s="403"/>
      <c r="K847" s="403"/>
      <c r="L847" s="403"/>
      <c r="M847" s="404"/>
      <c r="N847" s="403"/>
      <c r="O847" s="403"/>
      <c r="P847" s="403"/>
      <c r="Q847" s="403"/>
      <c r="R847" s="403"/>
      <c r="S847" s="403"/>
      <c r="T847" s="360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  <c r="AG847" s="360"/>
      <c r="AH847" s="360"/>
    </row>
    <row r="848" ht="18.75" customHeight="1">
      <c r="A848" s="399"/>
      <c r="B848" s="400"/>
      <c r="C848" s="400"/>
      <c r="D848" s="360"/>
      <c r="E848" s="401"/>
      <c r="F848" s="402"/>
      <c r="G848" s="403"/>
      <c r="H848" s="403"/>
      <c r="I848" s="403"/>
      <c r="J848" s="403"/>
      <c r="K848" s="403"/>
      <c r="L848" s="403"/>
      <c r="M848" s="404"/>
      <c r="N848" s="403"/>
      <c r="O848" s="403"/>
      <c r="P848" s="403"/>
      <c r="Q848" s="403"/>
      <c r="R848" s="403"/>
      <c r="S848" s="403"/>
      <c r="T848" s="360"/>
      <c r="U848" s="360"/>
      <c r="V848" s="360"/>
      <c r="W848" s="360"/>
      <c r="X848" s="360"/>
      <c r="Y848" s="360"/>
      <c r="Z848" s="360"/>
      <c r="AA848" s="360"/>
      <c r="AB848" s="360"/>
      <c r="AC848" s="360"/>
      <c r="AD848" s="360"/>
      <c r="AE848" s="360"/>
      <c r="AF848" s="360"/>
      <c r="AG848" s="360"/>
      <c r="AH848" s="360"/>
    </row>
    <row r="849" ht="18.75" customHeight="1">
      <c r="A849" s="399"/>
      <c r="B849" s="400"/>
      <c r="C849" s="400"/>
      <c r="D849" s="360"/>
      <c r="E849" s="401"/>
      <c r="F849" s="402"/>
      <c r="G849" s="403"/>
      <c r="H849" s="403"/>
      <c r="I849" s="403"/>
      <c r="J849" s="403"/>
      <c r="K849" s="403"/>
      <c r="L849" s="403"/>
      <c r="M849" s="404"/>
      <c r="N849" s="403"/>
      <c r="O849" s="403"/>
      <c r="P849" s="403"/>
      <c r="Q849" s="403"/>
      <c r="R849" s="403"/>
      <c r="S849" s="403"/>
      <c r="T849" s="360"/>
      <c r="U849" s="360"/>
      <c r="V849" s="360"/>
      <c r="W849" s="360"/>
      <c r="X849" s="360"/>
      <c r="Y849" s="360"/>
      <c r="Z849" s="360"/>
      <c r="AA849" s="360"/>
      <c r="AB849" s="360"/>
      <c r="AC849" s="360"/>
      <c r="AD849" s="360"/>
      <c r="AE849" s="360"/>
      <c r="AF849" s="360"/>
      <c r="AG849" s="360"/>
      <c r="AH849" s="360"/>
    </row>
    <row r="850" ht="18.75" customHeight="1">
      <c r="A850" s="399"/>
      <c r="B850" s="400"/>
      <c r="C850" s="400"/>
      <c r="D850" s="360"/>
      <c r="E850" s="401"/>
      <c r="F850" s="402"/>
      <c r="G850" s="403"/>
      <c r="H850" s="403"/>
      <c r="I850" s="403"/>
      <c r="J850" s="403"/>
      <c r="K850" s="403"/>
      <c r="L850" s="403"/>
      <c r="M850" s="404"/>
      <c r="N850" s="403"/>
      <c r="O850" s="403"/>
      <c r="P850" s="403"/>
      <c r="Q850" s="403"/>
      <c r="R850" s="403"/>
      <c r="S850" s="403"/>
      <c r="T850" s="360"/>
      <c r="U850" s="360"/>
      <c r="V850" s="360"/>
      <c r="W850" s="360"/>
      <c r="X850" s="360"/>
      <c r="Y850" s="360"/>
      <c r="Z850" s="360"/>
      <c r="AA850" s="360"/>
      <c r="AB850" s="360"/>
      <c r="AC850" s="360"/>
      <c r="AD850" s="360"/>
      <c r="AE850" s="360"/>
      <c r="AF850" s="360"/>
      <c r="AG850" s="360"/>
      <c r="AH850" s="360"/>
    </row>
    <row r="851" ht="18.75" customHeight="1">
      <c r="A851" s="399"/>
      <c r="B851" s="400"/>
      <c r="C851" s="400"/>
      <c r="D851" s="360"/>
      <c r="E851" s="401"/>
      <c r="F851" s="402"/>
      <c r="G851" s="403"/>
      <c r="H851" s="403"/>
      <c r="I851" s="403"/>
      <c r="J851" s="403"/>
      <c r="K851" s="403"/>
      <c r="L851" s="403"/>
      <c r="M851" s="404"/>
      <c r="N851" s="403"/>
      <c r="O851" s="403"/>
      <c r="P851" s="403"/>
      <c r="Q851" s="403"/>
      <c r="R851" s="403"/>
      <c r="S851" s="403"/>
      <c r="T851" s="360"/>
      <c r="U851" s="360"/>
      <c r="V851" s="360"/>
      <c r="W851" s="360"/>
      <c r="X851" s="360"/>
      <c r="Y851" s="360"/>
      <c r="Z851" s="360"/>
      <c r="AA851" s="360"/>
      <c r="AB851" s="360"/>
      <c r="AC851" s="360"/>
      <c r="AD851" s="360"/>
      <c r="AE851" s="360"/>
      <c r="AF851" s="360"/>
      <c r="AG851" s="360"/>
      <c r="AH851" s="360"/>
    </row>
    <row r="852" ht="18.75" customHeight="1">
      <c r="A852" s="399"/>
      <c r="B852" s="400"/>
      <c r="C852" s="400"/>
      <c r="D852" s="360"/>
      <c r="E852" s="401"/>
      <c r="F852" s="402"/>
      <c r="G852" s="403"/>
      <c r="H852" s="403"/>
      <c r="I852" s="403"/>
      <c r="J852" s="403"/>
      <c r="K852" s="403"/>
      <c r="L852" s="403"/>
      <c r="M852" s="404"/>
      <c r="N852" s="403"/>
      <c r="O852" s="403"/>
      <c r="P852" s="403"/>
      <c r="Q852" s="403"/>
      <c r="R852" s="403"/>
      <c r="S852" s="403"/>
      <c r="T852" s="360"/>
      <c r="U852" s="360"/>
      <c r="V852" s="360"/>
      <c r="W852" s="360"/>
      <c r="X852" s="360"/>
      <c r="Y852" s="360"/>
      <c r="Z852" s="360"/>
      <c r="AA852" s="360"/>
      <c r="AB852" s="360"/>
      <c r="AC852" s="360"/>
      <c r="AD852" s="360"/>
      <c r="AE852" s="360"/>
      <c r="AF852" s="360"/>
      <c r="AG852" s="360"/>
      <c r="AH852" s="360"/>
    </row>
    <row r="853" ht="18.75" customHeight="1">
      <c r="A853" s="399"/>
      <c r="B853" s="400"/>
      <c r="C853" s="400"/>
      <c r="D853" s="360"/>
      <c r="E853" s="401"/>
      <c r="F853" s="402"/>
      <c r="G853" s="403"/>
      <c r="H853" s="403"/>
      <c r="I853" s="403"/>
      <c r="J853" s="403"/>
      <c r="K853" s="403"/>
      <c r="L853" s="403"/>
      <c r="M853" s="404"/>
      <c r="N853" s="403"/>
      <c r="O853" s="403"/>
      <c r="P853" s="403"/>
      <c r="Q853" s="403"/>
      <c r="R853" s="403"/>
      <c r="S853" s="403"/>
      <c r="T853" s="360"/>
      <c r="U853" s="360"/>
      <c r="V853" s="360"/>
      <c r="W853" s="360"/>
      <c r="X853" s="360"/>
      <c r="Y853" s="360"/>
      <c r="Z853" s="360"/>
      <c r="AA853" s="360"/>
      <c r="AB853" s="360"/>
      <c r="AC853" s="360"/>
      <c r="AD853" s="360"/>
      <c r="AE853" s="360"/>
      <c r="AF853" s="360"/>
      <c r="AG853" s="360"/>
      <c r="AH853" s="360"/>
    </row>
    <row r="854" ht="18.75" customHeight="1">
      <c r="A854" s="399"/>
      <c r="B854" s="400"/>
      <c r="C854" s="400"/>
      <c r="D854" s="360"/>
      <c r="E854" s="401"/>
      <c r="F854" s="402"/>
      <c r="G854" s="403"/>
      <c r="H854" s="403"/>
      <c r="I854" s="403"/>
      <c r="J854" s="403"/>
      <c r="K854" s="403"/>
      <c r="L854" s="403"/>
      <c r="M854" s="404"/>
      <c r="N854" s="403"/>
      <c r="O854" s="403"/>
      <c r="P854" s="403"/>
      <c r="Q854" s="403"/>
      <c r="R854" s="403"/>
      <c r="S854" s="403"/>
      <c r="T854" s="360"/>
      <c r="U854" s="360"/>
      <c r="V854" s="360"/>
      <c r="W854" s="360"/>
      <c r="X854" s="360"/>
      <c r="Y854" s="360"/>
      <c r="Z854" s="360"/>
      <c r="AA854" s="360"/>
      <c r="AB854" s="360"/>
      <c r="AC854" s="360"/>
      <c r="AD854" s="360"/>
      <c r="AE854" s="360"/>
      <c r="AF854" s="360"/>
      <c r="AG854" s="360"/>
      <c r="AH854" s="360"/>
    </row>
    <row r="855" ht="18.75" customHeight="1">
      <c r="A855" s="399"/>
      <c r="B855" s="400"/>
      <c r="C855" s="400"/>
      <c r="D855" s="360"/>
      <c r="E855" s="401"/>
      <c r="F855" s="402"/>
      <c r="G855" s="403"/>
      <c r="H855" s="403"/>
      <c r="I855" s="403"/>
      <c r="J855" s="403"/>
      <c r="K855" s="403"/>
      <c r="L855" s="403"/>
      <c r="M855" s="404"/>
      <c r="N855" s="403"/>
      <c r="O855" s="403"/>
      <c r="P855" s="403"/>
      <c r="Q855" s="403"/>
      <c r="R855" s="403"/>
      <c r="S855" s="403"/>
      <c r="T855" s="360"/>
      <c r="U855" s="360"/>
      <c r="V855" s="360"/>
      <c r="W855" s="360"/>
      <c r="X855" s="360"/>
      <c r="Y855" s="360"/>
      <c r="Z855" s="360"/>
      <c r="AA855" s="360"/>
      <c r="AB855" s="360"/>
      <c r="AC855" s="360"/>
      <c r="AD855" s="360"/>
      <c r="AE855" s="360"/>
      <c r="AF855" s="360"/>
      <c r="AG855" s="360"/>
      <c r="AH855" s="360"/>
    </row>
    <row r="856" ht="18.75" customHeight="1">
      <c r="A856" s="399"/>
      <c r="B856" s="400"/>
      <c r="C856" s="400"/>
      <c r="D856" s="360"/>
      <c r="E856" s="401"/>
      <c r="F856" s="402"/>
      <c r="G856" s="403"/>
      <c r="H856" s="403"/>
      <c r="I856" s="403"/>
      <c r="J856" s="403"/>
      <c r="K856" s="403"/>
      <c r="L856" s="403"/>
      <c r="M856" s="404"/>
      <c r="N856" s="403"/>
      <c r="O856" s="403"/>
      <c r="P856" s="403"/>
      <c r="Q856" s="403"/>
      <c r="R856" s="403"/>
      <c r="S856" s="403"/>
      <c r="T856" s="360"/>
      <c r="U856" s="360"/>
      <c r="V856" s="360"/>
      <c r="W856" s="360"/>
      <c r="X856" s="360"/>
      <c r="Y856" s="360"/>
      <c r="Z856" s="360"/>
      <c r="AA856" s="360"/>
      <c r="AB856" s="360"/>
      <c r="AC856" s="360"/>
      <c r="AD856" s="360"/>
      <c r="AE856" s="360"/>
      <c r="AF856" s="360"/>
      <c r="AG856" s="360"/>
      <c r="AH856" s="360"/>
    </row>
    <row r="857" ht="18.75" customHeight="1">
      <c r="A857" s="399"/>
      <c r="B857" s="400"/>
      <c r="C857" s="400"/>
      <c r="D857" s="360"/>
      <c r="E857" s="401"/>
      <c r="F857" s="402"/>
      <c r="G857" s="403"/>
      <c r="H857" s="403"/>
      <c r="I857" s="403"/>
      <c r="J857" s="403"/>
      <c r="K857" s="403"/>
      <c r="L857" s="403"/>
      <c r="M857" s="404"/>
      <c r="N857" s="403"/>
      <c r="O857" s="403"/>
      <c r="P857" s="403"/>
      <c r="Q857" s="403"/>
      <c r="R857" s="403"/>
      <c r="S857" s="403"/>
      <c r="T857" s="360"/>
      <c r="U857" s="360"/>
      <c r="V857" s="360"/>
      <c r="W857" s="360"/>
      <c r="X857" s="360"/>
      <c r="Y857" s="360"/>
      <c r="Z857" s="360"/>
      <c r="AA857" s="360"/>
      <c r="AB857" s="360"/>
      <c r="AC857" s="360"/>
      <c r="AD857" s="360"/>
      <c r="AE857" s="360"/>
      <c r="AF857" s="360"/>
      <c r="AG857" s="360"/>
      <c r="AH857" s="360"/>
    </row>
    <row r="858" ht="18.75" customHeight="1">
      <c r="A858" s="399"/>
      <c r="B858" s="400"/>
      <c r="C858" s="400"/>
      <c r="D858" s="360"/>
      <c r="E858" s="401"/>
      <c r="F858" s="402"/>
      <c r="G858" s="403"/>
      <c r="H858" s="403"/>
      <c r="I858" s="403"/>
      <c r="J858" s="403"/>
      <c r="K858" s="403"/>
      <c r="L858" s="403"/>
      <c r="M858" s="404"/>
      <c r="N858" s="403"/>
      <c r="O858" s="403"/>
      <c r="P858" s="403"/>
      <c r="Q858" s="403"/>
      <c r="R858" s="403"/>
      <c r="S858" s="403"/>
      <c r="T858" s="360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  <c r="AG858" s="360"/>
      <c r="AH858" s="360"/>
    </row>
    <row r="859" ht="18.75" customHeight="1">
      <c r="A859" s="399"/>
      <c r="B859" s="400"/>
      <c r="C859" s="400"/>
      <c r="D859" s="360"/>
      <c r="E859" s="401"/>
      <c r="F859" s="402"/>
      <c r="G859" s="403"/>
      <c r="H859" s="403"/>
      <c r="I859" s="403"/>
      <c r="J859" s="403"/>
      <c r="K859" s="403"/>
      <c r="L859" s="403"/>
      <c r="M859" s="404"/>
      <c r="N859" s="403"/>
      <c r="O859" s="403"/>
      <c r="P859" s="403"/>
      <c r="Q859" s="403"/>
      <c r="R859" s="403"/>
      <c r="S859" s="403"/>
      <c r="T859" s="360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  <c r="AG859" s="360"/>
      <c r="AH859" s="360"/>
    </row>
    <row r="860" ht="18.75" customHeight="1">
      <c r="A860" s="399"/>
      <c r="B860" s="400"/>
      <c r="C860" s="400"/>
      <c r="D860" s="360"/>
      <c r="E860" s="401"/>
      <c r="F860" s="402"/>
      <c r="G860" s="403"/>
      <c r="H860" s="403"/>
      <c r="I860" s="403"/>
      <c r="J860" s="403"/>
      <c r="K860" s="403"/>
      <c r="L860" s="403"/>
      <c r="M860" s="404"/>
      <c r="N860" s="403"/>
      <c r="O860" s="403"/>
      <c r="P860" s="403"/>
      <c r="Q860" s="403"/>
      <c r="R860" s="403"/>
      <c r="S860" s="403"/>
      <c r="T860" s="360"/>
      <c r="U860" s="360"/>
      <c r="V860" s="360"/>
      <c r="W860" s="360"/>
      <c r="X860" s="360"/>
      <c r="Y860" s="360"/>
      <c r="Z860" s="360"/>
      <c r="AA860" s="360"/>
      <c r="AB860" s="360"/>
      <c r="AC860" s="360"/>
      <c r="AD860" s="360"/>
      <c r="AE860" s="360"/>
      <c r="AF860" s="360"/>
      <c r="AG860" s="360"/>
      <c r="AH860" s="360"/>
    </row>
    <row r="861" ht="18.75" customHeight="1">
      <c r="A861" s="399"/>
      <c r="B861" s="400"/>
      <c r="C861" s="400"/>
      <c r="D861" s="360"/>
      <c r="E861" s="401"/>
      <c r="F861" s="402"/>
      <c r="G861" s="403"/>
      <c r="H861" s="403"/>
      <c r="I861" s="403"/>
      <c r="J861" s="403"/>
      <c r="K861" s="403"/>
      <c r="L861" s="403"/>
      <c r="M861" s="404"/>
      <c r="N861" s="403"/>
      <c r="O861" s="403"/>
      <c r="P861" s="403"/>
      <c r="Q861" s="403"/>
      <c r="R861" s="403"/>
      <c r="S861" s="403"/>
      <c r="T861" s="360"/>
      <c r="U861" s="360"/>
      <c r="V861" s="360"/>
      <c r="W861" s="360"/>
      <c r="X861" s="360"/>
      <c r="Y861" s="360"/>
      <c r="Z861" s="360"/>
      <c r="AA861" s="360"/>
      <c r="AB861" s="360"/>
      <c r="AC861" s="360"/>
      <c r="AD861" s="360"/>
      <c r="AE861" s="360"/>
      <c r="AF861" s="360"/>
      <c r="AG861" s="360"/>
      <c r="AH861" s="360"/>
    </row>
    <row r="862" ht="18.75" customHeight="1">
      <c r="A862" s="399"/>
      <c r="B862" s="400"/>
      <c r="C862" s="400"/>
      <c r="D862" s="360"/>
      <c r="E862" s="401"/>
      <c r="F862" s="402"/>
      <c r="G862" s="403"/>
      <c r="H862" s="403"/>
      <c r="I862" s="403"/>
      <c r="J862" s="403"/>
      <c r="K862" s="403"/>
      <c r="L862" s="403"/>
      <c r="M862" s="404"/>
      <c r="N862" s="403"/>
      <c r="O862" s="403"/>
      <c r="P862" s="403"/>
      <c r="Q862" s="403"/>
      <c r="R862" s="403"/>
      <c r="S862" s="403"/>
      <c r="T862" s="360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  <c r="AG862" s="360"/>
      <c r="AH862" s="360"/>
    </row>
    <row r="863" ht="18.75" customHeight="1">
      <c r="A863" s="399"/>
      <c r="B863" s="400"/>
      <c r="C863" s="400"/>
      <c r="D863" s="360"/>
      <c r="E863" s="401"/>
      <c r="F863" s="402"/>
      <c r="G863" s="403"/>
      <c r="H863" s="403"/>
      <c r="I863" s="403"/>
      <c r="J863" s="403"/>
      <c r="K863" s="403"/>
      <c r="L863" s="403"/>
      <c r="M863" s="404"/>
      <c r="N863" s="403"/>
      <c r="O863" s="403"/>
      <c r="P863" s="403"/>
      <c r="Q863" s="403"/>
      <c r="R863" s="403"/>
      <c r="S863" s="403"/>
      <c r="T863" s="360"/>
      <c r="U863" s="360"/>
      <c r="V863" s="360"/>
      <c r="W863" s="360"/>
      <c r="X863" s="360"/>
      <c r="Y863" s="360"/>
      <c r="Z863" s="360"/>
      <c r="AA863" s="360"/>
      <c r="AB863" s="360"/>
      <c r="AC863" s="360"/>
      <c r="AD863" s="360"/>
      <c r="AE863" s="360"/>
      <c r="AF863" s="360"/>
      <c r="AG863" s="360"/>
      <c r="AH863" s="360"/>
    </row>
    <row r="864" ht="18.75" customHeight="1">
      <c r="A864" s="399"/>
      <c r="B864" s="400"/>
      <c r="C864" s="400"/>
      <c r="D864" s="360"/>
      <c r="E864" s="401"/>
      <c r="F864" s="402"/>
      <c r="G864" s="403"/>
      <c r="H864" s="403"/>
      <c r="I864" s="403"/>
      <c r="J864" s="403"/>
      <c r="K864" s="403"/>
      <c r="L864" s="403"/>
      <c r="M864" s="404"/>
      <c r="N864" s="403"/>
      <c r="O864" s="403"/>
      <c r="P864" s="403"/>
      <c r="Q864" s="403"/>
      <c r="R864" s="403"/>
      <c r="S864" s="403"/>
      <c r="T864" s="360"/>
      <c r="U864" s="360"/>
      <c r="V864" s="360"/>
      <c r="W864" s="360"/>
      <c r="X864" s="360"/>
      <c r="Y864" s="360"/>
      <c r="Z864" s="360"/>
      <c r="AA864" s="360"/>
      <c r="AB864" s="360"/>
      <c r="AC864" s="360"/>
      <c r="AD864" s="360"/>
      <c r="AE864" s="360"/>
      <c r="AF864" s="360"/>
      <c r="AG864" s="360"/>
      <c r="AH864" s="360"/>
    </row>
    <row r="865" ht="18.75" customHeight="1">
      <c r="A865" s="399"/>
      <c r="B865" s="400"/>
      <c r="C865" s="400"/>
      <c r="D865" s="360"/>
      <c r="E865" s="401"/>
      <c r="F865" s="402"/>
      <c r="G865" s="403"/>
      <c r="H865" s="403"/>
      <c r="I865" s="403"/>
      <c r="J865" s="403"/>
      <c r="K865" s="403"/>
      <c r="L865" s="403"/>
      <c r="M865" s="404"/>
      <c r="N865" s="403"/>
      <c r="O865" s="403"/>
      <c r="P865" s="403"/>
      <c r="Q865" s="403"/>
      <c r="R865" s="403"/>
      <c r="S865" s="403"/>
      <c r="T865" s="360"/>
      <c r="U865" s="360"/>
      <c r="V865" s="360"/>
      <c r="W865" s="360"/>
      <c r="X865" s="360"/>
      <c r="Y865" s="360"/>
      <c r="Z865" s="360"/>
      <c r="AA865" s="360"/>
      <c r="AB865" s="360"/>
      <c r="AC865" s="360"/>
      <c r="AD865" s="360"/>
      <c r="AE865" s="360"/>
      <c r="AF865" s="360"/>
      <c r="AG865" s="360"/>
      <c r="AH865" s="360"/>
    </row>
    <row r="866" ht="18.75" customHeight="1">
      <c r="A866" s="399"/>
      <c r="B866" s="400"/>
      <c r="C866" s="400"/>
      <c r="D866" s="360"/>
      <c r="E866" s="401"/>
      <c r="F866" s="402"/>
      <c r="G866" s="403"/>
      <c r="H866" s="403"/>
      <c r="I866" s="403"/>
      <c r="J866" s="403"/>
      <c r="K866" s="403"/>
      <c r="L866" s="403"/>
      <c r="M866" s="404"/>
      <c r="N866" s="403"/>
      <c r="O866" s="403"/>
      <c r="P866" s="403"/>
      <c r="Q866" s="403"/>
      <c r="R866" s="403"/>
      <c r="S866" s="403"/>
      <c r="T866" s="360"/>
      <c r="U866" s="360"/>
      <c r="V866" s="360"/>
      <c r="W866" s="360"/>
      <c r="X866" s="360"/>
      <c r="Y866" s="360"/>
      <c r="Z866" s="360"/>
      <c r="AA866" s="360"/>
      <c r="AB866" s="360"/>
      <c r="AC866" s="360"/>
      <c r="AD866" s="360"/>
      <c r="AE866" s="360"/>
      <c r="AF866" s="360"/>
      <c r="AG866" s="360"/>
      <c r="AH866" s="360"/>
    </row>
    <row r="867" ht="18.75" customHeight="1">
      <c r="A867" s="399"/>
      <c r="B867" s="400"/>
      <c r="C867" s="400"/>
      <c r="D867" s="360"/>
      <c r="E867" s="401"/>
      <c r="F867" s="402"/>
      <c r="G867" s="403"/>
      <c r="H867" s="403"/>
      <c r="I867" s="403"/>
      <c r="J867" s="403"/>
      <c r="K867" s="403"/>
      <c r="L867" s="403"/>
      <c r="M867" s="404"/>
      <c r="N867" s="403"/>
      <c r="O867" s="403"/>
      <c r="P867" s="403"/>
      <c r="Q867" s="403"/>
      <c r="R867" s="403"/>
      <c r="S867" s="403"/>
      <c r="T867" s="360"/>
      <c r="U867" s="360"/>
      <c r="V867" s="360"/>
      <c r="W867" s="360"/>
      <c r="X867" s="360"/>
      <c r="Y867" s="360"/>
      <c r="Z867" s="360"/>
      <c r="AA867" s="360"/>
      <c r="AB867" s="360"/>
      <c r="AC867" s="360"/>
      <c r="AD867" s="360"/>
      <c r="AE867" s="360"/>
      <c r="AF867" s="360"/>
      <c r="AG867" s="360"/>
      <c r="AH867" s="360"/>
    </row>
    <row r="868" ht="18.75" customHeight="1">
      <c r="A868" s="399"/>
      <c r="B868" s="400"/>
      <c r="C868" s="400"/>
      <c r="D868" s="360"/>
      <c r="E868" s="401"/>
      <c r="F868" s="402"/>
      <c r="G868" s="403"/>
      <c r="H868" s="403"/>
      <c r="I868" s="403"/>
      <c r="J868" s="403"/>
      <c r="K868" s="403"/>
      <c r="L868" s="403"/>
      <c r="M868" s="404"/>
      <c r="N868" s="403"/>
      <c r="O868" s="403"/>
      <c r="P868" s="403"/>
      <c r="Q868" s="403"/>
      <c r="R868" s="403"/>
      <c r="S868" s="403"/>
      <c r="T868" s="360"/>
      <c r="U868" s="360"/>
      <c r="V868" s="360"/>
      <c r="W868" s="360"/>
      <c r="X868" s="360"/>
      <c r="Y868" s="360"/>
      <c r="Z868" s="360"/>
      <c r="AA868" s="360"/>
      <c r="AB868" s="360"/>
      <c r="AC868" s="360"/>
      <c r="AD868" s="360"/>
      <c r="AE868" s="360"/>
      <c r="AF868" s="360"/>
      <c r="AG868" s="360"/>
      <c r="AH868" s="360"/>
    </row>
    <row r="869" ht="18.75" customHeight="1">
      <c r="A869" s="399"/>
      <c r="B869" s="400"/>
      <c r="C869" s="400"/>
      <c r="D869" s="360"/>
      <c r="E869" s="401"/>
      <c r="F869" s="402"/>
      <c r="G869" s="403"/>
      <c r="H869" s="403"/>
      <c r="I869" s="403"/>
      <c r="J869" s="403"/>
      <c r="K869" s="403"/>
      <c r="L869" s="403"/>
      <c r="M869" s="404"/>
      <c r="N869" s="403"/>
      <c r="O869" s="403"/>
      <c r="P869" s="403"/>
      <c r="Q869" s="403"/>
      <c r="R869" s="403"/>
      <c r="S869" s="403"/>
      <c r="T869" s="360"/>
      <c r="U869" s="360"/>
      <c r="V869" s="360"/>
      <c r="W869" s="360"/>
      <c r="X869" s="360"/>
      <c r="Y869" s="360"/>
      <c r="Z869" s="360"/>
      <c r="AA869" s="360"/>
      <c r="AB869" s="360"/>
      <c r="AC869" s="360"/>
      <c r="AD869" s="360"/>
      <c r="AE869" s="360"/>
      <c r="AF869" s="360"/>
      <c r="AG869" s="360"/>
      <c r="AH869" s="360"/>
    </row>
    <row r="870" ht="18.75" customHeight="1">
      <c r="A870" s="399"/>
      <c r="B870" s="400"/>
      <c r="C870" s="400"/>
      <c r="D870" s="360"/>
      <c r="E870" s="401"/>
      <c r="F870" s="402"/>
      <c r="G870" s="403"/>
      <c r="H870" s="403"/>
      <c r="I870" s="403"/>
      <c r="J870" s="403"/>
      <c r="K870" s="403"/>
      <c r="L870" s="403"/>
      <c r="M870" s="404"/>
      <c r="N870" s="403"/>
      <c r="O870" s="403"/>
      <c r="P870" s="403"/>
      <c r="Q870" s="403"/>
      <c r="R870" s="403"/>
      <c r="S870" s="403"/>
      <c r="T870" s="360"/>
      <c r="U870" s="360"/>
      <c r="V870" s="360"/>
      <c r="W870" s="360"/>
      <c r="X870" s="360"/>
      <c r="Y870" s="360"/>
      <c r="Z870" s="360"/>
      <c r="AA870" s="360"/>
      <c r="AB870" s="360"/>
      <c r="AC870" s="360"/>
      <c r="AD870" s="360"/>
      <c r="AE870" s="360"/>
      <c r="AF870" s="360"/>
      <c r="AG870" s="360"/>
      <c r="AH870" s="360"/>
    </row>
    <row r="871" ht="18.75" customHeight="1">
      <c r="A871" s="399"/>
      <c r="B871" s="400"/>
      <c r="C871" s="400"/>
      <c r="D871" s="360"/>
      <c r="E871" s="401"/>
      <c r="F871" s="402"/>
      <c r="G871" s="403"/>
      <c r="H871" s="403"/>
      <c r="I871" s="403"/>
      <c r="J871" s="403"/>
      <c r="K871" s="403"/>
      <c r="L871" s="403"/>
      <c r="M871" s="404"/>
      <c r="N871" s="403"/>
      <c r="O871" s="403"/>
      <c r="P871" s="403"/>
      <c r="Q871" s="403"/>
      <c r="R871" s="403"/>
      <c r="S871" s="403"/>
      <c r="T871" s="360"/>
      <c r="U871" s="360"/>
      <c r="V871" s="360"/>
      <c r="W871" s="360"/>
      <c r="X871" s="360"/>
      <c r="Y871" s="360"/>
      <c r="Z871" s="360"/>
      <c r="AA871" s="360"/>
      <c r="AB871" s="360"/>
      <c r="AC871" s="360"/>
      <c r="AD871" s="360"/>
      <c r="AE871" s="360"/>
      <c r="AF871" s="360"/>
      <c r="AG871" s="360"/>
      <c r="AH871" s="360"/>
    </row>
    <row r="872" ht="18.75" customHeight="1">
      <c r="A872" s="399"/>
      <c r="B872" s="400"/>
      <c r="C872" s="400"/>
      <c r="D872" s="360"/>
      <c r="E872" s="401"/>
      <c r="F872" s="402"/>
      <c r="G872" s="403"/>
      <c r="H872" s="403"/>
      <c r="I872" s="403"/>
      <c r="J872" s="403"/>
      <c r="K872" s="403"/>
      <c r="L872" s="403"/>
      <c r="M872" s="404"/>
      <c r="N872" s="403"/>
      <c r="O872" s="403"/>
      <c r="P872" s="403"/>
      <c r="Q872" s="403"/>
      <c r="R872" s="403"/>
      <c r="S872" s="403"/>
      <c r="T872" s="360"/>
      <c r="U872" s="360"/>
      <c r="V872" s="360"/>
      <c r="W872" s="360"/>
      <c r="X872" s="360"/>
      <c r="Y872" s="360"/>
      <c r="Z872" s="360"/>
      <c r="AA872" s="360"/>
      <c r="AB872" s="360"/>
      <c r="AC872" s="360"/>
      <c r="AD872" s="360"/>
      <c r="AE872" s="360"/>
      <c r="AF872" s="360"/>
      <c r="AG872" s="360"/>
      <c r="AH872" s="360"/>
    </row>
    <row r="873" ht="18.75" customHeight="1">
      <c r="A873" s="399"/>
      <c r="B873" s="400"/>
      <c r="C873" s="400"/>
      <c r="D873" s="360"/>
      <c r="E873" s="401"/>
      <c r="F873" s="402"/>
      <c r="G873" s="403"/>
      <c r="H873" s="403"/>
      <c r="I873" s="403"/>
      <c r="J873" s="403"/>
      <c r="K873" s="403"/>
      <c r="L873" s="403"/>
      <c r="M873" s="404"/>
      <c r="N873" s="403"/>
      <c r="O873" s="403"/>
      <c r="P873" s="403"/>
      <c r="Q873" s="403"/>
      <c r="R873" s="403"/>
      <c r="S873" s="403"/>
      <c r="T873" s="360"/>
      <c r="U873" s="360"/>
      <c r="V873" s="360"/>
      <c r="W873" s="360"/>
      <c r="X873" s="360"/>
      <c r="Y873" s="360"/>
      <c r="Z873" s="360"/>
      <c r="AA873" s="360"/>
      <c r="AB873" s="360"/>
      <c r="AC873" s="360"/>
      <c r="AD873" s="360"/>
      <c r="AE873" s="360"/>
      <c r="AF873" s="360"/>
      <c r="AG873" s="360"/>
      <c r="AH873" s="360"/>
    </row>
    <row r="874" ht="18.75" customHeight="1">
      <c r="A874" s="399"/>
      <c r="B874" s="400"/>
      <c r="C874" s="400"/>
      <c r="D874" s="360"/>
      <c r="E874" s="401"/>
      <c r="F874" s="402"/>
      <c r="G874" s="403"/>
      <c r="H874" s="403"/>
      <c r="I874" s="403"/>
      <c r="J874" s="403"/>
      <c r="K874" s="403"/>
      <c r="L874" s="403"/>
      <c r="M874" s="404"/>
      <c r="N874" s="403"/>
      <c r="O874" s="403"/>
      <c r="P874" s="403"/>
      <c r="Q874" s="403"/>
      <c r="R874" s="403"/>
      <c r="S874" s="403"/>
      <c r="T874" s="360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  <c r="AG874" s="360"/>
      <c r="AH874" s="360"/>
    </row>
    <row r="875" ht="18.75" customHeight="1">
      <c r="A875" s="399"/>
      <c r="B875" s="400"/>
      <c r="C875" s="400"/>
      <c r="D875" s="360"/>
      <c r="E875" s="401"/>
      <c r="F875" s="402"/>
      <c r="G875" s="403"/>
      <c r="H875" s="403"/>
      <c r="I875" s="403"/>
      <c r="J875" s="403"/>
      <c r="K875" s="403"/>
      <c r="L875" s="403"/>
      <c r="M875" s="404"/>
      <c r="N875" s="403"/>
      <c r="O875" s="403"/>
      <c r="P875" s="403"/>
      <c r="Q875" s="403"/>
      <c r="R875" s="403"/>
      <c r="S875" s="403"/>
      <c r="T875" s="360"/>
      <c r="U875" s="360"/>
      <c r="V875" s="360"/>
      <c r="W875" s="360"/>
      <c r="X875" s="360"/>
      <c r="Y875" s="360"/>
      <c r="Z875" s="360"/>
      <c r="AA875" s="360"/>
      <c r="AB875" s="360"/>
      <c r="AC875" s="360"/>
      <c r="AD875" s="360"/>
      <c r="AE875" s="360"/>
      <c r="AF875" s="360"/>
      <c r="AG875" s="360"/>
      <c r="AH875" s="360"/>
    </row>
    <row r="876" ht="18.75" customHeight="1">
      <c r="A876" s="399"/>
      <c r="B876" s="400"/>
      <c r="C876" s="400"/>
      <c r="D876" s="360"/>
      <c r="E876" s="401"/>
      <c r="F876" s="402"/>
      <c r="G876" s="403"/>
      <c r="H876" s="403"/>
      <c r="I876" s="403"/>
      <c r="J876" s="403"/>
      <c r="K876" s="403"/>
      <c r="L876" s="403"/>
      <c r="M876" s="404"/>
      <c r="N876" s="403"/>
      <c r="O876" s="403"/>
      <c r="P876" s="403"/>
      <c r="Q876" s="403"/>
      <c r="R876" s="403"/>
      <c r="S876" s="403"/>
      <c r="T876" s="360"/>
      <c r="U876" s="360"/>
      <c r="V876" s="360"/>
      <c r="W876" s="360"/>
      <c r="X876" s="360"/>
      <c r="Y876" s="360"/>
      <c r="Z876" s="360"/>
      <c r="AA876" s="360"/>
      <c r="AB876" s="360"/>
      <c r="AC876" s="360"/>
      <c r="AD876" s="360"/>
      <c r="AE876" s="360"/>
      <c r="AF876" s="360"/>
      <c r="AG876" s="360"/>
      <c r="AH876" s="360"/>
    </row>
    <row r="877" ht="18.75" customHeight="1">
      <c r="A877" s="399"/>
      <c r="B877" s="400"/>
      <c r="C877" s="400"/>
      <c r="D877" s="360"/>
      <c r="E877" s="401"/>
      <c r="F877" s="402"/>
      <c r="G877" s="403"/>
      <c r="H877" s="403"/>
      <c r="I877" s="403"/>
      <c r="J877" s="403"/>
      <c r="K877" s="403"/>
      <c r="L877" s="403"/>
      <c r="M877" s="404"/>
      <c r="N877" s="403"/>
      <c r="O877" s="403"/>
      <c r="P877" s="403"/>
      <c r="Q877" s="403"/>
      <c r="R877" s="403"/>
      <c r="S877" s="403"/>
      <c r="T877" s="360"/>
      <c r="U877" s="360"/>
      <c r="V877" s="360"/>
      <c r="W877" s="360"/>
      <c r="X877" s="360"/>
      <c r="Y877" s="360"/>
      <c r="Z877" s="360"/>
      <c r="AA877" s="360"/>
      <c r="AB877" s="360"/>
      <c r="AC877" s="360"/>
      <c r="AD877" s="360"/>
      <c r="AE877" s="360"/>
      <c r="AF877" s="360"/>
      <c r="AG877" s="360"/>
      <c r="AH877" s="360"/>
    </row>
    <row r="878" ht="18.75" customHeight="1">
      <c r="A878" s="399"/>
      <c r="B878" s="400"/>
      <c r="C878" s="400"/>
      <c r="D878" s="360"/>
      <c r="E878" s="401"/>
      <c r="F878" s="402"/>
      <c r="G878" s="403"/>
      <c r="H878" s="403"/>
      <c r="I878" s="403"/>
      <c r="J878" s="403"/>
      <c r="K878" s="403"/>
      <c r="L878" s="403"/>
      <c r="M878" s="404"/>
      <c r="N878" s="403"/>
      <c r="O878" s="403"/>
      <c r="P878" s="403"/>
      <c r="Q878" s="403"/>
      <c r="R878" s="403"/>
      <c r="S878" s="403"/>
      <c r="T878" s="360"/>
      <c r="U878" s="360"/>
      <c r="V878" s="360"/>
      <c r="W878" s="360"/>
      <c r="X878" s="360"/>
      <c r="Y878" s="360"/>
      <c r="Z878" s="360"/>
      <c r="AA878" s="360"/>
      <c r="AB878" s="360"/>
      <c r="AC878" s="360"/>
      <c r="AD878" s="360"/>
      <c r="AE878" s="360"/>
      <c r="AF878" s="360"/>
      <c r="AG878" s="360"/>
      <c r="AH878" s="360"/>
    </row>
    <row r="879" ht="18.75" customHeight="1">
      <c r="A879" s="399"/>
      <c r="B879" s="400"/>
      <c r="C879" s="400"/>
      <c r="D879" s="360"/>
      <c r="E879" s="401"/>
      <c r="F879" s="402"/>
      <c r="G879" s="403"/>
      <c r="H879" s="403"/>
      <c r="I879" s="403"/>
      <c r="J879" s="403"/>
      <c r="K879" s="403"/>
      <c r="L879" s="403"/>
      <c r="M879" s="404"/>
      <c r="N879" s="403"/>
      <c r="O879" s="403"/>
      <c r="P879" s="403"/>
      <c r="Q879" s="403"/>
      <c r="R879" s="403"/>
      <c r="S879" s="403"/>
      <c r="T879" s="360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  <c r="AG879" s="360"/>
      <c r="AH879" s="360"/>
    </row>
    <row r="880" ht="18.75" customHeight="1">
      <c r="A880" s="399"/>
      <c r="B880" s="400"/>
      <c r="C880" s="400"/>
      <c r="D880" s="360"/>
      <c r="E880" s="401"/>
      <c r="F880" s="402"/>
      <c r="G880" s="403"/>
      <c r="H880" s="403"/>
      <c r="I880" s="403"/>
      <c r="J880" s="403"/>
      <c r="K880" s="403"/>
      <c r="L880" s="403"/>
      <c r="M880" s="404"/>
      <c r="N880" s="403"/>
      <c r="O880" s="403"/>
      <c r="P880" s="403"/>
      <c r="Q880" s="403"/>
      <c r="R880" s="403"/>
      <c r="S880" s="403"/>
      <c r="T880" s="360"/>
      <c r="U880" s="360"/>
      <c r="V880" s="360"/>
      <c r="W880" s="360"/>
      <c r="X880" s="360"/>
      <c r="Y880" s="360"/>
      <c r="Z880" s="360"/>
      <c r="AA880" s="360"/>
      <c r="AB880" s="360"/>
      <c r="AC880" s="360"/>
      <c r="AD880" s="360"/>
      <c r="AE880" s="360"/>
      <c r="AF880" s="360"/>
      <c r="AG880" s="360"/>
      <c r="AH880" s="360"/>
    </row>
    <row r="881" ht="18.75" customHeight="1">
      <c r="A881" s="399"/>
      <c r="B881" s="400"/>
      <c r="C881" s="400"/>
      <c r="D881" s="360"/>
      <c r="E881" s="401"/>
      <c r="F881" s="402"/>
      <c r="G881" s="403"/>
      <c r="H881" s="403"/>
      <c r="I881" s="403"/>
      <c r="J881" s="403"/>
      <c r="K881" s="403"/>
      <c r="L881" s="403"/>
      <c r="M881" s="404"/>
      <c r="N881" s="403"/>
      <c r="O881" s="403"/>
      <c r="P881" s="403"/>
      <c r="Q881" s="403"/>
      <c r="R881" s="403"/>
      <c r="S881" s="403"/>
      <c r="T881" s="360"/>
      <c r="U881" s="360"/>
      <c r="V881" s="360"/>
      <c r="W881" s="360"/>
      <c r="X881" s="360"/>
      <c r="Y881" s="360"/>
      <c r="Z881" s="360"/>
      <c r="AA881" s="360"/>
      <c r="AB881" s="360"/>
      <c r="AC881" s="360"/>
      <c r="AD881" s="360"/>
      <c r="AE881" s="360"/>
      <c r="AF881" s="360"/>
      <c r="AG881" s="360"/>
      <c r="AH881" s="360"/>
    </row>
    <row r="882" ht="18.75" customHeight="1">
      <c r="A882" s="399"/>
      <c r="B882" s="400"/>
      <c r="C882" s="400"/>
      <c r="D882" s="360"/>
      <c r="E882" s="401"/>
      <c r="F882" s="402"/>
      <c r="G882" s="403"/>
      <c r="H882" s="403"/>
      <c r="I882" s="403"/>
      <c r="J882" s="403"/>
      <c r="K882" s="403"/>
      <c r="L882" s="403"/>
      <c r="M882" s="404"/>
      <c r="N882" s="403"/>
      <c r="O882" s="403"/>
      <c r="P882" s="403"/>
      <c r="Q882" s="403"/>
      <c r="R882" s="403"/>
      <c r="S882" s="403"/>
      <c r="T882" s="360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  <c r="AG882" s="360"/>
      <c r="AH882" s="360"/>
    </row>
    <row r="883" ht="18.75" customHeight="1">
      <c r="A883" s="399"/>
      <c r="B883" s="400"/>
      <c r="C883" s="400"/>
      <c r="D883" s="360"/>
      <c r="E883" s="401"/>
      <c r="F883" s="402"/>
      <c r="G883" s="403"/>
      <c r="H883" s="403"/>
      <c r="I883" s="403"/>
      <c r="J883" s="403"/>
      <c r="K883" s="403"/>
      <c r="L883" s="403"/>
      <c r="M883" s="404"/>
      <c r="N883" s="403"/>
      <c r="O883" s="403"/>
      <c r="P883" s="403"/>
      <c r="Q883" s="403"/>
      <c r="R883" s="403"/>
      <c r="S883" s="403"/>
      <c r="T883" s="360"/>
      <c r="U883" s="360"/>
      <c r="V883" s="360"/>
      <c r="W883" s="360"/>
      <c r="X883" s="360"/>
      <c r="Y883" s="360"/>
      <c r="Z883" s="360"/>
      <c r="AA883" s="360"/>
      <c r="AB883" s="360"/>
      <c r="AC883" s="360"/>
      <c r="AD883" s="360"/>
      <c r="AE883" s="360"/>
      <c r="AF883" s="360"/>
      <c r="AG883" s="360"/>
      <c r="AH883" s="360"/>
    </row>
    <row r="884" ht="18.75" customHeight="1">
      <c r="A884" s="399"/>
      <c r="B884" s="400"/>
      <c r="C884" s="400"/>
      <c r="D884" s="360"/>
      <c r="E884" s="401"/>
      <c r="F884" s="402"/>
      <c r="G884" s="403"/>
      <c r="H884" s="403"/>
      <c r="I884" s="403"/>
      <c r="J884" s="403"/>
      <c r="K884" s="403"/>
      <c r="L884" s="403"/>
      <c r="M884" s="404"/>
      <c r="N884" s="403"/>
      <c r="O884" s="403"/>
      <c r="P884" s="403"/>
      <c r="Q884" s="403"/>
      <c r="R884" s="403"/>
      <c r="S884" s="403"/>
      <c r="T884" s="360"/>
      <c r="U884" s="360"/>
      <c r="V884" s="360"/>
      <c r="W884" s="360"/>
      <c r="X884" s="360"/>
      <c r="Y884" s="360"/>
      <c r="Z884" s="360"/>
      <c r="AA884" s="360"/>
      <c r="AB884" s="360"/>
      <c r="AC884" s="360"/>
      <c r="AD884" s="360"/>
      <c r="AE884" s="360"/>
      <c r="AF884" s="360"/>
      <c r="AG884" s="360"/>
      <c r="AH884" s="360"/>
    </row>
    <row r="885" ht="18.75" customHeight="1">
      <c r="A885" s="399"/>
      <c r="B885" s="400"/>
      <c r="C885" s="400"/>
      <c r="D885" s="360"/>
      <c r="E885" s="401"/>
      <c r="F885" s="402"/>
      <c r="G885" s="403"/>
      <c r="H885" s="403"/>
      <c r="I885" s="403"/>
      <c r="J885" s="403"/>
      <c r="K885" s="403"/>
      <c r="L885" s="403"/>
      <c r="M885" s="404"/>
      <c r="N885" s="403"/>
      <c r="O885" s="403"/>
      <c r="P885" s="403"/>
      <c r="Q885" s="403"/>
      <c r="R885" s="403"/>
      <c r="S885" s="403"/>
      <c r="T885" s="360"/>
      <c r="U885" s="360"/>
      <c r="V885" s="360"/>
      <c r="W885" s="360"/>
      <c r="X885" s="360"/>
      <c r="Y885" s="360"/>
      <c r="Z885" s="360"/>
      <c r="AA885" s="360"/>
      <c r="AB885" s="360"/>
      <c r="AC885" s="360"/>
      <c r="AD885" s="360"/>
      <c r="AE885" s="360"/>
      <c r="AF885" s="360"/>
      <c r="AG885" s="360"/>
      <c r="AH885" s="360"/>
    </row>
    <row r="886" ht="18.75" customHeight="1">
      <c r="A886" s="399"/>
      <c r="B886" s="400"/>
      <c r="C886" s="400"/>
      <c r="D886" s="360"/>
      <c r="E886" s="401"/>
      <c r="F886" s="402"/>
      <c r="G886" s="403"/>
      <c r="H886" s="403"/>
      <c r="I886" s="403"/>
      <c r="J886" s="403"/>
      <c r="K886" s="403"/>
      <c r="L886" s="403"/>
      <c r="M886" s="404"/>
      <c r="N886" s="403"/>
      <c r="O886" s="403"/>
      <c r="P886" s="403"/>
      <c r="Q886" s="403"/>
      <c r="R886" s="403"/>
      <c r="S886" s="403"/>
      <c r="T886" s="360"/>
      <c r="U886" s="360"/>
      <c r="V886" s="360"/>
      <c r="W886" s="360"/>
      <c r="X886" s="360"/>
      <c r="Y886" s="360"/>
      <c r="Z886" s="360"/>
      <c r="AA886" s="360"/>
      <c r="AB886" s="360"/>
      <c r="AC886" s="360"/>
      <c r="AD886" s="360"/>
      <c r="AE886" s="360"/>
      <c r="AF886" s="360"/>
      <c r="AG886" s="360"/>
      <c r="AH886" s="360"/>
    </row>
    <row r="887" ht="18.75" customHeight="1">
      <c r="A887" s="399"/>
      <c r="B887" s="400"/>
      <c r="C887" s="400"/>
      <c r="D887" s="360"/>
      <c r="E887" s="401"/>
      <c r="F887" s="402"/>
      <c r="G887" s="403"/>
      <c r="H887" s="403"/>
      <c r="I887" s="403"/>
      <c r="J887" s="403"/>
      <c r="K887" s="403"/>
      <c r="L887" s="403"/>
      <c r="M887" s="404"/>
      <c r="N887" s="403"/>
      <c r="O887" s="403"/>
      <c r="P887" s="403"/>
      <c r="Q887" s="403"/>
      <c r="R887" s="403"/>
      <c r="S887" s="403"/>
      <c r="T887" s="360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  <c r="AG887" s="360"/>
      <c r="AH887" s="360"/>
    </row>
    <row r="888" ht="18.75" customHeight="1">
      <c r="A888" s="399"/>
      <c r="B888" s="400"/>
      <c r="C888" s="400"/>
      <c r="D888" s="360"/>
      <c r="E888" s="401"/>
      <c r="F888" s="402"/>
      <c r="G888" s="403"/>
      <c r="H888" s="403"/>
      <c r="I888" s="403"/>
      <c r="J888" s="403"/>
      <c r="K888" s="403"/>
      <c r="L888" s="403"/>
      <c r="M888" s="404"/>
      <c r="N888" s="403"/>
      <c r="O888" s="403"/>
      <c r="P888" s="403"/>
      <c r="Q888" s="403"/>
      <c r="R888" s="403"/>
      <c r="S888" s="403"/>
      <c r="T888" s="360"/>
      <c r="U888" s="360"/>
      <c r="V888" s="360"/>
      <c r="W888" s="360"/>
      <c r="X888" s="360"/>
      <c r="Y888" s="360"/>
      <c r="Z888" s="360"/>
      <c r="AA888" s="360"/>
      <c r="AB888" s="360"/>
      <c r="AC888" s="360"/>
      <c r="AD888" s="360"/>
      <c r="AE888" s="360"/>
      <c r="AF888" s="360"/>
      <c r="AG888" s="360"/>
      <c r="AH888" s="360"/>
    </row>
    <row r="889" ht="18.75" customHeight="1">
      <c r="A889" s="399"/>
      <c r="B889" s="400"/>
      <c r="C889" s="400"/>
      <c r="D889" s="360"/>
      <c r="E889" s="401"/>
      <c r="F889" s="402"/>
      <c r="G889" s="403"/>
      <c r="H889" s="403"/>
      <c r="I889" s="403"/>
      <c r="J889" s="403"/>
      <c r="K889" s="403"/>
      <c r="L889" s="403"/>
      <c r="M889" s="404"/>
      <c r="N889" s="403"/>
      <c r="O889" s="403"/>
      <c r="P889" s="403"/>
      <c r="Q889" s="403"/>
      <c r="R889" s="403"/>
      <c r="S889" s="403"/>
      <c r="T889" s="360"/>
      <c r="U889" s="360"/>
      <c r="V889" s="360"/>
      <c r="W889" s="360"/>
      <c r="X889" s="360"/>
      <c r="Y889" s="360"/>
      <c r="Z889" s="360"/>
      <c r="AA889" s="360"/>
      <c r="AB889" s="360"/>
      <c r="AC889" s="360"/>
      <c r="AD889" s="360"/>
      <c r="AE889" s="360"/>
      <c r="AF889" s="360"/>
      <c r="AG889" s="360"/>
      <c r="AH889" s="360"/>
    </row>
    <row r="890" ht="18.75" customHeight="1">
      <c r="A890" s="399"/>
      <c r="B890" s="400"/>
      <c r="C890" s="400"/>
      <c r="D890" s="360"/>
      <c r="E890" s="401"/>
      <c r="F890" s="402"/>
      <c r="G890" s="403"/>
      <c r="H890" s="403"/>
      <c r="I890" s="403"/>
      <c r="J890" s="403"/>
      <c r="K890" s="403"/>
      <c r="L890" s="403"/>
      <c r="M890" s="404"/>
      <c r="N890" s="403"/>
      <c r="O890" s="403"/>
      <c r="P890" s="403"/>
      <c r="Q890" s="403"/>
      <c r="R890" s="403"/>
      <c r="S890" s="403"/>
      <c r="T890" s="360"/>
      <c r="U890" s="360"/>
      <c r="V890" s="360"/>
      <c r="W890" s="360"/>
      <c r="X890" s="360"/>
      <c r="Y890" s="360"/>
      <c r="Z890" s="360"/>
      <c r="AA890" s="360"/>
      <c r="AB890" s="360"/>
      <c r="AC890" s="360"/>
      <c r="AD890" s="360"/>
      <c r="AE890" s="360"/>
      <c r="AF890" s="360"/>
      <c r="AG890" s="360"/>
      <c r="AH890" s="360"/>
    </row>
    <row r="891" ht="18.75" customHeight="1">
      <c r="A891" s="399"/>
      <c r="B891" s="400"/>
      <c r="C891" s="400"/>
      <c r="D891" s="360"/>
      <c r="E891" s="401"/>
      <c r="F891" s="402"/>
      <c r="G891" s="403"/>
      <c r="H891" s="403"/>
      <c r="I891" s="403"/>
      <c r="J891" s="403"/>
      <c r="K891" s="403"/>
      <c r="L891" s="403"/>
      <c r="M891" s="404"/>
      <c r="N891" s="403"/>
      <c r="O891" s="403"/>
      <c r="P891" s="403"/>
      <c r="Q891" s="403"/>
      <c r="R891" s="403"/>
      <c r="S891" s="403"/>
      <c r="T891" s="360"/>
      <c r="U891" s="360"/>
      <c r="V891" s="360"/>
      <c r="W891" s="360"/>
      <c r="X891" s="360"/>
      <c r="Y891" s="360"/>
      <c r="Z891" s="360"/>
      <c r="AA891" s="360"/>
      <c r="AB891" s="360"/>
      <c r="AC891" s="360"/>
      <c r="AD891" s="360"/>
      <c r="AE891" s="360"/>
      <c r="AF891" s="360"/>
      <c r="AG891" s="360"/>
      <c r="AH891" s="360"/>
    </row>
    <row r="892" ht="18.75" customHeight="1">
      <c r="A892" s="399"/>
      <c r="B892" s="400"/>
      <c r="C892" s="400"/>
      <c r="D892" s="360"/>
      <c r="E892" s="401"/>
      <c r="F892" s="402"/>
      <c r="G892" s="403"/>
      <c r="H892" s="403"/>
      <c r="I892" s="403"/>
      <c r="J892" s="403"/>
      <c r="K892" s="403"/>
      <c r="L892" s="403"/>
      <c r="M892" s="404"/>
      <c r="N892" s="403"/>
      <c r="O892" s="403"/>
      <c r="P892" s="403"/>
      <c r="Q892" s="403"/>
      <c r="R892" s="403"/>
      <c r="S892" s="403"/>
      <c r="T892" s="360"/>
      <c r="U892" s="360"/>
      <c r="V892" s="360"/>
      <c r="W892" s="360"/>
      <c r="X892" s="360"/>
      <c r="Y892" s="360"/>
      <c r="Z892" s="360"/>
      <c r="AA892" s="360"/>
      <c r="AB892" s="360"/>
      <c r="AC892" s="360"/>
      <c r="AD892" s="360"/>
      <c r="AE892" s="360"/>
      <c r="AF892" s="360"/>
      <c r="AG892" s="360"/>
      <c r="AH892" s="360"/>
    </row>
    <row r="893" ht="18.75" customHeight="1">
      <c r="A893" s="399"/>
      <c r="B893" s="400"/>
      <c r="C893" s="400"/>
      <c r="D893" s="360"/>
      <c r="E893" s="401"/>
      <c r="F893" s="402"/>
      <c r="G893" s="403"/>
      <c r="H893" s="403"/>
      <c r="I893" s="403"/>
      <c r="J893" s="403"/>
      <c r="K893" s="403"/>
      <c r="L893" s="403"/>
      <c r="M893" s="404"/>
      <c r="N893" s="403"/>
      <c r="O893" s="403"/>
      <c r="P893" s="403"/>
      <c r="Q893" s="403"/>
      <c r="R893" s="403"/>
      <c r="S893" s="403"/>
      <c r="T893" s="360"/>
      <c r="U893" s="360"/>
      <c r="V893" s="360"/>
      <c r="W893" s="360"/>
      <c r="X893" s="360"/>
      <c r="Y893" s="360"/>
      <c r="Z893" s="360"/>
      <c r="AA893" s="360"/>
      <c r="AB893" s="360"/>
      <c r="AC893" s="360"/>
      <c r="AD893" s="360"/>
      <c r="AE893" s="360"/>
      <c r="AF893" s="360"/>
      <c r="AG893" s="360"/>
      <c r="AH893" s="360"/>
    </row>
    <row r="894" ht="18.75" customHeight="1">
      <c r="A894" s="399"/>
      <c r="B894" s="400"/>
      <c r="C894" s="400"/>
      <c r="D894" s="360"/>
      <c r="E894" s="401"/>
      <c r="F894" s="402"/>
      <c r="G894" s="403"/>
      <c r="H894" s="403"/>
      <c r="I894" s="403"/>
      <c r="J894" s="403"/>
      <c r="K894" s="403"/>
      <c r="L894" s="403"/>
      <c r="M894" s="404"/>
      <c r="N894" s="403"/>
      <c r="O894" s="403"/>
      <c r="P894" s="403"/>
      <c r="Q894" s="403"/>
      <c r="R894" s="403"/>
      <c r="S894" s="403"/>
      <c r="T894" s="360"/>
      <c r="U894" s="360"/>
      <c r="V894" s="360"/>
      <c r="W894" s="360"/>
      <c r="X894" s="360"/>
      <c r="Y894" s="360"/>
      <c r="Z894" s="360"/>
      <c r="AA894" s="360"/>
      <c r="AB894" s="360"/>
      <c r="AC894" s="360"/>
      <c r="AD894" s="360"/>
      <c r="AE894" s="360"/>
      <c r="AF894" s="360"/>
      <c r="AG894" s="360"/>
      <c r="AH894" s="360"/>
    </row>
    <row r="895" ht="18.75" customHeight="1">
      <c r="A895" s="399"/>
      <c r="B895" s="400"/>
      <c r="C895" s="400"/>
      <c r="D895" s="360"/>
      <c r="E895" s="401"/>
      <c r="F895" s="402"/>
      <c r="G895" s="403"/>
      <c r="H895" s="403"/>
      <c r="I895" s="403"/>
      <c r="J895" s="403"/>
      <c r="K895" s="403"/>
      <c r="L895" s="403"/>
      <c r="M895" s="404"/>
      <c r="N895" s="403"/>
      <c r="O895" s="403"/>
      <c r="P895" s="403"/>
      <c r="Q895" s="403"/>
      <c r="R895" s="403"/>
      <c r="S895" s="403"/>
      <c r="T895" s="360"/>
      <c r="U895" s="360"/>
      <c r="V895" s="360"/>
      <c r="W895" s="360"/>
      <c r="X895" s="360"/>
      <c r="Y895" s="360"/>
      <c r="Z895" s="360"/>
      <c r="AA895" s="360"/>
      <c r="AB895" s="360"/>
      <c r="AC895" s="360"/>
      <c r="AD895" s="360"/>
      <c r="AE895" s="360"/>
      <c r="AF895" s="360"/>
      <c r="AG895" s="360"/>
      <c r="AH895" s="360"/>
    </row>
    <row r="896" ht="18.75" customHeight="1">
      <c r="A896" s="399"/>
      <c r="B896" s="400"/>
      <c r="C896" s="400"/>
      <c r="D896" s="360"/>
      <c r="E896" s="401"/>
      <c r="F896" s="402"/>
      <c r="G896" s="403"/>
      <c r="H896" s="403"/>
      <c r="I896" s="403"/>
      <c r="J896" s="403"/>
      <c r="K896" s="403"/>
      <c r="L896" s="403"/>
      <c r="M896" s="404"/>
      <c r="N896" s="403"/>
      <c r="O896" s="403"/>
      <c r="P896" s="403"/>
      <c r="Q896" s="403"/>
      <c r="R896" s="403"/>
      <c r="S896" s="403"/>
      <c r="T896" s="360"/>
      <c r="U896" s="360"/>
      <c r="V896" s="360"/>
      <c r="W896" s="360"/>
      <c r="X896" s="360"/>
      <c r="Y896" s="360"/>
      <c r="Z896" s="360"/>
      <c r="AA896" s="360"/>
      <c r="AB896" s="360"/>
      <c r="AC896" s="360"/>
      <c r="AD896" s="360"/>
      <c r="AE896" s="360"/>
      <c r="AF896" s="360"/>
      <c r="AG896" s="360"/>
      <c r="AH896" s="360"/>
    </row>
    <row r="897" ht="18.75" customHeight="1">
      <c r="A897" s="399"/>
      <c r="B897" s="400"/>
      <c r="C897" s="400"/>
      <c r="D897" s="360"/>
      <c r="E897" s="401"/>
      <c r="F897" s="402"/>
      <c r="G897" s="403"/>
      <c r="H897" s="403"/>
      <c r="I897" s="403"/>
      <c r="J897" s="403"/>
      <c r="K897" s="403"/>
      <c r="L897" s="403"/>
      <c r="M897" s="404"/>
      <c r="N897" s="403"/>
      <c r="O897" s="403"/>
      <c r="P897" s="403"/>
      <c r="Q897" s="403"/>
      <c r="R897" s="403"/>
      <c r="S897" s="403"/>
      <c r="T897" s="360"/>
      <c r="U897" s="360"/>
      <c r="V897" s="360"/>
      <c r="W897" s="360"/>
      <c r="X897" s="360"/>
      <c r="Y897" s="360"/>
      <c r="Z897" s="360"/>
      <c r="AA897" s="360"/>
      <c r="AB897" s="360"/>
      <c r="AC897" s="360"/>
      <c r="AD897" s="360"/>
      <c r="AE897" s="360"/>
      <c r="AF897" s="360"/>
      <c r="AG897" s="360"/>
      <c r="AH897" s="360"/>
    </row>
    <row r="898" ht="18.75" customHeight="1">
      <c r="A898" s="399"/>
      <c r="B898" s="400"/>
      <c r="C898" s="400"/>
      <c r="D898" s="360"/>
      <c r="E898" s="401"/>
      <c r="F898" s="402"/>
      <c r="G898" s="403"/>
      <c r="H898" s="403"/>
      <c r="I898" s="403"/>
      <c r="J898" s="403"/>
      <c r="K898" s="403"/>
      <c r="L898" s="403"/>
      <c r="M898" s="404"/>
      <c r="N898" s="403"/>
      <c r="O898" s="403"/>
      <c r="P898" s="403"/>
      <c r="Q898" s="403"/>
      <c r="R898" s="403"/>
      <c r="S898" s="403"/>
      <c r="T898" s="360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  <c r="AG898" s="360"/>
      <c r="AH898" s="360"/>
    </row>
    <row r="899" ht="18.75" customHeight="1">
      <c r="A899" s="399"/>
      <c r="B899" s="400"/>
      <c r="C899" s="400"/>
      <c r="D899" s="360"/>
      <c r="E899" s="401"/>
      <c r="F899" s="402"/>
      <c r="G899" s="403"/>
      <c r="H899" s="403"/>
      <c r="I899" s="403"/>
      <c r="J899" s="403"/>
      <c r="K899" s="403"/>
      <c r="L899" s="403"/>
      <c r="M899" s="404"/>
      <c r="N899" s="403"/>
      <c r="O899" s="403"/>
      <c r="P899" s="403"/>
      <c r="Q899" s="403"/>
      <c r="R899" s="403"/>
      <c r="S899" s="403"/>
      <c r="T899" s="360"/>
      <c r="U899" s="360"/>
      <c r="V899" s="360"/>
      <c r="W899" s="360"/>
      <c r="X899" s="360"/>
      <c r="Y899" s="360"/>
      <c r="Z899" s="360"/>
      <c r="AA899" s="360"/>
      <c r="AB899" s="360"/>
      <c r="AC899" s="360"/>
      <c r="AD899" s="360"/>
      <c r="AE899" s="360"/>
      <c r="AF899" s="360"/>
      <c r="AG899" s="360"/>
      <c r="AH899" s="360"/>
    </row>
    <row r="900" ht="18.75" customHeight="1">
      <c r="A900" s="399"/>
      <c r="B900" s="400"/>
      <c r="C900" s="400"/>
      <c r="D900" s="360"/>
      <c r="E900" s="401"/>
      <c r="F900" s="402"/>
      <c r="G900" s="403"/>
      <c r="H900" s="403"/>
      <c r="I900" s="403"/>
      <c r="J900" s="403"/>
      <c r="K900" s="403"/>
      <c r="L900" s="403"/>
      <c r="M900" s="404"/>
      <c r="N900" s="403"/>
      <c r="O900" s="403"/>
      <c r="P900" s="403"/>
      <c r="Q900" s="403"/>
      <c r="R900" s="403"/>
      <c r="S900" s="403"/>
      <c r="T900" s="360"/>
      <c r="U900" s="360"/>
      <c r="V900" s="360"/>
      <c r="W900" s="360"/>
      <c r="X900" s="360"/>
      <c r="Y900" s="360"/>
      <c r="Z900" s="360"/>
      <c r="AA900" s="360"/>
      <c r="AB900" s="360"/>
      <c r="AC900" s="360"/>
      <c r="AD900" s="360"/>
      <c r="AE900" s="360"/>
      <c r="AF900" s="360"/>
      <c r="AG900" s="360"/>
      <c r="AH900" s="360"/>
    </row>
    <row r="901" ht="18.75" customHeight="1">
      <c r="A901" s="399"/>
      <c r="B901" s="400"/>
      <c r="C901" s="400"/>
      <c r="D901" s="360"/>
      <c r="E901" s="401"/>
      <c r="F901" s="402"/>
      <c r="G901" s="403"/>
      <c r="H901" s="403"/>
      <c r="I901" s="403"/>
      <c r="J901" s="403"/>
      <c r="K901" s="403"/>
      <c r="L901" s="403"/>
      <c r="M901" s="404"/>
      <c r="N901" s="403"/>
      <c r="O901" s="403"/>
      <c r="P901" s="403"/>
      <c r="Q901" s="403"/>
      <c r="R901" s="403"/>
      <c r="S901" s="403"/>
      <c r="T901" s="360"/>
      <c r="U901" s="360"/>
      <c r="V901" s="360"/>
      <c r="W901" s="360"/>
      <c r="X901" s="360"/>
      <c r="Y901" s="360"/>
      <c r="Z901" s="360"/>
      <c r="AA901" s="360"/>
      <c r="AB901" s="360"/>
      <c r="AC901" s="360"/>
      <c r="AD901" s="360"/>
      <c r="AE901" s="360"/>
      <c r="AF901" s="360"/>
      <c r="AG901" s="360"/>
      <c r="AH901" s="360"/>
    </row>
    <row r="902" ht="18.75" customHeight="1">
      <c r="A902" s="399"/>
      <c r="B902" s="400"/>
      <c r="C902" s="400"/>
      <c r="D902" s="360"/>
      <c r="E902" s="401"/>
      <c r="F902" s="402"/>
      <c r="G902" s="403"/>
      <c r="H902" s="403"/>
      <c r="I902" s="403"/>
      <c r="J902" s="403"/>
      <c r="K902" s="403"/>
      <c r="L902" s="403"/>
      <c r="M902" s="404"/>
      <c r="N902" s="403"/>
      <c r="O902" s="403"/>
      <c r="P902" s="403"/>
      <c r="Q902" s="403"/>
      <c r="R902" s="403"/>
      <c r="S902" s="403"/>
      <c r="T902" s="360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  <c r="AG902" s="360"/>
      <c r="AH902" s="360"/>
    </row>
    <row r="903" ht="18.75" customHeight="1">
      <c r="A903" s="399"/>
      <c r="B903" s="400"/>
      <c r="C903" s="400"/>
      <c r="D903" s="360"/>
      <c r="E903" s="401"/>
      <c r="F903" s="402"/>
      <c r="G903" s="403"/>
      <c r="H903" s="403"/>
      <c r="I903" s="403"/>
      <c r="J903" s="403"/>
      <c r="K903" s="403"/>
      <c r="L903" s="403"/>
      <c r="M903" s="404"/>
      <c r="N903" s="403"/>
      <c r="O903" s="403"/>
      <c r="P903" s="403"/>
      <c r="Q903" s="403"/>
      <c r="R903" s="403"/>
      <c r="S903" s="403"/>
      <c r="T903" s="360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  <c r="AG903" s="360"/>
      <c r="AH903" s="360"/>
    </row>
    <row r="904" ht="18.75" customHeight="1">
      <c r="A904" s="399"/>
      <c r="B904" s="400"/>
      <c r="C904" s="400"/>
      <c r="D904" s="360"/>
      <c r="E904" s="401"/>
      <c r="F904" s="402"/>
      <c r="G904" s="403"/>
      <c r="H904" s="403"/>
      <c r="I904" s="403"/>
      <c r="J904" s="403"/>
      <c r="K904" s="403"/>
      <c r="L904" s="403"/>
      <c r="M904" s="404"/>
      <c r="N904" s="403"/>
      <c r="O904" s="403"/>
      <c r="P904" s="403"/>
      <c r="Q904" s="403"/>
      <c r="R904" s="403"/>
      <c r="S904" s="403"/>
      <c r="T904" s="360"/>
      <c r="U904" s="360"/>
      <c r="V904" s="360"/>
      <c r="W904" s="360"/>
      <c r="X904" s="360"/>
      <c r="Y904" s="360"/>
      <c r="Z904" s="360"/>
      <c r="AA904" s="360"/>
      <c r="AB904" s="360"/>
      <c r="AC904" s="360"/>
      <c r="AD904" s="360"/>
      <c r="AE904" s="360"/>
      <c r="AF904" s="360"/>
      <c r="AG904" s="360"/>
      <c r="AH904" s="360"/>
    </row>
    <row r="905" ht="18.75" customHeight="1">
      <c r="A905" s="399"/>
      <c r="B905" s="400"/>
      <c r="C905" s="400"/>
      <c r="D905" s="360"/>
      <c r="E905" s="401"/>
      <c r="F905" s="402"/>
      <c r="G905" s="403"/>
      <c r="H905" s="403"/>
      <c r="I905" s="403"/>
      <c r="J905" s="403"/>
      <c r="K905" s="403"/>
      <c r="L905" s="403"/>
      <c r="M905" s="404"/>
      <c r="N905" s="403"/>
      <c r="O905" s="403"/>
      <c r="P905" s="403"/>
      <c r="Q905" s="403"/>
      <c r="R905" s="403"/>
      <c r="S905" s="403"/>
      <c r="T905" s="360"/>
      <c r="U905" s="360"/>
      <c r="V905" s="360"/>
      <c r="W905" s="360"/>
      <c r="X905" s="360"/>
      <c r="Y905" s="360"/>
      <c r="Z905" s="360"/>
      <c r="AA905" s="360"/>
      <c r="AB905" s="360"/>
      <c r="AC905" s="360"/>
      <c r="AD905" s="360"/>
      <c r="AE905" s="360"/>
      <c r="AF905" s="360"/>
      <c r="AG905" s="360"/>
      <c r="AH905" s="360"/>
    </row>
    <row r="906" ht="18.75" customHeight="1">
      <c r="A906" s="399"/>
      <c r="B906" s="400"/>
      <c r="C906" s="400"/>
      <c r="D906" s="360"/>
      <c r="E906" s="401"/>
      <c r="F906" s="402"/>
      <c r="G906" s="403"/>
      <c r="H906" s="403"/>
      <c r="I906" s="403"/>
      <c r="J906" s="403"/>
      <c r="K906" s="403"/>
      <c r="L906" s="403"/>
      <c r="M906" s="404"/>
      <c r="N906" s="403"/>
      <c r="O906" s="403"/>
      <c r="P906" s="403"/>
      <c r="Q906" s="403"/>
      <c r="R906" s="403"/>
      <c r="S906" s="403"/>
      <c r="T906" s="360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  <c r="AG906" s="360"/>
      <c r="AH906" s="360"/>
    </row>
    <row r="907" ht="18.75" customHeight="1">
      <c r="A907" s="399"/>
      <c r="B907" s="400"/>
      <c r="C907" s="400"/>
      <c r="D907" s="360"/>
      <c r="E907" s="401"/>
      <c r="F907" s="402"/>
      <c r="G907" s="403"/>
      <c r="H907" s="403"/>
      <c r="I907" s="403"/>
      <c r="J907" s="403"/>
      <c r="K907" s="403"/>
      <c r="L907" s="403"/>
      <c r="M907" s="404"/>
      <c r="N907" s="403"/>
      <c r="O907" s="403"/>
      <c r="P907" s="403"/>
      <c r="Q907" s="403"/>
      <c r="R907" s="403"/>
      <c r="S907" s="403"/>
      <c r="T907" s="360"/>
      <c r="U907" s="360"/>
      <c r="V907" s="360"/>
      <c r="W907" s="360"/>
      <c r="X907" s="360"/>
      <c r="Y907" s="360"/>
      <c r="Z907" s="360"/>
      <c r="AA907" s="360"/>
      <c r="AB907" s="360"/>
      <c r="AC907" s="360"/>
      <c r="AD907" s="360"/>
      <c r="AE907" s="360"/>
      <c r="AF907" s="360"/>
      <c r="AG907" s="360"/>
      <c r="AH907" s="360"/>
    </row>
    <row r="908" ht="18.75" customHeight="1">
      <c r="A908" s="399"/>
      <c r="B908" s="400"/>
      <c r="C908" s="400"/>
      <c r="D908" s="360"/>
      <c r="E908" s="401"/>
      <c r="F908" s="402"/>
      <c r="G908" s="403"/>
      <c r="H908" s="403"/>
      <c r="I908" s="403"/>
      <c r="J908" s="403"/>
      <c r="K908" s="403"/>
      <c r="L908" s="403"/>
      <c r="M908" s="404"/>
      <c r="N908" s="403"/>
      <c r="O908" s="403"/>
      <c r="P908" s="403"/>
      <c r="Q908" s="403"/>
      <c r="R908" s="403"/>
      <c r="S908" s="403"/>
      <c r="T908" s="360"/>
      <c r="U908" s="360"/>
      <c r="V908" s="360"/>
      <c r="W908" s="360"/>
      <c r="X908" s="360"/>
      <c r="Y908" s="360"/>
      <c r="Z908" s="360"/>
      <c r="AA908" s="360"/>
      <c r="AB908" s="360"/>
      <c r="AC908" s="360"/>
      <c r="AD908" s="360"/>
      <c r="AE908" s="360"/>
      <c r="AF908" s="360"/>
      <c r="AG908" s="360"/>
      <c r="AH908" s="360"/>
    </row>
    <row r="909" ht="18.75" customHeight="1">
      <c r="A909" s="399"/>
      <c r="B909" s="400"/>
      <c r="C909" s="400"/>
      <c r="D909" s="360"/>
      <c r="E909" s="401"/>
      <c r="F909" s="402"/>
      <c r="G909" s="403"/>
      <c r="H909" s="403"/>
      <c r="I909" s="403"/>
      <c r="J909" s="403"/>
      <c r="K909" s="403"/>
      <c r="L909" s="403"/>
      <c r="M909" s="404"/>
      <c r="N909" s="403"/>
      <c r="O909" s="403"/>
      <c r="P909" s="403"/>
      <c r="Q909" s="403"/>
      <c r="R909" s="403"/>
      <c r="S909" s="403"/>
      <c r="T909" s="360"/>
      <c r="U909" s="360"/>
      <c r="V909" s="360"/>
      <c r="W909" s="360"/>
      <c r="X909" s="360"/>
      <c r="Y909" s="360"/>
      <c r="Z909" s="360"/>
      <c r="AA909" s="360"/>
      <c r="AB909" s="360"/>
      <c r="AC909" s="360"/>
      <c r="AD909" s="360"/>
      <c r="AE909" s="360"/>
      <c r="AF909" s="360"/>
      <c r="AG909" s="360"/>
      <c r="AH909" s="360"/>
    </row>
    <row r="910" ht="18.75" customHeight="1">
      <c r="A910" s="399"/>
      <c r="B910" s="400"/>
      <c r="C910" s="400"/>
      <c r="D910" s="360"/>
      <c r="E910" s="401"/>
      <c r="F910" s="402"/>
      <c r="G910" s="403"/>
      <c r="H910" s="403"/>
      <c r="I910" s="403"/>
      <c r="J910" s="403"/>
      <c r="K910" s="403"/>
      <c r="L910" s="403"/>
      <c r="M910" s="404"/>
      <c r="N910" s="403"/>
      <c r="O910" s="403"/>
      <c r="P910" s="403"/>
      <c r="Q910" s="403"/>
      <c r="R910" s="403"/>
      <c r="S910" s="403"/>
      <c r="T910" s="360"/>
      <c r="U910" s="360"/>
      <c r="V910" s="360"/>
      <c r="W910" s="360"/>
      <c r="X910" s="360"/>
      <c r="Y910" s="360"/>
      <c r="Z910" s="360"/>
      <c r="AA910" s="360"/>
      <c r="AB910" s="360"/>
      <c r="AC910" s="360"/>
      <c r="AD910" s="360"/>
      <c r="AE910" s="360"/>
      <c r="AF910" s="360"/>
      <c r="AG910" s="360"/>
      <c r="AH910" s="360"/>
    </row>
    <row r="911" ht="18.75" customHeight="1">
      <c r="A911" s="399"/>
      <c r="B911" s="400"/>
      <c r="C911" s="400"/>
      <c r="D911" s="360"/>
      <c r="E911" s="401"/>
      <c r="F911" s="402"/>
      <c r="G911" s="403"/>
      <c r="H911" s="403"/>
      <c r="I911" s="403"/>
      <c r="J911" s="403"/>
      <c r="K911" s="403"/>
      <c r="L911" s="403"/>
      <c r="M911" s="404"/>
      <c r="N911" s="403"/>
      <c r="O911" s="403"/>
      <c r="P911" s="403"/>
      <c r="Q911" s="403"/>
      <c r="R911" s="403"/>
      <c r="S911" s="403"/>
      <c r="T911" s="360"/>
      <c r="U911" s="360"/>
      <c r="V911" s="360"/>
      <c r="W911" s="360"/>
      <c r="X911" s="360"/>
      <c r="Y911" s="360"/>
      <c r="Z911" s="360"/>
      <c r="AA911" s="360"/>
      <c r="AB911" s="360"/>
      <c r="AC911" s="360"/>
      <c r="AD911" s="360"/>
      <c r="AE911" s="360"/>
      <c r="AF911" s="360"/>
      <c r="AG911" s="360"/>
      <c r="AH911" s="360"/>
    </row>
    <row r="912" ht="18.75" customHeight="1">
      <c r="A912" s="399"/>
      <c r="B912" s="400"/>
      <c r="C912" s="400"/>
      <c r="D912" s="360"/>
      <c r="E912" s="401"/>
      <c r="F912" s="402"/>
      <c r="G912" s="403"/>
      <c r="H912" s="403"/>
      <c r="I912" s="403"/>
      <c r="J912" s="403"/>
      <c r="K912" s="403"/>
      <c r="L912" s="403"/>
      <c r="M912" s="404"/>
      <c r="N912" s="403"/>
      <c r="O912" s="403"/>
      <c r="P912" s="403"/>
      <c r="Q912" s="403"/>
      <c r="R912" s="403"/>
      <c r="S912" s="403"/>
      <c r="T912" s="360"/>
      <c r="U912" s="360"/>
      <c r="V912" s="360"/>
      <c r="W912" s="360"/>
      <c r="X912" s="360"/>
      <c r="Y912" s="360"/>
      <c r="Z912" s="360"/>
      <c r="AA912" s="360"/>
      <c r="AB912" s="360"/>
      <c r="AC912" s="360"/>
      <c r="AD912" s="360"/>
      <c r="AE912" s="360"/>
      <c r="AF912" s="360"/>
      <c r="AG912" s="360"/>
      <c r="AH912" s="360"/>
    </row>
    <row r="913" ht="18.75" customHeight="1">
      <c r="A913" s="399"/>
      <c r="B913" s="400"/>
      <c r="C913" s="400"/>
      <c r="D913" s="360"/>
      <c r="E913" s="401"/>
      <c r="F913" s="402"/>
      <c r="G913" s="403"/>
      <c r="H913" s="403"/>
      <c r="I913" s="403"/>
      <c r="J913" s="403"/>
      <c r="K913" s="403"/>
      <c r="L913" s="403"/>
      <c r="M913" s="404"/>
      <c r="N913" s="403"/>
      <c r="O913" s="403"/>
      <c r="P913" s="403"/>
      <c r="Q913" s="403"/>
      <c r="R913" s="403"/>
      <c r="S913" s="403"/>
      <c r="T913" s="360"/>
      <c r="U913" s="360"/>
      <c r="V913" s="360"/>
      <c r="W913" s="360"/>
      <c r="X913" s="360"/>
      <c r="Y913" s="360"/>
      <c r="Z913" s="360"/>
      <c r="AA913" s="360"/>
      <c r="AB913" s="360"/>
      <c r="AC913" s="360"/>
      <c r="AD913" s="360"/>
      <c r="AE913" s="360"/>
      <c r="AF913" s="360"/>
      <c r="AG913" s="360"/>
      <c r="AH913" s="360"/>
    </row>
    <row r="914" ht="18.75" customHeight="1">
      <c r="A914" s="399"/>
      <c r="B914" s="400"/>
      <c r="C914" s="400"/>
      <c r="D914" s="360"/>
      <c r="E914" s="401"/>
      <c r="F914" s="402"/>
      <c r="G914" s="403"/>
      <c r="H914" s="403"/>
      <c r="I914" s="403"/>
      <c r="J914" s="403"/>
      <c r="K914" s="403"/>
      <c r="L914" s="403"/>
      <c r="M914" s="404"/>
      <c r="N914" s="403"/>
      <c r="O914" s="403"/>
      <c r="P914" s="403"/>
      <c r="Q914" s="403"/>
      <c r="R914" s="403"/>
      <c r="S914" s="403"/>
      <c r="T914" s="360"/>
      <c r="U914" s="360"/>
      <c r="V914" s="360"/>
      <c r="W914" s="360"/>
      <c r="X914" s="360"/>
      <c r="Y914" s="360"/>
      <c r="Z914" s="360"/>
      <c r="AA914" s="360"/>
      <c r="AB914" s="360"/>
      <c r="AC914" s="360"/>
      <c r="AD914" s="360"/>
      <c r="AE914" s="360"/>
      <c r="AF914" s="360"/>
      <c r="AG914" s="360"/>
      <c r="AH914" s="360"/>
    </row>
    <row r="915" ht="18.75" customHeight="1">
      <c r="A915" s="399"/>
      <c r="B915" s="400"/>
      <c r="C915" s="400"/>
      <c r="D915" s="360"/>
      <c r="E915" s="401"/>
      <c r="F915" s="402"/>
      <c r="G915" s="403"/>
      <c r="H915" s="403"/>
      <c r="I915" s="403"/>
      <c r="J915" s="403"/>
      <c r="K915" s="403"/>
      <c r="L915" s="403"/>
      <c r="M915" s="404"/>
      <c r="N915" s="403"/>
      <c r="O915" s="403"/>
      <c r="P915" s="403"/>
      <c r="Q915" s="403"/>
      <c r="R915" s="403"/>
      <c r="S915" s="403"/>
      <c r="T915" s="360"/>
      <c r="U915" s="360"/>
      <c r="V915" s="360"/>
      <c r="W915" s="360"/>
      <c r="X915" s="360"/>
      <c r="Y915" s="360"/>
      <c r="Z915" s="360"/>
      <c r="AA915" s="360"/>
      <c r="AB915" s="360"/>
      <c r="AC915" s="360"/>
      <c r="AD915" s="360"/>
      <c r="AE915" s="360"/>
      <c r="AF915" s="360"/>
      <c r="AG915" s="360"/>
      <c r="AH915" s="360"/>
    </row>
    <row r="916" ht="18.75" customHeight="1">
      <c r="A916" s="399"/>
      <c r="B916" s="400"/>
      <c r="C916" s="400"/>
      <c r="D916" s="360"/>
      <c r="E916" s="401"/>
      <c r="F916" s="402"/>
      <c r="G916" s="403"/>
      <c r="H916" s="403"/>
      <c r="I916" s="403"/>
      <c r="J916" s="403"/>
      <c r="K916" s="403"/>
      <c r="L916" s="403"/>
      <c r="M916" s="404"/>
      <c r="N916" s="403"/>
      <c r="O916" s="403"/>
      <c r="P916" s="403"/>
      <c r="Q916" s="403"/>
      <c r="R916" s="403"/>
      <c r="S916" s="403"/>
      <c r="T916" s="360"/>
      <c r="U916" s="360"/>
      <c r="V916" s="360"/>
      <c r="W916" s="360"/>
      <c r="X916" s="360"/>
      <c r="Y916" s="360"/>
      <c r="Z916" s="360"/>
      <c r="AA916" s="360"/>
      <c r="AB916" s="360"/>
      <c r="AC916" s="360"/>
      <c r="AD916" s="360"/>
      <c r="AE916" s="360"/>
      <c r="AF916" s="360"/>
      <c r="AG916" s="360"/>
      <c r="AH916" s="360"/>
    </row>
    <row r="917" ht="18.75" customHeight="1">
      <c r="A917" s="399"/>
      <c r="B917" s="400"/>
      <c r="C917" s="400"/>
      <c r="D917" s="360"/>
      <c r="E917" s="401"/>
      <c r="F917" s="402"/>
      <c r="G917" s="403"/>
      <c r="H917" s="403"/>
      <c r="I917" s="403"/>
      <c r="J917" s="403"/>
      <c r="K917" s="403"/>
      <c r="L917" s="403"/>
      <c r="M917" s="404"/>
      <c r="N917" s="403"/>
      <c r="O917" s="403"/>
      <c r="P917" s="403"/>
      <c r="Q917" s="403"/>
      <c r="R917" s="403"/>
      <c r="S917" s="403"/>
      <c r="T917" s="360"/>
      <c r="U917" s="360"/>
      <c r="V917" s="360"/>
      <c r="W917" s="360"/>
      <c r="X917" s="360"/>
      <c r="Y917" s="360"/>
      <c r="Z917" s="360"/>
      <c r="AA917" s="360"/>
      <c r="AB917" s="360"/>
      <c r="AC917" s="360"/>
      <c r="AD917" s="360"/>
      <c r="AE917" s="360"/>
      <c r="AF917" s="360"/>
      <c r="AG917" s="360"/>
      <c r="AH917" s="360"/>
    </row>
    <row r="918" ht="18.75" customHeight="1">
      <c r="A918" s="399"/>
      <c r="B918" s="400"/>
      <c r="C918" s="400"/>
      <c r="D918" s="360"/>
      <c r="E918" s="401"/>
      <c r="F918" s="402"/>
      <c r="G918" s="403"/>
      <c r="H918" s="403"/>
      <c r="I918" s="403"/>
      <c r="J918" s="403"/>
      <c r="K918" s="403"/>
      <c r="L918" s="403"/>
      <c r="M918" s="404"/>
      <c r="N918" s="403"/>
      <c r="O918" s="403"/>
      <c r="P918" s="403"/>
      <c r="Q918" s="403"/>
      <c r="R918" s="403"/>
      <c r="S918" s="403"/>
      <c r="T918" s="360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  <c r="AG918" s="360"/>
      <c r="AH918" s="360"/>
    </row>
    <row r="919" ht="18.75" customHeight="1">
      <c r="A919" s="399"/>
      <c r="B919" s="400"/>
      <c r="C919" s="400"/>
      <c r="D919" s="360"/>
      <c r="E919" s="401"/>
      <c r="F919" s="402"/>
      <c r="G919" s="403"/>
      <c r="H919" s="403"/>
      <c r="I919" s="403"/>
      <c r="J919" s="403"/>
      <c r="K919" s="403"/>
      <c r="L919" s="403"/>
      <c r="M919" s="404"/>
      <c r="N919" s="403"/>
      <c r="O919" s="403"/>
      <c r="P919" s="403"/>
      <c r="Q919" s="403"/>
      <c r="R919" s="403"/>
      <c r="S919" s="403"/>
      <c r="T919" s="360"/>
      <c r="U919" s="360"/>
      <c r="V919" s="360"/>
      <c r="W919" s="360"/>
      <c r="X919" s="360"/>
      <c r="Y919" s="360"/>
      <c r="Z919" s="360"/>
      <c r="AA919" s="360"/>
      <c r="AB919" s="360"/>
      <c r="AC919" s="360"/>
      <c r="AD919" s="360"/>
      <c r="AE919" s="360"/>
      <c r="AF919" s="360"/>
      <c r="AG919" s="360"/>
      <c r="AH919" s="360"/>
    </row>
    <row r="920" ht="18.75" customHeight="1">
      <c r="A920" s="399"/>
      <c r="B920" s="400"/>
      <c r="C920" s="400"/>
      <c r="D920" s="360"/>
      <c r="E920" s="401"/>
      <c r="F920" s="402"/>
      <c r="G920" s="403"/>
      <c r="H920" s="403"/>
      <c r="I920" s="403"/>
      <c r="J920" s="403"/>
      <c r="K920" s="403"/>
      <c r="L920" s="403"/>
      <c r="M920" s="404"/>
      <c r="N920" s="403"/>
      <c r="O920" s="403"/>
      <c r="P920" s="403"/>
      <c r="Q920" s="403"/>
      <c r="R920" s="403"/>
      <c r="S920" s="403"/>
      <c r="T920" s="360"/>
      <c r="U920" s="360"/>
      <c r="V920" s="360"/>
      <c r="W920" s="360"/>
      <c r="X920" s="360"/>
      <c r="Y920" s="360"/>
      <c r="Z920" s="360"/>
      <c r="AA920" s="360"/>
      <c r="AB920" s="360"/>
      <c r="AC920" s="360"/>
      <c r="AD920" s="360"/>
      <c r="AE920" s="360"/>
      <c r="AF920" s="360"/>
      <c r="AG920" s="360"/>
      <c r="AH920" s="360"/>
    </row>
    <row r="921" ht="18.75" customHeight="1">
      <c r="A921" s="399"/>
      <c r="B921" s="400"/>
      <c r="C921" s="400"/>
      <c r="D921" s="360"/>
      <c r="E921" s="401"/>
      <c r="F921" s="402"/>
      <c r="G921" s="403"/>
      <c r="H921" s="403"/>
      <c r="I921" s="403"/>
      <c r="J921" s="403"/>
      <c r="K921" s="403"/>
      <c r="L921" s="403"/>
      <c r="M921" s="404"/>
      <c r="N921" s="403"/>
      <c r="O921" s="403"/>
      <c r="P921" s="403"/>
      <c r="Q921" s="403"/>
      <c r="R921" s="403"/>
      <c r="S921" s="403"/>
      <c r="T921" s="360"/>
      <c r="U921" s="360"/>
      <c r="V921" s="360"/>
      <c r="W921" s="360"/>
      <c r="X921" s="360"/>
      <c r="Y921" s="360"/>
      <c r="Z921" s="360"/>
      <c r="AA921" s="360"/>
      <c r="AB921" s="360"/>
      <c r="AC921" s="360"/>
      <c r="AD921" s="360"/>
      <c r="AE921" s="360"/>
      <c r="AF921" s="360"/>
      <c r="AG921" s="360"/>
      <c r="AH921" s="360"/>
    </row>
    <row r="922" ht="18.75" customHeight="1">
      <c r="A922" s="399"/>
      <c r="B922" s="400"/>
      <c r="C922" s="400"/>
      <c r="D922" s="360"/>
      <c r="E922" s="401"/>
      <c r="F922" s="402"/>
      <c r="G922" s="403"/>
      <c r="H922" s="403"/>
      <c r="I922" s="403"/>
      <c r="J922" s="403"/>
      <c r="K922" s="403"/>
      <c r="L922" s="403"/>
      <c r="M922" s="404"/>
      <c r="N922" s="403"/>
      <c r="O922" s="403"/>
      <c r="P922" s="403"/>
      <c r="Q922" s="403"/>
      <c r="R922" s="403"/>
      <c r="S922" s="403"/>
      <c r="T922" s="360"/>
      <c r="U922" s="360"/>
      <c r="V922" s="360"/>
      <c r="W922" s="360"/>
      <c r="X922" s="360"/>
      <c r="Y922" s="360"/>
      <c r="Z922" s="360"/>
      <c r="AA922" s="360"/>
      <c r="AB922" s="360"/>
      <c r="AC922" s="360"/>
      <c r="AD922" s="360"/>
      <c r="AE922" s="360"/>
      <c r="AF922" s="360"/>
      <c r="AG922" s="360"/>
      <c r="AH922" s="360"/>
    </row>
    <row r="923" ht="18.75" customHeight="1">
      <c r="A923" s="399"/>
      <c r="B923" s="400"/>
      <c r="C923" s="400"/>
      <c r="D923" s="360"/>
      <c r="E923" s="401"/>
      <c r="F923" s="402"/>
      <c r="G923" s="403"/>
      <c r="H923" s="403"/>
      <c r="I923" s="403"/>
      <c r="J923" s="403"/>
      <c r="K923" s="403"/>
      <c r="L923" s="403"/>
      <c r="M923" s="404"/>
      <c r="N923" s="403"/>
      <c r="O923" s="403"/>
      <c r="P923" s="403"/>
      <c r="Q923" s="403"/>
      <c r="R923" s="403"/>
      <c r="S923" s="403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/>
      <c r="AH923" s="360"/>
    </row>
    <row r="924" ht="18.75" customHeight="1">
      <c r="A924" s="399"/>
      <c r="B924" s="400"/>
      <c r="C924" s="400"/>
      <c r="D924" s="360"/>
      <c r="E924" s="401"/>
      <c r="F924" s="402"/>
      <c r="G924" s="403"/>
      <c r="H924" s="403"/>
      <c r="I924" s="403"/>
      <c r="J924" s="403"/>
      <c r="K924" s="403"/>
      <c r="L924" s="403"/>
      <c r="M924" s="404"/>
      <c r="N924" s="403"/>
      <c r="O924" s="403"/>
      <c r="P924" s="403"/>
      <c r="Q924" s="403"/>
      <c r="R924" s="403"/>
      <c r="S924" s="403"/>
      <c r="T924" s="360"/>
      <c r="U924" s="360"/>
      <c r="V924" s="360"/>
      <c r="W924" s="360"/>
      <c r="X924" s="360"/>
      <c r="Y924" s="360"/>
      <c r="Z924" s="360"/>
      <c r="AA924" s="360"/>
      <c r="AB924" s="360"/>
      <c r="AC924" s="360"/>
      <c r="AD924" s="360"/>
      <c r="AE924" s="360"/>
      <c r="AF924" s="360"/>
      <c r="AG924" s="360"/>
      <c r="AH924" s="360"/>
    </row>
    <row r="925" ht="18.75" customHeight="1">
      <c r="A925" s="399"/>
      <c r="B925" s="400"/>
      <c r="C925" s="400"/>
      <c r="D925" s="360"/>
      <c r="E925" s="401"/>
      <c r="F925" s="402"/>
      <c r="G925" s="403"/>
      <c r="H925" s="403"/>
      <c r="I925" s="403"/>
      <c r="J925" s="403"/>
      <c r="K925" s="403"/>
      <c r="L925" s="403"/>
      <c r="M925" s="404"/>
      <c r="N925" s="403"/>
      <c r="O925" s="403"/>
      <c r="P925" s="403"/>
      <c r="Q925" s="403"/>
      <c r="R925" s="403"/>
      <c r="S925" s="403"/>
      <c r="T925" s="360"/>
      <c r="U925" s="360"/>
      <c r="V925" s="360"/>
      <c r="W925" s="360"/>
      <c r="X925" s="360"/>
      <c r="Y925" s="360"/>
      <c r="Z925" s="360"/>
      <c r="AA925" s="360"/>
      <c r="AB925" s="360"/>
      <c r="AC925" s="360"/>
      <c r="AD925" s="360"/>
      <c r="AE925" s="360"/>
      <c r="AF925" s="360"/>
      <c r="AG925" s="360"/>
      <c r="AH925" s="360"/>
    </row>
    <row r="926" ht="18.75" customHeight="1">
      <c r="A926" s="399"/>
      <c r="B926" s="400"/>
      <c r="C926" s="400"/>
      <c r="D926" s="360"/>
      <c r="E926" s="401"/>
      <c r="F926" s="402"/>
      <c r="G926" s="403"/>
      <c r="H926" s="403"/>
      <c r="I926" s="403"/>
      <c r="J926" s="403"/>
      <c r="K926" s="403"/>
      <c r="L926" s="403"/>
      <c r="M926" s="404"/>
      <c r="N926" s="403"/>
      <c r="O926" s="403"/>
      <c r="P926" s="403"/>
      <c r="Q926" s="403"/>
      <c r="R926" s="403"/>
      <c r="S926" s="403"/>
      <c r="T926" s="360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  <c r="AG926" s="360"/>
      <c r="AH926" s="360"/>
    </row>
    <row r="927" ht="18.75" customHeight="1">
      <c r="A927" s="399"/>
      <c r="B927" s="400"/>
      <c r="C927" s="400"/>
      <c r="D927" s="360"/>
      <c r="E927" s="401"/>
      <c r="F927" s="402"/>
      <c r="G927" s="403"/>
      <c r="H927" s="403"/>
      <c r="I927" s="403"/>
      <c r="J927" s="403"/>
      <c r="K927" s="403"/>
      <c r="L927" s="403"/>
      <c r="M927" s="404"/>
      <c r="N927" s="403"/>
      <c r="O927" s="403"/>
      <c r="P927" s="403"/>
      <c r="Q927" s="403"/>
      <c r="R927" s="403"/>
      <c r="S927" s="403"/>
      <c r="T927" s="360"/>
      <c r="U927" s="360"/>
      <c r="V927" s="360"/>
      <c r="W927" s="360"/>
      <c r="X927" s="360"/>
      <c r="Y927" s="360"/>
      <c r="Z927" s="360"/>
      <c r="AA927" s="360"/>
      <c r="AB927" s="360"/>
      <c r="AC927" s="360"/>
      <c r="AD927" s="360"/>
      <c r="AE927" s="360"/>
      <c r="AF927" s="360"/>
      <c r="AG927" s="360"/>
      <c r="AH927" s="360"/>
    </row>
    <row r="928" ht="18.75" customHeight="1">
      <c r="A928" s="399"/>
      <c r="B928" s="400"/>
      <c r="C928" s="400"/>
      <c r="D928" s="360"/>
      <c r="E928" s="401"/>
      <c r="F928" s="402"/>
      <c r="G928" s="403"/>
      <c r="H928" s="403"/>
      <c r="I928" s="403"/>
      <c r="J928" s="403"/>
      <c r="K928" s="403"/>
      <c r="L928" s="403"/>
      <c r="M928" s="404"/>
      <c r="N928" s="403"/>
      <c r="O928" s="403"/>
      <c r="P928" s="403"/>
      <c r="Q928" s="403"/>
      <c r="R928" s="403"/>
      <c r="S928" s="403"/>
      <c r="T928" s="360"/>
      <c r="U928" s="360"/>
      <c r="V928" s="360"/>
      <c r="W928" s="360"/>
      <c r="X928" s="360"/>
      <c r="Y928" s="360"/>
      <c r="Z928" s="360"/>
      <c r="AA928" s="360"/>
      <c r="AB928" s="360"/>
      <c r="AC928" s="360"/>
      <c r="AD928" s="360"/>
      <c r="AE928" s="360"/>
      <c r="AF928" s="360"/>
      <c r="AG928" s="360"/>
      <c r="AH928" s="360"/>
    </row>
    <row r="929" ht="18.75" customHeight="1">
      <c r="A929" s="399"/>
      <c r="B929" s="400"/>
      <c r="C929" s="400"/>
      <c r="D929" s="360"/>
      <c r="E929" s="401"/>
      <c r="F929" s="402"/>
      <c r="G929" s="403"/>
      <c r="H929" s="403"/>
      <c r="I929" s="403"/>
      <c r="J929" s="403"/>
      <c r="K929" s="403"/>
      <c r="L929" s="403"/>
      <c r="M929" s="404"/>
      <c r="N929" s="403"/>
      <c r="O929" s="403"/>
      <c r="P929" s="403"/>
      <c r="Q929" s="403"/>
      <c r="R929" s="403"/>
      <c r="S929" s="403"/>
      <c r="T929" s="360"/>
      <c r="U929" s="360"/>
      <c r="V929" s="360"/>
      <c r="W929" s="360"/>
      <c r="X929" s="360"/>
      <c r="Y929" s="360"/>
      <c r="Z929" s="360"/>
      <c r="AA929" s="360"/>
      <c r="AB929" s="360"/>
      <c r="AC929" s="360"/>
      <c r="AD929" s="360"/>
      <c r="AE929" s="360"/>
      <c r="AF929" s="360"/>
      <c r="AG929" s="360"/>
      <c r="AH929" s="360"/>
    </row>
    <row r="930" ht="18.75" customHeight="1">
      <c r="A930" s="399"/>
      <c r="B930" s="400"/>
      <c r="C930" s="400"/>
      <c r="D930" s="360"/>
      <c r="E930" s="401"/>
      <c r="F930" s="402"/>
      <c r="G930" s="403"/>
      <c r="H930" s="403"/>
      <c r="I930" s="403"/>
      <c r="J930" s="403"/>
      <c r="K930" s="403"/>
      <c r="L930" s="403"/>
      <c r="M930" s="404"/>
      <c r="N930" s="403"/>
      <c r="O930" s="403"/>
      <c r="P930" s="403"/>
      <c r="Q930" s="403"/>
      <c r="R930" s="403"/>
      <c r="S930" s="403"/>
      <c r="T930" s="360"/>
      <c r="U930" s="360"/>
      <c r="V930" s="360"/>
      <c r="W930" s="360"/>
      <c r="X930" s="360"/>
      <c r="Y930" s="360"/>
      <c r="Z930" s="360"/>
      <c r="AA930" s="360"/>
      <c r="AB930" s="360"/>
      <c r="AC930" s="360"/>
      <c r="AD930" s="360"/>
      <c r="AE930" s="360"/>
      <c r="AF930" s="360"/>
      <c r="AG930" s="360"/>
      <c r="AH930" s="360"/>
    </row>
    <row r="931" ht="18.75" customHeight="1">
      <c r="A931" s="399"/>
      <c r="B931" s="400"/>
      <c r="C931" s="400"/>
      <c r="D931" s="360"/>
      <c r="E931" s="401"/>
      <c r="F931" s="402"/>
      <c r="G931" s="403"/>
      <c r="H931" s="403"/>
      <c r="I931" s="403"/>
      <c r="J931" s="403"/>
      <c r="K931" s="403"/>
      <c r="L931" s="403"/>
      <c r="M931" s="404"/>
      <c r="N931" s="403"/>
      <c r="O931" s="403"/>
      <c r="P931" s="403"/>
      <c r="Q931" s="403"/>
      <c r="R931" s="403"/>
      <c r="S931" s="403"/>
      <c r="T931" s="360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  <c r="AG931" s="360"/>
      <c r="AH931" s="360"/>
    </row>
    <row r="932" ht="18.75" customHeight="1">
      <c r="A932" s="399"/>
      <c r="B932" s="400"/>
      <c r="C932" s="400"/>
      <c r="D932" s="360"/>
      <c r="E932" s="401"/>
      <c r="F932" s="402"/>
      <c r="G932" s="403"/>
      <c r="H932" s="403"/>
      <c r="I932" s="403"/>
      <c r="J932" s="403"/>
      <c r="K932" s="403"/>
      <c r="L932" s="403"/>
      <c r="M932" s="404"/>
      <c r="N932" s="403"/>
      <c r="O932" s="403"/>
      <c r="P932" s="403"/>
      <c r="Q932" s="403"/>
      <c r="R932" s="403"/>
      <c r="S932" s="403"/>
      <c r="T932" s="360"/>
      <c r="U932" s="360"/>
      <c r="V932" s="360"/>
      <c r="W932" s="360"/>
      <c r="X932" s="360"/>
      <c r="Y932" s="360"/>
      <c r="Z932" s="360"/>
      <c r="AA932" s="360"/>
      <c r="AB932" s="360"/>
      <c r="AC932" s="360"/>
      <c r="AD932" s="360"/>
      <c r="AE932" s="360"/>
      <c r="AF932" s="360"/>
      <c r="AG932" s="360"/>
      <c r="AH932" s="360"/>
    </row>
    <row r="933" ht="18.75" customHeight="1">
      <c r="A933" s="399"/>
      <c r="B933" s="400"/>
      <c r="C933" s="400"/>
      <c r="D933" s="360"/>
      <c r="E933" s="401"/>
      <c r="F933" s="402"/>
      <c r="G933" s="403"/>
      <c r="H933" s="403"/>
      <c r="I933" s="403"/>
      <c r="J933" s="403"/>
      <c r="K933" s="403"/>
      <c r="L933" s="403"/>
      <c r="M933" s="404"/>
      <c r="N933" s="403"/>
      <c r="O933" s="403"/>
      <c r="P933" s="403"/>
      <c r="Q933" s="403"/>
      <c r="R933" s="403"/>
      <c r="S933" s="403"/>
      <c r="T933" s="360"/>
      <c r="U933" s="360"/>
      <c r="V933" s="360"/>
      <c r="W933" s="360"/>
      <c r="X933" s="360"/>
      <c r="Y933" s="360"/>
      <c r="Z933" s="360"/>
      <c r="AA933" s="360"/>
      <c r="AB933" s="360"/>
      <c r="AC933" s="360"/>
      <c r="AD933" s="360"/>
      <c r="AE933" s="360"/>
      <c r="AF933" s="360"/>
      <c r="AG933" s="360"/>
      <c r="AH933" s="360"/>
    </row>
    <row r="934" ht="18.75" customHeight="1">
      <c r="A934" s="399"/>
      <c r="B934" s="400"/>
      <c r="C934" s="400"/>
      <c r="D934" s="360"/>
      <c r="E934" s="401"/>
      <c r="F934" s="402"/>
      <c r="G934" s="403"/>
      <c r="H934" s="403"/>
      <c r="I934" s="403"/>
      <c r="J934" s="403"/>
      <c r="K934" s="403"/>
      <c r="L934" s="403"/>
      <c r="M934" s="404"/>
      <c r="N934" s="403"/>
      <c r="O934" s="403"/>
      <c r="P934" s="403"/>
      <c r="Q934" s="403"/>
      <c r="R934" s="403"/>
      <c r="S934" s="403"/>
      <c r="T934" s="360"/>
      <c r="U934" s="360"/>
      <c r="V934" s="360"/>
      <c r="W934" s="360"/>
      <c r="X934" s="360"/>
      <c r="Y934" s="360"/>
      <c r="Z934" s="360"/>
      <c r="AA934" s="360"/>
      <c r="AB934" s="360"/>
      <c r="AC934" s="360"/>
      <c r="AD934" s="360"/>
      <c r="AE934" s="360"/>
      <c r="AF934" s="360"/>
      <c r="AG934" s="360"/>
      <c r="AH934" s="360"/>
    </row>
    <row r="935" ht="18.75" customHeight="1">
      <c r="A935" s="399"/>
      <c r="B935" s="400"/>
      <c r="C935" s="400"/>
      <c r="D935" s="360"/>
      <c r="E935" s="401"/>
      <c r="F935" s="402"/>
      <c r="G935" s="403"/>
      <c r="H935" s="403"/>
      <c r="I935" s="403"/>
      <c r="J935" s="403"/>
      <c r="K935" s="403"/>
      <c r="L935" s="403"/>
      <c r="M935" s="404"/>
      <c r="N935" s="403"/>
      <c r="O935" s="403"/>
      <c r="P935" s="403"/>
      <c r="Q935" s="403"/>
      <c r="R935" s="403"/>
      <c r="S935" s="403"/>
      <c r="T935" s="360"/>
      <c r="U935" s="360"/>
      <c r="V935" s="360"/>
      <c r="W935" s="360"/>
      <c r="X935" s="360"/>
      <c r="Y935" s="360"/>
      <c r="Z935" s="360"/>
      <c r="AA935" s="360"/>
      <c r="AB935" s="360"/>
      <c r="AC935" s="360"/>
      <c r="AD935" s="360"/>
      <c r="AE935" s="360"/>
      <c r="AF935" s="360"/>
      <c r="AG935" s="360"/>
      <c r="AH935" s="360"/>
    </row>
    <row r="936" ht="18.75" customHeight="1">
      <c r="A936" s="399"/>
      <c r="B936" s="400"/>
      <c r="C936" s="400"/>
      <c r="D936" s="360"/>
      <c r="E936" s="401"/>
      <c r="F936" s="402"/>
      <c r="G936" s="403"/>
      <c r="H936" s="403"/>
      <c r="I936" s="403"/>
      <c r="J936" s="403"/>
      <c r="K936" s="403"/>
      <c r="L936" s="403"/>
      <c r="M936" s="404"/>
      <c r="N936" s="403"/>
      <c r="O936" s="403"/>
      <c r="P936" s="403"/>
      <c r="Q936" s="403"/>
      <c r="R936" s="403"/>
      <c r="S936" s="403"/>
      <c r="T936" s="360"/>
      <c r="U936" s="360"/>
      <c r="V936" s="360"/>
      <c r="W936" s="360"/>
      <c r="X936" s="360"/>
      <c r="Y936" s="360"/>
      <c r="Z936" s="360"/>
      <c r="AA936" s="360"/>
      <c r="AB936" s="360"/>
      <c r="AC936" s="360"/>
      <c r="AD936" s="360"/>
      <c r="AE936" s="360"/>
      <c r="AF936" s="360"/>
      <c r="AG936" s="360"/>
      <c r="AH936" s="360"/>
    </row>
    <row r="937" ht="18.75" customHeight="1">
      <c r="A937" s="399"/>
      <c r="B937" s="400"/>
      <c r="C937" s="400"/>
      <c r="D937" s="360"/>
      <c r="E937" s="401"/>
      <c r="F937" s="402"/>
      <c r="G937" s="403"/>
      <c r="H937" s="403"/>
      <c r="I937" s="403"/>
      <c r="J937" s="403"/>
      <c r="K937" s="403"/>
      <c r="L937" s="403"/>
      <c r="M937" s="404"/>
      <c r="N937" s="403"/>
      <c r="O937" s="403"/>
      <c r="P937" s="403"/>
      <c r="Q937" s="403"/>
      <c r="R937" s="403"/>
      <c r="S937" s="403"/>
      <c r="T937" s="360"/>
      <c r="U937" s="360"/>
      <c r="V937" s="360"/>
      <c r="W937" s="360"/>
      <c r="X937" s="360"/>
      <c r="Y937" s="360"/>
      <c r="Z937" s="360"/>
      <c r="AA937" s="360"/>
      <c r="AB937" s="360"/>
      <c r="AC937" s="360"/>
      <c r="AD937" s="360"/>
      <c r="AE937" s="360"/>
      <c r="AF937" s="360"/>
      <c r="AG937" s="360"/>
      <c r="AH937" s="360"/>
    </row>
    <row r="938" ht="18.75" customHeight="1">
      <c r="A938" s="399"/>
      <c r="B938" s="400"/>
      <c r="C938" s="400"/>
      <c r="D938" s="360"/>
      <c r="E938" s="401"/>
      <c r="F938" s="402"/>
      <c r="G938" s="403"/>
      <c r="H938" s="403"/>
      <c r="I938" s="403"/>
      <c r="J938" s="403"/>
      <c r="K938" s="403"/>
      <c r="L938" s="403"/>
      <c r="M938" s="404"/>
      <c r="N938" s="403"/>
      <c r="O938" s="403"/>
      <c r="P938" s="403"/>
      <c r="Q938" s="403"/>
      <c r="R938" s="403"/>
      <c r="S938" s="403"/>
      <c r="T938" s="360"/>
      <c r="U938" s="360"/>
      <c r="V938" s="360"/>
      <c r="W938" s="360"/>
      <c r="X938" s="360"/>
      <c r="Y938" s="360"/>
      <c r="Z938" s="360"/>
      <c r="AA938" s="360"/>
      <c r="AB938" s="360"/>
      <c r="AC938" s="360"/>
      <c r="AD938" s="360"/>
      <c r="AE938" s="360"/>
      <c r="AF938" s="360"/>
      <c r="AG938" s="360"/>
      <c r="AH938" s="360"/>
    </row>
    <row r="939" ht="18.75" customHeight="1">
      <c r="A939" s="399"/>
      <c r="B939" s="400"/>
      <c r="C939" s="400"/>
      <c r="D939" s="360"/>
      <c r="E939" s="401"/>
      <c r="F939" s="402"/>
      <c r="G939" s="403"/>
      <c r="H939" s="403"/>
      <c r="I939" s="403"/>
      <c r="J939" s="403"/>
      <c r="K939" s="403"/>
      <c r="L939" s="403"/>
      <c r="M939" s="404"/>
      <c r="N939" s="403"/>
      <c r="O939" s="403"/>
      <c r="P939" s="403"/>
      <c r="Q939" s="403"/>
      <c r="R939" s="403"/>
      <c r="S939" s="403"/>
      <c r="T939" s="360"/>
      <c r="U939" s="360"/>
      <c r="V939" s="360"/>
      <c r="W939" s="360"/>
      <c r="X939" s="360"/>
      <c r="Y939" s="360"/>
      <c r="Z939" s="360"/>
      <c r="AA939" s="360"/>
      <c r="AB939" s="360"/>
      <c r="AC939" s="360"/>
      <c r="AD939" s="360"/>
      <c r="AE939" s="360"/>
      <c r="AF939" s="360"/>
      <c r="AG939" s="360"/>
      <c r="AH939" s="360"/>
    </row>
    <row r="940" ht="18.75" customHeight="1">
      <c r="A940" s="399"/>
      <c r="B940" s="400"/>
      <c r="C940" s="400"/>
      <c r="D940" s="360"/>
      <c r="E940" s="401"/>
      <c r="F940" s="402"/>
      <c r="G940" s="403"/>
      <c r="H940" s="403"/>
      <c r="I940" s="403"/>
      <c r="J940" s="403"/>
      <c r="K940" s="403"/>
      <c r="L940" s="403"/>
      <c r="M940" s="404"/>
      <c r="N940" s="403"/>
      <c r="O940" s="403"/>
      <c r="P940" s="403"/>
      <c r="Q940" s="403"/>
      <c r="R940" s="403"/>
      <c r="S940" s="403"/>
      <c r="T940" s="360"/>
      <c r="U940" s="360"/>
      <c r="V940" s="360"/>
      <c r="W940" s="360"/>
      <c r="X940" s="360"/>
      <c r="Y940" s="360"/>
      <c r="Z940" s="360"/>
      <c r="AA940" s="360"/>
      <c r="AB940" s="360"/>
      <c r="AC940" s="360"/>
      <c r="AD940" s="360"/>
      <c r="AE940" s="360"/>
      <c r="AF940" s="360"/>
      <c r="AG940" s="360"/>
      <c r="AH940" s="360"/>
    </row>
    <row r="941" ht="18.75" customHeight="1">
      <c r="A941" s="399"/>
      <c r="B941" s="400"/>
      <c r="C941" s="400"/>
      <c r="D941" s="360"/>
      <c r="E941" s="401"/>
      <c r="F941" s="402"/>
      <c r="G941" s="403"/>
      <c r="H941" s="403"/>
      <c r="I941" s="403"/>
      <c r="J941" s="403"/>
      <c r="K941" s="403"/>
      <c r="L941" s="403"/>
      <c r="M941" s="404"/>
      <c r="N941" s="403"/>
      <c r="O941" s="403"/>
      <c r="P941" s="403"/>
      <c r="Q941" s="403"/>
      <c r="R941" s="403"/>
      <c r="S941" s="403"/>
      <c r="T941" s="360"/>
      <c r="U941" s="360"/>
      <c r="V941" s="360"/>
      <c r="W941" s="360"/>
      <c r="X941" s="360"/>
      <c r="Y941" s="360"/>
      <c r="Z941" s="360"/>
      <c r="AA941" s="360"/>
      <c r="AB941" s="360"/>
      <c r="AC941" s="360"/>
      <c r="AD941" s="360"/>
      <c r="AE941" s="360"/>
      <c r="AF941" s="360"/>
      <c r="AG941" s="360"/>
      <c r="AH941" s="360"/>
    </row>
    <row r="942" ht="18.75" customHeight="1">
      <c r="A942" s="399"/>
      <c r="B942" s="400"/>
      <c r="C942" s="400"/>
      <c r="D942" s="360"/>
      <c r="E942" s="401"/>
      <c r="F942" s="402"/>
      <c r="G942" s="403"/>
      <c r="H942" s="403"/>
      <c r="I942" s="403"/>
      <c r="J942" s="403"/>
      <c r="K942" s="403"/>
      <c r="L942" s="403"/>
      <c r="M942" s="404"/>
      <c r="N942" s="403"/>
      <c r="O942" s="403"/>
      <c r="P942" s="403"/>
      <c r="Q942" s="403"/>
      <c r="R942" s="403"/>
      <c r="S942" s="403"/>
      <c r="T942" s="360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  <c r="AG942" s="360"/>
      <c r="AH942" s="360"/>
    </row>
    <row r="943" ht="18.75" customHeight="1">
      <c r="A943" s="399"/>
      <c r="B943" s="400"/>
      <c r="C943" s="400"/>
      <c r="D943" s="360"/>
      <c r="E943" s="401"/>
      <c r="F943" s="402"/>
      <c r="G943" s="403"/>
      <c r="H943" s="403"/>
      <c r="I943" s="403"/>
      <c r="J943" s="403"/>
      <c r="K943" s="403"/>
      <c r="L943" s="403"/>
      <c r="M943" s="404"/>
      <c r="N943" s="403"/>
      <c r="O943" s="403"/>
      <c r="P943" s="403"/>
      <c r="Q943" s="403"/>
      <c r="R943" s="403"/>
      <c r="S943" s="403"/>
      <c r="T943" s="360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  <c r="AG943" s="360"/>
      <c r="AH943" s="360"/>
    </row>
    <row r="944" ht="18.75" customHeight="1">
      <c r="A944" s="399"/>
      <c r="B944" s="400"/>
      <c r="C944" s="400"/>
      <c r="D944" s="360"/>
      <c r="E944" s="401"/>
      <c r="F944" s="402"/>
      <c r="G944" s="403"/>
      <c r="H944" s="403"/>
      <c r="I944" s="403"/>
      <c r="J944" s="403"/>
      <c r="K944" s="403"/>
      <c r="L944" s="403"/>
      <c r="M944" s="404"/>
      <c r="N944" s="403"/>
      <c r="O944" s="403"/>
      <c r="P944" s="403"/>
      <c r="Q944" s="403"/>
      <c r="R944" s="403"/>
      <c r="S944" s="403"/>
      <c r="T944" s="360"/>
      <c r="U944" s="360"/>
      <c r="V944" s="360"/>
      <c r="W944" s="360"/>
      <c r="X944" s="360"/>
      <c r="Y944" s="360"/>
      <c r="Z944" s="360"/>
      <c r="AA944" s="360"/>
      <c r="AB944" s="360"/>
      <c r="AC944" s="360"/>
      <c r="AD944" s="360"/>
      <c r="AE944" s="360"/>
      <c r="AF944" s="360"/>
      <c r="AG944" s="360"/>
      <c r="AH944" s="360"/>
    </row>
    <row r="945" ht="18.75" customHeight="1">
      <c r="A945" s="399"/>
      <c r="B945" s="400"/>
      <c r="C945" s="400"/>
      <c r="D945" s="360"/>
      <c r="E945" s="401"/>
      <c r="F945" s="402"/>
      <c r="G945" s="403"/>
      <c r="H945" s="403"/>
      <c r="I945" s="403"/>
      <c r="J945" s="403"/>
      <c r="K945" s="403"/>
      <c r="L945" s="403"/>
      <c r="M945" s="404"/>
      <c r="N945" s="403"/>
      <c r="O945" s="403"/>
      <c r="P945" s="403"/>
      <c r="Q945" s="403"/>
      <c r="R945" s="403"/>
      <c r="S945" s="403"/>
      <c r="T945" s="360"/>
      <c r="U945" s="360"/>
      <c r="V945" s="360"/>
      <c r="W945" s="360"/>
      <c r="X945" s="360"/>
      <c r="Y945" s="360"/>
      <c r="Z945" s="360"/>
      <c r="AA945" s="360"/>
      <c r="AB945" s="360"/>
      <c r="AC945" s="360"/>
      <c r="AD945" s="360"/>
      <c r="AE945" s="360"/>
      <c r="AF945" s="360"/>
      <c r="AG945" s="360"/>
      <c r="AH945" s="360"/>
    </row>
    <row r="946" ht="18.75" customHeight="1">
      <c r="A946" s="399"/>
      <c r="B946" s="400"/>
      <c r="C946" s="400"/>
      <c r="D946" s="360"/>
      <c r="E946" s="401"/>
      <c r="F946" s="402"/>
      <c r="G946" s="403"/>
      <c r="H946" s="403"/>
      <c r="I946" s="403"/>
      <c r="J946" s="403"/>
      <c r="K946" s="403"/>
      <c r="L946" s="403"/>
      <c r="M946" s="404"/>
      <c r="N946" s="403"/>
      <c r="O946" s="403"/>
      <c r="P946" s="403"/>
      <c r="Q946" s="403"/>
      <c r="R946" s="403"/>
      <c r="S946" s="403"/>
      <c r="T946" s="360"/>
      <c r="U946" s="360"/>
      <c r="V946" s="360"/>
      <c r="W946" s="360"/>
      <c r="X946" s="360"/>
      <c r="Y946" s="360"/>
      <c r="Z946" s="360"/>
      <c r="AA946" s="360"/>
      <c r="AB946" s="360"/>
      <c r="AC946" s="360"/>
      <c r="AD946" s="360"/>
      <c r="AE946" s="360"/>
      <c r="AF946" s="360"/>
      <c r="AG946" s="360"/>
      <c r="AH946" s="360"/>
    </row>
    <row r="947" ht="18.75" customHeight="1">
      <c r="A947" s="399"/>
      <c r="B947" s="400"/>
      <c r="C947" s="400"/>
      <c r="D947" s="360"/>
      <c r="E947" s="401"/>
      <c r="F947" s="402"/>
      <c r="G947" s="403"/>
      <c r="H947" s="403"/>
      <c r="I947" s="403"/>
      <c r="J947" s="403"/>
      <c r="K947" s="403"/>
      <c r="L947" s="403"/>
      <c r="M947" s="404"/>
      <c r="N947" s="403"/>
      <c r="O947" s="403"/>
      <c r="P947" s="403"/>
      <c r="Q947" s="403"/>
      <c r="R947" s="403"/>
      <c r="S947" s="403"/>
      <c r="T947" s="360"/>
      <c r="U947" s="360"/>
      <c r="V947" s="360"/>
      <c r="W947" s="360"/>
      <c r="X947" s="360"/>
      <c r="Y947" s="360"/>
      <c r="Z947" s="360"/>
      <c r="AA947" s="360"/>
      <c r="AB947" s="360"/>
      <c r="AC947" s="360"/>
      <c r="AD947" s="360"/>
      <c r="AE947" s="360"/>
      <c r="AF947" s="360"/>
      <c r="AG947" s="360"/>
      <c r="AH947" s="360"/>
    </row>
    <row r="948" ht="18.75" customHeight="1">
      <c r="A948" s="399"/>
      <c r="B948" s="400"/>
      <c r="C948" s="400"/>
      <c r="D948" s="360"/>
      <c r="E948" s="401"/>
      <c r="F948" s="402"/>
      <c r="G948" s="403"/>
      <c r="H948" s="403"/>
      <c r="I948" s="403"/>
      <c r="J948" s="403"/>
      <c r="K948" s="403"/>
      <c r="L948" s="403"/>
      <c r="M948" s="404"/>
      <c r="N948" s="403"/>
      <c r="O948" s="403"/>
      <c r="P948" s="403"/>
      <c r="Q948" s="403"/>
      <c r="R948" s="403"/>
      <c r="S948" s="403"/>
      <c r="T948" s="360"/>
      <c r="U948" s="360"/>
      <c r="V948" s="360"/>
      <c r="W948" s="360"/>
      <c r="X948" s="360"/>
      <c r="Y948" s="360"/>
      <c r="Z948" s="360"/>
      <c r="AA948" s="360"/>
      <c r="AB948" s="360"/>
      <c r="AC948" s="360"/>
      <c r="AD948" s="360"/>
      <c r="AE948" s="360"/>
      <c r="AF948" s="360"/>
      <c r="AG948" s="360"/>
      <c r="AH948" s="360"/>
    </row>
    <row r="949" ht="18.75" customHeight="1">
      <c r="A949" s="399"/>
      <c r="B949" s="400"/>
      <c r="C949" s="400"/>
      <c r="D949" s="360"/>
      <c r="E949" s="401"/>
      <c r="F949" s="402"/>
      <c r="G949" s="403"/>
      <c r="H949" s="403"/>
      <c r="I949" s="403"/>
      <c r="J949" s="403"/>
      <c r="K949" s="403"/>
      <c r="L949" s="403"/>
      <c r="M949" s="404"/>
      <c r="N949" s="403"/>
      <c r="O949" s="403"/>
      <c r="P949" s="403"/>
      <c r="Q949" s="403"/>
      <c r="R949" s="403"/>
      <c r="S949" s="403"/>
      <c r="T949" s="360"/>
      <c r="U949" s="360"/>
      <c r="V949" s="360"/>
      <c r="W949" s="360"/>
      <c r="X949" s="360"/>
      <c r="Y949" s="360"/>
      <c r="Z949" s="360"/>
      <c r="AA949" s="360"/>
      <c r="AB949" s="360"/>
      <c r="AC949" s="360"/>
      <c r="AD949" s="360"/>
      <c r="AE949" s="360"/>
      <c r="AF949" s="360"/>
      <c r="AG949" s="360"/>
      <c r="AH949" s="360"/>
    </row>
    <row r="950" ht="18.75" customHeight="1">
      <c r="A950" s="399"/>
      <c r="B950" s="400"/>
      <c r="C950" s="400"/>
      <c r="D950" s="360"/>
      <c r="E950" s="401"/>
      <c r="F950" s="402"/>
      <c r="G950" s="403"/>
      <c r="H950" s="403"/>
      <c r="I950" s="403"/>
      <c r="J950" s="403"/>
      <c r="K950" s="403"/>
      <c r="L950" s="403"/>
      <c r="M950" s="404"/>
      <c r="N950" s="403"/>
      <c r="O950" s="403"/>
      <c r="P950" s="403"/>
      <c r="Q950" s="403"/>
      <c r="R950" s="403"/>
      <c r="S950" s="403"/>
      <c r="T950" s="360"/>
      <c r="U950" s="360"/>
      <c r="V950" s="360"/>
      <c r="W950" s="360"/>
      <c r="X950" s="360"/>
      <c r="Y950" s="360"/>
      <c r="Z950" s="360"/>
      <c r="AA950" s="360"/>
      <c r="AB950" s="360"/>
      <c r="AC950" s="360"/>
      <c r="AD950" s="360"/>
      <c r="AE950" s="360"/>
      <c r="AF950" s="360"/>
      <c r="AG950" s="360"/>
      <c r="AH950" s="360"/>
    </row>
    <row r="951" ht="18.75" customHeight="1">
      <c r="A951" s="399"/>
      <c r="B951" s="400"/>
      <c r="C951" s="400"/>
      <c r="D951" s="360"/>
      <c r="E951" s="401"/>
      <c r="F951" s="402"/>
      <c r="G951" s="403"/>
      <c r="H951" s="403"/>
      <c r="I951" s="403"/>
      <c r="J951" s="403"/>
      <c r="K951" s="403"/>
      <c r="L951" s="403"/>
      <c r="M951" s="404"/>
      <c r="N951" s="403"/>
      <c r="O951" s="403"/>
      <c r="P951" s="403"/>
      <c r="Q951" s="403"/>
      <c r="R951" s="403"/>
      <c r="S951" s="403"/>
      <c r="T951" s="360"/>
      <c r="U951" s="360"/>
      <c r="V951" s="360"/>
      <c r="W951" s="360"/>
      <c r="X951" s="360"/>
      <c r="Y951" s="360"/>
      <c r="Z951" s="360"/>
      <c r="AA951" s="360"/>
      <c r="AB951" s="360"/>
      <c r="AC951" s="360"/>
      <c r="AD951" s="360"/>
      <c r="AE951" s="360"/>
      <c r="AF951" s="360"/>
      <c r="AG951" s="360"/>
      <c r="AH951" s="360"/>
    </row>
    <row r="952" ht="18.75" customHeight="1">
      <c r="A952" s="399"/>
      <c r="B952" s="400"/>
      <c r="C952" s="400"/>
      <c r="D952" s="360"/>
      <c r="E952" s="401"/>
      <c r="F952" s="402"/>
      <c r="G952" s="403"/>
      <c r="H952" s="403"/>
      <c r="I952" s="403"/>
      <c r="J952" s="403"/>
      <c r="K952" s="403"/>
      <c r="L952" s="403"/>
      <c r="M952" s="404"/>
      <c r="N952" s="403"/>
      <c r="O952" s="403"/>
      <c r="P952" s="403"/>
      <c r="Q952" s="403"/>
      <c r="R952" s="403"/>
      <c r="S952" s="403"/>
      <c r="T952" s="360"/>
      <c r="U952" s="360"/>
      <c r="V952" s="360"/>
      <c r="W952" s="360"/>
      <c r="X952" s="360"/>
      <c r="Y952" s="360"/>
      <c r="Z952" s="360"/>
      <c r="AA952" s="360"/>
      <c r="AB952" s="360"/>
      <c r="AC952" s="360"/>
      <c r="AD952" s="360"/>
      <c r="AE952" s="360"/>
      <c r="AF952" s="360"/>
      <c r="AG952" s="360"/>
      <c r="AH952" s="360"/>
    </row>
    <row r="953" ht="18.75" customHeight="1">
      <c r="A953" s="399"/>
      <c r="B953" s="400"/>
      <c r="C953" s="400"/>
      <c r="D953" s="360"/>
      <c r="E953" s="401"/>
      <c r="F953" s="402"/>
      <c r="G953" s="403"/>
      <c r="H953" s="403"/>
      <c r="I953" s="403"/>
      <c r="J953" s="403"/>
      <c r="K953" s="403"/>
      <c r="L953" s="403"/>
      <c r="M953" s="404"/>
      <c r="N953" s="403"/>
      <c r="O953" s="403"/>
      <c r="P953" s="403"/>
      <c r="Q953" s="403"/>
      <c r="R953" s="403"/>
      <c r="S953" s="403"/>
      <c r="T953" s="360"/>
      <c r="U953" s="360"/>
      <c r="V953" s="360"/>
      <c r="W953" s="360"/>
      <c r="X953" s="360"/>
      <c r="Y953" s="360"/>
      <c r="Z953" s="360"/>
      <c r="AA953" s="360"/>
      <c r="AB953" s="360"/>
      <c r="AC953" s="360"/>
      <c r="AD953" s="360"/>
      <c r="AE953" s="360"/>
      <c r="AF953" s="360"/>
      <c r="AG953" s="360"/>
      <c r="AH953" s="360"/>
    </row>
    <row r="954" ht="18.75" customHeight="1">
      <c r="A954" s="399"/>
      <c r="B954" s="400"/>
      <c r="C954" s="400"/>
      <c r="D954" s="360"/>
      <c r="E954" s="401"/>
      <c r="F954" s="402"/>
      <c r="G954" s="403"/>
      <c r="H954" s="403"/>
      <c r="I954" s="403"/>
      <c r="J954" s="403"/>
      <c r="K954" s="403"/>
      <c r="L954" s="403"/>
      <c r="M954" s="404"/>
      <c r="N954" s="403"/>
      <c r="O954" s="403"/>
      <c r="P954" s="403"/>
      <c r="Q954" s="403"/>
      <c r="R954" s="403"/>
      <c r="S954" s="403"/>
      <c r="T954" s="360"/>
      <c r="U954" s="360"/>
      <c r="V954" s="360"/>
      <c r="W954" s="360"/>
      <c r="X954" s="360"/>
      <c r="Y954" s="360"/>
      <c r="Z954" s="360"/>
      <c r="AA954" s="360"/>
      <c r="AB954" s="360"/>
      <c r="AC954" s="360"/>
      <c r="AD954" s="360"/>
      <c r="AE954" s="360"/>
      <c r="AF954" s="360"/>
      <c r="AG954" s="360"/>
      <c r="AH954" s="360"/>
    </row>
    <row r="955" ht="18.75" customHeight="1">
      <c r="A955" s="399"/>
      <c r="B955" s="400"/>
      <c r="C955" s="400"/>
      <c r="D955" s="360"/>
      <c r="E955" s="401"/>
      <c r="F955" s="402"/>
      <c r="G955" s="403"/>
      <c r="H955" s="403"/>
      <c r="I955" s="403"/>
      <c r="J955" s="403"/>
      <c r="K955" s="403"/>
      <c r="L955" s="403"/>
      <c r="M955" s="404"/>
      <c r="N955" s="403"/>
      <c r="O955" s="403"/>
      <c r="P955" s="403"/>
      <c r="Q955" s="403"/>
      <c r="R955" s="403"/>
      <c r="S955" s="403"/>
      <c r="T955" s="360"/>
      <c r="U955" s="360"/>
      <c r="V955" s="360"/>
      <c r="W955" s="360"/>
      <c r="X955" s="360"/>
      <c r="Y955" s="360"/>
      <c r="Z955" s="360"/>
      <c r="AA955" s="360"/>
      <c r="AB955" s="360"/>
      <c r="AC955" s="360"/>
      <c r="AD955" s="360"/>
      <c r="AE955" s="360"/>
      <c r="AF955" s="360"/>
      <c r="AG955" s="360"/>
      <c r="AH955" s="360"/>
    </row>
    <row r="956" ht="18.75" customHeight="1">
      <c r="A956" s="399"/>
      <c r="B956" s="400"/>
      <c r="C956" s="400"/>
      <c r="D956" s="360"/>
      <c r="E956" s="401"/>
      <c r="F956" s="402"/>
      <c r="G956" s="403"/>
      <c r="H956" s="403"/>
      <c r="I956" s="403"/>
      <c r="J956" s="403"/>
      <c r="K956" s="403"/>
      <c r="L956" s="403"/>
      <c r="M956" s="404"/>
      <c r="N956" s="403"/>
      <c r="O956" s="403"/>
      <c r="P956" s="403"/>
      <c r="Q956" s="403"/>
      <c r="R956" s="403"/>
      <c r="S956" s="403"/>
      <c r="T956" s="360"/>
      <c r="U956" s="360"/>
      <c r="V956" s="360"/>
      <c r="W956" s="360"/>
      <c r="X956" s="360"/>
      <c r="Y956" s="360"/>
      <c r="Z956" s="360"/>
      <c r="AA956" s="360"/>
      <c r="AB956" s="360"/>
      <c r="AC956" s="360"/>
      <c r="AD956" s="360"/>
      <c r="AE956" s="360"/>
      <c r="AF956" s="360"/>
      <c r="AG956" s="360"/>
      <c r="AH956" s="360"/>
    </row>
    <row r="957" ht="18.75" customHeight="1">
      <c r="A957" s="399"/>
      <c r="B957" s="400"/>
      <c r="C957" s="400"/>
      <c r="D957" s="360"/>
      <c r="E957" s="401"/>
      <c r="F957" s="402"/>
      <c r="G957" s="403"/>
      <c r="H957" s="403"/>
      <c r="I957" s="403"/>
      <c r="J957" s="403"/>
      <c r="K957" s="403"/>
      <c r="L957" s="403"/>
      <c r="M957" s="404"/>
      <c r="N957" s="403"/>
      <c r="O957" s="403"/>
      <c r="P957" s="403"/>
      <c r="Q957" s="403"/>
      <c r="R957" s="403"/>
      <c r="S957" s="403"/>
      <c r="T957" s="360"/>
      <c r="U957" s="360"/>
      <c r="V957" s="360"/>
      <c r="W957" s="360"/>
      <c r="X957" s="360"/>
      <c r="Y957" s="360"/>
      <c r="Z957" s="360"/>
      <c r="AA957" s="360"/>
      <c r="AB957" s="360"/>
      <c r="AC957" s="360"/>
      <c r="AD957" s="360"/>
      <c r="AE957" s="360"/>
      <c r="AF957" s="360"/>
      <c r="AG957" s="360"/>
      <c r="AH957" s="360"/>
    </row>
    <row r="958" ht="18.75" customHeight="1">
      <c r="A958" s="399"/>
      <c r="B958" s="400"/>
      <c r="C958" s="400"/>
      <c r="D958" s="360"/>
      <c r="E958" s="401"/>
      <c r="F958" s="402"/>
      <c r="G958" s="403"/>
      <c r="H958" s="403"/>
      <c r="I958" s="403"/>
      <c r="J958" s="403"/>
      <c r="K958" s="403"/>
      <c r="L958" s="403"/>
      <c r="M958" s="404"/>
      <c r="N958" s="403"/>
      <c r="O958" s="403"/>
      <c r="P958" s="403"/>
      <c r="Q958" s="403"/>
      <c r="R958" s="403"/>
      <c r="S958" s="403"/>
      <c r="T958" s="360"/>
      <c r="U958" s="360"/>
      <c r="V958" s="360"/>
      <c r="W958" s="360"/>
      <c r="X958" s="360"/>
      <c r="Y958" s="360"/>
      <c r="Z958" s="360"/>
      <c r="AA958" s="360"/>
      <c r="AB958" s="360"/>
      <c r="AC958" s="360"/>
      <c r="AD958" s="360"/>
      <c r="AE958" s="360"/>
      <c r="AF958" s="360"/>
      <c r="AG958" s="360"/>
      <c r="AH958" s="360"/>
    </row>
    <row r="959" ht="18.75" customHeight="1">
      <c r="A959" s="399"/>
      <c r="B959" s="400"/>
      <c r="C959" s="400"/>
      <c r="D959" s="360"/>
      <c r="E959" s="401"/>
      <c r="F959" s="402"/>
      <c r="G959" s="403"/>
      <c r="H959" s="403"/>
      <c r="I959" s="403"/>
      <c r="J959" s="403"/>
      <c r="K959" s="403"/>
      <c r="L959" s="403"/>
      <c r="M959" s="404"/>
      <c r="N959" s="403"/>
      <c r="O959" s="403"/>
      <c r="P959" s="403"/>
      <c r="Q959" s="403"/>
      <c r="R959" s="403"/>
      <c r="S959" s="403"/>
      <c r="T959" s="360"/>
      <c r="U959" s="360"/>
      <c r="V959" s="360"/>
      <c r="W959" s="360"/>
      <c r="X959" s="360"/>
      <c r="Y959" s="360"/>
      <c r="Z959" s="360"/>
      <c r="AA959" s="360"/>
      <c r="AB959" s="360"/>
      <c r="AC959" s="360"/>
      <c r="AD959" s="360"/>
      <c r="AE959" s="360"/>
      <c r="AF959" s="360"/>
      <c r="AG959" s="360"/>
      <c r="AH959" s="360"/>
    </row>
    <row r="960" ht="18.75" customHeight="1">
      <c r="A960" s="399"/>
      <c r="B960" s="400"/>
      <c r="C960" s="400"/>
      <c r="D960" s="360"/>
      <c r="E960" s="401"/>
      <c r="F960" s="402"/>
      <c r="G960" s="403"/>
      <c r="H960" s="403"/>
      <c r="I960" s="403"/>
      <c r="J960" s="403"/>
      <c r="K960" s="403"/>
      <c r="L960" s="403"/>
      <c r="M960" s="404"/>
      <c r="N960" s="403"/>
      <c r="O960" s="403"/>
      <c r="P960" s="403"/>
      <c r="Q960" s="403"/>
      <c r="R960" s="403"/>
      <c r="S960" s="403"/>
      <c r="T960" s="360"/>
      <c r="U960" s="360"/>
      <c r="V960" s="360"/>
      <c r="W960" s="360"/>
      <c r="X960" s="360"/>
      <c r="Y960" s="360"/>
      <c r="Z960" s="360"/>
      <c r="AA960" s="360"/>
      <c r="AB960" s="360"/>
      <c r="AC960" s="360"/>
      <c r="AD960" s="360"/>
      <c r="AE960" s="360"/>
      <c r="AF960" s="360"/>
      <c r="AG960" s="360"/>
      <c r="AH960" s="360"/>
    </row>
    <row r="961" ht="18.75" customHeight="1">
      <c r="A961" s="399"/>
      <c r="B961" s="400"/>
      <c r="C961" s="400"/>
      <c r="D961" s="360"/>
      <c r="E961" s="401"/>
      <c r="F961" s="402"/>
      <c r="G961" s="403"/>
      <c r="H961" s="403"/>
      <c r="I961" s="403"/>
      <c r="J961" s="403"/>
      <c r="K961" s="403"/>
      <c r="L961" s="403"/>
      <c r="M961" s="404"/>
      <c r="N961" s="403"/>
      <c r="O961" s="403"/>
      <c r="P961" s="403"/>
      <c r="Q961" s="403"/>
      <c r="R961" s="403"/>
      <c r="S961" s="403"/>
      <c r="T961" s="360"/>
      <c r="U961" s="360"/>
      <c r="V961" s="360"/>
      <c r="W961" s="360"/>
      <c r="X961" s="360"/>
      <c r="Y961" s="360"/>
      <c r="Z961" s="360"/>
      <c r="AA961" s="360"/>
      <c r="AB961" s="360"/>
      <c r="AC961" s="360"/>
      <c r="AD961" s="360"/>
      <c r="AE961" s="360"/>
      <c r="AF961" s="360"/>
      <c r="AG961" s="360"/>
      <c r="AH961" s="360"/>
    </row>
    <row r="962" ht="18.75" customHeight="1">
      <c r="A962" s="399"/>
      <c r="B962" s="400"/>
      <c r="C962" s="400"/>
      <c r="D962" s="360"/>
      <c r="E962" s="401"/>
      <c r="F962" s="402"/>
      <c r="G962" s="403"/>
      <c r="H962" s="403"/>
      <c r="I962" s="403"/>
      <c r="J962" s="403"/>
      <c r="K962" s="403"/>
      <c r="L962" s="403"/>
      <c r="M962" s="404"/>
      <c r="N962" s="403"/>
      <c r="O962" s="403"/>
      <c r="P962" s="403"/>
      <c r="Q962" s="403"/>
      <c r="R962" s="403"/>
      <c r="S962" s="403"/>
      <c r="T962" s="360"/>
      <c r="U962" s="360"/>
      <c r="V962" s="360"/>
      <c r="W962" s="360"/>
      <c r="X962" s="360"/>
      <c r="Y962" s="360"/>
      <c r="Z962" s="360"/>
      <c r="AA962" s="360"/>
      <c r="AB962" s="360"/>
      <c r="AC962" s="360"/>
      <c r="AD962" s="360"/>
      <c r="AE962" s="360"/>
      <c r="AF962" s="360"/>
      <c r="AG962" s="360"/>
      <c r="AH962" s="360"/>
    </row>
    <row r="963" ht="18.75" customHeight="1">
      <c r="A963" s="399"/>
      <c r="B963" s="400"/>
      <c r="C963" s="400"/>
      <c r="D963" s="360"/>
      <c r="E963" s="401"/>
      <c r="F963" s="402"/>
      <c r="G963" s="403"/>
      <c r="H963" s="403"/>
      <c r="I963" s="403"/>
      <c r="J963" s="403"/>
      <c r="K963" s="403"/>
      <c r="L963" s="403"/>
      <c r="M963" s="404"/>
      <c r="N963" s="403"/>
      <c r="O963" s="403"/>
      <c r="P963" s="403"/>
      <c r="Q963" s="403"/>
      <c r="R963" s="403"/>
      <c r="S963" s="403"/>
      <c r="T963" s="360"/>
      <c r="U963" s="360"/>
      <c r="V963" s="360"/>
      <c r="W963" s="360"/>
      <c r="X963" s="360"/>
      <c r="Y963" s="360"/>
      <c r="Z963" s="360"/>
      <c r="AA963" s="360"/>
      <c r="AB963" s="360"/>
      <c r="AC963" s="360"/>
      <c r="AD963" s="360"/>
      <c r="AE963" s="360"/>
      <c r="AF963" s="360"/>
      <c r="AG963" s="360"/>
      <c r="AH963" s="360"/>
    </row>
    <row r="964" ht="18.75" customHeight="1">
      <c r="A964" s="399"/>
      <c r="B964" s="400"/>
      <c r="C964" s="400"/>
      <c r="D964" s="360"/>
      <c r="E964" s="401"/>
      <c r="F964" s="402"/>
      <c r="G964" s="403"/>
      <c r="H964" s="403"/>
      <c r="I964" s="403"/>
      <c r="J964" s="403"/>
      <c r="K964" s="403"/>
      <c r="L964" s="403"/>
      <c r="M964" s="404"/>
      <c r="N964" s="403"/>
      <c r="O964" s="403"/>
      <c r="P964" s="403"/>
      <c r="Q964" s="403"/>
      <c r="R964" s="403"/>
      <c r="S964" s="403"/>
      <c r="T964" s="360"/>
      <c r="U964" s="360"/>
      <c r="V964" s="360"/>
      <c r="W964" s="360"/>
      <c r="X964" s="360"/>
      <c r="Y964" s="360"/>
      <c r="Z964" s="360"/>
      <c r="AA964" s="360"/>
      <c r="AB964" s="360"/>
      <c r="AC964" s="360"/>
      <c r="AD964" s="360"/>
      <c r="AE964" s="360"/>
      <c r="AF964" s="360"/>
      <c r="AG964" s="360"/>
      <c r="AH964" s="360"/>
    </row>
    <row r="965" ht="18.75" customHeight="1">
      <c r="A965" s="399"/>
      <c r="B965" s="400"/>
      <c r="C965" s="400"/>
      <c r="D965" s="360"/>
      <c r="E965" s="401"/>
      <c r="F965" s="402"/>
      <c r="G965" s="403"/>
      <c r="H965" s="403"/>
      <c r="I965" s="403"/>
      <c r="J965" s="403"/>
      <c r="K965" s="403"/>
      <c r="L965" s="403"/>
      <c r="M965" s="404"/>
      <c r="N965" s="403"/>
      <c r="O965" s="403"/>
      <c r="P965" s="403"/>
      <c r="Q965" s="403"/>
      <c r="R965" s="403"/>
      <c r="S965" s="403"/>
      <c r="T965" s="360"/>
      <c r="U965" s="360"/>
      <c r="V965" s="360"/>
      <c r="W965" s="360"/>
      <c r="X965" s="360"/>
      <c r="Y965" s="360"/>
      <c r="Z965" s="360"/>
      <c r="AA965" s="360"/>
      <c r="AB965" s="360"/>
      <c r="AC965" s="360"/>
      <c r="AD965" s="360"/>
      <c r="AE965" s="360"/>
      <c r="AF965" s="360"/>
      <c r="AG965" s="360"/>
      <c r="AH965" s="360"/>
    </row>
    <row r="966" ht="18.75" customHeight="1">
      <c r="A966" s="399"/>
      <c r="B966" s="400"/>
      <c r="C966" s="400"/>
      <c r="D966" s="360"/>
      <c r="E966" s="401"/>
      <c r="F966" s="402"/>
      <c r="G966" s="403"/>
      <c r="H966" s="403"/>
      <c r="I966" s="403"/>
      <c r="J966" s="403"/>
      <c r="K966" s="403"/>
      <c r="L966" s="403"/>
      <c r="M966" s="404"/>
      <c r="N966" s="403"/>
      <c r="O966" s="403"/>
      <c r="P966" s="403"/>
      <c r="Q966" s="403"/>
      <c r="R966" s="403"/>
      <c r="S966" s="403"/>
      <c r="T966" s="360"/>
      <c r="U966" s="360"/>
      <c r="V966" s="360"/>
      <c r="W966" s="360"/>
      <c r="X966" s="360"/>
      <c r="Y966" s="360"/>
      <c r="Z966" s="360"/>
      <c r="AA966" s="360"/>
      <c r="AB966" s="360"/>
      <c r="AC966" s="360"/>
      <c r="AD966" s="360"/>
      <c r="AE966" s="360"/>
      <c r="AF966" s="360"/>
      <c r="AG966" s="360"/>
      <c r="AH966" s="360"/>
    </row>
    <row r="967" ht="18.75" customHeight="1">
      <c r="A967" s="399"/>
      <c r="B967" s="400"/>
      <c r="C967" s="400"/>
      <c r="D967" s="360"/>
      <c r="E967" s="401"/>
      <c r="F967" s="402"/>
      <c r="G967" s="403"/>
      <c r="H967" s="403"/>
      <c r="I967" s="403"/>
      <c r="J967" s="403"/>
      <c r="K967" s="403"/>
      <c r="L967" s="403"/>
      <c r="M967" s="404"/>
      <c r="N967" s="403"/>
      <c r="O967" s="403"/>
      <c r="P967" s="403"/>
      <c r="Q967" s="403"/>
      <c r="R967" s="403"/>
      <c r="S967" s="403"/>
      <c r="T967" s="360"/>
      <c r="U967" s="360"/>
      <c r="V967" s="360"/>
      <c r="W967" s="360"/>
      <c r="X967" s="360"/>
      <c r="Y967" s="360"/>
      <c r="Z967" s="360"/>
      <c r="AA967" s="360"/>
      <c r="AB967" s="360"/>
      <c r="AC967" s="360"/>
      <c r="AD967" s="360"/>
      <c r="AE967" s="360"/>
      <c r="AF967" s="360"/>
      <c r="AG967" s="360"/>
      <c r="AH967" s="360"/>
    </row>
    <row r="968" ht="18.75" customHeight="1">
      <c r="A968" s="399"/>
      <c r="B968" s="400"/>
      <c r="C968" s="400"/>
      <c r="D968" s="360"/>
      <c r="E968" s="401"/>
      <c r="F968" s="402"/>
      <c r="G968" s="403"/>
      <c r="H968" s="403"/>
      <c r="I968" s="403"/>
      <c r="J968" s="403"/>
      <c r="K968" s="403"/>
      <c r="L968" s="403"/>
      <c r="M968" s="404"/>
      <c r="N968" s="403"/>
      <c r="O968" s="403"/>
      <c r="P968" s="403"/>
      <c r="Q968" s="403"/>
      <c r="R968" s="403"/>
      <c r="S968" s="403"/>
      <c r="T968" s="360"/>
      <c r="U968" s="360"/>
      <c r="V968" s="360"/>
      <c r="W968" s="360"/>
      <c r="X968" s="360"/>
      <c r="Y968" s="360"/>
      <c r="Z968" s="360"/>
      <c r="AA968" s="360"/>
      <c r="AB968" s="360"/>
      <c r="AC968" s="360"/>
      <c r="AD968" s="360"/>
      <c r="AE968" s="360"/>
      <c r="AF968" s="360"/>
      <c r="AG968" s="360"/>
      <c r="AH968" s="360"/>
    </row>
    <row r="969" ht="18.75" customHeight="1">
      <c r="A969" s="399"/>
      <c r="B969" s="400"/>
      <c r="C969" s="400"/>
      <c r="D969" s="360"/>
      <c r="E969" s="401"/>
      <c r="F969" s="402"/>
      <c r="G969" s="403"/>
      <c r="H969" s="403"/>
      <c r="I969" s="403"/>
      <c r="J969" s="403"/>
      <c r="K969" s="403"/>
      <c r="L969" s="403"/>
      <c r="M969" s="404"/>
      <c r="N969" s="403"/>
      <c r="O969" s="403"/>
      <c r="P969" s="403"/>
      <c r="Q969" s="403"/>
      <c r="R969" s="403"/>
      <c r="S969" s="403"/>
      <c r="T969" s="360"/>
      <c r="U969" s="360"/>
      <c r="V969" s="360"/>
      <c r="W969" s="360"/>
      <c r="X969" s="360"/>
      <c r="Y969" s="360"/>
      <c r="Z969" s="360"/>
      <c r="AA969" s="360"/>
      <c r="AB969" s="360"/>
      <c r="AC969" s="360"/>
      <c r="AD969" s="360"/>
      <c r="AE969" s="360"/>
      <c r="AF969" s="360"/>
      <c r="AG969" s="360"/>
      <c r="AH969" s="360"/>
    </row>
    <row r="970" ht="18.75" customHeight="1">
      <c r="A970" s="399"/>
      <c r="B970" s="400"/>
      <c r="C970" s="400"/>
      <c r="D970" s="360"/>
      <c r="E970" s="401"/>
      <c r="F970" s="402"/>
      <c r="G970" s="403"/>
      <c r="H970" s="403"/>
      <c r="I970" s="403"/>
      <c r="J970" s="403"/>
      <c r="K970" s="403"/>
      <c r="L970" s="403"/>
      <c r="M970" s="404"/>
      <c r="N970" s="403"/>
      <c r="O970" s="403"/>
      <c r="P970" s="403"/>
      <c r="Q970" s="403"/>
      <c r="R970" s="403"/>
      <c r="S970" s="403"/>
      <c r="T970" s="360"/>
      <c r="U970" s="360"/>
      <c r="V970" s="360"/>
      <c r="W970" s="360"/>
      <c r="X970" s="360"/>
      <c r="Y970" s="360"/>
      <c r="Z970" s="360"/>
      <c r="AA970" s="360"/>
      <c r="AB970" s="360"/>
      <c r="AC970" s="360"/>
      <c r="AD970" s="360"/>
      <c r="AE970" s="360"/>
      <c r="AF970" s="360"/>
      <c r="AG970" s="360"/>
      <c r="AH970" s="360"/>
    </row>
    <row r="971" ht="18.75" customHeight="1">
      <c r="A971" s="399"/>
      <c r="B971" s="400"/>
      <c r="C971" s="400"/>
      <c r="D971" s="360"/>
      <c r="E971" s="401"/>
      <c r="F971" s="402"/>
      <c r="G971" s="403"/>
      <c r="H971" s="403"/>
      <c r="I971" s="403"/>
      <c r="J971" s="403"/>
      <c r="K971" s="403"/>
      <c r="L971" s="403"/>
      <c r="M971" s="404"/>
      <c r="N971" s="403"/>
      <c r="O971" s="403"/>
      <c r="P971" s="403"/>
      <c r="Q971" s="403"/>
      <c r="R971" s="403"/>
      <c r="S971" s="403"/>
      <c r="T971" s="360"/>
      <c r="U971" s="360"/>
      <c r="V971" s="360"/>
      <c r="W971" s="360"/>
      <c r="X971" s="360"/>
      <c r="Y971" s="360"/>
      <c r="Z971" s="360"/>
      <c r="AA971" s="360"/>
      <c r="AB971" s="360"/>
      <c r="AC971" s="360"/>
      <c r="AD971" s="360"/>
      <c r="AE971" s="360"/>
      <c r="AF971" s="360"/>
      <c r="AG971" s="360"/>
      <c r="AH971" s="360"/>
    </row>
    <row r="972" ht="18.75" customHeight="1">
      <c r="A972" s="399"/>
      <c r="B972" s="400"/>
      <c r="C972" s="400"/>
      <c r="D972" s="360"/>
      <c r="E972" s="401"/>
      <c r="F972" s="402"/>
      <c r="G972" s="403"/>
      <c r="H972" s="403"/>
      <c r="I972" s="403"/>
      <c r="J972" s="403"/>
      <c r="K972" s="403"/>
      <c r="L972" s="403"/>
      <c r="M972" s="404"/>
      <c r="N972" s="403"/>
      <c r="O972" s="403"/>
      <c r="P972" s="403"/>
      <c r="Q972" s="403"/>
      <c r="R972" s="403"/>
      <c r="S972" s="403"/>
      <c r="T972" s="360"/>
      <c r="U972" s="360"/>
      <c r="V972" s="360"/>
      <c r="W972" s="360"/>
      <c r="X972" s="360"/>
      <c r="Y972" s="360"/>
      <c r="Z972" s="360"/>
      <c r="AA972" s="360"/>
      <c r="AB972" s="360"/>
      <c r="AC972" s="360"/>
      <c r="AD972" s="360"/>
      <c r="AE972" s="360"/>
      <c r="AF972" s="360"/>
      <c r="AG972" s="360"/>
      <c r="AH972" s="360"/>
    </row>
    <row r="973" ht="18.75" customHeight="1">
      <c r="A973" s="399"/>
      <c r="B973" s="400"/>
      <c r="C973" s="400"/>
      <c r="D973" s="360"/>
      <c r="E973" s="401"/>
      <c r="F973" s="402"/>
      <c r="G973" s="403"/>
      <c r="H973" s="403"/>
      <c r="I973" s="403"/>
      <c r="J973" s="403"/>
      <c r="K973" s="403"/>
      <c r="L973" s="403"/>
      <c r="M973" s="404"/>
      <c r="N973" s="403"/>
      <c r="O973" s="403"/>
      <c r="P973" s="403"/>
      <c r="Q973" s="403"/>
      <c r="R973" s="403"/>
      <c r="S973" s="403"/>
      <c r="T973" s="360"/>
      <c r="U973" s="360"/>
      <c r="V973" s="360"/>
      <c r="W973" s="360"/>
      <c r="X973" s="360"/>
      <c r="Y973" s="360"/>
      <c r="Z973" s="360"/>
      <c r="AA973" s="360"/>
      <c r="AB973" s="360"/>
      <c r="AC973" s="360"/>
      <c r="AD973" s="360"/>
      <c r="AE973" s="360"/>
      <c r="AF973" s="360"/>
      <c r="AG973" s="360"/>
      <c r="AH973" s="360"/>
    </row>
    <row r="974" ht="18.75" customHeight="1">
      <c r="A974" s="399"/>
      <c r="B974" s="400"/>
      <c r="C974" s="400"/>
      <c r="D974" s="360"/>
      <c r="E974" s="401"/>
      <c r="F974" s="402"/>
      <c r="G974" s="403"/>
      <c r="H974" s="403"/>
      <c r="I974" s="403"/>
      <c r="J974" s="403"/>
      <c r="K974" s="403"/>
      <c r="L974" s="403"/>
      <c r="M974" s="404"/>
      <c r="N974" s="403"/>
      <c r="O974" s="403"/>
      <c r="P974" s="403"/>
      <c r="Q974" s="403"/>
      <c r="R974" s="403"/>
      <c r="S974" s="403"/>
      <c r="T974" s="360"/>
      <c r="U974" s="360"/>
      <c r="V974" s="360"/>
      <c r="W974" s="360"/>
      <c r="X974" s="360"/>
      <c r="Y974" s="360"/>
      <c r="Z974" s="360"/>
      <c r="AA974" s="360"/>
      <c r="AB974" s="360"/>
      <c r="AC974" s="360"/>
      <c r="AD974" s="360"/>
      <c r="AE974" s="360"/>
      <c r="AF974" s="360"/>
      <c r="AG974" s="360"/>
      <c r="AH974" s="360"/>
    </row>
    <row r="975" ht="18.75" customHeight="1">
      <c r="A975" s="399"/>
      <c r="B975" s="400"/>
      <c r="C975" s="400"/>
      <c r="D975" s="360"/>
      <c r="E975" s="401"/>
      <c r="F975" s="402"/>
      <c r="G975" s="403"/>
      <c r="H975" s="403"/>
      <c r="I975" s="403"/>
      <c r="J975" s="403"/>
      <c r="K975" s="403"/>
      <c r="L975" s="403"/>
      <c r="M975" s="404"/>
      <c r="N975" s="403"/>
      <c r="O975" s="403"/>
      <c r="P975" s="403"/>
      <c r="Q975" s="403"/>
      <c r="R975" s="403"/>
      <c r="S975" s="403"/>
      <c r="T975" s="360"/>
      <c r="U975" s="360"/>
      <c r="V975" s="360"/>
      <c r="W975" s="360"/>
      <c r="X975" s="360"/>
      <c r="Y975" s="360"/>
      <c r="Z975" s="360"/>
      <c r="AA975" s="360"/>
      <c r="AB975" s="360"/>
      <c r="AC975" s="360"/>
      <c r="AD975" s="360"/>
      <c r="AE975" s="360"/>
      <c r="AF975" s="360"/>
      <c r="AG975" s="360"/>
      <c r="AH975" s="360"/>
    </row>
    <row r="976" ht="18.75" customHeight="1">
      <c r="A976" s="399"/>
      <c r="B976" s="400"/>
      <c r="C976" s="400"/>
      <c r="D976" s="360"/>
      <c r="E976" s="401"/>
      <c r="F976" s="402"/>
      <c r="G976" s="403"/>
      <c r="H976" s="403"/>
      <c r="I976" s="403"/>
      <c r="J976" s="403"/>
      <c r="K976" s="403"/>
      <c r="L976" s="403"/>
      <c r="M976" s="404"/>
      <c r="N976" s="403"/>
      <c r="O976" s="403"/>
      <c r="P976" s="403"/>
      <c r="Q976" s="403"/>
      <c r="R976" s="403"/>
      <c r="S976" s="403"/>
      <c r="T976" s="360"/>
      <c r="U976" s="360"/>
      <c r="V976" s="360"/>
      <c r="W976" s="360"/>
      <c r="X976" s="360"/>
      <c r="Y976" s="360"/>
      <c r="Z976" s="360"/>
      <c r="AA976" s="360"/>
      <c r="AB976" s="360"/>
      <c r="AC976" s="360"/>
      <c r="AD976" s="360"/>
      <c r="AE976" s="360"/>
      <c r="AF976" s="360"/>
      <c r="AG976" s="360"/>
      <c r="AH976" s="360"/>
    </row>
    <row r="977" ht="18.75" customHeight="1">
      <c r="A977" s="399"/>
      <c r="B977" s="400"/>
      <c r="C977" s="400"/>
      <c r="D977" s="360"/>
      <c r="E977" s="401"/>
      <c r="F977" s="402"/>
      <c r="G977" s="403"/>
      <c r="H977" s="403"/>
      <c r="I977" s="403"/>
      <c r="J977" s="403"/>
      <c r="K977" s="403"/>
      <c r="L977" s="403"/>
      <c r="M977" s="404"/>
      <c r="N977" s="403"/>
      <c r="O977" s="403"/>
      <c r="P977" s="403"/>
      <c r="Q977" s="403"/>
      <c r="R977" s="403"/>
      <c r="S977" s="403"/>
      <c r="T977" s="360"/>
      <c r="U977" s="360"/>
      <c r="V977" s="360"/>
      <c r="W977" s="360"/>
      <c r="X977" s="360"/>
      <c r="Y977" s="360"/>
      <c r="Z977" s="360"/>
      <c r="AA977" s="360"/>
      <c r="AB977" s="360"/>
      <c r="AC977" s="360"/>
      <c r="AD977" s="360"/>
      <c r="AE977" s="360"/>
      <c r="AF977" s="360"/>
      <c r="AG977" s="360"/>
      <c r="AH977" s="360"/>
    </row>
    <row r="978" ht="18.75" customHeight="1">
      <c r="A978" s="399"/>
      <c r="B978" s="400"/>
      <c r="C978" s="400"/>
      <c r="D978" s="360"/>
      <c r="E978" s="401"/>
      <c r="F978" s="402"/>
      <c r="G978" s="403"/>
      <c r="H978" s="403"/>
      <c r="I978" s="403"/>
      <c r="J978" s="403"/>
      <c r="K978" s="403"/>
      <c r="L978" s="403"/>
      <c r="M978" s="404"/>
      <c r="N978" s="403"/>
      <c r="O978" s="403"/>
      <c r="P978" s="403"/>
      <c r="Q978" s="403"/>
      <c r="R978" s="403"/>
      <c r="S978" s="403"/>
      <c r="T978" s="360"/>
      <c r="U978" s="360"/>
      <c r="V978" s="360"/>
      <c r="W978" s="360"/>
      <c r="X978" s="360"/>
      <c r="Y978" s="360"/>
      <c r="Z978" s="360"/>
      <c r="AA978" s="360"/>
      <c r="AB978" s="360"/>
      <c r="AC978" s="360"/>
      <c r="AD978" s="360"/>
      <c r="AE978" s="360"/>
      <c r="AF978" s="360"/>
      <c r="AG978" s="360"/>
      <c r="AH978" s="360"/>
    </row>
    <row r="979" ht="18.75" customHeight="1">
      <c r="A979" s="399"/>
      <c r="B979" s="400"/>
      <c r="C979" s="400"/>
      <c r="D979" s="360"/>
      <c r="E979" s="401"/>
      <c r="F979" s="402"/>
      <c r="G979" s="403"/>
      <c r="H979" s="403"/>
      <c r="I979" s="403"/>
      <c r="J979" s="403"/>
      <c r="K979" s="403"/>
      <c r="L979" s="403"/>
      <c r="M979" s="404"/>
      <c r="N979" s="403"/>
      <c r="O979" s="403"/>
      <c r="P979" s="403"/>
      <c r="Q979" s="403"/>
      <c r="R979" s="403"/>
      <c r="S979" s="403"/>
      <c r="T979" s="360"/>
      <c r="U979" s="360"/>
      <c r="V979" s="360"/>
      <c r="W979" s="360"/>
      <c r="X979" s="360"/>
      <c r="Y979" s="360"/>
      <c r="Z979" s="360"/>
      <c r="AA979" s="360"/>
      <c r="AB979" s="360"/>
      <c r="AC979" s="360"/>
      <c r="AD979" s="360"/>
      <c r="AE979" s="360"/>
      <c r="AF979" s="360"/>
      <c r="AG979" s="360"/>
      <c r="AH979" s="360"/>
    </row>
    <row r="980" ht="18.75" customHeight="1">
      <c r="A980" s="399"/>
      <c r="B980" s="400"/>
      <c r="C980" s="400"/>
      <c r="D980" s="360"/>
      <c r="E980" s="401"/>
      <c r="F980" s="402"/>
      <c r="G980" s="403"/>
      <c r="H980" s="403"/>
      <c r="I980" s="403"/>
      <c r="J980" s="403"/>
      <c r="K980" s="403"/>
      <c r="L980" s="403"/>
      <c r="M980" s="404"/>
      <c r="N980" s="403"/>
      <c r="O980" s="403"/>
      <c r="P980" s="403"/>
      <c r="Q980" s="403"/>
      <c r="R980" s="403"/>
      <c r="S980" s="403"/>
      <c r="T980" s="360"/>
      <c r="U980" s="360"/>
      <c r="V980" s="360"/>
      <c r="W980" s="360"/>
      <c r="X980" s="360"/>
      <c r="Y980" s="360"/>
      <c r="Z980" s="360"/>
      <c r="AA980" s="360"/>
      <c r="AB980" s="360"/>
      <c r="AC980" s="360"/>
      <c r="AD980" s="360"/>
      <c r="AE980" s="360"/>
      <c r="AF980" s="360"/>
      <c r="AG980" s="360"/>
      <c r="AH980" s="360"/>
    </row>
    <row r="981" ht="18.75" customHeight="1">
      <c r="A981" s="399"/>
      <c r="B981" s="400"/>
      <c r="C981" s="400"/>
      <c r="D981" s="360"/>
      <c r="E981" s="401"/>
      <c r="F981" s="402"/>
      <c r="G981" s="403"/>
      <c r="H981" s="403"/>
      <c r="I981" s="403"/>
      <c r="J981" s="403"/>
      <c r="K981" s="403"/>
      <c r="L981" s="403"/>
      <c r="M981" s="404"/>
      <c r="N981" s="403"/>
      <c r="O981" s="403"/>
      <c r="P981" s="403"/>
      <c r="Q981" s="403"/>
      <c r="R981" s="403"/>
      <c r="S981" s="403"/>
      <c r="T981" s="360"/>
      <c r="U981" s="360"/>
      <c r="V981" s="360"/>
      <c r="W981" s="360"/>
      <c r="X981" s="360"/>
      <c r="Y981" s="360"/>
      <c r="Z981" s="360"/>
      <c r="AA981" s="360"/>
      <c r="AB981" s="360"/>
      <c r="AC981" s="360"/>
      <c r="AD981" s="360"/>
      <c r="AE981" s="360"/>
      <c r="AF981" s="360"/>
      <c r="AG981" s="360"/>
      <c r="AH981" s="360"/>
    </row>
    <row r="982" ht="18.75" customHeight="1">
      <c r="A982" s="399"/>
      <c r="B982" s="400"/>
      <c r="C982" s="400"/>
      <c r="D982" s="360"/>
      <c r="E982" s="401"/>
      <c r="F982" s="402"/>
      <c r="G982" s="403"/>
      <c r="H982" s="403"/>
      <c r="I982" s="403"/>
      <c r="J982" s="403"/>
      <c r="K982" s="403"/>
      <c r="L982" s="403"/>
      <c r="M982" s="404"/>
      <c r="N982" s="403"/>
      <c r="O982" s="403"/>
      <c r="P982" s="403"/>
      <c r="Q982" s="403"/>
      <c r="R982" s="403"/>
      <c r="S982" s="403"/>
      <c r="T982" s="360"/>
      <c r="U982" s="360"/>
      <c r="V982" s="360"/>
      <c r="W982" s="360"/>
      <c r="X982" s="360"/>
      <c r="Y982" s="360"/>
      <c r="Z982" s="360"/>
      <c r="AA982" s="360"/>
      <c r="AB982" s="360"/>
      <c r="AC982" s="360"/>
      <c r="AD982" s="360"/>
      <c r="AE982" s="360"/>
      <c r="AF982" s="360"/>
      <c r="AG982" s="360"/>
      <c r="AH982" s="360"/>
    </row>
    <row r="983" ht="18.75" customHeight="1">
      <c r="A983" s="399"/>
      <c r="B983" s="400"/>
      <c r="C983" s="400"/>
      <c r="D983" s="360"/>
      <c r="E983" s="401"/>
      <c r="F983" s="402"/>
      <c r="G983" s="403"/>
      <c r="H983" s="403"/>
      <c r="I983" s="403"/>
      <c r="J983" s="403"/>
      <c r="K983" s="403"/>
      <c r="L983" s="403"/>
      <c r="M983" s="404"/>
      <c r="N983" s="403"/>
      <c r="O983" s="403"/>
      <c r="P983" s="403"/>
      <c r="Q983" s="403"/>
      <c r="R983" s="403"/>
      <c r="S983" s="403"/>
      <c r="T983" s="360"/>
      <c r="U983" s="360"/>
      <c r="V983" s="360"/>
      <c r="W983" s="360"/>
      <c r="X983" s="360"/>
      <c r="Y983" s="360"/>
      <c r="Z983" s="360"/>
      <c r="AA983" s="360"/>
      <c r="AB983" s="360"/>
      <c r="AC983" s="360"/>
      <c r="AD983" s="360"/>
      <c r="AE983" s="360"/>
      <c r="AF983" s="360"/>
      <c r="AG983" s="360"/>
      <c r="AH983" s="360"/>
    </row>
    <row r="984" ht="18.75" customHeight="1">
      <c r="A984" s="399"/>
      <c r="B984" s="400"/>
      <c r="C984" s="400"/>
      <c r="D984" s="360"/>
      <c r="E984" s="401"/>
      <c r="F984" s="402"/>
      <c r="G984" s="403"/>
      <c r="H984" s="403"/>
      <c r="I984" s="403"/>
      <c r="J984" s="403"/>
      <c r="K984" s="403"/>
      <c r="L984" s="403"/>
      <c r="M984" s="404"/>
      <c r="N984" s="403"/>
      <c r="O984" s="403"/>
      <c r="P984" s="403"/>
      <c r="Q984" s="403"/>
      <c r="R984" s="403"/>
      <c r="S984" s="403"/>
      <c r="T984" s="360"/>
      <c r="U984" s="360"/>
      <c r="V984" s="360"/>
      <c r="W984" s="360"/>
      <c r="X984" s="360"/>
      <c r="Y984" s="360"/>
      <c r="Z984" s="360"/>
      <c r="AA984" s="360"/>
      <c r="AB984" s="360"/>
      <c r="AC984" s="360"/>
      <c r="AD984" s="360"/>
      <c r="AE984" s="360"/>
      <c r="AF984" s="360"/>
      <c r="AG984" s="360"/>
      <c r="AH984" s="360"/>
    </row>
    <row r="985" ht="18.75" customHeight="1">
      <c r="A985" s="399"/>
      <c r="B985" s="400"/>
      <c r="C985" s="400"/>
      <c r="D985" s="360"/>
      <c r="E985" s="401"/>
      <c r="F985" s="402"/>
      <c r="G985" s="403"/>
      <c r="H985" s="403"/>
      <c r="I985" s="403"/>
      <c r="J985" s="403"/>
      <c r="K985" s="403"/>
      <c r="L985" s="403"/>
      <c r="M985" s="404"/>
      <c r="N985" s="403"/>
      <c r="O985" s="403"/>
      <c r="P985" s="403"/>
      <c r="Q985" s="403"/>
      <c r="R985" s="403"/>
      <c r="S985" s="403"/>
      <c r="T985" s="360"/>
      <c r="U985" s="360"/>
      <c r="V985" s="360"/>
      <c r="W985" s="360"/>
      <c r="X985" s="360"/>
      <c r="Y985" s="360"/>
      <c r="Z985" s="360"/>
      <c r="AA985" s="360"/>
      <c r="AB985" s="360"/>
      <c r="AC985" s="360"/>
      <c r="AD985" s="360"/>
      <c r="AE985" s="360"/>
      <c r="AF985" s="360"/>
      <c r="AG985" s="360"/>
      <c r="AH985" s="360"/>
    </row>
    <row r="986" ht="18.75" customHeight="1">
      <c r="A986" s="399"/>
      <c r="B986" s="400"/>
      <c r="C986" s="400"/>
      <c r="D986" s="360"/>
      <c r="E986" s="401"/>
      <c r="F986" s="402"/>
      <c r="G986" s="403"/>
      <c r="H986" s="403"/>
      <c r="I986" s="403"/>
      <c r="J986" s="403"/>
      <c r="K986" s="403"/>
      <c r="L986" s="403"/>
      <c r="M986" s="404"/>
      <c r="N986" s="403"/>
      <c r="O986" s="403"/>
      <c r="P986" s="403"/>
      <c r="Q986" s="403"/>
      <c r="R986" s="403"/>
      <c r="S986" s="403"/>
      <c r="T986" s="360"/>
      <c r="U986" s="360"/>
      <c r="V986" s="360"/>
      <c r="W986" s="360"/>
      <c r="X986" s="360"/>
      <c r="Y986" s="360"/>
      <c r="Z986" s="360"/>
      <c r="AA986" s="360"/>
      <c r="AB986" s="360"/>
      <c r="AC986" s="360"/>
      <c r="AD986" s="360"/>
      <c r="AE986" s="360"/>
      <c r="AF986" s="360"/>
      <c r="AG986" s="360"/>
      <c r="AH986" s="360"/>
    </row>
    <row r="987" ht="18.75" customHeight="1">
      <c r="A987" s="399"/>
      <c r="B987" s="400"/>
      <c r="C987" s="400"/>
      <c r="D987" s="360"/>
      <c r="E987" s="401"/>
      <c r="F987" s="402"/>
      <c r="G987" s="403"/>
      <c r="H987" s="403"/>
      <c r="I987" s="403"/>
      <c r="J987" s="403"/>
      <c r="K987" s="403"/>
      <c r="L987" s="403"/>
      <c r="M987" s="404"/>
      <c r="N987" s="403"/>
      <c r="O987" s="403"/>
      <c r="P987" s="403"/>
      <c r="Q987" s="403"/>
      <c r="R987" s="403"/>
      <c r="S987" s="403"/>
      <c r="T987" s="360"/>
      <c r="U987" s="360"/>
      <c r="V987" s="360"/>
      <c r="W987" s="360"/>
      <c r="X987" s="360"/>
      <c r="Y987" s="360"/>
      <c r="Z987" s="360"/>
      <c r="AA987" s="360"/>
      <c r="AB987" s="360"/>
      <c r="AC987" s="360"/>
      <c r="AD987" s="360"/>
      <c r="AE987" s="360"/>
      <c r="AF987" s="360"/>
      <c r="AG987" s="360"/>
      <c r="AH987" s="360"/>
    </row>
    <row r="988" ht="18.75" customHeight="1">
      <c r="A988" s="399"/>
      <c r="B988" s="400"/>
      <c r="C988" s="400"/>
      <c r="D988" s="360"/>
      <c r="E988" s="401"/>
      <c r="F988" s="402"/>
      <c r="G988" s="403"/>
      <c r="H988" s="403"/>
      <c r="I988" s="403"/>
      <c r="J988" s="403"/>
      <c r="K988" s="403"/>
      <c r="L988" s="403"/>
      <c r="M988" s="404"/>
      <c r="N988" s="403"/>
      <c r="O988" s="403"/>
      <c r="P988" s="403"/>
      <c r="Q988" s="403"/>
      <c r="R988" s="403"/>
      <c r="S988" s="403"/>
      <c r="T988" s="360"/>
      <c r="U988" s="360"/>
      <c r="V988" s="360"/>
      <c r="W988" s="360"/>
      <c r="X988" s="360"/>
      <c r="Y988" s="360"/>
      <c r="Z988" s="360"/>
      <c r="AA988" s="360"/>
      <c r="AB988" s="360"/>
      <c r="AC988" s="360"/>
      <c r="AD988" s="360"/>
      <c r="AE988" s="360"/>
      <c r="AF988" s="360"/>
      <c r="AG988" s="360"/>
      <c r="AH988" s="360"/>
    </row>
    <row r="989" ht="18.75" customHeight="1">
      <c r="A989" s="399"/>
      <c r="B989" s="400"/>
      <c r="C989" s="400"/>
      <c r="D989" s="360"/>
      <c r="E989" s="401"/>
      <c r="F989" s="402"/>
      <c r="G989" s="403"/>
      <c r="H989" s="403"/>
      <c r="I989" s="403"/>
      <c r="J989" s="403"/>
      <c r="K989" s="403"/>
      <c r="L989" s="403"/>
      <c r="M989" s="404"/>
      <c r="N989" s="403"/>
      <c r="O989" s="403"/>
      <c r="P989" s="403"/>
      <c r="Q989" s="403"/>
      <c r="R989" s="403"/>
      <c r="S989" s="403"/>
      <c r="T989" s="360"/>
      <c r="U989" s="360"/>
      <c r="V989" s="360"/>
      <c r="W989" s="360"/>
      <c r="X989" s="360"/>
      <c r="Y989" s="360"/>
      <c r="Z989" s="360"/>
      <c r="AA989" s="360"/>
      <c r="AB989" s="360"/>
      <c r="AC989" s="360"/>
      <c r="AD989" s="360"/>
      <c r="AE989" s="360"/>
      <c r="AF989" s="360"/>
      <c r="AG989" s="360"/>
      <c r="AH989" s="360"/>
    </row>
    <row r="990" ht="18.75" customHeight="1">
      <c r="A990" s="399"/>
      <c r="B990" s="400"/>
      <c r="C990" s="400"/>
      <c r="D990" s="360"/>
      <c r="E990" s="401"/>
      <c r="F990" s="402"/>
      <c r="G990" s="403"/>
      <c r="H990" s="403"/>
      <c r="I990" s="403"/>
      <c r="J990" s="403"/>
      <c r="K990" s="403"/>
      <c r="L990" s="403"/>
      <c r="M990" s="404"/>
      <c r="N990" s="403"/>
      <c r="O990" s="403"/>
      <c r="P990" s="403"/>
      <c r="Q990" s="403"/>
      <c r="R990" s="403"/>
      <c r="S990" s="403"/>
      <c r="T990" s="360"/>
      <c r="U990" s="360"/>
      <c r="V990" s="360"/>
      <c r="W990" s="360"/>
      <c r="X990" s="360"/>
      <c r="Y990" s="360"/>
      <c r="Z990" s="360"/>
      <c r="AA990" s="360"/>
      <c r="AB990" s="360"/>
      <c r="AC990" s="360"/>
      <c r="AD990" s="360"/>
      <c r="AE990" s="360"/>
      <c r="AF990" s="360"/>
      <c r="AG990" s="360"/>
      <c r="AH990" s="360"/>
    </row>
    <row r="991" ht="18.75" customHeight="1">
      <c r="A991" s="399"/>
      <c r="B991" s="400"/>
      <c r="C991" s="400"/>
      <c r="D991" s="360"/>
      <c r="E991" s="401"/>
      <c r="F991" s="402"/>
      <c r="G991" s="403"/>
      <c r="H991" s="403"/>
      <c r="I991" s="403"/>
      <c r="J991" s="403"/>
      <c r="K991" s="403"/>
      <c r="L991" s="403"/>
      <c r="M991" s="404"/>
      <c r="N991" s="403"/>
      <c r="O991" s="403"/>
      <c r="P991" s="403"/>
      <c r="Q991" s="403"/>
      <c r="R991" s="403"/>
      <c r="S991" s="403"/>
      <c r="T991" s="360"/>
      <c r="U991" s="360"/>
      <c r="V991" s="360"/>
      <c r="W991" s="360"/>
      <c r="X991" s="360"/>
      <c r="Y991" s="360"/>
      <c r="Z991" s="360"/>
      <c r="AA991" s="360"/>
      <c r="AB991" s="360"/>
      <c r="AC991" s="360"/>
      <c r="AD991" s="360"/>
      <c r="AE991" s="360"/>
      <c r="AF991" s="360"/>
      <c r="AG991" s="360"/>
      <c r="AH991" s="360"/>
    </row>
    <row r="992" ht="18.75" customHeight="1">
      <c r="A992" s="399"/>
      <c r="B992" s="400"/>
      <c r="C992" s="400"/>
      <c r="D992" s="360"/>
      <c r="E992" s="401"/>
      <c r="F992" s="402"/>
      <c r="G992" s="403"/>
      <c r="H992" s="403"/>
      <c r="I992" s="403"/>
      <c r="J992" s="403"/>
      <c r="K992" s="403"/>
      <c r="L992" s="403"/>
      <c r="M992" s="404"/>
      <c r="N992" s="403"/>
      <c r="O992" s="403"/>
      <c r="P992" s="403"/>
      <c r="Q992" s="403"/>
      <c r="R992" s="403"/>
      <c r="S992" s="403"/>
      <c r="T992" s="360"/>
      <c r="U992" s="360"/>
      <c r="V992" s="360"/>
      <c r="W992" s="360"/>
      <c r="X992" s="360"/>
      <c r="Y992" s="360"/>
      <c r="Z992" s="360"/>
      <c r="AA992" s="360"/>
      <c r="AB992" s="360"/>
      <c r="AC992" s="360"/>
      <c r="AD992" s="360"/>
      <c r="AE992" s="360"/>
      <c r="AF992" s="360"/>
      <c r="AG992" s="360"/>
      <c r="AH992" s="360"/>
    </row>
    <row r="993" ht="18.75" customHeight="1">
      <c r="A993" s="399"/>
      <c r="B993" s="400"/>
      <c r="C993" s="400"/>
      <c r="D993" s="360"/>
      <c r="E993" s="401"/>
      <c r="F993" s="402"/>
      <c r="G993" s="403"/>
      <c r="H993" s="403"/>
      <c r="I993" s="403"/>
      <c r="J993" s="403"/>
      <c r="K993" s="403"/>
      <c r="L993" s="403"/>
      <c r="M993" s="404"/>
      <c r="N993" s="403"/>
      <c r="O993" s="403"/>
      <c r="P993" s="403"/>
      <c r="Q993" s="403"/>
      <c r="R993" s="403"/>
      <c r="S993" s="403"/>
      <c r="T993" s="360"/>
      <c r="U993" s="360"/>
      <c r="V993" s="360"/>
      <c r="W993" s="360"/>
      <c r="X993" s="360"/>
      <c r="Y993" s="360"/>
      <c r="Z993" s="360"/>
      <c r="AA993" s="360"/>
      <c r="AB993" s="360"/>
      <c r="AC993" s="360"/>
      <c r="AD993" s="360"/>
      <c r="AE993" s="360"/>
      <c r="AF993" s="360"/>
      <c r="AG993" s="360"/>
      <c r="AH993" s="360"/>
    </row>
    <row r="994" ht="18.75" customHeight="1">
      <c r="A994" s="399"/>
      <c r="B994" s="400"/>
      <c r="C994" s="400"/>
      <c r="D994" s="360"/>
      <c r="E994" s="401"/>
      <c r="F994" s="402"/>
      <c r="G994" s="403"/>
      <c r="H994" s="403"/>
      <c r="I994" s="403"/>
      <c r="J994" s="403"/>
      <c r="K994" s="403"/>
      <c r="L994" s="403"/>
      <c r="M994" s="404"/>
      <c r="N994" s="403"/>
      <c r="O994" s="403"/>
      <c r="P994" s="403"/>
      <c r="Q994" s="403"/>
      <c r="R994" s="403"/>
      <c r="S994" s="403"/>
      <c r="T994" s="360"/>
      <c r="U994" s="360"/>
      <c r="V994" s="360"/>
      <c r="W994" s="360"/>
      <c r="X994" s="360"/>
      <c r="Y994" s="360"/>
      <c r="Z994" s="360"/>
      <c r="AA994" s="360"/>
      <c r="AB994" s="360"/>
      <c r="AC994" s="360"/>
      <c r="AD994" s="360"/>
      <c r="AE994" s="360"/>
      <c r="AF994" s="360"/>
      <c r="AG994" s="360"/>
      <c r="AH994" s="360"/>
    </row>
    <row r="995" ht="18.75" customHeight="1">
      <c r="A995" s="399"/>
      <c r="B995" s="400"/>
      <c r="C995" s="400"/>
      <c r="D995" s="360"/>
      <c r="E995" s="401"/>
      <c r="F995" s="402"/>
      <c r="G995" s="403"/>
      <c r="H995" s="403"/>
      <c r="I995" s="403"/>
      <c r="J995" s="403"/>
      <c r="K995" s="403"/>
      <c r="L995" s="403"/>
      <c r="M995" s="404"/>
      <c r="N995" s="403"/>
      <c r="O995" s="403"/>
      <c r="P995" s="403"/>
      <c r="Q995" s="403"/>
      <c r="R995" s="403"/>
      <c r="S995" s="403"/>
      <c r="T995" s="360"/>
      <c r="U995" s="360"/>
      <c r="V995" s="360"/>
      <c r="W995" s="360"/>
      <c r="X995" s="360"/>
      <c r="Y995" s="360"/>
      <c r="Z995" s="360"/>
      <c r="AA995" s="360"/>
      <c r="AB995" s="360"/>
      <c r="AC995" s="360"/>
      <c r="AD995" s="360"/>
      <c r="AE995" s="360"/>
      <c r="AF995" s="360"/>
      <c r="AG995" s="360"/>
      <c r="AH995" s="360"/>
    </row>
    <row r="996" ht="18.75" customHeight="1">
      <c r="A996" s="399"/>
      <c r="B996" s="400"/>
      <c r="C996" s="400"/>
      <c r="D996" s="360"/>
      <c r="E996" s="401"/>
      <c r="F996" s="402"/>
      <c r="G996" s="403"/>
      <c r="H996" s="403"/>
      <c r="I996" s="403"/>
      <c r="J996" s="403"/>
      <c r="K996" s="403"/>
      <c r="L996" s="403"/>
      <c r="M996" s="404"/>
      <c r="N996" s="403"/>
      <c r="O996" s="403"/>
      <c r="P996" s="403"/>
      <c r="Q996" s="403"/>
      <c r="R996" s="403"/>
      <c r="S996" s="403"/>
      <c r="T996" s="360"/>
      <c r="U996" s="360"/>
      <c r="V996" s="360"/>
      <c r="W996" s="360"/>
      <c r="X996" s="360"/>
      <c r="Y996" s="360"/>
      <c r="Z996" s="360"/>
      <c r="AA996" s="360"/>
      <c r="AB996" s="360"/>
      <c r="AC996" s="360"/>
      <c r="AD996" s="360"/>
      <c r="AE996" s="360"/>
      <c r="AF996" s="360"/>
      <c r="AG996" s="360"/>
      <c r="AH996" s="360"/>
    </row>
    <row r="997" ht="18.75" customHeight="1">
      <c r="A997" s="399"/>
      <c r="B997" s="400"/>
      <c r="C997" s="400"/>
      <c r="D997" s="360"/>
      <c r="E997" s="401"/>
      <c r="F997" s="402"/>
      <c r="G997" s="403"/>
      <c r="H997" s="403"/>
      <c r="I997" s="403"/>
      <c r="J997" s="403"/>
      <c r="K997" s="403"/>
      <c r="L997" s="403"/>
      <c r="M997" s="404"/>
      <c r="N997" s="403"/>
      <c r="O997" s="403"/>
      <c r="P997" s="403"/>
      <c r="Q997" s="403"/>
      <c r="R997" s="403"/>
      <c r="S997" s="403"/>
      <c r="T997" s="360"/>
      <c r="U997" s="360"/>
      <c r="V997" s="360"/>
      <c r="W997" s="360"/>
      <c r="X997" s="360"/>
      <c r="Y997" s="360"/>
      <c r="Z997" s="360"/>
      <c r="AA997" s="360"/>
      <c r="AB997" s="360"/>
      <c r="AC997" s="360"/>
      <c r="AD997" s="360"/>
      <c r="AE997" s="360"/>
      <c r="AF997" s="360"/>
      <c r="AG997" s="360"/>
      <c r="AH997" s="360"/>
    </row>
    <row r="998" ht="18.75" customHeight="1">
      <c r="A998" s="399"/>
      <c r="B998" s="400"/>
      <c r="C998" s="400"/>
      <c r="D998" s="360"/>
      <c r="E998" s="401"/>
      <c r="F998" s="402"/>
      <c r="G998" s="403"/>
      <c r="H998" s="403"/>
      <c r="I998" s="403"/>
      <c r="J998" s="403"/>
      <c r="K998" s="403"/>
      <c r="L998" s="403"/>
      <c r="M998" s="404"/>
      <c r="N998" s="403"/>
      <c r="O998" s="403"/>
      <c r="P998" s="403"/>
      <c r="Q998" s="403"/>
      <c r="R998" s="403"/>
      <c r="S998" s="403"/>
      <c r="T998" s="360"/>
      <c r="U998" s="360"/>
      <c r="V998" s="360"/>
      <c r="W998" s="360"/>
      <c r="X998" s="360"/>
      <c r="Y998" s="360"/>
      <c r="Z998" s="360"/>
      <c r="AA998" s="360"/>
      <c r="AB998" s="360"/>
      <c r="AC998" s="360"/>
      <c r="AD998" s="360"/>
      <c r="AE998" s="360"/>
      <c r="AF998" s="360"/>
      <c r="AG998" s="360"/>
      <c r="AH998" s="360"/>
    </row>
    <row r="999" ht="18.75" customHeight="1">
      <c r="A999" s="399"/>
      <c r="B999" s="400"/>
      <c r="C999" s="400"/>
      <c r="D999" s="360"/>
      <c r="E999" s="401"/>
      <c r="F999" s="402"/>
      <c r="G999" s="403"/>
      <c r="H999" s="403"/>
      <c r="I999" s="403"/>
      <c r="J999" s="403"/>
      <c r="K999" s="403"/>
      <c r="L999" s="403"/>
      <c r="M999" s="404"/>
      <c r="N999" s="403"/>
      <c r="O999" s="403"/>
      <c r="P999" s="403"/>
      <c r="Q999" s="403"/>
      <c r="R999" s="403"/>
      <c r="S999" s="403"/>
      <c r="T999" s="360"/>
      <c r="U999" s="360"/>
      <c r="V999" s="360"/>
      <c r="W999" s="360"/>
      <c r="X999" s="360"/>
      <c r="Y999" s="360"/>
      <c r="Z999" s="360"/>
      <c r="AA999" s="360"/>
      <c r="AB999" s="360"/>
      <c r="AC999" s="360"/>
      <c r="AD999" s="360"/>
      <c r="AE999" s="360"/>
      <c r="AF999" s="360"/>
      <c r="AG999" s="360"/>
      <c r="AH999" s="360"/>
    </row>
  </sheetData>
  <mergeCells count="4">
    <mergeCell ref="B1:R1"/>
    <mergeCell ref="T1:AH1"/>
    <mergeCell ref="U2:X2"/>
    <mergeCell ref="U9:X9"/>
  </mergeCells>
  <conditionalFormatting sqref="P2:S2">
    <cfRule type="containsBlanks" dxfId="0" priority="1">
      <formula>LEN(TRIM(P2))=0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2" max="2" width="12.75"/>
    <col customWidth="1" min="3" max="3" width="12.5"/>
    <col customWidth="1" min="4" max="4" width="12.13"/>
    <col customWidth="1" min="7" max="7" width="11.75"/>
    <col customWidth="1" min="8" max="8" width="10.25"/>
    <col customWidth="1" min="9" max="9" width="12.5"/>
    <col customWidth="1" min="12" max="12" width="12.13"/>
    <col customWidth="1" min="20" max="20" width="10.25"/>
    <col customWidth="1" min="21" max="21" width="12.5"/>
    <col customWidth="1" min="22" max="22" width="1.75"/>
    <col customWidth="1" min="23" max="23" width="14.38"/>
    <col customWidth="1" min="24" max="24" width="14.88"/>
    <col customWidth="1" min="25" max="25" width="15.25"/>
    <col customWidth="1" min="27" max="27" width="13.38"/>
    <col customWidth="1" min="39" max="39" width="10.75"/>
  </cols>
  <sheetData>
    <row r="1" ht="27.0" customHeight="1">
      <c r="A1" s="405" t="s">
        <v>103</v>
      </c>
      <c r="B1" s="406" t="s">
        <v>35</v>
      </c>
      <c r="P1" s="406"/>
      <c r="Q1" s="407"/>
      <c r="R1" s="406"/>
      <c r="S1" s="406"/>
      <c r="T1" s="285" t="s">
        <v>61</v>
      </c>
      <c r="U1" s="408"/>
      <c r="V1" s="288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</row>
    <row r="2">
      <c r="A2" s="409" t="s">
        <v>66</v>
      </c>
      <c r="B2" s="30" t="s">
        <v>25</v>
      </c>
      <c r="C2" s="45" t="s">
        <v>6</v>
      </c>
      <c r="D2" s="59" t="s">
        <v>7</v>
      </c>
      <c r="E2" s="70" t="s">
        <v>33</v>
      </c>
      <c r="F2" s="82" t="s">
        <v>36</v>
      </c>
      <c r="G2" s="90" t="s">
        <v>12</v>
      </c>
      <c r="H2" s="102" t="s">
        <v>13</v>
      </c>
      <c r="I2" s="251" t="s">
        <v>14</v>
      </c>
      <c r="J2" s="410" t="s">
        <v>15</v>
      </c>
      <c r="K2" s="292" t="s">
        <v>16</v>
      </c>
      <c r="L2" s="293" t="s">
        <v>17</v>
      </c>
      <c r="M2" s="294" t="s">
        <v>18</v>
      </c>
      <c r="N2" s="295" t="s">
        <v>19</v>
      </c>
      <c r="O2" s="296" t="s">
        <v>20</v>
      </c>
      <c r="P2" s="127" t="s">
        <v>21</v>
      </c>
      <c r="Q2" s="411" t="s">
        <v>22</v>
      </c>
      <c r="R2" s="135" t="s">
        <v>23</v>
      </c>
      <c r="S2" s="126" t="s">
        <v>24</v>
      </c>
      <c r="T2" s="14" t="s">
        <v>11</v>
      </c>
      <c r="U2" s="408" t="s">
        <v>127</v>
      </c>
      <c r="V2" s="288"/>
      <c r="W2" s="289"/>
      <c r="X2" s="298"/>
      <c r="Y2" s="289"/>
      <c r="Z2" s="289"/>
      <c r="AA2" s="289"/>
      <c r="AB2" s="289"/>
      <c r="AC2" s="289"/>
      <c r="AD2" s="289"/>
      <c r="AE2" s="289"/>
      <c r="AF2" s="289"/>
      <c r="AG2" s="289"/>
      <c r="AH2" s="289"/>
      <c r="AI2" s="289"/>
      <c r="AJ2" s="289"/>
      <c r="AK2" s="289"/>
      <c r="AL2" s="289"/>
      <c r="AM2" s="289"/>
    </row>
    <row r="3">
      <c r="A3" s="409">
        <f>ARBITRAGES!E3</f>
        <v>45515</v>
      </c>
      <c r="B3" s="33">
        <v>63000.0</v>
      </c>
      <c r="C3" s="33">
        <v>2650.0</v>
      </c>
      <c r="D3" s="412">
        <v>7.61</v>
      </c>
      <c r="E3" s="33">
        <v>154.8</v>
      </c>
      <c r="F3" s="33">
        <v>292.0</v>
      </c>
      <c r="G3" s="412">
        <v>1.6</v>
      </c>
      <c r="H3" s="412">
        <v>10.6</v>
      </c>
      <c r="I3" s="413">
        <v>0.105</v>
      </c>
      <c r="J3" s="414">
        <v>1.345E-5</v>
      </c>
      <c r="K3" s="413">
        <v>1.55</v>
      </c>
      <c r="L3" s="413">
        <v>0.86</v>
      </c>
      <c r="M3" s="413">
        <v>91.0</v>
      </c>
      <c r="N3" s="415">
        <v>0.0083</v>
      </c>
      <c r="O3" s="413">
        <v>2.55</v>
      </c>
      <c r="P3" s="413">
        <f>RECAP!$Y$7</f>
        <v>0.009774</v>
      </c>
      <c r="Q3" s="416">
        <f>RECAP!$Z$7</f>
        <v>0.0000178</v>
      </c>
      <c r="R3" s="413">
        <f>RECAP!$AA$7</f>
        <v>3.35</v>
      </c>
      <c r="S3" s="413">
        <f>RECAP!$AB$7</f>
        <v>6.35</v>
      </c>
      <c r="T3" s="14">
        <f>ARBITRAGES!M3</f>
        <v>21550</v>
      </c>
      <c r="U3" s="417">
        <f>IF(A3="","",B3*'QUANTITE DETENUES'!B3+'QUANTITE DETENUES'!C3*C3+'QUANTITE DETENUES'!D3*D3+E3*'QUANTITE DETENUES'!E3+'QUANTITE DETENUES'!F3*F3+G3*'QUANTITE DETENUES'!G3+'QUANTITE DETENUES'!H3*H3+I3*'QUANTITE DETENUES'!I3+'QUANTITE DETENUES'!L3*L3+M3*'QUANTITE DETENUES'!M3+'QUANTITE DETENUES'!N3*N3+O3*'QUANTITE DETENUES'!O3+T3+P3*'QUANTITE DETENUES'!P3+'QUANTITE DETENUES'!Q3*Q3+R3*'QUANTITE DETENUES'!R3+'QUANTITE DETENUES'!S3*S3)</f>
        <v>37684.60626</v>
      </c>
      <c r="V3" s="288"/>
      <c r="W3" s="289"/>
      <c r="X3" s="298"/>
      <c r="Y3" s="289"/>
      <c r="Z3" s="289"/>
      <c r="AA3" s="289"/>
      <c r="AB3" s="289"/>
      <c r="AC3" s="289"/>
      <c r="AD3" s="289"/>
      <c r="AE3" s="289"/>
      <c r="AF3" s="289"/>
      <c r="AG3" s="289"/>
      <c r="AH3" s="289"/>
      <c r="AI3" s="289"/>
      <c r="AJ3" s="289"/>
      <c r="AK3" s="289"/>
      <c r="AL3" s="289"/>
      <c r="AM3" s="289"/>
    </row>
    <row r="4">
      <c r="A4" s="409">
        <f>IF(ARBITRAGES!E4="","",ARBITRAGES!E4)</f>
        <v>45515</v>
      </c>
      <c r="B4" s="33">
        <v>63000.0</v>
      </c>
      <c r="C4" s="33">
        <v>2650.0</v>
      </c>
      <c r="D4" s="412">
        <v>7.61</v>
      </c>
      <c r="E4" s="33">
        <v>154.8</v>
      </c>
      <c r="F4" s="33">
        <v>292.0</v>
      </c>
      <c r="G4" s="412">
        <v>1.6</v>
      </c>
      <c r="H4" s="412">
        <v>10.6</v>
      </c>
      <c r="I4" s="413">
        <v>0.105</v>
      </c>
      <c r="J4" s="414">
        <v>1.345E-5</v>
      </c>
      <c r="K4" s="413">
        <v>1.55</v>
      </c>
      <c r="L4" s="413">
        <v>0.86</v>
      </c>
      <c r="M4" s="413">
        <v>91.0</v>
      </c>
      <c r="N4" s="415">
        <v>0.0083</v>
      </c>
      <c r="O4" s="413">
        <v>2.55</v>
      </c>
      <c r="P4" s="413">
        <f>RECAP!$Y$7</f>
        <v>0.009774</v>
      </c>
      <c r="Q4" s="416">
        <f>RECAP!$Z$7</f>
        <v>0.0000178</v>
      </c>
      <c r="R4" s="413">
        <f>RECAP!$AA$7</f>
        <v>3.35</v>
      </c>
      <c r="S4" s="413">
        <f>RECAP!$AB$7</f>
        <v>6.35</v>
      </c>
      <c r="T4" s="14">
        <f>IF(A4="","",ARBITRAGES!M4)</f>
        <v>14050</v>
      </c>
      <c r="U4" s="417">
        <f>IF(A4="","",B4*'QUANTITE DETENUES'!B4+'QUANTITE DETENUES'!C4*C4+'QUANTITE DETENUES'!D4*D4+E4*'QUANTITE DETENUES'!E4+'QUANTITE DETENUES'!F4*F4+G4*'QUANTITE DETENUES'!G4+'QUANTITE DETENUES'!H4*H4+I4*'QUANTITE DETENUES'!I4+'QUANTITE DETENUES'!J4*J4+K4*'QUANTITE DETENUES'!K4+'QUANTITE DETENUES'!L4*L4+M4*'QUANTITE DETENUES'!M4+'QUANTITE DETENUES'!N4*N4+O4*'QUANTITE DETENUES'!O4+T4+P4*'QUANTITE DETENUES'!P4+'QUANTITE DETENUES'!Q4*Q4+R4*'QUANTITE DETENUES'!R4+'QUANTITE DETENUES'!S4*S4)</f>
        <v>39187.93921</v>
      </c>
      <c r="V4" s="288"/>
      <c r="W4" s="289"/>
      <c r="X4" s="303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289"/>
      <c r="AJ4" s="289"/>
      <c r="AK4" s="289"/>
      <c r="AL4" s="289"/>
      <c r="AM4" s="289"/>
    </row>
    <row r="5">
      <c r="A5" s="409">
        <f>IF(ARBITRAGES!E5="","",ARBITRAGES!E5)</f>
        <v>45516</v>
      </c>
      <c r="B5" s="418">
        <v>59800.0</v>
      </c>
      <c r="C5" s="418">
        <v>2685.0</v>
      </c>
      <c r="D5" s="419">
        <v>7.7</v>
      </c>
      <c r="E5" s="418">
        <v>148.0</v>
      </c>
      <c r="F5" s="418">
        <v>286.3</v>
      </c>
      <c r="G5" s="419">
        <v>1.56</v>
      </c>
      <c r="H5" s="419">
        <v>10.1</v>
      </c>
      <c r="I5" s="420">
        <v>0.105</v>
      </c>
      <c r="J5" s="414">
        <v>1.365E-5</v>
      </c>
      <c r="K5" s="420">
        <v>1.59</v>
      </c>
      <c r="L5" s="420">
        <v>0.8</v>
      </c>
      <c r="M5" s="420">
        <v>97.0</v>
      </c>
      <c r="N5" s="421">
        <v>0.00825</v>
      </c>
      <c r="O5" s="420">
        <v>2.8</v>
      </c>
      <c r="P5" s="413">
        <f>RECAP!$Y$7</f>
        <v>0.009774</v>
      </c>
      <c r="Q5" s="416">
        <f>RECAP!$Z$7</f>
        <v>0.0000178</v>
      </c>
      <c r="R5" s="413">
        <f>RECAP!$AA$7</f>
        <v>3.35</v>
      </c>
      <c r="S5" s="413">
        <f>RECAP!$AB$7</f>
        <v>6.35</v>
      </c>
      <c r="T5" s="14">
        <f>IF(A5="","",ARBITRAGES!M5)</f>
        <v>11050</v>
      </c>
      <c r="U5" s="417">
        <f>IF(A5="","",B5*'QUANTITE DETENUES'!B5+'QUANTITE DETENUES'!C5*C5+'QUANTITE DETENUES'!D5*D5+E5*'QUANTITE DETENUES'!E5+'QUANTITE DETENUES'!F5*F5+G5*'QUANTITE DETENUES'!G5+'QUANTITE DETENUES'!H5*H5+I5*'QUANTITE DETENUES'!I5+'QUANTITE DETENUES'!J5*J5+K5*'QUANTITE DETENUES'!K5+'QUANTITE DETENUES'!L5*L5+M5*'QUANTITE DETENUES'!M5+'QUANTITE DETENUES'!N5*N5+O5*'QUANTITE DETENUES'!O5+T5+P5*'QUANTITE DETENUES'!P5+'QUANTITE DETENUES'!Q5*Q5+R5*'QUANTITE DETENUES'!R5+'QUANTITE DETENUES'!S5*S5)</f>
        <v>38425.05791</v>
      </c>
      <c r="V5" s="288"/>
      <c r="W5" s="289"/>
      <c r="X5" s="298"/>
      <c r="Y5" s="289"/>
      <c r="Z5" s="289"/>
      <c r="AA5" s="289"/>
      <c r="AB5" s="289"/>
      <c r="AC5" s="289"/>
      <c r="AD5" s="289"/>
      <c r="AE5" s="289"/>
      <c r="AF5" s="289"/>
      <c r="AG5" s="289"/>
      <c r="AH5" s="289"/>
      <c r="AI5" s="289"/>
      <c r="AJ5" s="289"/>
      <c r="AK5" s="289"/>
      <c r="AL5" s="289"/>
      <c r="AM5" s="289"/>
    </row>
    <row r="6">
      <c r="A6" s="409">
        <f>IF(ARBITRAGES!E6="","",ARBITRAGES!E6)</f>
        <v>45517</v>
      </c>
      <c r="B6" s="33">
        <v>61000.0</v>
      </c>
      <c r="C6" s="33">
        <v>2717.0</v>
      </c>
      <c r="D6" s="412">
        <v>7.2</v>
      </c>
      <c r="E6" s="33">
        <v>147.2</v>
      </c>
      <c r="F6" s="33">
        <v>287.3</v>
      </c>
      <c r="G6" s="412">
        <v>1.64</v>
      </c>
      <c r="H6" s="412">
        <v>10.57</v>
      </c>
      <c r="I6" s="413">
        <v>0.1065</v>
      </c>
      <c r="J6" s="414">
        <v>1.385E-5</v>
      </c>
      <c r="K6" s="413">
        <v>1.585</v>
      </c>
      <c r="L6" s="413">
        <v>0.81</v>
      </c>
      <c r="M6" s="413">
        <v>101.0</v>
      </c>
      <c r="N6" s="421">
        <v>0.00825</v>
      </c>
      <c r="O6" s="413">
        <v>2.9</v>
      </c>
      <c r="P6" s="413">
        <f>RECAP!$Y$7</f>
        <v>0.009774</v>
      </c>
      <c r="Q6" s="416">
        <f>RECAP!$Z$7</f>
        <v>0.0000178</v>
      </c>
      <c r="R6" s="413">
        <f>RECAP!$AA$7</f>
        <v>3.35</v>
      </c>
      <c r="S6" s="413">
        <f>RECAP!$AB$7</f>
        <v>6.35</v>
      </c>
      <c r="T6" s="14">
        <f>IF(A6="","",ARBITRAGES!M6)</f>
        <v>9900</v>
      </c>
      <c r="U6" s="417">
        <f>IF(A6="","",B6*'QUANTITE DETENUES'!B6+'QUANTITE DETENUES'!C6*C6+'QUANTITE DETENUES'!D6*D6+E6*'QUANTITE DETENUES'!E6+'QUANTITE DETENUES'!F6*F6+G6*'QUANTITE DETENUES'!G6+'QUANTITE DETENUES'!H6*H6+I6*'QUANTITE DETENUES'!I6+'QUANTITE DETENUES'!J6*J6+K6*'QUANTITE DETENUES'!K6+'QUANTITE DETENUES'!L6*L6+M6*'QUANTITE DETENUES'!M6+'QUANTITE DETENUES'!N6*N6+O6*'QUANTITE DETENUES'!O6+T6+P6*'QUANTITE DETENUES'!P6+'QUANTITE DETENUES'!Q6*Q6+R6*'QUANTITE DETENUES'!R6+'QUANTITE DETENUES'!S6*S6)</f>
        <v>38797.4525</v>
      </c>
      <c r="V6" s="288"/>
      <c r="W6" s="289"/>
      <c r="X6" s="298"/>
      <c r="Y6" s="289"/>
      <c r="Z6" s="289"/>
      <c r="AA6" s="289"/>
      <c r="AB6" s="289"/>
      <c r="AC6" s="289"/>
      <c r="AD6" s="289"/>
      <c r="AE6" s="289"/>
      <c r="AF6" s="289"/>
      <c r="AG6" s="289"/>
      <c r="AH6" s="289"/>
      <c r="AI6" s="289"/>
      <c r="AJ6" s="289"/>
      <c r="AK6" s="289"/>
      <c r="AL6" s="289"/>
      <c r="AM6" s="289"/>
    </row>
    <row r="7">
      <c r="A7" s="409">
        <f>IF(ARBITRAGES!E7="","",ARBITRAGES!E7)</f>
        <v>45518</v>
      </c>
      <c r="B7" s="33">
        <v>61000.0</v>
      </c>
      <c r="C7" s="33">
        <v>2717.0</v>
      </c>
      <c r="D7" s="412">
        <v>7.2</v>
      </c>
      <c r="E7" s="33">
        <v>147.2</v>
      </c>
      <c r="F7" s="33">
        <v>287.3</v>
      </c>
      <c r="G7" s="412">
        <v>1.6</v>
      </c>
      <c r="H7" s="412">
        <v>10.57</v>
      </c>
      <c r="I7" s="413">
        <v>0.1065</v>
      </c>
      <c r="J7" s="414">
        <v>1.375E-5</v>
      </c>
      <c r="K7" s="413">
        <v>1.595</v>
      </c>
      <c r="L7" s="413">
        <v>0.795</v>
      </c>
      <c r="M7" s="413">
        <v>105.0</v>
      </c>
      <c r="N7" s="415">
        <v>0.009</v>
      </c>
      <c r="O7" s="413">
        <v>2.85</v>
      </c>
      <c r="P7" s="413">
        <f>RECAP!$Y$7</f>
        <v>0.009774</v>
      </c>
      <c r="Q7" s="416">
        <f>RECAP!$Z$7</f>
        <v>0.0000178</v>
      </c>
      <c r="R7" s="413">
        <f>RECAP!$AA$7</f>
        <v>3.35</v>
      </c>
      <c r="S7" s="413">
        <f>RECAP!$AB$7</f>
        <v>6.35</v>
      </c>
      <c r="T7" s="14">
        <f>IF(A7="","",ARBITRAGES!M7)</f>
        <v>9060</v>
      </c>
      <c r="U7" s="417">
        <f>IF(A7="","",B7*'QUANTITE DETENUES'!B7+'QUANTITE DETENUES'!C7*C7+'QUANTITE DETENUES'!D7*D7+E7*'QUANTITE DETENUES'!E7+'QUANTITE DETENUES'!F7*F7+G7*'QUANTITE DETENUES'!G7+'QUANTITE DETENUES'!H7*H7+I7*'QUANTITE DETENUES'!I7+'QUANTITE DETENUES'!J7*J7+K7*'QUANTITE DETENUES'!K7+'QUANTITE DETENUES'!L7*L7+M7*'QUANTITE DETENUES'!M7+'QUANTITE DETENUES'!N7*N7+O7*'QUANTITE DETENUES'!O7+T7+P7*'QUANTITE DETENUES'!P7+'QUANTITE DETENUES'!Q7*Q7+R7*'QUANTITE DETENUES'!R7+'QUANTITE DETENUES'!S7*S7)</f>
        <v>38816.26487</v>
      </c>
      <c r="V7" s="288"/>
      <c r="W7" s="289"/>
      <c r="X7" s="303"/>
      <c r="Y7" s="289"/>
      <c r="Z7" s="289"/>
      <c r="AA7" s="289"/>
      <c r="AB7" s="289"/>
      <c r="AC7" s="289"/>
      <c r="AD7" s="289"/>
      <c r="AE7" s="289"/>
      <c r="AF7" s="289"/>
      <c r="AG7" s="289"/>
      <c r="AH7" s="289"/>
      <c r="AI7" s="289"/>
      <c r="AJ7" s="289"/>
      <c r="AK7" s="289"/>
      <c r="AL7" s="289"/>
      <c r="AM7" s="289"/>
    </row>
    <row r="8">
      <c r="A8" s="409">
        <f>IF(ARBITRAGES!E8="","",ARBITRAGES!E8)</f>
        <v>45518</v>
      </c>
      <c r="B8" s="33">
        <v>61000.0</v>
      </c>
      <c r="C8" s="33">
        <v>2717.0</v>
      </c>
      <c r="D8" s="412">
        <v>7.2</v>
      </c>
      <c r="E8" s="33">
        <v>147.2</v>
      </c>
      <c r="F8" s="33">
        <v>287.3</v>
      </c>
      <c r="G8" s="412">
        <v>1.65</v>
      </c>
      <c r="H8" s="412">
        <v>10.57</v>
      </c>
      <c r="I8" s="413">
        <v>0.1065</v>
      </c>
      <c r="J8" s="414">
        <v>1.375E-5</v>
      </c>
      <c r="K8" s="413">
        <v>1.595</v>
      </c>
      <c r="L8" s="413">
        <v>0.795</v>
      </c>
      <c r="M8" s="413">
        <v>105.0</v>
      </c>
      <c r="N8" s="415">
        <v>0.009</v>
      </c>
      <c r="O8" s="413">
        <v>2.85</v>
      </c>
      <c r="P8" s="413">
        <f>RECAP!$Y$7</f>
        <v>0.009774</v>
      </c>
      <c r="Q8" s="416">
        <f>RECAP!$Z$7</f>
        <v>0.0000178</v>
      </c>
      <c r="R8" s="413">
        <f>RECAP!$AA$7</f>
        <v>3.35</v>
      </c>
      <c r="S8" s="413">
        <f>RECAP!$AB$7</f>
        <v>6.35</v>
      </c>
      <c r="T8" s="14">
        <f>IF(A8="","",ARBITRAGES!M8)</f>
        <v>8750</v>
      </c>
      <c r="U8" s="417">
        <f>IF(A8="","",B8*'QUANTITE DETENUES'!B8+'QUANTITE DETENUES'!C8*C8+'QUANTITE DETENUES'!D8*D8+E8*'QUANTITE DETENUES'!E8+'QUANTITE DETENUES'!F8*F8+G8*'QUANTITE DETENUES'!G8+'QUANTITE DETENUES'!H8*H8+I8*'QUANTITE DETENUES'!I8+'QUANTITE DETENUES'!J8*J8+K8*'QUANTITE DETENUES'!K8+'QUANTITE DETENUES'!L8*L8+M8*'QUANTITE DETENUES'!M8+'QUANTITE DETENUES'!N8*N8+O8*'QUANTITE DETENUES'!O8+T8+P8*'QUANTITE DETENUES'!P8+'QUANTITE DETENUES'!Q8*Q8+R8*'QUANTITE DETENUES'!R8+'QUANTITE DETENUES'!S8*S8)</f>
        <v>38836.26487</v>
      </c>
      <c r="V8" s="288"/>
      <c r="W8" s="289"/>
      <c r="X8" s="303"/>
      <c r="Y8" s="289"/>
      <c r="Z8" s="289"/>
      <c r="AA8" s="289"/>
      <c r="AB8" s="289"/>
      <c r="AC8" s="289"/>
      <c r="AD8" s="289"/>
      <c r="AE8" s="289"/>
      <c r="AF8" s="289"/>
      <c r="AG8" s="289"/>
      <c r="AH8" s="289"/>
      <c r="AI8" s="289"/>
      <c r="AJ8" s="289"/>
      <c r="AK8" s="289"/>
      <c r="AL8" s="289"/>
      <c r="AM8" s="289"/>
    </row>
    <row r="9">
      <c r="A9" s="409">
        <f>IF(ARBITRAGES!E9="","",ARBITRAGES!E9)</f>
        <v>45519</v>
      </c>
      <c r="B9" s="33">
        <v>58000.0</v>
      </c>
      <c r="C9" s="33">
        <v>2650.0</v>
      </c>
      <c r="D9" s="412">
        <v>6.5</v>
      </c>
      <c r="E9" s="33">
        <v>150.0</v>
      </c>
      <c r="F9" s="33">
        <v>273.0</v>
      </c>
      <c r="G9" s="412">
        <v>1.63</v>
      </c>
      <c r="H9" s="412">
        <v>10.05</v>
      </c>
      <c r="I9" s="413">
        <v>0.103</v>
      </c>
      <c r="J9" s="414">
        <v>1.34E-5</v>
      </c>
      <c r="K9" s="413">
        <v>1.575</v>
      </c>
      <c r="L9" s="413">
        <v>0.78</v>
      </c>
      <c r="M9" s="413">
        <v>110.0</v>
      </c>
      <c r="N9" s="415">
        <v>0.0078</v>
      </c>
      <c r="O9" s="413">
        <v>2.7</v>
      </c>
      <c r="P9" s="413">
        <f>RECAP!$Y$7</f>
        <v>0.009774</v>
      </c>
      <c r="Q9" s="416">
        <f>RECAP!$Z$7</f>
        <v>0.0000178</v>
      </c>
      <c r="R9" s="413">
        <f>RECAP!$AA$7</f>
        <v>3.35</v>
      </c>
      <c r="S9" s="413">
        <f>RECAP!$AB$7</f>
        <v>6.35</v>
      </c>
      <c r="T9" s="14">
        <f>IF(A9="","",ARBITRAGES!M9)</f>
        <v>6000</v>
      </c>
      <c r="U9" s="417">
        <f>IF(A9="","",B9*'QUANTITE DETENUES'!B9+'QUANTITE DETENUES'!C9*C9+'QUANTITE DETENUES'!D9*D9+E9*'QUANTITE DETENUES'!E9+'QUANTITE DETENUES'!F9*F9+G9*'QUANTITE DETENUES'!G9+'QUANTITE DETENUES'!H9*H9+I9*'QUANTITE DETENUES'!I9+'QUANTITE DETENUES'!J9*J9+K9*'QUANTITE DETENUES'!K9+'QUANTITE DETENUES'!L9*L9+M9*'QUANTITE DETENUES'!M9+'QUANTITE DETENUES'!N9*N9+O9*'QUANTITE DETENUES'!O9+T9+P9*'QUANTITE DETENUES'!P9+'QUANTITE DETENUES'!Q9*Q9+R9*'QUANTITE DETENUES'!R9+'QUANTITE DETENUES'!S9*S9)</f>
        <v>37999.57198</v>
      </c>
      <c r="V9" s="288"/>
      <c r="W9" s="289"/>
      <c r="X9" s="304"/>
      <c r="Y9" s="289"/>
      <c r="Z9" s="289"/>
      <c r="AA9" s="289"/>
      <c r="AB9" s="289"/>
      <c r="AC9" s="289"/>
      <c r="AD9" s="289"/>
      <c r="AE9" s="289"/>
      <c r="AF9" s="289"/>
      <c r="AG9" s="289"/>
      <c r="AH9" s="289"/>
      <c r="AI9" s="289"/>
      <c r="AJ9" s="289"/>
      <c r="AK9" s="289"/>
      <c r="AL9" s="289"/>
      <c r="AM9" s="289"/>
    </row>
    <row r="10">
      <c r="A10" s="409">
        <f>IF(ARBITRAGES!E10="","",ARBITRAGES!E10)</f>
        <v>45522</v>
      </c>
      <c r="B10" s="33">
        <v>60100.0</v>
      </c>
      <c r="C10" s="33">
        <v>2675.0</v>
      </c>
      <c r="D10" s="412">
        <v>6.66</v>
      </c>
      <c r="E10" s="33">
        <v>146.4</v>
      </c>
      <c r="F10" s="33">
        <v>293.0</v>
      </c>
      <c r="G10" s="412">
        <v>1.647</v>
      </c>
      <c r="H10" s="412">
        <v>10.43</v>
      </c>
      <c r="I10" s="413">
        <v>0.104</v>
      </c>
      <c r="J10" s="414">
        <v>1.335E-5</v>
      </c>
      <c r="K10" s="413">
        <v>1.65</v>
      </c>
      <c r="L10" s="413">
        <v>0.76</v>
      </c>
      <c r="M10" s="413">
        <v>108.0</v>
      </c>
      <c r="N10" s="415">
        <v>0.0076</v>
      </c>
      <c r="O10" s="413">
        <v>2.65</v>
      </c>
      <c r="P10" s="413">
        <f>RECAP!$Y$7</f>
        <v>0.009774</v>
      </c>
      <c r="Q10" s="416">
        <f>RECAP!$Z$7</f>
        <v>0.0000178</v>
      </c>
      <c r="R10" s="413">
        <f>RECAP!$AA$7</f>
        <v>3.35</v>
      </c>
      <c r="S10" s="413">
        <f>RECAP!$AB$7</f>
        <v>6.35</v>
      </c>
      <c r="T10" s="14">
        <f>IF(A10="","",ARBITRAGES!M10)</f>
        <v>4500</v>
      </c>
      <c r="U10" s="417">
        <f>IF(A10="","",B10*'QUANTITE DETENUES'!B10+'QUANTITE DETENUES'!C10*C10+'QUANTITE DETENUES'!D10*D10+E10*'QUANTITE DETENUES'!E10+'QUANTITE DETENUES'!F10*F10+G10*'QUANTITE DETENUES'!G10+'QUANTITE DETENUES'!H10*H10+I10*'QUANTITE DETENUES'!I10+'QUANTITE DETENUES'!J10*J10+K10*'QUANTITE DETENUES'!K10+'QUANTITE DETENUES'!L10*L10+M10*'QUANTITE DETENUES'!M10+'QUANTITE DETENUES'!N10*N10+O10*'QUANTITE DETENUES'!O10+T10+P10*'QUANTITE DETENUES'!P10+'QUANTITE DETENUES'!Q10*Q10+R10*'QUANTITE DETENUES'!R10+'QUANTITE DETENUES'!S10*S10)</f>
        <v>38621.63</v>
      </c>
      <c r="V10" s="288"/>
      <c r="W10" s="289"/>
      <c r="X10" s="305"/>
      <c r="Y10" s="289"/>
      <c r="Z10" s="289"/>
      <c r="AA10" s="289"/>
      <c r="AB10" s="289"/>
      <c r="AC10" s="289"/>
      <c r="AD10" s="289"/>
      <c r="AE10" s="289"/>
      <c r="AF10" s="289"/>
      <c r="AG10" s="289"/>
      <c r="AH10" s="289"/>
      <c r="AI10" s="289"/>
      <c r="AJ10" s="289"/>
      <c r="AK10" s="289"/>
      <c r="AL10" s="289"/>
      <c r="AM10" s="289"/>
    </row>
    <row r="11">
      <c r="A11" s="409">
        <f>IF(ARBITRAGES!E11="","",ARBITRAGES!E11)</f>
        <v>45527</v>
      </c>
      <c r="B11" s="33">
        <v>63400.0</v>
      </c>
      <c r="C11" s="33">
        <v>2740.0</v>
      </c>
      <c r="D11" s="412">
        <v>6.69</v>
      </c>
      <c r="E11" s="33">
        <v>148.83</v>
      </c>
      <c r="F11" s="33">
        <v>348.0</v>
      </c>
      <c r="G11" s="412">
        <v>1.777</v>
      </c>
      <c r="H11" s="412">
        <v>11.3</v>
      </c>
      <c r="I11" s="413">
        <v>0.1096</v>
      </c>
      <c r="J11" s="414">
        <v>1.47E-5</v>
      </c>
      <c r="K11" s="413">
        <v>2.0</v>
      </c>
      <c r="L11" s="413">
        <v>0.84</v>
      </c>
      <c r="M11" s="413">
        <v>140.0</v>
      </c>
      <c r="N11" s="415">
        <v>0.00102</v>
      </c>
      <c r="O11" s="413">
        <v>3.1</v>
      </c>
      <c r="P11" s="413">
        <f>RECAP!$Y$7</f>
        <v>0.009774</v>
      </c>
      <c r="Q11" s="416">
        <f>RECAP!$Z$7</f>
        <v>0.0000178</v>
      </c>
      <c r="R11" s="413">
        <f>RECAP!$AA$7</f>
        <v>3.35</v>
      </c>
      <c r="S11" s="413">
        <f>RECAP!$AB$7</f>
        <v>6.35</v>
      </c>
      <c r="T11" s="14">
        <f>IF(A11="","",ARBITRAGES!M11)</f>
        <v>4845</v>
      </c>
      <c r="U11" s="417">
        <f>IF(A11="","",B11*'QUANTITE DETENUES'!B11+'QUANTITE DETENUES'!C11*C11+'QUANTITE DETENUES'!D11*D11+E11*'QUANTITE DETENUES'!E11+'QUANTITE DETENUES'!F11*F11+G11*'QUANTITE DETENUES'!G11+'QUANTITE DETENUES'!H11*H11+I11*'QUANTITE DETENUES'!I11+'QUANTITE DETENUES'!J11*J11+K11*'QUANTITE DETENUES'!K11+'QUANTITE DETENUES'!L11*L11+M11*'QUANTITE DETENUES'!M11+'QUANTITE DETENUES'!N11*N11+O11*'QUANTITE DETENUES'!O11+T11+P11*'QUANTITE DETENUES'!P11+'QUANTITE DETENUES'!Q11*Q11+R11*'QUANTITE DETENUES'!R11+'QUANTITE DETENUES'!S11*S11)</f>
        <v>40071.08671</v>
      </c>
      <c r="V11" s="288"/>
      <c r="W11" s="289"/>
      <c r="X11" s="304"/>
      <c r="Y11" s="289"/>
      <c r="Z11" s="289"/>
      <c r="AA11" s="289"/>
      <c r="AB11" s="289"/>
      <c r="AC11" s="289"/>
      <c r="AD11" s="289"/>
      <c r="AE11" s="289"/>
      <c r="AF11" s="289"/>
      <c r="AG11" s="289"/>
      <c r="AH11" s="289"/>
      <c r="AI11" s="289"/>
      <c r="AJ11" s="289"/>
      <c r="AK11" s="289"/>
      <c r="AL11" s="289"/>
      <c r="AM11" s="289"/>
    </row>
    <row r="12">
      <c r="A12" s="409">
        <f>IF(ARBITRAGES!E12="","",ARBITRAGES!E12)</f>
        <v>45527</v>
      </c>
      <c r="B12" s="33">
        <v>63400.0</v>
      </c>
      <c r="C12" s="33">
        <v>2740.0</v>
      </c>
      <c r="D12" s="412">
        <v>6.69</v>
      </c>
      <c r="E12" s="33">
        <v>148.83</v>
      </c>
      <c r="F12" s="33">
        <v>348.0</v>
      </c>
      <c r="G12" s="412">
        <v>1.777</v>
      </c>
      <c r="H12" s="412">
        <v>11.3</v>
      </c>
      <c r="I12" s="413">
        <v>0.1096</v>
      </c>
      <c r="J12" s="414">
        <v>1.47E-5</v>
      </c>
      <c r="K12" s="413">
        <v>2.0</v>
      </c>
      <c r="L12" s="413">
        <v>0.84</v>
      </c>
      <c r="M12" s="413">
        <v>140.0</v>
      </c>
      <c r="N12" s="415">
        <v>0.00102</v>
      </c>
      <c r="O12" s="413">
        <v>3.1</v>
      </c>
      <c r="P12" s="413">
        <f>RECAP!$Y$7</f>
        <v>0.009774</v>
      </c>
      <c r="Q12" s="416">
        <f>RECAP!$Z$7</f>
        <v>0.0000178</v>
      </c>
      <c r="R12" s="413">
        <f>RECAP!$AA$7</f>
        <v>3.35</v>
      </c>
      <c r="S12" s="413">
        <f>RECAP!$AB$7</f>
        <v>6.35</v>
      </c>
      <c r="T12" s="14">
        <f>IF(A12="","",ARBITRAGES!M12)</f>
        <v>6345</v>
      </c>
      <c r="U12" s="417">
        <f>IF(A12="","",B12*'QUANTITE DETENUES'!B12+'QUANTITE DETENUES'!C12*C12+'QUANTITE DETENUES'!D12*D12+E12*'QUANTITE DETENUES'!E12+'QUANTITE DETENUES'!F12*F12+G12*'QUANTITE DETENUES'!G12+'QUANTITE DETENUES'!H12*H12+I12*'QUANTITE DETENUES'!I12+'QUANTITE DETENUES'!J12*J12+K12*'QUANTITE DETENUES'!K12+'QUANTITE DETENUES'!L12*L12+M12*'QUANTITE DETENUES'!M12+'QUANTITE DETENUES'!N12*N12+O12*'QUANTITE DETENUES'!O12+T12+P12*'QUANTITE DETENUES'!P12+'QUANTITE DETENUES'!Q12*Q12+R12*'QUANTITE DETENUES'!R12+'QUANTITE DETENUES'!S12*S12)</f>
        <v>40130.79639</v>
      </c>
      <c r="V12" s="288"/>
      <c r="W12" s="289"/>
      <c r="X12" s="304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89"/>
    </row>
    <row r="13">
      <c r="A13" s="409">
        <f>IF(ARBITRAGES!E13="","",ARBITRAGES!E13)</f>
        <v>45528</v>
      </c>
      <c r="B13" s="33">
        <v>64400.0</v>
      </c>
      <c r="C13" s="33">
        <v>2800.0</v>
      </c>
      <c r="D13" s="412">
        <v>6.766</v>
      </c>
      <c r="E13" s="33">
        <v>158.0</v>
      </c>
      <c r="F13" s="33">
        <v>343.0</v>
      </c>
      <c r="G13" s="412">
        <v>1.8</v>
      </c>
      <c r="H13" s="412">
        <v>12.1</v>
      </c>
      <c r="I13" s="413">
        <v>0.114</v>
      </c>
      <c r="J13" s="414">
        <v>1.54E-5</v>
      </c>
      <c r="K13" s="413">
        <v>2.0</v>
      </c>
      <c r="L13" s="413">
        <v>0.92</v>
      </c>
      <c r="M13" s="413">
        <v>135.0</v>
      </c>
      <c r="N13" s="415">
        <v>0.00108</v>
      </c>
      <c r="O13" s="413">
        <v>3.3</v>
      </c>
      <c r="P13" s="413">
        <f>RECAP!$Y$7</f>
        <v>0.009774</v>
      </c>
      <c r="Q13" s="416">
        <f>RECAP!$Z$7</f>
        <v>0.0000178</v>
      </c>
      <c r="R13" s="413">
        <f>RECAP!$AA$7</f>
        <v>3.35</v>
      </c>
      <c r="S13" s="413">
        <f>RECAP!$AB$7</f>
        <v>6.35</v>
      </c>
      <c r="T13" s="14">
        <f>IF(A13="","",ARBITRAGES!M13)</f>
        <v>8178</v>
      </c>
      <c r="U13" s="417">
        <f>IF(A13="","",B13*'QUANTITE DETENUES'!B13+'QUANTITE DETENUES'!C13*C13+'QUANTITE DETENUES'!D13*D13+E13*'QUANTITE DETENUES'!E13+'QUANTITE DETENUES'!F13*F13+G13*'QUANTITE DETENUES'!G13+'QUANTITE DETENUES'!H13*H13+I13*'QUANTITE DETENUES'!I13+'QUANTITE DETENUES'!J13*J13+K13*'QUANTITE DETENUES'!K13+'QUANTITE DETENUES'!L13*L13+M13*'QUANTITE DETENUES'!M13+'QUANTITE DETENUES'!N13*N13+O13*'QUANTITE DETENUES'!O13+T13+P13*'QUANTITE DETENUES'!P13+'QUANTITE DETENUES'!Q13*Q13+R13*'QUANTITE DETENUES'!R13+'QUANTITE DETENUES'!S13*S13)</f>
        <v>40893.77506</v>
      </c>
      <c r="V13" s="288"/>
      <c r="W13" s="289"/>
      <c r="X13" s="304"/>
      <c r="Y13" s="289"/>
      <c r="Z13" s="289"/>
      <c r="AA13" s="289"/>
      <c r="AB13" s="289"/>
      <c r="AC13" s="289"/>
      <c r="AD13" s="289"/>
      <c r="AE13" s="289"/>
      <c r="AF13" s="289"/>
      <c r="AG13" s="289"/>
      <c r="AH13" s="289"/>
      <c r="AI13" s="289"/>
      <c r="AJ13" s="289"/>
      <c r="AK13" s="289"/>
      <c r="AL13" s="289"/>
      <c r="AM13" s="289"/>
    </row>
    <row r="14">
      <c r="A14" s="409">
        <f>IF(ARBITRAGES!E14="","",ARBITRAGES!E14)</f>
        <v>45529</v>
      </c>
      <c r="B14" s="33">
        <v>64000.0</v>
      </c>
      <c r="C14" s="33">
        <v>2765.0</v>
      </c>
      <c r="D14" s="412">
        <v>5.64</v>
      </c>
      <c r="E14" s="33">
        <v>158.0</v>
      </c>
      <c r="F14" s="33">
        <v>327.0</v>
      </c>
      <c r="G14" s="412">
        <v>1.76</v>
      </c>
      <c r="H14" s="412">
        <v>12.12</v>
      </c>
      <c r="I14" s="413">
        <v>0.109</v>
      </c>
      <c r="J14" s="414">
        <v>1.53E-5</v>
      </c>
      <c r="K14" s="413">
        <v>1.95</v>
      </c>
      <c r="L14" s="413">
        <v>0.91</v>
      </c>
      <c r="M14" s="413">
        <v>130.0</v>
      </c>
      <c r="N14" s="415">
        <v>0.001</v>
      </c>
      <c r="O14" s="413">
        <v>3.4</v>
      </c>
      <c r="P14" s="413">
        <f>RECAP!$Y$7</f>
        <v>0.009774</v>
      </c>
      <c r="Q14" s="416">
        <f>RECAP!$Z$7</f>
        <v>0.0000178</v>
      </c>
      <c r="R14" s="413">
        <f>RECAP!$AA$7</f>
        <v>3.35</v>
      </c>
      <c r="S14" s="413">
        <f>RECAP!$AB$7</f>
        <v>6.35</v>
      </c>
      <c r="T14" s="14">
        <f>IF(A14="","",ARBITRAGES!M14)</f>
        <v>7678</v>
      </c>
      <c r="U14" s="417">
        <f>IF(A14="","",B14*'QUANTITE DETENUES'!B14+'QUANTITE DETENUES'!C14*C14+'QUANTITE DETENUES'!D14*D14+E14*'QUANTITE DETENUES'!E14+'QUANTITE DETENUES'!F14*F14+G14*'QUANTITE DETENUES'!G14+'QUANTITE DETENUES'!H14*H14+I14*'QUANTITE DETENUES'!I14+'QUANTITE DETENUES'!J14*J14+K14*'QUANTITE DETENUES'!K14+'QUANTITE DETENUES'!L14*L14+M14*'QUANTITE DETENUES'!M14+'QUANTITE DETENUES'!N14*N14+O14*'QUANTITE DETENUES'!O14+T14+P14*'QUANTITE DETENUES'!P14+'QUANTITE DETENUES'!Q14*Q14+R14*'QUANTITE DETENUES'!R14+'QUANTITE DETENUES'!S14*S14)</f>
        <v>40117.45953</v>
      </c>
      <c r="V14" s="288"/>
      <c r="W14" s="289"/>
      <c r="X14" s="306"/>
      <c r="Y14" s="289"/>
      <c r="Z14" s="289"/>
      <c r="AA14" s="289"/>
      <c r="AB14" s="289"/>
      <c r="AC14" s="289"/>
      <c r="AD14" s="289"/>
      <c r="AE14" s="289"/>
      <c r="AF14" s="289"/>
      <c r="AG14" s="289"/>
      <c r="AH14" s="289"/>
      <c r="AI14" s="289"/>
      <c r="AJ14" s="289"/>
      <c r="AK14" s="289"/>
      <c r="AL14" s="289"/>
      <c r="AM14" s="289"/>
    </row>
    <row r="15">
      <c r="A15" s="409">
        <f>IF(ARBITRAGES!E15="","",ARBITRAGES!E15)</f>
        <v>45530</v>
      </c>
      <c r="B15" s="33">
        <v>62000.0</v>
      </c>
      <c r="C15" s="33">
        <v>2600.0</v>
      </c>
      <c r="D15" s="412">
        <v>5.45</v>
      </c>
      <c r="E15" s="33">
        <v>154.0</v>
      </c>
      <c r="F15" s="33">
        <v>337.0</v>
      </c>
      <c r="G15" s="412">
        <v>1.656</v>
      </c>
      <c r="H15" s="412">
        <v>11.56</v>
      </c>
      <c r="I15" s="413">
        <v>0.104</v>
      </c>
      <c r="J15" s="414">
        <v>1.47E-5</v>
      </c>
      <c r="K15" s="413">
        <v>1.93</v>
      </c>
      <c r="L15" s="413">
        <v>0.88</v>
      </c>
      <c r="M15" s="413">
        <v>128.0</v>
      </c>
      <c r="N15" s="415">
        <v>0.009</v>
      </c>
      <c r="O15" s="413">
        <v>3.35</v>
      </c>
      <c r="P15" s="413">
        <f>RECAP!$Y$7</f>
        <v>0.009774</v>
      </c>
      <c r="Q15" s="416">
        <f>RECAP!$Z$7</f>
        <v>0.0000178</v>
      </c>
      <c r="R15" s="413">
        <f>RECAP!$AA$7</f>
        <v>3.35</v>
      </c>
      <c r="S15" s="413">
        <f>RECAP!$AB$7</f>
        <v>6.35</v>
      </c>
      <c r="T15" s="14">
        <f>IF(A15="","",ARBITRAGES!M15)</f>
        <v>5478</v>
      </c>
      <c r="U15" s="417">
        <f>IF(A15="","",B15*'QUANTITE DETENUES'!B15+'QUANTITE DETENUES'!C15*C15+'QUANTITE DETENUES'!D15*D15+E15*'QUANTITE DETENUES'!E15+'QUANTITE DETENUES'!F15*F15+G15*'QUANTITE DETENUES'!G15+'QUANTITE DETENUES'!H15*H15+I15*'QUANTITE DETENUES'!I15+'QUANTITE DETENUES'!J15*J15+K15*'QUANTITE DETENUES'!K15+'QUANTITE DETENUES'!L15*L15+M15*'QUANTITE DETENUES'!M15+'QUANTITE DETENUES'!N15*N15+O15*'QUANTITE DETENUES'!O15+T15+P15*'QUANTITE DETENUES'!P15+'QUANTITE DETENUES'!Q15*Q15+R15*'QUANTITE DETENUES'!R15+'QUANTITE DETENUES'!S15*S15)</f>
        <v>38900.62381</v>
      </c>
      <c r="V15" s="288"/>
      <c r="W15" s="289"/>
      <c r="X15" s="304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</row>
    <row r="16">
      <c r="A16" s="409">
        <f>IF(ARBITRAGES!E16="","",ARBITRAGES!E16)</f>
        <v>45531</v>
      </c>
      <c r="B16" s="33">
        <v>62000.0</v>
      </c>
      <c r="C16" s="33">
        <v>2600.0</v>
      </c>
      <c r="D16" s="412">
        <v>5.45</v>
      </c>
      <c r="E16" s="33">
        <v>154.0</v>
      </c>
      <c r="F16" s="33">
        <v>337.0</v>
      </c>
      <c r="G16" s="412">
        <v>1.656</v>
      </c>
      <c r="H16" s="412">
        <v>11.56</v>
      </c>
      <c r="I16" s="413">
        <v>0.104</v>
      </c>
      <c r="J16" s="414">
        <v>1.4E-5</v>
      </c>
      <c r="K16" s="413">
        <v>1.8</v>
      </c>
      <c r="L16" s="413">
        <v>0.79</v>
      </c>
      <c r="M16" s="413">
        <v>124.0</v>
      </c>
      <c r="N16" s="415">
        <v>0.0087</v>
      </c>
      <c r="O16" s="413">
        <v>3.18</v>
      </c>
      <c r="P16" s="413">
        <f>RECAP!$Y$7</f>
        <v>0.009774</v>
      </c>
      <c r="Q16" s="416">
        <f>RECAP!$Z$7</f>
        <v>0.0000178</v>
      </c>
      <c r="R16" s="413">
        <f>RECAP!$AA$7</f>
        <v>3.35</v>
      </c>
      <c r="S16" s="413">
        <f>RECAP!$AB$7</f>
        <v>6.35</v>
      </c>
      <c r="T16" s="14">
        <f>IF(A16="","",ARBITRAGES!M16)</f>
        <v>4653</v>
      </c>
      <c r="U16" s="417">
        <f>IF(A16="","",B16*'QUANTITE DETENUES'!B16+'QUANTITE DETENUES'!C16*C16+'QUANTITE DETENUES'!D16*D16+E16*'QUANTITE DETENUES'!E16+'QUANTITE DETENUES'!F16*F16+G16*'QUANTITE DETENUES'!G16+'QUANTITE DETENUES'!H16*H16+I16*'QUANTITE DETENUES'!I16+'QUANTITE DETENUES'!J16*J16+K16*'QUANTITE DETENUES'!K16+'QUANTITE DETENUES'!L16*L16+M16*'QUANTITE DETENUES'!M16+'QUANTITE DETENUES'!N16*N16+O16*'QUANTITE DETENUES'!O16+T16+P16*'QUANTITE DETENUES'!P16+'QUANTITE DETENUES'!Q16*Q16+R16*'QUANTITE DETENUES'!R16+'QUANTITE DETENUES'!S16*S16)</f>
        <v>38851.50839</v>
      </c>
      <c r="V16" s="288"/>
      <c r="W16" s="289"/>
      <c r="X16" s="289"/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</row>
    <row r="17">
      <c r="A17" s="409">
        <f>IF(ARBITRAGES!E17="","",ARBITRAGES!E17)</f>
        <v>45531</v>
      </c>
      <c r="B17" s="33">
        <v>62000.0</v>
      </c>
      <c r="C17" s="33">
        <v>2600.0</v>
      </c>
      <c r="D17" s="412">
        <v>5.45</v>
      </c>
      <c r="E17" s="33">
        <v>154.0</v>
      </c>
      <c r="F17" s="33">
        <v>337.0</v>
      </c>
      <c r="G17" s="412">
        <v>1.656</v>
      </c>
      <c r="H17" s="412">
        <v>11.56</v>
      </c>
      <c r="I17" s="413">
        <v>0.104</v>
      </c>
      <c r="J17" s="414">
        <v>1.4E-5</v>
      </c>
      <c r="K17" s="413">
        <v>1.8</v>
      </c>
      <c r="L17" s="413">
        <v>0.79</v>
      </c>
      <c r="M17" s="413">
        <v>124.0</v>
      </c>
      <c r="N17" s="415">
        <v>0.0087</v>
      </c>
      <c r="O17" s="413">
        <v>3.18</v>
      </c>
      <c r="P17" s="413">
        <f>RECAP!$Y$7</f>
        <v>0.009774</v>
      </c>
      <c r="Q17" s="416">
        <f>RECAP!$Z$7</f>
        <v>0.0000178</v>
      </c>
      <c r="R17" s="413">
        <f>RECAP!$AA$7</f>
        <v>3.35</v>
      </c>
      <c r="S17" s="413">
        <f>RECAP!$AB$7</f>
        <v>6.35</v>
      </c>
      <c r="T17" s="14">
        <f>IF(A17="","",ARBITRAGES!M17)</f>
        <v>3498</v>
      </c>
      <c r="U17" s="417">
        <f>IF(A17="","",B17*'QUANTITE DETENUES'!B17+'QUANTITE DETENUES'!C17*C17+'QUANTITE DETENUES'!D17*D17+E17*'QUANTITE DETENUES'!E17+'QUANTITE DETENUES'!F17*F17+G17*'QUANTITE DETENUES'!G17+'QUANTITE DETENUES'!H17*H17+I17*'QUANTITE DETENUES'!I17+'QUANTITE DETENUES'!J17*J17+K17*'QUANTITE DETENUES'!K17+'QUANTITE DETENUES'!L17*L17+M17*'QUANTITE DETENUES'!M17+'QUANTITE DETENUES'!N17*N17+O17*'QUANTITE DETENUES'!O17+T17+P17*'QUANTITE DETENUES'!P17+'QUANTITE DETENUES'!Q17*Q17+R17*'QUANTITE DETENUES'!R17+'QUANTITE DETENUES'!S17*S17)</f>
        <v>38876.00839</v>
      </c>
      <c r="V17" s="288"/>
      <c r="W17" s="289"/>
      <c r="X17" s="289"/>
      <c r="Y17" s="289"/>
      <c r="Z17" s="289"/>
      <c r="AA17" s="289"/>
      <c r="AB17" s="289"/>
      <c r="AC17" s="289"/>
      <c r="AD17" s="289"/>
      <c r="AE17" s="289"/>
      <c r="AF17" s="289"/>
      <c r="AG17" s="289"/>
      <c r="AH17" s="289"/>
      <c r="AI17" s="289"/>
      <c r="AJ17" s="289"/>
      <c r="AK17" s="289"/>
      <c r="AL17" s="289"/>
      <c r="AM17" s="289"/>
    </row>
    <row r="18">
      <c r="A18" s="409">
        <f>IF(ARBITRAGES!E18="","",ARBITRAGES!E18)</f>
        <v>45531</v>
      </c>
      <c r="B18" s="33">
        <v>62000.0</v>
      </c>
      <c r="C18" s="33">
        <v>2600.0</v>
      </c>
      <c r="D18" s="412">
        <v>5.45</v>
      </c>
      <c r="E18" s="33">
        <v>154.0</v>
      </c>
      <c r="F18" s="33">
        <v>337.0</v>
      </c>
      <c r="G18" s="412">
        <v>1.656</v>
      </c>
      <c r="H18" s="412">
        <v>11.56</v>
      </c>
      <c r="I18" s="413">
        <v>0.104</v>
      </c>
      <c r="J18" s="414">
        <v>1.4E-5</v>
      </c>
      <c r="K18" s="413">
        <v>1.8</v>
      </c>
      <c r="L18" s="413">
        <v>0.79</v>
      </c>
      <c r="M18" s="413">
        <v>124.0</v>
      </c>
      <c r="N18" s="415">
        <v>0.0087</v>
      </c>
      <c r="O18" s="413">
        <v>3.18</v>
      </c>
      <c r="P18" s="413">
        <f>RECAP!$Y$7</f>
        <v>0.009774</v>
      </c>
      <c r="Q18" s="416">
        <f>RECAP!$Z$7</f>
        <v>0.0000178</v>
      </c>
      <c r="R18" s="413">
        <f>RECAP!$AA$7</f>
        <v>3.35</v>
      </c>
      <c r="S18" s="413">
        <f>RECAP!$AB$7</f>
        <v>6.35</v>
      </c>
      <c r="T18" s="14">
        <f>IF(A18="","",ARBITRAGES!M18)</f>
        <v>3217.5</v>
      </c>
      <c r="U18" s="417">
        <f>IF(A18="","",B18*'QUANTITE DETENUES'!B18+'QUANTITE DETENUES'!C18*C18+'QUANTITE DETENUES'!D18*D18+E18*'QUANTITE DETENUES'!E18+'QUANTITE DETENUES'!F18*F18+G18*'QUANTITE DETENUES'!G18+'QUANTITE DETENUES'!H18*H18+I18*'QUANTITE DETENUES'!I18+'QUANTITE DETENUES'!J18*J18+K18*'QUANTITE DETENUES'!K18+'QUANTITE DETENUES'!L18*L18+M18*'QUANTITE DETENUES'!M18+'QUANTITE DETENUES'!N18*N18+O18*'QUANTITE DETENUES'!O18+T18+P18*'QUANTITE DETENUES'!P18+'QUANTITE DETENUES'!Q18*Q18+R18*'QUANTITE DETENUES'!R18+'QUANTITE DETENUES'!S18*S18)</f>
        <v>38881.50839</v>
      </c>
      <c r="V18" s="288"/>
      <c r="W18" s="289"/>
      <c r="X18" s="289"/>
      <c r="Y18" s="289"/>
      <c r="Z18" s="289"/>
      <c r="AA18" s="289"/>
      <c r="AB18" s="289"/>
      <c r="AC18" s="289"/>
      <c r="AD18" s="289"/>
      <c r="AE18" s="289"/>
      <c r="AF18" s="289"/>
      <c r="AG18" s="289"/>
      <c r="AH18" s="289"/>
      <c r="AI18" s="289"/>
      <c r="AJ18" s="289"/>
      <c r="AK18" s="289"/>
      <c r="AL18" s="289"/>
      <c r="AM18" s="289"/>
    </row>
    <row r="19">
      <c r="A19" s="409">
        <f>IF(ARBITRAGES!E19="","",ARBITRAGES!E19)</f>
        <v>45531</v>
      </c>
      <c r="B19" s="33">
        <v>62000.0</v>
      </c>
      <c r="C19" s="33">
        <v>2600.0</v>
      </c>
      <c r="D19" s="412">
        <v>5.45</v>
      </c>
      <c r="E19" s="33">
        <v>154.0</v>
      </c>
      <c r="F19" s="33">
        <v>337.0</v>
      </c>
      <c r="G19" s="412">
        <v>1.656</v>
      </c>
      <c r="H19" s="412">
        <v>11.56</v>
      </c>
      <c r="I19" s="413">
        <v>0.104</v>
      </c>
      <c r="J19" s="414">
        <v>1.4E-5</v>
      </c>
      <c r="K19" s="413">
        <v>1.8</v>
      </c>
      <c r="L19" s="413">
        <v>0.79</v>
      </c>
      <c r="M19" s="413">
        <v>124.0</v>
      </c>
      <c r="N19" s="415">
        <v>0.0087</v>
      </c>
      <c r="O19" s="413">
        <v>3.18</v>
      </c>
      <c r="P19" s="413">
        <f>RECAP!$Y$7</f>
        <v>0.009774</v>
      </c>
      <c r="Q19" s="416">
        <f>RECAP!$Z$7</f>
        <v>0.0000178</v>
      </c>
      <c r="R19" s="413">
        <f>RECAP!$AA$7</f>
        <v>3.35</v>
      </c>
      <c r="S19" s="413">
        <f>RECAP!$AB$7</f>
        <v>6.35</v>
      </c>
      <c r="T19" s="14">
        <f>IF(A19="","",ARBITRAGES!M19)</f>
        <v>2117.5</v>
      </c>
      <c r="U19" s="417">
        <f>IF(A19="","",B19*'QUANTITE DETENUES'!B19+'QUANTITE DETENUES'!C19*C19+'QUANTITE DETENUES'!D19*D19+E19*'QUANTITE DETENUES'!E19+'QUANTITE DETENUES'!F19*F19+G19*'QUANTITE DETENUES'!G19+'QUANTITE DETENUES'!H19*H19+I19*'QUANTITE DETENUES'!I19+'QUANTITE DETENUES'!J19*J19+K19*'QUANTITE DETENUES'!K19+'QUANTITE DETENUES'!L19*L19+M19*'QUANTITE DETENUES'!M19+'QUANTITE DETENUES'!N19*N19+O19*'QUANTITE DETENUES'!O19+T19+P19*'QUANTITE DETENUES'!P19+'QUANTITE DETENUES'!Q19*Q19+R19*'QUANTITE DETENUES'!R19+'QUANTITE DETENUES'!S19*S19)</f>
        <v>38937.50839</v>
      </c>
      <c r="V19" s="288"/>
      <c r="W19" s="289"/>
      <c r="X19" s="289"/>
      <c r="Y19" s="289"/>
      <c r="Z19" s="289"/>
      <c r="AA19" s="289"/>
      <c r="AB19" s="289"/>
      <c r="AC19" s="289"/>
      <c r="AD19" s="289"/>
      <c r="AE19" s="289"/>
      <c r="AF19" s="289"/>
      <c r="AG19" s="289"/>
      <c r="AH19" s="289"/>
      <c r="AI19" s="289"/>
      <c r="AJ19" s="289"/>
      <c r="AK19" s="289"/>
      <c r="AL19" s="289"/>
      <c r="AM19" s="289"/>
    </row>
    <row r="20">
      <c r="A20" s="409">
        <f>IF(ARBITRAGES!E20="","",ARBITRAGES!E20)</f>
        <v>45532</v>
      </c>
      <c r="B20" s="33">
        <v>59500.0</v>
      </c>
      <c r="C20" s="33">
        <v>2490.0</v>
      </c>
      <c r="D20" s="412">
        <v>5.52</v>
      </c>
      <c r="E20" s="33">
        <v>146.0</v>
      </c>
      <c r="F20" s="33">
        <v>315.0</v>
      </c>
      <c r="G20" s="412">
        <v>1.6</v>
      </c>
      <c r="H20" s="412">
        <v>11.25</v>
      </c>
      <c r="I20" s="413">
        <v>0.1001</v>
      </c>
      <c r="J20" s="414">
        <v>1.38E-5</v>
      </c>
      <c r="K20" s="413">
        <v>1.795</v>
      </c>
      <c r="L20" s="413">
        <v>0.75</v>
      </c>
      <c r="M20" s="413">
        <v>126.0</v>
      </c>
      <c r="N20" s="415">
        <v>0.0082</v>
      </c>
      <c r="O20" s="413">
        <v>3.16</v>
      </c>
      <c r="P20" s="413">
        <f>RECAP!$Y$7</f>
        <v>0.009774</v>
      </c>
      <c r="Q20" s="416">
        <f>RECAP!$Z$7</f>
        <v>0.0000178</v>
      </c>
      <c r="R20" s="413">
        <f>RECAP!$AA$7</f>
        <v>3.35</v>
      </c>
      <c r="S20" s="413">
        <f>RECAP!$AB$7</f>
        <v>6.35</v>
      </c>
      <c r="T20" s="14">
        <f>IF(A20="","",ARBITRAGES!M20)</f>
        <v>817.5</v>
      </c>
      <c r="U20" s="417">
        <f>IF(A20="","",B20*'QUANTITE DETENUES'!B20+'QUANTITE DETENUES'!C20*C20+'QUANTITE DETENUES'!D20*D20+E20*'QUANTITE DETENUES'!E20+'QUANTITE DETENUES'!F20*F20+G20*'QUANTITE DETENUES'!G20+'QUANTITE DETENUES'!H20*H20+I20*'QUANTITE DETENUES'!I20+'QUANTITE DETENUES'!J20*J20+K20*'QUANTITE DETENUES'!K20+'QUANTITE DETENUES'!L20*L20+M20*'QUANTITE DETENUES'!M20+'QUANTITE DETENUES'!N20*N20+O20*'QUANTITE DETENUES'!O20+T20+P20*'QUANTITE DETENUES'!P20+'QUANTITE DETENUES'!Q20*Q20+R20*'QUANTITE DETENUES'!R20+'QUANTITE DETENUES'!S20*S20)</f>
        <v>37571.82377</v>
      </c>
      <c r="V20" s="288"/>
      <c r="W20" s="289"/>
      <c r="X20" s="289"/>
      <c r="Y20" s="289"/>
      <c r="Z20" s="289"/>
      <c r="AA20" s="289"/>
      <c r="AB20" s="289"/>
      <c r="AC20" s="289"/>
      <c r="AD20" s="289"/>
      <c r="AE20" s="289"/>
      <c r="AF20" s="289"/>
      <c r="AG20" s="289"/>
      <c r="AH20" s="289"/>
      <c r="AI20" s="289"/>
      <c r="AJ20" s="289"/>
      <c r="AK20" s="289"/>
      <c r="AL20" s="289"/>
      <c r="AM20" s="289"/>
    </row>
    <row r="21">
      <c r="A21" s="409">
        <f>IF(ARBITRAGES!E21="","",ARBITRAGES!E21)</f>
        <v>45545</v>
      </c>
      <c r="B21" s="33">
        <v>57300.0</v>
      </c>
      <c r="C21" s="33">
        <v>2370.0</v>
      </c>
      <c r="D21" s="412">
        <v>5.25</v>
      </c>
      <c r="E21" s="33">
        <v>135.0</v>
      </c>
      <c r="F21" s="33">
        <v>280.0</v>
      </c>
      <c r="G21" s="412">
        <v>1.53</v>
      </c>
      <c r="H21" s="412">
        <v>10.6</v>
      </c>
      <c r="I21" s="413">
        <v>0.1042</v>
      </c>
      <c r="J21" s="414">
        <v>1.35E-5</v>
      </c>
      <c r="K21" s="413">
        <v>1.7</v>
      </c>
      <c r="L21" s="413">
        <v>0.74</v>
      </c>
      <c r="M21" s="413">
        <v>147.0</v>
      </c>
      <c r="N21" s="415">
        <v>0.0087</v>
      </c>
      <c r="O21" s="413">
        <v>3.18</v>
      </c>
      <c r="P21" s="413">
        <f>RECAP!$Y$7</f>
        <v>0.009774</v>
      </c>
      <c r="Q21" s="416">
        <f>RECAP!$Z$7</f>
        <v>0.0000178</v>
      </c>
      <c r="R21" s="413">
        <f>RECAP!$AA$7</f>
        <v>3.35</v>
      </c>
      <c r="S21" s="413">
        <f>RECAP!$AB$7</f>
        <v>6.35</v>
      </c>
      <c r="T21" s="14">
        <f>IF(A21="","",ARBITRAGES!M21)</f>
        <v>1817.5</v>
      </c>
      <c r="U21" s="417">
        <f>IF(A21="","",B21*'QUANTITE DETENUES'!B21+'QUANTITE DETENUES'!C21*C21+'QUANTITE DETENUES'!D21*D21+E21*'QUANTITE DETENUES'!E21+'QUANTITE DETENUES'!F21*F21+G21*'QUANTITE DETENUES'!G21+'QUANTITE DETENUES'!H21*H21+I21*'QUANTITE DETENUES'!I21+'QUANTITE DETENUES'!J21*J21+K21*'QUANTITE DETENUES'!K21+'QUANTITE DETENUES'!L21*L21+M21*'QUANTITE DETENUES'!M21+'QUANTITE DETENUES'!N21*N21+O21*'QUANTITE DETENUES'!O21+T21+P21*'QUANTITE DETENUES'!P21+'QUANTITE DETENUES'!Q21*Q21+R21*'QUANTITE DETENUES'!R21+'QUANTITE DETENUES'!S21*S21)</f>
        <v>35856.03699</v>
      </c>
      <c r="V21" s="288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  <c r="AI21" s="289"/>
      <c r="AJ21" s="289"/>
      <c r="AK21" s="289"/>
      <c r="AL21" s="289"/>
      <c r="AM21" s="289"/>
    </row>
    <row r="22">
      <c r="A22" s="409">
        <f>IF(ARBITRAGES!E22="","",ARBITRAGES!E22)</f>
        <v>45551</v>
      </c>
      <c r="B22" s="33">
        <v>59000.0</v>
      </c>
      <c r="C22" s="33">
        <v>2400.0</v>
      </c>
      <c r="D22" s="412">
        <v>5.5</v>
      </c>
      <c r="E22" s="33">
        <v>135.0</v>
      </c>
      <c r="F22" s="33">
        <v>307.0</v>
      </c>
      <c r="G22" s="412">
        <v>1.48</v>
      </c>
      <c r="H22" s="412">
        <v>10.7</v>
      </c>
      <c r="I22" s="413">
        <v>0.101</v>
      </c>
      <c r="J22" s="414">
        <v>1.335E-5</v>
      </c>
      <c r="K22" s="413">
        <v>1.745</v>
      </c>
      <c r="L22" s="413">
        <v>0.73</v>
      </c>
      <c r="M22" s="413">
        <v>140.0</v>
      </c>
      <c r="N22" s="415">
        <v>0.0161</v>
      </c>
      <c r="O22" s="413">
        <v>3.25</v>
      </c>
      <c r="P22" s="413">
        <f>RECAP!$Y$7</f>
        <v>0.009774</v>
      </c>
      <c r="Q22" s="416">
        <f>RECAP!$Z$7</f>
        <v>0.0000178</v>
      </c>
      <c r="R22" s="413">
        <f>RECAP!$AA$7</f>
        <v>3.35</v>
      </c>
      <c r="S22" s="413">
        <f>RECAP!$AB$7</f>
        <v>6.35</v>
      </c>
      <c r="T22" s="14">
        <f>IF(A22="","",ARBITRAGES!M22)</f>
        <v>1487.5</v>
      </c>
      <c r="U22" s="417">
        <f>IF(A22="","",B22*'QUANTITE DETENUES'!B22+'QUANTITE DETENUES'!C22*C22+'QUANTITE DETENUES'!D22*D22+E22*'QUANTITE DETENUES'!E22+'QUANTITE DETENUES'!F22*F22+G22*'QUANTITE DETENUES'!G22+'QUANTITE DETENUES'!H22*H22+I22*'QUANTITE DETENUES'!I22+'QUANTITE DETENUES'!J22*J22+K22*'QUANTITE DETENUES'!K22+'QUANTITE DETENUES'!L22*L22+M22*'QUANTITE DETENUES'!M22+'QUANTITE DETENUES'!N22*N22+O22*'QUANTITE DETENUES'!O22+T22+P22*'QUANTITE DETENUES'!P22+'QUANTITE DETENUES'!Q22*Q22+R22*'QUANTITE DETENUES'!R22+'QUANTITE DETENUES'!S22*S22)</f>
        <v>36696.80664</v>
      </c>
      <c r="V22" s="288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89"/>
      <c r="AK22" s="289"/>
      <c r="AL22" s="289"/>
      <c r="AM22" s="289"/>
    </row>
    <row r="23">
      <c r="A23" s="409">
        <f>IF(ARBITRAGES!E23="","",ARBITRAGES!E23)</f>
        <v>45552</v>
      </c>
      <c r="B23" s="33">
        <v>61200.0</v>
      </c>
      <c r="C23" s="33">
        <v>2500.0</v>
      </c>
      <c r="D23" s="412">
        <v>5.6</v>
      </c>
      <c r="E23" s="33">
        <v>135.0</v>
      </c>
      <c r="F23" s="33">
        <v>335.0</v>
      </c>
      <c r="G23" s="412">
        <v>1.5</v>
      </c>
      <c r="H23" s="412">
        <v>10.9</v>
      </c>
      <c r="I23" s="413">
        <v>0.102</v>
      </c>
      <c r="J23" s="414">
        <v>1.325E-5</v>
      </c>
      <c r="K23" s="413">
        <v>1.71</v>
      </c>
      <c r="L23" s="413">
        <v>0.745</v>
      </c>
      <c r="M23" s="413">
        <v>138.0</v>
      </c>
      <c r="N23" s="415">
        <v>0.017</v>
      </c>
      <c r="O23" s="413">
        <v>3.26</v>
      </c>
      <c r="P23" s="413">
        <f>RECAP!$Y$7</f>
        <v>0.009774</v>
      </c>
      <c r="Q23" s="416">
        <f>RECAP!$Z$7</f>
        <v>0.0000178</v>
      </c>
      <c r="R23" s="413">
        <f>RECAP!$AA$7</f>
        <v>3.35</v>
      </c>
      <c r="S23" s="413">
        <f>RECAP!$AB$7</f>
        <v>6.35</v>
      </c>
      <c r="T23" s="14">
        <f>IF(A23="","",ARBITRAGES!M23)</f>
        <v>1711.7</v>
      </c>
      <c r="U23" s="417">
        <f>IF(A23="","",B23*'QUANTITE DETENUES'!B23+'QUANTITE DETENUES'!C23*C23+'QUANTITE DETENUES'!D23*D23+E23*'QUANTITE DETENUES'!E23+'QUANTITE DETENUES'!F23*F23+G23*'QUANTITE DETENUES'!G23+'QUANTITE DETENUES'!H23*H23+I23*'QUANTITE DETENUES'!I23+'QUANTITE DETENUES'!J23*J23+K23*'QUANTITE DETENUES'!K23+'QUANTITE DETENUES'!L23*L23+M23*'QUANTITE DETENUES'!M23+'QUANTITE DETENUES'!N23*N23+O23*'QUANTITE DETENUES'!O23+T23+P23*'QUANTITE DETENUES'!P23+'QUANTITE DETENUES'!Q23*Q23+R23*'QUANTITE DETENUES'!R23+'QUANTITE DETENUES'!S23*S23)</f>
        <v>37935.51998</v>
      </c>
      <c r="V23" s="288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  <c r="AI23" s="289"/>
      <c r="AJ23" s="289"/>
      <c r="AK23" s="289"/>
      <c r="AL23" s="289"/>
      <c r="AM23" s="289"/>
    </row>
    <row r="24">
      <c r="A24" s="409">
        <f>IF(ARBITRAGES!E24="","",ARBITRAGES!E24)</f>
        <v>45555</v>
      </c>
      <c r="B24" s="33">
        <v>64050.0</v>
      </c>
      <c r="C24" s="33">
        <v>2580.0</v>
      </c>
      <c r="D24" s="412">
        <v>5.75</v>
      </c>
      <c r="E24" s="33">
        <v>152.0</v>
      </c>
      <c r="F24" s="33">
        <v>435.0</v>
      </c>
      <c r="G24" s="412">
        <v>1.68</v>
      </c>
      <c r="H24" s="412">
        <v>11.7</v>
      </c>
      <c r="I24" s="413">
        <v>0.107</v>
      </c>
      <c r="J24" s="414">
        <v>1.425E-5</v>
      </c>
      <c r="K24" s="413">
        <v>1.855</v>
      </c>
      <c r="L24" s="413">
        <v>0.83</v>
      </c>
      <c r="M24" s="413">
        <v>153.0</v>
      </c>
      <c r="N24" s="415">
        <v>0.018</v>
      </c>
      <c r="O24" s="413">
        <v>3.55</v>
      </c>
      <c r="P24" s="413">
        <f>RECAP!$Y$7</f>
        <v>0.009774</v>
      </c>
      <c r="Q24" s="416">
        <f>RECAP!$Z$7</f>
        <v>0.0000178</v>
      </c>
      <c r="R24" s="413">
        <f>RECAP!$AA$7</f>
        <v>3.35</v>
      </c>
      <c r="S24" s="413">
        <f>RECAP!$AB$7</f>
        <v>6.35</v>
      </c>
      <c r="T24" s="14">
        <f>IF(A24="","",ARBITRAGES!M24)</f>
        <v>2023.7</v>
      </c>
      <c r="U24" s="417">
        <f>IF(A24="","",B24*'QUANTITE DETENUES'!B24+'QUANTITE DETENUES'!C24*C24+'QUANTITE DETENUES'!D24*D24+E24*'QUANTITE DETENUES'!E24+'QUANTITE DETENUES'!F24*F24+G24*'QUANTITE DETENUES'!G24+'QUANTITE DETENUES'!H24*H24+I24*'QUANTITE DETENUES'!I24+'QUANTITE DETENUES'!J24*J24+K24*'QUANTITE DETENUES'!K24+'QUANTITE DETENUES'!L24*L24+M24*'QUANTITE DETENUES'!M24+'QUANTITE DETENUES'!N24*N24+O24*'QUANTITE DETENUES'!O24+T24+P24*'QUANTITE DETENUES'!P24+'QUANTITE DETENUES'!Q24*Q24+R24*'QUANTITE DETENUES'!R24+'QUANTITE DETENUES'!S24*S24)</f>
        <v>40252.67797</v>
      </c>
      <c r="V24" s="288"/>
      <c r="W24" s="289"/>
      <c r="X24" s="289"/>
      <c r="Y24" s="289"/>
      <c r="Z24" s="289"/>
      <c r="AA24" s="289"/>
      <c r="AB24" s="289"/>
      <c r="AC24" s="289"/>
      <c r="AD24" s="289"/>
      <c r="AE24" s="289"/>
      <c r="AF24" s="289"/>
      <c r="AG24" s="289"/>
      <c r="AH24" s="289"/>
      <c r="AI24" s="289"/>
      <c r="AJ24" s="289"/>
      <c r="AK24" s="289"/>
      <c r="AL24" s="289"/>
      <c r="AM24" s="289"/>
    </row>
    <row r="25">
      <c r="A25" s="409">
        <f>IF(ARBITRAGES!E25="","",ARBITRAGES!E25)</f>
        <v>45557</v>
      </c>
      <c r="B25" s="33">
        <v>64000.0</v>
      </c>
      <c r="C25" s="33">
        <v>2700.0</v>
      </c>
      <c r="D25" s="412">
        <v>5.7</v>
      </c>
      <c r="E25" s="33">
        <v>150.0</v>
      </c>
      <c r="F25" s="33">
        <v>575.0</v>
      </c>
      <c r="G25" s="412">
        <v>1.75</v>
      </c>
      <c r="H25" s="412">
        <v>11.6</v>
      </c>
      <c r="I25" s="413">
        <v>0.108</v>
      </c>
      <c r="J25" s="414">
        <v>1.47E-5</v>
      </c>
      <c r="K25" s="413">
        <v>1.94</v>
      </c>
      <c r="L25" s="413">
        <v>0.84</v>
      </c>
      <c r="M25" s="413">
        <v>159.0</v>
      </c>
      <c r="N25" s="415">
        <v>0.0163</v>
      </c>
      <c r="O25" s="413">
        <v>4.0</v>
      </c>
      <c r="P25" s="413">
        <f>RECAP!$Y$7</f>
        <v>0.009774</v>
      </c>
      <c r="Q25" s="416">
        <f>RECAP!$Z$7</f>
        <v>0.0000178</v>
      </c>
      <c r="R25" s="413">
        <f>RECAP!$AA$7</f>
        <v>3.35</v>
      </c>
      <c r="S25" s="413">
        <f>RECAP!$AB$7</f>
        <v>6.35</v>
      </c>
      <c r="T25" s="14">
        <f>IF(A25="","",ARBITRAGES!M25)</f>
        <v>2623.7</v>
      </c>
      <c r="U25" s="417">
        <f>IF(A25="","",B25*'QUANTITE DETENUES'!B25+'QUANTITE DETENUES'!C25*C25+'QUANTITE DETENUES'!D25*D25+E25*'QUANTITE DETENUES'!E25+'QUANTITE DETENUES'!F25*F25+G25*'QUANTITE DETENUES'!G25+'QUANTITE DETENUES'!H25*H25+I25*'QUANTITE DETENUES'!I25+'QUANTITE DETENUES'!J25*J25+K25*'QUANTITE DETENUES'!K25+'QUANTITE DETENUES'!L25*L25+M25*'QUANTITE DETENUES'!M25+'QUANTITE DETENUES'!N25*N25+O25*'QUANTITE DETENUES'!O25+T25+P25*'QUANTITE DETENUES'!P25+'QUANTITE DETENUES'!Q25*Q25+R25*'QUANTITE DETENUES'!R25+'QUANTITE DETENUES'!S25*S25)</f>
        <v>41372.68005</v>
      </c>
      <c r="V25" s="288"/>
      <c r="W25" s="289"/>
      <c r="X25" s="289"/>
      <c r="Y25" s="289"/>
      <c r="Z25" s="289"/>
      <c r="AA25" s="289"/>
      <c r="AB25" s="289"/>
      <c r="AC25" s="289"/>
      <c r="AD25" s="289"/>
      <c r="AE25" s="289"/>
      <c r="AF25" s="289"/>
      <c r="AG25" s="289"/>
      <c r="AH25" s="289"/>
      <c r="AI25" s="289"/>
      <c r="AJ25" s="289"/>
      <c r="AK25" s="289"/>
      <c r="AL25" s="289"/>
      <c r="AM25" s="289"/>
    </row>
    <row r="26">
      <c r="A26" s="409">
        <f>IF(ARBITRAGES!E26="","",ARBITRAGES!E26)</f>
        <v>45558</v>
      </c>
      <c r="B26" s="33">
        <v>63600.0</v>
      </c>
      <c r="C26" s="33">
        <v>2650.0</v>
      </c>
      <c r="D26" s="412">
        <v>5.61</v>
      </c>
      <c r="E26" s="33">
        <v>146.0</v>
      </c>
      <c r="F26" s="33">
        <v>555.0</v>
      </c>
      <c r="G26" s="412">
        <v>1.68</v>
      </c>
      <c r="H26" s="412">
        <v>11.45</v>
      </c>
      <c r="I26" s="413">
        <v>0.107</v>
      </c>
      <c r="J26" s="414">
        <v>1.47E-5</v>
      </c>
      <c r="K26" s="413">
        <v>2.005</v>
      </c>
      <c r="L26" s="413">
        <v>0.83</v>
      </c>
      <c r="M26" s="413">
        <v>159.0</v>
      </c>
      <c r="N26" s="415">
        <v>0.0163</v>
      </c>
      <c r="O26" s="413">
        <v>3.995</v>
      </c>
      <c r="P26" s="413">
        <f>RECAP!$Y$7</f>
        <v>0.009774</v>
      </c>
      <c r="Q26" s="416">
        <f>RECAP!$Z$7</f>
        <v>0.0000178</v>
      </c>
      <c r="R26" s="413">
        <f>RECAP!$AA$7</f>
        <v>3.35</v>
      </c>
      <c r="S26" s="413">
        <f>RECAP!$AB$7</f>
        <v>6.35</v>
      </c>
      <c r="T26" s="14">
        <f>IF(A26="","",ARBITRAGES!M26)</f>
        <v>2286.14</v>
      </c>
      <c r="U26" s="417">
        <f>IF(A26="","",B26*'QUANTITE DETENUES'!B26+'QUANTITE DETENUES'!C26*C26+'QUANTITE DETENUES'!D26*D26+E26*'QUANTITE DETENUES'!E26+'QUANTITE DETENUES'!F26*F26+G26*'QUANTITE DETENUES'!G26+'QUANTITE DETENUES'!H26*H26+I26*'QUANTITE DETENUES'!I26+'QUANTITE DETENUES'!J26*J26+K26*'QUANTITE DETENUES'!K26+'QUANTITE DETENUES'!L26*L26+M26*'QUANTITE DETENUES'!M26+'QUANTITE DETENUES'!N26*N26+O26*'QUANTITE DETENUES'!O26+T26+P26*'QUANTITE DETENUES'!P26+'QUANTITE DETENUES'!Q26*Q26+R26*'QUANTITE DETENUES'!R26+'QUANTITE DETENUES'!S26*S26)</f>
        <v>40838.91522</v>
      </c>
      <c r="V26" s="288"/>
      <c r="W26" s="289"/>
      <c r="X26" s="289"/>
      <c r="Y26" s="289"/>
      <c r="Z26" s="289"/>
      <c r="AA26" s="289"/>
      <c r="AB26" s="289"/>
      <c r="AC26" s="289"/>
      <c r="AD26" s="289"/>
      <c r="AE26" s="289"/>
      <c r="AF26" s="289"/>
      <c r="AG26" s="289"/>
      <c r="AH26" s="289"/>
      <c r="AI26" s="289"/>
      <c r="AJ26" s="289"/>
      <c r="AK26" s="289"/>
      <c r="AL26" s="289"/>
      <c r="AM26" s="289"/>
    </row>
    <row r="27">
      <c r="A27" s="409">
        <f>IF(ARBITRAGES!E27="","",ARBITRAGES!E27)</f>
        <v>45568</v>
      </c>
      <c r="B27" s="33">
        <v>61100.0</v>
      </c>
      <c r="C27" s="33">
        <v>2500.0</v>
      </c>
      <c r="D27" s="412">
        <v>5.3</v>
      </c>
      <c r="E27" s="33">
        <v>138.0</v>
      </c>
      <c r="F27" s="33">
        <v>500.0</v>
      </c>
      <c r="G27" s="412">
        <v>1.6</v>
      </c>
      <c r="H27" s="412">
        <v>10.6</v>
      </c>
      <c r="I27" s="413">
        <v>0.108</v>
      </c>
      <c r="J27" s="414">
        <v>1.62E-5</v>
      </c>
      <c r="K27" s="413">
        <v>1.86</v>
      </c>
      <c r="L27" s="413">
        <v>0.75</v>
      </c>
      <c r="M27" s="413">
        <v>142.0</v>
      </c>
      <c r="N27" s="415">
        <v>0.0147</v>
      </c>
      <c r="O27" s="413">
        <v>3.65</v>
      </c>
      <c r="P27" s="413">
        <f>RECAP!$Y$7</f>
        <v>0.009774</v>
      </c>
      <c r="Q27" s="416">
        <f>RECAP!$Z$7</f>
        <v>0.0000178</v>
      </c>
      <c r="R27" s="413">
        <f>RECAP!$AA$7</f>
        <v>3.35</v>
      </c>
      <c r="S27" s="413">
        <f>RECAP!$AB$7</f>
        <v>6.35</v>
      </c>
      <c r="T27" s="14">
        <f>IF(A27="","",ARBITRAGES!M27)</f>
        <v>2094.14</v>
      </c>
      <c r="U27" s="417">
        <f>IF(A27="","",B27*'QUANTITE DETENUES'!B27+'QUANTITE DETENUES'!C27*C27+'QUANTITE DETENUES'!D27*D27+E27*'QUANTITE DETENUES'!E27+'QUANTITE DETENUES'!F27*F27+G27*'QUANTITE DETENUES'!G27+'QUANTITE DETENUES'!H27*H27+I27*'QUANTITE DETENUES'!I27+'QUANTITE DETENUES'!J27*J27+K27*'QUANTITE DETENUES'!K27+'QUANTITE DETENUES'!L27*L27+M27*'QUANTITE DETENUES'!M27+'QUANTITE DETENUES'!N27*N27+O27*'QUANTITE DETENUES'!O27+T27+P27*'QUANTITE DETENUES'!P27+'QUANTITE DETENUES'!Q27*Q27+R27*'QUANTITE DETENUES'!R27+'QUANTITE DETENUES'!S27*S27)</f>
        <v>38996.08912</v>
      </c>
      <c r="V27" s="307">
        <v>1.0</v>
      </c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  <c r="AK27" s="289"/>
      <c r="AL27" s="289"/>
      <c r="AM27" s="289"/>
    </row>
    <row r="28">
      <c r="A28" s="409">
        <f>IF(ARBITRAGES!E28="","",ARBITRAGES!E28)</f>
        <v>45586</v>
      </c>
      <c r="B28" s="33">
        <v>69100.0</v>
      </c>
      <c r="C28" s="33">
        <v>2750.0</v>
      </c>
      <c r="D28" s="412">
        <v>5.37</v>
      </c>
      <c r="E28" s="33">
        <v>171.0</v>
      </c>
      <c r="F28" s="33">
        <v>591.0</v>
      </c>
      <c r="G28" s="412">
        <v>1.71</v>
      </c>
      <c r="H28" s="412">
        <v>12.0</v>
      </c>
      <c r="I28" s="413">
        <v>0.149</v>
      </c>
      <c r="J28" s="414">
        <v>1.85E-5</v>
      </c>
      <c r="K28" s="413">
        <v>1.93</v>
      </c>
      <c r="L28" s="413">
        <v>0.96</v>
      </c>
      <c r="M28" s="413">
        <v>155.0</v>
      </c>
      <c r="N28" s="415">
        <v>0.015</v>
      </c>
      <c r="O28" s="413">
        <v>4.8</v>
      </c>
      <c r="P28" s="413">
        <f>RECAP!$Y$7</f>
        <v>0.009774</v>
      </c>
      <c r="Q28" s="416">
        <f>RECAP!$Z$7</f>
        <v>0.0000178</v>
      </c>
      <c r="R28" s="413">
        <f>RECAP!$AA$7</f>
        <v>3.35</v>
      </c>
      <c r="S28" s="413">
        <f>RECAP!$AB$7</f>
        <v>6.35</v>
      </c>
      <c r="T28" s="14">
        <f>IF(A28="","",ARBITRAGES!M28)</f>
        <v>2805.520016</v>
      </c>
      <c r="U28" s="417">
        <f>IF(A28="","",B28*'QUANTITE DETENUES'!B28+'QUANTITE DETENUES'!C28*C28+'QUANTITE DETENUES'!D28*D28+E28*'QUANTITE DETENUES'!E28+'QUANTITE DETENUES'!F28*F28+G28*'QUANTITE DETENUES'!G28+'QUANTITE DETENUES'!H28*H28+I28*'QUANTITE DETENUES'!I28+'QUANTITE DETENUES'!J28*J28+K28*'QUANTITE DETENUES'!K28+'QUANTITE DETENUES'!L28*L28+M28*'QUANTITE DETENUES'!M28+'QUANTITE DETENUES'!N28*N28+O28*'QUANTITE DETENUES'!O28+T28+P28*'QUANTITE DETENUES'!P28+'QUANTITE DETENUES'!Q28*Q28+R28*'QUANTITE DETENUES'!R28+'QUANTITE DETENUES'!S28*S28)</f>
        <v>43650.54392</v>
      </c>
      <c r="V28" s="288"/>
      <c r="W28" s="289"/>
      <c r="X28" s="289"/>
      <c r="Y28" s="289"/>
      <c r="Z28" s="289"/>
      <c r="AA28" s="289"/>
      <c r="AB28" s="289"/>
      <c r="AC28" s="289"/>
      <c r="AD28" s="289"/>
      <c r="AE28" s="289"/>
      <c r="AF28" s="289"/>
      <c r="AG28" s="289"/>
      <c r="AH28" s="289"/>
      <c r="AI28" s="289"/>
      <c r="AJ28" s="289"/>
      <c r="AK28" s="289"/>
      <c r="AL28" s="289"/>
      <c r="AM28" s="289"/>
    </row>
    <row r="29">
      <c r="A29" s="409">
        <f>IF(ARBITRAGES!E29="","",ARBITRAGES!E29)</f>
        <v>45591</v>
      </c>
      <c r="B29" s="33">
        <v>67000.0</v>
      </c>
      <c r="C29" s="33">
        <v>3600.0</v>
      </c>
      <c r="D29" s="412">
        <v>4.9</v>
      </c>
      <c r="E29" s="33">
        <v>168.0</v>
      </c>
      <c r="F29" s="33">
        <v>510.0</v>
      </c>
      <c r="G29" s="412">
        <v>1.5</v>
      </c>
      <c r="H29" s="412">
        <v>11.0</v>
      </c>
      <c r="I29" s="413">
        <v>0.134</v>
      </c>
      <c r="J29" s="414">
        <v>1.675E-5</v>
      </c>
      <c r="K29" s="413">
        <v>1.76</v>
      </c>
      <c r="L29" s="413">
        <v>0.97</v>
      </c>
      <c r="M29" s="413">
        <v>139.0</v>
      </c>
      <c r="N29" s="415">
        <v>0.013</v>
      </c>
      <c r="O29" s="413">
        <v>4.444</v>
      </c>
      <c r="P29" s="413">
        <f>RECAP!$Y$7</f>
        <v>0.009774</v>
      </c>
      <c r="Q29" s="416">
        <f>RECAP!$Z$7</f>
        <v>0.0000178</v>
      </c>
      <c r="R29" s="413">
        <f>RECAP!$AA$7</f>
        <v>3.35</v>
      </c>
      <c r="S29" s="413">
        <f>RECAP!$AB$7</f>
        <v>6.35</v>
      </c>
      <c r="T29" s="14">
        <f>IF(A29="","",ARBITRAGES!M29)</f>
        <v>2589.749516</v>
      </c>
      <c r="U29" s="417">
        <f>IF(A29="","",B29*'QUANTITE DETENUES'!B29+'QUANTITE DETENUES'!C29*C29+'QUANTITE DETENUES'!D29*D29+E29*'QUANTITE DETENUES'!E29+'QUANTITE DETENUES'!F29*F29+G29*'QUANTITE DETENUES'!G29+'QUANTITE DETENUES'!H29*H29+I29*'QUANTITE DETENUES'!I29+'QUANTITE DETENUES'!J29*J29+K29*'QUANTITE DETENUES'!K29+'QUANTITE DETENUES'!L29*L29+M29*'QUANTITE DETENUES'!M29+'QUANTITE DETENUES'!N29*N29+O29*'QUANTITE DETENUES'!O29+T29+P29*'QUANTITE DETENUES'!P29+'QUANTITE DETENUES'!Q29*Q29+R29*'QUANTITE DETENUES'!R29+'QUANTITE DETENUES'!S29*S29)</f>
        <v>44302.28453</v>
      </c>
      <c r="V29" s="288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289"/>
    </row>
    <row r="30">
      <c r="A30" s="409">
        <f>IF(ARBITRAGES!E30="","",ARBITRAGES!E30)</f>
        <v>45594</v>
      </c>
      <c r="B30" s="33">
        <v>72500.0</v>
      </c>
      <c r="C30" s="33">
        <v>2675.0</v>
      </c>
      <c r="D30" s="412">
        <v>5.05</v>
      </c>
      <c r="E30" s="33">
        <v>181.0</v>
      </c>
      <c r="F30" s="33">
        <v>555.0</v>
      </c>
      <c r="G30" s="412">
        <v>1.55</v>
      </c>
      <c r="H30" s="412">
        <v>11.6</v>
      </c>
      <c r="I30" s="413">
        <v>0.173</v>
      </c>
      <c r="J30" s="414">
        <v>1.85E-5</v>
      </c>
      <c r="K30" s="413">
        <v>1.81</v>
      </c>
      <c r="L30" s="413">
        <v>1.03</v>
      </c>
      <c r="M30" s="413">
        <v>152.0</v>
      </c>
      <c r="N30" s="415">
        <v>0.0133</v>
      </c>
      <c r="O30" s="413">
        <v>4.9</v>
      </c>
      <c r="P30" s="413">
        <f>RECAP!$Y$7</f>
        <v>0.009774</v>
      </c>
      <c r="Q30" s="416">
        <f>RECAP!$Z$7</f>
        <v>0.0000178</v>
      </c>
      <c r="R30" s="413">
        <f>RECAP!$AA$7</f>
        <v>3.35</v>
      </c>
      <c r="S30" s="413">
        <f>RECAP!$AB$7</f>
        <v>6.35</v>
      </c>
      <c r="T30" s="14">
        <f>IF(A30="","",ARBITRAGES!M30)</f>
        <v>2766.202947</v>
      </c>
      <c r="U30" s="417">
        <f>IF(A30="","",B30*'QUANTITE DETENUES'!B30+'QUANTITE DETENUES'!C30*C30+'QUANTITE DETENUES'!D30*D30+E30*'QUANTITE DETENUES'!E30+'QUANTITE DETENUES'!F30*F30+G30*'QUANTITE DETENUES'!G30+'QUANTITE DETENUES'!H30*H30+I30*'QUANTITE DETENUES'!I30+'QUANTITE DETENUES'!J30*J30+K30*'QUANTITE DETENUES'!K30+'QUANTITE DETENUES'!L30*L30+M30*'QUANTITE DETENUES'!M30+'QUANTITE DETENUES'!N30*N30+O30*'QUANTITE DETENUES'!O30+T30+P30*'QUANTITE DETENUES'!P30+'QUANTITE DETENUES'!Q30*Q30+R30*'QUANTITE DETENUES'!R30+'QUANTITE DETENUES'!S30*S30)</f>
        <v>44166.08036</v>
      </c>
      <c r="V30" s="307">
        <v>1.0</v>
      </c>
      <c r="W30" s="289"/>
      <c r="X30" s="289"/>
      <c r="Y30" s="289"/>
      <c r="Z30" s="289"/>
      <c r="AA30" s="289"/>
      <c r="AB30" s="289"/>
      <c r="AC30" s="289"/>
      <c r="AD30" s="289"/>
      <c r="AE30" s="289"/>
      <c r="AF30" s="289"/>
      <c r="AG30" s="289"/>
      <c r="AH30" s="289"/>
      <c r="AI30" s="289"/>
      <c r="AJ30" s="289"/>
      <c r="AK30" s="289"/>
      <c r="AL30" s="289"/>
      <c r="AM30" s="289"/>
    </row>
    <row r="31">
      <c r="A31" s="409">
        <f>IF(ARBITRAGES!E31="","",ARBITRAGES!E31)</f>
        <v>45595</v>
      </c>
      <c r="B31" s="33">
        <v>70000.0</v>
      </c>
      <c r="C31" s="33">
        <v>2500.0</v>
      </c>
      <c r="D31" s="412">
        <v>5.0</v>
      </c>
      <c r="E31" s="33">
        <v>167.0</v>
      </c>
      <c r="F31" s="33">
        <v>460.0</v>
      </c>
      <c r="G31" s="412">
        <v>1.38</v>
      </c>
      <c r="H31" s="412">
        <v>11.25</v>
      </c>
      <c r="I31" s="413">
        <v>0.16</v>
      </c>
      <c r="J31" s="414">
        <v>1.825E-5</v>
      </c>
      <c r="K31" s="413">
        <v>1.8</v>
      </c>
      <c r="L31" s="413">
        <v>0.98</v>
      </c>
      <c r="M31" s="413">
        <v>148.0</v>
      </c>
      <c r="N31" s="415">
        <v>0.0128</v>
      </c>
      <c r="O31" s="413">
        <v>5.05</v>
      </c>
      <c r="P31" s="413">
        <f>RECAP!$Y$7</f>
        <v>0.009774</v>
      </c>
      <c r="Q31" s="416">
        <f>RECAP!$Z$7</f>
        <v>0.0000178</v>
      </c>
      <c r="R31" s="413">
        <f>RECAP!$AA$7</f>
        <v>3.35</v>
      </c>
      <c r="S31" s="413">
        <f>RECAP!$AB$7</f>
        <v>6.35</v>
      </c>
      <c r="T31" s="14">
        <f>IF(A31="","",ARBITRAGES!M31)</f>
        <v>2406.202947</v>
      </c>
      <c r="U31" s="417">
        <f>IF(A31="","",B31*'QUANTITE DETENUES'!B31+'QUANTITE DETENUES'!C31*C31+'QUANTITE DETENUES'!D31*D31+E31*'QUANTITE DETENUES'!E31+'QUANTITE DETENUES'!F31*F31+G31*'QUANTITE DETENUES'!G31+'QUANTITE DETENUES'!H31*H31+I31*'QUANTITE DETENUES'!I31+'QUANTITE DETENUES'!J31*J31+K31*'QUANTITE DETENUES'!K31+'QUANTITE DETENUES'!L31*L31+M31*'QUANTITE DETENUES'!M31+'QUANTITE DETENUES'!N31*N31+O31*'QUANTITE DETENUES'!O31+T31+P31*'QUANTITE DETENUES'!P31+'QUANTITE DETENUES'!Q31*Q31+R31*'QUANTITE DETENUES'!R31+'QUANTITE DETENUES'!S31*S31)</f>
        <v>41963.67533</v>
      </c>
      <c r="V31" s="288"/>
      <c r="W31" s="289"/>
      <c r="X31" s="289"/>
      <c r="Y31" s="289"/>
      <c r="Z31" s="289"/>
      <c r="AA31" s="289"/>
      <c r="AB31" s="289"/>
      <c r="AC31" s="289"/>
      <c r="AD31" s="289"/>
      <c r="AE31" s="289"/>
      <c r="AF31" s="289"/>
      <c r="AG31" s="289"/>
      <c r="AH31" s="289"/>
      <c r="AI31" s="289"/>
      <c r="AJ31" s="289"/>
      <c r="AK31" s="289"/>
      <c r="AL31" s="289"/>
      <c r="AM31" s="289"/>
    </row>
    <row r="32">
      <c r="A32" s="409">
        <f>IF(ARBITRAGES!E32="","",ARBITRAGES!E32)</f>
        <v>45598</v>
      </c>
      <c r="B32" s="33">
        <v>68500.0</v>
      </c>
      <c r="C32" s="33">
        <v>2450.0</v>
      </c>
      <c r="D32" s="412">
        <v>4.6</v>
      </c>
      <c r="E32" s="33">
        <v>160.0</v>
      </c>
      <c r="F32" s="33">
        <v>420.0</v>
      </c>
      <c r="G32" s="412">
        <v>1.27</v>
      </c>
      <c r="H32" s="412">
        <v>10.6</v>
      </c>
      <c r="I32" s="413">
        <v>0.172</v>
      </c>
      <c r="J32" s="414">
        <v>1.8E-5</v>
      </c>
      <c r="K32" s="413">
        <v>1.6</v>
      </c>
      <c r="L32" s="413">
        <v>0.85</v>
      </c>
      <c r="M32" s="413">
        <v>130.0</v>
      </c>
      <c r="N32" s="415">
        <v>0.012</v>
      </c>
      <c r="O32" s="413">
        <v>4.15</v>
      </c>
      <c r="P32" s="413">
        <f>RECAP!$Y$7</f>
        <v>0.009774</v>
      </c>
      <c r="Q32" s="416">
        <f>RECAP!$Z$7</f>
        <v>0.0000178</v>
      </c>
      <c r="R32" s="413">
        <f>RECAP!$AA$7</f>
        <v>3.35</v>
      </c>
      <c r="S32" s="413">
        <f>RECAP!$AB$7</f>
        <v>6.35</v>
      </c>
      <c r="T32" s="14">
        <f>IF(A32="","",ARBITRAGES!M32)</f>
        <v>1704.952947</v>
      </c>
      <c r="U32" s="417">
        <f>IF(A32="","",B32*'QUANTITE DETENUES'!B32+'QUANTITE DETENUES'!C32*C32+'QUANTITE DETENUES'!D32*D32+E32*'QUANTITE DETENUES'!E32+'QUANTITE DETENUES'!F32*F32+G32*'QUANTITE DETENUES'!G32+'QUANTITE DETENUES'!H32*H32+I32*'QUANTITE DETENUES'!I32+'QUANTITE DETENUES'!J32*J32+K32*'QUANTITE DETENUES'!K32+'QUANTITE DETENUES'!L32*L32+M32*'QUANTITE DETENUES'!M32+'QUANTITE DETENUES'!N32*N32+O32*'QUANTITE DETENUES'!O32+T32+P32*'QUANTITE DETENUES'!P32+'QUANTITE DETENUES'!Q32*Q32+R32*'QUANTITE DETENUES'!R32+'QUANTITE DETENUES'!S32*S32)</f>
        <v>40654.55668</v>
      </c>
      <c r="V32" s="288"/>
      <c r="W32" s="289"/>
      <c r="X32" s="289"/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</row>
    <row r="33">
      <c r="A33" s="409">
        <f>IF(ARBITRAGES!E33="","",ARBITRAGES!E33)</f>
        <v>45599</v>
      </c>
      <c r="B33" s="33">
        <v>69000.0</v>
      </c>
      <c r="C33" s="33">
        <v>2450.0</v>
      </c>
      <c r="D33" s="412">
        <v>4.6</v>
      </c>
      <c r="E33" s="33">
        <v>163.0</v>
      </c>
      <c r="F33" s="33">
        <v>430.0</v>
      </c>
      <c r="G33" s="412">
        <v>1.27</v>
      </c>
      <c r="H33" s="412">
        <v>10.6</v>
      </c>
      <c r="I33" s="413">
        <v>0.172</v>
      </c>
      <c r="J33" s="414">
        <v>1.8E-5</v>
      </c>
      <c r="K33" s="413">
        <v>1.6</v>
      </c>
      <c r="L33" s="413">
        <v>0.906</v>
      </c>
      <c r="M33" s="413">
        <v>130.0</v>
      </c>
      <c r="N33" s="415">
        <v>0.012</v>
      </c>
      <c r="O33" s="413">
        <v>4.15</v>
      </c>
      <c r="P33" s="413">
        <f>RECAP!$Y$7</f>
        <v>0.009774</v>
      </c>
      <c r="Q33" s="416">
        <f>RECAP!$Z$7</f>
        <v>0.0000178</v>
      </c>
      <c r="R33" s="413">
        <f>RECAP!$AA$7</f>
        <v>3.35</v>
      </c>
      <c r="S33" s="413">
        <f>RECAP!$AB$7</f>
        <v>6.35</v>
      </c>
      <c r="T33" s="14">
        <f>IF(A33="","",ARBITRAGES!M33)</f>
        <v>2109.415447</v>
      </c>
      <c r="U33" s="417">
        <f>IF(A33="","",B33*'QUANTITE DETENUES'!B33+'QUANTITE DETENUES'!C33*C33+'QUANTITE DETENUES'!D33*D33+E33*'QUANTITE DETENUES'!E33+'QUANTITE DETENUES'!F33*F33+G33*'QUANTITE DETENUES'!G33+'QUANTITE DETENUES'!H33*H33+I33*'QUANTITE DETENUES'!I33+'QUANTITE DETENUES'!J33*J33+K33*'QUANTITE DETENUES'!K33+'QUANTITE DETENUES'!L33*L33+M33*'QUANTITE DETENUES'!M33+'QUANTITE DETENUES'!N33*N33+O33*'QUANTITE DETENUES'!O33+T33+P33*'QUANTITE DETENUES'!P33+'QUANTITE DETENUES'!Q33*Q33+R33*'QUANTITE DETENUES'!R33+'QUANTITE DETENUES'!S33*S33)</f>
        <v>40932.40497</v>
      </c>
      <c r="V33" s="288"/>
      <c r="W33" s="289"/>
      <c r="X33" s="289"/>
      <c r="Y33" s="289"/>
      <c r="Z33" s="289"/>
      <c r="AA33" s="289"/>
      <c r="AB33" s="289"/>
      <c r="AC33" s="289"/>
      <c r="AD33" s="289"/>
      <c r="AE33" s="289"/>
      <c r="AF33" s="289"/>
      <c r="AG33" s="289"/>
      <c r="AH33" s="289"/>
      <c r="AI33" s="289"/>
      <c r="AJ33" s="289"/>
      <c r="AK33" s="289"/>
      <c r="AL33" s="289"/>
      <c r="AM33" s="289"/>
    </row>
    <row r="34">
      <c r="A34" s="409">
        <f>IF(ARBITRAGES!E34="","",ARBITRAGES!E34)</f>
        <v>45602</v>
      </c>
      <c r="B34" s="33">
        <v>76000.0</v>
      </c>
      <c r="C34" s="33">
        <v>2700.0</v>
      </c>
      <c r="D34" s="412">
        <v>4.755</v>
      </c>
      <c r="E34" s="33">
        <v>189.0</v>
      </c>
      <c r="F34" s="33">
        <v>525.0</v>
      </c>
      <c r="G34" s="412">
        <v>1.385</v>
      </c>
      <c r="H34" s="412">
        <v>12.07</v>
      </c>
      <c r="I34" s="413">
        <v>0.1948</v>
      </c>
      <c r="J34" s="414">
        <v>1.9E-5</v>
      </c>
      <c r="K34" s="413">
        <v>1.77</v>
      </c>
      <c r="L34" s="413">
        <v>1.035</v>
      </c>
      <c r="M34" s="413">
        <v>170.0</v>
      </c>
      <c r="N34" s="415">
        <v>0.01314</v>
      </c>
      <c r="O34" s="413">
        <v>5.09</v>
      </c>
      <c r="P34" s="413">
        <f>RECAP!$Y$7</f>
        <v>0.009774</v>
      </c>
      <c r="Q34" s="416">
        <f>RECAP!$Z$7</f>
        <v>0.0000178</v>
      </c>
      <c r="R34" s="413">
        <f>RECAP!$AA$7</f>
        <v>3.35</v>
      </c>
      <c r="S34" s="413">
        <f>RECAP!$AB$7</f>
        <v>6.35</v>
      </c>
      <c r="T34" s="14">
        <f>IF(A34="","",ARBITRAGES!M34+5)</f>
        <v>2834.415447</v>
      </c>
      <c r="U34" s="417">
        <f>IF(A34="","",B34*'QUANTITE DETENUES'!B34+'QUANTITE DETENUES'!C34*C34+'QUANTITE DETENUES'!D34*D34+E34*'QUANTITE DETENUES'!E34+'QUANTITE DETENUES'!F34*F34+G34*'QUANTITE DETENUES'!G34+'QUANTITE DETENUES'!H34*H34+I34*'QUANTITE DETENUES'!I34+'QUANTITE DETENUES'!J34*J34+K34*'QUANTITE DETENUES'!K34+'QUANTITE DETENUES'!L34*L34+M34*'QUANTITE DETENUES'!M34+'QUANTITE DETENUES'!N34*N34+O34*'QUANTITE DETENUES'!O34+T34+P34*'QUANTITE DETENUES'!P34+'QUANTITE DETENUES'!Q34*Q34+R34*'QUANTITE DETENUES'!R34+'QUANTITE DETENUES'!S34*S34)</f>
        <v>45167.98138</v>
      </c>
      <c r="V34" s="288"/>
      <c r="W34" s="289"/>
      <c r="X34" s="289"/>
      <c r="Y34" s="289"/>
      <c r="Z34" s="289"/>
      <c r="AA34" s="289"/>
      <c r="AB34" s="289"/>
      <c r="AC34" s="289"/>
      <c r="AD34" s="289"/>
      <c r="AE34" s="289"/>
      <c r="AF34" s="289"/>
      <c r="AG34" s="289"/>
      <c r="AH34" s="289"/>
      <c r="AI34" s="289"/>
      <c r="AJ34" s="289"/>
      <c r="AK34" s="289"/>
      <c r="AL34" s="289"/>
      <c r="AM34" s="289"/>
    </row>
    <row r="35">
      <c r="A35" s="409">
        <f>IF(ARBITRAGES!E35="","",ARBITRAGES!E35)</f>
        <v>45606</v>
      </c>
      <c r="B35" s="33">
        <v>81000.0</v>
      </c>
      <c r="C35" s="33">
        <v>3230.0</v>
      </c>
      <c r="D35" s="412">
        <v>5.5</v>
      </c>
      <c r="E35" s="33">
        <v>215.0</v>
      </c>
      <c r="F35" s="33">
        <v>575.0</v>
      </c>
      <c r="G35" s="412">
        <v>1.66</v>
      </c>
      <c r="H35" s="412">
        <v>14.7</v>
      </c>
      <c r="I35" s="413">
        <v>0.285</v>
      </c>
      <c r="J35" s="414">
        <v>2.8E-5</v>
      </c>
      <c r="K35" s="413">
        <v>2.05</v>
      </c>
      <c r="L35" s="413">
        <v>1.3</v>
      </c>
      <c r="M35" s="413">
        <v>193.4</v>
      </c>
      <c r="N35" s="415">
        <v>0.0152</v>
      </c>
      <c r="O35" s="413">
        <v>5.65</v>
      </c>
      <c r="P35" s="413">
        <f>RECAP!$Y$7</f>
        <v>0.009774</v>
      </c>
      <c r="Q35" s="416">
        <f>RECAP!$Z$7</f>
        <v>0.0000178</v>
      </c>
      <c r="R35" s="413">
        <f>RECAP!$AA$7</f>
        <v>3.35</v>
      </c>
      <c r="S35" s="413">
        <f>RECAP!$AB$7</f>
        <v>6.35</v>
      </c>
      <c r="T35" s="14">
        <f>IF(A35="","",ARBITRAGES!M35)</f>
        <v>3104.261179</v>
      </c>
      <c r="U35" s="417">
        <f>IF(A35="","",B35*'QUANTITE DETENUES'!B35+'QUANTITE DETENUES'!C35*C35+'QUANTITE DETENUES'!D35*D35+E35*'QUANTITE DETENUES'!E35+'QUANTITE DETENUES'!F35*F35+G35*'QUANTITE DETENUES'!G35+'QUANTITE DETENUES'!H35*H35+I35*'QUANTITE DETENUES'!I35+'QUANTITE DETENUES'!J35*J35+K35*'QUANTITE DETENUES'!K35+'QUANTITE DETENUES'!L35*L35+M35*'QUANTITE DETENUES'!M35+'QUANTITE DETENUES'!N35*N35+O35*'QUANTITE DETENUES'!O35+T35+P35*'QUANTITE DETENUES'!P35+'QUANTITE DETENUES'!Q35*Q35+R35*'QUANTITE DETENUES'!R35+'QUANTITE DETENUES'!S35*S35)</f>
        <v>50381.22143</v>
      </c>
      <c r="V35" s="288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89"/>
      <c r="AH35" s="289"/>
      <c r="AI35" s="289"/>
      <c r="AJ35" s="289"/>
      <c r="AK35" s="289"/>
      <c r="AL35" s="289"/>
      <c r="AM35" s="289"/>
    </row>
    <row r="36">
      <c r="A36" s="409">
        <f>IF(ARBITRAGES!E36="","",ARBITRAGES!E36)</f>
        <v>45576</v>
      </c>
      <c r="B36" s="33">
        <v>87000.0</v>
      </c>
      <c r="C36" s="33">
        <v>3350.0</v>
      </c>
      <c r="D36" s="412">
        <v>5.5</v>
      </c>
      <c r="E36" s="33">
        <v>220.0</v>
      </c>
      <c r="F36" s="33">
        <v>610.0</v>
      </c>
      <c r="G36" s="412">
        <v>1.6</v>
      </c>
      <c r="H36" s="412">
        <v>14.65</v>
      </c>
      <c r="I36" s="413">
        <v>0.35</v>
      </c>
      <c r="J36" s="414">
        <v>2.8E-5</v>
      </c>
      <c r="K36" s="413">
        <v>2.05</v>
      </c>
      <c r="L36" s="413">
        <v>1.25</v>
      </c>
      <c r="M36" s="413">
        <v>188.0</v>
      </c>
      <c r="N36" s="415">
        <v>0.015</v>
      </c>
      <c r="O36" s="413">
        <v>5.8</v>
      </c>
      <c r="P36" s="413">
        <f>RECAP!$Y$7</f>
        <v>0.009774</v>
      </c>
      <c r="Q36" s="416">
        <f>RECAP!$Z$7</f>
        <v>0.0000178</v>
      </c>
      <c r="R36" s="413">
        <f>RECAP!$AA$7</f>
        <v>3.35</v>
      </c>
      <c r="S36" s="413">
        <f>RECAP!$AB$7</f>
        <v>6.35</v>
      </c>
      <c r="T36" s="14">
        <f>IF(A36="","",ARBITRAGES!M36)</f>
        <v>3454.261179</v>
      </c>
      <c r="U36" s="417">
        <f>IF(A36="","",B36*'QUANTITE DETENUES'!B36+'QUANTITE DETENUES'!C36*C36+'QUANTITE DETENUES'!D36*D36+E36*'QUANTITE DETENUES'!E36+'QUANTITE DETENUES'!F36*F36+G36*'QUANTITE DETENUES'!G36+'QUANTITE DETENUES'!H36*H36+I36*'QUANTITE DETENUES'!I36+'QUANTITE DETENUES'!J36*J36+K36*'QUANTITE DETENUES'!K36+'QUANTITE DETENUES'!L36*L36+M36*'QUANTITE DETENUES'!M36+'QUANTITE DETENUES'!N36*N36+O36*'QUANTITE DETENUES'!O36+T36+P36*'QUANTITE DETENUES'!P36+'QUANTITE DETENUES'!Q36*Q36+R36*'QUANTITE DETENUES'!R36+'QUANTITE DETENUES'!S36*S36)</f>
        <v>52869.46053</v>
      </c>
      <c r="V36" s="288"/>
      <c r="W36" s="289"/>
      <c r="X36" s="289"/>
      <c r="Y36" s="289"/>
      <c r="Z36" s="289"/>
      <c r="AA36" s="289"/>
      <c r="AB36" s="289"/>
      <c r="AC36" s="289"/>
      <c r="AD36" s="289"/>
      <c r="AE36" s="289"/>
      <c r="AF36" s="289"/>
      <c r="AG36" s="289"/>
      <c r="AH36" s="289"/>
      <c r="AI36" s="289"/>
      <c r="AJ36" s="289"/>
      <c r="AK36" s="289"/>
      <c r="AL36" s="289"/>
      <c r="AM36" s="289"/>
    </row>
    <row r="37">
      <c r="A37" s="409">
        <f>IF(ARBITRAGES!E37="","",ARBITRAGES!E37)</f>
        <v>45608</v>
      </c>
      <c r="B37" s="33">
        <v>90200.0</v>
      </c>
      <c r="C37" s="33">
        <v>3400.0</v>
      </c>
      <c r="D37" s="412">
        <v>5.55</v>
      </c>
      <c r="E37" s="33">
        <v>225.0</v>
      </c>
      <c r="F37" s="33">
        <v>605.0</v>
      </c>
      <c r="G37" s="412">
        <v>1.61</v>
      </c>
      <c r="H37" s="412">
        <v>15.0</v>
      </c>
      <c r="I37" s="413">
        <v>0.416</v>
      </c>
      <c r="J37" s="414">
        <v>2.94E-5</v>
      </c>
      <c r="K37" s="413">
        <v>2.11</v>
      </c>
      <c r="L37" s="413">
        <v>1.22</v>
      </c>
      <c r="M37" s="413">
        <v>195.0</v>
      </c>
      <c r="N37" s="415">
        <v>0.015</v>
      </c>
      <c r="O37" s="413">
        <v>5.9</v>
      </c>
      <c r="P37" s="413">
        <f>RECAP!$Y$7</f>
        <v>0.009774</v>
      </c>
      <c r="Q37" s="416">
        <f>RECAP!$Z$7</f>
        <v>0.0000178</v>
      </c>
      <c r="R37" s="413">
        <f>RECAP!$AA$7</f>
        <v>3.35</v>
      </c>
      <c r="S37" s="413">
        <f>RECAP!$AB$7</f>
        <v>6.35</v>
      </c>
      <c r="T37" s="14">
        <f>IF(A37="","",ARBITRAGES!M37)</f>
        <v>4715.465639</v>
      </c>
      <c r="U37" s="417">
        <f>IF(A37="","",B37*'QUANTITE DETENUES'!B37+'QUANTITE DETENUES'!C37*C37+'QUANTITE DETENUES'!D37*D37+E37*'QUANTITE DETENUES'!E37+'QUANTITE DETENUES'!F37*F37+G37*'QUANTITE DETENUES'!G37+'QUANTITE DETENUES'!H37*H37+I37*'QUANTITE DETENUES'!I37+'QUANTITE DETENUES'!J37*J37+K37*'QUANTITE DETENUES'!K37+'QUANTITE DETENUES'!L37*L37+M37*'QUANTITE DETENUES'!M37+'QUANTITE DETENUES'!N37*N37+O37*'QUANTITE DETENUES'!O37+T37+P37*'QUANTITE DETENUES'!P37+'QUANTITE DETENUES'!Q37*Q37+R37*'QUANTITE DETENUES'!R37+'QUANTITE DETENUES'!S37*S37)</f>
        <v>54208.65594</v>
      </c>
      <c r="V37" s="288"/>
      <c r="W37" s="289"/>
      <c r="X37" s="289"/>
      <c r="Y37" s="289"/>
      <c r="Z37" s="289"/>
      <c r="AA37" s="289"/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</row>
    <row r="38">
      <c r="A38" s="409">
        <f>IF(ARBITRAGES!E38="","",ARBITRAGES!E38)</f>
        <v>45609</v>
      </c>
      <c r="B38" s="33">
        <v>87500.0</v>
      </c>
      <c r="C38" s="33">
        <v>3170.0</v>
      </c>
      <c r="D38" s="412">
        <v>5.22</v>
      </c>
      <c r="E38" s="33">
        <v>208.0</v>
      </c>
      <c r="F38" s="33">
        <v>540.0</v>
      </c>
      <c r="G38" s="412">
        <v>1.44</v>
      </c>
      <c r="H38" s="412">
        <v>13.35</v>
      </c>
      <c r="I38" s="413">
        <v>0.38</v>
      </c>
      <c r="J38" s="414">
        <v>2.41E-5</v>
      </c>
      <c r="K38" s="413">
        <v>1.84</v>
      </c>
      <c r="L38" s="413">
        <v>1.1</v>
      </c>
      <c r="M38" s="413">
        <v>170.0</v>
      </c>
      <c r="N38" s="415">
        <v>0.0127</v>
      </c>
      <c r="O38" s="413">
        <v>5.2</v>
      </c>
      <c r="P38" s="413">
        <f>RECAP!$Y$7</f>
        <v>0.009774</v>
      </c>
      <c r="Q38" s="416">
        <f>RECAP!$Z$7</f>
        <v>0.0000178</v>
      </c>
      <c r="R38" s="413">
        <f>RECAP!$AA$7</f>
        <v>3.35</v>
      </c>
      <c r="S38" s="413">
        <f>RECAP!$AB$7</f>
        <v>6.35</v>
      </c>
      <c r="T38" s="14">
        <f>IF(A38="","",ARBITRAGES!M38)</f>
        <v>3965.465639</v>
      </c>
      <c r="U38" s="417">
        <f>IF(A38="","",B38*'QUANTITE DETENUES'!B38+'QUANTITE DETENUES'!C38*C38+'QUANTITE DETENUES'!D38*D38+E38*'QUANTITE DETENUES'!E38+'QUANTITE DETENUES'!F38*F38+G38*'QUANTITE DETENUES'!G38+'QUANTITE DETENUES'!H38*H38+I38*'QUANTITE DETENUES'!I38+'QUANTITE DETENUES'!J38*J38+K38*'QUANTITE DETENUES'!K38+'QUANTITE DETENUES'!L38*L38+M38*'QUANTITE DETENUES'!M38+'QUANTITE DETENUES'!N38*N38+O38*'QUANTITE DETENUES'!O38+T38+P38*'QUANTITE DETENUES'!P38+'QUANTITE DETENUES'!Q38*Q38+R38*'QUANTITE DETENUES'!R38+'QUANTITE DETENUES'!S38*S38)</f>
        <v>51415.19244</v>
      </c>
      <c r="V38" s="288"/>
      <c r="W38" s="289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I38" s="289"/>
      <c r="AJ38" s="289"/>
      <c r="AK38" s="289"/>
      <c r="AL38" s="289"/>
      <c r="AM38" s="289"/>
    </row>
    <row r="39">
      <c r="A39" s="409">
        <f>IF(ARBITRAGES!E39="","",ARBITRAGES!E39)</f>
        <v>45609</v>
      </c>
      <c r="B39" s="33">
        <v>87500.0</v>
      </c>
      <c r="C39" s="33">
        <v>3170.0</v>
      </c>
      <c r="D39" s="412">
        <v>5.22</v>
      </c>
      <c r="E39" s="33">
        <v>208.0</v>
      </c>
      <c r="F39" s="33">
        <v>540.0</v>
      </c>
      <c r="G39" s="412">
        <v>1.44</v>
      </c>
      <c r="H39" s="412">
        <v>13.35</v>
      </c>
      <c r="I39" s="413">
        <v>0.38</v>
      </c>
      <c r="J39" s="414">
        <v>2.41E-5</v>
      </c>
      <c r="K39" s="413">
        <v>1.84</v>
      </c>
      <c r="L39" s="413">
        <v>1.1</v>
      </c>
      <c r="M39" s="413">
        <v>170.0</v>
      </c>
      <c r="N39" s="415">
        <v>0.0127</v>
      </c>
      <c r="O39" s="413">
        <v>5.2</v>
      </c>
      <c r="P39" s="413">
        <f>RECAP!$Y$7</f>
        <v>0.009774</v>
      </c>
      <c r="Q39" s="416">
        <f>RECAP!$Z$7</f>
        <v>0.0000178</v>
      </c>
      <c r="R39" s="413">
        <f>RECAP!$AA$7</f>
        <v>3.35</v>
      </c>
      <c r="S39" s="413">
        <f>RECAP!$AB$7</f>
        <v>6.35</v>
      </c>
      <c r="T39" s="14">
        <f>IF(A39="","",ARBITRAGES!M39)</f>
        <v>3395.965639</v>
      </c>
      <c r="U39" s="417">
        <f>IF(A39="","",B39*'QUANTITE DETENUES'!B39+'QUANTITE DETENUES'!C39*C39+'QUANTITE DETENUES'!D39*D39+E39*'QUANTITE DETENUES'!E39+'QUANTITE DETENUES'!F39*F39+G39*'QUANTITE DETENUES'!G39+'QUANTITE DETENUES'!H39*H39+I39*'QUANTITE DETENUES'!I39+'QUANTITE DETENUES'!J39*J39+K39*'QUANTITE DETENUES'!K39+'QUANTITE DETENUES'!L39*L39+M39*'QUANTITE DETENUES'!M39+'QUANTITE DETENUES'!N39*N39+O39*'QUANTITE DETENUES'!O39+T39+P39*'QUANTITE DETENUES'!P39+'QUANTITE DETENUES'!Q39*Q39+R39*'QUANTITE DETENUES'!R39+'QUANTITE DETENUES'!S39*S39)</f>
        <v>51415.19244</v>
      </c>
      <c r="V39" s="288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</row>
    <row r="40">
      <c r="A40" s="409">
        <f>IF(ARBITRAGES!E40="","",ARBITRAGES!E40)</f>
        <v>45609</v>
      </c>
      <c r="B40" s="33">
        <v>87500.0</v>
      </c>
      <c r="C40" s="33">
        <v>3170.0</v>
      </c>
      <c r="D40" s="412">
        <v>5.22</v>
      </c>
      <c r="E40" s="33">
        <v>208.0</v>
      </c>
      <c r="F40" s="33">
        <v>540.0</v>
      </c>
      <c r="G40" s="412">
        <v>1.44</v>
      </c>
      <c r="H40" s="412">
        <v>13.35</v>
      </c>
      <c r="I40" s="413">
        <v>0.38</v>
      </c>
      <c r="J40" s="414">
        <v>2.41E-5</v>
      </c>
      <c r="K40" s="413">
        <v>1.84</v>
      </c>
      <c r="L40" s="413">
        <v>1.1</v>
      </c>
      <c r="M40" s="413">
        <v>170.0</v>
      </c>
      <c r="N40" s="415">
        <v>0.0127</v>
      </c>
      <c r="O40" s="413">
        <v>5.2</v>
      </c>
      <c r="P40" s="413">
        <f>RECAP!$Y$7</f>
        <v>0.009774</v>
      </c>
      <c r="Q40" s="416">
        <f>RECAP!$Z$7</f>
        <v>0.0000178</v>
      </c>
      <c r="R40" s="413">
        <f>RECAP!$AA$7</f>
        <v>3.35</v>
      </c>
      <c r="S40" s="413">
        <f>RECAP!$AB$7</f>
        <v>6.35</v>
      </c>
      <c r="T40" s="14">
        <f>IF(A40="","",ARBITRAGES!M40)</f>
        <v>2895.465639</v>
      </c>
      <c r="U40" s="417">
        <f>IF(A40="","",B40*'QUANTITE DETENUES'!B40+'QUANTITE DETENUES'!C40*C40+'QUANTITE DETENUES'!D40*D40+E40*'QUANTITE DETENUES'!E40+'QUANTITE DETENUES'!F40*F40+G40*'QUANTITE DETENUES'!G40+'QUANTITE DETENUES'!H40*H40+I40*'QUANTITE DETENUES'!I40+'QUANTITE DETENUES'!J40*J40+K40*'QUANTITE DETENUES'!K40+'QUANTITE DETENUES'!L40*L40+M40*'QUANTITE DETENUES'!M40+'QUANTITE DETENUES'!N40*N40+O40*'QUANTITE DETENUES'!O40+T40+P40*'QUANTITE DETENUES'!P40+'QUANTITE DETENUES'!Q40*Q40+R40*'QUANTITE DETENUES'!R40+'QUANTITE DETENUES'!S40*S40)</f>
        <v>51415.19244</v>
      </c>
      <c r="V40" s="288"/>
      <c r="W40" s="289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</row>
    <row r="41">
      <c r="A41" s="409">
        <f>IF(ARBITRAGES!E41="","",ARBITRAGES!E41)</f>
        <v>45610</v>
      </c>
      <c r="B41" s="33">
        <v>93500.0</v>
      </c>
      <c r="C41" s="33">
        <v>3150.0</v>
      </c>
      <c r="D41" s="412">
        <v>5.55</v>
      </c>
      <c r="E41" s="33">
        <v>245.0</v>
      </c>
      <c r="F41" s="33">
        <v>500.0</v>
      </c>
      <c r="G41" s="412">
        <v>1.45</v>
      </c>
      <c r="H41" s="412">
        <v>14.4</v>
      </c>
      <c r="I41" s="413">
        <v>0.41</v>
      </c>
      <c r="J41" s="414">
        <v>2.55E-5</v>
      </c>
      <c r="K41" s="413">
        <v>1.92</v>
      </c>
      <c r="L41" s="413">
        <v>1.17</v>
      </c>
      <c r="M41" s="413">
        <v>165.0</v>
      </c>
      <c r="N41" s="415">
        <v>0.0133</v>
      </c>
      <c r="O41" s="413">
        <v>5.15</v>
      </c>
      <c r="P41" s="413">
        <f>RECAP!$Y$7</f>
        <v>0.009774</v>
      </c>
      <c r="Q41" s="416">
        <f>RECAP!$Z$7</f>
        <v>0.0000178</v>
      </c>
      <c r="R41" s="413">
        <f>RECAP!$AA$7</f>
        <v>3.35</v>
      </c>
      <c r="S41" s="413">
        <f>RECAP!$AB$7</f>
        <v>6.35</v>
      </c>
      <c r="T41" s="14">
        <f>IF(A41="","",ARBITRAGES!M41)</f>
        <v>1585.465639</v>
      </c>
      <c r="U41" s="417">
        <f>IF(A41="","",B41*'QUANTITE DETENUES'!B41+'QUANTITE DETENUES'!C41*C41+'QUANTITE DETENUES'!D41*D41+E41*'QUANTITE DETENUES'!E41+'QUANTITE DETENUES'!F41*F41+G41*'QUANTITE DETENUES'!G41+'QUANTITE DETENUES'!H41*H41+I41*'QUANTITE DETENUES'!I41+'QUANTITE DETENUES'!J41*J41+K41*'QUANTITE DETENUES'!K41+'QUANTITE DETENUES'!L41*L41+M41*'QUANTITE DETENUES'!M41+'QUANTITE DETENUES'!N41*N41+O41*'QUANTITE DETENUES'!O41+T41+P41*'QUANTITE DETENUES'!P41+'QUANTITE DETENUES'!Q41*Q41+R41*'QUANTITE DETENUES'!R41+'QUANTITE DETENUES'!S41*S41)</f>
        <v>53867.70671</v>
      </c>
      <c r="V41" s="288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</row>
    <row r="42">
      <c r="A42" s="409">
        <f>IF(ARBITRAGES!E42="","",ARBITRAGES!E42)</f>
        <v>45615</v>
      </c>
      <c r="B42" s="33">
        <v>93500.0</v>
      </c>
      <c r="C42" s="33">
        <v>3150.0</v>
      </c>
      <c r="D42" s="412">
        <v>5.55</v>
      </c>
      <c r="E42" s="33">
        <v>245.0</v>
      </c>
      <c r="F42" s="33">
        <v>500.0</v>
      </c>
      <c r="G42" s="412">
        <v>1.45</v>
      </c>
      <c r="H42" s="412">
        <v>14.4</v>
      </c>
      <c r="I42" s="413">
        <v>0.41</v>
      </c>
      <c r="J42" s="414">
        <v>2.55E-5</v>
      </c>
      <c r="K42" s="413">
        <v>1.92</v>
      </c>
      <c r="L42" s="413">
        <v>1.17</v>
      </c>
      <c r="M42" s="413">
        <v>165.0</v>
      </c>
      <c r="N42" s="415">
        <v>0.0133</v>
      </c>
      <c r="O42" s="413">
        <v>5.15</v>
      </c>
      <c r="P42" s="413">
        <f>RECAP!$Y$7</f>
        <v>0.009774</v>
      </c>
      <c r="Q42" s="416">
        <f>RECAP!$Z$7</f>
        <v>0.0000178</v>
      </c>
      <c r="R42" s="413">
        <f>RECAP!$AA$7</f>
        <v>3.35</v>
      </c>
      <c r="S42" s="413">
        <f>RECAP!$AB$7</f>
        <v>6.35</v>
      </c>
      <c r="T42" s="14">
        <f>IF(A42="","",ARBITRAGES!M42)</f>
        <v>1962.465639</v>
      </c>
      <c r="U42" s="417">
        <f>IF(A42="","",B42*'QUANTITE DETENUES'!B42+'QUANTITE DETENUES'!C42*C42+'QUANTITE DETENUES'!D42*D42+E42*'QUANTITE DETENUES'!E42+'QUANTITE DETENUES'!F42*F42+G42*'QUANTITE DETENUES'!G42+'QUANTITE DETENUES'!H42*H42+I42*'QUANTITE DETENUES'!I42+'QUANTITE DETENUES'!J42*J42+K42*'QUANTITE DETENUES'!K42+'QUANTITE DETENUES'!L42*L42+M42*'QUANTITE DETENUES'!M42+'QUANTITE DETENUES'!N42*N42+O42*'QUANTITE DETENUES'!O42+T42+P42*'QUANTITE DETENUES'!P42+'QUANTITE DETENUES'!Q42*Q42+R42*'QUANTITE DETENUES'!R42+'QUANTITE DETENUES'!S42*S42)</f>
        <v>53874.95671</v>
      </c>
      <c r="V42" s="288"/>
      <c r="W42" s="289"/>
      <c r="X42" s="289"/>
      <c r="Y42" s="289"/>
      <c r="Z42" s="289"/>
      <c r="AA42" s="289"/>
      <c r="AB42" s="289"/>
      <c r="AC42" s="289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</row>
    <row r="43">
      <c r="A43" s="409">
        <f>IF(ARBITRAGES!E43="","",ARBITRAGES!E43)</f>
        <v>45618</v>
      </c>
      <c r="B43" s="33">
        <v>99000.0</v>
      </c>
      <c r="C43" s="33">
        <v>3500.0</v>
      </c>
      <c r="D43" s="412">
        <v>6.5</v>
      </c>
      <c r="E43" s="33">
        <v>263.0</v>
      </c>
      <c r="F43" s="33">
        <v>535.0</v>
      </c>
      <c r="G43" s="412">
        <v>1.63</v>
      </c>
      <c r="H43" s="412">
        <v>18.0</v>
      </c>
      <c r="I43" s="413">
        <v>0.48</v>
      </c>
      <c r="J43" s="414">
        <v>2.75E-5</v>
      </c>
      <c r="K43" s="413">
        <v>2.27</v>
      </c>
      <c r="L43" s="413">
        <v>1.18</v>
      </c>
      <c r="M43" s="413">
        <v>182.0</v>
      </c>
      <c r="N43" s="415">
        <v>0.0144</v>
      </c>
      <c r="O43" s="413">
        <v>5.5</v>
      </c>
      <c r="P43" s="413">
        <f>RECAP!$Y$7</f>
        <v>0.009774</v>
      </c>
      <c r="Q43" s="416">
        <f>RECAP!$Z$7</f>
        <v>0.0000178</v>
      </c>
      <c r="R43" s="413">
        <f>RECAP!$AA$7</f>
        <v>3.35</v>
      </c>
      <c r="S43" s="413">
        <f>RECAP!$AB$7</f>
        <v>6.35</v>
      </c>
      <c r="T43" s="14">
        <f>IF(A43="","",ARBITRAGES!M43)</f>
        <v>1522.465639</v>
      </c>
      <c r="U43" s="417">
        <f>IF(A43="","",B43*'QUANTITE DETENUES'!B43+'QUANTITE DETENUES'!C43*C43+'QUANTITE DETENUES'!D43*D43+E43*'QUANTITE DETENUES'!E43+'QUANTITE DETENUES'!F43*F43+G43*'QUANTITE DETENUES'!G43+'QUANTITE DETENUES'!H43*H43+I43*'QUANTITE DETENUES'!I43+'QUANTITE DETENUES'!J43*J43+K43*'QUANTITE DETENUES'!K43+'QUANTITE DETENUES'!L43*L43+M43*'QUANTITE DETENUES'!M43+'QUANTITE DETENUES'!N43*N43+O43*'QUANTITE DETENUES'!O43+T43+P43*'QUANTITE DETENUES'!P43+'QUANTITE DETENUES'!Q43*Q43+R43*'QUANTITE DETENUES'!R43+'QUANTITE DETENUES'!S43*S43)</f>
        <v>58333.00437</v>
      </c>
      <c r="V43" s="288"/>
      <c r="W43" s="289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</row>
    <row r="44">
      <c r="A44" s="409">
        <f>IF(ARBITRAGES!E44="","",ARBITRAGES!E44)</f>
        <v>45619</v>
      </c>
      <c r="B44" s="33">
        <v>99000.0</v>
      </c>
      <c r="C44" s="33">
        <v>3500.0</v>
      </c>
      <c r="D44" s="412">
        <v>6.5</v>
      </c>
      <c r="E44" s="33">
        <v>263.0</v>
      </c>
      <c r="F44" s="33">
        <v>535.0</v>
      </c>
      <c r="G44" s="412">
        <v>1.63</v>
      </c>
      <c r="H44" s="412">
        <v>18.0</v>
      </c>
      <c r="I44" s="413">
        <v>0.48</v>
      </c>
      <c r="J44" s="414">
        <v>2.75E-5</v>
      </c>
      <c r="K44" s="413">
        <v>2.27</v>
      </c>
      <c r="L44" s="413">
        <v>1.18</v>
      </c>
      <c r="M44" s="413">
        <v>182.0</v>
      </c>
      <c r="N44" s="415">
        <v>0.0144</v>
      </c>
      <c r="O44" s="413">
        <v>5.5</v>
      </c>
      <c r="P44" s="413">
        <f>RECAP!$Y$7</f>
        <v>0.009774</v>
      </c>
      <c r="Q44" s="416">
        <f>RECAP!$Z$7</f>
        <v>0.0000178</v>
      </c>
      <c r="R44" s="413">
        <f>RECAP!$AA$7</f>
        <v>3.35</v>
      </c>
      <c r="S44" s="413">
        <f>RECAP!$AB$7</f>
        <v>6.35</v>
      </c>
      <c r="T44" s="14">
        <f>IF(A44="","",ARBITRAGES!M44)</f>
        <v>1346.533639</v>
      </c>
      <c r="U44" s="417">
        <f>IF(A44="","",B44*'QUANTITE DETENUES'!B44+'QUANTITE DETENUES'!C44*C44+'QUANTITE DETENUES'!D44*D44+E44*'QUANTITE DETENUES'!E44+'QUANTITE DETENUES'!F44*F44+G44*'QUANTITE DETENUES'!G44+'QUANTITE DETENUES'!H44*H44+I44*'QUANTITE DETENUES'!I44+'QUANTITE DETENUES'!J44*J44+K44*'QUANTITE DETENUES'!K44+'QUANTITE DETENUES'!L44*L44+M44*'QUANTITE DETENUES'!M44+'QUANTITE DETENUES'!N44*N44+O44*'QUANTITE DETENUES'!O44+T44+P44*'QUANTITE DETENUES'!P44+'QUANTITE DETENUES'!Q44*Q44+R44*'QUANTITE DETENUES'!R44+'QUANTITE DETENUES'!S44*S44)</f>
        <v>58333.00437</v>
      </c>
      <c r="V44" s="288"/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  <c r="AK44" s="289"/>
      <c r="AL44" s="289"/>
      <c r="AM44" s="289"/>
    </row>
    <row r="45">
      <c r="A45" s="409">
        <f>IF(ARBITRAGES!E45="","",ARBITRAGES!E45)</f>
        <v>45622</v>
      </c>
      <c r="B45" s="33">
        <v>94000.0</v>
      </c>
      <c r="C45" s="33">
        <v>3330.0</v>
      </c>
      <c r="D45" s="412">
        <v>6.0</v>
      </c>
      <c r="E45" s="33">
        <v>230.0</v>
      </c>
      <c r="F45" s="33">
        <v>525.0</v>
      </c>
      <c r="G45" s="412">
        <v>1.62</v>
      </c>
      <c r="H45" s="412">
        <v>17.2</v>
      </c>
      <c r="I45" s="413">
        <v>0.383</v>
      </c>
      <c r="J45" s="414">
        <v>2.42E-5</v>
      </c>
      <c r="K45" s="413">
        <v>2.635</v>
      </c>
      <c r="L45" s="413">
        <v>1.011</v>
      </c>
      <c r="M45" s="413">
        <v>173.0</v>
      </c>
      <c r="N45" s="415">
        <v>0.0144</v>
      </c>
      <c r="O45" s="413">
        <v>5.0</v>
      </c>
      <c r="P45" s="413">
        <f>RECAP!$Y$7</f>
        <v>0.009774</v>
      </c>
      <c r="Q45" s="416">
        <f>RECAP!$Z$7</f>
        <v>0.0000178</v>
      </c>
      <c r="R45" s="413">
        <f>RECAP!$AA$7</f>
        <v>3.35</v>
      </c>
      <c r="S45" s="413">
        <f>RECAP!$AB$7</f>
        <v>6.35</v>
      </c>
      <c r="T45" s="14">
        <f>IF(A45="","",ARBITRAGES!M45)</f>
        <v>1148.883639</v>
      </c>
      <c r="U45" s="417">
        <f>IF(A45="","",B45*'QUANTITE DETENUES'!B45+'QUANTITE DETENUES'!C45*C45+'QUANTITE DETENUES'!D45*D45+E45*'QUANTITE DETENUES'!E45+'QUANTITE DETENUES'!F45*F45+G45*'QUANTITE DETENUES'!G45+'QUANTITE DETENUES'!H45*H45+I45*'QUANTITE DETENUES'!I45+'QUANTITE DETENUES'!J45*J45+K45*'QUANTITE DETENUES'!K45+'QUANTITE DETENUES'!L45*L45+M45*'QUANTITE DETENUES'!M45+'QUANTITE DETENUES'!N45*N45+O45*'QUANTITE DETENUES'!O45+T45+P45*'QUANTITE DETENUES'!P45+'QUANTITE DETENUES'!Q45*Q45+R45*'QUANTITE DETENUES'!R45+'QUANTITE DETENUES'!S45*S45)</f>
        <v>55137.78634</v>
      </c>
      <c r="V45" s="288"/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  <c r="AK45" s="289"/>
      <c r="AL45" s="289"/>
      <c r="AM45" s="289"/>
    </row>
    <row r="46">
      <c r="A46" s="409">
        <f>IF(ARBITRAGES!E46="","",ARBITRAGES!E46)</f>
        <v>45630</v>
      </c>
      <c r="B46" s="33">
        <v>96500.0</v>
      </c>
      <c r="C46" s="33">
        <v>3740.0</v>
      </c>
      <c r="D46" s="412">
        <v>7.1</v>
      </c>
      <c r="E46" s="33">
        <v>240.0</v>
      </c>
      <c r="F46" s="33">
        <v>700.0</v>
      </c>
      <c r="G46" s="412">
        <v>2.35</v>
      </c>
      <c r="H46" s="412">
        <v>25.1</v>
      </c>
      <c r="I46" s="413">
        <v>0.42</v>
      </c>
      <c r="J46" s="414">
        <v>3.1E-5</v>
      </c>
      <c r="K46" s="413">
        <v>4.12</v>
      </c>
      <c r="L46" s="413">
        <v>1.31</v>
      </c>
      <c r="M46" s="413">
        <v>252.0</v>
      </c>
      <c r="N46" s="415">
        <v>0.0186</v>
      </c>
      <c r="O46" s="413">
        <v>6.7</v>
      </c>
      <c r="P46" s="413">
        <v>0.0101</v>
      </c>
      <c r="Q46" s="416">
        <v>2.1E-5</v>
      </c>
      <c r="R46" s="413">
        <v>3.4</v>
      </c>
      <c r="S46" s="413">
        <f>RECAP!$AB$7</f>
        <v>6.35</v>
      </c>
      <c r="T46" s="14">
        <f>IF(A46="","",ARBITRAGES!M46)</f>
        <v>1257.193639</v>
      </c>
      <c r="U46" s="417">
        <f>IF(A46="","",B46*'QUANTITE DETENUES'!B46+'QUANTITE DETENUES'!C46*C46+'QUANTITE DETENUES'!D46*D46+E46*'QUANTITE DETENUES'!E46+'QUANTITE DETENUES'!F46*F46+G46*'QUANTITE DETENUES'!G46+'QUANTITE DETENUES'!H46*H46+I46*'QUANTITE DETENUES'!I46+'QUANTITE DETENUES'!J46*J46+K46*'QUANTITE DETENUES'!K46+'QUANTITE DETENUES'!L46*L46+M46*'QUANTITE DETENUES'!M46+'QUANTITE DETENUES'!N46*N46+O46*'QUANTITE DETENUES'!O46+T46+P46*'QUANTITE DETENUES'!P46+'QUANTITE DETENUES'!Q46*Q46+R46*'QUANTITE DETENUES'!R46+'QUANTITE DETENUES'!S46*S46)</f>
        <v>61473.7625</v>
      </c>
      <c r="V46" s="288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  <c r="AK46" s="289"/>
      <c r="AL46" s="289"/>
      <c r="AM46" s="289"/>
    </row>
    <row r="47">
      <c r="A47" s="409">
        <f>IF(ARBITRAGES!E47="","",ARBITRAGES!E47)</f>
        <v>45636</v>
      </c>
      <c r="B47" s="418">
        <v>99000.0</v>
      </c>
      <c r="C47" s="418">
        <v>3750.0</v>
      </c>
      <c r="D47" s="419">
        <v>6.2</v>
      </c>
      <c r="E47" s="418">
        <v>227.0</v>
      </c>
      <c r="F47" s="418">
        <v>600.0</v>
      </c>
      <c r="G47" s="419">
        <v>2.1</v>
      </c>
      <c r="H47" s="419">
        <v>23.5</v>
      </c>
      <c r="I47" s="420">
        <v>0.404</v>
      </c>
      <c r="J47" s="414">
        <v>2.81E-5</v>
      </c>
      <c r="K47" s="420">
        <v>3.42</v>
      </c>
      <c r="L47" s="420">
        <v>1.125</v>
      </c>
      <c r="M47" s="420">
        <v>285.0</v>
      </c>
      <c r="N47" s="415">
        <v>0.014</v>
      </c>
      <c r="O47" s="420">
        <v>6.1</v>
      </c>
      <c r="P47" s="413">
        <v>0.0083</v>
      </c>
      <c r="Q47" s="416">
        <v>2.38E-5</v>
      </c>
      <c r="R47" s="413">
        <v>3.0</v>
      </c>
      <c r="S47" s="413">
        <f>RECAP!$AB$7</f>
        <v>6.35</v>
      </c>
      <c r="T47" s="14">
        <f>IF(A47="","",ARBITRAGES!M47)</f>
        <v>837.193639</v>
      </c>
      <c r="U47" s="417">
        <f>IF(A47="","",B47*'QUANTITE DETENUES'!B47+'QUANTITE DETENUES'!C47*C47+'QUANTITE DETENUES'!D47*D47+E47*'QUANTITE DETENUES'!E47+'QUANTITE DETENUES'!F47*F47+G47*'QUANTITE DETENUES'!G47+'QUANTITE DETENUES'!H47*H47+I47*'QUANTITE DETENUES'!I47+'QUANTITE DETENUES'!J47*J47+K47*'QUANTITE DETENUES'!K47+'QUANTITE DETENUES'!L47*L47+M47*'QUANTITE DETENUES'!M47+'QUANTITE DETENUES'!N47*N47+O47*'QUANTITE DETENUES'!O47+T47+P47*'QUANTITE DETENUES'!P47+'QUANTITE DETENUES'!Q47*Q47+R47*'QUANTITE DETENUES'!R47+'QUANTITE DETENUES'!S47*S47)</f>
        <v>60076.06217</v>
      </c>
      <c r="V47" s="288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</row>
    <row r="48">
      <c r="A48" s="409">
        <f>IF(ARBITRAGES!E48="","",ARBITRAGES!E48)</f>
        <v>45644</v>
      </c>
      <c r="B48" s="418">
        <v>96000.0</v>
      </c>
      <c r="C48" s="418">
        <v>3500.0</v>
      </c>
      <c r="D48" s="419">
        <v>5.85</v>
      </c>
      <c r="E48" s="418">
        <v>215.0</v>
      </c>
      <c r="F48" s="418">
        <v>500.0</v>
      </c>
      <c r="G48" s="419">
        <v>2.0</v>
      </c>
      <c r="H48" s="419">
        <v>21.0</v>
      </c>
      <c r="I48" s="420">
        <v>0.35</v>
      </c>
      <c r="J48" s="414">
        <v>2.45E-5</v>
      </c>
      <c r="K48" s="420">
        <v>2.8</v>
      </c>
      <c r="L48" s="420">
        <v>0.95</v>
      </c>
      <c r="M48" s="420">
        <v>330.0</v>
      </c>
      <c r="N48" s="421">
        <v>0.012</v>
      </c>
      <c r="O48" s="420">
        <v>5.8</v>
      </c>
      <c r="P48" s="413">
        <v>0.008</v>
      </c>
      <c r="Q48" s="416">
        <v>2.05E-5</v>
      </c>
      <c r="R48" s="413">
        <v>2.7</v>
      </c>
      <c r="S48" s="413">
        <f>RECAP!$AB$7</f>
        <v>6.35</v>
      </c>
      <c r="T48" s="14">
        <f>IF(A48="","",ARBITRAGES!M48)</f>
        <v>558.193639</v>
      </c>
      <c r="U48" s="417">
        <f>IF(A48="","",B48*'QUANTITE DETENUES'!B48+'QUANTITE DETENUES'!C48*C48+'QUANTITE DETENUES'!D48*D48+E48*'QUANTITE DETENUES'!E48+'QUANTITE DETENUES'!F48*F48+G48*'QUANTITE DETENUES'!G48+'QUANTITE DETENUES'!H48*H48+I48*'QUANTITE DETENUES'!I48+'QUANTITE DETENUES'!J48*J48+K48*'QUANTITE DETENUES'!K48+'QUANTITE DETENUES'!L48*L48+M48*'QUANTITE DETENUES'!M48+'QUANTITE DETENUES'!N48*N48+O48*'QUANTITE DETENUES'!O48+T48+P48*'QUANTITE DETENUES'!P48+'QUANTITE DETENUES'!Q48*Q48+R48*'QUANTITE DETENUES'!R48+'QUANTITE DETENUES'!S48*S48)</f>
        <v>56800.4764</v>
      </c>
      <c r="V48" s="288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</row>
    <row r="49">
      <c r="A49" s="409">
        <f>IF(ARBITRAGES!E49="","",ARBITRAGES!E49)</f>
        <v>45646</v>
      </c>
      <c r="B49" s="33">
        <v>93000.0</v>
      </c>
      <c r="C49" s="33">
        <v>3350.0</v>
      </c>
      <c r="D49" s="412">
        <v>5.41</v>
      </c>
      <c r="E49" s="33">
        <v>183.0</v>
      </c>
      <c r="F49" s="33">
        <v>460.0</v>
      </c>
      <c r="G49" s="412">
        <v>1.88</v>
      </c>
      <c r="H49" s="412">
        <v>22.4</v>
      </c>
      <c r="I49" s="413">
        <v>0.32</v>
      </c>
      <c r="J49" s="414">
        <v>2.25E-5</v>
      </c>
      <c r="K49" s="413">
        <v>2.4</v>
      </c>
      <c r="L49" s="413">
        <v>0.83</v>
      </c>
      <c r="M49" s="413">
        <v>310.0</v>
      </c>
      <c r="N49" s="421">
        <v>0.011</v>
      </c>
      <c r="O49" s="413">
        <v>5.0</v>
      </c>
      <c r="P49" s="413">
        <v>0.0064</v>
      </c>
      <c r="Q49" s="416">
        <v>1.85E-5</v>
      </c>
      <c r="R49" s="413">
        <v>2.0</v>
      </c>
      <c r="S49" s="413">
        <f>RECAP!$AB$7</f>
        <v>6.35</v>
      </c>
      <c r="T49" s="14">
        <f>IF(A49="","",ARBITRAGES!M49)</f>
        <v>408.193639</v>
      </c>
      <c r="U49" s="417">
        <f>IF(A49="","",B49*'QUANTITE DETENUES'!B49+'QUANTITE DETENUES'!C49*C49+'QUANTITE DETENUES'!D49*D49+E49*'QUANTITE DETENUES'!E49+'QUANTITE DETENUES'!F49*F49+G49*'QUANTITE DETENUES'!G49+'QUANTITE DETENUES'!H49*H49+I49*'QUANTITE DETENUES'!I49+'QUANTITE DETENUES'!J49*J49+K49*'QUANTITE DETENUES'!K49+'QUANTITE DETENUES'!L49*L49+M49*'QUANTITE DETENUES'!M49+'QUANTITE DETENUES'!N49*N49+O49*'QUANTITE DETENUES'!O49+T49+P49*'QUANTITE DETENUES'!P49+'QUANTITE DETENUES'!Q49*Q49+R49*'QUANTITE DETENUES'!R49+'QUANTITE DETENUES'!S49*S49)</f>
        <v>54086.40919</v>
      </c>
      <c r="V49" s="288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  <c r="AL49" s="289"/>
      <c r="AM49" s="289"/>
    </row>
    <row r="50">
      <c r="A50" s="409">
        <f>IF(ARBITRAGES!E50="","",ARBITRAGES!E50)</f>
        <v>45658</v>
      </c>
      <c r="B50" s="33">
        <v>89000.0</v>
      </c>
      <c r="C50" s="33">
        <v>3200.0</v>
      </c>
      <c r="D50" s="412">
        <v>5.6</v>
      </c>
      <c r="E50" s="33">
        <v>200.0</v>
      </c>
      <c r="F50" s="33">
        <v>500.0</v>
      </c>
      <c r="G50" s="412">
        <v>2.0</v>
      </c>
      <c r="H50" s="412">
        <v>21.0</v>
      </c>
      <c r="I50" s="413">
        <v>0.35</v>
      </c>
      <c r="J50" s="414">
        <v>2.0E-5</v>
      </c>
      <c r="K50" s="413">
        <v>2.35</v>
      </c>
      <c r="L50" s="413">
        <v>0.864</v>
      </c>
      <c r="M50" s="413">
        <v>320.0</v>
      </c>
      <c r="N50" s="415">
        <v>0.01</v>
      </c>
      <c r="O50" s="413">
        <v>4.8</v>
      </c>
      <c r="P50" s="413">
        <v>7.0E-4</v>
      </c>
      <c r="Q50" s="416">
        <v>2.0E-5</v>
      </c>
      <c r="R50" s="413">
        <v>1.7</v>
      </c>
      <c r="S50" s="413">
        <f>RECAP!$AB$7</f>
        <v>6.35</v>
      </c>
      <c r="T50" s="14">
        <f>IF(A50="","",ARBITRAGES!M50)</f>
        <v>206.918639</v>
      </c>
      <c r="U50" s="417">
        <f>IF(A50="","",B50*'QUANTITE DETENUES'!B50+'QUANTITE DETENUES'!C50*C50+'QUANTITE DETENUES'!D50*D50+E50*'QUANTITE DETENUES'!E50+'QUANTITE DETENUES'!F50*F50+G50*'QUANTITE DETENUES'!G50+'QUANTITE DETENUES'!H50*H50+I50*'QUANTITE DETENUES'!I50+'QUANTITE DETENUES'!J50*J50+K50*'QUANTITE DETENUES'!K50+'QUANTITE DETENUES'!L50*L50+M50*'QUANTITE DETENUES'!M50+'QUANTITE DETENUES'!N50*N50+O50*'QUANTITE DETENUES'!O50+T50+P50*'QUANTITE DETENUES'!P50+'QUANTITE DETENUES'!Q50*Q50+R50*'QUANTITE DETENUES'!R50+'QUANTITE DETENUES'!S50*S50)</f>
        <v>52919.58283</v>
      </c>
      <c r="V50" s="288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  <c r="AL50" s="289"/>
      <c r="AM50" s="289"/>
    </row>
    <row r="51">
      <c r="A51" s="409">
        <f>IF(ARBITRAGES!E51="","",ARBITRAGES!E51)</f>
        <v>45666</v>
      </c>
      <c r="B51" s="33">
        <v>92000.0</v>
      </c>
      <c r="C51" s="33">
        <v>3400.0</v>
      </c>
      <c r="D51" s="412">
        <v>5.4</v>
      </c>
      <c r="E51" s="33">
        <v>240.0</v>
      </c>
      <c r="F51" s="33">
        <v>460.0</v>
      </c>
      <c r="G51" s="412">
        <v>1.8</v>
      </c>
      <c r="H51" s="412">
        <v>24.5</v>
      </c>
      <c r="I51" s="413">
        <v>0.4</v>
      </c>
      <c r="J51" s="414">
        <v>2.9E-5</v>
      </c>
      <c r="K51" s="413">
        <v>2.45</v>
      </c>
      <c r="L51" s="413">
        <v>1.0</v>
      </c>
      <c r="M51" s="413">
        <v>320.0</v>
      </c>
      <c r="N51" s="415">
        <v>0.011</v>
      </c>
      <c r="O51" s="413">
        <v>4.07</v>
      </c>
      <c r="P51" s="413">
        <v>0.0057</v>
      </c>
      <c r="Q51" s="416">
        <v>1.9E-5</v>
      </c>
      <c r="R51" s="413">
        <v>1.85</v>
      </c>
      <c r="S51" s="413">
        <f>RECAP!$AB$7</f>
        <v>6.35</v>
      </c>
      <c r="T51" s="14">
        <f>IF(A51="","",ARBITRAGES!M51)</f>
        <v>13.41863902</v>
      </c>
      <c r="U51" s="417">
        <f>IF(A51="","",B51*'QUANTITE DETENUES'!B51+'QUANTITE DETENUES'!C51*C51+'QUANTITE DETENUES'!D51*D51+E51*'QUANTITE DETENUES'!E51+'QUANTITE DETENUES'!F51*F51+G51*'QUANTITE DETENUES'!G51+'QUANTITE DETENUES'!H51*H51+I51*'QUANTITE DETENUES'!I51+'QUANTITE DETENUES'!J51*J51+K51*'QUANTITE DETENUES'!K51+'QUANTITE DETENUES'!L51*L51+M51*'QUANTITE DETENUES'!M51+'QUANTITE DETENUES'!N51*N51+O51*'QUANTITE DETENUES'!O51+T51+P51*'QUANTITE DETENUES'!P51+'QUANTITE DETENUES'!Q51*Q51+R51*'QUANTITE DETENUES'!R51+'QUANTITE DETENUES'!S51*S51)</f>
        <v>55303.26532</v>
      </c>
      <c r="V51" s="288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  <c r="AL51" s="289"/>
      <c r="AM51" s="289"/>
    </row>
    <row r="52">
      <c r="A52" s="409">
        <f>IF(ARBITRAGES!E52="","",ARBITRAGES!E52)</f>
        <v>45676</v>
      </c>
      <c r="B52" s="33">
        <v>90000.0</v>
      </c>
      <c r="C52" s="33">
        <v>3200.0</v>
      </c>
      <c r="D52" s="412">
        <v>5.5</v>
      </c>
      <c r="E52" s="33">
        <v>275.0</v>
      </c>
      <c r="F52" s="33">
        <v>430.0</v>
      </c>
      <c r="G52" s="412">
        <v>1.7</v>
      </c>
      <c r="H52" s="412">
        <v>23.0</v>
      </c>
      <c r="I52" s="413">
        <v>0.375</v>
      </c>
      <c r="J52" s="414">
        <v>2.9E-5</v>
      </c>
      <c r="K52" s="413">
        <v>2.3</v>
      </c>
      <c r="L52" s="413">
        <v>1.15</v>
      </c>
      <c r="M52" s="413">
        <v>300.0</v>
      </c>
      <c r="N52" s="415">
        <v>0.011</v>
      </c>
      <c r="O52" s="413">
        <v>3.75</v>
      </c>
      <c r="P52" s="413">
        <v>0.0054</v>
      </c>
      <c r="Q52" s="416">
        <v>1.7E-5</v>
      </c>
      <c r="R52" s="413">
        <v>1.65</v>
      </c>
      <c r="S52" s="413">
        <f>RECAP!$AB$7</f>
        <v>6.35</v>
      </c>
      <c r="T52" s="14">
        <f>IF(A52="","",ARBITRAGES!M52)</f>
        <v>293.418639</v>
      </c>
      <c r="U52" s="417">
        <f>IF(A52="","",B52*'QUANTITE DETENUES'!B52+'QUANTITE DETENUES'!C52*C52+'QUANTITE DETENUES'!D52*D52+E52*'QUANTITE DETENUES'!E52+'QUANTITE DETENUES'!F52*F52+G52*'QUANTITE DETENUES'!G52+'QUANTITE DETENUES'!H52*H52+I52*'QUANTITE DETENUES'!I52+'QUANTITE DETENUES'!J52*J52+K52*'QUANTITE DETENUES'!K52+'QUANTITE DETENUES'!L52*L52+M52*'QUANTITE DETENUES'!M52+'QUANTITE DETENUES'!N52*N52+O52*'QUANTITE DETENUES'!O52+T52+P52*'QUANTITE DETENUES'!P52+'QUANTITE DETENUES'!Q52*Q52+R52*'QUANTITE DETENUES'!R52+'QUANTITE DETENUES'!S52*S52)</f>
        <v>54210.27247</v>
      </c>
      <c r="V52" s="288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  <c r="AL52" s="289"/>
      <c r="AM52" s="289"/>
    </row>
    <row r="53">
      <c r="A53" s="409">
        <f>IF(ARBITRAGES!E53="","",ARBITRAGES!E53)</f>
        <v>45677</v>
      </c>
      <c r="B53" s="33">
        <v>92000.0</v>
      </c>
      <c r="C53" s="33">
        <v>3300.0</v>
      </c>
      <c r="D53" s="412">
        <v>5.2</v>
      </c>
      <c r="E53" s="33">
        <v>250.0</v>
      </c>
      <c r="F53" s="33">
        <v>375.0</v>
      </c>
      <c r="G53" s="412">
        <v>1.7</v>
      </c>
      <c r="H53" s="412">
        <v>25.55</v>
      </c>
      <c r="I53" s="413">
        <v>0.355</v>
      </c>
      <c r="J53" s="414">
        <v>2.1E-5</v>
      </c>
      <c r="K53" s="413">
        <v>2.17</v>
      </c>
      <c r="L53" s="413">
        <v>0.788</v>
      </c>
      <c r="M53" s="413">
        <v>330.0</v>
      </c>
      <c r="N53" s="415">
        <v>0.01</v>
      </c>
      <c r="O53" s="413">
        <v>3.45</v>
      </c>
      <c r="P53" s="413">
        <v>0.004</v>
      </c>
      <c r="Q53" s="416">
        <v>1.5E-5</v>
      </c>
      <c r="R53" s="413">
        <v>1.4</v>
      </c>
      <c r="S53" s="413">
        <v>8.25</v>
      </c>
      <c r="T53" s="14">
        <f>IF(A53="","",ARBITRAGES!M53)</f>
        <v>14.01863902</v>
      </c>
      <c r="U53" s="417">
        <f>IF(A53="","",B53*'QUANTITE DETENUES'!B53+'QUANTITE DETENUES'!C53*C53+'QUANTITE DETENUES'!D53*D53+E53*'QUANTITE DETENUES'!E53+'QUANTITE DETENUES'!F53*F53+G53*'QUANTITE DETENUES'!G53+'QUANTITE DETENUES'!H53*H53+I53*'QUANTITE DETENUES'!I53+'QUANTITE DETENUES'!J53*J53+K53*'QUANTITE DETENUES'!K53+'QUANTITE DETENUES'!L53*L53+M53*'QUANTITE DETENUES'!M53+'QUANTITE DETENUES'!N53*N53+O53*'QUANTITE DETENUES'!O53+T53+P53*'QUANTITE DETENUES'!P53+'QUANTITE DETENUES'!Q53*Q53+R53*'QUANTITE DETENUES'!R53+'QUANTITE DETENUES'!S53*S53)</f>
        <v>53954.96817</v>
      </c>
      <c r="V53" s="288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</row>
    <row r="54">
      <c r="A54" s="409">
        <f>IF(ARBITRAGES!E54="","",ARBITRAGES!E54)</f>
        <v>45718</v>
      </c>
      <c r="B54" s="33">
        <v>94000.0</v>
      </c>
      <c r="C54" s="33">
        <v>3000.0</v>
      </c>
      <c r="D54" s="412">
        <v>4.2</v>
      </c>
      <c r="E54" s="33">
        <v>215.0</v>
      </c>
      <c r="F54" s="33">
        <v>330.0</v>
      </c>
      <c r="G54" s="412">
        <v>1.2</v>
      </c>
      <c r="H54" s="412">
        <v>18.0</v>
      </c>
      <c r="I54" s="413">
        <v>0.3</v>
      </c>
      <c r="J54" s="414">
        <v>1.6E-5</v>
      </c>
      <c r="K54" s="413">
        <v>2.1</v>
      </c>
      <c r="L54" s="413">
        <v>0.854</v>
      </c>
      <c r="M54" s="413">
        <v>300.0</v>
      </c>
      <c r="N54" s="415">
        <v>0.008</v>
      </c>
      <c r="O54" s="413">
        <v>3.0</v>
      </c>
      <c r="P54" s="413">
        <v>0.004</v>
      </c>
      <c r="Q54" s="416">
        <v>1.0E-5</v>
      </c>
      <c r="R54" s="413">
        <v>1.0</v>
      </c>
      <c r="S54" s="413">
        <v>3.0</v>
      </c>
      <c r="T54" s="14">
        <f>IF(A54="","",ARBITRAGES!M54)</f>
        <v>2376.018639</v>
      </c>
      <c r="U54" s="417">
        <f>IF(A54="","",B54*'QUANTITE DETENUES'!B54+'QUANTITE DETENUES'!C54*C54+'QUANTITE DETENUES'!D54*D54+E54*'QUANTITE DETENUES'!E54+'QUANTITE DETENUES'!F54*F54+G54*'QUANTITE DETENUES'!G54+'QUANTITE DETENUES'!H54*H54+I54*'QUANTITE DETENUES'!I54+'QUANTITE DETENUES'!J54*J54+K54*'QUANTITE DETENUES'!K54+'QUANTITE DETENUES'!L54*L54+M54*'QUANTITE DETENUES'!M54+'QUANTITE DETENUES'!N54*N54+O54*'QUANTITE DETENUES'!O54+T54+P54*'QUANTITE DETENUES'!P54+'QUANTITE DETENUES'!Q54*Q54+R54*'QUANTITE DETENUES'!R54+'QUANTITE DETENUES'!S54*S54)</f>
        <v>50501.98855</v>
      </c>
      <c r="V54" s="288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  <c r="AK54" s="289"/>
      <c r="AL54" s="289"/>
      <c r="AM54" s="289"/>
    </row>
    <row r="55">
      <c r="A55" s="409">
        <f>IF(ARBITRAGES!E55="","",ARBITRAGES!E55)</f>
        <v>45719</v>
      </c>
      <c r="B55" s="33">
        <v>88000.0</v>
      </c>
      <c r="C55" s="33">
        <v>2740.0</v>
      </c>
      <c r="D55" s="412">
        <v>3.4</v>
      </c>
      <c r="E55" s="33">
        <v>193.0</v>
      </c>
      <c r="F55" s="33">
        <v>310.0</v>
      </c>
      <c r="G55" s="412">
        <v>1.0</v>
      </c>
      <c r="H55" s="412">
        <v>15.5</v>
      </c>
      <c r="I55" s="413">
        <v>0.22</v>
      </c>
      <c r="J55" s="414">
        <v>1.45E-5</v>
      </c>
      <c r="K55" s="413">
        <v>2.0</v>
      </c>
      <c r="L55" s="413">
        <v>0.75</v>
      </c>
      <c r="M55" s="413">
        <v>200.0</v>
      </c>
      <c r="N55" s="415">
        <v>0.006</v>
      </c>
      <c r="O55" s="413">
        <v>2.5</v>
      </c>
      <c r="P55" s="413">
        <v>0.004</v>
      </c>
      <c r="Q55" s="416">
        <v>8.0E-6</v>
      </c>
      <c r="R55" s="413">
        <v>0.7</v>
      </c>
      <c r="S55" s="413">
        <v>2.5</v>
      </c>
      <c r="T55" s="14">
        <f>IF(A55="","",ARBITRAGES!M55)</f>
        <v>2001.018639</v>
      </c>
      <c r="U55" s="417">
        <f>IF(A55="","",B55*'QUANTITE DETENUES'!B55+'QUANTITE DETENUES'!C55*C55+'QUANTITE DETENUES'!D55*D55+E55*'QUANTITE DETENUES'!E55+'QUANTITE DETENUES'!F55*F55+G55*'QUANTITE DETENUES'!G55+'QUANTITE DETENUES'!H55*H55+I55*'QUANTITE DETENUES'!I55+'QUANTITE DETENUES'!J55*J55+K55*'QUANTITE DETENUES'!K55+'QUANTITE DETENUES'!L55*L55+M55*'QUANTITE DETENUES'!M55+'QUANTITE DETENUES'!N55*N55+O55*'QUANTITE DETENUES'!O55+T55+P55*'QUANTITE DETENUES'!P55+'QUANTITE DETENUES'!Q55*Q55+R55*'QUANTITE DETENUES'!R55+'QUANTITE DETENUES'!S55*S55)</f>
        <v>46003.50692</v>
      </c>
      <c r="V55" s="288"/>
      <c r="W55" s="289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89"/>
      <c r="AL55" s="289"/>
      <c r="AM55" s="289"/>
    </row>
    <row r="56">
      <c r="A56" s="409">
        <f>IF(ARBITRAGES!E56="","",ARBITRAGES!E56)</f>
        <v>45719</v>
      </c>
      <c r="B56" s="33">
        <v>88000.0</v>
      </c>
      <c r="C56" s="33">
        <v>2740.0</v>
      </c>
      <c r="D56" s="412">
        <v>3.4</v>
      </c>
      <c r="E56" s="33">
        <v>193.0</v>
      </c>
      <c r="F56" s="33">
        <v>310.0</v>
      </c>
      <c r="G56" s="412">
        <v>1.0</v>
      </c>
      <c r="H56" s="412">
        <v>15.5</v>
      </c>
      <c r="I56" s="413">
        <v>0.22</v>
      </c>
      <c r="J56" s="414">
        <v>1.45E-5</v>
      </c>
      <c r="K56" s="413">
        <v>2.0</v>
      </c>
      <c r="L56" s="413">
        <v>0.75</v>
      </c>
      <c r="M56" s="413">
        <v>200.0</v>
      </c>
      <c r="N56" s="415">
        <v>0.006</v>
      </c>
      <c r="O56" s="413">
        <v>2.5</v>
      </c>
      <c r="P56" s="413">
        <v>0.004</v>
      </c>
      <c r="Q56" s="416">
        <v>8.0E-6</v>
      </c>
      <c r="R56" s="413">
        <v>0.7</v>
      </c>
      <c r="S56" s="413">
        <v>2.5</v>
      </c>
      <c r="T56" s="14">
        <f>IF(A56="","",ARBITRAGES!M56)</f>
        <v>1874.268639</v>
      </c>
      <c r="U56" s="417">
        <f>IF(A56="","",B56*'QUANTITE DETENUES'!B56+'QUANTITE DETENUES'!C56*C56+'QUANTITE DETENUES'!D56*D56+E56*'QUANTITE DETENUES'!E56+'QUANTITE DETENUES'!F56*F56+G56*'QUANTITE DETENUES'!G56+'QUANTITE DETENUES'!H56*H56+I56*'QUANTITE DETENUES'!I56+'QUANTITE DETENUES'!J56*J56+K56*'QUANTITE DETENUES'!K56+'QUANTITE DETENUES'!L56*L56+M56*'QUANTITE DETENUES'!M56+'QUANTITE DETENUES'!N56*N56+O56*'QUANTITE DETENUES'!O56+T56+P56*'QUANTITE DETENUES'!P56+'QUANTITE DETENUES'!Q56*Q56+R56*'QUANTITE DETENUES'!R56+'QUANTITE DETENUES'!S56*S56)</f>
        <v>46010.47398</v>
      </c>
      <c r="V56" s="288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  <c r="AK56" s="289"/>
      <c r="AL56" s="289"/>
      <c r="AM56" s="289"/>
    </row>
    <row r="57">
      <c r="A57" s="409">
        <f>IF(ARBITRAGES!E57="","",ARBITRAGES!E57)</f>
        <v>45719</v>
      </c>
      <c r="B57" s="33">
        <v>88000.0</v>
      </c>
      <c r="C57" s="33">
        <v>2740.0</v>
      </c>
      <c r="D57" s="412">
        <v>3.4</v>
      </c>
      <c r="E57" s="33">
        <v>193.0</v>
      </c>
      <c r="F57" s="33">
        <v>310.0</v>
      </c>
      <c r="G57" s="412">
        <v>1.0</v>
      </c>
      <c r="H57" s="412">
        <v>15.5</v>
      </c>
      <c r="I57" s="413">
        <v>0.22</v>
      </c>
      <c r="J57" s="414">
        <v>1.45E-5</v>
      </c>
      <c r="K57" s="413">
        <v>2.0</v>
      </c>
      <c r="L57" s="413">
        <v>0.75</v>
      </c>
      <c r="M57" s="413">
        <v>200.0</v>
      </c>
      <c r="N57" s="415">
        <v>0.006</v>
      </c>
      <c r="O57" s="413">
        <v>2.5</v>
      </c>
      <c r="P57" s="413">
        <v>0.004</v>
      </c>
      <c r="Q57" s="416">
        <v>8.0E-6</v>
      </c>
      <c r="R57" s="413">
        <v>0.7</v>
      </c>
      <c r="S57" s="413">
        <v>2.5</v>
      </c>
      <c r="T57" s="14">
        <f>IF(A57="","",ARBITRAGES!M57)</f>
        <v>1574.268639</v>
      </c>
      <c r="U57" s="417">
        <f>IF(A57="","",B57*'QUANTITE DETENUES'!B57+'QUANTITE DETENUES'!C57*C57+'QUANTITE DETENUES'!D57*D57+E57*'QUANTITE DETENUES'!E57+'QUANTITE DETENUES'!F57*F57+G57*'QUANTITE DETENUES'!G57+'QUANTITE DETENUES'!H57*H57+I57*'QUANTITE DETENUES'!I57+'QUANTITE DETENUES'!J57*J57+K57*'QUANTITE DETENUES'!K57+'QUANTITE DETENUES'!L57*L57+M57*'QUANTITE DETENUES'!M57+'QUANTITE DETENUES'!N57*N57+O57*'QUANTITE DETENUES'!O57+T57+P57*'QUANTITE DETENUES'!P57+'QUANTITE DETENUES'!Q57*Q57+R57*'QUANTITE DETENUES'!R57+'QUANTITE DETENUES'!S57*S57)</f>
        <v>46015.67629</v>
      </c>
      <c r="V57" s="288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</row>
    <row r="58">
      <c r="A58" s="409">
        <f>IF(ARBITRAGES!E58="","",ARBITRAGES!E58)</f>
        <v>45719</v>
      </c>
      <c r="B58" s="33">
        <v>88000.0</v>
      </c>
      <c r="C58" s="33">
        <v>2740.0</v>
      </c>
      <c r="D58" s="412">
        <v>3.4</v>
      </c>
      <c r="E58" s="33">
        <v>193.0</v>
      </c>
      <c r="F58" s="33">
        <v>310.0</v>
      </c>
      <c r="G58" s="412">
        <v>1.0</v>
      </c>
      <c r="H58" s="412">
        <v>15.5</v>
      </c>
      <c r="I58" s="413">
        <v>0.22</v>
      </c>
      <c r="J58" s="414">
        <v>1.45E-5</v>
      </c>
      <c r="K58" s="413">
        <v>2.0</v>
      </c>
      <c r="L58" s="413">
        <v>0.75</v>
      </c>
      <c r="M58" s="413">
        <v>200.0</v>
      </c>
      <c r="N58" s="415">
        <v>0.006</v>
      </c>
      <c r="O58" s="413">
        <v>2.5</v>
      </c>
      <c r="P58" s="413">
        <v>0.004</v>
      </c>
      <c r="Q58" s="416">
        <v>8.0E-6</v>
      </c>
      <c r="R58" s="413">
        <v>0.7</v>
      </c>
      <c r="S58" s="413">
        <v>2.5</v>
      </c>
      <c r="T58" s="14">
        <f>IF(A58="","",ARBITRAGES!M58)</f>
        <v>1015.268639</v>
      </c>
      <c r="U58" s="417">
        <f>IF(A58="","",B58*'QUANTITE DETENUES'!B58+'QUANTITE DETENUES'!C58*C58+'QUANTITE DETENUES'!D58*D58+E58*'QUANTITE DETENUES'!E58+'QUANTITE DETENUES'!F58*F58+G58*'QUANTITE DETENUES'!G58+'QUANTITE DETENUES'!H58*H58+I58*'QUANTITE DETENUES'!I58+'QUANTITE DETENUES'!J58*J58+K58*'QUANTITE DETENUES'!K58+'QUANTITE DETENUES'!L58*L58+M58*'QUANTITE DETENUES'!M58+'QUANTITE DETENUES'!N58*N58+O58*'QUANTITE DETENUES'!O58+T58+P58*'QUANTITE DETENUES'!P58+'QUANTITE DETENUES'!Q58*Q58+R58*'QUANTITE DETENUES'!R58+'QUANTITE DETENUES'!S58*S58)</f>
        <v>46028.67629</v>
      </c>
      <c r="V58" s="288"/>
      <c r="W58" s="289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  <c r="AK58" s="289"/>
      <c r="AL58" s="289"/>
      <c r="AM58" s="289"/>
    </row>
    <row r="59">
      <c r="A59" s="409">
        <f>IF(ARBITRAGES!E59="","",ARBITRAGES!E59)</f>
        <v>45720</v>
      </c>
      <c r="B59" s="33">
        <v>86000.0</v>
      </c>
      <c r="C59" s="33">
        <v>2500.0</v>
      </c>
      <c r="D59" s="412">
        <v>3.1</v>
      </c>
      <c r="E59" s="33">
        <v>155.0</v>
      </c>
      <c r="F59" s="33">
        <v>310.0</v>
      </c>
      <c r="G59" s="412">
        <v>0.95</v>
      </c>
      <c r="H59" s="412">
        <v>16.1</v>
      </c>
      <c r="I59" s="413">
        <v>0.21</v>
      </c>
      <c r="J59" s="414">
        <v>1.35E-5</v>
      </c>
      <c r="K59" s="413">
        <v>1.8</v>
      </c>
      <c r="L59" s="413">
        <v>0.64</v>
      </c>
      <c r="M59" s="413">
        <v>220.0</v>
      </c>
      <c r="N59" s="415">
        <v>0.0062</v>
      </c>
      <c r="O59" s="413">
        <v>2.5</v>
      </c>
      <c r="P59" s="413">
        <v>0.00165</v>
      </c>
      <c r="Q59" s="416">
        <v>8.0E-6</v>
      </c>
      <c r="R59" s="413">
        <v>0.6</v>
      </c>
      <c r="S59" s="413">
        <v>2.2</v>
      </c>
      <c r="T59" s="14">
        <f>IF(A59="","",ARBITRAGES!M59)</f>
        <v>940.268639</v>
      </c>
      <c r="U59" s="417">
        <f>IF(A59="","",B59*'QUANTITE DETENUES'!B59+'QUANTITE DETENUES'!C59*C59+'QUANTITE DETENUES'!D59*D59+E59*'QUANTITE DETENUES'!E59+'QUANTITE DETENUES'!F59*F59+G59*'QUANTITE DETENUES'!G59+'QUANTITE DETENUES'!H59*H59+I59*'QUANTITE DETENUES'!I59+'QUANTITE DETENUES'!J59*J59+K59*'QUANTITE DETENUES'!K59+'QUANTITE DETENUES'!L59*L59+M59*'QUANTITE DETENUES'!M59+'QUANTITE DETENUES'!N59*N59+O59*'QUANTITE DETENUES'!O59+T59+P59*'QUANTITE DETENUES'!P59+'QUANTITE DETENUES'!Q59*Q59+R59*'QUANTITE DETENUES'!R59+'QUANTITE DETENUES'!S59*S59)</f>
        <v>44004.98237</v>
      </c>
      <c r="V59" s="288"/>
      <c r="W59" s="289"/>
      <c r="X59" s="289"/>
      <c r="Y59" s="289"/>
      <c r="Z59" s="289"/>
      <c r="AA59" s="289"/>
      <c r="AB59" s="289"/>
      <c r="AC59" s="289"/>
      <c r="AD59" s="289"/>
      <c r="AE59" s="289"/>
      <c r="AF59" s="289"/>
      <c r="AG59" s="289"/>
      <c r="AH59" s="289"/>
      <c r="AI59" s="289"/>
      <c r="AJ59" s="289"/>
      <c r="AK59" s="289"/>
      <c r="AL59" s="289"/>
      <c r="AM59" s="289"/>
    </row>
    <row r="60">
      <c r="A60" s="409">
        <f>IF(ARBITRAGES!E60="","",ARBITRAGES!E60)</f>
        <v>45725</v>
      </c>
      <c r="B60" s="33">
        <v>85000.0</v>
      </c>
      <c r="C60" s="33">
        <v>2200.0</v>
      </c>
      <c r="D60" s="412">
        <v>2.9</v>
      </c>
      <c r="E60" s="33">
        <v>140.0</v>
      </c>
      <c r="F60" s="33">
        <v>300.0</v>
      </c>
      <c r="G60" s="412">
        <v>0.86</v>
      </c>
      <c r="H60" s="412">
        <v>15.0</v>
      </c>
      <c r="I60" s="413">
        <v>0.2</v>
      </c>
      <c r="J60" s="414">
        <v>1.3E-5</v>
      </c>
      <c r="K60" s="413">
        <v>1.65</v>
      </c>
      <c r="L60" s="413">
        <v>0.58</v>
      </c>
      <c r="M60" s="413">
        <v>200.0</v>
      </c>
      <c r="N60" s="415">
        <v>0.0055</v>
      </c>
      <c r="O60" s="413">
        <v>2.3</v>
      </c>
      <c r="P60" s="413">
        <v>0.0014</v>
      </c>
      <c r="Q60" s="416">
        <v>7.0E-6</v>
      </c>
      <c r="R60" s="413">
        <v>0.5</v>
      </c>
      <c r="S60" s="413">
        <v>1.8</v>
      </c>
      <c r="T60" s="14">
        <f>IF(A60="","",ARBITRAGES!M60)</f>
        <v>852.868639</v>
      </c>
      <c r="U60" s="417">
        <f>IF(A60="","",B60*'QUANTITE DETENUES'!B60+'QUANTITE DETENUES'!C60*C60+'QUANTITE DETENUES'!D60*D60+E60*'QUANTITE DETENUES'!E60+'QUANTITE DETENUES'!F60*F60+G60*'QUANTITE DETENUES'!G60+'QUANTITE DETENUES'!H60*H60+I60*'QUANTITE DETENUES'!I60+'QUANTITE DETENUES'!J60*J60+K60*'QUANTITE DETENUES'!K60+'QUANTITE DETENUES'!L60*L60+M60*'QUANTITE DETENUES'!M60+'QUANTITE DETENUES'!N60*N60+O60*'QUANTITE DETENUES'!O60+T60+P60*'QUANTITE DETENUES'!P60+'QUANTITE DETENUES'!Q60*Q60+R60*'QUANTITE DETENUES'!R60+'QUANTITE DETENUES'!S60*S60)</f>
        <v>42004.47623</v>
      </c>
      <c r="V60" s="288"/>
      <c r="W60" s="289"/>
      <c r="X60" s="289"/>
      <c r="Y60" s="289"/>
      <c r="Z60" s="289"/>
      <c r="AA60" s="289"/>
      <c r="AB60" s="289"/>
      <c r="AC60" s="289"/>
      <c r="AD60" s="289"/>
      <c r="AE60" s="289"/>
      <c r="AF60" s="289"/>
      <c r="AG60" s="289"/>
      <c r="AH60" s="289"/>
      <c r="AI60" s="289"/>
      <c r="AJ60" s="289"/>
      <c r="AK60" s="289"/>
      <c r="AL60" s="289"/>
      <c r="AM60" s="289"/>
    </row>
    <row r="61">
      <c r="A61" s="409">
        <f>IF(ARBITRAGES!E61="","",ARBITRAGES!E61)</f>
        <v>45734</v>
      </c>
      <c r="B61" s="33">
        <v>93000.0</v>
      </c>
      <c r="C61" s="33">
        <v>2000.0</v>
      </c>
      <c r="D61" s="412">
        <v>3.6</v>
      </c>
      <c r="E61" s="33">
        <v>131.0</v>
      </c>
      <c r="F61" s="33">
        <v>255.0</v>
      </c>
      <c r="G61" s="412">
        <v>0.8</v>
      </c>
      <c r="H61" s="412">
        <v>14.5</v>
      </c>
      <c r="I61" s="413">
        <v>0.17</v>
      </c>
      <c r="J61" s="414">
        <v>1.3E-5</v>
      </c>
      <c r="K61" s="413">
        <v>2.7</v>
      </c>
      <c r="L61" s="413">
        <v>0.53</v>
      </c>
      <c r="M61" s="413">
        <v>182.0</v>
      </c>
      <c r="N61" s="415">
        <v>0.0055</v>
      </c>
      <c r="O61" s="413">
        <v>2.7</v>
      </c>
      <c r="P61" s="413">
        <v>0.0015</v>
      </c>
      <c r="Q61" s="416">
        <v>7.5E-6</v>
      </c>
      <c r="R61" s="413">
        <v>0.52</v>
      </c>
      <c r="S61" s="413">
        <v>1.8</v>
      </c>
      <c r="T61" s="14">
        <f>IF(A61="","",ARBITRAGES!M61)</f>
        <v>1205.368639</v>
      </c>
      <c r="U61" s="417">
        <f>IF(A61="","",B61*'QUANTITE DETENUES'!B61+'QUANTITE DETENUES'!C61*C61+'QUANTITE DETENUES'!D61*D61+E61*'QUANTITE DETENUES'!E61+'QUANTITE DETENUES'!F61*F61+G61*'QUANTITE DETENUES'!G61+'QUANTITE DETENUES'!H61*H61+I61*'QUANTITE DETENUES'!I61+'QUANTITE DETENUES'!J61*J61+K61*'QUANTITE DETENUES'!K61+'QUANTITE DETENUES'!L61*L61+M61*'QUANTITE DETENUES'!M61+'QUANTITE DETENUES'!N61*N61+O61*'QUANTITE DETENUES'!O61+T61+P61*'QUANTITE DETENUES'!P61+'QUANTITE DETENUES'!Q61*Q61+R61*'QUANTITE DETENUES'!R61+'QUANTITE DETENUES'!S61*S61)</f>
        <v>43548.6634</v>
      </c>
      <c r="V61" s="288"/>
      <c r="W61" s="289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89"/>
      <c r="AJ61" s="289"/>
      <c r="AK61" s="289"/>
      <c r="AL61" s="289"/>
      <c r="AM61" s="289"/>
    </row>
    <row r="62">
      <c r="A62" s="409">
        <f>IF(ARBITRAGES!E62="","",ARBITRAGES!E62)</f>
        <v>45749</v>
      </c>
      <c r="B62" s="33">
        <v>87000.0</v>
      </c>
      <c r="C62" s="33">
        <v>1800.0</v>
      </c>
      <c r="D62" s="412">
        <v>3.25</v>
      </c>
      <c r="E62" s="33">
        <v>120.0</v>
      </c>
      <c r="F62" s="33">
        <v>220.0</v>
      </c>
      <c r="G62" s="412">
        <v>0.651</v>
      </c>
      <c r="H62" s="412">
        <v>13.0</v>
      </c>
      <c r="I62" s="413">
        <v>0.17</v>
      </c>
      <c r="J62" s="414">
        <v>1.25E-5</v>
      </c>
      <c r="K62" s="413">
        <v>1.8</v>
      </c>
      <c r="L62" s="413">
        <v>0.4</v>
      </c>
      <c r="M62" s="413">
        <v>155.0</v>
      </c>
      <c r="N62" s="415">
        <v>0.005</v>
      </c>
      <c r="O62" s="413">
        <v>3.0</v>
      </c>
      <c r="P62" s="413">
        <v>0.00125</v>
      </c>
      <c r="Q62" s="416">
        <v>7.5E-6</v>
      </c>
      <c r="R62" s="413">
        <v>0.4</v>
      </c>
      <c r="S62" s="413">
        <v>1.8</v>
      </c>
      <c r="T62" s="14">
        <f>IF(A62="","",ARBITRAGES!M62)</f>
        <v>2965.368639</v>
      </c>
      <c r="U62" s="417">
        <f>IF(A62="","",B62*'QUANTITE DETENUES'!B62+'QUANTITE DETENUES'!C62*C62+'QUANTITE DETENUES'!D62*D62+E62*'QUANTITE DETENUES'!E62+'QUANTITE DETENUES'!F62*F62+G62*'QUANTITE DETENUES'!G62+'QUANTITE DETENUES'!H62*H62+I62*'QUANTITE DETENUES'!I62+'QUANTITE DETENUES'!J62*J62+K62*'QUANTITE DETENUES'!K62+'QUANTITE DETENUES'!L62*L62+M62*'QUANTITE DETENUES'!M62+'QUANTITE DETENUES'!N62*N62+O62*'QUANTITE DETENUES'!O62+T62+P62*'QUANTITE DETENUES'!P62+'QUANTITE DETENUES'!Q62*Q62+R62*'QUANTITE DETENUES'!R62+'QUANTITE DETENUES'!S62*S62)</f>
        <v>40154.82361</v>
      </c>
      <c r="V62" s="288"/>
      <c r="W62" s="289"/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  <c r="AH62" s="289"/>
      <c r="AI62" s="289"/>
      <c r="AJ62" s="289"/>
      <c r="AK62" s="289"/>
      <c r="AL62" s="289"/>
      <c r="AM62" s="289"/>
    </row>
    <row r="63">
      <c r="A63" s="409">
        <f>IF(ARBITRAGES!E63="","",ARBITRAGES!E63)</f>
        <v>45751</v>
      </c>
      <c r="B63" s="33">
        <v>83000.0</v>
      </c>
      <c r="C63" s="33">
        <v>1800.0</v>
      </c>
      <c r="D63" s="412">
        <v>3.25</v>
      </c>
      <c r="E63" s="33">
        <v>120.0</v>
      </c>
      <c r="F63" s="33">
        <v>220.0</v>
      </c>
      <c r="G63" s="412">
        <v>0.651</v>
      </c>
      <c r="H63" s="412">
        <v>13.0</v>
      </c>
      <c r="I63" s="413">
        <v>0.17</v>
      </c>
      <c r="J63" s="414">
        <v>1.25E-5</v>
      </c>
      <c r="K63" s="413">
        <v>1.8</v>
      </c>
      <c r="L63" s="413">
        <v>0.4</v>
      </c>
      <c r="M63" s="413">
        <v>155.0</v>
      </c>
      <c r="N63" s="415">
        <v>0.005</v>
      </c>
      <c r="O63" s="413">
        <v>3.0</v>
      </c>
      <c r="P63" s="413">
        <v>0.00125</v>
      </c>
      <c r="Q63" s="416">
        <v>7.5E-6</v>
      </c>
      <c r="R63" s="413">
        <v>0.4</v>
      </c>
      <c r="S63" s="413">
        <v>1.8</v>
      </c>
      <c r="T63" s="14">
        <f>IF(A63="","",ARBITRAGES!M63)</f>
        <v>2485.368639</v>
      </c>
      <c r="U63" s="417">
        <f>IF(A63="","",B63*'QUANTITE DETENUES'!B63+'QUANTITE DETENUES'!C63*C63+'QUANTITE DETENUES'!D63*D63+E63*'QUANTITE DETENUES'!E63+'QUANTITE DETENUES'!F63*F63+G63*'QUANTITE DETENUES'!G63+'QUANTITE DETENUES'!H63*H63+I63*'QUANTITE DETENUES'!I63+'QUANTITE DETENUES'!J63*J63+K63*'QUANTITE DETENUES'!K63+'QUANTITE DETENUES'!L63*L63+M63*'QUANTITE DETENUES'!M63+'QUANTITE DETENUES'!N63*N63+O63*'QUANTITE DETENUES'!O63+T63+P63*'QUANTITE DETENUES'!P63+'QUANTITE DETENUES'!Q63*Q63+R63*'QUANTITE DETENUES'!R63+'QUANTITE DETENUES'!S63*S63)</f>
        <v>39162.77362</v>
      </c>
      <c r="V63" s="288"/>
      <c r="W63" s="289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  <c r="AL63" s="289"/>
      <c r="AM63" s="289"/>
    </row>
    <row r="64">
      <c r="A64" s="409">
        <f>IF(ARBITRAGES!E64="","",ARBITRAGES!E64)</f>
        <v>45753</v>
      </c>
      <c r="B64" s="33">
        <v>80000.0</v>
      </c>
      <c r="C64" s="33">
        <v>1500.0</v>
      </c>
      <c r="D64" s="412">
        <v>3.25</v>
      </c>
      <c r="E64" s="33">
        <v>115.0</v>
      </c>
      <c r="F64" s="33">
        <v>205.0</v>
      </c>
      <c r="G64" s="412">
        <v>0.5</v>
      </c>
      <c r="H64" s="412">
        <v>12.7</v>
      </c>
      <c r="I64" s="413">
        <v>0.15</v>
      </c>
      <c r="J64" s="414">
        <v>1.15E-5</v>
      </c>
      <c r="K64" s="413">
        <v>1.78</v>
      </c>
      <c r="L64" s="413">
        <v>0.35</v>
      </c>
      <c r="M64" s="413">
        <v>130.0</v>
      </c>
      <c r="N64" s="415">
        <v>0.0037</v>
      </c>
      <c r="O64" s="413">
        <v>3.0</v>
      </c>
      <c r="P64" s="413">
        <v>0.00125</v>
      </c>
      <c r="Q64" s="416">
        <v>7.5E-6</v>
      </c>
      <c r="R64" s="413">
        <v>0.4</v>
      </c>
      <c r="S64" s="413">
        <v>1.65</v>
      </c>
      <c r="T64" s="14">
        <f>IF(A64="","",ARBITRAGES!M64)</f>
        <v>2085.468639</v>
      </c>
      <c r="U64" s="417">
        <f>IF(A64="","",B64*'QUANTITE DETENUES'!B64+'QUANTITE DETENUES'!C64*C64+'QUANTITE DETENUES'!D64*D64+E64*'QUANTITE DETENUES'!E64+'QUANTITE DETENUES'!F64*F64+G64*'QUANTITE DETENUES'!G64+'QUANTITE DETENUES'!H64*H64+I64*'QUANTITE DETENUES'!I64+'QUANTITE DETENUES'!J64*J64+K64*'QUANTITE DETENUES'!K64+'QUANTITE DETENUES'!L64*L64+M64*'QUANTITE DETENUES'!M64+'QUANTITE DETENUES'!N64*N64+O64*'QUANTITE DETENUES'!O64+T64+P64*'QUANTITE DETENUES'!P64+'QUANTITE DETENUES'!Q64*Q64+R64*'QUANTITE DETENUES'!R64+'QUANTITE DETENUES'!S64*S64)</f>
        <v>36867.23552</v>
      </c>
      <c r="V64" s="288"/>
      <c r="W64" s="289"/>
      <c r="X64" s="289"/>
      <c r="Y64" s="289"/>
      <c r="Z64" s="289"/>
      <c r="AA64" s="289"/>
      <c r="AB64" s="289"/>
      <c r="AC64" s="289"/>
      <c r="AD64" s="289"/>
      <c r="AE64" s="289"/>
      <c r="AF64" s="289"/>
      <c r="AG64" s="289"/>
      <c r="AH64" s="289"/>
      <c r="AI64" s="289"/>
      <c r="AJ64" s="289"/>
      <c r="AK64" s="289"/>
      <c r="AL64" s="289"/>
      <c r="AM64" s="289"/>
    </row>
    <row r="65">
      <c r="A65" s="409">
        <f>IF(ARBITRAGES!E65="","",ARBITRAGES!E65)</f>
        <v>45753</v>
      </c>
      <c r="B65" s="33">
        <v>80000.0</v>
      </c>
      <c r="C65" s="33">
        <v>1500.0</v>
      </c>
      <c r="D65" s="412">
        <v>3.25</v>
      </c>
      <c r="E65" s="33">
        <v>115.0</v>
      </c>
      <c r="F65" s="33">
        <v>205.0</v>
      </c>
      <c r="G65" s="412">
        <v>0.5</v>
      </c>
      <c r="H65" s="412">
        <v>12.7</v>
      </c>
      <c r="I65" s="413">
        <v>0.15</v>
      </c>
      <c r="J65" s="414">
        <v>1.15E-5</v>
      </c>
      <c r="K65" s="413">
        <v>1.78</v>
      </c>
      <c r="L65" s="413">
        <v>0.35</v>
      </c>
      <c r="M65" s="413">
        <v>130.0</v>
      </c>
      <c r="N65" s="415">
        <v>0.0037</v>
      </c>
      <c r="O65" s="413">
        <v>3.0</v>
      </c>
      <c r="P65" s="413">
        <v>0.00125</v>
      </c>
      <c r="Q65" s="416">
        <v>7.5E-6</v>
      </c>
      <c r="R65" s="413">
        <v>0.4</v>
      </c>
      <c r="S65" s="413">
        <v>1.65</v>
      </c>
      <c r="T65" s="14">
        <f>IF(A65="","",ARBITRAGES!M65)</f>
        <v>1305.468639</v>
      </c>
      <c r="U65" s="417">
        <f>IF(A65="","",B65*'QUANTITE DETENUES'!B65+'QUANTITE DETENUES'!C65*C65+'QUANTITE DETENUES'!D65*D65+E65*'QUANTITE DETENUES'!E65+'QUANTITE DETENUES'!F65*F65+G65*'QUANTITE DETENUES'!G65+'QUANTITE DETENUES'!H65*H65+I65*'QUANTITE DETENUES'!I65+'QUANTITE DETENUES'!J65*J65+K65*'QUANTITE DETENUES'!K65+'QUANTITE DETENUES'!L65*L65+M65*'QUANTITE DETENUES'!M65+'QUANTITE DETENUES'!N65*N65+O65*'QUANTITE DETENUES'!O65+T65+P65*'QUANTITE DETENUES'!P65+'QUANTITE DETENUES'!Q65*Q65+R65*'QUANTITE DETENUES'!R65+'QUANTITE DETENUES'!S65*S65)</f>
        <v>36887.23552</v>
      </c>
      <c r="V65" s="288"/>
      <c r="W65" s="289"/>
      <c r="X65" s="289"/>
      <c r="Y65" s="289"/>
      <c r="Z65" s="289"/>
      <c r="AA65" s="289"/>
      <c r="AB65" s="289"/>
      <c r="AC65" s="289"/>
      <c r="AD65" s="289"/>
      <c r="AE65" s="289"/>
      <c r="AF65" s="289"/>
      <c r="AG65" s="289"/>
      <c r="AH65" s="289"/>
      <c r="AI65" s="289"/>
      <c r="AJ65" s="289"/>
      <c r="AK65" s="289"/>
      <c r="AL65" s="289"/>
      <c r="AM65" s="289"/>
    </row>
    <row r="66">
      <c r="A66" s="409">
        <f>IF(ARBITRAGES!E66="","",ARBITRAGES!E66)</f>
        <v>45754</v>
      </c>
      <c r="B66" s="33">
        <v>79000.0</v>
      </c>
      <c r="C66" s="33">
        <v>1500.0</v>
      </c>
      <c r="D66" s="412">
        <v>3.25</v>
      </c>
      <c r="E66" s="33">
        <v>115.0</v>
      </c>
      <c r="F66" s="33">
        <v>205.0</v>
      </c>
      <c r="G66" s="412">
        <v>0.5</v>
      </c>
      <c r="H66" s="412">
        <v>12.7</v>
      </c>
      <c r="I66" s="413">
        <v>0.15</v>
      </c>
      <c r="J66" s="414">
        <v>1.15E-5</v>
      </c>
      <c r="K66" s="413">
        <v>1.78</v>
      </c>
      <c r="L66" s="413">
        <v>0.35</v>
      </c>
      <c r="M66" s="413">
        <v>130.0</v>
      </c>
      <c r="N66" s="415">
        <v>0.0037</v>
      </c>
      <c r="O66" s="413">
        <v>3.0</v>
      </c>
      <c r="P66" s="413">
        <v>0.00125</v>
      </c>
      <c r="Q66" s="416">
        <v>7.5E-6</v>
      </c>
      <c r="R66" s="413">
        <v>0.4</v>
      </c>
      <c r="S66" s="413">
        <v>1.65</v>
      </c>
      <c r="T66" s="14">
        <f>IF(A66="","",ARBITRAGES!M66)</f>
        <v>1109.468639</v>
      </c>
      <c r="U66" s="417">
        <f>IF(A66="","",B66*'QUANTITE DETENUES'!B66+'QUANTITE DETENUES'!C66*C66+'QUANTITE DETENUES'!D66*D66+E66*'QUANTITE DETENUES'!E66+'QUANTITE DETENUES'!F66*F66+G66*'QUANTITE DETENUES'!G66+'QUANTITE DETENUES'!H66*H66+I66*'QUANTITE DETENUES'!I66+'QUANTITE DETENUES'!J66*J66+K66*'QUANTITE DETENUES'!K66+'QUANTITE DETENUES'!L66*L66+M66*'QUANTITE DETENUES'!M66+'QUANTITE DETENUES'!N66*N66+O66*'QUANTITE DETENUES'!O66+T66+P66*'QUANTITE DETENUES'!P66+'QUANTITE DETENUES'!Q66*Q66+R66*'QUANTITE DETENUES'!R66+'QUANTITE DETENUES'!S66*S66)</f>
        <v>36631.22302</v>
      </c>
      <c r="V66" s="288"/>
      <c r="W66" s="289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  <c r="AL66" s="289"/>
      <c r="AM66" s="289"/>
    </row>
    <row r="67">
      <c r="A67" s="409">
        <f>IF(ARBITRAGES!E67="","",ARBITRAGES!E67)</f>
        <v>45756</v>
      </c>
      <c r="B67" s="33">
        <v>78000.0</v>
      </c>
      <c r="C67" s="33">
        <v>1500.0</v>
      </c>
      <c r="D67" s="412">
        <v>3.25</v>
      </c>
      <c r="E67" s="33">
        <v>115.0</v>
      </c>
      <c r="F67" s="33">
        <v>205.0</v>
      </c>
      <c r="G67" s="412">
        <v>0.5</v>
      </c>
      <c r="H67" s="412">
        <v>12.7</v>
      </c>
      <c r="I67" s="413">
        <v>0.15</v>
      </c>
      <c r="J67" s="414">
        <v>1.15E-5</v>
      </c>
      <c r="K67" s="413">
        <v>1.78</v>
      </c>
      <c r="L67" s="413">
        <v>0.35</v>
      </c>
      <c r="M67" s="413">
        <v>130.0</v>
      </c>
      <c r="N67" s="415">
        <v>0.0037</v>
      </c>
      <c r="O67" s="413">
        <v>3.0</v>
      </c>
      <c r="P67" s="413">
        <v>0.00125</v>
      </c>
      <c r="Q67" s="416">
        <v>7.5E-6</v>
      </c>
      <c r="R67" s="413">
        <v>0.4</v>
      </c>
      <c r="S67" s="413">
        <v>1.65</v>
      </c>
      <c r="T67" s="14">
        <f>IF(A67="","",ARBITRAGES!M67)</f>
        <v>559.468639</v>
      </c>
      <c r="U67" s="417">
        <f>IF(A67="","",B67*'QUANTITE DETENUES'!B67+'QUANTITE DETENUES'!C67*C67+'QUANTITE DETENUES'!D67*D67+E67*'QUANTITE DETENUES'!E67+'QUANTITE DETENUES'!F67*F67+G67*'QUANTITE DETENUES'!G67+'QUANTITE DETENUES'!H67*H67+I67*'QUANTITE DETENUES'!I67+'QUANTITE DETENUES'!J67*J67+K67*'QUANTITE DETENUES'!K67+'QUANTITE DETENUES'!L67*L67+M67*'QUANTITE DETENUES'!M67+'QUANTITE DETENUES'!N67*N67+O67*'QUANTITE DETENUES'!O67+T67+P67*'QUANTITE DETENUES'!P67+'QUANTITE DETENUES'!Q67*Q67+R67*'QUANTITE DETENUES'!R67+'QUANTITE DETENUES'!S67*S67)</f>
        <v>36443.71052</v>
      </c>
      <c r="V67" s="288"/>
      <c r="W67" s="289"/>
      <c r="X67" s="289"/>
      <c r="Y67" s="289"/>
      <c r="Z67" s="289"/>
      <c r="AA67" s="289"/>
      <c r="AB67" s="289"/>
      <c r="AC67" s="289"/>
      <c r="AD67" s="289"/>
      <c r="AE67" s="289"/>
      <c r="AF67" s="289"/>
      <c r="AG67" s="289"/>
      <c r="AH67" s="289"/>
      <c r="AI67" s="289"/>
      <c r="AJ67" s="289"/>
      <c r="AK67" s="289"/>
      <c r="AL67" s="289"/>
      <c r="AM67" s="289"/>
    </row>
    <row r="68">
      <c r="A68" s="409">
        <f>IF(ARBITRAGES!E68="","",ARBITRAGES!E68)</f>
        <v>45757</v>
      </c>
      <c r="B68" s="33">
        <v>80000.0</v>
      </c>
      <c r="C68" s="33">
        <v>1650.0</v>
      </c>
      <c r="D68" s="412">
        <v>3.0</v>
      </c>
      <c r="E68" s="33">
        <v>135.0</v>
      </c>
      <c r="F68" s="33">
        <v>255.0</v>
      </c>
      <c r="G68" s="412">
        <v>0.56</v>
      </c>
      <c r="H68" s="412">
        <v>13.0</v>
      </c>
      <c r="I68" s="413">
        <v>0.165</v>
      </c>
      <c r="J68" s="414">
        <v>1.25E-6</v>
      </c>
      <c r="K68" s="413">
        <v>2.0</v>
      </c>
      <c r="L68" s="413">
        <v>0.4</v>
      </c>
      <c r="M68" s="413">
        <v>150.0</v>
      </c>
      <c r="N68" s="415">
        <v>0.005</v>
      </c>
      <c r="O68" s="413">
        <v>3.4</v>
      </c>
      <c r="P68" s="413">
        <v>0.00125</v>
      </c>
      <c r="Q68" s="416">
        <v>7.5E-6</v>
      </c>
      <c r="R68" s="413">
        <v>0.4</v>
      </c>
      <c r="S68" s="413">
        <v>2.0</v>
      </c>
      <c r="T68" s="14">
        <f>IF(A68="","",ARBITRAGES!M68)</f>
        <v>785.968639</v>
      </c>
      <c r="U68" s="417">
        <f>IF(A68="","",B68*'QUANTITE DETENUES'!B68+'QUANTITE DETENUES'!C68*C68+'QUANTITE DETENUES'!D68*D68+E68*'QUANTITE DETENUES'!E68+'QUANTITE DETENUES'!F68*F68+G68*'QUANTITE DETENUES'!G68+'QUANTITE DETENUES'!H68*H68+I68*'QUANTITE DETENUES'!I68+'QUANTITE DETENUES'!J68*J68+K68*'QUANTITE DETENUES'!K68+'QUANTITE DETENUES'!L68*L68+M68*'QUANTITE DETENUES'!M68+'QUANTITE DETENUES'!N68*N68+O68*'QUANTITE DETENUES'!O68+T68+P68*'QUANTITE DETENUES'!P68+'QUANTITE DETENUES'!Q68*Q68+R68*'QUANTITE DETENUES'!R68+'QUANTITE DETENUES'!S68*S68)</f>
        <v>38502.14361</v>
      </c>
      <c r="V68" s="288"/>
      <c r="W68" s="289"/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</row>
    <row r="69">
      <c r="A69" s="409">
        <f>IF(ARBITRAGES!E69="","",ARBITRAGES!E69)</f>
        <v>45757</v>
      </c>
      <c r="B69" s="33">
        <v>80000.0</v>
      </c>
      <c r="C69" s="33">
        <v>1650.0</v>
      </c>
      <c r="D69" s="412">
        <v>3.0</v>
      </c>
      <c r="E69" s="33">
        <v>135.0</v>
      </c>
      <c r="F69" s="33">
        <v>255.0</v>
      </c>
      <c r="G69" s="412">
        <v>0.56</v>
      </c>
      <c r="H69" s="412">
        <v>13.0</v>
      </c>
      <c r="I69" s="413">
        <v>0.165</v>
      </c>
      <c r="J69" s="414">
        <v>1.25E-6</v>
      </c>
      <c r="K69" s="413">
        <v>2.0</v>
      </c>
      <c r="L69" s="413">
        <v>0.4</v>
      </c>
      <c r="M69" s="413">
        <v>150.0</v>
      </c>
      <c r="N69" s="415">
        <v>0.005</v>
      </c>
      <c r="O69" s="413">
        <v>3.4</v>
      </c>
      <c r="P69" s="413">
        <v>0.00125</v>
      </c>
      <c r="Q69" s="416">
        <v>7.5E-6</v>
      </c>
      <c r="R69" s="413">
        <v>0.4</v>
      </c>
      <c r="S69" s="413">
        <v>2.0</v>
      </c>
      <c r="T69" s="14">
        <f>IF(A69="","",ARBITRAGES!M69)</f>
        <v>558.968639</v>
      </c>
      <c r="U69" s="417">
        <f>IF(A69="","",B69*'QUANTITE DETENUES'!B69+'QUANTITE DETENUES'!C69*C69+'QUANTITE DETENUES'!D69*D69+E69*'QUANTITE DETENUES'!E69+'QUANTITE DETENUES'!F69*F69+G69*'QUANTITE DETENUES'!G69+'QUANTITE DETENUES'!H69*H69+I69*'QUANTITE DETENUES'!I69+'QUANTITE DETENUES'!J69*J69+K69*'QUANTITE DETENUES'!K69+'QUANTITE DETENUES'!L69*L69+M69*'QUANTITE DETENUES'!M69+'QUANTITE DETENUES'!N69*N69+O69*'QUANTITE DETENUES'!O69+T69+P69*'QUANTITE DETENUES'!P69+'QUANTITE DETENUES'!Q69*Q69+R69*'QUANTITE DETENUES'!R69+'QUANTITE DETENUES'!S69*S69)</f>
        <v>38493.93879</v>
      </c>
      <c r="V69" s="288"/>
      <c r="W69" s="289"/>
      <c r="X69" s="289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</row>
    <row r="70">
      <c r="A70" s="409">
        <f>IF(ARBITRAGES!E70="","",ARBITRAGES!E70)</f>
        <v>45758</v>
      </c>
      <c r="B70" s="33">
        <v>86000.0</v>
      </c>
      <c r="C70" s="33">
        <v>1650.0</v>
      </c>
      <c r="D70" s="412">
        <v>3.0</v>
      </c>
      <c r="E70" s="33">
        <v>135.0</v>
      </c>
      <c r="F70" s="33">
        <v>255.0</v>
      </c>
      <c r="G70" s="412">
        <v>0.56</v>
      </c>
      <c r="H70" s="412">
        <v>13.0</v>
      </c>
      <c r="I70" s="413">
        <v>0.165</v>
      </c>
      <c r="J70" s="414">
        <v>1.25E-6</v>
      </c>
      <c r="K70" s="413">
        <v>2.0</v>
      </c>
      <c r="L70" s="413">
        <v>0.4</v>
      </c>
      <c r="M70" s="413">
        <v>150.0</v>
      </c>
      <c r="N70" s="415">
        <v>0.005</v>
      </c>
      <c r="O70" s="413">
        <v>3.4</v>
      </c>
      <c r="P70" s="413">
        <v>0.00125</v>
      </c>
      <c r="Q70" s="416">
        <v>7.5E-6</v>
      </c>
      <c r="R70" s="413">
        <v>0.4</v>
      </c>
      <c r="S70" s="413">
        <v>2.0</v>
      </c>
      <c r="T70" s="14">
        <f>IF(A70="","",ARBITRAGES!M70)</f>
        <v>581.149639</v>
      </c>
      <c r="U70" s="417">
        <f>IF(A70="","",B70*'QUANTITE DETENUES'!B70+'QUANTITE DETENUES'!C70*C70+'QUANTITE DETENUES'!D70*D70+E70*'QUANTITE DETENUES'!E70+'QUANTITE DETENUES'!F70*F70+G70*'QUANTITE DETENUES'!G70+'QUANTITE DETENUES'!H70*H70+I70*'QUANTITE DETENUES'!I70+'QUANTITE DETENUES'!J70*J70+K70*'QUANTITE DETENUES'!K70+'QUANTITE DETENUES'!L70*L70+M70*'QUANTITE DETENUES'!M70+'QUANTITE DETENUES'!N70*N70+O70*'QUANTITE DETENUES'!O70+T70+P70*'QUANTITE DETENUES'!P70+'QUANTITE DETENUES'!Q70*Q70+R70*'QUANTITE DETENUES'!R70+'QUANTITE DETENUES'!S70*S70)</f>
        <v>40128.97563</v>
      </c>
      <c r="V70" s="288"/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</row>
    <row r="71">
      <c r="A71" s="409">
        <f>IF(ARBITRAGES!E71="","",ARBITRAGES!E71)</f>
        <v>45760</v>
      </c>
      <c r="B71" s="33">
        <v>86000.0</v>
      </c>
      <c r="C71" s="33">
        <v>1650.0</v>
      </c>
      <c r="D71" s="412">
        <v>3.0</v>
      </c>
      <c r="E71" s="33">
        <v>135.0</v>
      </c>
      <c r="F71" s="33">
        <v>255.0</v>
      </c>
      <c r="G71" s="412">
        <v>0.56</v>
      </c>
      <c r="H71" s="412">
        <v>13.0</v>
      </c>
      <c r="I71" s="413">
        <v>0.165</v>
      </c>
      <c r="J71" s="414">
        <v>1.25E-6</v>
      </c>
      <c r="K71" s="413">
        <v>2.0</v>
      </c>
      <c r="L71" s="413">
        <v>0.4</v>
      </c>
      <c r="M71" s="413">
        <v>150.0</v>
      </c>
      <c r="N71" s="415">
        <v>0.005</v>
      </c>
      <c r="O71" s="413">
        <v>3.4</v>
      </c>
      <c r="P71" s="413">
        <v>0.00125</v>
      </c>
      <c r="Q71" s="416">
        <v>7.5E-6</v>
      </c>
      <c r="R71" s="413">
        <v>0.4</v>
      </c>
      <c r="S71" s="413">
        <v>2.0</v>
      </c>
      <c r="T71" s="14">
        <f>IF(A71="","",ARBITRAGES!M71+7)</f>
        <v>608.159639</v>
      </c>
      <c r="U71" s="417">
        <f>IF(A71="","",B71*'QUANTITE DETENUES'!B71+'QUANTITE DETENUES'!C71*C71+'QUANTITE DETENUES'!D71*D71+E71*'QUANTITE DETENUES'!E71+'QUANTITE DETENUES'!F71*F71+G71*'QUANTITE DETENUES'!G71+'QUANTITE DETENUES'!H71*H71+I71*'QUANTITE DETENUES'!I71+'QUANTITE DETENUES'!J71*J71+K71*'QUANTITE DETENUES'!K71+'QUANTITE DETENUES'!L71*L71+M71*'QUANTITE DETENUES'!M71+'QUANTITE DETENUES'!N71*N71+O71*'QUANTITE DETENUES'!O71+T71+P71*'QUANTITE DETENUES'!P71+'QUANTITE DETENUES'!Q71*Q71+R71*'QUANTITE DETENUES'!R71+'QUANTITE DETENUES'!S71*S71)</f>
        <v>40133.47613</v>
      </c>
      <c r="V71" s="288"/>
      <c r="W71" s="289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</row>
    <row r="72">
      <c r="A72" s="409">
        <f>IF(ARBITRAGES!E72="","",ARBITRAGES!E72)</f>
        <v>45779</v>
      </c>
      <c r="B72" s="33">
        <v>93000.0</v>
      </c>
      <c r="C72" s="33">
        <v>1800.0</v>
      </c>
      <c r="D72" s="412">
        <v>3.2</v>
      </c>
      <c r="E72" s="33">
        <v>150.0</v>
      </c>
      <c r="F72" s="33">
        <v>300.0</v>
      </c>
      <c r="G72" s="412">
        <v>0.56</v>
      </c>
      <c r="H72" s="412">
        <v>15.0</v>
      </c>
      <c r="I72" s="413">
        <v>0.16</v>
      </c>
      <c r="J72" s="414">
        <v>1.2E-5</v>
      </c>
      <c r="K72" s="413">
        <v>2.1</v>
      </c>
      <c r="L72" s="413">
        <v>0.5</v>
      </c>
      <c r="M72" s="413">
        <v>170.0</v>
      </c>
      <c r="N72" s="415">
        <v>0.005</v>
      </c>
      <c r="O72" s="413">
        <v>3.6</v>
      </c>
      <c r="P72" s="413">
        <v>0.0015</v>
      </c>
      <c r="Q72" s="416">
        <v>1.1E-5</v>
      </c>
      <c r="R72" s="413">
        <v>0.4</v>
      </c>
      <c r="S72" s="413">
        <v>2.9</v>
      </c>
      <c r="T72" s="14">
        <f>IF(A72="","",ARBITRAGES!M72)</f>
        <v>1571.159639</v>
      </c>
      <c r="U72" s="417">
        <f>IF(A72="","",B72*'QUANTITE DETENUES'!B72+'QUANTITE DETENUES'!C72*C72+'QUANTITE DETENUES'!D72*D72+E72*'QUANTITE DETENUES'!E72+'QUANTITE DETENUES'!F72*F72+G72*'QUANTITE DETENUES'!G72+'QUANTITE DETENUES'!H72*H72+I72*'QUANTITE DETENUES'!I72+'QUANTITE DETENUES'!J72*J72+K72*'QUANTITE DETENUES'!K72+'QUANTITE DETENUES'!L72*L72+M72*'QUANTITE DETENUES'!M72+'QUANTITE DETENUES'!N72*N72+O72*'QUANTITE DETENUES'!O72+T72+P72*'QUANTITE DETENUES'!P72+'QUANTITE DETENUES'!Q72*Q72+R72*'QUANTITE DETENUES'!R72+'QUANTITE DETENUES'!S72*S72)</f>
        <v>44107.81914</v>
      </c>
      <c r="V72" s="288"/>
      <c r="W72" s="289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  <c r="AK72" s="289"/>
      <c r="AL72" s="289"/>
      <c r="AM72" s="289"/>
    </row>
    <row r="73">
      <c r="A73" s="409">
        <f>IF(ARBITRAGES!E73="","",ARBITRAGES!E73)</f>
        <v>45779</v>
      </c>
      <c r="B73" s="33">
        <v>93000.0</v>
      </c>
      <c r="C73" s="33">
        <v>1800.0</v>
      </c>
      <c r="D73" s="412">
        <v>3.2</v>
      </c>
      <c r="E73" s="33">
        <v>150.0</v>
      </c>
      <c r="F73" s="33">
        <v>300.0</v>
      </c>
      <c r="G73" s="412">
        <v>0.56</v>
      </c>
      <c r="H73" s="412">
        <v>15.0</v>
      </c>
      <c r="I73" s="413">
        <v>0.16</v>
      </c>
      <c r="J73" s="414">
        <v>1.2E-5</v>
      </c>
      <c r="K73" s="413">
        <v>2.1</v>
      </c>
      <c r="L73" s="413">
        <v>0.5</v>
      </c>
      <c r="M73" s="413">
        <v>170.0</v>
      </c>
      <c r="N73" s="415">
        <v>0.005</v>
      </c>
      <c r="O73" s="413">
        <v>3.6</v>
      </c>
      <c r="P73" s="413">
        <v>0.0015</v>
      </c>
      <c r="Q73" s="416">
        <v>1.1E-5</v>
      </c>
      <c r="R73" s="413">
        <v>0.4</v>
      </c>
      <c r="S73" s="413">
        <v>2.9</v>
      </c>
      <c r="T73" s="14">
        <f>IF(A73="","",ARBITRAGES!M73)</f>
        <v>2551.159639</v>
      </c>
      <c r="U73" s="417">
        <f>IF(A73="","",B73*'QUANTITE DETENUES'!B73+'QUANTITE DETENUES'!C73*C73+'QUANTITE DETENUES'!D73*D73+E73*'QUANTITE DETENUES'!E73+'QUANTITE DETENUES'!F73*F73+G73*'QUANTITE DETENUES'!G73+'QUANTITE DETENUES'!H73*H73+I73*'QUANTITE DETENUES'!I73+'QUANTITE DETENUES'!J73*J73+K73*'QUANTITE DETENUES'!K73+'QUANTITE DETENUES'!L73*L73+M73*'QUANTITE DETENUES'!M73+'QUANTITE DETENUES'!N73*N73+O73*'QUANTITE DETENUES'!O73+T73+P73*'QUANTITE DETENUES'!P73+'QUANTITE DETENUES'!Q73*Q73+R73*'QUANTITE DETENUES'!R73+'QUANTITE DETENUES'!S73*S73)</f>
        <v>44157.81914</v>
      </c>
      <c r="V73" s="288"/>
      <c r="W73" s="289"/>
      <c r="X73" s="289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  <c r="AK73" s="289"/>
      <c r="AL73" s="289"/>
      <c r="AM73" s="289"/>
    </row>
    <row r="74">
      <c r="A74" s="409">
        <f>IF(ARBITRAGES!E74="","",ARBITRAGES!E74)</f>
        <v>45785</v>
      </c>
      <c r="B74" s="33">
        <v>104000.0</v>
      </c>
      <c r="C74" s="33">
        <v>2500.0</v>
      </c>
      <c r="D74" s="412">
        <v>3.3</v>
      </c>
      <c r="E74" s="33">
        <v>170.0</v>
      </c>
      <c r="F74" s="33">
        <v>450.0</v>
      </c>
      <c r="G74" s="412">
        <v>0.637</v>
      </c>
      <c r="H74" s="412">
        <v>16.2</v>
      </c>
      <c r="I74" s="413">
        <v>0.0207</v>
      </c>
      <c r="J74" s="414">
        <v>1.5E-5</v>
      </c>
      <c r="K74" s="413">
        <v>2.33</v>
      </c>
      <c r="L74" s="413">
        <v>0.52</v>
      </c>
      <c r="M74" s="413">
        <v>220.0</v>
      </c>
      <c r="N74" s="415">
        <v>0.0055</v>
      </c>
      <c r="O74" s="413">
        <v>3.9</v>
      </c>
      <c r="P74" s="413">
        <v>0.00185</v>
      </c>
      <c r="Q74" s="416">
        <v>1.21E-5</v>
      </c>
      <c r="R74" s="413">
        <v>0.71</v>
      </c>
      <c r="S74" s="413">
        <v>2.9</v>
      </c>
      <c r="T74" s="14">
        <f>IF(A74="","",ARBITRAGES!M74)</f>
        <v>3571.159639</v>
      </c>
      <c r="U74" s="417">
        <f>IF(A74="","",B74*'QUANTITE DETENUES'!B74+'QUANTITE DETENUES'!C74*C74+'QUANTITE DETENUES'!D74*D74+E74*'QUANTITE DETENUES'!E74+'QUANTITE DETENUES'!F74*F74+G74*'QUANTITE DETENUES'!G74+'QUANTITE DETENUES'!H74*H74+I74*'QUANTITE DETENUES'!I74+'QUANTITE DETENUES'!J74*J74+K74*'QUANTITE DETENUES'!K74+'QUANTITE DETENUES'!L74*L74+M74*'QUANTITE DETENUES'!M74+'QUANTITE DETENUES'!N74*N74+O74*'QUANTITE DETENUES'!O74+T74+P74*'QUANTITE DETENUES'!P74+'QUANTITE DETENUES'!Q74*Q74+R74*'QUANTITE DETENUES'!R74+'QUANTITE DETENUES'!S74*S74)</f>
        <v>51138.53977</v>
      </c>
      <c r="V74" s="288"/>
      <c r="W74" s="289"/>
      <c r="X74" s="289"/>
      <c r="Y74" s="289"/>
      <c r="Z74" s="289"/>
      <c r="AA74" s="289"/>
      <c r="AB74" s="289"/>
      <c r="AC74" s="289"/>
      <c r="AD74" s="289"/>
      <c r="AE74" s="289"/>
      <c r="AF74" s="289"/>
      <c r="AG74" s="289"/>
      <c r="AH74" s="289"/>
      <c r="AI74" s="289"/>
      <c r="AJ74" s="289"/>
      <c r="AK74" s="289"/>
      <c r="AL74" s="289"/>
      <c r="AM74" s="289"/>
    </row>
    <row r="75">
      <c r="A75" s="409">
        <f>IF(ARBITRAGES!E75="","",ARBITRAGES!E75)</f>
        <v>45785</v>
      </c>
      <c r="B75" s="33">
        <v>104000.0</v>
      </c>
      <c r="C75" s="33">
        <v>2500.0</v>
      </c>
      <c r="D75" s="412">
        <v>3.3</v>
      </c>
      <c r="E75" s="33">
        <v>170.0</v>
      </c>
      <c r="F75" s="33">
        <v>450.0</v>
      </c>
      <c r="G75" s="412">
        <v>0.637</v>
      </c>
      <c r="H75" s="412">
        <v>16.2</v>
      </c>
      <c r="I75" s="413">
        <v>0.0207</v>
      </c>
      <c r="J75" s="414">
        <v>1.5E-5</v>
      </c>
      <c r="K75" s="413">
        <v>2.33</v>
      </c>
      <c r="L75" s="413">
        <v>0.52</v>
      </c>
      <c r="M75" s="413">
        <v>220.0</v>
      </c>
      <c r="N75" s="415">
        <v>0.0055</v>
      </c>
      <c r="O75" s="413">
        <v>3.9</v>
      </c>
      <c r="P75" s="413">
        <v>0.00185</v>
      </c>
      <c r="Q75" s="416">
        <v>1.21E-5</v>
      </c>
      <c r="R75" s="413">
        <v>0.71</v>
      </c>
      <c r="S75" s="413">
        <v>2.9</v>
      </c>
      <c r="T75" s="14">
        <f>IF(A75="","",ARBITRAGES!M75)</f>
        <v>4837.308309</v>
      </c>
      <c r="U75" s="417">
        <f>IF(A75="","",B75*'QUANTITE DETENUES'!B75+'QUANTITE DETENUES'!C75*C75+'QUANTITE DETENUES'!D75*D75+E75*'QUANTITE DETENUES'!E75+'QUANTITE DETENUES'!F75*F75+G75*'QUANTITE DETENUES'!G75+'QUANTITE DETENUES'!H75*H75+I75*'QUANTITE DETENUES'!I75+'QUANTITE DETENUES'!J75*J75+K75*'QUANTITE DETENUES'!K75+'QUANTITE DETENUES'!L75*L75+M75*'QUANTITE DETENUES'!M75+'QUANTITE DETENUES'!N75*N75+O75*'QUANTITE DETENUES'!O75+T75+P75*'QUANTITE DETENUES'!P75+'QUANTITE DETENUES'!Q75*Q75+R75*'QUANTITE DETENUES'!R75+'QUANTITE DETENUES'!S75*S75)</f>
        <v>51120.01076</v>
      </c>
      <c r="V75" s="288"/>
      <c r="W75" s="289"/>
      <c r="X75" s="289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  <c r="AI75" s="289"/>
      <c r="AJ75" s="289"/>
      <c r="AK75" s="289"/>
      <c r="AL75" s="289"/>
      <c r="AM75" s="289"/>
    </row>
    <row r="76">
      <c r="A76" s="409">
        <f>IF(ARBITRAGES!E76="","",ARBITRAGES!E76)</f>
        <v>45054</v>
      </c>
      <c r="B76" s="33">
        <v>104000.0</v>
      </c>
      <c r="C76" s="33">
        <v>2500.0</v>
      </c>
      <c r="D76" s="412">
        <v>3.3</v>
      </c>
      <c r="E76" s="33">
        <v>170.0</v>
      </c>
      <c r="F76" s="33">
        <v>450.0</v>
      </c>
      <c r="G76" s="412">
        <v>0.637</v>
      </c>
      <c r="H76" s="412">
        <v>16.2</v>
      </c>
      <c r="I76" s="413">
        <v>0.0207</v>
      </c>
      <c r="J76" s="414">
        <v>1.5E-5</v>
      </c>
      <c r="K76" s="413">
        <v>2.33</v>
      </c>
      <c r="L76" s="413">
        <v>0.52</v>
      </c>
      <c r="M76" s="413">
        <v>220.0</v>
      </c>
      <c r="N76" s="415">
        <v>0.0055</v>
      </c>
      <c r="O76" s="413">
        <v>3.9</v>
      </c>
      <c r="P76" s="413">
        <v>0.00185</v>
      </c>
      <c r="Q76" s="416">
        <v>1.21E-5</v>
      </c>
      <c r="R76" s="413">
        <v>0.71</v>
      </c>
      <c r="S76" s="413">
        <v>2.9</v>
      </c>
      <c r="T76" s="14">
        <f>IF(A76="","",ARBITRAGES!M76)</f>
        <v>5059.860044</v>
      </c>
      <c r="U76" s="417">
        <f>IF(A76="","",B76*'QUANTITE DETENUES'!B76+'QUANTITE DETENUES'!C76*C76+'QUANTITE DETENUES'!D76*D76+E76*'QUANTITE DETENUES'!E76+'QUANTITE DETENUES'!F76*F76+G76*'QUANTITE DETENUES'!G76+'QUANTITE DETENUES'!H76*H76+I76*'QUANTITE DETENUES'!I76+'QUANTITE DETENUES'!J76*J76+K76*'QUANTITE DETENUES'!K76+'QUANTITE DETENUES'!L76*L76+M76*'QUANTITE DETENUES'!M76+'QUANTITE DETENUES'!N76*N76+O76*'QUANTITE DETENUES'!O76+T76+P76*'QUANTITE DETENUES'!P76+'QUANTITE DETENUES'!Q76*Q76+R76*'QUANTITE DETENUES'!R76+'QUANTITE DETENUES'!S76*S76)</f>
        <v>51104.18706</v>
      </c>
      <c r="V76" s="288"/>
      <c r="W76" s="289"/>
      <c r="X76" s="289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  <c r="AI76" s="289"/>
      <c r="AJ76" s="289"/>
      <c r="AK76" s="289"/>
      <c r="AL76" s="289"/>
      <c r="AM76" s="289"/>
    </row>
    <row r="77">
      <c r="A77" s="409">
        <f>IF(ARBITRAGES!E77="","",ARBITRAGES!E77)</f>
        <v>45786</v>
      </c>
      <c r="B77" s="33">
        <v>104000.0</v>
      </c>
      <c r="C77" s="33">
        <v>2500.0</v>
      </c>
      <c r="D77" s="412">
        <v>3.3</v>
      </c>
      <c r="E77" s="33">
        <v>170.0</v>
      </c>
      <c r="F77" s="33">
        <v>450.0</v>
      </c>
      <c r="G77" s="412">
        <v>0.637</v>
      </c>
      <c r="H77" s="412">
        <v>16.2</v>
      </c>
      <c r="I77" s="413">
        <v>0.0207</v>
      </c>
      <c r="J77" s="414">
        <v>1.5E-5</v>
      </c>
      <c r="K77" s="413">
        <v>2.33</v>
      </c>
      <c r="L77" s="413">
        <v>0.52</v>
      </c>
      <c r="M77" s="413">
        <v>220.0</v>
      </c>
      <c r="N77" s="415">
        <v>0.0055</v>
      </c>
      <c r="O77" s="413">
        <v>3.9</v>
      </c>
      <c r="P77" s="413">
        <v>0.00185</v>
      </c>
      <c r="Q77" s="416">
        <v>1.21E-5</v>
      </c>
      <c r="R77" s="413">
        <v>0.71</v>
      </c>
      <c r="S77" s="413">
        <v>2.9</v>
      </c>
      <c r="T77" s="14">
        <f>IF(A77="","",ARBITRAGES!M77)</f>
        <v>5484.860044</v>
      </c>
      <c r="U77" s="417">
        <f>IF(A77="","",B77*'QUANTITE DETENUES'!B77+'QUANTITE DETENUES'!C77*C77+'QUANTITE DETENUES'!D77*D77+E77*'QUANTITE DETENUES'!E77+'QUANTITE DETENUES'!F77*F77+G77*'QUANTITE DETENUES'!G77+'QUANTITE DETENUES'!H77*H77+I77*'QUANTITE DETENUES'!I77+'QUANTITE DETENUES'!J77*J77+K77*'QUANTITE DETENUES'!K77+'QUANTITE DETENUES'!L77*L77+M77*'QUANTITE DETENUES'!M77+'QUANTITE DETENUES'!N77*N77+O77*'QUANTITE DETENUES'!O77+T77+P77*'QUANTITE DETENUES'!P77+'QUANTITE DETENUES'!Q77*Q77+R77*'QUANTITE DETENUES'!R77+'QUANTITE DETENUES'!S77*S77)</f>
        <v>51062.16706</v>
      </c>
      <c r="V77" s="288"/>
      <c r="W77" s="289"/>
      <c r="X77" s="289"/>
      <c r="Y77" s="289"/>
      <c r="Z77" s="289"/>
      <c r="AA77" s="289"/>
      <c r="AB77" s="289"/>
      <c r="AC77" s="289"/>
      <c r="AD77" s="289"/>
      <c r="AE77" s="289"/>
      <c r="AF77" s="289"/>
      <c r="AG77" s="289"/>
      <c r="AH77" s="289"/>
      <c r="AI77" s="289"/>
      <c r="AJ77" s="289"/>
      <c r="AK77" s="289"/>
      <c r="AL77" s="289"/>
      <c r="AM77" s="289"/>
    </row>
    <row r="78">
      <c r="A78" s="409">
        <f>IF(ARBITRAGES!E78="","",ARBITRAGES!E78)</f>
        <v>45789</v>
      </c>
      <c r="B78" s="33">
        <v>104500.0</v>
      </c>
      <c r="C78" s="33">
        <v>2550.0</v>
      </c>
      <c r="D78" s="412">
        <v>3.5</v>
      </c>
      <c r="E78" s="33">
        <v>175.0</v>
      </c>
      <c r="F78" s="33">
        <v>470.0</v>
      </c>
      <c r="G78" s="412">
        <v>0.7</v>
      </c>
      <c r="H78" s="412">
        <v>17.5</v>
      </c>
      <c r="I78" s="413">
        <v>0.2431</v>
      </c>
      <c r="J78" s="414">
        <v>1.66E-5</v>
      </c>
      <c r="K78" s="413">
        <v>2.5</v>
      </c>
      <c r="L78" s="413">
        <v>0.58</v>
      </c>
      <c r="M78" s="413">
        <v>225.0</v>
      </c>
      <c r="N78" s="415">
        <v>0.006</v>
      </c>
      <c r="O78" s="413">
        <v>4.0</v>
      </c>
      <c r="P78" s="413">
        <v>0.0026</v>
      </c>
      <c r="Q78" s="416">
        <v>1.5E-5</v>
      </c>
      <c r="R78" s="413">
        <v>1.21</v>
      </c>
      <c r="S78" s="413">
        <v>3.3</v>
      </c>
      <c r="T78" s="14">
        <f>IF(A78="","",ARBITRAGES!M78)</f>
        <v>5731.610044</v>
      </c>
      <c r="U78" s="417">
        <f>IF(A78="","",B78*'QUANTITE DETENUES'!B78+'QUANTITE DETENUES'!C78*C78+'QUANTITE DETENUES'!D78*D78+E78*'QUANTITE DETENUES'!E78+'QUANTITE DETENUES'!F78*F78+G78*'QUANTITE DETENUES'!G78+'QUANTITE DETENUES'!H78*H78+I78*'QUANTITE DETENUES'!I78+'QUANTITE DETENUES'!J78*J78+K78*'QUANTITE DETENUES'!K78+'QUANTITE DETENUES'!L78*L78+M78*'QUANTITE DETENUES'!M78+'QUANTITE DETENUES'!N78*N78+O78*'QUANTITE DETENUES'!O78+T78+P78*'QUANTITE DETENUES'!P78+'QUANTITE DETENUES'!Q78*Q78+R78*'QUANTITE DETENUES'!R78+'QUANTITE DETENUES'!S78*S78)</f>
        <v>52809.09666</v>
      </c>
      <c r="V78" s="288"/>
      <c r="W78" s="289"/>
      <c r="X78" s="289"/>
      <c r="Y78" s="289"/>
      <c r="Z78" s="289"/>
      <c r="AA78" s="289"/>
      <c r="AB78" s="289"/>
      <c r="AC78" s="289"/>
      <c r="AD78" s="289"/>
      <c r="AE78" s="289"/>
      <c r="AF78" s="289"/>
      <c r="AG78" s="289"/>
      <c r="AH78" s="289"/>
      <c r="AI78" s="289"/>
      <c r="AJ78" s="289"/>
      <c r="AK78" s="289"/>
      <c r="AL78" s="289"/>
      <c r="AM78" s="289"/>
    </row>
    <row r="79">
      <c r="A79" s="409">
        <f>IF(ARBITRAGES!E79="","",ARBITRAGES!E79)</f>
        <v>45790</v>
      </c>
      <c r="B79" s="33">
        <v>103000.0</v>
      </c>
      <c r="C79" s="33">
        <v>2500.0</v>
      </c>
      <c r="D79" s="412">
        <v>3.3</v>
      </c>
      <c r="E79" s="33">
        <v>175.0</v>
      </c>
      <c r="F79" s="33">
        <v>460.0</v>
      </c>
      <c r="G79" s="412">
        <v>0.7</v>
      </c>
      <c r="H79" s="412">
        <v>16.5</v>
      </c>
      <c r="I79" s="413">
        <v>0.2245</v>
      </c>
      <c r="J79" s="414">
        <v>1.54E-5</v>
      </c>
      <c r="K79" s="413">
        <v>2.4</v>
      </c>
      <c r="L79" s="413">
        <v>0.55</v>
      </c>
      <c r="M79" s="413">
        <v>220.0</v>
      </c>
      <c r="N79" s="415">
        <v>0.006</v>
      </c>
      <c r="O79" s="413">
        <v>3.8</v>
      </c>
      <c r="P79" s="413">
        <v>0.0026</v>
      </c>
      <c r="Q79" s="416">
        <v>1.5E-5</v>
      </c>
      <c r="R79" s="413">
        <v>1.15</v>
      </c>
      <c r="S79" s="413">
        <v>3.11</v>
      </c>
      <c r="T79" s="14">
        <f>IF(A79="","",ARBITRAGES!M79)</f>
        <v>4231.610044</v>
      </c>
      <c r="U79" s="417">
        <f>IF(A79="","",B79*'QUANTITE DETENUES'!B79+'QUANTITE DETENUES'!C79*C79+'QUANTITE DETENUES'!D79*D79+E79*'QUANTITE DETENUES'!E79+'QUANTITE DETENUES'!F79*F79+G79*'QUANTITE DETENUES'!G79+'QUANTITE DETENUES'!H79*H79+I79*'QUANTITE DETENUES'!I79+'QUANTITE DETENUES'!J79*J79+K79*'QUANTITE DETENUES'!K79+'QUANTITE DETENUES'!L79*L79+M79*'QUANTITE DETENUES'!M79+'QUANTITE DETENUES'!N79*N79+O79*'QUANTITE DETENUES'!O79+T79+P79*'QUANTITE DETENUES'!P79+'QUANTITE DETENUES'!Q79*Q79+R79*'QUANTITE DETENUES'!R79+'QUANTITE DETENUES'!S79*S79)</f>
        <v>51891.13917</v>
      </c>
      <c r="V79" s="288"/>
      <c r="W79" s="289"/>
      <c r="X79" s="289"/>
      <c r="Y79" s="289"/>
      <c r="Z79" s="289"/>
      <c r="AA79" s="289"/>
      <c r="AB79" s="289"/>
      <c r="AC79" s="289"/>
      <c r="AD79" s="289"/>
      <c r="AE79" s="289"/>
      <c r="AF79" s="289"/>
      <c r="AG79" s="289"/>
      <c r="AH79" s="289"/>
      <c r="AI79" s="289"/>
      <c r="AJ79" s="289"/>
      <c r="AK79" s="289"/>
      <c r="AL79" s="289"/>
      <c r="AM79" s="289"/>
    </row>
    <row r="80">
      <c r="A80" s="409">
        <f>IF(ARBITRAGES!E80="","",ARBITRAGES!E80)</f>
        <v>45808</v>
      </c>
      <c r="B80" s="33">
        <v>103000.0</v>
      </c>
      <c r="C80" s="33">
        <v>2550.0</v>
      </c>
      <c r="D80" s="412">
        <v>3.25</v>
      </c>
      <c r="E80" s="33">
        <v>155.0</v>
      </c>
      <c r="F80" s="33">
        <v>400.0</v>
      </c>
      <c r="G80" s="412">
        <v>0.56</v>
      </c>
      <c r="H80" s="412">
        <v>14.5</v>
      </c>
      <c r="I80" s="413">
        <v>0.18</v>
      </c>
      <c r="J80" s="414">
        <v>1.54E-5</v>
      </c>
      <c r="K80" s="413">
        <v>2.4</v>
      </c>
      <c r="L80" s="413">
        <v>0.55</v>
      </c>
      <c r="M80" s="413">
        <v>220.0</v>
      </c>
      <c r="N80" s="415">
        <v>0.006</v>
      </c>
      <c r="O80" s="413">
        <v>3.8</v>
      </c>
      <c r="P80" s="413">
        <v>0.0026</v>
      </c>
      <c r="Q80" s="416">
        <v>1.5E-5</v>
      </c>
      <c r="R80" s="413">
        <v>1.15</v>
      </c>
      <c r="S80" s="413">
        <v>3.11</v>
      </c>
      <c r="T80" s="14">
        <f>IF(A80="","",ARBITRAGES!M80)</f>
        <v>3775.610044</v>
      </c>
      <c r="U80" s="417">
        <f>IF(A80="","",B80*'QUANTITE DETENUES'!B80+'QUANTITE DETENUES'!C80*C80+'QUANTITE DETENUES'!D80*D80+E80*'QUANTITE DETENUES'!E80+'QUANTITE DETENUES'!F80*F80+G80*'QUANTITE DETENUES'!G80+'QUANTITE DETENUES'!H80*H80+I80*'QUANTITE DETENUES'!I80+'QUANTITE DETENUES'!J80*J80+K80*'QUANTITE DETENUES'!K80+'QUANTITE DETENUES'!L80*L80+M80*'QUANTITE DETENUES'!M80+'QUANTITE DETENUES'!N80*N80+O80*'QUANTITE DETENUES'!O80+T80+P80*'QUANTITE DETENUES'!P80+'QUANTITE DETENUES'!Q80*Q80+R80*'QUANTITE DETENUES'!R80+'QUANTITE DETENUES'!S80*S80)</f>
        <v>50774.01778</v>
      </c>
      <c r="V80" s="288"/>
      <c r="W80" s="289"/>
      <c r="X80" s="289"/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  <c r="AK80" s="289"/>
      <c r="AL80" s="289"/>
      <c r="AM80" s="289"/>
    </row>
    <row r="81">
      <c r="A81" s="409">
        <f>IF(ARBITRAGES!E81="","",ARBITRAGES!E81)</f>
        <v>45817</v>
      </c>
      <c r="B81" s="33">
        <v>110000.0</v>
      </c>
      <c r="C81" s="33">
        <v>2700.0</v>
      </c>
      <c r="D81" s="412">
        <v>3.33</v>
      </c>
      <c r="E81" s="33">
        <v>160.0</v>
      </c>
      <c r="F81" s="33">
        <v>440.0</v>
      </c>
      <c r="G81" s="412">
        <v>0.57</v>
      </c>
      <c r="H81" s="412">
        <v>15.0</v>
      </c>
      <c r="I81" s="413">
        <v>0.2</v>
      </c>
      <c r="J81" s="414">
        <v>1.3E-5</v>
      </c>
      <c r="K81" s="413">
        <v>2.5</v>
      </c>
      <c r="L81" s="413">
        <v>0.5</v>
      </c>
      <c r="M81" s="413">
        <v>300.0</v>
      </c>
      <c r="N81" s="415">
        <v>0.0042</v>
      </c>
      <c r="O81" s="413">
        <v>4.35</v>
      </c>
      <c r="P81" s="413">
        <v>0.002</v>
      </c>
      <c r="Q81" s="416">
        <v>1.3E-5</v>
      </c>
      <c r="R81" s="413">
        <v>1.04</v>
      </c>
      <c r="S81" s="413">
        <v>2.4</v>
      </c>
      <c r="T81" s="14">
        <f>IF(A81="","",ARBITRAGES!M81)</f>
        <v>5930.243189</v>
      </c>
      <c r="U81" s="417">
        <f>IF(A81="","",B81*'QUANTITE DETENUES'!B81+'QUANTITE DETENUES'!C81*C81+'QUANTITE DETENUES'!D81*D81+E81*'QUANTITE DETENUES'!E81+'QUANTITE DETENUES'!F81*F81+G81*'QUANTITE DETENUES'!G81+'QUANTITE DETENUES'!H81*H81+I81*'QUANTITE DETENUES'!I81+'QUANTITE DETENUES'!J81*J81+K81*'QUANTITE DETENUES'!K81+'QUANTITE DETENUES'!L81*L81+M81*'QUANTITE DETENUES'!M81+'QUANTITE DETENUES'!N81*N81+O81*'QUANTITE DETENUES'!O81+T81+P81*'QUANTITE DETENUES'!P81+'QUANTITE DETENUES'!Q81*Q81+R81*'QUANTITE DETENUES'!R81+'QUANTITE DETENUES'!S81*S81)</f>
        <v>53696.27562</v>
      </c>
      <c r="V81" s="288"/>
      <c r="W81" s="289"/>
      <c r="X81" s="289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  <c r="AK81" s="289"/>
      <c r="AL81" s="289"/>
      <c r="AM81" s="289"/>
    </row>
    <row r="82">
      <c r="A82" s="409">
        <f>IF(ARBITRAGES!E82="","",ARBITRAGES!E82)</f>
        <v>45817</v>
      </c>
      <c r="B82" s="33">
        <v>110000.0</v>
      </c>
      <c r="C82" s="33">
        <v>2700.0</v>
      </c>
      <c r="D82" s="412">
        <v>3.33</v>
      </c>
      <c r="E82" s="33">
        <v>160.0</v>
      </c>
      <c r="F82" s="33">
        <v>440.0</v>
      </c>
      <c r="G82" s="412">
        <v>0.57</v>
      </c>
      <c r="H82" s="412">
        <v>15.0</v>
      </c>
      <c r="I82" s="413">
        <v>0.2</v>
      </c>
      <c r="J82" s="414">
        <v>1.3E-5</v>
      </c>
      <c r="K82" s="413">
        <v>2.5</v>
      </c>
      <c r="L82" s="413">
        <v>0.5</v>
      </c>
      <c r="M82" s="413">
        <v>300.0</v>
      </c>
      <c r="N82" s="415">
        <v>0.0042</v>
      </c>
      <c r="O82" s="413">
        <v>4.35</v>
      </c>
      <c r="P82" s="413">
        <v>0.002</v>
      </c>
      <c r="Q82" s="416">
        <v>1.3E-5</v>
      </c>
      <c r="R82" s="413">
        <v>1.04</v>
      </c>
      <c r="S82" s="413">
        <v>2.4</v>
      </c>
      <c r="T82" s="14">
        <f>IF(A82="","",ARBITRAGES!M82)</f>
        <v>8690.243189</v>
      </c>
      <c r="U82" s="417">
        <f>IF(A82="","",B82*'QUANTITE DETENUES'!B82+'QUANTITE DETENUES'!C82*C82+'QUANTITE DETENUES'!D82*D82+E82*'QUANTITE DETENUES'!E82+'QUANTITE DETENUES'!F82*F82+G82*'QUANTITE DETENUES'!G82+'QUANTITE DETENUES'!H82*H82+I82*'QUANTITE DETENUES'!I82+'QUANTITE DETENUES'!J82*J82+K82*'QUANTITE DETENUES'!K82+'QUANTITE DETENUES'!L82*L82+M82*'QUANTITE DETENUES'!M82+'QUANTITE DETENUES'!N82*N82+O82*'QUANTITE DETENUES'!O82+T82+P82*'QUANTITE DETENUES'!P82+'QUANTITE DETENUES'!Q82*Q82+R82*'QUANTITE DETENUES'!R82+'QUANTITE DETENUES'!S82*S82)</f>
        <v>53721.82851</v>
      </c>
      <c r="V82" s="288"/>
      <c r="W82" s="289"/>
      <c r="X82" s="289"/>
      <c r="Y82" s="289"/>
      <c r="Z82" s="289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  <c r="AK82" s="289"/>
      <c r="AL82" s="289"/>
      <c r="AM82" s="289"/>
    </row>
    <row r="83">
      <c r="A83" s="409">
        <f>IF(ARBITRAGES!E83="","",ARBITRAGES!E83)</f>
        <v>45818</v>
      </c>
      <c r="B83" s="33">
        <v>110000.0</v>
      </c>
      <c r="C83" s="33">
        <v>2750.0</v>
      </c>
      <c r="D83" s="412">
        <v>3.33</v>
      </c>
      <c r="E83" s="33">
        <v>160.0</v>
      </c>
      <c r="F83" s="33">
        <v>440.0</v>
      </c>
      <c r="G83" s="412">
        <v>0.57</v>
      </c>
      <c r="H83" s="412">
        <v>15.0</v>
      </c>
      <c r="I83" s="413">
        <v>0.2</v>
      </c>
      <c r="J83" s="414">
        <v>1.3E-5</v>
      </c>
      <c r="K83" s="413">
        <v>2.5</v>
      </c>
      <c r="L83" s="413">
        <v>0.5</v>
      </c>
      <c r="M83" s="413">
        <v>320.0</v>
      </c>
      <c r="N83" s="415">
        <v>0.0042</v>
      </c>
      <c r="O83" s="413">
        <v>4.35</v>
      </c>
      <c r="P83" s="413">
        <v>0.002</v>
      </c>
      <c r="Q83" s="416">
        <v>1.3E-5</v>
      </c>
      <c r="R83" s="413">
        <v>1.04</v>
      </c>
      <c r="S83" s="413">
        <v>2.4</v>
      </c>
      <c r="T83" s="14">
        <f>IF(A83="","",ARBITRAGES!M83)</f>
        <v>7390.243189</v>
      </c>
      <c r="U83" s="417">
        <f>IF(A83="","",B83*'QUANTITE DETENUES'!B83+'QUANTITE DETENUES'!C83*C83+'QUANTITE DETENUES'!D83*D83+E83*'QUANTITE DETENUES'!E83+'QUANTITE DETENUES'!F83*F83+G83*'QUANTITE DETENUES'!G83+'QUANTITE DETENUES'!H83*H83+I83*'QUANTITE DETENUES'!I83+'QUANTITE DETENUES'!J83*J83+K83*'QUANTITE DETENUES'!K83+'QUANTITE DETENUES'!L83*L83+M83*'QUANTITE DETENUES'!M83+'QUANTITE DETENUES'!N83*N83+O83*'QUANTITE DETENUES'!O83+T83+P83*'QUANTITE DETENUES'!P83+'QUANTITE DETENUES'!Q83*Q83+R83*'QUANTITE DETENUES'!R83+'QUANTITE DETENUES'!S83*S83)</f>
        <v>53968.13422</v>
      </c>
      <c r="V83" s="288"/>
      <c r="W83" s="289"/>
      <c r="X83" s="289"/>
      <c r="Y83" s="289"/>
      <c r="Z83" s="289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  <c r="AK83" s="289"/>
      <c r="AL83" s="289"/>
      <c r="AM83" s="289"/>
    </row>
    <row r="84">
      <c r="A84" s="409">
        <f>IF(ARBITRAGES!E84="","",ARBITRAGES!E84)</f>
        <v>45831</v>
      </c>
      <c r="B84" s="33">
        <v>106000.0</v>
      </c>
      <c r="C84" s="33">
        <v>2600.0</v>
      </c>
      <c r="D84" s="412">
        <v>3.0</v>
      </c>
      <c r="E84" s="33">
        <v>145.0</v>
      </c>
      <c r="F84" s="33">
        <v>370.0</v>
      </c>
      <c r="G84" s="412">
        <v>0.6</v>
      </c>
      <c r="H84" s="412">
        <v>14.0</v>
      </c>
      <c r="I84" s="413">
        <v>0.154</v>
      </c>
      <c r="J84" s="414">
        <v>1.1E-5</v>
      </c>
      <c r="K84" s="413">
        <v>2.0</v>
      </c>
      <c r="L84" s="413">
        <v>0.35</v>
      </c>
      <c r="M84" s="413">
        <v>235.0</v>
      </c>
      <c r="N84" s="415">
        <v>0.003</v>
      </c>
      <c r="O84" s="413">
        <v>3.35</v>
      </c>
      <c r="P84" s="413">
        <v>0.0013</v>
      </c>
      <c r="Q84" s="416">
        <v>9.0E-6</v>
      </c>
      <c r="R84" s="413">
        <v>0.7</v>
      </c>
      <c r="S84" s="413">
        <v>1.9</v>
      </c>
      <c r="T84" s="14">
        <f>IF(A84="","",ARBITRAGES!M84)</f>
        <v>6991.243189</v>
      </c>
      <c r="U84" s="417">
        <f>IF(A84="","",B84*'QUANTITE DETENUES'!B84+'QUANTITE DETENUES'!C84*C84+'QUANTITE DETENUES'!D84*D84+E84*'QUANTITE DETENUES'!E84+'QUANTITE DETENUES'!F84*F84+G84*'QUANTITE DETENUES'!G84+'QUANTITE DETENUES'!H84*H84+I84*'QUANTITE DETENUES'!I84+'QUANTITE DETENUES'!J84*J84+K84*'QUANTITE DETENUES'!K84+'QUANTITE DETENUES'!L84*L84+M84*'QUANTITE DETENUES'!M84+'QUANTITE DETENUES'!N84*N84+O84*'QUANTITE DETENUES'!O84+T84+P84*'QUANTITE DETENUES'!P84+'QUANTITE DETENUES'!Q84*Q84+R84*'QUANTITE DETENUES'!R84+'QUANTITE DETENUES'!S84*S84)</f>
        <v>50244.47274</v>
      </c>
      <c r="V84" s="288"/>
      <c r="W84" s="289"/>
      <c r="X84" s="289"/>
      <c r="Y84" s="289"/>
      <c r="Z84" s="289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  <c r="AK84" s="289"/>
      <c r="AL84" s="289"/>
      <c r="AM84" s="289"/>
    </row>
    <row r="85">
      <c r="A85" s="409">
        <f>IF(ARBITRAGES!E85="","",ARBITRAGES!E85)</f>
        <v>45831</v>
      </c>
      <c r="B85" s="33">
        <v>106000.0</v>
      </c>
      <c r="C85" s="33">
        <v>2600.0</v>
      </c>
      <c r="D85" s="412">
        <v>3.0</v>
      </c>
      <c r="E85" s="33">
        <v>145.0</v>
      </c>
      <c r="F85" s="33">
        <v>370.0</v>
      </c>
      <c r="G85" s="412">
        <v>0.6</v>
      </c>
      <c r="H85" s="412">
        <v>14.0</v>
      </c>
      <c r="I85" s="413">
        <v>0.154</v>
      </c>
      <c r="J85" s="414">
        <v>1.1E-5</v>
      </c>
      <c r="K85" s="413">
        <v>2.0</v>
      </c>
      <c r="L85" s="413">
        <v>0.35</v>
      </c>
      <c r="M85" s="413">
        <v>235.0</v>
      </c>
      <c r="N85" s="415">
        <v>0.003</v>
      </c>
      <c r="O85" s="413">
        <v>3.35</v>
      </c>
      <c r="P85" s="413">
        <v>0.0013</v>
      </c>
      <c r="Q85" s="416">
        <v>9.0E-6</v>
      </c>
      <c r="R85" s="413">
        <v>0.7</v>
      </c>
      <c r="S85" s="413">
        <v>1.9</v>
      </c>
      <c r="T85" s="14">
        <f>IF(A85="","",ARBITRAGES!M85)</f>
        <v>7131.243189</v>
      </c>
      <c r="U85" s="417">
        <f>IF(A85="","",B85*'QUANTITE DETENUES'!B85+'QUANTITE DETENUES'!C85*C85+'QUANTITE DETENUES'!D85*D85+E85*'QUANTITE DETENUES'!E85+'QUANTITE DETENUES'!F85*F85+G85*'QUANTITE DETENUES'!G85+'QUANTITE DETENUES'!H85*H85+I85*'QUANTITE DETENUES'!I85+'QUANTITE DETENUES'!J85*J85+K85*'QUANTITE DETENUES'!K85+'QUANTITE DETENUES'!L85*L85+M85*'QUANTITE DETENUES'!M85+'QUANTITE DETENUES'!N85*N85+O85*'QUANTITE DETENUES'!O85+T85+P85*'QUANTITE DETENUES'!P85+'QUANTITE DETENUES'!Q85*Q85+R85*'QUANTITE DETENUES'!R85+'QUANTITE DETENUES'!S85*S85)</f>
        <v>50244.47274</v>
      </c>
      <c r="V85" s="288"/>
      <c r="W85" s="289"/>
      <c r="X85" s="289"/>
      <c r="Y85" s="289"/>
      <c r="Z85" s="289"/>
      <c r="AA85" s="289"/>
      <c r="AB85" s="289"/>
      <c r="AC85" s="289"/>
      <c r="AD85" s="289"/>
      <c r="AE85" s="289"/>
      <c r="AF85" s="289"/>
      <c r="AG85" s="289"/>
      <c r="AH85" s="289"/>
      <c r="AI85" s="289"/>
      <c r="AJ85" s="289"/>
      <c r="AK85" s="289"/>
      <c r="AL85" s="289"/>
      <c r="AM85" s="289"/>
    </row>
    <row r="86">
      <c r="A86" s="409">
        <f>IF(ARBITRAGES!E86="","",ARBITRAGES!E86)</f>
        <v>45831</v>
      </c>
      <c r="B86" s="33">
        <v>106000.0</v>
      </c>
      <c r="C86" s="33">
        <v>2600.0</v>
      </c>
      <c r="D86" s="412">
        <v>3.0</v>
      </c>
      <c r="E86" s="33">
        <v>145.0</v>
      </c>
      <c r="F86" s="33">
        <v>370.0</v>
      </c>
      <c r="G86" s="412">
        <v>0.6</v>
      </c>
      <c r="H86" s="412">
        <v>14.0</v>
      </c>
      <c r="I86" s="413">
        <v>0.154</v>
      </c>
      <c r="J86" s="414">
        <v>1.1E-5</v>
      </c>
      <c r="K86" s="413">
        <v>2.0</v>
      </c>
      <c r="L86" s="413">
        <v>0.35</v>
      </c>
      <c r="M86" s="413">
        <v>235.0</v>
      </c>
      <c r="N86" s="415">
        <v>0.003</v>
      </c>
      <c r="O86" s="413">
        <v>3.35</v>
      </c>
      <c r="P86" s="413">
        <v>0.0013</v>
      </c>
      <c r="Q86" s="416">
        <v>9.0E-6</v>
      </c>
      <c r="R86" s="413">
        <v>0.7</v>
      </c>
      <c r="S86" s="413">
        <v>1.9</v>
      </c>
      <c r="T86" s="14">
        <f>IF(A86="","",ARBITRAGES!M86)</f>
        <v>7259.243189</v>
      </c>
      <c r="U86" s="417">
        <f>IF(A86="","",B86*'QUANTITE DETENUES'!B86+'QUANTITE DETENUES'!C86*C86+'QUANTITE DETENUES'!D86*D86+E86*'QUANTITE DETENUES'!E86+'QUANTITE DETENUES'!F86*F86+G86*'QUANTITE DETENUES'!G86+'QUANTITE DETENUES'!H86*H86+I86*'QUANTITE DETENUES'!I86+'QUANTITE DETENUES'!J86*J86+K86*'QUANTITE DETENUES'!K86+'QUANTITE DETENUES'!L86*L86+M86*'QUANTITE DETENUES'!M86+'QUANTITE DETENUES'!N86*N86+O86*'QUANTITE DETENUES'!O86+T86+P86*'QUANTITE DETENUES'!P86+'QUANTITE DETENUES'!Q86*Q86+R86*'QUANTITE DETENUES'!R86+'QUANTITE DETENUES'!S86*S86)</f>
        <v>50252.47274</v>
      </c>
      <c r="V86" s="288"/>
      <c r="W86" s="289"/>
      <c r="X86" s="289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</row>
    <row r="87">
      <c r="A87" s="409">
        <f>IF(ARBITRAGES!E87="","",ARBITRAGES!E87)</f>
        <v>45831</v>
      </c>
      <c r="B87" s="33">
        <v>106000.0</v>
      </c>
      <c r="C87" s="33">
        <v>2600.0</v>
      </c>
      <c r="D87" s="412">
        <v>3.0</v>
      </c>
      <c r="E87" s="33">
        <v>145.0</v>
      </c>
      <c r="F87" s="33">
        <v>370.0</v>
      </c>
      <c r="G87" s="412">
        <v>0.6</v>
      </c>
      <c r="H87" s="412">
        <v>14.0</v>
      </c>
      <c r="I87" s="413">
        <v>0.154</v>
      </c>
      <c r="J87" s="414">
        <v>1.1E-5</v>
      </c>
      <c r="K87" s="413">
        <v>2.0</v>
      </c>
      <c r="L87" s="413">
        <v>0.35</v>
      </c>
      <c r="M87" s="413">
        <v>235.0</v>
      </c>
      <c r="N87" s="415">
        <v>0.003</v>
      </c>
      <c r="O87" s="413">
        <v>3.35</v>
      </c>
      <c r="P87" s="413">
        <v>0.0013</v>
      </c>
      <c r="Q87" s="416">
        <v>9.0E-6</v>
      </c>
      <c r="R87" s="413">
        <v>0.7</v>
      </c>
      <c r="S87" s="413">
        <v>1.9</v>
      </c>
      <c r="T87" s="14">
        <f>IF(A87="","",ARBITRAGES!M87)</f>
        <v>7342.793189</v>
      </c>
      <c r="U87" s="417">
        <f>IF(A87="","",B87*'QUANTITE DETENUES'!B87+'QUANTITE DETENUES'!C87*C87+'QUANTITE DETENUES'!D87*D87+E87*'QUANTITE DETENUES'!E87+'QUANTITE DETENUES'!F87*F87+G87*'QUANTITE DETENUES'!G87+'QUANTITE DETENUES'!H87*H87+I87*'QUANTITE DETENUES'!I87+'QUANTITE DETENUES'!J87*J87+K87*'QUANTITE DETENUES'!K87+'QUANTITE DETENUES'!L87*L87+M87*'QUANTITE DETENUES'!M87+'QUANTITE DETENUES'!N87*N87+O87*'QUANTITE DETENUES'!O87+T87+P87*'QUANTITE DETENUES'!P87+'QUANTITE DETENUES'!Q87*Q87+R87*'QUANTITE DETENUES'!R87+'QUANTITE DETENUES'!S87*S87)</f>
        <v>50252.42274</v>
      </c>
      <c r="V87" s="288"/>
      <c r="W87" s="289"/>
      <c r="X87" s="289"/>
      <c r="Y87" s="289"/>
      <c r="Z87" s="289"/>
      <c r="AA87" s="289"/>
      <c r="AB87" s="289"/>
      <c r="AC87" s="289"/>
      <c r="AD87" s="289"/>
      <c r="AE87" s="289"/>
      <c r="AF87" s="289"/>
      <c r="AG87" s="289"/>
      <c r="AH87" s="289"/>
      <c r="AI87" s="289"/>
      <c r="AJ87" s="289"/>
      <c r="AK87" s="289"/>
      <c r="AL87" s="289"/>
      <c r="AM87" s="289"/>
    </row>
    <row r="88">
      <c r="A88" s="409">
        <f>IF(ARBITRAGES!E88="","",ARBITRAGES!E88)</f>
        <v>45831</v>
      </c>
      <c r="B88" s="33">
        <v>106000.0</v>
      </c>
      <c r="C88" s="33">
        <v>2600.0</v>
      </c>
      <c r="D88" s="412">
        <v>3.0</v>
      </c>
      <c r="E88" s="33">
        <v>145.0</v>
      </c>
      <c r="F88" s="33">
        <v>370.0</v>
      </c>
      <c r="G88" s="412">
        <v>0.6</v>
      </c>
      <c r="H88" s="412">
        <v>14.0</v>
      </c>
      <c r="I88" s="413">
        <v>0.154</v>
      </c>
      <c r="J88" s="414">
        <v>1.1E-5</v>
      </c>
      <c r="K88" s="413">
        <v>2.0</v>
      </c>
      <c r="L88" s="413">
        <v>0.35</v>
      </c>
      <c r="M88" s="413">
        <v>235.0</v>
      </c>
      <c r="N88" s="415">
        <v>0.003</v>
      </c>
      <c r="O88" s="413">
        <v>3.35</v>
      </c>
      <c r="P88" s="413">
        <v>0.0013</v>
      </c>
      <c r="Q88" s="416">
        <v>9.0E-6</v>
      </c>
      <c r="R88" s="413">
        <v>0.7</v>
      </c>
      <c r="S88" s="413">
        <v>1.9</v>
      </c>
      <c r="T88" s="14">
        <f>IF(A88="","",ARBITRAGES!M88)</f>
        <v>7454.286229</v>
      </c>
      <c r="U88" s="417">
        <f>IF(A88="","",B88*'QUANTITE DETENUES'!B88+'QUANTITE DETENUES'!C88*C88+'QUANTITE DETENUES'!D88*D88+E88*'QUANTITE DETENUES'!E88+'QUANTITE DETENUES'!F88*F88+G88*'QUANTITE DETENUES'!G88+'QUANTITE DETENUES'!H88*H88+I88*'QUANTITE DETENUES'!I88+'QUANTITE DETENUES'!J88*J88+K88*'QUANTITE DETENUES'!K88+'QUANTITE DETENUES'!L88*L88+M88*'QUANTITE DETENUES'!M88+'QUANTITE DETENUES'!N88*N88+O88*'QUANTITE DETENUES'!O88+T88+P88*'QUANTITE DETENUES'!P88+'QUANTITE DETENUES'!Q88*Q88+R88*'QUANTITE DETENUES'!R88+'QUANTITE DETENUES'!S88*S88)</f>
        <v>50262.57278</v>
      </c>
      <c r="V88" s="288"/>
      <c r="W88" s="289"/>
      <c r="X88" s="289"/>
      <c r="Y88" s="289"/>
      <c r="Z88" s="289"/>
      <c r="AA88" s="289"/>
      <c r="AB88" s="289"/>
      <c r="AC88" s="289"/>
      <c r="AD88" s="289"/>
      <c r="AE88" s="289"/>
      <c r="AF88" s="289"/>
      <c r="AG88" s="289"/>
      <c r="AH88" s="289"/>
      <c r="AI88" s="289"/>
      <c r="AJ88" s="289"/>
      <c r="AK88" s="289"/>
      <c r="AL88" s="289"/>
      <c r="AM88" s="289"/>
    </row>
    <row r="89">
      <c r="A89" s="409">
        <f>IF(ARBITRAGES!E89="","",ARBITRAGES!E89)</f>
        <v>45832</v>
      </c>
      <c r="B89" s="33">
        <v>105500.0</v>
      </c>
      <c r="C89" s="33">
        <v>2450.0</v>
      </c>
      <c r="D89" s="412">
        <v>2.91</v>
      </c>
      <c r="E89" s="33">
        <v>145.0</v>
      </c>
      <c r="F89" s="33">
        <v>360.0</v>
      </c>
      <c r="G89" s="412">
        <v>0.44</v>
      </c>
      <c r="H89" s="412">
        <v>13.2</v>
      </c>
      <c r="I89" s="413">
        <v>0.165</v>
      </c>
      <c r="J89" s="414">
        <v>1.2E-5</v>
      </c>
      <c r="K89" s="413">
        <v>2.2</v>
      </c>
      <c r="L89" s="413">
        <v>0.42</v>
      </c>
      <c r="M89" s="413">
        <v>265.0</v>
      </c>
      <c r="N89" s="415">
        <v>0.003</v>
      </c>
      <c r="O89" s="413">
        <v>3.52</v>
      </c>
      <c r="P89" s="413">
        <v>0.0013</v>
      </c>
      <c r="Q89" s="416">
        <v>1.0E-5</v>
      </c>
      <c r="R89" s="413">
        <v>0.86</v>
      </c>
      <c r="S89" s="413">
        <v>2.0</v>
      </c>
      <c r="T89" s="14">
        <f>IF(A89="","",ARBITRAGES!M89)</f>
        <v>7613.661469</v>
      </c>
      <c r="U89" s="417">
        <f>IF(A89="","",B89*'QUANTITE DETENUES'!B89+'QUANTITE DETENUES'!C89*C89+'QUANTITE DETENUES'!D89*D89+E89*'QUANTITE DETENUES'!E89+'QUANTITE DETENUES'!F89*F89+G89*'QUANTITE DETENUES'!G89+'QUANTITE DETENUES'!H89*H89+I89*'QUANTITE DETENUES'!I89+'QUANTITE DETENUES'!J89*J89+K89*'QUANTITE DETENUES'!K89+'QUANTITE DETENUES'!L89*L89+M89*'QUANTITE DETENUES'!M89+'QUANTITE DETENUES'!N89*N89+O89*'QUANTITE DETENUES'!O89+T89+P89*'QUANTITE DETENUES'!P89+'QUANTITE DETENUES'!Q89*Q89+R89*'QUANTITE DETENUES'!R89+'QUANTITE DETENUES'!S89*S89)</f>
        <v>49783.28497</v>
      </c>
      <c r="V89" s="288"/>
      <c r="W89" s="289"/>
      <c r="X89" s="289"/>
      <c r="Y89" s="289"/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289"/>
      <c r="AL89" s="289"/>
      <c r="AM89" s="289"/>
    </row>
    <row r="90">
      <c r="A90" s="409">
        <f>IF(ARBITRAGES!E90="","",ARBITRAGES!E90)</f>
        <v>45847</v>
      </c>
      <c r="B90" s="418">
        <v>112000.0</v>
      </c>
      <c r="C90" s="418">
        <v>2750.0</v>
      </c>
      <c r="D90" s="419">
        <v>2.84</v>
      </c>
      <c r="E90" s="418">
        <v>157.0</v>
      </c>
      <c r="F90" s="418">
        <v>345.0</v>
      </c>
      <c r="G90" s="419">
        <v>0.495</v>
      </c>
      <c r="H90" s="419">
        <v>14.0</v>
      </c>
      <c r="I90" s="420">
        <v>0.175</v>
      </c>
      <c r="J90" s="414">
        <v>1.3E-5</v>
      </c>
      <c r="K90" s="420">
        <v>2.35</v>
      </c>
      <c r="L90" s="420">
        <v>0.445</v>
      </c>
      <c r="M90" s="420">
        <v>300.0</v>
      </c>
      <c r="N90" s="415">
        <v>0.0038</v>
      </c>
      <c r="O90" s="420">
        <v>3.75</v>
      </c>
      <c r="P90" s="413">
        <v>0.0015</v>
      </c>
      <c r="Q90" s="416">
        <v>1.0E-5</v>
      </c>
      <c r="R90" s="413">
        <v>0.86</v>
      </c>
      <c r="S90" s="413">
        <v>2.5</v>
      </c>
      <c r="T90" s="14">
        <f>IF(A90="","",ARBITRAGES!M90)</f>
        <v>7315.661469</v>
      </c>
      <c r="U90" s="417">
        <f>IF(A90="","",B90*'QUANTITE DETENUES'!B90+'QUANTITE DETENUES'!C90*C90+'QUANTITE DETENUES'!D90*D90+E90*'QUANTITE DETENUES'!E90+'QUANTITE DETENUES'!F90*F90+G90*'QUANTITE DETENUES'!G90+'QUANTITE DETENUES'!H90*H90+I90*'QUANTITE DETENUES'!I90+'QUANTITE DETENUES'!J90*J90+K90*'QUANTITE DETENUES'!K90+'QUANTITE DETENUES'!L90*L90+M90*'QUANTITE DETENUES'!M90+'QUANTITE DETENUES'!N90*N90+O90*'QUANTITE DETENUES'!O90+T90+P90*'QUANTITE DETENUES'!P90+'QUANTITE DETENUES'!Q90*Q90+R90*'QUANTITE DETENUES'!R90+'QUANTITE DETENUES'!S90*S90)</f>
        <v>52535.11227</v>
      </c>
      <c r="V90" s="288"/>
      <c r="W90" s="289"/>
      <c r="X90" s="289"/>
      <c r="Y90" s="289"/>
      <c r="Z90" s="289"/>
      <c r="AA90" s="289"/>
      <c r="AB90" s="289"/>
      <c r="AC90" s="289"/>
      <c r="AD90" s="289"/>
      <c r="AE90" s="289"/>
      <c r="AF90" s="289"/>
      <c r="AG90" s="289"/>
      <c r="AH90" s="289"/>
      <c r="AI90" s="289"/>
      <c r="AJ90" s="289"/>
      <c r="AK90" s="289"/>
      <c r="AL90" s="289"/>
      <c r="AM90" s="289"/>
    </row>
    <row r="91">
      <c r="A91" s="409">
        <f>IF(ARBITRAGES!E91="","",ARBITRAGES!E91)</f>
        <v>45848</v>
      </c>
      <c r="B91" s="418">
        <v>118000.0</v>
      </c>
      <c r="C91" s="418">
        <v>3000.0</v>
      </c>
      <c r="D91" s="419">
        <v>2.98</v>
      </c>
      <c r="E91" s="418">
        <v>161.0</v>
      </c>
      <c r="F91" s="418">
        <v>400.0</v>
      </c>
      <c r="G91" s="419">
        <v>0.51</v>
      </c>
      <c r="H91" s="419">
        <v>15.15</v>
      </c>
      <c r="I91" s="420">
        <v>0.2</v>
      </c>
      <c r="J91" s="414">
        <v>1.35E-5</v>
      </c>
      <c r="K91" s="420">
        <v>2.55</v>
      </c>
      <c r="L91" s="420">
        <v>0.485</v>
      </c>
      <c r="M91" s="420">
        <v>305.0</v>
      </c>
      <c r="N91" s="421">
        <v>0.0041</v>
      </c>
      <c r="O91" s="420">
        <v>4.0</v>
      </c>
      <c r="P91" s="413">
        <v>0.0018</v>
      </c>
      <c r="Q91" s="416">
        <v>1.2E-5</v>
      </c>
      <c r="R91" s="413">
        <v>0.96</v>
      </c>
      <c r="S91" s="413">
        <v>2.6</v>
      </c>
      <c r="T91" s="14">
        <f>IF(A91="","",ARBITRAGES!M91)</f>
        <v>7685.661469</v>
      </c>
      <c r="U91" s="417">
        <f>IF(A91="","",B91*'QUANTITE DETENUES'!B91+'QUANTITE DETENUES'!C91*C91+'QUANTITE DETENUES'!D91*D91+E91*'QUANTITE DETENUES'!E91+'QUANTITE DETENUES'!F91*F91+G91*'QUANTITE DETENUES'!G91+'QUANTITE DETENUES'!H91*H91+I91*'QUANTITE DETENUES'!I91+'QUANTITE DETENUES'!J91*J91+K91*'QUANTITE DETENUES'!K91+'QUANTITE DETENUES'!L91*L91+M91*'QUANTITE DETENUES'!M91+'QUANTITE DETENUES'!N91*N91+O91*'QUANTITE DETENUES'!O91+T91+P91*'QUANTITE DETENUES'!P91+'QUANTITE DETENUES'!Q91*Q91+R91*'QUANTITE DETENUES'!R91+'QUANTITE DETENUES'!S91*S91)</f>
        <v>55609.70236</v>
      </c>
      <c r="V91" s="288"/>
      <c r="W91" s="289"/>
      <c r="X91" s="289"/>
      <c r="Y91" s="289"/>
      <c r="Z91" s="289"/>
      <c r="AA91" s="289"/>
      <c r="AB91" s="289"/>
      <c r="AC91" s="289"/>
      <c r="AD91" s="289"/>
      <c r="AE91" s="289"/>
      <c r="AF91" s="289"/>
      <c r="AG91" s="289"/>
      <c r="AH91" s="289"/>
      <c r="AI91" s="289"/>
      <c r="AJ91" s="289"/>
      <c r="AK91" s="289"/>
      <c r="AL91" s="289"/>
      <c r="AM91" s="289"/>
    </row>
    <row r="92">
      <c r="A92" s="409">
        <f>IF(ARBITRAGES!E92="","",ARBITRAGES!E92)</f>
        <v>45849</v>
      </c>
      <c r="B92" s="33">
        <v>118000.0</v>
      </c>
      <c r="C92" s="33">
        <v>3000.0</v>
      </c>
      <c r="D92" s="412">
        <v>2.98</v>
      </c>
      <c r="E92" s="33">
        <v>161.0</v>
      </c>
      <c r="F92" s="33">
        <v>400.0</v>
      </c>
      <c r="G92" s="412">
        <v>0.51</v>
      </c>
      <c r="H92" s="412">
        <v>15.15</v>
      </c>
      <c r="I92" s="413">
        <v>0.2</v>
      </c>
      <c r="J92" s="414">
        <v>1.35E-5</v>
      </c>
      <c r="K92" s="413">
        <v>2.55</v>
      </c>
      <c r="L92" s="413">
        <v>0.485</v>
      </c>
      <c r="M92" s="413">
        <v>305.0</v>
      </c>
      <c r="N92" s="421">
        <v>0.0041</v>
      </c>
      <c r="O92" s="413">
        <v>4.0</v>
      </c>
      <c r="P92" s="413">
        <v>0.0018</v>
      </c>
      <c r="Q92" s="416">
        <v>1.2E-5</v>
      </c>
      <c r="R92" s="413">
        <v>0.96</v>
      </c>
      <c r="S92" s="413">
        <v>2.6</v>
      </c>
      <c r="T92" s="14">
        <f>IF(A92="","",ARBITRAGES!M92)</f>
        <v>8159.661369</v>
      </c>
      <c r="U92" s="417">
        <f>IF(A92="","",B92*'QUANTITE DETENUES'!B92+'QUANTITE DETENUES'!C92*C92+'QUANTITE DETENUES'!D92*D92+E92*'QUANTITE DETENUES'!E92+'QUANTITE DETENUES'!F92*F92+G92*'QUANTITE DETENUES'!G92+'QUANTITE DETENUES'!H92*H92+I92*'QUANTITE DETENUES'!I92+'QUANTITE DETENUES'!J92*J92+K92*'QUANTITE DETENUES'!K92+'QUANTITE DETENUES'!L92*L92+M92*'QUANTITE DETENUES'!M92+'QUANTITE DETENUES'!N92*N92+O92*'QUANTITE DETENUES'!O92+T92+P92*'QUANTITE DETENUES'!P92+'QUANTITE DETENUES'!Q92*Q92+R92*'QUANTITE DETENUES'!R92+'QUANTITE DETENUES'!S92*S92)</f>
        <v>55610.38426</v>
      </c>
      <c r="V92" s="288"/>
      <c r="W92" s="289"/>
      <c r="X92" s="289"/>
      <c r="Y92" s="289"/>
      <c r="Z92" s="289"/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289"/>
      <c r="AL92" s="289"/>
      <c r="AM92" s="289"/>
    </row>
    <row r="93">
      <c r="A93" s="409">
        <f>IF(ARBITRAGES!E93="","",ARBITRAGES!E93)</f>
        <v>45849</v>
      </c>
      <c r="B93" s="33">
        <v>118000.0</v>
      </c>
      <c r="C93" s="33">
        <v>3000.0</v>
      </c>
      <c r="D93" s="412">
        <v>2.98</v>
      </c>
      <c r="E93" s="33">
        <v>161.0</v>
      </c>
      <c r="F93" s="33">
        <v>400.0</v>
      </c>
      <c r="G93" s="412">
        <v>0.51</v>
      </c>
      <c r="H93" s="412">
        <v>15.15</v>
      </c>
      <c r="I93" s="413">
        <v>0.2</v>
      </c>
      <c r="J93" s="414">
        <v>1.35E-5</v>
      </c>
      <c r="K93" s="413">
        <v>2.55</v>
      </c>
      <c r="L93" s="413">
        <v>0.485</v>
      </c>
      <c r="M93" s="413">
        <v>305.0</v>
      </c>
      <c r="N93" s="421">
        <v>0.0041</v>
      </c>
      <c r="O93" s="413">
        <v>4.0</v>
      </c>
      <c r="P93" s="413">
        <v>0.0018</v>
      </c>
      <c r="Q93" s="416">
        <v>1.2E-5</v>
      </c>
      <c r="R93" s="413">
        <v>0.96</v>
      </c>
      <c r="S93" s="413">
        <v>2.6</v>
      </c>
      <c r="T93" s="14">
        <f>IF(A93="","",ARBITRAGES!M93)</f>
        <v>8659.661454</v>
      </c>
      <c r="U93" s="417">
        <f>IF(A93="","",B93*'QUANTITE DETENUES'!B93+'QUANTITE DETENUES'!C93*C93+'QUANTITE DETENUES'!D93*D93+E93*'QUANTITE DETENUES'!E93+'QUANTITE DETENUES'!F93*F93+G93*'QUANTITE DETENUES'!G93+'QUANTITE DETENUES'!H93*H93+I93*'QUANTITE DETENUES'!I93+'QUANTITE DETENUES'!J93*J93+K93*'QUANTITE DETENUES'!K93+'QUANTITE DETENUES'!L93*L93+M93*'QUANTITE DETENUES'!M93+'QUANTITE DETENUES'!N93*N93+O93*'QUANTITE DETENUES'!O93+T93+P93*'QUANTITE DETENUES'!P93+'QUANTITE DETENUES'!Q93*Q93+R93*'QUANTITE DETENUES'!R93+'QUANTITE DETENUES'!S93*S93)</f>
        <v>55612.49397</v>
      </c>
      <c r="V93" s="288"/>
      <c r="W93" s="289"/>
      <c r="X93" s="289"/>
      <c r="Y93" s="289"/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289"/>
      <c r="AL93" s="289"/>
      <c r="AM93" s="289"/>
    </row>
    <row r="94">
      <c r="A94" s="409">
        <f>IF(ARBITRAGES!E94="","",ARBITRAGES!E94)</f>
        <v>45850</v>
      </c>
      <c r="B94" s="33">
        <v>118000.0</v>
      </c>
      <c r="C94" s="33">
        <v>3000.0</v>
      </c>
      <c r="D94" s="412">
        <v>2.98</v>
      </c>
      <c r="E94" s="33">
        <v>161.0</v>
      </c>
      <c r="F94" s="33">
        <v>400.0</v>
      </c>
      <c r="G94" s="412">
        <v>0.51</v>
      </c>
      <c r="H94" s="412">
        <v>15.15</v>
      </c>
      <c r="I94" s="413">
        <v>0.2</v>
      </c>
      <c r="J94" s="414">
        <v>1.35E-5</v>
      </c>
      <c r="K94" s="413">
        <v>2.55</v>
      </c>
      <c r="L94" s="413">
        <v>0.485</v>
      </c>
      <c r="M94" s="413">
        <v>305.0</v>
      </c>
      <c r="N94" s="415">
        <v>0.0041</v>
      </c>
      <c r="O94" s="413">
        <v>4.0</v>
      </c>
      <c r="P94" s="413">
        <v>0.0018</v>
      </c>
      <c r="Q94" s="416">
        <v>1.2E-5</v>
      </c>
      <c r="R94" s="413">
        <v>0.96</v>
      </c>
      <c r="S94" s="413">
        <v>2.6</v>
      </c>
      <c r="T94" s="14">
        <f>IF(A94="","",ARBITRAGES!M94)</f>
        <v>8988.807021</v>
      </c>
      <c r="U94" s="417">
        <f>IF(A94="","",B94*'QUANTITE DETENUES'!B94+'QUANTITE DETENUES'!C94*C94+'QUANTITE DETENUES'!D94*D94+E94*'QUANTITE DETENUES'!E94+'QUANTITE DETENUES'!F94*F94+G94*'QUANTITE DETENUES'!G94+'QUANTITE DETENUES'!H94*H94+I94*'QUANTITE DETENUES'!I94+'QUANTITE DETENUES'!J94*J94+K94*'QUANTITE DETENUES'!K94+'QUANTITE DETENUES'!L94*L94+M94*'QUANTITE DETENUES'!M94+'QUANTITE DETENUES'!N94*N94+O94*'QUANTITE DETENUES'!O94+T94+P94*'QUANTITE DETENUES'!P94+'QUANTITE DETENUES'!Q94*Q94+R94*'QUANTITE DETENUES'!R94+'QUANTITE DETENUES'!S94*S94)</f>
        <v>55614.84797</v>
      </c>
      <c r="V94" s="288"/>
      <c r="W94" s="289"/>
      <c r="X94" s="289"/>
      <c r="Y94" s="289"/>
      <c r="Z94" s="289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</row>
    <row r="95">
      <c r="A95" s="409">
        <f>IF(ARBITRAGES!E95="","",ARBITRAGES!E95)</f>
        <v>45852</v>
      </c>
      <c r="B95" s="33">
        <v>119500.0</v>
      </c>
      <c r="C95" s="33">
        <v>3350.0</v>
      </c>
      <c r="D95" s="412">
        <v>3.17</v>
      </c>
      <c r="E95" s="33">
        <v>175.0</v>
      </c>
      <c r="F95" s="33">
        <v>450.0</v>
      </c>
      <c r="G95" s="412">
        <v>0.56</v>
      </c>
      <c r="H95" s="412">
        <v>16.95</v>
      </c>
      <c r="I95" s="413">
        <v>0.207</v>
      </c>
      <c r="J95" s="414">
        <v>1.43E-5</v>
      </c>
      <c r="K95" s="413">
        <v>2.53</v>
      </c>
      <c r="L95" s="413">
        <v>0.55</v>
      </c>
      <c r="M95" s="413">
        <v>333.0</v>
      </c>
      <c r="N95" s="415">
        <v>0.0044</v>
      </c>
      <c r="O95" s="413">
        <v>4.3</v>
      </c>
      <c r="P95" s="413">
        <v>0.0023</v>
      </c>
      <c r="Q95" s="416">
        <v>1.37E-5</v>
      </c>
      <c r="R95" s="413">
        <v>1.15</v>
      </c>
      <c r="S95" s="413">
        <v>2.75</v>
      </c>
      <c r="T95" s="14">
        <f>IF(A95="","",ARBITRAGES!M95)</f>
        <v>7988.807021</v>
      </c>
      <c r="U95" s="417">
        <f>IF(A95="","",B95*'QUANTITE DETENUES'!B95+'QUANTITE DETENUES'!C95*C95+'QUANTITE DETENUES'!D95*D95+E95*'QUANTITE DETENUES'!E95+'QUANTITE DETENUES'!F95*F95+G95*'QUANTITE DETENUES'!G95+'QUANTITE DETENUES'!H95*H95+I95*'QUANTITE DETENUES'!I95+'QUANTITE DETENUES'!J95*J95+K95*'QUANTITE DETENUES'!K95+'QUANTITE DETENUES'!L95*L95+M95*'QUANTITE DETENUES'!M95+'QUANTITE DETENUES'!N95*N95+O95*'QUANTITE DETENUES'!O95+T95+P95*'QUANTITE DETENUES'!P95+'QUANTITE DETENUES'!Q95*Q95+R95*'QUANTITE DETENUES'!R95+'QUANTITE DETENUES'!S95*S95)</f>
        <v>58302.68636</v>
      </c>
      <c r="V95" s="288"/>
      <c r="W95" s="289"/>
      <c r="X95" s="289"/>
      <c r="Y95" s="289"/>
      <c r="Z95" s="289"/>
      <c r="AA95" s="289"/>
      <c r="AB95" s="289"/>
      <c r="AC95" s="289"/>
      <c r="AD95" s="289"/>
      <c r="AE95" s="289"/>
      <c r="AF95" s="289"/>
      <c r="AG95" s="289"/>
      <c r="AH95" s="289"/>
      <c r="AI95" s="289"/>
      <c r="AJ95" s="289"/>
      <c r="AK95" s="289"/>
      <c r="AL95" s="289"/>
      <c r="AM95" s="289"/>
    </row>
    <row r="96">
      <c r="A96" s="409">
        <f>IF(ARBITRAGES!E96="","",ARBITRAGES!E96)</f>
        <v>45852</v>
      </c>
      <c r="B96" s="33">
        <v>119500.0</v>
      </c>
      <c r="C96" s="33">
        <v>3350.0</v>
      </c>
      <c r="D96" s="412">
        <v>3.17</v>
      </c>
      <c r="E96" s="33">
        <v>175.0</v>
      </c>
      <c r="F96" s="33">
        <v>450.0</v>
      </c>
      <c r="G96" s="412">
        <v>0.56</v>
      </c>
      <c r="H96" s="412">
        <v>16.95</v>
      </c>
      <c r="I96" s="413">
        <v>0.207</v>
      </c>
      <c r="J96" s="414">
        <v>1.43E-5</v>
      </c>
      <c r="K96" s="413">
        <v>2.53</v>
      </c>
      <c r="L96" s="413">
        <v>0.55</v>
      </c>
      <c r="M96" s="413">
        <v>333.0</v>
      </c>
      <c r="N96" s="415">
        <v>0.0044</v>
      </c>
      <c r="O96" s="413">
        <v>4.3</v>
      </c>
      <c r="P96" s="413">
        <v>0.0023</v>
      </c>
      <c r="Q96" s="416">
        <v>1.37E-5</v>
      </c>
      <c r="R96" s="413">
        <v>1.15</v>
      </c>
      <c r="S96" s="413">
        <v>2.75</v>
      </c>
      <c r="T96" s="14">
        <f>IF(A96="","",ARBITRAGES!M96)</f>
        <v>7788.932021</v>
      </c>
      <c r="U96" s="417">
        <f>IF(A96="","",B96*'QUANTITE DETENUES'!B96+'QUANTITE DETENUES'!C96*C96+'QUANTITE DETENUES'!D96*D96+E96*'QUANTITE DETENUES'!E96+'QUANTITE DETENUES'!F96*F96+G96*'QUANTITE DETENUES'!G96+'QUANTITE DETENUES'!H96*H96+I96*'QUANTITE DETENUES'!I96+'QUANTITE DETENUES'!J96*J96+K96*'QUANTITE DETENUES'!K96+'QUANTITE DETENUES'!L96*L96+M96*'QUANTITE DETENUES'!M96+'QUANTITE DETENUES'!N96*N96+O96*'QUANTITE DETENUES'!O96+T96+P96*'QUANTITE DETENUES'!P96+'QUANTITE DETENUES'!Q96*Q96+R96*'QUANTITE DETENUES'!R96+'QUANTITE DETENUES'!S96*S96)</f>
        <v>58315.19336</v>
      </c>
      <c r="V96" s="288"/>
      <c r="W96" s="289"/>
      <c r="X96" s="289"/>
      <c r="Y96" s="289"/>
      <c r="Z96" s="289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289"/>
      <c r="AL96" s="289"/>
      <c r="AM96" s="289"/>
    </row>
    <row r="97">
      <c r="A97" s="409">
        <f>IF(ARBITRAGES!E97="","",ARBITRAGES!E97)</f>
        <v>45852</v>
      </c>
      <c r="B97" s="33">
        <v>119500.0</v>
      </c>
      <c r="C97" s="33">
        <v>3350.0</v>
      </c>
      <c r="D97" s="412">
        <v>3.17</v>
      </c>
      <c r="E97" s="33">
        <v>175.0</v>
      </c>
      <c r="F97" s="33">
        <v>450.0</v>
      </c>
      <c r="G97" s="412">
        <v>0.56</v>
      </c>
      <c r="H97" s="412">
        <v>16.95</v>
      </c>
      <c r="I97" s="413">
        <v>0.207</v>
      </c>
      <c r="J97" s="414">
        <v>1.43E-5</v>
      </c>
      <c r="K97" s="413">
        <v>2.53</v>
      </c>
      <c r="L97" s="413">
        <v>0.55</v>
      </c>
      <c r="M97" s="413">
        <v>333.0</v>
      </c>
      <c r="N97" s="415">
        <v>0.0044</v>
      </c>
      <c r="O97" s="413">
        <v>4.3</v>
      </c>
      <c r="P97" s="413">
        <v>0.0023</v>
      </c>
      <c r="Q97" s="416">
        <v>1.37E-5</v>
      </c>
      <c r="R97" s="413">
        <v>1.15</v>
      </c>
      <c r="S97" s="413">
        <v>2.75</v>
      </c>
      <c r="T97" s="14">
        <f>IF(A97="","",ARBITRAGES!M97)</f>
        <v>7502.932021</v>
      </c>
      <c r="U97" s="417">
        <f>IF(A97="","",B97*'QUANTITE DETENUES'!B97+'QUANTITE DETENUES'!C97*C97+'QUANTITE DETENUES'!D97*D97+E97*'QUANTITE DETENUES'!E97+'QUANTITE DETENUES'!F97*F97+G97*'QUANTITE DETENUES'!G97+'QUANTITE DETENUES'!H97*H97+I97*'QUANTITE DETENUES'!I97+'QUANTITE DETENUES'!J97*J97+K97*'QUANTITE DETENUES'!K97+'QUANTITE DETENUES'!L97*L97+M97*'QUANTITE DETENUES'!M97+'QUANTITE DETENUES'!N97*N97+O97*'QUANTITE DETENUES'!O97+T97+P97*'QUANTITE DETENUES'!P97+'QUANTITE DETENUES'!Q97*Q97+R97*'QUANTITE DETENUES'!R97+'QUANTITE DETENUES'!S97*S97)</f>
        <v>58340.06293</v>
      </c>
      <c r="V97" s="288"/>
      <c r="W97" s="289"/>
      <c r="X97" s="289"/>
      <c r="Y97" s="289"/>
      <c r="Z97" s="289"/>
      <c r="AA97" s="289"/>
      <c r="AB97" s="289"/>
      <c r="AC97" s="289"/>
      <c r="AD97" s="289"/>
      <c r="AE97" s="289"/>
      <c r="AF97" s="289"/>
      <c r="AG97" s="289"/>
      <c r="AH97" s="289"/>
      <c r="AI97" s="289"/>
      <c r="AJ97" s="289"/>
      <c r="AK97" s="289"/>
      <c r="AL97" s="289"/>
      <c r="AM97" s="289"/>
    </row>
    <row r="98">
      <c r="A98" s="409">
        <f>IF(ARBITRAGES!E98="","",ARBITRAGES!E98)</f>
        <v>45852</v>
      </c>
      <c r="B98" s="33">
        <v>119500.0</v>
      </c>
      <c r="C98" s="33">
        <v>3350.0</v>
      </c>
      <c r="D98" s="412">
        <v>3.17</v>
      </c>
      <c r="E98" s="33">
        <v>175.0</v>
      </c>
      <c r="F98" s="33">
        <v>450.0</v>
      </c>
      <c r="G98" s="412">
        <v>0.56</v>
      </c>
      <c r="H98" s="412">
        <v>16.95</v>
      </c>
      <c r="I98" s="413">
        <v>0.207</v>
      </c>
      <c r="J98" s="414">
        <v>1.43E-5</v>
      </c>
      <c r="K98" s="413">
        <v>2.53</v>
      </c>
      <c r="L98" s="413">
        <v>0.55</v>
      </c>
      <c r="M98" s="413">
        <v>333.0</v>
      </c>
      <c r="N98" s="415">
        <v>0.0044</v>
      </c>
      <c r="O98" s="413">
        <v>4.3</v>
      </c>
      <c r="P98" s="413">
        <v>0.0023</v>
      </c>
      <c r="Q98" s="416">
        <v>1.37E-5</v>
      </c>
      <c r="R98" s="413">
        <v>1.15</v>
      </c>
      <c r="S98" s="413">
        <v>2.75</v>
      </c>
      <c r="T98" s="14">
        <f>IF(A98="","",ARBITRAGES!M98)</f>
        <v>7302.932021</v>
      </c>
      <c r="U98" s="417">
        <f>IF(A98="","",B98*'QUANTITE DETENUES'!B98+'QUANTITE DETENUES'!C98*C98+'QUANTITE DETENUES'!D98*D98+E98*'QUANTITE DETENUES'!E98+'QUANTITE DETENUES'!F98*F98+G98*'QUANTITE DETENUES'!G98+'QUANTITE DETENUES'!H98*H98+I98*'QUANTITE DETENUES'!I98+'QUANTITE DETENUES'!J98*J98+K98*'QUANTITE DETENUES'!K98+'QUANTITE DETENUES'!L98*L98+M98*'QUANTITE DETENUES'!M98+'QUANTITE DETENUES'!N98*N98+O98*'QUANTITE DETENUES'!O98+T98+P98*'QUANTITE DETENUES'!P98+'QUANTITE DETENUES'!Q98*Q98+R98*'QUANTITE DETENUES'!R98+'QUANTITE DETENUES'!S98*S98)</f>
        <v>58344.86155</v>
      </c>
      <c r="V98" s="288"/>
      <c r="W98" s="289"/>
      <c r="X98" s="289"/>
      <c r="Y98" s="289"/>
      <c r="Z98" s="289"/>
      <c r="AA98" s="289"/>
      <c r="AB98" s="289"/>
      <c r="AC98" s="289"/>
      <c r="AD98" s="289"/>
      <c r="AE98" s="289"/>
      <c r="AF98" s="289"/>
      <c r="AG98" s="289"/>
      <c r="AH98" s="289"/>
      <c r="AI98" s="289"/>
      <c r="AJ98" s="289"/>
      <c r="AK98" s="289"/>
      <c r="AL98" s="289"/>
      <c r="AM98" s="289"/>
    </row>
    <row r="99">
      <c r="A99" s="409">
        <f>IF(ARBITRAGES!E99="","",ARBITRAGES!E99)</f>
        <v>45853</v>
      </c>
      <c r="B99" s="33">
        <v>118000.0</v>
      </c>
      <c r="C99" s="33">
        <v>3200.0</v>
      </c>
      <c r="D99" s="412">
        <v>3.1</v>
      </c>
      <c r="E99" s="33">
        <v>170.0</v>
      </c>
      <c r="F99" s="33">
        <v>444.0</v>
      </c>
      <c r="G99" s="412">
        <v>0.55</v>
      </c>
      <c r="H99" s="412">
        <v>16.87</v>
      </c>
      <c r="I99" s="413">
        <v>0.199</v>
      </c>
      <c r="J99" s="414">
        <v>1.4E-5</v>
      </c>
      <c r="K99" s="413">
        <v>2.52</v>
      </c>
      <c r="L99" s="413">
        <v>0.54</v>
      </c>
      <c r="M99" s="413">
        <v>330.0</v>
      </c>
      <c r="N99" s="415">
        <v>0.0045</v>
      </c>
      <c r="O99" s="413">
        <v>4.3</v>
      </c>
      <c r="P99" s="413">
        <v>0.0023</v>
      </c>
      <c r="Q99" s="416">
        <v>1.37E-5</v>
      </c>
      <c r="R99" s="413">
        <v>1.08</v>
      </c>
      <c r="S99" s="413">
        <v>2.68</v>
      </c>
      <c r="T99" s="14">
        <f>IF(A99="","",ARBITRAGES!M99)</f>
        <v>7002.932021</v>
      </c>
      <c r="U99" s="417">
        <f>IF(A99="","",B99*'QUANTITE DETENUES'!B99+'QUANTITE DETENUES'!C99*C99+'QUANTITE DETENUES'!D99*D99+E99*'QUANTITE DETENUES'!E99+'QUANTITE DETENUES'!F99*F99+G99*'QUANTITE DETENUES'!G99+'QUANTITE DETENUES'!H99*H99+I99*'QUANTITE DETENUES'!I99+'QUANTITE DETENUES'!J99*J99+K99*'QUANTITE DETENUES'!K99+'QUANTITE DETENUES'!L99*L99+M99*'QUANTITE DETENUES'!M99+'QUANTITE DETENUES'!N99*N99+O99*'QUANTITE DETENUES'!O99+T99+P99*'QUANTITE DETENUES'!P99+'QUANTITE DETENUES'!Q99*Q99+R99*'QUANTITE DETENUES'!R99+'QUANTITE DETENUES'!S99*S99)</f>
        <v>57309.23725</v>
      </c>
      <c r="V99" s="288"/>
      <c r="W99" s="289"/>
      <c r="X99" s="289"/>
      <c r="Y99" s="289"/>
      <c r="Z99" s="289"/>
      <c r="AA99" s="289"/>
      <c r="AB99" s="289"/>
      <c r="AC99" s="289"/>
      <c r="AD99" s="289"/>
      <c r="AE99" s="289"/>
      <c r="AF99" s="289"/>
      <c r="AG99" s="289"/>
      <c r="AH99" s="289"/>
      <c r="AI99" s="289"/>
      <c r="AJ99" s="289"/>
      <c r="AK99" s="289"/>
      <c r="AL99" s="289"/>
      <c r="AM99" s="289"/>
    </row>
    <row r="100">
      <c r="A100" s="409">
        <f>IF(ARBITRAGES!E100="","",ARBITRAGES!E100)</f>
        <v>45854</v>
      </c>
      <c r="B100" s="33">
        <v>119500.0</v>
      </c>
      <c r="C100" s="33">
        <v>3350.0</v>
      </c>
      <c r="D100" s="412">
        <v>3.17</v>
      </c>
      <c r="E100" s="33">
        <v>175.0</v>
      </c>
      <c r="F100" s="33">
        <v>450.0</v>
      </c>
      <c r="G100" s="412">
        <v>0.56</v>
      </c>
      <c r="H100" s="412">
        <v>16.95</v>
      </c>
      <c r="I100" s="413">
        <v>0.207</v>
      </c>
      <c r="J100" s="414">
        <v>1.43E-5</v>
      </c>
      <c r="K100" s="413">
        <v>2.53</v>
      </c>
      <c r="L100" s="413">
        <v>0.55</v>
      </c>
      <c r="M100" s="413">
        <v>333.0</v>
      </c>
      <c r="N100" s="415">
        <v>0.0044</v>
      </c>
      <c r="O100" s="413">
        <v>4.3</v>
      </c>
      <c r="P100" s="413">
        <v>0.0023</v>
      </c>
      <c r="Q100" s="416">
        <v>1.37E-5</v>
      </c>
      <c r="R100" s="413">
        <v>1.15</v>
      </c>
      <c r="S100" s="413">
        <v>2.75</v>
      </c>
      <c r="T100" s="14">
        <f>IF(A100="","",ARBITRAGES!M100)</f>
        <v>6502.932021</v>
      </c>
      <c r="U100" s="417">
        <f>IF(A100="","",B100*'QUANTITE DETENUES'!B100+'QUANTITE DETENUES'!C100*C100+'QUANTITE DETENUES'!D100*D100+E100*'QUANTITE DETENUES'!E100+'QUANTITE DETENUES'!F100*F100+G100*'QUANTITE DETENUES'!G100+'QUANTITE DETENUES'!H100*H100+I100*'QUANTITE DETENUES'!I100+'QUANTITE DETENUES'!J100*J100+K100*'QUANTITE DETENUES'!K100+'QUANTITE DETENUES'!L100*L100+M100*'QUANTITE DETENUES'!M100+'QUANTITE DETENUES'!N100*N100+O100*'QUANTITE DETENUES'!O100+T100+P100*'QUANTITE DETENUES'!P100+'QUANTITE DETENUES'!Q100*Q100+R100*'QUANTITE DETENUES'!R100+'QUANTITE DETENUES'!S100*S100)</f>
        <v>58367.67308</v>
      </c>
      <c r="V100" s="288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89"/>
      <c r="AM100" s="289"/>
    </row>
    <row r="101">
      <c r="A101" s="409">
        <f>IF(ARBITRAGES!E101="","",ARBITRAGES!E101)</f>
        <v>45856</v>
      </c>
      <c r="B101" s="33">
        <v>122000.0</v>
      </c>
      <c r="C101" s="422">
        <v>3575.0</v>
      </c>
      <c r="D101" s="412">
        <v>3.1</v>
      </c>
      <c r="E101" s="33">
        <v>175.0</v>
      </c>
      <c r="F101" s="33">
        <v>430.0</v>
      </c>
      <c r="G101" s="412">
        <v>0.58</v>
      </c>
      <c r="H101" s="412">
        <v>17.6</v>
      </c>
      <c r="I101" s="413">
        <v>0.245</v>
      </c>
      <c r="J101" s="413">
        <v>1.55E-5</v>
      </c>
      <c r="K101" s="413">
        <v>2.58</v>
      </c>
      <c r="L101" s="413">
        <v>0.55</v>
      </c>
      <c r="M101" s="413">
        <v>320.0</v>
      </c>
      <c r="N101" s="415">
        <v>0.0058</v>
      </c>
      <c r="O101" s="413">
        <v>4.65</v>
      </c>
      <c r="P101" s="413">
        <v>0.0023</v>
      </c>
      <c r="Q101" s="416">
        <v>1.37E-5</v>
      </c>
      <c r="R101" s="413">
        <v>1.2</v>
      </c>
      <c r="S101" s="413">
        <v>2.8</v>
      </c>
      <c r="T101" s="14">
        <f>IF(A101="","",ARBITRAGES!M101)</f>
        <v>6752.932021</v>
      </c>
      <c r="U101" s="417">
        <f>IF(A101="","",B101*'QUANTITE DETENUES'!B101+'QUANTITE DETENUES'!C101*C101+'QUANTITE DETENUES'!D101*D101+E101*'QUANTITE DETENUES'!E101+'QUANTITE DETENUES'!F101*F101+G101*'QUANTITE DETENUES'!G101+'QUANTITE DETENUES'!H101*H101+I101*'QUANTITE DETENUES'!I101+'QUANTITE DETENUES'!J101*J101+K101*'QUANTITE DETENUES'!K101+'QUANTITE DETENUES'!L101*L101+M101*'QUANTITE DETENUES'!M101+'QUANTITE DETENUES'!N101*N101+O101*'QUANTITE DETENUES'!O101+T101+P101*'QUANTITE DETENUES'!P101+'QUANTITE DETENUES'!Q101*Q101+R101*'QUANTITE DETENUES'!R101+'QUANTITE DETENUES'!S101*S101)</f>
        <v>59627.83598</v>
      </c>
      <c r="V101" s="288"/>
      <c r="W101" s="289"/>
      <c r="X101" s="289"/>
      <c r="Y101" s="289"/>
      <c r="Z101" s="289"/>
      <c r="AA101" s="289"/>
      <c r="AB101" s="289"/>
      <c r="AC101" s="289"/>
      <c r="AD101" s="289"/>
      <c r="AE101" s="289"/>
      <c r="AF101" s="289"/>
      <c r="AG101" s="289"/>
      <c r="AH101" s="289"/>
      <c r="AI101" s="289"/>
      <c r="AJ101" s="289"/>
      <c r="AK101" s="289"/>
      <c r="AL101" s="289"/>
      <c r="AM101" s="289"/>
    </row>
    <row r="102">
      <c r="A102" s="409">
        <f>IF(ARBITRAGES!E102="","",ARBITRAGES!E102)</f>
        <v>45856</v>
      </c>
      <c r="B102" s="33">
        <v>122000.0</v>
      </c>
      <c r="C102" s="422">
        <v>3630.0</v>
      </c>
      <c r="D102" s="412">
        <v>3.1</v>
      </c>
      <c r="E102" s="33">
        <v>175.0</v>
      </c>
      <c r="F102" s="33">
        <v>430.0</v>
      </c>
      <c r="G102" s="412">
        <v>0.58</v>
      </c>
      <c r="H102" s="412">
        <v>17.6</v>
      </c>
      <c r="I102" s="413">
        <v>0.245</v>
      </c>
      <c r="J102" s="413">
        <v>1.55E-5</v>
      </c>
      <c r="K102" s="413">
        <v>2.58</v>
      </c>
      <c r="L102" s="413">
        <v>0.55</v>
      </c>
      <c r="M102" s="413">
        <v>320.0</v>
      </c>
      <c r="N102" s="415">
        <v>0.0058</v>
      </c>
      <c r="O102" s="413">
        <v>4.65</v>
      </c>
      <c r="P102" s="413">
        <v>0.0023</v>
      </c>
      <c r="Q102" s="416">
        <v>1.37E-5</v>
      </c>
      <c r="R102" s="413">
        <v>1.2</v>
      </c>
      <c r="S102" s="413">
        <v>2.8</v>
      </c>
      <c r="T102" s="14">
        <f>IF(A102="","",ARBITRAGES!M102)</f>
        <v>7002.932022</v>
      </c>
      <c r="U102" s="417">
        <f>IF(A102="","",B102*'QUANTITE DETENUES'!B102+'QUANTITE DETENUES'!C102*C102+'QUANTITE DETENUES'!D102*D102+E102*'QUANTITE DETENUES'!E102+'QUANTITE DETENUES'!F102*F102+G102*'QUANTITE DETENUES'!G102+'QUANTITE DETENUES'!H102*H102+I102*'QUANTITE DETENUES'!I102+'QUANTITE DETENUES'!J102*J102+K102*'QUANTITE DETENUES'!K102+'QUANTITE DETENUES'!L102*L102+M102*'QUANTITE DETENUES'!M102+'QUANTITE DETENUES'!N102*N102+O102*'QUANTITE DETENUES'!O102+T102+P102*'QUANTITE DETENUES'!P102+'QUANTITE DETENUES'!Q102*Q102+R102*'QUANTITE DETENUES'!R102+'QUANTITE DETENUES'!S102*S102)</f>
        <v>59793.41733</v>
      </c>
      <c r="V102" s="288"/>
      <c r="W102" s="289"/>
      <c r="X102" s="289"/>
      <c r="Y102" s="289"/>
      <c r="Z102" s="289"/>
      <c r="AA102" s="289"/>
      <c r="AB102" s="289"/>
      <c r="AC102" s="289"/>
      <c r="AD102" s="289"/>
      <c r="AE102" s="289"/>
      <c r="AF102" s="289"/>
      <c r="AG102" s="289"/>
      <c r="AH102" s="289"/>
      <c r="AI102" s="289"/>
      <c r="AJ102" s="289"/>
      <c r="AK102" s="289"/>
      <c r="AL102" s="289"/>
      <c r="AM102" s="289"/>
    </row>
    <row r="103">
      <c r="A103" s="409">
        <f>IF(ARBITRAGES!E103="","",ARBITRAGES!E103)</f>
        <v>45857</v>
      </c>
      <c r="B103" s="413">
        <v>120000.0</v>
      </c>
      <c r="C103" s="422">
        <v>3685.0</v>
      </c>
      <c r="D103" s="413">
        <v>3.2</v>
      </c>
      <c r="E103" s="413">
        <v>180.0</v>
      </c>
      <c r="F103" s="413">
        <v>440.0</v>
      </c>
      <c r="G103" s="413">
        <v>0.6</v>
      </c>
      <c r="H103" s="413">
        <v>18.0</v>
      </c>
      <c r="I103" s="413">
        <v>0.25</v>
      </c>
      <c r="J103" s="413">
        <v>1.55E-5</v>
      </c>
      <c r="K103" s="413">
        <v>2.65</v>
      </c>
      <c r="L103" s="413">
        <v>0.565</v>
      </c>
      <c r="M103" s="413">
        <v>340.0</v>
      </c>
      <c r="N103" s="413">
        <v>0.0062</v>
      </c>
      <c r="O103" s="413">
        <v>4.7</v>
      </c>
      <c r="P103" s="413">
        <v>0.0023</v>
      </c>
      <c r="Q103" s="413">
        <v>1.41E-5</v>
      </c>
      <c r="R103" s="413">
        <v>1.25</v>
      </c>
      <c r="S103" s="423">
        <v>2.8</v>
      </c>
      <c r="T103" s="14">
        <f>IF(A103="","",ARBITRAGES!M103)</f>
        <v>7280.946847</v>
      </c>
      <c r="U103" s="417">
        <f>IF(A103="","",B103*'QUANTITE DETENUES'!B103+'QUANTITE DETENUES'!C103*C103+'QUANTITE DETENUES'!D103*D103+E103*'QUANTITE DETENUES'!E103+'QUANTITE DETENUES'!F103*F103+G103*'QUANTITE DETENUES'!G103+'QUANTITE DETENUES'!H103*H103+I103*'QUANTITE DETENUES'!I103+'QUANTITE DETENUES'!J103*J103+K103*'QUANTITE DETENUES'!K103+'QUANTITE DETENUES'!L103*L103+M103*'QUANTITE DETENUES'!M103+'QUANTITE DETENUES'!N103*N103+O103*'QUANTITE DETENUES'!O103+T103+P103*'QUANTITE DETENUES'!P103+'QUANTITE DETENUES'!Q103*Q103+R103*'QUANTITE DETENUES'!R103+'QUANTITE DETENUES'!S103*S103)</f>
        <v>59959.08351</v>
      </c>
      <c r="V103" s="288"/>
      <c r="W103" s="289"/>
      <c r="X103" s="289"/>
      <c r="Y103" s="289"/>
      <c r="Z103" s="289"/>
      <c r="AA103" s="289"/>
      <c r="AB103" s="289"/>
      <c r="AC103" s="289"/>
      <c r="AD103" s="289"/>
      <c r="AE103" s="289"/>
      <c r="AF103" s="289"/>
      <c r="AG103" s="289"/>
      <c r="AH103" s="289"/>
      <c r="AI103" s="289"/>
      <c r="AJ103" s="289"/>
      <c r="AK103" s="289"/>
      <c r="AL103" s="289"/>
      <c r="AM103" s="289"/>
    </row>
    <row r="104">
      <c r="A104" s="409">
        <f>IF(ARBITRAGES!E104="","",ARBITRAGES!E104)</f>
        <v>45858</v>
      </c>
      <c r="B104" s="413">
        <v>120000.0</v>
      </c>
      <c r="C104" s="422">
        <v>3700.0</v>
      </c>
      <c r="D104" s="413">
        <v>3.2</v>
      </c>
      <c r="E104" s="413">
        <v>180.0</v>
      </c>
      <c r="F104" s="413">
        <v>440.0</v>
      </c>
      <c r="G104" s="413">
        <v>0.6</v>
      </c>
      <c r="H104" s="413">
        <v>18.0</v>
      </c>
      <c r="I104" s="413">
        <v>0.25</v>
      </c>
      <c r="J104" s="413">
        <v>1.55E-5</v>
      </c>
      <c r="K104" s="413">
        <v>2.65</v>
      </c>
      <c r="L104" s="413">
        <v>0.565</v>
      </c>
      <c r="M104" s="413">
        <v>340.0</v>
      </c>
      <c r="N104" s="413">
        <v>0.0062</v>
      </c>
      <c r="O104" s="413">
        <v>4.7</v>
      </c>
      <c r="P104" s="413">
        <v>0.0023</v>
      </c>
      <c r="Q104" s="413">
        <v>1.41E-5</v>
      </c>
      <c r="R104" s="413">
        <v>1.25</v>
      </c>
      <c r="S104" s="423">
        <v>2.8</v>
      </c>
      <c r="T104" s="14">
        <f>IF(A104="","",ARBITRAGES!M104)</f>
        <v>7576.946847</v>
      </c>
      <c r="U104" s="417">
        <f>IF(A104="","",B104*'QUANTITE DETENUES'!B104+'QUANTITE DETENUES'!C104*C104+'QUANTITE DETENUES'!D104*D104+E104*'QUANTITE DETENUES'!E104+'QUANTITE DETENUES'!F104*F104+G104*'QUANTITE DETENUES'!G104+'QUANTITE DETENUES'!H104*H104+I104*'QUANTITE DETENUES'!I104+'QUANTITE DETENUES'!J104*J104+K104*'QUANTITE DETENUES'!K104+'QUANTITE DETENUES'!L104*L104+M104*'QUANTITE DETENUES'!M104+'QUANTITE DETENUES'!N104*N104+O104*'QUANTITE DETENUES'!O104+T104+P104*'QUANTITE DETENUES'!P104+'QUANTITE DETENUES'!Q104*Q104+R104*'QUANTITE DETENUES'!R104+'QUANTITE DETENUES'!S104*S104)</f>
        <v>60002.07732</v>
      </c>
      <c r="V104" s="288"/>
      <c r="W104" s="289"/>
      <c r="X104" s="289"/>
      <c r="Y104" s="289"/>
      <c r="Z104" s="289"/>
      <c r="AA104" s="289"/>
      <c r="AB104" s="289"/>
      <c r="AC104" s="289"/>
      <c r="AD104" s="289"/>
      <c r="AE104" s="289"/>
      <c r="AF104" s="289"/>
      <c r="AG104" s="289"/>
      <c r="AH104" s="289"/>
      <c r="AI104" s="289"/>
      <c r="AJ104" s="289"/>
      <c r="AK104" s="289"/>
      <c r="AL104" s="289"/>
      <c r="AM104" s="289"/>
    </row>
    <row r="105">
      <c r="A105" s="409">
        <f>IF(ARBITRAGES!E105="","",ARBITRAGES!E105)</f>
        <v>45858</v>
      </c>
      <c r="B105" s="413">
        <v>120000.0</v>
      </c>
      <c r="C105" s="422">
        <v>3700.0</v>
      </c>
      <c r="D105" s="413">
        <v>3.2</v>
      </c>
      <c r="E105" s="413">
        <v>180.0</v>
      </c>
      <c r="F105" s="413">
        <v>440.0</v>
      </c>
      <c r="G105" s="413">
        <v>0.6</v>
      </c>
      <c r="H105" s="413">
        <v>18.0</v>
      </c>
      <c r="I105" s="413">
        <v>0.25</v>
      </c>
      <c r="J105" s="413">
        <v>1.55E-5</v>
      </c>
      <c r="K105" s="413">
        <v>2.65</v>
      </c>
      <c r="L105" s="413">
        <v>0.565</v>
      </c>
      <c r="M105" s="413">
        <v>340.0</v>
      </c>
      <c r="N105" s="413">
        <v>0.0062</v>
      </c>
      <c r="O105" s="413">
        <v>4.7</v>
      </c>
      <c r="P105" s="413">
        <v>0.0023</v>
      </c>
      <c r="Q105" s="413">
        <v>1.41E-5</v>
      </c>
      <c r="R105" s="413">
        <v>1.25</v>
      </c>
      <c r="S105" s="423">
        <v>2.8</v>
      </c>
      <c r="T105" s="14">
        <f>IF(A105="","",ARBITRAGES!M105)</f>
        <v>7826.856847</v>
      </c>
      <c r="U105" s="417">
        <f>IF(A105="","",B105*'QUANTITE DETENUES'!B105+'QUANTITE DETENUES'!C105*C105+'QUANTITE DETENUES'!D105*D105+E105*'QUANTITE DETENUES'!E105+'QUANTITE DETENUES'!F105*F105+G105*'QUANTITE DETENUES'!G105+'QUANTITE DETENUES'!H105*H105+I105*'QUANTITE DETENUES'!I105+'QUANTITE DETENUES'!J105*J105+K105*'QUANTITE DETENUES'!K105+'QUANTITE DETENUES'!L105*L105+M105*'QUANTITE DETENUES'!M105+'QUANTITE DETENUES'!N105*N105+O105*'QUANTITE DETENUES'!O105+T105+P105*'QUANTITE DETENUES'!P105+'QUANTITE DETENUES'!Q105*Q105+R105*'QUANTITE DETENUES'!R105+'QUANTITE DETENUES'!S105*S105)</f>
        <v>60004.08732</v>
      </c>
      <c r="V105" s="288"/>
      <c r="W105" s="289"/>
      <c r="X105" s="289"/>
      <c r="Y105" s="289"/>
      <c r="Z105" s="289"/>
      <c r="AA105" s="289"/>
      <c r="AB105" s="289"/>
      <c r="AC105" s="289"/>
      <c r="AD105" s="289"/>
      <c r="AE105" s="289"/>
      <c r="AF105" s="289"/>
      <c r="AG105" s="289"/>
      <c r="AH105" s="289"/>
      <c r="AI105" s="289"/>
      <c r="AJ105" s="289"/>
      <c r="AK105" s="289"/>
      <c r="AL105" s="289"/>
      <c r="AM105" s="289"/>
    </row>
    <row r="106">
      <c r="A106" s="409">
        <f>IF(ARBITRAGES!E106="","",ARBITRAGES!E106)</f>
        <v>45858</v>
      </c>
      <c r="B106" s="413">
        <v>120000.0</v>
      </c>
      <c r="C106" s="422">
        <v>3700.0</v>
      </c>
      <c r="D106" s="413">
        <v>3.2</v>
      </c>
      <c r="E106" s="413">
        <v>180.0</v>
      </c>
      <c r="F106" s="413">
        <v>440.0</v>
      </c>
      <c r="G106" s="413">
        <v>0.6</v>
      </c>
      <c r="H106" s="413">
        <v>18.0</v>
      </c>
      <c r="I106" s="413">
        <v>0.25</v>
      </c>
      <c r="J106" s="413">
        <v>1.55E-5</v>
      </c>
      <c r="K106" s="413">
        <v>2.65</v>
      </c>
      <c r="L106" s="413">
        <v>0.565</v>
      </c>
      <c r="M106" s="413">
        <v>340.0</v>
      </c>
      <c r="N106" s="413">
        <v>0.0062</v>
      </c>
      <c r="O106" s="413">
        <v>4.7</v>
      </c>
      <c r="P106" s="413">
        <v>0.0023</v>
      </c>
      <c r="Q106" s="413">
        <v>1.41E-5</v>
      </c>
      <c r="R106" s="413">
        <v>1.25</v>
      </c>
      <c r="S106" s="423">
        <v>2.8</v>
      </c>
      <c r="T106" s="14">
        <f>IF(A106="","",ARBITRAGES!M106)</f>
        <v>8201.856847</v>
      </c>
      <c r="U106" s="417">
        <f>IF(A106="","",B106*'QUANTITE DETENUES'!B106+'QUANTITE DETENUES'!C106*C106+'QUANTITE DETENUES'!D106*D106+E106*'QUANTITE DETENUES'!E106+'QUANTITE DETENUES'!F106*F106+G106*'QUANTITE DETENUES'!G106+'QUANTITE DETENUES'!H106*H106+I106*'QUANTITE DETENUES'!I106+'QUANTITE DETENUES'!J106*J106+K106*'QUANTITE DETENUES'!K106+'QUANTITE DETENUES'!L106*L106+M106*'QUANTITE DETENUES'!M106+'QUANTITE DETENUES'!N106*N106+O106*'QUANTITE DETENUES'!O106+T106+P106*'QUANTITE DETENUES'!P106+'QUANTITE DETENUES'!Q106*Q106+R106*'QUANTITE DETENUES'!R106+'QUANTITE DETENUES'!S106*S106)</f>
        <v>60009.08732</v>
      </c>
      <c r="V106" s="288"/>
      <c r="W106" s="289"/>
      <c r="X106" s="289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  <c r="AI106" s="289"/>
      <c r="AJ106" s="289"/>
      <c r="AK106" s="289"/>
      <c r="AL106" s="289"/>
      <c r="AM106" s="289"/>
    </row>
    <row r="107">
      <c r="A107" s="409">
        <f>IF(ARBITRAGES!E107="","",ARBITRAGES!E107)</f>
        <v>45858</v>
      </c>
      <c r="B107" s="413">
        <v>120000.0</v>
      </c>
      <c r="C107" s="422">
        <v>3700.0</v>
      </c>
      <c r="D107" s="413">
        <v>3.2</v>
      </c>
      <c r="E107" s="413">
        <v>180.0</v>
      </c>
      <c r="F107" s="413">
        <v>440.0</v>
      </c>
      <c r="G107" s="413">
        <v>0.6</v>
      </c>
      <c r="H107" s="413">
        <v>18.0</v>
      </c>
      <c r="I107" s="413">
        <v>0.25</v>
      </c>
      <c r="J107" s="413">
        <v>1.55E-5</v>
      </c>
      <c r="K107" s="413">
        <v>2.65</v>
      </c>
      <c r="L107" s="413">
        <v>0.565</v>
      </c>
      <c r="M107" s="413">
        <v>340.0</v>
      </c>
      <c r="N107" s="413">
        <v>0.0062</v>
      </c>
      <c r="O107" s="413">
        <v>4.7</v>
      </c>
      <c r="P107" s="413">
        <v>0.0023</v>
      </c>
      <c r="Q107" s="413">
        <v>1.41E-5</v>
      </c>
      <c r="R107" s="413">
        <v>1.25</v>
      </c>
      <c r="S107" s="423">
        <v>2.8</v>
      </c>
      <c r="T107" s="14">
        <f>IF(A107="","",ARBITRAGES!M107)</f>
        <v>8368.930547</v>
      </c>
      <c r="U107" s="417">
        <f>IF(A107="","",B107*'QUANTITE DETENUES'!B107+'QUANTITE DETENUES'!C107*C107+'QUANTITE DETENUES'!D107*D107+E107*'QUANTITE DETENUES'!E107+'QUANTITE DETENUES'!F107*F107+G107*'QUANTITE DETENUES'!G107+'QUANTITE DETENUES'!H107*H107+I107*'QUANTITE DETENUES'!I107+'QUANTITE DETENUES'!J107*J107+K107*'QUANTITE DETENUES'!K107+'QUANTITE DETENUES'!L107*L107+M107*'QUANTITE DETENUES'!M107+'QUANTITE DETENUES'!N107*N107+O107*'QUANTITE DETENUES'!O107+T107+P107*'QUANTITE DETENUES'!P107+'QUANTITE DETENUES'!Q107*Q107+R107*'QUANTITE DETENUES'!R107+'QUANTITE DETENUES'!S107*S107)</f>
        <v>60012.62328</v>
      </c>
      <c r="V107" s="288"/>
      <c r="W107" s="289"/>
      <c r="X107" s="289"/>
      <c r="Y107" s="289"/>
      <c r="Z107" s="289"/>
      <c r="AA107" s="289"/>
      <c r="AB107" s="289"/>
      <c r="AC107" s="289"/>
      <c r="AD107" s="289"/>
      <c r="AE107" s="289"/>
      <c r="AF107" s="289"/>
      <c r="AG107" s="289"/>
      <c r="AH107" s="289"/>
      <c r="AI107" s="289"/>
      <c r="AJ107" s="289"/>
      <c r="AK107" s="289"/>
      <c r="AL107" s="289"/>
      <c r="AM107" s="289"/>
    </row>
    <row r="108">
      <c r="A108" s="409">
        <f>IF(ARBITRAGES!E108="","",ARBITRAGES!E108)</f>
        <v>45859</v>
      </c>
      <c r="B108" s="413">
        <v>118500.0</v>
      </c>
      <c r="C108" s="422">
        <v>3800.0</v>
      </c>
      <c r="D108" s="413">
        <v>3.3</v>
      </c>
      <c r="E108" s="413">
        <v>185.0</v>
      </c>
      <c r="F108" s="413">
        <v>435.0</v>
      </c>
      <c r="G108" s="413">
        <v>0.6</v>
      </c>
      <c r="H108" s="413">
        <v>20.0</v>
      </c>
      <c r="I108" s="413">
        <v>0.265</v>
      </c>
      <c r="J108" s="413">
        <v>1.55E-5</v>
      </c>
      <c r="K108" s="413">
        <v>2.75</v>
      </c>
      <c r="L108" s="413">
        <v>0.565</v>
      </c>
      <c r="M108" s="413">
        <v>333.0</v>
      </c>
      <c r="N108" s="413">
        <v>0.0065</v>
      </c>
      <c r="O108" s="413">
        <v>4.85</v>
      </c>
      <c r="P108" s="413">
        <v>0.0023</v>
      </c>
      <c r="Q108" s="413">
        <v>1.41E-5</v>
      </c>
      <c r="R108" s="413">
        <v>1.25</v>
      </c>
      <c r="S108" s="423">
        <v>3.0</v>
      </c>
      <c r="T108" s="14">
        <f>IF(A108="","",ARBITRAGES!M108)</f>
        <v>8748.930547</v>
      </c>
      <c r="U108" s="417">
        <f>IF(A108="","",B108*'QUANTITE DETENUES'!B108+'QUANTITE DETENUES'!C108*C108+'QUANTITE DETENUES'!D108*D108+E108*'QUANTITE DETENUES'!E108+'QUANTITE DETENUES'!F108*F108+G108*'QUANTITE DETENUES'!G108+'QUANTITE DETENUES'!H108*H108+I108*'QUANTITE DETENUES'!I108+'QUANTITE DETENUES'!J108*J108+K108*'QUANTITE DETENUES'!K108+'QUANTITE DETENUES'!L108*L108+M108*'QUANTITE DETENUES'!M108+'QUANTITE DETENUES'!N108*N108+O108*'QUANTITE DETENUES'!O108+T108+P108*'QUANTITE DETENUES'!P108+'QUANTITE DETENUES'!Q108*Q108+R108*'QUANTITE DETENUES'!R108+'QUANTITE DETENUES'!S108*S108)</f>
        <v>60313.6292</v>
      </c>
      <c r="V108" s="288"/>
      <c r="W108" s="289"/>
      <c r="X108" s="289"/>
      <c r="Y108" s="289"/>
      <c r="Z108" s="289"/>
      <c r="AA108" s="289"/>
      <c r="AB108" s="289"/>
      <c r="AC108" s="289"/>
      <c r="AD108" s="289"/>
      <c r="AE108" s="289"/>
      <c r="AF108" s="289"/>
      <c r="AG108" s="289"/>
      <c r="AH108" s="289"/>
      <c r="AI108" s="289"/>
      <c r="AJ108" s="289"/>
      <c r="AK108" s="289"/>
      <c r="AL108" s="289"/>
      <c r="AM108" s="289"/>
    </row>
    <row r="109">
      <c r="A109" s="409">
        <f>IF(ARBITRAGES!E109="","",ARBITRAGES!E109)</f>
        <v>45860</v>
      </c>
      <c r="B109" s="33">
        <v>116000.0</v>
      </c>
      <c r="C109" s="33">
        <v>3650.0</v>
      </c>
      <c r="D109" s="412">
        <v>3.1</v>
      </c>
      <c r="E109" s="33">
        <v>160.0</v>
      </c>
      <c r="F109" s="33">
        <v>410.0</v>
      </c>
      <c r="G109" s="412">
        <v>0.5</v>
      </c>
      <c r="H109" s="412">
        <v>17.8</v>
      </c>
      <c r="I109" s="413">
        <v>0.23</v>
      </c>
      <c r="J109" s="413">
        <v>1.4E-6</v>
      </c>
      <c r="K109" s="413">
        <v>2.69</v>
      </c>
      <c r="L109" s="413">
        <v>0.54</v>
      </c>
      <c r="M109" s="413">
        <v>311.0</v>
      </c>
      <c r="N109" s="415">
        <v>0.006</v>
      </c>
      <c r="O109" s="413">
        <v>4.4</v>
      </c>
      <c r="P109" s="413">
        <v>0.0023</v>
      </c>
      <c r="Q109" s="413">
        <v>1.28E-5</v>
      </c>
      <c r="R109" s="413">
        <v>1.07</v>
      </c>
      <c r="S109" s="423">
        <v>2.75</v>
      </c>
      <c r="T109" s="14">
        <f>IF(A109="","",ARBITRAGES!M109)</f>
        <v>9261.448935</v>
      </c>
      <c r="U109" s="417">
        <f>IF(A109="","",B109*'QUANTITE DETENUES'!B109+'QUANTITE DETENUES'!C109*C109+'QUANTITE DETENUES'!D109*D109+E109*'QUANTITE DETENUES'!E109+'QUANTITE DETENUES'!F109*F109+G109*'QUANTITE DETENUES'!G109+'QUANTITE DETENUES'!H109*H109+I109*'QUANTITE DETENUES'!I109+'QUANTITE DETENUES'!J109*J109+K109*'QUANTITE DETENUES'!K109+'QUANTITE DETENUES'!L109*L109+M109*'QUANTITE DETENUES'!M109+'QUANTITE DETENUES'!N109*N109+O109*'QUANTITE DETENUES'!O109+T109+P109*'QUANTITE DETENUES'!P109+'QUANTITE DETENUES'!Q109*Q109+R109*'QUANTITE DETENUES'!R109+'QUANTITE DETENUES'!S109*S109)</f>
        <v>57734.626</v>
      </c>
      <c r="V109" s="288"/>
      <c r="W109" s="289"/>
      <c r="X109" s="289"/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89"/>
      <c r="AM109" s="289"/>
    </row>
    <row r="110">
      <c r="A110" s="409">
        <f>IF(ARBITRAGES!E110="","",ARBITRAGES!E110)</f>
        <v>45861</v>
      </c>
      <c r="B110" s="33">
        <v>116000.0</v>
      </c>
      <c r="C110" s="33">
        <v>3650.0</v>
      </c>
      <c r="D110" s="412">
        <v>3.1</v>
      </c>
      <c r="E110" s="33">
        <v>160.0</v>
      </c>
      <c r="F110" s="33">
        <v>410.0</v>
      </c>
      <c r="G110" s="412">
        <v>0.5</v>
      </c>
      <c r="H110" s="412">
        <v>17.8</v>
      </c>
      <c r="I110" s="413">
        <v>0.23</v>
      </c>
      <c r="J110" s="413">
        <v>1.4E-6</v>
      </c>
      <c r="K110" s="413">
        <v>2.69</v>
      </c>
      <c r="L110" s="413">
        <v>0.54</v>
      </c>
      <c r="M110" s="413">
        <v>311.0</v>
      </c>
      <c r="N110" s="415">
        <v>0.006</v>
      </c>
      <c r="O110" s="413">
        <v>4.4</v>
      </c>
      <c r="P110" s="413">
        <v>0.0023</v>
      </c>
      <c r="Q110" s="413">
        <v>1.28E-5</v>
      </c>
      <c r="R110" s="413">
        <v>1.07</v>
      </c>
      <c r="S110" s="423">
        <v>2.75</v>
      </c>
      <c r="T110" s="14">
        <f>IF(A110="","",ARBITRAGES!M110)</f>
        <v>8811.448935</v>
      </c>
      <c r="U110" s="417">
        <f>IF(A110="","",B110*'QUANTITE DETENUES'!B110+'QUANTITE DETENUES'!C110*C110+'QUANTITE DETENUES'!D110*D110+E110*'QUANTITE DETENUES'!E110+'QUANTITE DETENUES'!F110*F110+G110*'QUANTITE DETENUES'!G110+'QUANTITE DETENUES'!H110*H110+I110*'QUANTITE DETENUES'!I110+'QUANTITE DETENUES'!J110*J110+K110*'QUANTITE DETENUES'!K110+'QUANTITE DETENUES'!L110*L110+M110*'QUANTITE DETENUES'!M110+'QUANTITE DETENUES'!N110*N110+O110*'QUANTITE DETENUES'!O110+T110+P110*'QUANTITE DETENUES'!P110+'QUANTITE DETENUES'!Q110*Q110+R110*'QUANTITE DETENUES'!R110+'QUANTITE DETENUES'!S110*S110)</f>
        <v>57751.126</v>
      </c>
      <c r="V110" s="288"/>
      <c r="W110" s="289"/>
      <c r="X110" s="289"/>
      <c r="Y110" s="289"/>
      <c r="Z110" s="289"/>
      <c r="AA110" s="289"/>
      <c r="AB110" s="289"/>
      <c r="AC110" s="289"/>
      <c r="AD110" s="289"/>
      <c r="AE110" s="289"/>
      <c r="AF110" s="289"/>
      <c r="AG110" s="289"/>
      <c r="AH110" s="289"/>
      <c r="AI110" s="289"/>
      <c r="AJ110" s="289"/>
      <c r="AK110" s="289"/>
      <c r="AL110" s="289"/>
      <c r="AM110" s="289"/>
    </row>
    <row r="111">
      <c r="A111" s="409">
        <f>IF(ARBITRAGES!E111="","",ARBITRAGES!E111)</f>
        <v>45863</v>
      </c>
      <c r="B111" s="413">
        <v>117500.0</v>
      </c>
      <c r="C111" s="413">
        <v>3750.0</v>
      </c>
      <c r="D111" s="413">
        <v>3.33</v>
      </c>
      <c r="E111" s="413">
        <v>187.0</v>
      </c>
      <c r="F111" s="413">
        <v>430.0</v>
      </c>
      <c r="G111" s="413">
        <v>0.56</v>
      </c>
      <c r="H111" s="413">
        <v>18.3</v>
      </c>
      <c r="I111" s="413">
        <v>0.24</v>
      </c>
      <c r="J111" s="413">
        <v>1.4E-6</v>
      </c>
      <c r="K111" s="413">
        <v>2.75</v>
      </c>
      <c r="L111" s="413">
        <v>0.56</v>
      </c>
      <c r="M111" s="413">
        <v>300.0</v>
      </c>
      <c r="N111" s="413">
        <v>0.0065</v>
      </c>
      <c r="O111" s="413">
        <v>4.5</v>
      </c>
      <c r="P111" s="413">
        <v>0.0023</v>
      </c>
      <c r="Q111" s="413">
        <v>1.28E-5</v>
      </c>
      <c r="R111" s="413">
        <v>1.07</v>
      </c>
      <c r="S111" s="423">
        <v>2.75</v>
      </c>
      <c r="T111" s="14">
        <f>IF(A111="","",ARBITRAGES!M111)</f>
        <v>8611.448935</v>
      </c>
      <c r="U111" s="417">
        <f>IF(A111="","",B111*'QUANTITE DETENUES'!B111+'QUANTITE DETENUES'!C111*C111+'QUANTITE DETENUES'!D111*D111+E111*'QUANTITE DETENUES'!E111+'QUANTITE DETENUES'!F111*F111+G111*'QUANTITE DETENUES'!G111+'QUANTITE DETENUES'!H111*H111+I111*'QUANTITE DETENUES'!I111+'QUANTITE DETENUES'!J111*J111+K111*'QUANTITE DETENUES'!K111+'QUANTITE DETENUES'!L111*L111+M111*'QUANTITE DETENUES'!M111+'QUANTITE DETENUES'!N111*N111+O111*'QUANTITE DETENUES'!O111+T111+P111*'QUANTITE DETENUES'!P111+'QUANTITE DETENUES'!Q111*Q111+R111*'QUANTITE DETENUES'!R111+'QUANTITE DETENUES'!S111*S111)</f>
        <v>59204.67145</v>
      </c>
      <c r="V111" s="288"/>
      <c r="W111" s="289"/>
      <c r="X111" s="289"/>
      <c r="Y111" s="289"/>
      <c r="Z111" s="289"/>
      <c r="AA111" s="289"/>
      <c r="AB111" s="289"/>
      <c r="AC111" s="289"/>
      <c r="AD111" s="289"/>
      <c r="AE111" s="289"/>
      <c r="AF111" s="289"/>
      <c r="AG111" s="289"/>
      <c r="AH111" s="289"/>
      <c r="AI111" s="289"/>
      <c r="AJ111" s="289"/>
      <c r="AK111" s="289"/>
      <c r="AL111" s="289"/>
      <c r="AM111" s="289"/>
    </row>
    <row r="112">
      <c r="A112" s="409">
        <f>IF(ARBITRAGES!E112="","",ARBITRAGES!E112)</f>
        <v>45867</v>
      </c>
      <c r="B112" s="413">
        <v>120000.0</v>
      </c>
      <c r="C112" s="413">
        <v>3900.0</v>
      </c>
      <c r="D112" s="413">
        <v>3.6</v>
      </c>
      <c r="E112" s="413">
        <v>190.0</v>
      </c>
      <c r="F112" s="413">
        <v>400.0</v>
      </c>
      <c r="G112" s="413">
        <v>0.6</v>
      </c>
      <c r="H112" s="413">
        <v>19.0</v>
      </c>
      <c r="I112" s="413">
        <v>0.25</v>
      </c>
      <c r="J112" s="413">
        <v>1.31E-5</v>
      </c>
      <c r="K112" s="413">
        <v>2.9</v>
      </c>
      <c r="L112" s="413">
        <v>0.53</v>
      </c>
      <c r="M112" s="413">
        <v>280.0</v>
      </c>
      <c r="N112" s="413">
        <v>0.0058</v>
      </c>
      <c r="O112" s="413">
        <v>4.4</v>
      </c>
      <c r="P112" s="413">
        <v>0.002</v>
      </c>
      <c r="Q112" s="413">
        <v>1.15E-5</v>
      </c>
      <c r="R112" s="413">
        <v>1.0</v>
      </c>
      <c r="S112" s="423">
        <v>3.0</v>
      </c>
      <c r="T112" s="14">
        <f>IF(A112="","",ARBITRAGES!M112)</f>
        <v>8411.448935</v>
      </c>
      <c r="U112" s="417">
        <f>IF(A112="","",B112*'QUANTITE DETENUES'!B112+'QUANTITE DETENUES'!C112*C112+'QUANTITE DETENUES'!D112*D112+E112*'QUANTITE DETENUES'!E112+'QUANTITE DETENUES'!F112*F112+G112*'QUANTITE DETENUES'!G112+'QUANTITE DETENUES'!H112*H112+I112*'QUANTITE DETENUES'!I112+'QUANTITE DETENUES'!J112*J112+K112*'QUANTITE DETENUES'!K112+'QUANTITE DETENUES'!L112*L112+M112*'QUANTITE DETENUES'!M112+'QUANTITE DETENUES'!N112*N112+O112*'QUANTITE DETENUES'!O112+T112+P112*'QUANTITE DETENUES'!P112+'QUANTITE DETENUES'!Q112*Q112+R112*'QUANTITE DETENUES'!R112+'QUANTITE DETENUES'!S112*S112)</f>
        <v>60132.91956</v>
      </c>
      <c r="V112" s="288"/>
      <c r="W112" s="289"/>
      <c r="X112" s="289"/>
      <c r="Y112" s="289"/>
      <c r="Z112" s="289"/>
      <c r="AA112" s="289"/>
      <c r="AB112" s="289"/>
      <c r="AC112" s="289"/>
      <c r="AD112" s="289"/>
      <c r="AE112" s="289"/>
      <c r="AF112" s="289"/>
      <c r="AG112" s="289"/>
      <c r="AH112" s="289"/>
      <c r="AI112" s="289"/>
      <c r="AJ112" s="289"/>
      <c r="AK112" s="289"/>
      <c r="AL112" s="289"/>
      <c r="AM112" s="289"/>
    </row>
    <row r="113">
      <c r="A113" s="409">
        <f>IF(ARBITRAGES!E113="","",ARBITRAGES!E113)</f>
        <v>45868</v>
      </c>
      <c r="B113" s="413">
        <v>118500.0</v>
      </c>
      <c r="C113" s="413">
        <v>3800.0</v>
      </c>
      <c r="D113" s="413">
        <v>3.45</v>
      </c>
      <c r="E113" s="413">
        <v>180.0</v>
      </c>
      <c r="F113" s="413">
        <v>380.0</v>
      </c>
      <c r="G113" s="413">
        <v>0.55</v>
      </c>
      <c r="H113" s="413">
        <v>18.5</v>
      </c>
      <c r="I113" s="413">
        <v>0.23</v>
      </c>
      <c r="J113" s="413">
        <v>1.31E-5</v>
      </c>
      <c r="K113" s="413">
        <v>2.85</v>
      </c>
      <c r="L113" s="413">
        <v>0.53</v>
      </c>
      <c r="M113" s="413">
        <v>280.0</v>
      </c>
      <c r="N113" s="413">
        <v>0.0058</v>
      </c>
      <c r="O113" s="413">
        <v>4.4</v>
      </c>
      <c r="P113" s="413">
        <v>0.002</v>
      </c>
      <c r="Q113" s="413">
        <v>1.15E-5</v>
      </c>
      <c r="R113" s="413">
        <v>1.0</v>
      </c>
      <c r="S113" s="423">
        <v>3.0</v>
      </c>
      <c r="T113" s="14">
        <f>IF(A113="","",ARBITRAGES!M113)</f>
        <v>8103.348935</v>
      </c>
      <c r="U113" s="417">
        <f>IF(A113="","",B113*'QUANTITE DETENUES'!B113+'QUANTITE DETENUES'!C113*C113+'QUANTITE DETENUES'!D113*D113+E113*'QUANTITE DETENUES'!E113+'QUANTITE DETENUES'!F113*F113+G113*'QUANTITE DETENUES'!G113+'QUANTITE DETENUES'!H113*H113+I113*'QUANTITE DETENUES'!I113+'QUANTITE DETENUES'!J113*J113+K113*'QUANTITE DETENUES'!K113+'QUANTITE DETENUES'!L113*L113+M113*'QUANTITE DETENUES'!M113+'QUANTITE DETENUES'!N113*N113+O113*'QUANTITE DETENUES'!O113+T113+P113*'QUANTITE DETENUES'!P113+'QUANTITE DETENUES'!Q113*Q113+R113*'QUANTITE DETENUES'!R113+'QUANTITE DETENUES'!S113*S113)</f>
        <v>58941.80655</v>
      </c>
      <c r="V113" s="288"/>
      <c r="W113" s="289"/>
      <c r="X113" s="289"/>
      <c r="Y113" s="289"/>
      <c r="Z113" s="289"/>
      <c r="AA113" s="289"/>
      <c r="AB113" s="289"/>
      <c r="AC113" s="289"/>
      <c r="AD113" s="289"/>
      <c r="AE113" s="289"/>
      <c r="AF113" s="289"/>
      <c r="AG113" s="289"/>
      <c r="AH113" s="289"/>
      <c r="AI113" s="289"/>
      <c r="AJ113" s="289"/>
      <c r="AK113" s="289"/>
      <c r="AL113" s="289"/>
      <c r="AM113" s="289"/>
    </row>
    <row r="114">
      <c r="A114" s="409">
        <f>IF(ARBITRAGES!E114="","",ARBITRAGES!E114)</f>
        <v>45869</v>
      </c>
      <c r="B114" s="413">
        <v>115500.0</v>
      </c>
      <c r="C114" s="413">
        <v>3675.0</v>
      </c>
      <c r="D114" s="413">
        <v>3.45</v>
      </c>
      <c r="E114" s="413">
        <v>170.0</v>
      </c>
      <c r="F114" s="413">
        <v>350.0</v>
      </c>
      <c r="G114" s="413">
        <v>0.5</v>
      </c>
      <c r="H114" s="413">
        <v>16.7</v>
      </c>
      <c r="I114" s="413">
        <v>0.205</v>
      </c>
      <c r="J114" s="413">
        <v>1.25E-5</v>
      </c>
      <c r="K114" s="413">
        <v>2.7</v>
      </c>
      <c r="L114" s="413">
        <v>0.48</v>
      </c>
      <c r="M114" s="413">
        <v>260.0</v>
      </c>
      <c r="N114" s="413">
        <v>0.0054</v>
      </c>
      <c r="O114" s="413">
        <v>4.0</v>
      </c>
      <c r="P114" s="413">
        <v>0.0017</v>
      </c>
      <c r="Q114" s="413">
        <v>1.06E-5</v>
      </c>
      <c r="R114" s="413">
        <v>0.9</v>
      </c>
      <c r="S114" s="423">
        <v>2.7</v>
      </c>
      <c r="T114" s="14">
        <f>IF(A114="","",ARBITRAGES!M114)</f>
        <v>8054.748935</v>
      </c>
      <c r="U114" s="417">
        <f>IF(A114="","",B114*'QUANTITE DETENUES'!B114+'QUANTITE DETENUES'!C114*C114+'QUANTITE DETENUES'!D114*D114+E114*'QUANTITE DETENUES'!E114+'QUANTITE DETENUES'!F114*F114+G114*'QUANTITE DETENUES'!G114+'QUANTITE DETENUES'!H114*H114+I114*'QUANTITE DETENUES'!I114+'QUANTITE DETENUES'!J114*J114+K114*'QUANTITE DETENUES'!K114+'QUANTITE DETENUES'!L114*L114+M114*'QUANTITE DETENUES'!M114+'QUANTITE DETENUES'!N114*N114+O114*'QUANTITE DETENUES'!O114+T114+P114*'QUANTITE DETENUES'!P114+'QUANTITE DETENUES'!Q114*Q114+R114*'QUANTITE DETENUES'!R114+'QUANTITE DETENUES'!S114*S114)</f>
        <v>56872.72876</v>
      </c>
      <c r="V114" s="288"/>
      <c r="W114" s="289"/>
      <c r="X114" s="289"/>
      <c r="Y114" s="289"/>
      <c r="Z114" s="289"/>
      <c r="AA114" s="289"/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289"/>
      <c r="AM114" s="289"/>
    </row>
    <row r="115">
      <c r="A115" s="409">
        <f>IF(ARBITRAGES!E115="","",ARBITRAGES!E115)</f>
        <v>45869</v>
      </c>
      <c r="B115" s="413">
        <v>115500.0</v>
      </c>
      <c r="C115" s="413">
        <v>3675.0</v>
      </c>
      <c r="D115" s="413">
        <v>3.45</v>
      </c>
      <c r="E115" s="413">
        <v>170.0</v>
      </c>
      <c r="F115" s="413">
        <v>350.0</v>
      </c>
      <c r="G115" s="413">
        <v>0.5</v>
      </c>
      <c r="H115" s="413">
        <v>16.7</v>
      </c>
      <c r="I115" s="413">
        <v>0.205</v>
      </c>
      <c r="J115" s="413">
        <v>1.25E-5</v>
      </c>
      <c r="K115" s="413">
        <v>2.7</v>
      </c>
      <c r="L115" s="413">
        <v>0.48</v>
      </c>
      <c r="M115" s="413">
        <v>260.0</v>
      </c>
      <c r="N115" s="413">
        <v>0.0054</v>
      </c>
      <c r="O115" s="413">
        <v>4.0</v>
      </c>
      <c r="P115" s="413">
        <v>0.0017</v>
      </c>
      <c r="Q115" s="413">
        <v>1.06E-5</v>
      </c>
      <c r="R115" s="413">
        <v>0.9</v>
      </c>
      <c r="S115" s="423">
        <v>2.7</v>
      </c>
      <c r="T115" s="14">
        <f>IF(A115="","",ARBITRAGES!M115)</f>
        <v>7954.848935</v>
      </c>
      <c r="U115" s="417">
        <f>IF(A115="","",B115*'QUANTITE DETENUES'!B115+'QUANTITE DETENUES'!C115*C115+'QUANTITE DETENUES'!D115*D115+E115*'QUANTITE DETENUES'!E115+'QUANTITE DETENUES'!F115*F115+G115*'QUANTITE DETENUES'!G115+'QUANTITE DETENUES'!H115*H115+I115*'QUANTITE DETENUES'!I115+'QUANTITE DETENUES'!J115*J115+K115*'QUANTITE DETENUES'!K115+'QUANTITE DETENUES'!L115*L115+M115*'QUANTITE DETENUES'!M115+'QUANTITE DETENUES'!N115*N115+O115*'QUANTITE DETENUES'!O115+T115+P115*'QUANTITE DETENUES'!P115+'QUANTITE DETENUES'!Q115*Q115+R115*'QUANTITE DETENUES'!R115+'QUANTITE DETENUES'!S115*S115)</f>
        <v>56869.25376</v>
      </c>
      <c r="V115" s="288"/>
      <c r="W115" s="289"/>
      <c r="X115" s="289"/>
      <c r="Y115" s="289"/>
      <c r="Z115" s="289"/>
      <c r="AA115" s="289"/>
      <c r="AB115" s="289"/>
      <c r="AC115" s="289"/>
      <c r="AD115" s="289"/>
      <c r="AE115" s="289"/>
      <c r="AF115" s="289"/>
      <c r="AG115" s="289"/>
      <c r="AH115" s="289"/>
      <c r="AI115" s="289"/>
      <c r="AJ115" s="289"/>
      <c r="AK115" s="289"/>
      <c r="AL115" s="289"/>
      <c r="AM115" s="289"/>
    </row>
    <row r="116">
      <c r="A116" s="409">
        <f>IF(ARBITRAGES!E116="","",ARBITRAGES!E116)</f>
        <v>45869</v>
      </c>
      <c r="B116" s="413">
        <v>115500.0</v>
      </c>
      <c r="C116" s="413">
        <v>3675.0</v>
      </c>
      <c r="D116" s="413">
        <v>3.45</v>
      </c>
      <c r="E116" s="413">
        <v>170.0</v>
      </c>
      <c r="F116" s="413">
        <v>350.0</v>
      </c>
      <c r="G116" s="413">
        <v>0.5</v>
      </c>
      <c r="H116" s="413">
        <v>16.7</v>
      </c>
      <c r="I116" s="413">
        <v>0.205</v>
      </c>
      <c r="J116" s="413">
        <v>1.25E-5</v>
      </c>
      <c r="K116" s="413">
        <v>2.7</v>
      </c>
      <c r="L116" s="413">
        <v>0.48</v>
      </c>
      <c r="M116" s="413">
        <v>260.0</v>
      </c>
      <c r="N116" s="413">
        <v>0.0054</v>
      </c>
      <c r="O116" s="413">
        <v>4.0</v>
      </c>
      <c r="P116" s="413">
        <v>0.0017</v>
      </c>
      <c r="Q116" s="413">
        <v>1.06E-5</v>
      </c>
      <c r="R116" s="413">
        <v>0.9</v>
      </c>
      <c r="S116" s="423">
        <v>2.7</v>
      </c>
      <c r="T116" s="14">
        <f>IF(A116="","",ARBITRAGES!M116)</f>
        <v>7806.648935</v>
      </c>
      <c r="U116" s="417">
        <f>IF(A116="","",B116*'QUANTITE DETENUES'!B116+'QUANTITE DETENUES'!C116*C116+'QUANTITE DETENUES'!D116*D116+E116*'QUANTITE DETENUES'!E116+'QUANTITE DETENUES'!F116*F116+G116*'QUANTITE DETENUES'!G116+'QUANTITE DETENUES'!H116*H116+I116*'QUANTITE DETENUES'!I116+'QUANTITE DETENUES'!J116*J116+K116*'QUANTITE DETENUES'!K116+'QUANTITE DETENUES'!L116*L116+M116*'QUANTITE DETENUES'!M116+'QUANTITE DETENUES'!N116*N116+O116*'QUANTITE DETENUES'!O116+T116+P116*'QUANTITE DETENUES'!P116+'QUANTITE DETENUES'!Q116*Q116+R116*'QUANTITE DETENUES'!R116+'QUANTITE DETENUES'!S116*S116)</f>
        <v>56869.25376</v>
      </c>
      <c r="V116" s="288"/>
      <c r="W116" s="289"/>
      <c r="X116" s="289"/>
      <c r="Y116" s="289"/>
      <c r="Z116" s="289"/>
      <c r="AA116" s="289"/>
      <c r="AB116" s="289"/>
      <c r="AC116" s="289"/>
      <c r="AD116" s="289"/>
      <c r="AE116" s="289"/>
      <c r="AF116" s="289"/>
      <c r="AG116" s="289"/>
      <c r="AH116" s="289"/>
      <c r="AI116" s="289"/>
      <c r="AJ116" s="289"/>
      <c r="AK116" s="289"/>
      <c r="AL116" s="289"/>
      <c r="AM116" s="289"/>
    </row>
    <row r="117">
      <c r="A117" s="409">
        <f>IF(ARBITRAGES!E117="","",ARBITRAGES!E117)</f>
        <v>45870</v>
      </c>
      <c r="B117" s="413">
        <v>115500.0</v>
      </c>
      <c r="C117" s="413">
        <v>3675.0</v>
      </c>
      <c r="D117" s="413">
        <v>3.45</v>
      </c>
      <c r="E117" s="413">
        <v>170.0</v>
      </c>
      <c r="F117" s="413">
        <v>350.0</v>
      </c>
      <c r="G117" s="413">
        <v>0.5</v>
      </c>
      <c r="H117" s="413">
        <v>16.7</v>
      </c>
      <c r="I117" s="413">
        <v>0.205</v>
      </c>
      <c r="J117" s="413">
        <v>1.25E-5</v>
      </c>
      <c r="K117" s="413">
        <v>2.7</v>
      </c>
      <c r="L117" s="413">
        <v>0.48</v>
      </c>
      <c r="M117" s="413">
        <v>260.0</v>
      </c>
      <c r="N117" s="413">
        <v>0.0054</v>
      </c>
      <c r="O117" s="413">
        <v>4.0</v>
      </c>
      <c r="P117" s="413">
        <v>0.0017</v>
      </c>
      <c r="Q117" s="413">
        <v>1.06E-5</v>
      </c>
      <c r="R117" s="413">
        <v>0.9</v>
      </c>
      <c r="S117" s="423">
        <v>2.7</v>
      </c>
      <c r="T117" s="14">
        <f>IF(A117="","",ARBITRAGES!M117)</f>
        <v>7506.648935</v>
      </c>
      <c r="U117" s="417">
        <f>IF(A117="","",B117*'QUANTITE DETENUES'!B117+'QUANTITE DETENUES'!C117*C117+'QUANTITE DETENUES'!D117*D117+E117*'QUANTITE DETENUES'!E117+'QUANTITE DETENUES'!F117*F117+G117*'QUANTITE DETENUES'!G117+'QUANTITE DETENUES'!H117*H117+I117*'QUANTITE DETENUES'!I117+'QUANTITE DETENUES'!J117*J117+K117*'QUANTITE DETENUES'!K117+'QUANTITE DETENUES'!L117*L117+M117*'QUANTITE DETENUES'!M117+'QUANTITE DETENUES'!N117*N117+O117*'QUANTITE DETENUES'!O117+T117+P117*'QUANTITE DETENUES'!P117+'QUANTITE DETENUES'!Q117*Q117+R117*'QUANTITE DETENUES'!R117+'QUANTITE DETENUES'!S117*S117)</f>
        <v>56871.87385</v>
      </c>
      <c r="V117" s="288"/>
      <c r="W117" s="289"/>
      <c r="X117" s="289"/>
      <c r="Y117" s="289"/>
      <c r="Z117" s="289"/>
      <c r="AA117" s="289"/>
      <c r="AB117" s="289"/>
      <c r="AC117" s="289"/>
      <c r="AD117" s="289"/>
      <c r="AE117" s="289"/>
      <c r="AF117" s="289"/>
      <c r="AG117" s="289"/>
      <c r="AH117" s="289"/>
      <c r="AI117" s="289"/>
      <c r="AJ117" s="289"/>
      <c r="AK117" s="289"/>
      <c r="AL117" s="289"/>
      <c r="AM117" s="289"/>
    </row>
    <row r="118">
      <c r="A118" s="409">
        <f>IF(ARBITRAGES!E118="","",ARBITRAGES!E118)</f>
        <v>45871</v>
      </c>
      <c r="B118" s="413">
        <v>114000.0</v>
      </c>
      <c r="C118" s="413">
        <v>3650.0</v>
      </c>
      <c r="D118" s="413">
        <v>3.2</v>
      </c>
      <c r="E118" s="413">
        <v>170.0</v>
      </c>
      <c r="F118" s="413">
        <v>345.0</v>
      </c>
      <c r="G118" s="413">
        <v>0.5</v>
      </c>
      <c r="H118" s="413">
        <v>16.5</v>
      </c>
      <c r="I118" s="413">
        <v>0.2</v>
      </c>
      <c r="J118" s="413">
        <v>1.22E-5</v>
      </c>
      <c r="K118" s="413">
        <v>2.6</v>
      </c>
      <c r="L118" s="413">
        <v>0.462</v>
      </c>
      <c r="M118" s="413">
        <v>260.0</v>
      </c>
      <c r="N118" s="413">
        <v>0.0052</v>
      </c>
      <c r="O118" s="413">
        <v>3.9</v>
      </c>
      <c r="P118" s="413">
        <v>0.0017</v>
      </c>
      <c r="Q118" s="413">
        <v>1.06E-5</v>
      </c>
      <c r="R118" s="413">
        <v>0.87</v>
      </c>
      <c r="S118" s="423">
        <v>2.6</v>
      </c>
      <c r="T118" s="14">
        <f>IF(A118="","",ARBITRAGES!M118)</f>
        <v>7207.188935</v>
      </c>
      <c r="U118" s="417">
        <f>IF(A118="","",B118*'QUANTITE DETENUES'!B118+'QUANTITE DETENUES'!C118*C118+'QUANTITE DETENUES'!D118*D118+E118*'QUANTITE DETENUES'!E118+'QUANTITE DETENUES'!F118*F118+G118*'QUANTITE DETENUES'!G118+'QUANTITE DETENUES'!H118*H118+I118*'QUANTITE DETENUES'!I118+'QUANTITE DETENUES'!J118*J118+K118*'QUANTITE DETENUES'!K118+'QUANTITE DETENUES'!L118*L118+M118*'QUANTITE DETENUES'!M118+'QUANTITE DETENUES'!N118*N118+O118*'QUANTITE DETENUES'!O118+T118+P118*'QUANTITE DETENUES'!P118+'QUANTITE DETENUES'!Q118*Q118+R118*'QUANTITE DETENUES'!R118+'QUANTITE DETENUES'!S118*S118)</f>
        <v>56296.031</v>
      </c>
      <c r="V118" s="288"/>
      <c r="W118" s="289"/>
      <c r="X118" s="289"/>
      <c r="Y118" s="289"/>
      <c r="Z118" s="289"/>
      <c r="AA118" s="289"/>
      <c r="AB118" s="289"/>
      <c r="AC118" s="289"/>
      <c r="AD118" s="289"/>
      <c r="AE118" s="289"/>
      <c r="AF118" s="289"/>
      <c r="AG118" s="289"/>
      <c r="AH118" s="289"/>
      <c r="AI118" s="289"/>
      <c r="AJ118" s="289"/>
      <c r="AK118" s="289"/>
      <c r="AL118" s="289"/>
      <c r="AM118" s="289"/>
    </row>
    <row r="119">
      <c r="A119" s="409">
        <f>IF(ARBITRAGES!E119="","",ARBITRAGES!E119)</f>
        <v>45875</v>
      </c>
      <c r="B119" s="413">
        <v>114000.0</v>
      </c>
      <c r="C119" s="413">
        <v>3650.0</v>
      </c>
      <c r="D119" s="413">
        <v>3.2</v>
      </c>
      <c r="E119" s="413">
        <v>170.0</v>
      </c>
      <c r="F119" s="413">
        <v>345.0</v>
      </c>
      <c r="G119" s="413">
        <v>0.5</v>
      </c>
      <c r="H119" s="413">
        <v>16.5</v>
      </c>
      <c r="I119" s="413">
        <v>0.2</v>
      </c>
      <c r="J119" s="413">
        <v>1.22E-5</v>
      </c>
      <c r="K119" s="413">
        <v>2.6</v>
      </c>
      <c r="L119" s="413">
        <v>0.462</v>
      </c>
      <c r="M119" s="413">
        <v>260.0</v>
      </c>
      <c r="N119" s="413">
        <v>0.0052</v>
      </c>
      <c r="O119" s="413">
        <v>3.9</v>
      </c>
      <c r="P119" s="413">
        <v>0.0017</v>
      </c>
      <c r="Q119" s="413">
        <v>1.06E-5</v>
      </c>
      <c r="R119" s="413">
        <v>0.87</v>
      </c>
      <c r="S119" s="423">
        <v>2.6</v>
      </c>
      <c r="T119" s="14">
        <f>IF(A119="","",ARBITRAGES!M119)</f>
        <v>7072.728935</v>
      </c>
      <c r="U119" s="417">
        <f>IF(A119="","",B119*'QUANTITE DETENUES'!B119+'QUANTITE DETENUES'!C119*C119+'QUANTITE DETENUES'!D119*D119+E119*'QUANTITE DETENUES'!E119+'QUANTITE DETENUES'!F119*F119+G119*'QUANTITE DETENUES'!G119+'QUANTITE DETENUES'!H119*H119+I119*'QUANTITE DETENUES'!I119+'QUANTITE DETENUES'!J119*J119+K119*'QUANTITE DETENUES'!K119+'QUANTITE DETENUES'!L119*L119+M119*'QUANTITE DETENUES'!M119+'QUANTITE DETENUES'!N119*N119+O119*'QUANTITE DETENUES'!O119+T119+P119*'QUANTITE DETENUES'!P119+'QUANTITE DETENUES'!Q119*Q119+R119*'QUANTITE DETENUES'!R119+'QUANTITE DETENUES'!S119*S119)</f>
        <v>56561.971</v>
      </c>
      <c r="V119" s="288"/>
      <c r="W119" s="289"/>
      <c r="X119" s="289"/>
      <c r="Y119" s="289"/>
      <c r="Z119" s="289"/>
      <c r="AA119" s="289"/>
      <c r="AB119" s="289"/>
      <c r="AC119" s="289"/>
      <c r="AD119" s="289"/>
      <c r="AE119" s="289"/>
      <c r="AF119" s="289"/>
      <c r="AG119" s="289"/>
      <c r="AH119" s="289"/>
      <c r="AI119" s="289"/>
      <c r="AJ119" s="289"/>
      <c r="AK119" s="289"/>
      <c r="AL119" s="289"/>
      <c r="AM119" s="289"/>
    </row>
    <row r="120">
      <c r="A120" s="409">
        <f>IF(ARBITRAGES!E120="","",ARBITRAGES!E120)</f>
        <v>45876</v>
      </c>
      <c r="B120" s="413">
        <v>119000.0</v>
      </c>
      <c r="C120" s="413">
        <v>4200.0</v>
      </c>
      <c r="D120" s="413">
        <v>3.3</v>
      </c>
      <c r="E120" s="413">
        <v>180.0</v>
      </c>
      <c r="F120" s="413">
        <v>385.0</v>
      </c>
      <c r="G120" s="413">
        <v>0.56</v>
      </c>
      <c r="H120" s="413">
        <v>21.5</v>
      </c>
      <c r="I120" s="413">
        <v>0.23</v>
      </c>
      <c r="J120" s="413">
        <v>1.35E-5</v>
      </c>
      <c r="K120" s="413">
        <v>2.8</v>
      </c>
      <c r="L120" s="413">
        <v>0.51</v>
      </c>
      <c r="M120" s="413">
        <v>300.0</v>
      </c>
      <c r="N120" s="413">
        <v>0.0057</v>
      </c>
      <c r="O120" s="413">
        <v>5.4</v>
      </c>
      <c r="P120" s="413">
        <v>0.0018</v>
      </c>
      <c r="Q120" s="413">
        <v>1.2E-5</v>
      </c>
      <c r="R120" s="413">
        <v>0.96</v>
      </c>
      <c r="S120" s="423">
        <v>3.25</v>
      </c>
      <c r="T120" s="14">
        <f>IF(A120="","",ARBITRAGES!M120)</f>
        <v>8237.728935</v>
      </c>
      <c r="U120" s="417">
        <f>IF(A120="","",B120*'QUANTITE DETENUES'!B120+'QUANTITE DETENUES'!C120*C120+'QUANTITE DETENUES'!D120*D120+E120*'QUANTITE DETENUES'!E120+'QUANTITE DETENUES'!F120*F120+G120*'QUANTITE DETENUES'!G120+'QUANTITE DETENUES'!H120*H120+I120*'QUANTITE DETENUES'!I120+'QUANTITE DETENUES'!J120*J120+K120*'QUANTITE DETENUES'!K120+'QUANTITE DETENUES'!L120*L120+M120*'QUANTITE DETENUES'!M120+'QUANTITE DETENUES'!N120*N120+O120*'QUANTITE DETENUES'!O120+T120+P120*'QUANTITE DETENUES'!P120+'QUANTITE DETENUES'!Q120*Q120+R120*'QUANTITE DETENUES'!R120+'QUANTITE DETENUES'!S120*S120)</f>
        <v>61068.90436</v>
      </c>
      <c r="V120" s="288"/>
      <c r="W120" s="289"/>
      <c r="X120" s="289"/>
      <c r="Y120" s="289"/>
      <c r="Z120" s="289"/>
      <c r="AA120" s="289"/>
      <c r="AB120" s="289"/>
      <c r="AC120" s="289"/>
      <c r="AD120" s="289"/>
      <c r="AE120" s="289"/>
      <c r="AF120" s="289"/>
      <c r="AG120" s="289"/>
      <c r="AH120" s="289"/>
      <c r="AI120" s="289"/>
      <c r="AJ120" s="289"/>
      <c r="AK120" s="289"/>
      <c r="AL120" s="289"/>
      <c r="AM120" s="289"/>
    </row>
    <row r="121">
      <c r="A121" s="409">
        <f>IF(ARBITRAGES!E121="","",ARBITRAGES!E121)</f>
        <v>45876</v>
      </c>
      <c r="B121" s="413">
        <v>119000.0</v>
      </c>
      <c r="C121" s="413">
        <v>4200.0</v>
      </c>
      <c r="D121" s="413">
        <v>3.3</v>
      </c>
      <c r="E121" s="413">
        <v>180.0</v>
      </c>
      <c r="F121" s="413">
        <v>385.0</v>
      </c>
      <c r="G121" s="413">
        <v>0.56</v>
      </c>
      <c r="H121" s="413">
        <v>21.5</v>
      </c>
      <c r="I121" s="413">
        <v>0.23</v>
      </c>
      <c r="J121" s="413">
        <v>1.35E-5</v>
      </c>
      <c r="K121" s="413">
        <v>2.8</v>
      </c>
      <c r="L121" s="413">
        <v>0.51</v>
      </c>
      <c r="M121" s="413">
        <v>300.0</v>
      </c>
      <c r="N121" s="413">
        <v>0.0057</v>
      </c>
      <c r="O121" s="413">
        <v>5.4</v>
      </c>
      <c r="P121" s="413">
        <v>0.0018</v>
      </c>
      <c r="Q121" s="413">
        <v>1.2E-5</v>
      </c>
      <c r="R121" s="413">
        <v>0.96</v>
      </c>
      <c r="S121" s="423">
        <v>3.25</v>
      </c>
      <c r="T121" s="14">
        <f>IF(A121="","",ARBITRAGES!M121)</f>
        <v>9392.728935</v>
      </c>
      <c r="U121" s="417">
        <f>IF(A121="","",B121*'QUANTITE DETENUES'!B121+'QUANTITE DETENUES'!C121*C121+'QUANTITE DETENUES'!D121*D121+E121*'QUANTITE DETENUES'!E121+'QUANTITE DETENUES'!F121*F121+G121*'QUANTITE DETENUES'!G121+'QUANTITE DETENUES'!H121*H121+I121*'QUANTITE DETENUES'!I121+'QUANTITE DETENUES'!J121*J121+K121*'QUANTITE DETENUES'!K121+'QUANTITE DETENUES'!L121*L121+M121*'QUANTITE DETENUES'!M121+'QUANTITE DETENUES'!N121*N121+O121*'QUANTITE DETENUES'!O121+T121+P121*'QUANTITE DETENUES'!P121+'QUANTITE DETENUES'!Q121*Q121+R121*'QUANTITE DETENUES'!R121+'QUANTITE DETENUES'!S121*S121)</f>
        <v>60963.90436</v>
      </c>
      <c r="V121" s="288"/>
      <c r="W121" s="289"/>
      <c r="X121" s="289"/>
      <c r="Y121" s="289"/>
      <c r="Z121" s="289"/>
      <c r="AA121" s="289"/>
      <c r="AB121" s="289"/>
      <c r="AC121" s="289"/>
      <c r="AD121" s="289"/>
      <c r="AE121" s="289"/>
      <c r="AF121" s="289"/>
      <c r="AG121" s="289"/>
      <c r="AH121" s="289"/>
      <c r="AI121" s="289"/>
      <c r="AJ121" s="289"/>
      <c r="AK121" s="289"/>
      <c r="AL121" s="289"/>
      <c r="AM121" s="289"/>
    </row>
    <row r="122">
      <c r="A122" s="409">
        <f>IF(ARBITRAGES!E122="","",ARBITRAGES!E122)</f>
        <v>45877</v>
      </c>
      <c r="B122" s="413">
        <v>119000.0</v>
      </c>
      <c r="C122" s="413">
        <v>4200.0</v>
      </c>
      <c r="D122" s="413">
        <v>3.3</v>
      </c>
      <c r="E122" s="413">
        <v>180.0</v>
      </c>
      <c r="F122" s="413">
        <v>385.0</v>
      </c>
      <c r="G122" s="413">
        <v>0.56</v>
      </c>
      <c r="H122" s="413">
        <v>21.5</v>
      </c>
      <c r="I122" s="413">
        <v>0.23</v>
      </c>
      <c r="J122" s="413">
        <v>1.35E-5</v>
      </c>
      <c r="K122" s="413">
        <v>2.8</v>
      </c>
      <c r="L122" s="413">
        <v>0.51</v>
      </c>
      <c r="M122" s="413">
        <v>300.0</v>
      </c>
      <c r="N122" s="413">
        <v>0.0057</v>
      </c>
      <c r="O122" s="413">
        <v>5.4</v>
      </c>
      <c r="P122" s="413">
        <v>0.0018</v>
      </c>
      <c r="Q122" s="413">
        <v>1.2E-5</v>
      </c>
      <c r="R122" s="413">
        <v>0.96</v>
      </c>
      <c r="S122" s="423">
        <v>3.25</v>
      </c>
      <c r="T122" s="14">
        <f>IF(A122="","",ARBITRAGES!M122)</f>
        <v>10577.72893</v>
      </c>
      <c r="U122" s="417">
        <f>IF(A122="","",B122*'QUANTITE DETENUES'!B122+'QUANTITE DETENUES'!C122*C122+'QUANTITE DETENUES'!D122*D122+E122*'QUANTITE DETENUES'!E122+'QUANTITE DETENUES'!F122*F122+G122*'QUANTITE DETENUES'!G122+'QUANTITE DETENUES'!H122*H122+I122*'QUANTITE DETENUES'!I122+'QUANTITE DETENUES'!J122*J122+K122*'QUANTITE DETENUES'!K122+'QUANTITE DETENUES'!L122*L122+M122*'QUANTITE DETENUES'!M122+'QUANTITE DETENUES'!N122*N122+O122*'QUANTITE DETENUES'!O122+T122+P122*'QUANTITE DETENUES'!P122+'QUANTITE DETENUES'!Q122*Q122+R122*'QUANTITE DETENUES'!R122+'QUANTITE DETENUES'!S122*S122)</f>
        <v>60888.90436</v>
      </c>
      <c r="V122" s="288"/>
      <c r="W122" s="289"/>
      <c r="X122" s="289"/>
      <c r="Y122" s="289"/>
      <c r="Z122" s="289"/>
      <c r="AA122" s="289"/>
      <c r="AB122" s="289"/>
      <c r="AC122" s="289"/>
      <c r="AD122" s="289"/>
      <c r="AE122" s="289"/>
      <c r="AF122" s="289"/>
      <c r="AG122" s="289"/>
      <c r="AH122" s="289"/>
      <c r="AI122" s="289"/>
      <c r="AJ122" s="289"/>
      <c r="AK122" s="289"/>
      <c r="AL122" s="289"/>
      <c r="AM122" s="289"/>
    </row>
    <row r="123">
      <c r="A123" s="409">
        <f>IF(ARBITRAGES!E123="","",ARBITRAGES!E123)</f>
        <v>45877</v>
      </c>
      <c r="B123" s="413">
        <v>119000.0</v>
      </c>
      <c r="C123" s="413">
        <v>4200.0</v>
      </c>
      <c r="D123" s="413">
        <v>3.3</v>
      </c>
      <c r="E123" s="413">
        <v>180.0</v>
      </c>
      <c r="F123" s="413">
        <v>385.0</v>
      </c>
      <c r="G123" s="413">
        <v>0.56</v>
      </c>
      <c r="H123" s="413">
        <v>21.5</v>
      </c>
      <c r="I123" s="413">
        <v>0.23</v>
      </c>
      <c r="J123" s="413">
        <v>1.35E-5</v>
      </c>
      <c r="K123" s="413">
        <v>2.8</v>
      </c>
      <c r="L123" s="413">
        <v>0.51</v>
      </c>
      <c r="M123" s="413">
        <v>300.0</v>
      </c>
      <c r="N123" s="413">
        <v>0.0057</v>
      </c>
      <c r="O123" s="413">
        <v>5.4</v>
      </c>
      <c r="P123" s="413">
        <v>0.0018</v>
      </c>
      <c r="Q123" s="413">
        <v>1.2E-5</v>
      </c>
      <c r="R123" s="413">
        <v>0.96</v>
      </c>
      <c r="S123" s="423">
        <v>3.25</v>
      </c>
      <c r="T123" s="14">
        <f>IF(A123="","",ARBITRAGES!M123)</f>
        <v>10856.68109</v>
      </c>
      <c r="U123" s="417">
        <f>IF(A123="","",B123*'QUANTITE DETENUES'!B123+'QUANTITE DETENUES'!C123*C123+'QUANTITE DETENUES'!D123*D123+E123*'QUANTITE DETENUES'!E123+'QUANTITE DETENUES'!F123*F123+G123*'QUANTITE DETENUES'!G123+'QUANTITE DETENUES'!H123*H123+I123*'QUANTITE DETENUES'!I123+'QUANTITE DETENUES'!J123*J123+K123*'QUANTITE DETENUES'!K123+'QUANTITE DETENUES'!L123*L123+M123*'QUANTITE DETENUES'!M123+'QUANTITE DETENUES'!N123*N123+O123*'QUANTITE DETENUES'!O123+T123+P123*'QUANTITE DETENUES'!P123+'QUANTITE DETENUES'!Q123*Q123+R123*'QUANTITE DETENUES'!R123+'QUANTITE DETENUES'!S123*S123)</f>
        <v>60873.85424</v>
      </c>
      <c r="V123" s="288"/>
      <c r="W123" s="289"/>
      <c r="X123" s="289"/>
      <c r="Y123" s="289"/>
      <c r="Z123" s="289"/>
      <c r="AA123" s="289"/>
      <c r="AB123" s="289"/>
      <c r="AC123" s="289"/>
      <c r="AD123" s="289"/>
      <c r="AE123" s="289"/>
      <c r="AF123" s="289"/>
      <c r="AG123" s="289"/>
      <c r="AH123" s="289"/>
      <c r="AI123" s="289"/>
      <c r="AJ123" s="289"/>
      <c r="AK123" s="289"/>
      <c r="AL123" s="289"/>
      <c r="AM123" s="289"/>
    </row>
    <row r="124">
      <c r="A124" s="409">
        <f>IF(ARBITRAGES!E124="","",ARBITRAGES!E124)</f>
        <v>45878</v>
      </c>
      <c r="B124" s="413">
        <v>119000.0</v>
      </c>
      <c r="C124" s="413">
        <v>4200.0</v>
      </c>
      <c r="D124" s="413">
        <v>3.3</v>
      </c>
      <c r="E124" s="413">
        <v>180.0</v>
      </c>
      <c r="F124" s="413">
        <v>385.0</v>
      </c>
      <c r="G124" s="413">
        <v>0.56</v>
      </c>
      <c r="H124" s="413">
        <v>21.5</v>
      </c>
      <c r="I124" s="413">
        <v>0.23</v>
      </c>
      <c r="J124" s="413">
        <v>1.35E-5</v>
      </c>
      <c r="K124" s="413">
        <v>2.8</v>
      </c>
      <c r="L124" s="413">
        <v>0.51</v>
      </c>
      <c r="M124" s="413">
        <v>300.0</v>
      </c>
      <c r="N124" s="413">
        <v>0.0057</v>
      </c>
      <c r="O124" s="413">
        <v>5.4</v>
      </c>
      <c r="P124" s="413">
        <v>0.0018</v>
      </c>
      <c r="Q124" s="413">
        <v>1.2E-5</v>
      </c>
      <c r="R124" s="413">
        <v>0.96</v>
      </c>
      <c r="S124" s="423">
        <v>3.25</v>
      </c>
      <c r="T124" s="14">
        <f>IF(A124="","",ARBITRAGES!M124)</f>
        <v>12269.68815</v>
      </c>
      <c r="U124" s="417">
        <f>IF(A124="","",B124*'QUANTITE DETENUES'!B124+'QUANTITE DETENUES'!C124*C124+'QUANTITE DETENUES'!D124*D124+E124*'QUANTITE DETENUES'!E124+'QUANTITE DETENUES'!F124*F124+G124*'QUANTITE DETENUES'!G124+'QUANTITE DETENUES'!H124*H124+I124*'QUANTITE DETENUES'!I124+'QUANTITE DETENUES'!J124*J124+K124*'QUANTITE DETENUES'!K124+'QUANTITE DETENUES'!L124*L124+M124*'QUANTITE DETENUES'!M124+'QUANTITE DETENUES'!N124*N124+O124*'QUANTITE DETENUES'!O124+T124+P124*'QUANTITE DETENUES'!P124+'QUANTITE DETENUES'!Q124*Q124+R124*'QUANTITE DETENUES'!R124+'QUANTITE DETENUES'!S124*S124)</f>
        <v>60858.85417</v>
      </c>
      <c r="V124" s="288"/>
      <c r="W124" s="289"/>
      <c r="X124" s="289"/>
      <c r="Y124" s="289"/>
      <c r="Z124" s="289"/>
      <c r="AA124" s="289"/>
      <c r="AB124" s="289"/>
      <c r="AC124" s="289"/>
      <c r="AD124" s="289"/>
      <c r="AE124" s="289"/>
      <c r="AF124" s="289"/>
      <c r="AG124" s="289"/>
      <c r="AH124" s="289"/>
      <c r="AI124" s="289"/>
      <c r="AJ124" s="289"/>
      <c r="AK124" s="289"/>
      <c r="AL124" s="289"/>
      <c r="AM124" s="289"/>
    </row>
    <row r="125">
      <c r="A125" s="409">
        <f>IF(ARBITRAGES!E125="","",ARBITRAGES!E125)</f>
        <v>45879</v>
      </c>
      <c r="B125" s="413">
        <v>119000.0</v>
      </c>
      <c r="C125" s="413">
        <v>4200.0</v>
      </c>
      <c r="D125" s="413">
        <v>3.3</v>
      </c>
      <c r="E125" s="413">
        <v>180.0</v>
      </c>
      <c r="F125" s="413">
        <v>385.0</v>
      </c>
      <c r="G125" s="413">
        <v>0.56</v>
      </c>
      <c r="H125" s="413">
        <v>21.5</v>
      </c>
      <c r="I125" s="413">
        <v>0.23</v>
      </c>
      <c r="J125" s="413">
        <v>1.35E-5</v>
      </c>
      <c r="K125" s="413">
        <v>2.8</v>
      </c>
      <c r="L125" s="413">
        <v>0.51</v>
      </c>
      <c r="M125" s="413">
        <v>300.0</v>
      </c>
      <c r="N125" s="413">
        <v>0.0057</v>
      </c>
      <c r="O125" s="413">
        <v>5.4</v>
      </c>
      <c r="P125" s="413">
        <v>0.0018</v>
      </c>
      <c r="Q125" s="413">
        <v>1.2E-5</v>
      </c>
      <c r="R125" s="413">
        <v>0.96</v>
      </c>
      <c r="S125" s="423">
        <v>3.25</v>
      </c>
      <c r="T125" s="14">
        <f>IF(A125="","",ARBITRAGES!M125)</f>
        <v>13458.18815</v>
      </c>
      <c r="U125" s="417">
        <f>IF(A125="","",B125*'QUANTITE DETENUES'!B125+'QUANTITE DETENUES'!C125*C125+'QUANTITE DETENUES'!D125*D125+E125*'QUANTITE DETENUES'!E125+'QUANTITE DETENUES'!F125*F125+G125*'QUANTITE DETENUES'!G125+'QUANTITE DETENUES'!H125*H125+I125*'QUANTITE DETENUES'!I125+'QUANTITE DETENUES'!J125*J125+K125*'QUANTITE DETENUES'!K125+'QUANTITE DETENUES'!L125*L125+M125*'QUANTITE DETENUES'!M125+'QUANTITE DETENUES'!N125*N125+O125*'QUANTITE DETENUES'!O125+T125+P125*'QUANTITE DETENUES'!P125+'QUANTITE DETENUES'!Q125*Q125+R125*'QUANTITE DETENUES'!R125+'QUANTITE DETENUES'!S125*S125)</f>
        <v>60857.35417</v>
      </c>
      <c r="V125" s="288"/>
      <c r="W125" s="289"/>
      <c r="X125" s="289"/>
      <c r="Y125" s="289"/>
      <c r="Z125" s="289"/>
      <c r="AA125" s="289"/>
      <c r="AB125" s="289"/>
      <c r="AC125" s="289"/>
      <c r="AD125" s="289"/>
      <c r="AE125" s="289"/>
      <c r="AF125" s="289"/>
      <c r="AG125" s="289"/>
      <c r="AH125" s="289"/>
      <c r="AI125" s="289"/>
      <c r="AJ125" s="289"/>
      <c r="AK125" s="289"/>
      <c r="AL125" s="289"/>
      <c r="AM125" s="289"/>
    </row>
    <row r="126">
      <c r="A126" s="409">
        <f>IF(ARBITRAGES!E126="","",ARBITRAGES!E126)</f>
        <v>45880</v>
      </c>
      <c r="B126" s="413">
        <v>122000.0</v>
      </c>
      <c r="C126" s="413">
        <v>4300.0</v>
      </c>
      <c r="D126" s="413">
        <v>3.34</v>
      </c>
      <c r="E126" s="413">
        <v>185.0</v>
      </c>
      <c r="F126" s="413">
        <v>385.0</v>
      </c>
      <c r="G126" s="413">
        <v>0.565</v>
      </c>
      <c r="H126" s="413">
        <v>22.0</v>
      </c>
      <c r="I126" s="413">
        <v>0.233</v>
      </c>
      <c r="J126" s="413">
        <v>1.35E-5</v>
      </c>
      <c r="K126" s="413">
        <v>2.85</v>
      </c>
      <c r="L126" s="413">
        <v>0.52</v>
      </c>
      <c r="M126" s="413">
        <v>310.0</v>
      </c>
      <c r="N126" s="413">
        <v>0.0057</v>
      </c>
      <c r="O126" s="413">
        <v>5.4</v>
      </c>
      <c r="P126" s="413">
        <v>0.0019</v>
      </c>
      <c r="Q126" s="413">
        <v>1.2E-5</v>
      </c>
      <c r="R126" s="413">
        <v>0.97</v>
      </c>
      <c r="S126" s="423">
        <v>3.3</v>
      </c>
      <c r="T126" s="14">
        <f>IF(A126="","",ARBITRAGES!M126)</f>
        <v>15258.18815</v>
      </c>
      <c r="U126" s="417">
        <f>IF(A126="","",B126*'QUANTITE DETENUES'!B126+'QUANTITE DETENUES'!C126*C126+'QUANTITE DETENUES'!D126*D126+E126*'QUANTITE DETENUES'!E126+'QUANTITE DETENUES'!F126*F126+G126*'QUANTITE DETENUES'!G126+'QUANTITE DETENUES'!H126*H126+I126*'QUANTITE DETENUES'!I126+'QUANTITE DETENUES'!J126*J126+K126*'QUANTITE DETENUES'!K126+'QUANTITE DETENUES'!L126*L126+M126*'QUANTITE DETENUES'!M126+'QUANTITE DETENUES'!N126*N126+O126*'QUANTITE DETENUES'!O126+T126+P126*'QUANTITE DETENUES'!P126+'QUANTITE DETENUES'!Q126*Q126+R126*'QUANTITE DETENUES'!R126+'QUANTITE DETENUES'!S126*S126)</f>
        <v>61863.37888</v>
      </c>
      <c r="V126" s="288"/>
      <c r="W126" s="289"/>
      <c r="X126" s="289"/>
      <c r="Y126" s="289"/>
      <c r="Z126" s="289"/>
      <c r="AA126" s="289"/>
      <c r="AB126" s="289"/>
      <c r="AC126" s="289"/>
      <c r="AD126" s="289"/>
      <c r="AE126" s="289"/>
      <c r="AF126" s="289"/>
      <c r="AG126" s="289"/>
      <c r="AH126" s="289"/>
      <c r="AI126" s="289"/>
      <c r="AJ126" s="289"/>
      <c r="AK126" s="289"/>
      <c r="AL126" s="289"/>
      <c r="AM126" s="289"/>
    </row>
    <row r="127">
      <c r="A127" s="409">
        <f>IF(ARBITRAGES!E127="","",ARBITRAGES!E127)</f>
        <v>45880</v>
      </c>
      <c r="B127" s="413">
        <v>122000.0</v>
      </c>
      <c r="C127" s="413">
        <v>4300.0</v>
      </c>
      <c r="D127" s="413">
        <v>3.34</v>
      </c>
      <c r="E127" s="413">
        <v>185.0</v>
      </c>
      <c r="F127" s="413">
        <v>385.0</v>
      </c>
      <c r="G127" s="413">
        <v>0.565</v>
      </c>
      <c r="H127" s="413">
        <v>22.0</v>
      </c>
      <c r="I127" s="413">
        <v>0.233</v>
      </c>
      <c r="J127" s="413">
        <v>1.35E-5</v>
      </c>
      <c r="K127" s="413">
        <v>2.85</v>
      </c>
      <c r="L127" s="413">
        <v>0.52</v>
      </c>
      <c r="M127" s="413">
        <v>310.0</v>
      </c>
      <c r="N127" s="413">
        <v>0.0057</v>
      </c>
      <c r="O127" s="413">
        <v>5.4</v>
      </c>
      <c r="P127" s="413">
        <v>0.0019</v>
      </c>
      <c r="Q127" s="413">
        <v>1.2E-5</v>
      </c>
      <c r="R127" s="413">
        <v>0.97</v>
      </c>
      <c r="S127" s="423">
        <v>3.3</v>
      </c>
      <c r="T127" s="14">
        <f>IF(A127="","",ARBITRAGES!M127)</f>
        <v>15078.18815</v>
      </c>
      <c r="U127" s="417">
        <f>IF(A127="","",B127*'QUANTITE DETENUES'!B127+'QUANTITE DETENUES'!C127*C127+'QUANTITE DETENUES'!D127*D127+E127*'QUANTITE DETENUES'!E127+'QUANTITE DETENUES'!F127*F127+G127*'QUANTITE DETENUES'!G127+'QUANTITE DETENUES'!H127*H127+I127*'QUANTITE DETENUES'!I127+'QUANTITE DETENUES'!J127*J127+K127*'QUANTITE DETENUES'!K127+'QUANTITE DETENUES'!L127*L127+M127*'QUANTITE DETENUES'!M127+'QUANTITE DETENUES'!N127*N127+O127*'QUANTITE DETENUES'!O127+T127+P127*'QUANTITE DETENUES'!P127+'QUANTITE DETENUES'!Q127*Q127+R127*'QUANTITE DETENUES'!R127+'QUANTITE DETENUES'!S127*S127)</f>
        <v>61866.37888</v>
      </c>
      <c r="V127" s="288"/>
      <c r="W127" s="289"/>
      <c r="X127" s="289"/>
      <c r="Y127" s="289"/>
      <c r="Z127" s="289"/>
      <c r="AA127" s="289"/>
      <c r="AB127" s="289"/>
      <c r="AC127" s="289"/>
      <c r="AD127" s="289"/>
      <c r="AE127" s="289"/>
      <c r="AF127" s="289"/>
      <c r="AG127" s="289"/>
      <c r="AH127" s="289"/>
      <c r="AI127" s="289"/>
      <c r="AJ127" s="289"/>
      <c r="AK127" s="289"/>
      <c r="AL127" s="289"/>
      <c r="AM127" s="289"/>
    </row>
    <row r="128">
      <c r="A128" s="409">
        <f>IF(ARBITRAGES!E128="","",ARBITRAGES!E128)</f>
        <v>45880</v>
      </c>
      <c r="B128" s="413">
        <v>122000.0</v>
      </c>
      <c r="C128" s="413">
        <v>4300.0</v>
      </c>
      <c r="D128" s="413">
        <v>3.34</v>
      </c>
      <c r="E128" s="413">
        <v>185.0</v>
      </c>
      <c r="F128" s="413">
        <v>385.0</v>
      </c>
      <c r="G128" s="413">
        <v>0.565</v>
      </c>
      <c r="H128" s="413">
        <v>22.0</v>
      </c>
      <c r="I128" s="413">
        <v>0.233</v>
      </c>
      <c r="J128" s="413">
        <v>1.35E-5</v>
      </c>
      <c r="K128" s="413">
        <v>2.85</v>
      </c>
      <c r="L128" s="413">
        <v>0.52</v>
      </c>
      <c r="M128" s="413">
        <v>310.0</v>
      </c>
      <c r="N128" s="413">
        <v>0.0057</v>
      </c>
      <c r="O128" s="413">
        <v>5.4</v>
      </c>
      <c r="P128" s="413">
        <v>0.0019</v>
      </c>
      <c r="Q128" s="413">
        <v>1.2E-5</v>
      </c>
      <c r="R128" s="413">
        <v>0.97</v>
      </c>
      <c r="S128" s="423">
        <v>3.3</v>
      </c>
      <c r="T128" s="14">
        <f>IF(A128="","",ARBITRAGES!M128)</f>
        <v>14480.61815</v>
      </c>
      <c r="U128" s="417">
        <f>IF(A128="","",B128*'QUANTITE DETENUES'!B128+'QUANTITE DETENUES'!C128*C128+'QUANTITE DETENUES'!D128*D128+E128*'QUANTITE DETENUES'!E128+'QUANTITE DETENUES'!F128*F128+G128*'QUANTITE DETENUES'!G128+'QUANTITE DETENUES'!H128*H128+I128*'QUANTITE DETENUES'!I128+'QUANTITE DETENUES'!J128*J128+K128*'QUANTITE DETENUES'!K128+'QUANTITE DETENUES'!L128*L128+M128*'QUANTITE DETENUES'!M128+'QUANTITE DETENUES'!N128*N128+O128*'QUANTITE DETENUES'!O128+T128+P128*'QUANTITE DETENUES'!P128+'QUANTITE DETENUES'!Q128*Q128+R128*'QUANTITE DETENUES'!R128+'QUANTITE DETENUES'!S128*S128)</f>
        <v>61878.88034</v>
      </c>
      <c r="V128" s="288"/>
      <c r="W128" s="289"/>
      <c r="X128" s="289"/>
      <c r="Y128" s="289"/>
      <c r="Z128" s="289"/>
      <c r="AA128" s="289"/>
      <c r="AB128" s="289"/>
      <c r="AC128" s="289"/>
      <c r="AD128" s="289"/>
      <c r="AE128" s="289"/>
      <c r="AF128" s="289"/>
      <c r="AG128" s="289"/>
      <c r="AH128" s="289"/>
      <c r="AI128" s="289"/>
      <c r="AJ128" s="289"/>
      <c r="AK128" s="289"/>
      <c r="AL128" s="289"/>
      <c r="AM128" s="289"/>
    </row>
    <row r="129">
      <c r="A129" s="409">
        <f>IF(ARBITRAGES!E129="","",ARBITRAGES!E129)</f>
        <v>45881</v>
      </c>
      <c r="B129" s="413">
        <v>122000.0</v>
      </c>
      <c r="C129" s="413">
        <v>4700.0</v>
      </c>
      <c r="D129" s="413">
        <v>3.46</v>
      </c>
      <c r="E129" s="413">
        <v>200.0</v>
      </c>
      <c r="F129" s="413">
        <v>400.0</v>
      </c>
      <c r="G129" s="413">
        <v>0.6</v>
      </c>
      <c r="H129" s="413">
        <v>23.0</v>
      </c>
      <c r="I129" s="413">
        <v>0.25</v>
      </c>
      <c r="J129" s="413">
        <v>1.4E-5</v>
      </c>
      <c r="K129" s="413">
        <v>3.0</v>
      </c>
      <c r="L129" s="413">
        <v>0.55</v>
      </c>
      <c r="M129" s="413">
        <v>325.0</v>
      </c>
      <c r="N129" s="413">
        <v>0.0058</v>
      </c>
      <c r="O129" s="413">
        <v>5.4</v>
      </c>
      <c r="P129" s="413">
        <v>0.0021</v>
      </c>
      <c r="Q129" s="413">
        <v>1.21E-5</v>
      </c>
      <c r="R129" s="413">
        <v>1.0</v>
      </c>
      <c r="S129" s="423">
        <v>3.65</v>
      </c>
      <c r="T129" s="14">
        <f>IF(A129="","",ARBITRAGES!M129)</f>
        <v>14035.61815</v>
      </c>
      <c r="U129" s="417">
        <f>IF(A129="","",B129*'QUANTITE DETENUES'!B129+'QUANTITE DETENUES'!C129*C129+'QUANTITE DETENUES'!D129*D129+E129*'QUANTITE DETENUES'!E129+'QUANTITE DETENUES'!F129*F129+G129*'QUANTITE DETENUES'!G129+'QUANTITE DETENUES'!H129*H129+I129*'QUANTITE DETENUES'!I129+'QUANTITE DETENUES'!J129*J129+K129*'QUANTITE DETENUES'!K129+'QUANTITE DETENUES'!L129*L129+M129*'QUANTITE DETENUES'!M129+'QUANTITE DETENUES'!N129*N129+O129*'QUANTITE DETENUES'!O129+T129+P129*'QUANTITE DETENUES'!P129+'QUANTITE DETENUES'!Q129*Q129+R129*'QUANTITE DETENUES'!R129+'QUANTITE DETENUES'!S129*S129)</f>
        <v>63504.65168</v>
      </c>
      <c r="V129" s="288"/>
      <c r="W129" s="289"/>
      <c r="X129" s="289"/>
      <c r="Y129" s="289"/>
      <c r="Z129" s="289"/>
      <c r="AA129" s="289"/>
      <c r="AB129" s="289"/>
      <c r="AC129" s="289"/>
      <c r="AD129" s="289"/>
      <c r="AE129" s="289"/>
      <c r="AF129" s="289"/>
      <c r="AG129" s="289"/>
      <c r="AH129" s="289"/>
      <c r="AI129" s="289"/>
      <c r="AJ129" s="289"/>
      <c r="AK129" s="289"/>
      <c r="AL129" s="289"/>
      <c r="AM129" s="289"/>
    </row>
    <row r="130">
      <c r="A130" s="409">
        <f>IF(ARBITRAGES!E130="","",ARBITRAGES!E130)</f>
        <v>45882</v>
      </c>
      <c r="B130" s="413">
        <v>122000.0</v>
      </c>
      <c r="C130" s="413">
        <v>4700.0</v>
      </c>
      <c r="D130" s="413">
        <v>3.46</v>
      </c>
      <c r="E130" s="413">
        <v>200.0</v>
      </c>
      <c r="F130" s="413">
        <v>400.0</v>
      </c>
      <c r="G130" s="413">
        <v>0.6</v>
      </c>
      <c r="H130" s="413">
        <v>23.0</v>
      </c>
      <c r="I130" s="413">
        <v>0.25</v>
      </c>
      <c r="J130" s="413">
        <v>1.4E-5</v>
      </c>
      <c r="K130" s="413">
        <v>3.0</v>
      </c>
      <c r="L130" s="413">
        <v>0.55</v>
      </c>
      <c r="M130" s="413">
        <v>325.0</v>
      </c>
      <c r="N130" s="413">
        <v>0.0058</v>
      </c>
      <c r="O130" s="413">
        <v>5.4</v>
      </c>
      <c r="P130" s="413">
        <v>0.0021</v>
      </c>
      <c r="Q130" s="413">
        <v>1.21E-5</v>
      </c>
      <c r="R130" s="413">
        <v>1.0</v>
      </c>
      <c r="S130" s="423">
        <v>3.65</v>
      </c>
      <c r="T130" s="14">
        <f>IF(A130="","",ARBITRAGES!M130)</f>
        <v>15024.71815</v>
      </c>
      <c r="U130" s="417">
        <f>IF(A130="","",B130*'QUANTITE DETENUES'!B130+'QUANTITE DETENUES'!C130*C130+'QUANTITE DETENUES'!D130*D130+E130*'QUANTITE DETENUES'!E130+'QUANTITE DETENUES'!F130*F130+G130*'QUANTITE DETENUES'!G130+'QUANTITE DETENUES'!H130*H130+I130*'QUANTITE DETENUES'!I130+'QUANTITE DETENUES'!J130*J130+K130*'QUANTITE DETENUES'!K130+'QUANTITE DETENUES'!L130*L130+M130*'QUANTITE DETENUES'!M130+'QUANTITE DETENUES'!N130*N130+O130*'QUANTITE DETENUES'!O130+T130+P130*'QUANTITE DETENUES'!P130+'QUANTITE DETENUES'!Q130*Q130+R130*'QUANTITE DETENUES'!R130+'QUANTITE DETENUES'!S130*S130)</f>
        <v>63506.75168</v>
      </c>
      <c r="V130" s="288"/>
      <c r="W130" s="289"/>
      <c r="X130" s="289"/>
      <c r="Y130" s="289"/>
      <c r="Z130" s="289"/>
      <c r="AA130" s="289"/>
      <c r="AB130" s="289"/>
      <c r="AC130" s="289"/>
      <c r="AD130" s="289"/>
      <c r="AE130" s="289"/>
      <c r="AF130" s="289"/>
      <c r="AG130" s="289"/>
      <c r="AH130" s="289"/>
      <c r="AI130" s="289"/>
      <c r="AJ130" s="289"/>
      <c r="AK130" s="289"/>
      <c r="AL130" s="289"/>
      <c r="AM130" s="289"/>
    </row>
    <row r="131">
      <c r="A131" s="409">
        <f>IF(ARBITRAGES!E131="","",ARBITRAGES!E131)</f>
        <v>45882</v>
      </c>
      <c r="B131" s="413">
        <v>122000.0</v>
      </c>
      <c r="C131" s="413">
        <v>4750.0</v>
      </c>
      <c r="D131" s="413">
        <v>3.56</v>
      </c>
      <c r="E131" s="413">
        <v>205.0</v>
      </c>
      <c r="F131" s="413">
        <v>390.0</v>
      </c>
      <c r="G131" s="413">
        <v>0.6</v>
      </c>
      <c r="H131" s="413">
        <v>24.0</v>
      </c>
      <c r="I131" s="413">
        <v>0.25</v>
      </c>
      <c r="J131" s="413">
        <v>1.4E-5</v>
      </c>
      <c r="K131" s="413">
        <v>2.95</v>
      </c>
      <c r="L131" s="413">
        <v>0.55</v>
      </c>
      <c r="M131" s="413">
        <v>333.0</v>
      </c>
      <c r="N131" s="413">
        <v>0.0058</v>
      </c>
      <c r="O131" s="413">
        <v>5.4</v>
      </c>
      <c r="P131" s="413">
        <v>0.0021</v>
      </c>
      <c r="Q131" s="413">
        <v>1.21E-5</v>
      </c>
      <c r="R131" s="413">
        <v>1.0</v>
      </c>
      <c r="S131" s="423">
        <v>3.7</v>
      </c>
      <c r="T131" s="14">
        <f>IF(A131="","",ARBITRAGES!M131)</f>
        <v>15400.43815</v>
      </c>
      <c r="U131" s="417">
        <f>IF(A131="","",B131*'QUANTITE DETENUES'!B131+'QUANTITE DETENUES'!C131*C131+'QUANTITE DETENUES'!D131*D131+E131*'QUANTITE DETENUES'!E131+'QUANTITE DETENUES'!F131*F131+G131*'QUANTITE DETENUES'!G131+'QUANTITE DETENUES'!H131*H131+I131*'QUANTITE DETENUES'!I131+'QUANTITE DETENUES'!J131*J131+K131*'QUANTITE DETENUES'!K131+'QUANTITE DETENUES'!L131*L131+M131*'QUANTITE DETENUES'!M131+'QUANTITE DETENUES'!N131*N131+O131*'QUANTITE DETENUES'!O131+T131+P131*'QUANTITE DETENUES'!P131+'QUANTITE DETENUES'!Q131*Q131+R131*'QUANTITE DETENUES'!R131+'QUANTITE DETENUES'!S131*S131)</f>
        <v>63775.15911</v>
      </c>
      <c r="V131" s="288"/>
      <c r="W131" s="289"/>
      <c r="X131" s="289"/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289"/>
      <c r="AM131" s="289"/>
    </row>
    <row r="132">
      <c r="A132" s="409">
        <f>IF(ARBITRAGES!E132="","",ARBITRAGES!E132)</f>
        <v>45882</v>
      </c>
      <c r="B132" s="413">
        <v>122000.0</v>
      </c>
      <c r="C132" s="413">
        <v>4750.0</v>
      </c>
      <c r="D132" s="413">
        <v>3.56</v>
      </c>
      <c r="E132" s="413">
        <v>205.0</v>
      </c>
      <c r="F132" s="413">
        <v>390.0</v>
      </c>
      <c r="G132" s="413">
        <v>0.6</v>
      </c>
      <c r="H132" s="413">
        <v>24.0</v>
      </c>
      <c r="I132" s="413">
        <v>0.25</v>
      </c>
      <c r="J132" s="413">
        <v>1.4E-5</v>
      </c>
      <c r="K132" s="413">
        <v>2.95</v>
      </c>
      <c r="L132" s="413">
        <v>0.55</v>
      </c>
      <c r="M132" s="413">
        <v>333.0</v>
      </c>
      <c r="N132" s="413">
        <v>0.0058</v>
      </c>
      <c r="O132" s="413">
        <v>5.4</v>
      </c>
      <c r="P132" s="413">
        <v>0.0021</v>
      </c>
      <c r="Q132" s="413">
        <v>1.21E-5</v>
      </c>
      <c r="R132" s="413">
        <v>1.0</v>
      </c>
      <c r="S132" s="423">
        <v>3.7</v>
      </c>
      <c r="T132" s="14">
        <f>IF(A132="","",ARBITRAGES!M132)</f>
        <v>15875.46893</v>
      </c>
      <c r="U132" s="417">
        <f>IF(A132="","",B132*'QUANTITE DETENUES'!B132+'QUANTITE DETENUES'!C132*C132+'QUANTITE DETENUES'!D132*D132+E132*'QUANTITE DETENUES'!E132+'QUANTITE DETENUES'!F132*F132+G132*'QUANTITE DETENUES'!G132+'QUANTITE DETENUES'!H132*H132+I132*'QUANTITE DETENUES'!I132+'QUANTITE DETENUES'!J132*J132+K132*'QUANTITE DETENUES'!K132+'QUANTITE DETENUES'!L132*L132+M132*'QUANTITE DETENUES'!M132+'QUANTITE DETENUES'!N132*N132+O132*'QUANTITE DETENUES'!O132+T132+P132*'QUANTITE DETENUES'!P132+'QUANTITE DETENUES'!Q132*Q132+R132*'QUANTITE DETENUES'!R132+'QUANTITE DETENUES'!S132*S132)</f>
        <v>63786.08411</v>
      </c>
      <c r="V132" s="288"/>
      <c r="W132" s="289"/>
      <c r="X132" s="289"/>
      <c r="Y132" s="289"/>
      <c r="Z132" s="289"/>
      <c r="AA132" s="289"/>
      <c r="AB132" s="289"/>
      <c r="AC132" s="289"/>
      <c r="AD132" s="289"/>
      <c r="AE132" s="289"/>
      <c r="AF132" s="289"/>
      <c r="AG132" s="289"/>
      <c r="AH132" s="289"/>
      <c r="AI132" s="289"/>
      <c r="AJ132" s="289"/>
      <c r="AK132" s="289"/>
      <c r="AL132" s="289"/>
      <c r="AM132" s="289"/>
    </row>
    <row r="133">
      <c r="A133" s="409">
        <f>IF(ARBITRAGES!E133="","",ARBITRAGES!E133)</f>
        <v>45883</v>
      </c>
      <c r="B133" s="413">
        <v>122000.0</v>
      </c>
      <c r="C133" s="413">
        <v>4750.0</v>
      </c>
      <c r="D133" s="413">
        <v>3.56</v>
      </c>
      <c r="E133" s="413">
        <v>205.0</v>
      </c>
      <c r="F133" s="413">
        <v>390.0</v>
      </c>
      <c r="G133" s="413">
        <v>0.6</v>
      </c>
      <c r="H133" s="413">
        <v>24.0</v>
      </c>
      <c r="I133" s="413">
        <v>0.25</v>
      </c>
      <c r="J133" s="413">
        <v>1.4E-5</v>
      </c>
      <c r="K133" s="413">
        <v>2.95</v>
      </c>
      <c r="L133" s="413">
        <v>0.55</v>
      </c>
      <c r="M133" s="413">
        <v>333.0</v>
      </c>
      <c r="N133" s="413">
        <v>0.0058</v>
      </c>
      <c r="O133" s="413">
        <v>5.4</v>
      </c>
      <c r="P133" s="413">
        <v>0.0021</v>
      </c>
      <c r="Q133" s="413">
        <v>1.21E-5</v>
      </c>
      <c r="R133" s="413">
        <v>1.0</v>
      </c>
      <c r="S133" s="423">
        <v>3.7</v>
      </c>
      <c r="T133" s="14">
        <f>IF(A133="","",ARBITRAGES!M133)</f>
        <v>16251.66893</v>
      </c>
      <c r="U133" s="417">
        <f>IF(A133="","",B133*'QUANTITE DETENUES'!B133+'QUANTITE DETENUES'!C133*C133+'QUANTITE DETENUES'!D133*D133+E133*'QUANTITE DETENUES'!E133+'QUANTITE DETENUES'!F133*F133+G133*'QUANTITE DETENUES'!G133+'QUANTITE DETENUES'!H133*H133+I133*'QUANTITE DETENUES'!I133+'QUANTITE DETENUES'!J133*J133+K133*'QUANTITE DETENUES'!K133+'QUANTITE DETENUES'!L133*L133+M133*'QUANTITE DETENUES'!M133+'QUANTITE DETENUES'!N133*N133+O133*'QUANTITE DETENUES'!O133+T133+P133*'QUANTITE DETENUES'!P133+'QUANTITE DETENUES'!Q133*Q133+R133*'QUANTITE DETENUES'!R133+'QUANTITE DETENUES'!S133*S133)</f>
        <v>63782.66411</v>
      </c>
      <c r="V133" s="288"/>
      <c r="W133" s="289"/>
      <c r="X133" s="289"/>
      <c r="Y133" s="289"/>
      <c r="Z133" s="289"/>
      <c r="AA133" s="289"/>
      <c r="AB133" s="289"/>
      <c r="AC133" s="289"/>
      <c r="AD133" s="289"/>
      <c r="AE133" s="289"/>
      <c r="AF133" s="289"/>
      <c r="AG133" s="289"/>
      <c r="AH133" s="289"/>
      <c r="AI133" s="289"/>
      <c r="AJ133" s="289"/>
      <c r="AK133" s="289"/>
      <c r="AL133" s="289"/>
      <c r="AM133" s="289"/>
    </row>
    <row r="134">
      <c r="A134" s="409">
        <f>IF(ARBITRAGES!E134="","",ARBITRAGES!E134)</f>
        <v>45886</v>
      </c>
      <c r="B134" s="413">
        <v>119000.0</v>
      </c>
      <c r="C134" s="413">
        <v>4550.0</v>
      </c>
      <c r="D134" s="413">
        <v>3.5</v>
      </c>
      <c r="E134" s="413">
        <v>195.0</v>
      </c>
      <c r="F134" s="413">
        <v>381.0</v>
      </c>
      <c r="G134" s="413">
        <v>0.568</v>
      </c>
      <c r="H134" s="413">
        <v>24.8</v>
      </c>
      <c r="I134" s="413">
        <v>0.235</v>
      </c>
      <c r="J134" s="413">
        <v>1.32E-5</v>
      </c>
      <c r="K134" s="413">
        <v>2.8</v>
      </c>
      <c r="L134" s="413">
        <v>0.52</v>
      </c>
      <c r="M134" s="413">
        <v>305.0</v>
      </c>
      <c r="N134" s="413">
        <v>0.0053</v>
      </c>
      <c r="O134" s="413">
        <v>5.65</v>
      </c>
      <c r="P134" s="413">
        <v>0.0019</v>
      </c>
      <c r="Q134" s="413">
        <v>1.13E-5</v>
      </c>
      <c r="R134" s="413">
        <v>0.9</v>
      </c>
      <c r="S134" s="423">
        <v>3.75</v>
      </c>
      <c r="T134" s="14">
        <f>IF(A134="","",ARBITRAGES!M134)</f>
        <v>16495.66893</v>
      </c>
      <c r="U134" s="417">
        <f>IF(A134="","",B134*'QUANTITE DETENUES'!B134+'QUANTITE DETENUES'!C134*C134+'QUANTITE DETENUES'!D134*D134+E134*'QUANTITE DETENUES'!E134+'QUANTITE DETENUES'!F134*F134+G134*'QUANTITE DETENUES'!G134+'QUANTITE DETENUES'!H134*H134+I134*'QUANTITE DETENUES'!I134+'QUANTITE DETENUES'!J134*J134+K134*'QUANTITE DETENUES'!K134+'QUANTITE DETENUES'!L134*L134+M134*'QUANTITE DETENUES'!M134+'QUANTITE DETENUES'!N134*N134+O134*'QUANTITE DETENUES'!O134+T134+P134*'QUANTITE DETENUES'!P134+'QUANTITE DETENUES'!Q134*Q134+R134*'QUANTITE DETENUES'!R134+'QUANTITE DETENUES'!S134*S134)</f>
        <v>62371.57494</v>
      </c>
      <c r="V134" s="288"/>
      <c r="W134" s="289"/>
      <c r="X134" s="289"/>
      <c r="Y134" s="289"/>
      <c r="Z134" s="289"/>
      <c r="AA134" s="289"/>
      <c r="AB134" s="289"/>
      <c r="AC134" s="289"/>
      <c r="AD134" s="289"/>
      <c r="AE134" s="289"/>
      <c r="AF134" s="289"/>
      <c r="AG134" s="289"/>
      <c r="AH134" s="289"/>
      <c r="AI134" s="289"/>
      <c r="AJ134" s="289"/>
      <c r="AK134" s="289"/>
      <c r="AL134" s="289"/>
      <c r="AM134" s="289"/>
    </row>
    <row r="135">
      <c r="A135" s="409">
        <f>IF(ARBITRAGES!E135="","",ARBITRAGES!E135)</f>
        <v>45887</v>
      </c>
      <c r="B135" s="413">
        <v>115000.0</v>
      </c>
      <c r="C135" s="413">
        <v>4350.0</v>
      </c>
      <c r="D135" s="413">
        <v>3.35</v>
      </c>
      <c r="E135" s="413">
        <v>180.0</v>
      </c>
      <c r="F135" s="413">
        <v>355.0</v>
      </c>
      <c r="G135" s="413">
        <v>0.55</v>
      </c>
      <c r="H135" s="413">
        <v>25.5</v>
      </c>
      <c r="I135" s="413">
        <v>0.222</v>
      </c>
      <c r="J135" s="413">
        <v>1.26E-5</v>
      </c>
      <c r="K135" s="413">
        <v>2.7</v>
      </c>
      <c r="L135" s="413">
        <v>0.5</v>
      </c>
      <c r="M135" s="413">
        <v>290.0</v>
      </c>
      <c r="N135" s="413">
        <v>0.005</v>
      </c>
      <c r="O135" s="413">
        <v>5.35</v>
      </c>
      <c r="P135" s="413">
        <v>0.0018</v>
      </c>
      <c r="Q135" s="413">
        <v>1.07E-5</v>
      </c>
      <c r="R135" s="413">
        <v>0.875</v>
      </c>
      <c r="S135" s="423">
        <v>3.4</v>
      </c>
      <c r="T135" s="14">
        <f>IF(A135="","",ARBITRAGES!M135)</f>
        <v>16192.56893</v>
      </c>
      <c r="U135" s="417">
        <f>IF(A135="","",B135*'QUANTITE DETENUES'!B135+'QUANTITE DETENUES'!C135*C135+'QUANTITE DETENUES'!D135*D135+E135*'QUANTITE DETENUES'!E135+'QUANTITE DETENUES'!F135*F135+G135*'QUANTITE DETENUES'!G135+'QUANTITE DETENUES'!H135*H135+I135*'QUANTITE DETENUES'!I135+'QUANTITE DETENUES'!J135*J135+K135*'QUANTITE DETENUES'!K135+'QUANTITE DETENUES'!L135*L135+M135*'QUANTITE DETENUES'!M135+'QUANTITE DETENUES'!N135*N135+O135*'QUANTITE DETENUES'!O135+T135+P135*'QUANTITE DETENUES'!P135+'QUANTITE DETENUES'!Q135*Q135+R135*'QUANTITE DETENUES'!R135+'QUANTITE DETENUES'!S135*S135)</f>
        <v>60469.59993</v>
      </c>
      <c r="V135" s="288"/>
      <c r="W135" s="289"/>
      <c r="X135" s="289"/>
      <c r="Y135" s="289"/>
      <c r="Z135" s="289"/>
      <c r="AA135" s="289"/>
      <c r="AB135" s="289"/>
      <c r="AC135" s="289"/>
      <c r="AD135" s="289"/>
      <c r="AE135" s="289"/>
      <c r="AF135" s="289"/>
      <c r="AG135" s="289"/>
      <c r="AH135" s="289"/>
      <c r="AI135" s="289"/>
      <c r="AJ135" s="289"/>
      <c r="AK135" s="289"/>
      <c r="AL135" s="289"/>
      <c r="AM135" s="289"/>
    </row>
    <row r="136">
      <c r="A136" s="409">
        <f>IF(ARBITRAGES!E136="","",ARBITRAGES!E136)</f>
        <v>45887</v>
      </c>
      <c r="B136" s="413">
        <v>115000.0</v>
      </c>
      <c r="C136" s="413">
        <v>4350.0</v>
      </c>
      <c r="D136" s="413">
        <v>3.35</v>
      </c>
      <c r="E136" s="413">
        <v>180.0</v>
      </c>
      <c r="F136" s="413">
        <v>355.0</v>
      </c>
      <c r="G136" s="413">
        <v>0.55</v>
      </c>
      <c r="H136" s="413">
        <v>25.5</v>
      </c>
      <c r="I136" s="413">
        <v>0.222</v>
      </c>
      <c r="J136" s="413">
        <v>1.26E-5</v>
      </c>
      <c r="K136" s="413">
        <v>2.7</v>
      </c>
      <c r="L136" s="413">
        <v>0.5</v>
      </c>
      <c r="M136" s="413">
        <v>290.0</v>
      </c>
      <c r="N136" s="413">
        <v>0.005</v>
      </c>
      <c r="O136" s="413">
        <v>5.35</v>
      </c>
      <c r="P136" s="413">
        <v>0.0018</v>
      </c>
      <c r="Q136" s="413">
        <v>1.07E-5</v>
      </c>
      <c r="R136" s="413">
        <v>0.875</v>
      </c>
      <c r="S136" s="423">
        <v>3.4</v>
      </c>
      <c r="T136" s="14">
        <f>IF(A136="","",ARBITRAGES!M136)</f>
        <v>15762.56893</v>
      </c>
      <c r="U136" s="417">
        <f>IF(A136="","",B136*'QUANTITE DETENUES'!B136+'QUANTITE DETENUES'!C136*C136+'QUANTITE DETENUES'!D136*D136+E136*'QUANTITE DETENUES'!E136+'QUANTITE DETENUES'!F136*F136+G136*'QUANTITE DETENUES'!G136+'QUANTITE DETENUES'!H136*H136+I136*'QUANTITE DETENUES'!I136+'QUANTITE DETENUES'!J136*J136+K136*'QUANTITE DETENUES'!K136+'QUANTITE DETENUES'!L136*L136+M136*'QUANTITE DETENUES'!M136+'QUANTITE DETENUES'!N136*N136+O136*'QUANTITE DETENUES'!O136+T136+P136*'QUANTITE DETENUES'!P136+'QUANTITE DETENUES'!Q136*Q136+R136*'QUANTITE DETENUES'!R136+'QUANTITE DETENUES'!S136*S136)</f>
        <v>60474.59993</v>
      </c>
      <c r="V136" s="288"/>
      <c r="W136" s="289"/>
      <c r="X136" s="289"/>
      <c r="Y136" s="289"/>
      <c r="Z136" s="289"/>
      <c r="AA136" s="289"/>
      <c r="AB136" s="289"/>
      <c r="AC136" s="289"/>
      <c r="AD136" s="289"/>
      <c r="AE136" s="289"/>
      <c r="AF136" s="289"/>
      <c r="AG136" s="289"/>
      <c r="AH136" s="289"/>
      <c r="AI136" s="289"/>
      <c r="AJ136" s="289"/>
      <c r="AK136" s="289"/>
      <c r="AL136" s="289"/>
      <c r="AM136" s="289"/>
    </row>
    <row r="137">
      <c r="A137" s="409">
        <f>IF(ARBITRAGES!E137="","",ARBITRAGES!E137)</f>
        <v>45887</v>
      </c>
      <c r="B137" s="413">
        <v>115000.0</v>
      </c>
      <c r="C137" s="413">
        <v>4350.0</v>
      </c>
      <c r="D137" s="413">
        <v>3.35</v>
      </c>
      <c r="E137" s="413">
        <v>180.0</v>
      </c>
      <c r="F137" s="413">
        <v>355.0</v>
      </c>
      <c r="G137" s="413">
        <v>0.55</v>
      </c>
      <c r="H137" s="413">
        <v>25.5</v>
      </c>
      <c r="I137" s="413">
        <v>0.222</v>
      </c>
      <c r="J137" s="413">
        <v>1.26E-5</v>
      </c>
      <c r="K137" s="413">
        <v>2.7</v>
      </c>
      <c r="L137" s="413">
        <v>0.5</v>
      </c>
      <c r="M137" s="413">
        <v>290.0</v>
      </c>
      <c r="N137" s="413">
        <v>0.005</v>
      </c>
      <c r="O137" s="413">
        <v>5.35</v>
      </c>
      <c r="P137" s="413">
        <v>0.0018</v>
      </c>
      <c r="Q137" s="413">
        <v>1.07E-5</v>
      </c>
      <c r="R137" s="413">
        <v>0.875</v>
      </c>
      <c r="S137" s="423">
        <v>3.4</v>
      </c>
      <c r="T137" s="14">
        <f>IF(A137="","",ARBITRAGES!M137)</f>
        <v>15360.06893</v>
      </c>
      <c r="U137" s="417">
        <f>IF(A137="","",B137*'QUANTITE DETENUES'!B137+'QUANTITE DETENUES'!C137*C137+'QUANTITE DETENUES'!D137*D137+E137*'QUANTITE DETENUES'!E137+'QUANTITE DETENUES'!F137*F137+G137*'QUANTITE DETENUES'!G137+'QUANTITE DETENUES'!H137*H137+I137*'QUANTITE DETENUES'!I137+'QUANTITE DETENUES'!J137*J137+K137*'QUANTITE DETENUES'!K137+'QUANTITE DETENUES'!L137*L137+M137*'QUANTITE DETENUES'!M137+'QUANTITE DETENUES'!N137*N137+O137*'QUANTITE DETENUES'!O137+T137+P137*'QUANTITE DETENUES'!P137+'QUANTITE DETENUES'!Q137*Q137+R137*'QUANTITE DETENUES'!R137+'QUANTITE DETENUES'!S137*S137)</f>
        <v>60474.59993</v>
      </c>
      <c r="V137" s="288"/>
      <c r="W137" s="289"/>
      <c r="X137" s="289"/>
      <c r="Y137" s="289"/>
      <c r="Z137" s="289"/>
      <c r="AA137" s="289"/>
      <c r="AB137" s="289"/>
      <c r="AC137" s="289"/>
      <c r="AD137" s="289"/>
      <c r="AE137" s="289"/>
      <c r="AF137" s="289"/>
      <c r="AG137" s="289"/>
      <c r="AH137" s="289"/>
      <c r="AI137" s="289"/>
      <c r="AJ137" s="289"/>
      <c r="AK137" s="289"/>
      <c r="AL137" s="289"/>
      <c r="AM137" s="289"/>
    </row>
    <row r="138">
      <c r="A138" s="409">
        <f>IF(ARBITRAGES!E138="","",ARBITRAGES!E138)</f>
        <v>45888</v>
      </c>
      <c r="B138" s="413">
        <v>115000.0</v>
      </c>
      <c r="C138" s="413">
        <v>4350.0</v>
      </c>
      <c r="D138" s="413">
        <v>3.35</v>
      </c>
      <c r="E138" s="413">
        <v>180.0</v>
      </c>
      <c r="F138" s="413">
        <v>355.0</v>
      </c>
      <c r="G138" s="413">
        <v>0.55</v>
      </c>
      <c r="H138" s="413">
        <v>25.5</v>
      </c>
      <c r="I138" s="413">
        <v>0.222</v>
      </c>
      <c r="J138" s="413">
        <v>1.26E-5</v>
      </c>
      <c r="K138" s="413">
        <v>2.7</v>
      </c>
      <c r="L138" s="413">
        <v>0.5</v>
      </c>
      <c r="M138" s="413">
        <v>290.0</v>
      </c>
      <c r="N138" s="413">
        <v>0.005</v>
      </c>
      <c r="O138" s="413">
        <v>5.35</v>
      </c>
      <c r="P138" s="413">
        <v>0.0018</v>
      </c>
      <c r="Q138" s="413">
        <v>1.07E-5</v>
      </c>
      <c r="R138" s="413">
        <v>0.875</v>
      </c>
      <c r="S138" s="423">
        <v>3.4</v>
      </c>
      <c r="T138" s="14">
        <f>IF(A138="","",ARBITRAGES!M138)</f>
        <v>15179.06893</v>
      </c>
      <c r="U138" s="417">
        <f>IF(A138="","",B138*'QUANTITE DETENUES'!B138+'QUANTITE DETENUES'!C138*C138+'QUANTITE DETENUES'!D138*D138+E138*'QUANTITE DETENUES'!E138+'QUANTITE DETENUES'!F138*F138+G138*'QUANTITE DETENUES'!G138+'QUANTITE DETENUES'!H138*H138+I138*'QUANTITE DETENUES'!I138+'QUANTITE DETENUES'!J138*J138+K138*'QUANTITE DETENUES'!K138+'QUANTITE DETENUES'!L138*L138+M138*'QUANTITE DETENUES'!M138+'QUANTITE DETENUES'!N138*N138+O138*'QUANTITE DETENUES'!O138+T138+P138*'QUANTITE DETENUES'!P138+'QUANTITE DETENUES'!Q138*Q138+R138*'QUANTITE DETENUES'!R138+'QUANTITE DETENUES'!S138*S138)</f>
        <v>60473.59993</v>
      </c>
      <c r="V138" s="288"/>
      <c r="W138" s="289"/>
      <c r="X138" s="289"/>
      <c r="Y138" s="289"/>
      <c r="Z138" s="289"/>
      <c r="AA138" s="289"/>
      <c r="AB138" s="289"/>
      <c r="AC138" s="289"/>
      <c r="AD138" s="289"/>
      <c r="AE138" s="289"/>
      <c r="AF138" s="289"/>
      <c r="AG138" s="289"/>
      <c r="AH138" s="289"/>
      <c r="AI138" s="289"/>
      <c r="AJ138" s="289"/>
      <c r="AK138" s="289"/>
      <c r="AL138" s="289"/>
      <c r="AM138" s="289"/>
    </row>
    <row r="139">
      <c r="A139" s="409">
        <f>IF(ARBITRAGES!E139="","",ARBITRAGES!E139)</f>
        <v>45888</v>
      </c>
      <c r="B139" s="413">
        <v>114000.0</v>
      </c>
      <c r="C139" s="413">
        <v>4300.0</v>
      </c>
      <c r="D139" s="413">
        <v>3.27</v>
      </c>
      <c r="E139" s="413">
        <v>180.0</v>
      </c>
      <c r="F139" s="413">
        <v>340.0</v>
      </c>
      <c r="G139" s="413">
        <v>0.51</v>
      </c>
      <c r="H139" s="413">
        <v>26.0</v>
      </c>
      <c r="I139" s="413">
        <v>0.215</v>
      </c>
      <c r="J139" s="413">
        <v>1.24E-5</v>
      </c>
      <c r="K139" s="413">
        <v>2.6</v>
      </c>
      <c r="L139" s="413">
        <v>0.48</v>
      </c>
      <c r="M139" s="413">
        <v>290.0</v>
      </c>
      <c r="N139" s="413">
        <v>0.0048</v>
      </c>
      <c r="O139" s="413">
        <v>5.15</v>
      </c>
      <c r="P139" s="413">
        <v>0.0017</v>
      </c>
      <c r="Q139" s="413">
        <v>1.02E-5</v>
      </c>
      <c r="R139" s="413">
        <v>0.82</v>
      </c>
      <c r="S139" s="423">
        <v>3.25</v>
      </c>
      <c r="T139" s="14">
        <f>IF(A139="","",ARBITRAGES!M139)</f>
        <v>14781.11893</v>
      </c>
      <c r="U139" s="417">
        <f>IF(A139="","",B139*'QUANTITE DETENUES'!B139+'QUANTITE DETENUES'!C139*C139+'QUANTITE DETENUES'!D139*D139+E139*'QUANTITE DETENUES'!E139+'QUANTITE DETENUES'!F139*F139+G139*'QUANTITE DETENUES'!G139+'QUANTITE DETENUES'!H139*H139+I139*'QUANTITE DETENUES'!I139+'QUANTITE DETENUES'!J139*J139+K139*'QUANTITE DETENUES'!K139+'QUANTITE DETENUES'!L139*L139+M139*'QUANTITE DETENUES'!M139+'QUANTITE DETENUES'!N139*N139+O139*'QUANTITE DETENUES'!O139+T139+P139*'QUANTITE DETENUES'!P139+'QUANTITE DETENUES'!Q139*Q139+R139*'QUANTITE DETENUES'!R139+'QUANTITE DETENUES'!S139*S139)</f>
        <v>59958.34681</v>
      </c>
      <c r="V139" s="288"/>
      <c r="W139" s="289"/>
      <c r="X139" s="289"/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289"/>
      <c r="AM139" s="289"/>
    </row>
    <row r="140">
      <c r="A140" s="409">
        <f>IF(ARBITRAGES!E140="","",ARBITRAGES!E140)</f>
        <v>45889</v>
      </c>
      <c r="B140" s="413">
        <v>114000.0</v>
      </c>
      <c r="C140" s="413">
        <v>4300.0</v>
      </c>
      <c r="D140" s="413">
        <v>3.27</v>
      </c>
      <c r="E140" s="413">
        <v>180.0</v>
      </c>
      <c r="F140" s="413">
        <v>340.0</v>
      </c>
      <c r="G140" s="413">
        <v>0.51</v>
      </c>
      <c r="H140" s="413">
        <v>26.0</v>
      </c>
      <c r="I140" s="413">
        <v>0.215</v>
      </c>
      <c r="J140" s="413">
        <v>1.24E-5</v>
      </c>
      <c r="K140" s="413">
        <v>2.6</v>
      </c>
      <c r="L140" s="413">
        <v>0.48</v>
      </c>
      <c r="M140" s="413">
        <v>290.0</v>
      </c>
      <c r="N140" s="413">
        <v>0.0048</v>
      </c>
      <c r="O140" s="413">
        <v>5.15</v>
      </c>
      <c r="P140" s="413">
        <v>0.0017</v>
      </c>
      <c r="Q140" s="413">
        <v>1.02E-5</v>
      </c>
      <c r="R140" s="413">
        <v>0.82</v>
      </c>
      <c r="S140" s="423">
        <v>3.25</v>
      </c>
      <c r="T140" s="14">
        <f>IF(A140="","",ARBITRAGES!M140)</f>
        <v>14605.11893</v>
      </c>
      <c r="U140" s="417">
        <f>IF(A140="","",B140*'QUANTITE DETENUES'!B140+'QUANTITE DETENUES'!C140*C140+'QUANTITE DETENUES'!D140*D140+E140*'QUANTITE DETENUES'!E140+'QUANTITE DETENUES'!F140*F140+G140*'QUANTITE DETENUES'!G140+'QUANTITE DETENUES'!H140*H140+I140*'QUANTITE DETENUES'!I140+'QUANTITE DETENUES'!J140*J140+K140*'QUANTITE DETENUES'!K140+'QUANTITE DETENUES'!L140*L140+M140*'QUANTITE DETENUES'!M140+'QUANTITE DETENUES'!N140*N140+O140*'QUANTITE DETENUES'!O140+T140+P140*'QUANTITE DETENUES'!P140+'QUANTITE DETENUES'!Q140*Q140+R140*'QUANTITE DETENUES'!R140+'QUANTITE DETENUES'!S140*S140)</f>
        <v>59962.34681</v>
      </c>
      <c r="V140" s="288"/>
      <c r="W140" s="289"/>
      <c r="X140" s="289"/>
      <c r="Y140" s="289"/>
      <c r="Z140" s="289"/>
      <c r="AA140" s="289"/>
      <c r="AB140" s="289"/>
      <c r="AC140" s="289"/>
      <c r="AD140" s="289"/>
      <c r="AE140" s="289"/>
      <c r="AF140" s="289"/>
      <c r="AG140" s="289"/>
      <c r="AH140" s="289"/>
      <c r="AI140" s="289"/>
      <c r="AJ140" s="289"/>
      <c r="AK140" s="289"/>
      <c r="AL140" s="289"/>
      <c r="AM140" s="289"/>
    </row>
    <row r="141">
      <c r="A141" s="409">
        <f>IF(ARBITRAGES!E141="","",ARBITRAGES!E141)</f>
        <v>45891</v>
      </c>
      <c r="B141" s="413">
        <v>116000.0</v>
      </c>
      <c r="C141" s="413">
        <v>4800.0</v>
      </c>
      <c r="D141" s="413">
        <v>3.4</v>
      </c>
      <c r="E141" s="413">
        <v>205.0</v>
      </c>
      <c r="F141" s="413">
        <v>365.0</v>
      </c>
      <c r="G141" s="413">
        <v>0.56</v>
      </c>
      <c r="H141" s="413">
        <v>26.0</v>
      </c>
      <c r="I141" s="413">
        <v>0.238</v>
      </c>
      <c r="J141" s="413">
        <v>1.35E-5</v>
      </c>
      <c r="K141" s="413">
        <v>2.8</v>
      </c>
      <c r="L141" s="413">
        <v>0.53</v>
      </c>
      <c r="M141" s="413">
        <v>355.0</v>
      </c>
      <c r="N141" s="413">
        <v>0.0052</v>
      </c>
      <c r="O141" s="413">
        <v>6.0</v>
      </c>
      <c r="P141" s="413">
        <v>0.0023</v>
      </c>
      <c r="Q141" s="413">
        <v>1.15E-5</v>
      </c>
      <c r="R141" s="413">
        <v>0.9</v>
      </c>
      <c r="S141" s="423">
        <v>3.6</v>
      </c>
      <c r="T141" s="14">
        <f>IF(A141="","",ARBITRAGES!M141)</f>
        <v>14693.86893</v>
      </c>
      <c r="U141" s="417">
        <f>IF(A141="","",B141*'QUANTITE DETENUES'!B141+'QUANTITE DETENUES'!C141*C141+'QUANTITE DETENUES'!D141*D141+E141*'QUANTITE DETENUES'!E141+'QUANTITE DETENUES'!F141*F141+G141*'QUANTITE DETENUES'!G141+'QUANTITE DETENUES'!H141*H141+I141*'QUANTITE DETENUES'!I141+'QUANTITE DETENUES'!J141*J141+K141*'QUANTITE DETENUES'!K141+'QUANTITE DETENUES'!L141*L141+M141*'QUANTITE DETENUES'!M141+'QUANTITE DETENUES'!N141*N141+O141*'QUANTITE DETENUES'!O141+T141+P141*'QUANTITE DETENUES'!P141+'QUANTITE DETENUES'!Q141*Q141+R141*'QUANTITE DETENUES'!R141+'QUANTITE DETENUES'!S141*S141)</f>
        <v>62926.3</v>
      </c>
      <c r="V141" s="288"/>
      <c r="W141" s="289"/>
      <c r="X141" s="289"/>
      <c r="Y141" s="289"/>
      <c r="Z141" s="289"/>
      <c r="AA141" s="289"/>
      <c r="AB141" s="289"/>
      <c r="AC141" s="289"/>
      <c r="AD141" s="289"/>
      <c r="AE141" s="289"/>
      <c r="AF141" s="289"/>
      <c r="AG141" s="289"/>
      <c r="AH141" s="289"/>
      <c r="AI141" s="289"/>
      <c r="AJ141" s="289"/>
      <c r="AK141" s="289"/>
      <c r="AL141" s="289"/>
      <c r="AM141" s="289"/>
    </row>
    <row r="142">
      <c r="A142" s="409">
        <f>IF(ARBITRAGES!E142="","",ARBITRAGES!E142)</f>
        <v>45891</v>
      </c>
      <c r="B142" s="413">
        <v>116000.0</v>
      </c>
      <c r="C142" s="413">
        <v>4800.0</v>
      </c>
      <c r="D142" s="413">
        <v>3.4</v>
      </c>
      <c r="E142" s="413">
        <v>205.0</v>
      </c>
      <c r="F142" s="413">
        <v>365.0</v>
      </c>
      <c r="G142" s="413">
        <v>0.56</v>
      </c>
      <c r="H142" s="413">
        <v>26.0</v>
      </c>
      <c r="I142" s="413">
        <v>0.238</v>
      </c>
      <c r="J142" s="413">
        <v>1.35E-5</v>
      </c>
      <c r="K142" s="413">
        <v>2.8</v>
      </c>
      <c r="L142" s="413">
        <v>0.53</v>
      </c>
      <c r="M142" s="413">
        <v>355.0</v>
      </c>
      <c r="N142" s="413">
        <v>0.0052</v>
      </c>
      <c r="O142" s="413">
        <v>6.0</v>
      </c>
      <c r="P142" s="413">
        <v>0.0023</v>
      </c>
      <c r="Q142" s="413">
        <v>1.15E-5</v>
      </c>
      <c r="R142" s="413">
        <v>0.9</v>
      </c>
      <c r="S142" s="423">
        <v>3.6</v>
      </c>
      <c r="T142" s="14">
        <f>IF(A142="","",ARBITRAGES!M142)</f>
        <v>14753.86893</v>
      </c>
      <c r="U142" s="417">
        <f>IF(A142="","",B142*'QUANTITE DETENUES'!B142+'QUANTITE DETENUES'!C142*C142+'QUANTITE DETENUES'!D142*D142+E142*'QUANTITE DETENUES'!E142+'QUANTITE DETENUES'!F142*F142+G142*'QUANTITE DETENUES'!G142+'QUANTITE DETENUES'!H142*H142+I142*'QUANTITE DETENUES'!I142+'QUANTITE DETENUES'!J142*J142+K142*'QUANTITE DETENUES'!K142+'QUANTITE DETENUES'!L142*L142+M142*'QUANTITE DETENUES'!M142+'QUANTITE DETENUES'!N142*N142+O142*'QUANTITE DETENUES'!O142+T142+P142*'QUANTITE DETENUES'!P142+'QUANTITE DETENUES'!Q142*Q142+R142*'QUANTITE DETENUES'!R142+'QUANTITE DETENUES'!S142*S142)</f>
        <v>62926.3</v>
      </c>
      <c r="V142" s="288"/>
      <c r="W142" s="289"/>
      <c r="X142" s="289"/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289"/>
      <c r="AM142" s="289"/>
    </row>
    <row r="143">
      <c r="A143" s="409">
        <f>IF(ARBITRAGES!E143="","",ARBITRAGES!E143)</f>
        <v>45892</v>
      </c>
      <c r="B143" s="413">
        <v>116000.0</v>
      </c>
      <c r="C143" s="413">
        <v>4800.0</v>
      </c>
      <c r="D143" s="413">
        <v>3.4</v>
      </c>
      <c r="E143" s="413">
        <v>205.0</v>
      </c>
      <c r="F143" s="413">
        <v>365.0</v>
      </c>
      <c r="G143" s="413">
        <v>0.56</v>
      </c>
      <c r="H143" s="413">
        <v>26.0</v>
      </c>
      <c r="I143" s="413">
        <v>0.238</v>
      </c>
      <c r="J143" s="413">
        <v>1.35E-5</v>
      </c>
      <c r="K143" s="413">
        <v>2.8</v>
      </c>
      <c r="L143" s="413">
        <v>0.53</v>
      </c>
      <c r="M143" s="413">
        <v>355.0</v>
      </c>
      <c r="N143" s="413">
        <v>0.0052</v>
      </c>
      <c r="O143" s="413">
        <v>6.0</v>
      </c>
      <c r="P143" s="413">
        <v>0.0023</v>
      </c>
      <c r="Q143" s="413">
        <v>1.15E-5</v>
      </c>
      <c r="R143" s="413">
        <v>0.9</v>
      </c>
      <c r="S143" s="423">
        <v>3.6</v>
      </c>
      <c r="T143" s="14">
        <f>IF(A143="","",ARBITRAGES!M143)</f>
        <v>14888.86893</v>
      </c>
      <c r="U143" s="417">
        <f>IF(A143="","",B143*'QUANTITE DETENUES'!B143+'QUANTITE DETENUES'!C143*C143+'QUANTITE DETENUES'!D143*D143+E143*'QUANTITE DETENUES'!E143+'QUANTITE DETENUES'!F143*F143+G143*'QUANTITE DETENUES'!G143+'QUANTITE DETENUES'!H143*H143+I143*'QUANTITE DETENUES'!I143+'QUANTITE DETENUES'!J143*J143+K143*'QUANTITE DETENUES'!K143+'QUANTITE DETENUES'!L143*L143+M143*'QUANTITE DETENUES'!M143+'QUANTITE DETENUES'!N143*N143+O143*'QUANTITE DETENUES'!O143+T143+P143*'QUANTITE DETENUES'!P143+'QUANTITE DETENUES'!Q143*Q143+R143*'QUANTITE DETENUES'!R143+'QUANTITE DETENUES'!S143*S143)</f>
        <v>62971.3</v>
      </c>
      <c r="V143" s="288"/>
      <c r="W143" s="289"/>
      <c r="X143" s="289"/>
      <c r="Y143" s="289"/>
      <c r="Z143" s="289"/>
      <c r="AA143" s="289"/>
      <c r="AB143" s="289"/>
      <c r="AC143" s="289"/>
      <c r="AD143" s="289"/>
      <c r="AE143" s="289"/>
      <c r="AF143" s="289"/>
      <c r="AG143" s="289"/>
      <c r="AH143" s="289"/>
      <c r="AI143" s="289"/>
      <c r="AJ143" s="289"/>
      <c r="AK143" s="289"/>
      <c r="AL143" s="289"/>
      <c r="AM143" s="289"/>
    </row>
    <row r="144">
      <c r="A144" s="409">
        <f>IF(ARBITRAGES!E144="","",ARBITRAGES!E144)</f>
        <v>45894</v>
      </c>
      <c r="B144" s="413">
        <v>110000.0</v>
      </c>
      <c r="C144" s="413">
        <v>4450.0</v>
      </c>
      <c r="D144" s="413">
        <v>3.15</v>
      </c>
      <c r="E144" s="413">
        <v>190.0</v>
      </c>
      <c r="F144" s="413">
        <v>325.0</v>
      </c>
      <c r="G144" s="413">
        <v>0.516</v>
      </c>
      <c r="H144" s="413">
        <v>23.3</v>
      </c>
      <c r="I144" s="413">
        <v>0.2115</v>
      </c>
      <c r="J144" s="413">
        <v>1.22E-5</v>
      </c>
      <c r="K144" s="413">
        <v>2.5</v>
      </c>
      <c r="L144" s="413">
        <v>0.46</v>
      </c>
      <c r="M144" s="413">
        <v>333.0</v>
      </c>
      <c r="N144" s="413">
        <v>0.0046</v>
      </c>
      <c r="O144" s="413">
        <v>5.3</v>
      </c>
      <c r="P144" s="413">
        <v>0.002</v>
      </c>
      <c r="Q144" s="413">
        <v>1.0E-5</v>
      </c>
      <c r="R144" s="413">
        <v>0.77</v>
      </c>
      <c r="S144" s="423">
        <v>3.33</v>
      </c>
      <c r="T144" s="14">
        <f>IF(A144="","",ARBITRAGES!M144)</f>
        <v>14666.86893</v>
      </c>
      <c r="U144" s="417">
        <f>IF(A144="","",B144*'QUANTITE DETENUES'!B144+'QUANTITE DETENUES'!C144*C144+'QUANTITE DETENUES'!D144*D144+E144*'QUANTITE DETENUES'!E144+'QUANTITE DETENUES'!F144*F144+G144*'QUANTITE DETENUES'!G144+'QUANTITE DETENUES'!H144*H144+I144*'QUANTITE DETENUES'!I144+'QUANTITE DETENUES'!J144*J144+K144*'QUANTITE DETENUES'!K144+'QUANTITE DETENUES'!L144*L144+M144*'QUANTITE DETENUES'!M144+'QUANTITE DETENUES'!N144*N144+O144*'QUANTITE DETENUES'!O144+T144+P144*'QUANTITE DETENUES'!P144+'QUANTITE DETENUES'!Q144*Q144+R144*'QUANTITE DETENUES'!R144+'QUANTITE DETENUES'!S144*S144)</f>
        <v>59614.91091</v>
      </c>
      <c r="V144" s="288"/>
      <c r="W144" s="289"/>
      <c r="X144" s="289"/>
      <c r="Y144" s="289"/>
      <c r="Z144" s="289"/>
      <c r="AA144" s="289"/>
      <c r="AB144" s="289"/>
      <c r="AC144" s="289"/>
      <c r="AD144" s="289"/>
      <c r="AE144" s="289"/>
      <c r="AF144" s="289"/>
      <c r="AG144" s="289"/>
      <c r="AH144" s="289"/>
      <c r="AI144" s="289"/>
      <c r="AJ144" s="289"/>
      <c r="AK144" s="289"/>
      <c r="AL144" s="289"/>
      <c r="AM144" s="289"/>
    </row>
    <row r="145">
      <c r="A145" s="409">
        <f>IF(ARBITRAGES!E145="","",ARBITRAGES!E145)</f>
        <v>45894</v>
      </c>
      <c r="B145" s="413">
        <v>110000.0</v>
      </c>
      <c r="C145" s="413">
        <v>4450.0</v>
      </c>
      <c r="D145" s="413">
        <v>3.15</v>
      </c>
      <c r="E145" s="413">
        <v>190.0</v>
      </c>
      <c r="F145" s="413">
        <v>325.0</v>
      </c>
      <c r="G145" s="413">
        <v>0.516</v>
      </c>
      <c r="H145" s="413">
        <v>23.3</v>
      </c>
      <c r="I145" s="413">
        <v>0.2115</v>
      </c>
      <c r="J145" s="413">
        <v>1.22E-5</v>
      </c>
      <c r="K145" s="413">
        <v>2.5</v>
      </c>
      <c r="L145" s="413">
        <v>0.46</v>
      </c>
      <c r="M145" s="413">
        <v>333.0</v>
      </c>
      <c r="N145" s="413">
        <v>0.0046</v>
      </c>
      <c r="O145" s="413">
        <v>5.3</v>
      </c>
      <c r="P145" s="413">
        <v>0.002</v>
      </c>
      <c r="Q145" s="413">
        <v>1.0E-5</v>
      </c>
      <c r="R145" s="413">
        <v>0.77</v>
      </c>
      <c r="S145" s="423">
        <v>3.33</v>
      </c>
      <c r="T145" s="14">
        <f>IF(A145="","",ARBITRAGES!M145)</f>
        <v>14355.78893</v>
      </c>
      <c r="U145" s="417">
        <f>IF(A145="","",B145*'QUANTITE DETENUES'!B145+'QUANTITE DETENUES'!C145*C145+'QUANTITE DETENUES'!D145*D145+E145*'QUANTITE DETENUES'!E145+'QUANTITE DETENUES'!F145*F145+G145*'QUANTITE DETENUES'!G145+'QUANTITE DETENUES'!H145*H145+I145*'QUANTITE DETENUES'!I145+'QUANTITE DETENUES'!J145*J145+K145*'QUANTITE DETENUES'!K145+'QUANTITE DETENUES'!L145*L145+M145*'QUANTITE DETENUES'!M145+'QUANTITE DETENUES'!N145*N145+O145*'QUANTITE DETENUES'!O145+T145+P145*'QUANTITE DETENUES'!P145+'QUANTITE DETENUES'!Q145*Q145+R145*'QUANTITE DETENUES'!R145+'QUANTITE DETENUES'!S145*S145)</f>
        <v>59615.33091</v>
      </c>
      <c r="V145" s="288"/>
      <c r="W145" s="289"/>
      <c r="X145" s="289"/>
      <c r="Y145" s="289"/>
      <c r="Z145" s="289"/>
      <c r="AA145" s="289"/>
      <c r="AB145" s="289"/>
      <c r="AC145" s="289"/>
      <c r="AD145" s="289"/>
      <c r="AE145" s="289"/>
      <c r="AF145" s="289"/>
      <c r="AG145" s="289"/>
      <c r="AH145" s="289"/>
      <c r="AI145" s="289"/>
      <c r="AJ145" s="289"/>
      <c r="AK145" s="289"/>
      <c r="AL145" s="289"/>
      <c r="AM145" s="289"/>
    </row>
    <row r="146">
      <c r="A146" s="409">
        <f>IF(ARBITRAGES!E146="","",ARBITRAGES!E146)</f>
        <v>45894</v>
      </c>
      <c r="B146" s="413">
        <v>110000.0</v>
      </c>
      <c r="C146" s="413">
        <v>4450.0</v>
      </c>
      <c r="D146" s="413">
        <v>3.15</v>
      </c>
      <c r="E146" s="413">
        <v>190.0</v>
      </c>
      <c r="F146" s="413">
        <v>325.0</v>
      </c>
      <c r="G146" s="413">
        <v>0.516</v>
      </c>
      <c r="H146" s="413">
        <v>23.3</v>
      </c>
      <c r="I146" s="413">
        <v>0.2115</v>
      </c>
      <c r="J146" s="413">
        <v>1.22E-5</v>
      </c>
      <c r="K146" s="413">
        <v>2.5</v>
      </c>
      <c r="L146" s="413">
        <v>0.46</v>
      </c>
      <c r="M146" s="413">
        <v>333.0</v>
      </c>
      <c r="N146" s="413">
        <v>0.0046</v>
      </c>
      <c r="O146" s="413">
        <v>5.3</v>
      </c>
      <c r="P146" s="413">
        <v>0.002</v>
      </c>
      <c r="Q146" s="413">
        <v>1.0E-5</v>
      </c>
      <c r="R146" s="413">
        <v>0.77</v>
      </c>
      <c r="S146" s="423">
        <v>3.33</v>
      </c>
      <c r="T146" s="14">
        <f>IF(A146="","",ARBITRAGES!M146)</f>
        <v>14058.2844</v>
      </c>
      <c r="U146" s="417">
        <f>IF(A146="","",B146*'QUANTITE DETENUES'!B146+'QUANTITE DETENUES'!C146*C146+'QUANTITE DETENUES'!D146*D146+E146*'QUANTITE DETENUES'!E146+'QUANTITE DETENUES'!F146*F146+G146*'QUANTITE DETENUES'!G146+'QUANTITE DETENUES'!H146*H146+I146*'QUANTITE DETENUES'!I146+'QUANTITE DETENUES'!J146*J146+K146*'QUANTITE DETENUES'!K146+'QUANTITE DETENUES'!L146*L146+M146*'QUANTITE DETENUES'!M146+'QUANTITE DETENUES'!N146*N146+O146*'QUANTITE DETENUES'!O146+T146+P146*'QUANTITE DETENUES'!P146+'QUANTITE DETENUES'!Q146*Q146+R146*'QUANTITE DETENUES'!R146+'QUANTITE DETENUES'!S146*S146)</f>
        <v>59614.25299</v>
      </c>
      <c r="V146" s="288"/>
      <c r="W146" s="289"/>
      <c r="X146" s="289"/>
      <c r="Y146" s="289"/>
      <c r="Z146" s="289"/>
      <c r="AA146" s="289"/>
      <c r="AB146" s="289"/>
      <c r="AC146" s="289"/>
      <c r="AD146" s="289"/>
      <c r="AE146" s="289"/>
      <c r="AF146" s="289"/>
      <c r="AG146" s="289"/>
      <c r="AH146" s="289"/>
      <c r="AI146" s="289"/>
      <c r="AJ146" s="289"/>
      <c r="AK146" s="289"/>
      <c r="AL146" s="289"/>
      <c r="AM146" s="289"/>
    </row>
    <row r="147">
      <c r="A147" s="409">
        <f>IF(ARBITRAGES!E147="","",ARBITRAGES!E147)</f>
        <v>45894</v>
      </c>
      <c r="B147" s="413">
        <v>110000.0</v>
      </c>
      <c r="C147" s="413">
        <v>4450.0</v>
      </c>
      <c r="D147" s="413">
        <v>3.15</v>
      </c>
      <c r="E147" s="413">
        <v>190.0</v>
      </c>
      <c r="F147" s="413">
        <v>325.0</v>
      </c>
      <c r="G147" s="413">
        <v>0.516</v>
      </c>
      <c r="H147" s="413">
        <v>23.3</v>
      </c>
      <c r="I147" s="413">
        <v>0.2115</v>
      </c>
      <c r="J147" s="413">
        <v>1.22E-5</v>
      </c>
      <c r="K147" s="413">
        <v>2.5</v>
      </c>
      <c r="L147" s="413">
        <v>0.46</v>
      </c>
      <c r="M147" s="413">
        <v>333.0</v>
      </c>
      <c r="N147" s="413">
        <v>0.0046</v>
      </c>
      <c r="O147" s="413">
        <v>5.3</v>
      </c>
      <c r="P147" s="413">
        <v>0.002</v>
      </c>
      <c r="Q147" s="413">
        <v>1.0E-5</v>
      </c>
      <c r="R147" s="413">
        <v>0.77</v>
      </c>
      <c r="S147" s="423">
        <v>3.33</v>
      </c>
      <c r="T147" s="14">
        <f>IF(A147="","",ARBITRAGES!M147)</f>
        <v>13558.7844</v>
      </c>
      <c r="U147" s="417">
        <f>IF(A147="","",B147*'QUANTITE DETENUES'!B147+'QUANTITE DETENUES'!C147*C147+'QUANTITE DETENUES'!D147*D147+E147*'QUANTITE DETENUES'!E147+'QUANTITE DETENUES'!F147*F147+G147*'QUANTITE DETENUES'!G147+'QUANTITE DETENUES'!H147*H147+I147*'QUANTITE DETENUES'!I147+'QUANTITE DETENUES'!J147*J147+K147*'QUANTITE DETENUES'!K147+'QUANTITE DETENUES'!L147*L147+M147*'QUANTITE DETENUES'!M147+'QUANTITE DETENUES'!N147*N147+O147*'QUANTITE DETENUES'!O147+T147+P147*'QUANTITE DETENUES'!P147+'QUANTITE DETENUES'!Q147*Q147+R147*'QUANTITE DETENUES'!R147+'QUANTITE DETENUES'!S147*S147)</f>
        <v>59602.25299</v>
      </c>
      <c r="V147" s="288"/>
      <c r="W147" s="289"/>
      <c r="X147" s="289"/>
      <c r="Y147" s="289"/>
      <c r="Z147" s="289"/>
      <c r="AA147" s="289"/>
      <c r="AB147" s="289"/>
      <c r="AC147" s="289"/>
      <c r="AD147" s="289"/>
      <c r="AE147" s="289"/>
      <c r="AF147" s="289"/>
      <c r="AG147" s="289"/>
      <c r="AH147" s="289"/>
      <c r="AI147" s="289"/>
      <c r="AJ147" s="289"/>
      <c r="AK147" s="289"/>
      <c r="AL147" s="289"/>
      <c r="AM147" s="289"/>
    </row>
    <row r="148">
      <c r="A148" s="409">
        <f>IF(ARBITRAGES!E148="","",ARBITRAGES!E148)</f>
        <v>45895</v>
      </c>
      <c r="B148" s="413">
        <v>108500.0</v>
      </c>
      <c r="C148" s="413">
        <v>4450.0</v>
      </c>
      <c r="D148" s="413">
        <v>3.15</v>
      </c>
      <c r="E148" s="413">
        <v>205.0</v>
      </c>
      <c r="F148" s="413">
        <v>330.0</v>
      </c>
      <c r="G148" s="413">
        <v>0.515</v>
      </c>
      <c r="H148" s="413">
        <v>23.75</v>
      </c>
      <c r="I148" s="413">
        <v>0.218</v>
      </c>
      <c r="J148" s="413">
        <v>1.25E-5</v>
      </c>
      <c r="K148" s="413">
        <v>2.5</v>
      </c>
      <c r="L148" s="413">
        <v>0.5</v>
      </c>
      <c r="M148" s="413">
        <v>325.0</v>
      </c>
      <c r="N148" s="413">
        <v>0.005</v>
      </c>
      <c r="O148" s="413">
        <v>4.85</v>
      </c>
      <c r="P148" s="413">
        <v>0.002</v>
      </c>
      <c r="Q148" s="413">
        <v>1.0E-5</v>
      </c>
      <c r="R148" s="413">
        <v>0.81</v>
      </c>
      <c r="S148" s="423">
        <v>3.5</v>
      </c>
      <c r="T148" s="14">
        <f>IF(A148="","",ARBITRAGES!M148)</f>
        <v>13063.7844</v>
      </c>
      <c r="U148" s="417">
        <f>IF(A148="","",B148*'QUANTITE DETENUES'!B148+'QUANTITE DETENUES'!C148*C148+'QUANTITE DETENUES'!D148*D148+E148*'QUANTITE DETENUES'!E148+'QUANTITE DETENUES'!F148*F148+G148*'QUANTITE DETENUES'!G148+'QUANTITE DETENUES'!H148*H148+I148*'QUANTITE DETENUES'!I148+'QUANTITE DETENUES'!J148*J148+K148*'QUANTITE DETENUES'!K148+'QUANTITE DETENUES'!L148*L148+M148*'QUANTITE DETENUES'!M148+'QUANTITE DETENUES'!N148*N148+O148*'QUANTITE DETENUES'!O148+T148+P148*'QUANTITE DETENUES'!P148+'QUANTITE DETENUES'!Q148*Q148+R148*'QUANTITE DETENUES'!R148+'QUANTITE DETENUES'!S148*S148)</f>
        <v>59864.82955</v>
      </c>
      <c r="V148" s="288"/>
      <c r="W148" s="220"/>
      <c r="X148" s="220"/>
      <c r="Y148" s="220"/>
      <c r="Z148" s="220"/>
      <c r="AA148" s="220"/>
      <c r="AB148" s="220"/>
      <c r="AC148" s="220"/>
      <c r="AD148" s="220"/>
      <c r="AE148" s="220"/>
      <c r="AF148" s="220"/>
      <c r="AG148" s="308"/>
      <c r="AH148" s="220"/>
      <c r="AI148" s="220"/>
      <c r="AJ148" s="220"/>
      <c r="AK148" s="220"/>
      <c r="AL148" s="220"/>
      <c r="AM148" s="220"/>
    </row>
    <row r="149">
      <c r="A149" s="409">
        <f>IF(ARBITRAGES!E149="","",ARBITRAGES!E149)</f>
        <v>45908</v>
      </c>
      <c r="B149" s="413">
        <v>110000.0</v>
      </c>
      <c r="C149" s="413">
        <v>4450.0</v>
      </c>
      <c r="D149" s="413">
        <v>3.15</v>
      </c>
      <c r="E149" s="413">
        <v>190.0</v>
      </c>
      <c r="F149" s="413">
        <v>325.0</v>
      </c>
      <c r="G149" s="413">
        <v>0.516</v>
      </c>
      <c r="H149" s="413">
        <v>23.3</v>
      </c>
      <c r="I149" s="413">
        <v>0.2115</v>
      </c>
      <c r="J149" s="413">
        <v>1.22E-5</v>
      </c>
      <c r="K149" s="413">
        <v>2.5</v>
      </c>
      <c r="L149" s="413">
        <v>0.46</v>
      </c>
      <c r="M149" s="413">
        <v>333.0</v>
      </c>
      <c r="N149" s="413">
        <v>0.0046</v>
      </c>
      <c r="O149" s="413">
        <v>5.3</v>
      </c>
      <c r="P149" s="413">
        <v>0.002</v>
      </c>
      <c r="Q149" s="413">
        <v>1.0E-5</v>
      </c>
      <c r="R149" s="413">
        <v>0.77</v>
      </c>
      <c r="S149" s="423">
        <v>3.33</v>
      </c>
      <c r="T149" s="14">
        <f>IF(A149="","",ARBITRAGES!M149)</f>
        <v>12863.7844</v>
      </c>
      <c r="U149" s="417">
        <f>IF(A149="","",B149*'QUANTITE DETENUES'!B149+'QUANTITE DETENUES'!C149*C149+'QUANTITE DETENUES'!D149*D149+E149*'QUANTITE DETENUES'!E149+'QUANTITE DETENUES'!F149*F149+G149*'QUANTITE DETENUES'!G149+'QUANTITE DETENUES'!H149*H149+I149*'QUANTITE DETENUES'!I149+'QUANTITE DETENUES'!J149*J149+K149*'QUANTITE DETENUES'!K149+'QUANTITE DETENUES'!L149*L149+M149*'QUANTITE DETENUES'!M149+'QUANTITE DETENUES'!N149*N149+O149*'QUANTITE DETENUES'!O149+T149+P149*'QUANTITE DETENUES'!P149+'QUANTITE DETENUES'!Q149*Q149+R149*'QUANTITE DETENUES'!R149+'QUANTITE DETENUES'!S149*S149)</f>
        <v>59805.95069</v>
      </c>
      <c r="V149" s="288"/>
      <c r="W149" s="220"/>
      <c r="X149" s="220"/>
      <c r="Y149" s="220"/>
      <c r="Z149" s="220"/>
      <c r="AA149" s="220"/>
      <c r="AB149" s="220"/>
      <c r="AC149" s="220"/>
      <c r="AD149" s="220"/>
      <c r="AE149" s="220"/>
      <c r="AF149" s="220"/>
      <c r="AG149" s="308"/>
      <c r="AH149" s="220"/>
      <c r="AI149" s="220"/>
      <c r="AJ149" s="220"/>
      <c r="AK149" s="220"/>
      <c r="AL149" s="220"/>
      <c r="AM149" s="220"/>
    </row>
    <row r="150">
      <c r="A150" s="409">
        <f>IF(ARBITRAGES!E150="","",ARBITRAGES!E150)</f>
        <v>45908</v>
      </c>
      <c r="B150" s="413">
        <v>110000.0</v>
      </c>
      <c r="C150" s="413">
        <v>4450.0</v>
      </c>
      <c r="D150" s="413">
        <v>3.15</v>
      </c>
      <c r="E150" s="413">
        <v>190.0</v>
      </c>
      <c r="F150" s="413">
        <v>325.0</v>
      </c>
      <c r="G150" s="413">
        <v>0.516</v>
      </c>
      <c r="H150" s="413">
        <v>23.3</v>
      </c>
      <c r="I150" s="413">
        <v>0.2115</v>
      </c>
      <c r="J150" s="413">
        <v>1.22E-5</v>
      </c>
      <c r="K150" s="413">
        <v>2.5</v>
      </c>
      <c r="L150" s="413">
        <v>0.46</v>
      </c>
      <c r="M150" s="413">
        <v>333.0</v>
      </c>
      <c r="N150" s="413">
        <v>0.0046</v>
      </c>
      <c r="O150" s="413">
        <v>5.3</v>
      </c>
      <c r="P150" s="413">
        <v>0.002</v>
      </c>
      <c r="Q150" s="413">
        <v>1.0E-5</v>
      </c>
      <c r="R150" s="413">
        <v>0.77</v>
      </c>
      <c r="S150" s="423">
        <v>3.33</v>
      </c>
      <c r="T150" s="14">
        <f>IF(A150="","",ARBITRAGES!M150)</f>
        <v>12563.7844</v>
      </c>
      <c r="U150" s="417">
        <f>IF(A150="","",B150*'QUANTITE DETENUES'!B150+'QUANTITE DETENUES'!C150*C150+'QUANTITE DETENUES'!D150*D150+E150*'QUANTITE DETENUES'!E150+'QUANTITE DETENUES'!F150*F150+G150*'QUANTITE DETENUES'!G150+'QUANTITE DETENUES'!H150*H150+I150*'QUANTITE DETENUES'!I150+'QUANTITE DETENUES'!J150*J150+K150*'QUANTITE DETENUES'!K150+'QUANTITE DETENUES'!L150*L150+M150*'QUANTITE DETENUES'!M150+'QUANTITE DETENUES'!N150*N150+O150*'QUANTITE DETENUES'!O150+T150+P150*'QUANTITE DETENUES'!P150+'QUANTITE DETENUES'!Q150*Q150+R150*'QUANTITE DETENUES'!R150+'QUANTITE DETENUES'!S150*S150)</f>
        <v>59814.62121</v>
      </c>
      <c r="V150" s="288"/>
      <c r="W150" s="220"/>
      <c r="X150" s="220"/>
      <c r="Y150" s="220"/>
      <c r="Z150" s="220"/>
      <c r="AA150" s="220"/>
      <c r="AB150" s="220"/>
      <c r="AC150" s="220"/>
      <c r="AD150" s="220"/>
      <c r="AE150" s="220"/>
      <c r="AF150" s="220"/>
      <c r="AG150" s="308"/>
      <c r="AH150" s="220"/>
      <c r="AI150" s="220"/>
      <c r="AJ150" s="220"/>
      <c r="AK150" s="220"/>
      <c r="AL150" s="220"/>
      <c r="AM150" s="220"/>
    </row>
    <row r="151">
      <c r="A151" s="409">
        <f>IF(ARBITRAGES!E151="","",ARBITRAGES!E151)</f>
        <v>45909</v>
      </c>
      <c r="B151" s="413">
        <v>110000.0</v>
      </c>
      <c r="C151" s="413">
        <v>4450.0</v>
      </c>
      <c r="D151" s="413">
        <v>3.15</v>
      </c>
      <c r="E151" s="413">
        <v>190.0</v>
      </c>
      <c r="F151" s="413">
        <v>325.0</v>
      </c>
      <c r="G151" s="413">
        <v>0.516</v>
      </c>
      <c r="H151" s="413">
        <v>23.3</v>
      </c>
      <c r="I151" s="413">
        <v>0.2115</v>
      </c>
      <c r="J151" s="413">
        <v>1.22E-5</v>
      </c>
      <c r="K151" s="413">
        <v>2.5</v>
      </c>
      <c r="L151" s="413">
        <v>0.46</v>
      </c>
      <c r="M151" s="413">
        <v>333.0</v>
      </c>
      <c r="N151" s="413">
        <v>0.0046</v>
      </c>
      <c r="O151" s="413">
        <v>5.3</v>
      </c>
      <c r="P151" s="413">
        <v>0.002</v>
      </c>
      <c r="Q151" s="413">
        <v>1.0E-5</v>
      </c>
      <c r="R151" s="413">
        <v>0.77</v>
      </c>
      <c r="S151" s="423">
        <v>3.33</v>
      </c>
      <c r="T151" s="14">
        <f>IF(A151="","",ARBITRAGES!M151)</f>
        <v>12799.39938</v>
      </c>
      <c r="U151" s="417">
        <f>IF(A151="","",B151*'QUANTITE DETENUES'!B151+'QUANTITE DETENUES'!C151*C151+'QUANTITE DETENUES'!D151*D151+E151*'QUANTITE DETENUES'!E151+'QUANTITE DETENUES'!F151*F151+G151*'QUANTITE DETENUES'!G151+'QUANTITE DETENUES'!H151*H151+I151*'QUANTITE DETENUES'!I151+'QUANTITE DETENUES'!J151*J151+K151*'QUANTITE DETENUES'!K151+'QUANTITE DETENUES'!L151*L151+M151*'QUANTITE DETENUES'!M151+'QUANTITE DETENUES'!N151*N151+O151*'QUANTITE DETENUES'!O151+T151+P151*'QUANTITE DETENUES'!P151+'QUANTITE DETENUES'!Q151*Q151+R151*'QUANTITE DETENUES'!R151+'QUANTITE DETENUES'!S151*S151)</f>
        <v>59843.93736</v>
      </c>
      <c r="V151" s="288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308"/>
      <c r="AH151" s="220"/>
      <c r="AI151" s="220"/>
      <c r="AJ151" s="220"/>
      <c r="AK151" s="220"/>
      <c r="AL151" s="220"/>
      <c r="AM151" s="220"/>
    </row>
    <row r="152">
      <c r="A152" s="409">
        <f>IF(ARBITRAGES!E152="","",ARBITRAGES!E152)</f>
        <v>45911</v>
      </c>
      <c r="B152" s="413">
        <v>115500.0</v>
      </c>
      <c r="C152" s="413">
        <v>4600.0</v>
      </c>
      <c r="D152" s="413">
        <v>3.2</v>
      </c>
      <c r="E152" s="413">
        <v>240.0</v>
      </c>
      <c r="F152" s="413">
        <v>355.0</v>
      </c>
      <c r="G152" s="413">
        <v>0.52</v>
      </c>
      <c r="H152" s="413">
        <v>25.0</v>
      </c>
      <c r="I152" s="413">
        <v>0.266</v>
      </c>
      <c r="J152" s="413">
        <v>1.33E-5</v>
      </c>
      <c r="K152" s="413">
        <v>2.6</v>
      </c>
      <c r="L152" s="413">
        <v>0.56</v>
      </c>
      <c r="M152" s="413">
        <v>315.0</v>
      </c>
      <c r="N152" s="413">
        <v>0.0055</v>
      </c>
      <c r="O152" s="413">
        <v>5.25</v>
      </c>
      <c r="P152" s="413">
        <v>0.002</v>
      </c>
      <c r="Q152" s="413">
        <v>1.05E-5</v>
      </c>
      <c r="R152" s="413">
        <v>0.9</v>
      </c>
      <c r="S152" s="423">
        <v>3.7</v>
      </c>
      <c r="T152" s="14">
        <f>IF(A152="","",ARBITRAGES!M152)</f>
        <v>12924.39938</v>
      </c>
      <c r="U152" s="417">
        <f>IF(A152="","",B152*'QUANTITE DETENUES'!B152+'QUANTITE DETENUES'!C152*C152+'QUANTITE DETENUES'!D152*D152+E152*'QUANTITE DETENUES'!E152+'QUANTITE DETENUES'!F152*F152+G152*'QUANTITE DETENUES'!G152+'QUANTITE DETENUES'!H152*H152+I152*'QUANTITE DETENUES'!I152+'QUANTITE DETENUES'!J152*J152+K152*'QUANTITE DETENUES'!K152+'QUANTITE DETENUES'!L152*L152+M152*'QUANTITE DETENUES'!M152+'QUANTITE DETENUES'!N152*N152+O152*'QUANTITE DETENUES'!O152+T152+P152*'QUANTITE DETENUES'!P152+'QUANTITE DETENUES'!Q152*Q152+R152*'QUANTITE DETENUES'!R152+'QUANTITE DETENUES'!S152*S152)</f>
        <v>63068.19267</v>
      </c>
      <c r="V152" s="288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308"/>
      <c r="AH152" s="220"/>
      <c r="AI152" s="220"/>
      <c r="AJ152" s="220"/>
      <c r="AK152" s="220"/>
      <c r="AL152" s="220"/>
      <c r="AM152" s="220"/>
    </row>
    <row r="153">
      <c r="A153" s="409">
        <f>IF(ARBITRAGES!E153="","",ARBITRAGES!E153)</f>
        <v>45911</v>
      </c>
      <c r="B153" s="413">
        <v>115500.0</v>
      </c>
      <c r="C153" s="413">
        <v>4600.0</v>
      </c>
      <c r="D153" s="413">
        <v>3.2</v>
      </c>
      <c r="E153" s="413">
        <v>240.0</v>
      </c>
      <c r="F153" s="413">
        <v>355.0</v>
      </c>
      <c r="G153" s="413">
        <v>0.52</v>
      </c>
      <c r="H153" s="413">
        <v>25.0</v>
      </c>
      <c r="I153" s="413">
        <v>0.266</v>
      </c>
      <c r="J153" s="413">
        <v>1.33E-5</v>
      </c>
      <c r="K153" s="413">
        <v>2.6</v>
      </c>
      <c r="L153" s="413">
        <v>0.56</v>
      </c>
      <c r="M153" s="413">
        <v>315.0</v>
      </c>
      <c r="N153" s="413">
        <v>0.0055</v>
      </c>
      <c r="O153" s="413">
        <v>5.25</v>
      </c>
      <c r="P153" s="413">
        <v>0.002</v>
      </c>
      <c r="Q153" s="413">
        <v>1.05E-5</v>
      </c>
      <c r="R153" s="413">
        <v>0.9</v>
      </c>
      <c r="S153" s="423">
        <v>3.7</v>
      </c>
      <c r="T153" s="14">
        <f>IF(A153="","",ARBITRAGES!M153)</f>
        <v>13028.39938</v>
      </c>
      <c r="U153" s="417">
        <f>IF(A153="","",B153*'QUANTITE DETENUES'!B153+'QUANTITE DETENUES'!C153*C153+'QUANTITE DETENUES'!D153*D153+E153*'QUANTITE DETENUES'!E153+'QUANTITE DETENUES'!F153*F153+G153*'QUANTITE DETENUES'!G153+'QUANTITE DETENUES'!H153*H153+I153*'QUANTITE DETENUES'!I153+'QUANTITE DETENUES'!J153*J153+K153*'QUANTITE DETENUES'!K153+'QUANTITE DETENUES'!L153*L153+M153*'QUANTITE DETENUES'!M153+'QUANTITE DETENUES'!N153*N153+O153*'QUANTITE DETENUES'!O153+T153+P153*'QUANTITE DETENUES'!P153+'QUANTITE DETENUES'!Q153*Q153+R153*'QUANTITE DETENUES'!R153+'QUANTITE DETENUES'!S153*S153)</f>
        <v>63402.30545</v>
      </c>
      <c r="V153" s="288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308"/>
      <c r="AH153" s="220"/>
      <c r="AI153" s="220"/>
      <c r="AJ153" s="220"/>
      <c r="AK153" s="220"/>
      <c r="AL153" s="220"/>
      <c r="AM153" s="220"/>
    </row>
    <row r="154">
      <c r="A154" s="409">
        <f>IF(ARBITRAGES!E154="","",ARBITRAGES!E154)</f>
        <v>45911</v>
      </c>
      <c r="B154" s="413">
        <v>115500.0</v>
      </c>
      <c r="C154" s="413">
        <v>4600.0</v>
      </c>
      <c r="D154" s="413">
        <v>3.2</v>
      </c>
      <c r="E154" s="413">
        <v>240.0</v>
      </c>
      <c r="F154" s="413">
        <v>355.0</v>
      </c>
      <c r="G154" s="413">
        <v>0.52</v>
      </c>
      <c r="H154" s="413">
        <v>25.0</v>
      </c>
      <c r="I154" s="413">
        <v>0.266</v>
      </c>
      <c r="J154" s="413">
        <v>1.33E-5</v>
      </c>
      <c r="K154" s="413">
        <v>2.6</v>
      </c>
      <c r="L154" s="413">
        <v>0.56</v>
      </c>
      <c r="M154" s="413">
        <v>315.0</v>
      </c>
      <c r="N154" s="413">
        <v>0.0055</v>
      </c>
      <c r="O154" s="413">
        <v>5.25</v>
      </c>
      <c r="P154" s="413">
        <v>0.002</v>
      </c>
      <c r="Q154" s="413">
        <v>1.05E-5</v>
      </c>
      <c r="R154" s="413">
        <v>0.9</v>
      </c>
      <c r="S154" s="423">
        <v>3.7</v>
      </c>
      <c r="T154" s="14">
        <f>IF(A154="","",ARBITRAGES!M154)</f>
        <v>13263.39938</v>
      </c>
      <c r="U154" s="417">
        <f>IF(A154="","",B154*'QUANTITE DETENUES'!B154+'QUANTITE DETENUES'!C154*C154+'QUANTITE DETENUES'!D154*D154+E154*'QUANTITE DETENUES'!E154+'QUANTITE DETENUES'!F154*F154+G154*'QUANTITE DETENUES'!G154+'QUANTITE DETENUES'!H154*H154+I154*'QUANTITE DETENUES'!I154+'QUANTITE DETENUES'!J154*J154+K154*'QUANTITE DETENUES'!K154+'QUANTITE DETENUES'!L154*L154+M154*'QUANTITE DETENUES'!M154+'QUANTITE DETENUES'!N154*N154+O154*'QUANTITE DETENUES'!O154+T154+P154*'QUANTITE DETENUES'!P154+'QUANTITE DETENUES'!Q154*Q154+R154*'QUANTITE DETENUES'!R154+'QUANTITE DETENUES'!S154*S154)</f>
        <v>63397.30545</v>
      </c>
      <c r="V154" s="288"/>
      <c r="W154" s="220"/>
      <c r="X154" s="220"/>
      <c r="Y154" s="220"/>
      <c r="Z154" s="220"/>
      <c r="AA154" s="220"/>
      <c r="AB154" s="220"/>
      <c r="AC154" s="220"/>
      <c r="AD154" s="220"/>
      <c r="AE154" s="220"/>
      <c r="AF154" s="220"/>
      <c r="AG154" s="308"/>
      <c r="AH154" s="220"/>
      <c r="AI154" s="220"/>
      <c r="AJ154" s="220"/>
      <c r="AK154" s="220"/>
      <c r="AL154" s="220"/>
      <c r="AM154" s="220"/>
    </row>
    <row r="155">
      <c r="A155" s="409">
        <f>IF(ARBITRAGES!E155="","",ARBITRAGES!E155)</f>
        <v>45912</v>
      </c>
      <c r="B155" s="413">
        <v>115500.0</v>
      </c>
      <c r="C155" s="413">
        <v>4600.0</v>
      </c>
      <c r="D155" s="413">
        <v>3.2</v>
      </c>
      <c r="E155" s="413">
        <v>240.0</v>
      </c>
      <c r="F155" s="413">
        <v>355.0</v>
      </c>
      <c r="G155" s="413">
        <v>0.52</v>
      </c>
      <c r="H155" s="413">
        <v>25.0</v>
      </c>
      <c r="I155" s="413">
        <v>0.266</v>
      </c>
      <c r="J155" s="413">
        <v>1.33E-5</v>
      </c>
      <c r="K155" s="413">
        <v>2.6</v>
      </c>
      <c r="L155" s="413">
        <v>0.56</v>
      </c>
      <c r="M155" s="413">
        <v>315.0</v>
      </c>
      <c r="N155" s="413">
        <v>0.0055</v>
      </c>
      <c r="O155" s="413">
        <v>5.25</v>
      </c>
      <c r="P155" s="413">
        <v>0.002</v>
      </c>
      <c r="Q155" s="413">
        <v>1.05E-5</v>
      </c>
      <c r="R155" s="413">
        <v>0.9</v>
      </c>
      <c r="S155" s="423">
        <v>3.7</v>
      </c>
      <c r="T155" s="14">
        <f>IF(A155="","",ARBITRAGES!M155)</f>
        <v>13453.39938</v>
      </c>
      <c r="U155" s="417">
        <f>IF(A155="","",B155*'QUANTITE DETENUES'!B155+'QUANTITE DETENUES'!C155*C155+'QUANTITE DETENUES'!D155*D155+E155*'QUANTITE DETENUES'!E155+'QUANTITE DETENUES'!F155*F155+G155*'QUANTITE DETENUES'!G155+'QUANTITE DETENUES'!H155*H155+I155*'QUANTITE DETENUES'!I155+'QUANTITE DETENUES'!J155*J155+K155*'QUANTITE DETENUES'!K155+'QUANTITE DETENUES'!L155*L155+M155*'QUANTITE DETENUES'!M155+'QUANTITE DETENUES'!N155*N155+O155*'QUANTITE DETENUES'!O155+T155+P155*'QUANTITE DETENUES'!P155+'QUANTITE DETENUES'!Q155*Q155+R155*'QUANTITE DETENUES'!R155+'QUANTITE DETENUES'!S155*S155)</f>
        <v>63116.34295</v>
      </c>
      <c r="V155" s="288"/>
      <c r="W155" s="220"/>
      <c r="X155" s="220"/>
      <c r="Y155" s="220"/>
      <c r="Z155" s="220"/>
      <c r="AA155" s="220"/>
      <c r="AB155" s="220"/>
      <c r="AC155" s="220"/>
      <c r="AD155" s="220"/>
      <c r="AE155" s="220"/>
      <c r="AF155" s="220"/>
      <c r="AG155" s="308"/>
      <c r="AH155" s="220"/>
      <c r="AI155" s="220"/>
      <c r="AJ155" s="220"/>
      <c r="AK155" s="220"/>
      <c r="AL155" s="220"/>
      <c r="AM155" s="220"/>
    </row>
    <row r="156">
      <c r="A156" s="409">
        <f>IF(ARBITRAGES!E156="","",ARBITRAGES!E156)</f>
        <v>45914</v>
      </c>
      <c r="B156" s="413">
        <v>116500.0</v>
      </c>
      <c r="C156" s="413">
        <v>4700.0</v>
      </c>
      <c r="D156" s="413">
        <v>3.3</v>
      </c>
      <c r="E156" s="413">
        <v>245.0</v>
      </c>
      <c r="F156" s="413">
        <v>355.0</v>
      </c>
      <c r="G156" s="413">
        <v>0.5</v>
      </c>
      <c r="H156" s="413">
        <v>24.4</v>
      </c>
      <c r="I156" s="413">
        <v>0.29</v>
      </c>
      <c r="J156" s="413">
        <v>1.38E-5</v>
      </c>
      <c r="K156" s="413">
        <v>2.6</v>
      </c>
      <c r="L156" s="413">
        <v>0.54</v>
      </c>
      <c r="M156" s="413">
        <v>310.0</v>
      </c>
      <c r="N156" s="413">
        <v>0.0055</v>
      </c>
      <c r="O156" s="413">
        <v>5.0</v>
      </c>
      <c r="P156" s="413">
        <v>0.002</v>
      </c>
      <c r="Q156" s="413">
        <v>1.05E-5</v>
      </c>
      <c r="R156" s="413">
        <v>0.93</v>
      </c>
      <c r="S156" s="423">
        <v>3.4</v>
      </c>
      <c r="T156" s="14">
        <f>IF(A156="","",ARBITRAGES!M156)</f>
        <v>13698.39938</v>
      </c>
      <c r="U156" s="417">
        <f>IF(A156="","",B156*'QUANTITE DETENUES'!B156+'QUANTITE DETENUES'!C156*C156+'QUANTITE DETENUES'!D156*D156+E156*'QUANTITE DETENUES'!E156+'QUANTITE DETENUES'!F156*F156+G156*'QUANTITE DETENUES'!G156+'QUANTITE DETENUES'!H156*H156+I156*'QUANTITE DETENUES'!I156+'QUANTITE DETENUES'!J156*J156+K156*'QUANTITE DETENUES'!K156+'QUANTITE DETENUES'!L156*L156+M156*'QUANTITE DETENUES'!M156+'QUANTITE DETENUES'!N156*N156+O156*'QUANTITE DETENUES'!O156+T156+P156*'QUANTITE DETENUES'!P156+'QUANTITE DETENUES'!Q156*Q156+R156*'QUANTITE DETENUES'!R156+'QUANTITE DETENUES'!S156*S156)</f>
        <v>63628.93254</v>
      </c>
      <c r="V156" s="288"/>
      <c r="W156" s="220"/>
      <c r="X156" s="220"/>
      <c r="Y156" s="220"/>
      <c r="Z156" s="220"/>
      <c r="AA156" s="220"/>
      <c r="AB156" s="220"/>
      <c r="AC156" s="220"/>
      <c r="AD156" s="220"/>
      <c r="AE156" s="220"/>
      <c r="AF156" s="220"/>
      <c r="AG156" s="308"/>
      <c r="AH156" s="220"/>
      <c r="AI156" s="220"/>
      <c r="AJ156" s="220"/>
      <c r="AK156" s="220"/>
      <c r="AL156" s="220"/>
      <c r="AM156" s="220"/>
    </row>
    <row r="157">
      <c r="A157" s="409">
        <f>IF(ARBITRAGES!E157="","",ARBITRAGES!E157)</f>
        <v>45918</v>
      </c>
      <c r="B157" s="413">
        <v>115500.0</v>
      </c>
      <c r="C157" s="413">
        <v>4550.0</v>
      </c>
      <c r="D157" s="413">
        <v>3.2</v>
      </c>
      <c r="E157" s="413">
        <v>235.0</v>
      </c>
      <c r="F157" s="413">
        <v>350.0</v>
      </c>
      <c r="G157" s="413">
        <v>0.5</v>
      </c>
      <c r="H157" s="413">
        <v>23.75</v>
      </c>
      <c r="I157" s="413">
        <v>0.27</v>
      </c>
      <c r="J157" s="413">
        <v>1.31E-5</v>
      </c>
      <c r="K157" s="413">
        <v>2.5</v>
      </c>
      <c r="L157" s="413">
        <v>0.51</v>
      </c>
      <c r="M157" s="413">
        <v>300.0</v>
      </c>
      <c r="N157" s="413">
        <v>0.0052</v>
      </c>
      <c r="O157" s="413">
        <v>5.0</v>
      </c>
      <c r="P157" s="413">
        <v>0.002</v>
      </c>
      <c r="Q157" s="413">
        <v>1.05E-5</v>
      </c>
      <c r="R157" s="413">
        <v>0.9</v>
      </c>
      <c r="S157" s="423">
        <v>3.3</v>
      </c>
      <c r="T157" s="14">
        <f>IF(A157="","",ARBITRAGES!M157)</f>
        <v>13920.39938</v>
      </c>
      <c r="U157" s="417">
        <f>IF(A157="","",B157*'QUANTITE DETENUES'!B157+'QUANTITE DETENUES'!C157*C157+'QUANTITE DETENUES'!D157*D157+E157*'QUANTITE DETENUES'!E157+'QUANTITE DETENUES'!F157*F157+G157*'QUANTITE DETENUES'!G157+'QUANTITE DETENUES'!H157*H157+I157*'QUANTITE DETENUES'!I157+'QUANTITE DETENUES'!J157*J157+K157*'QUANTITE DETENUES'!K157+'QUANTITE DETENUES'!L157*L157+M157*'QUANTITE DETENUES'!M157+'QUANTITE DETENUES'!N157*N157+O157*'QUANTITE DETENUES'!O157+T157+P157*'QUANTITE DETENUES'!P157+'QUANTITE DETENUES'!Q157*Q157+R157*'QUANTITE DETENUES'!R157+'QUANTITE DETENUES'!S157*S157)</f>
        <v>62622.14299</v>
      </c>
      <c r="V157" s="288"/>
      <c r="W157" s="220"/>
      <c r="X157" s="220"/>
      <c r="Y157" s="220"/>
      <c r="Z157" s="220"/>
      <c r="AA157" s="220"/>
      <c r="AB157" s="220"/>
      <c r="AC157" s="220"/>
      <c r="AD157" s="220"/>
      <c r="AE157" s="220"/>
      <c r="AF157" s="220"/>
      <c r="AG157" s="308"/>
      <c r="AH157" s="220"/>
      <c r="AI157" s="220"/>
      <c r="AJ157" s="220"/>
      <c r="AK157" s="220"/>
      <c r="AL157" s="220"/>
      <c r="AM157" s="220"/>
    </row>
    <row r="158">
      <c r="A158" s="409">
        <f>IF(ARBITRAGES!E158="","",ARBITRAGES!E158)</f>
        <v>45918</v>
      </c>
      <c r="B158" s="413">
        <v>115500.0</v>
      </c>
      <c r="C158" s="413">
        <v>4550.0</v>
      </c>
      <c r="D158" s="413">
        <v>3.2</v>
      </c>
      <c r="E158" s="413">
        <v>235.0</v>
      </c>
      <c r="F158" s="413">
        <v>350.0</v>
      </c>
      <c r="G158" s="413">
        <v>0.5</v>
      </c>
      <c r="H158" s="413">
        <v>23.75</v>
      </c>
      <c r="I158" s="413">
        <v>0.27</v>
      </c>
      <c r="J158" s="413">
        <v>1.31E-5</v>
      </c>
      <c r="K158" s="413">
        <v>2.5</v>
      </c>
      <c r="L158" s="413">
        <v>0.51</v>
      </c>
      <c r="M158" s="413">
        <v>300.0</v>
      </c>
      <c r="N158" s="413">
        <v>0.0052</v>
      </c>
      <c r="O158" s="413">
        <v>5.0</v>
      </c>
      <c r="P158" s="413">
        <v>0.002</v>
      </c>
      <c r="Q158" s="413">
        <v>1.05E-5</v>
      </c>
      <c r="R158" s="413">
        <v>0.9</v>
      </c>
      <c r="S158" s="423">
        <v>3.3</v>
      </c>
      <c r="T158" s="14">
        <f>IF(A158="","",ARBITRAGES!M158)</f>
        <v>14170.39938</v>
      </c>
      <c r="U158" s="417">
        <f>IF(A158="","",B158*'QUANTITE DETENUES'!B158+'QUANTITE DETENUES'!C158*C158+'QUANTITE DETENUES'!D158*D158+E158*'QUANTITE DETENUES'!E158+'QUANTITE DETENUES'!F158*F158+G158*'QUANTITE DETENUES'!G158+'QUANTITE DETENUES'!H158*H158+I158*'QUANTITE DETENUES'!I158+'QUANTITE DETENUES'!J158*J158+K158*'QUANTITE DETENUES'!K158+'QUANTITE DETENUES'!L158*L158+M158*'QUANTITE DETENUES'!M158+'QUANTITE DETENUES'!N158*N158+O158*'QUANTITE DETENUES'!O158+T158+P158*'QUANTITE DETENUES'!P158+'QUANTITE DETENUES'!Q158*Q158+R158*'QUANTITE DETENUES'!R158+'QUANTITE DETENUES'!S158*S158)</f>
        <v>62637.14299</v>
      </c>
      <c r="V158" s="288"/>
      <c r="W158" s="220"/>
      <c r="X158" s="220"/>
      <c r="Y158" s="220"/>
      <c r="Z158" s="220"/>
      <c r="AA158" s="220"/>
      <c r="AB158" s="220"/>
      <c r="AC158" s="220"/>
      <c r="AD158" s="220"/>
      <c r="AE158" s="220"/>
      <c r="AF158" s="220"/>
      <c r="AG158" s="308"/>
      <c r="AH158" s="220"/>
      <c r="AI158" s="220"/>
      <c r="AJ158" s="220"/>
      <c r="AK158" s="220"/>
      <c r="AL158" s="220"/>
      <c r="AM158" s="220"/>
    </row>
    <row r="159">
      <c r="A159" s="409">
        <f>IF(ARBITRAGES!E159="","",ARBITRAGES!E159)</f>
        <v>45919</v>
      </c>
      <c r="B159" s="413">
        <v>115500.0</v>
      </c>
      <c r="C159" s="413">
        <v>4550.0</v>
      </c>
      <c r="D159" s="413">
        <v>3.2</v>
      </c>
      <c r="E159" s="413">
        <v>235.0</v>
      </c>
      <c r="F159" s="413">
        <v>350.0</v>
      </c>
      <c r="G159" s="413">
        <v>0.5</v>
      </c>
      <c r="H159" s="413">
        <v>23.75</v>
      </c>
      <c r="I159" s="413">
        <v>0.27</v>
      </c>
      <c r="J159" s="413">
        <v>1.31E-5</v>
      </c>
      <c r="K159" s="413">
        <v>2.5</v>
      </c>
      <c r="L159" s="413">
        <v>0.51</v>
      </c>
      <c r="M159" s="413">
        <v>300.0</v>
      </c>
      <c r="N159" s="413">
        <v>0.0052</v>
      </c>
      <c r="O159" s="413">
        <v>5.0</v>
      </c>
      <c r="P159" s="413">
        <v>0.002</v>
      </c>
      <c r="Q159" s="413">
        <v>1.05E-5</v>
      </c>
      <c r="R159" s="413">
        <v>0.9</v>
      </c>
      <c r="S159" s="423">
        <v>3.3</v>
      </c>
      <c r="T159" s="14">
        <f>IF(A159="","",ARBITRAGES!M159)</f>
        <v>14420.29938</v>
      </c>
      <c r="U159" s="417">
        <f>IF(A159="","",B159*'QUANTITE DETENUES'!B159+'QUANTITE DETENUES'!C159*C159+'QUANTITE DETENUES'!D159*D159+E159*'QUANTITE DETENUES'!E159+'QUANTITE DETENUES'!F159*F159+G159*'QUANTITE DETENUES'!G159+'QUANTITE DETENUES'!H159*H159+I159*'QUANTITE DETENUES'!I159+'QUANTITE DETENUES'!J159*J159+K159*'QUANTITE DETENUES'!K159+'QUANTITE DETENUES'!L159*L159+M159*'QUANTITE DETENUES'!M159+'QUANTITE DETENUES'!N159*N159+O159*'QUANTITE DETENUES'!O159+T159+P159*'QUANTITE DETENUES'!P159+'QUANTITE DETENUES'!Q159*Q159+R159*'QUANTITE DETENUES'!R159+'QUANTITE DETENUES'!S159*S159)</f>
        <v>62642.39299</v>
      </c>
      <c r="V159" s="288"/>
      <c r="W159" s="220"/>
      <c r="X159" s="220"/>
      <c r="Y159" s="220"/>
      <c r="Z159" s="220"/>
      <c r="AA159" s="220"/>
      <c r="AB159" s="220"/>
      <c r="AC159" s="220"/>
      <c r="AD159" s="220"/>
      <c r="AE159" s="220"/>
      <c r="AF159" s="220"/>
      <c r="AG159" s="308"/>
      <c r="AH159" s="220"/>
      <c r="AI159" s="220"/>
      <c r="AJ159" s="220"/>
      <c r="AK159" s="220"/>
      <c r="AL159" s="220"/>
      <c r="AM159" s="220"/>
    </row>
    <row r="160">
      <c r="A160" s="409">
        <f>IF(ARBITRAGES!E160="","",ARBITRAGES!E160)</f>
        <v>45922</v>
      </c>
      <c r="B160" s="413">
        <v>113000.0</v>
      </c>
      <c r="C160" s="413">
        <v>4200.0</v>
      </c>
      <c r="D160" s="413">
        <v>2.85</v>
      </c>
      <c r="E160" s="413">
        <v>220.0</v>
      </c>
      <c r="F160" s="413">
        <v>320.0</v>
      </c>
      <c r="G160" s="413">
        <v>0.49</v>
      </c>
      <c r="H160" s="413">
        <v>21.85</v>
      </c>
      <c r="I160" s="413">
        <v>0.24</v>
      </c>
      <c r="J160" s="413">
        <v>1.22E-5</v>
      </c>
      <c r="K160" s="413">
        <v>2.75</v>
      </c>
      <c r="L160" s="413">
        <v>0.475</v>
      </c>
      <c r="M160" s="413">
        <v>275.0</v>
      </c>
      <c r="N160" s="413">
        <v>0.0045</v>
      </c>
      <c r="O160" s="413">
        <v>4.9</v>
      </c>
      <c r="P160" s="413">
        <v>0.0017</v>
      </c>
      <c r="Q160" s="413">
        <v>9.6E-6</v>
      </c>
      <c r="R160" s="413">
        <v>0.8</v>
      </c>
      <c r="S160" s="423">
        <v>2.8</v>
      </c>
      <c r="T160" s="14">
        <f>IF(A160="","",ARBITRAGES!M160)</f>
        <v>14129.79938</v>
      </c>
      <c r="U160" s="417">
        <f>IF(A160="","",B160*'QUANTITE DETENUES'!B160+'QUANTITE DETENUES'!C160*C160+'QUANTITE DETENUES'!D160*D160+E160*'QUANTITE DETENUES'!E160+'QUANTITE DETENUES'!F160*F160+G160*'QUANTITE DETENUES'!G160+'QUANTITE DETENUES'!H160*H160+I160*'QUANTITE DETENUES'!I160+'QUANTITE DETENUES'!J160*J160+K160*'QUANTITE DETENUES'!K160+'QUANTITE DETENUES'!L160*L160+M160*'QUANTITE DETENUES'!M160+'QUANTITE DETENUES'!N160*N160+O160*'QUANTITE DETENUES'!O160+T160+P160*'QUANTITE DETENUES'!P160+'QUANTITE DETENUES'!Q160*Q160+R160*'QUANTITE DETENUES'!R160+'QUANTITE DETENUES'!S160*S160)</f>
        <v>60659.23884</v>
      </c>
      <c r="V160" s="288"/>
      <c r="W160" s="220"/>
      <c r="X160" s="220"/>
      <c r="Y160" s="220"/>
      <c r="Z160" s="220"/>
      <c r="AA160" s="220"/>
      <c r="AB160" s="220"/>
      <c r="AC160" s="220"/>
      <c r="AD160" s="220"/>
      <c r="AE160" s="220"/>
      <c r="AF160" s="220"/>
      <c r="AG160" s="308"/>
      <c r="AH160" s="220"/>
      <c r="AI160" s="220"/>
      <c r="AJ160" s="220"/>
      <c r="AK160" s="220"/>
      <c r="AL160" s="220"/>
      <c r="AM160" s="220"/>
    </row>
    <row r="161">
      <c r="A161" s="409">
        <f>IF(ARBITRAGES!E161="","",ARBITRAGES!E161)</f>
        <v>45923</v>
      </c>
      <c r="B161" s="413">
        <v>113000.0</v>
      </c>
      <c r="C161" s="413">
        <v>4200.0</v>
      </c>
      <c r="D161" s="413">
        <v>2.85</v>
      </c>
      <c r="E161" s="413">
        <v>220.0</v>
      </c>
      <c r="F161" s="413">
        <v>320.0</v>
      </c>
      <c r="G161" s="413">
        <v>0.49</v>
      </c>
      <c r="H161" s="413">
        <v>21.85</v>
      </c>
      <c r="I161" s="413">
        <v>0.24</v>
      </c>
      <c r="J161" s="413">
        <v>1.22E-5</v>
      </c>
      <c r="K161" s="413">
        <v>2.75</v>
      </c>
      <c r="L161" s="413">
        <v>0.475</v>
      </c>
      <c r="M161" s="413">
        <v>275.0</v>
      </c>
      <c r="N161" s="413">
        <v>0.0045</v>
      </c>
      <c r="O161" s="413">
        <v>4.9</v>
      </c>
      <c r="P161" s="413">
        <v>0.0017</v>
      </c>
      <c r="Q161" s="413">
        <v>9.6E-6</v>
      </c>
      <c r="R161" s="413">
        <v>0.8</v>
      </c>
      <c r="S161" s="423">
        <v>2.8</v>
      </c>
      <c r="T161" s="14">
        <f>IF(A161="","",ARBITRAGES!M161)</f>
        <v>14020.79938</v>
      </c>
      <c r="U161" s="417">
        <f>IF(A161="","",B161*'QUANTITE DETENUES'!B161+'QUANTITE DETENUES'!C161*C161+'QUANTITE DETENUES'!D161*D161+E161*'QUANTITE DETENUES'!E161+'QUANTITE DETENUES'!F161*F161+G161*'QUANTITE DETENUES'!G161+'QUANTITE DETENUES'!H161*H161+I161*'QUANTITE DETENUES'!I161+'QUANTITE DETENUES'!J161*J161+K161*'QUANTITE DETENUES'!K161+'QUANTITE DETENUES'!L161*L161+M161*'QUANTITE DETENUES'!M161+'QUANTITE DETENUES'!N161*N161+O161*'QUANTITE DETENUES'!O161+T161+P161*'QUANTITE DETENUES'!P161+'QUANTITE DETENUES'!Q161*Q161+R161*'QUANTITE DETENUES'!R161+'QUANTITE DETENUES'!S161*S161)</f>
        <v>60664.44284</v>
      </c>
      <c r="V161" s="288"/>
      <c r="W161" s="220"/>
      <c r="X161" s="220"/>
      <c r="Y161" s="220"/>
      <c r="Z161" s="220"/>
      <c r="AA161" s="220"/>
      <c r="AB161" s="220"/>
      <c r="AC161" s="220"/>
      <c r="AD161" s="220"/>
      <c r="AE161" s="220"/>
      <c r="AF161" s="220"/>
      <c r="AG161" s="308"/>
      <c r="AH161" s="220"/>
      <c r="AI161" s="220"/>
      <c r="AJ161" s="220"/>
      <c r="AK161" s="220"/>
      <c r="AL161" s="220"/>
      <c r="AM161" s="220"/>
    </row>
    <row r="162">
      <c r="A162" s="409">
        <f>IF(ARBITRAGES!E162="","",ARBITRAGES!E162)</f>
        <v>45924</v>
      </c>
      <c r="B162" s="413">
        <v>111500.0</v>
      </c>
      <c r="C162" s="413">
        <v>4000.0</v>
      </c>
      <c r="D162" s="413">
        <v>2.78</v>
      </c>
      <c r="E162" s="413">
        <v>200.0</v>
      </c>
      <c r="F162" s="413">
        <v>300.0</v>
      </c>
      <c r="G162" s="413">
        <v>0.465</v>
      </c>
      <c r="H162" s="413">
        <v>21.85</v>
      </c>
      <c r="I162" s="413">
        <v>0.232</v>
      </c>
      <c r="J162" s="413">
        <v>1.22E-5</v>
      </c>
      <c r="K162" s="413">
        <v>2.7</v>
      </c>
      <c r="L162" s="413">
        <v>0.45</v>
      </c>
      <c r="M162" s="413">
        <v>270.0</v>
      </c>
      <c r="N162" s="413">
        <v>0.0042</v>
      </c>
      <c r="O162" s="413">
        <v>4.6</v>
      </c>
      <c r="P162" s="413">
        <v>0.0016</v>
      </c>
      <c r="Q162" s="413">
        <v>9.4E-6</v>
      </c>
      <c r="R162" s="413">
        <v>0.75</v>
      </c>
      <c r="S162" s="423">
        <v>2.6</v>
      </c>
      <c r="T162" s="14">
        <f>IF(A162="","",ARBITRAGES!M162)</f>
        <v>13868.29938</v>
      </c>
      <c r="U162" s="417">
        <f>IF(A162="","",B162*'QUANTITE DETENUES'!B162+'QUANTITE DETENUES'!C162*C162+'QUANTITE DETENUES'!D162*D162+E162*'QUANTITE DETENUES'!E162+'QUANTITE DETENUES'!F162*F162+G162*'QUANTITE DETENUES'!G162+'QUANTITE DETENUES'!H162*H162+I162*'QUANTITE DETENUES'!I162+'QUANTITE DETENUES'!J162*J162+K162*'QUANTITE DETENUES'!K162+'QUANTITE DETENUES'!L162*L162+M162*'QUANTITE DETENUES'!M162+'QUANTITE DETENUES'!N162*N162+O162*'QUANTITE DETENUES'!O162+T162+P162*'QUANTITE DETENUES'!P162+'QUANTITE DETENUES'!Q162*Q162+R162*'QUANTITE DETENUES'!R162+'QUANTITE DETENUES'!S162*S162)</f>
        <v>59207.2624</v>
      </c>
      <c r="V162" s="288"/>
      <c r="W162" s="220"/>
      <c r="X162" s="220"/>
      <c r="Y162" s="220"/>
      <c r="Z162" s="220"/>
      <c r="AA162" s="220"/>
      <c r="AB162" s="220"/>
      <c r="AC162" s="220"/>
      <c r="AD162" s="220"/>
      <c r="AE162" s="220"/>
      <c r="AF162" s="220"/>
      <c r="AG162" s="308"/>
      <c r="AH162" s="220"/>
      <c r="AI162" s="220"/>
      <c r="AJ162" s="220"/>
      <c r="AK162" s="220"/>
      <c r="AL162" s="220"/>
      <c r="AM162" s="220"/>
    </row>
    <row r="163">
      <c r="A163" s="409">
        <f>IF(ARBITRAGES!E163="","",ARBITRAGES!E163)</f>
        <v>45925</v>
      </c>
      <c r="B163" s="413">
        <v>111500.0</v>
      </c>
      <c r="C163" s="413">
        <v>4000.0</v>
      </c>
      <c r="D163" s="413">
        <v>2.78</v>
      </c>
      <c r="E163" s="413">
        <v>200.0</v>
      </c>
      <c r="F163" s="413">
        <v>300.0</v>
      </c>
      <c r="G163" s="413">
        <v>0.465</v>
      </c>
      <c r="H163" s="413">
        <v>21.85</v>
      </c>
      <c r="I163" s="413">
        <v>0.232</v>
      </c>
      <c r="J163" s="413">
        <v>1.22E-5</v>
      </c>
      <c r="K163" s="413">
        <v>2.7</v>
      </c>
      <c r="L163" s="413">
        <v>0.45</v>
      </c>
      <c r="M163" s="413">
        <v>270.0</v>
      </c>
      <c r="N163" s="413">
        <v>0.0042</v>
      </c>
      <c r="O163" s="413">
        <v>4.6</v>
      </c>
      <c r="P163" s="413">
        <v>0.0016</v>
      </c>
      <c r="Q163" s="413">
        <v>9.4E-6</v>
      </c>
      <c r="R163" s="413">
        <v>0.75</v>
      </c>
      <c r="S163" s="423">
        <v>2.6</v>
      </c>
      <c r="T163" s="14">
        <f>IF(A163="","",ARBITRAGES!M163)</f>
        <v>13810.79938</v>
      </c>
      <c r="U163" s="417">
        <f>IF(A163="","",B163*'QUANTITE DETENUES'!B163+'QUANTITE DETENUES'!C163*C163+'QUANTITE DETENUES'!D163*D163+E163*'QUANTITE DETENUES'!E163+'QUANTITE DETENUES'!F163*F163+G163*'QUANTITE DETENUES'!G163+'QUANTITE DETENUES'!H163*H163+I163*'QUANTITE DETENUES'!I163+'QUANTITE DETENUES'!J163*J163+K163*'QUANTITE DETENUES'!K163+'QUANTITE DETENUES'!L163*L163+M163*'QUANTITE DETENUES'!M163+'QUANTITE DETENUES'!N163*N163+O163*'QUANTITE DETENUES'!O163+T163+P163*'QUANTITE DETENUES'!P163+'QUANTITE DETENUES'!Q163*Q163+R163*'QUANTITE DETENUES'!R163+'QUANTITE DETENUES'!S163*S163)</f>
        <v>59207.9944</v>
      </c>
      <c r="V163" s="288"/>
      <c r="W163" s="220"/>
      <c r="X163" s="220"/>
      <c r="Y163" s="220"/>
      <c r="Z163" s="220"/>
      <c r="AA163" s="220"/>
      <c r="AB163" s="220"/>
      <c r="AC163" s="220"/>
      <c r="AD163" s="220"/>
      <c r="AE163" s="220"/>
      <c r="AF163" s="220"/>
      <c r="AG163" s="308"/>
      <c r="AH163" s="220"/>
      <c r="AI163" s="220"/>
      <c r="AJ163" s="220"/>
      <c r="AK163" s="220"/>
      <c r="AL163" s="220"/>
      <c r="AM163" s="220"/>
    </row>
    <row r="164">
      <c r="A164" s="409">
        <f>IF(ARBITRAGES!E164="","",ARBITRAGES!E164)</f>
        <v>45928</v>
      </c>
      <c r="B164" s="413">
        <v>110000.0</v>
      </c>
      <c r="C164" s="413">
        <v>4020.0</v>
      </c>
      <c r="D164" s="413">
        <v>2.7</v>
      </c>
      <c r="E164" s="413">
        <v>201.0</v>
      </c>
      <c r="F164" s="413">
        <v>300.0</v>
      </c>
      <c r="G164" s="413">
        <v>0.456</v>
      </c>
      <c r="H164" s="413">
        <v>21.0</v>
      </c>
      <c r="I164" s="413">
        <v>0.23</v>
      </c>
      <c r="J164" s="413">
        <v>1.2E-5</v>
      </c>
      <c r="K164" s="413">
        <v>2.6</v>
      </c>
      <c r="L164" s="413">
        <v>0.43</v>
      </c>
      <c r="M164" s="413">
        <v>265.0</v>
      </c>
      <c r="N164" s="413">
        <v>0.0042</v>
      </c>
      <c r="O164" s="413">
        <v>4.6</v>
      </c>
      <c r="P164" s="413">
        <v>0.0016</v>
      </c>
      <c r="Q164" s="413">
        <v>9.2E-6</v>
      </c>
      <c r="R164" s="413">
        <v>0.725</v>
      </c>
      <c r="S164" s="423">
        <v>2.6</v>
      </c>
      <c r="T164" s="14">
        <f>IF(A164="","",ARBITRAGES!M164)</f>
        <v>13515.79938</v>
      </c>
      <c r="U164" s="417">
        <f>IF(A164="","",B164*'QUANTITE DETENUES'!B164+'QUANTITE DETENUES'!C164*C164+'QUANTITE DETENUES'!D164*D164+E164*'QUANTITE DETENUES'!E164+'QUANTITE DETENUES'!F164*F164+G164*'QUANTITE DETENUES'!G164+'QUANTITE DETENUES'!H164*H164+I164*'QUANTITE DETENUES'!I164+'QUANTITE DETENUES'!J164*J164+K164*'QUANTITE DETENUES'!K164+'QUANTITE DETENUES'!L164*L164+M164*'QUANTITE DETENUES'!M164+'QUANTITE DETENUES'!N164*N164+O164*'QUANTITE DETENUES'!O164+T164+P164*'QUANTITE DETENUES'!P164+'QUANTITE DETENUES'!Q164*Q164+R164*'QUANTITE DETENUES'!R164+'QUANTITE DETENUES'!S164*S164)</f>
        <v>58803.84076</v>
      </c>
      <c r="V164" s="288"/>
      <c r="W164" s="220"/>
      <c r="X164" s="220"/>
      <c r="Y164" s="220"/>
      <c r="Z164" s="220"/>
      <c r="AA164" s="220"/>
      <c r="AB164" s="220"/>
      <c r="AC164" s="220"/>
      <c r="AD164" s="220"/>
      <c r="AE164" s="220"/>
      <c r="AF164" s="220"/>
      <c r="AG164" s="308"/>
      <c r="AH164" s="220"/>
      <c r="AI164" s="220"/>
      <c r="AJ164" s="220"/>
      <c r="AK164" s="220"/>
      <c r="AL164" s="220"/>
      <c r="AM164" s="220"/>
    </row>
    <row r="165">
      <c r="A165" s="409">
        <f>IF(ARBITRAGES!E165="","",ARBITRAGES!E165)</f>
        <v>45905</v>
      </c>
      <c r="B165" s="413">
        <v>123156.0</v>
      </c>
      <c r="C165" s="413">
        <v>4542.78</v>
      </c>
      <c r="D165" s="413">
        <v>2.82</v>
      </c>
      <c r="E165" s="413">
        <v>235.0</v>
      </c>
      <c r="F165" s="413">
        <v>325.0</v>
      </c>
      <c r="G165" s="413">
        <v>0.48</v>
      </c>
      <c r="H165" s="413">
        <v>23.0</v>
      </c>
      <c r="I165" s="413">
        <v>0.26</v>
      </c>
      <c r="J165" s="413">
        <v>1.3E-6</v>
      </c>
      <c r="K165" s="413">
        <v>3.65</v>
      </c>
      <c r="L165" s="413">
        <v>0.465</v>
      </c>
      <c r="M165" s="413">
        <v>290.0</v>
      </c>
      <c r="N165" s="413">
        <v>0.0043</v>
      </c>
      <c r="O165" s="413">
        <v>4.85</v>
      </c>
      <c r="P165" s="413">
        <v>0.00174</v>
      </c>
      <c r="Q165" s="413">
        <v>1.0E-6</v>
      </c>
      <c r="R165" s="413">
        <v>0.8</v>
      </c>
      <c r="S165" s="423">
        <v>2.95</v>
      </c>
      <c r="T165" s="14">
        <f>IF(A165="","",ARBITRAGES!M165)</f>
        <v>13743.29938</v>
      </c>
      <c r="U165" s="417">
        <f>IF(A165="","",B165*'QUANTITE DETENUES'!B165+'QUANTITE DETENUES'!C165*C165+'QUANTITE DETENUES'!D165*D165+E165*'QUANTITE DETENUES'!E165+'QUANTITE DETENUES'!F165*F165+G165*'QUANTITE DETENUES'!G165+'QUANTITE DETENUES'!H165*H165+I165*'QUANTITE DETENUES'!I165+'QUANTITE DETENUES'!J165*J165+K165*'QUANTITE DETENUES'!K165+'QUANTITE DETENUES'!L165*L165+M165*'QUANTITE DETENUES'!M165+'QUANTITE DETENUES'!N165*N165+O165*'QUANTITE DETENUES'!O165+T165+P165*'QUANTITE DETENUES'!P165+'QUANTITE DETENUES'!Q165*Q165+R165*'QUANTITE DETENUES'!R165+'QUANTITE DETENUES'!S165*S165)</f>
        <v>63770.45958</v>
      </c>
      <c r="V165" s="288"/>
      <c r="W165" s="220"/>
      <c r="X165" s="220"/>
      <c r="Y165" s="220"/>
      <c r="Z165" s="220"/>
      <c r="AA165" s="220"/>
      <c r="AB165" s="220"/>
      <c r="AC165" s="220"/>
      <c r="AD165" s="220"/>
      <c r="AE165" s="220"/>
      <c r="AF165" s="220"/>
      <c r="AG165" s="308"/>
      <c r="AH165" s="220"/>
      <c r="AI165" s="220"/>
      <c r="AJ165" s="220"/>
      <c r="AK165" s="220"/>
      <c r="AL165" s="220"/>
      <c r="AM165" s="220"/>
    </row>
    <row r="166">
      <c r="A166" s="409">
        <f>IF(ARBITRAGES!E166="","",ARBITRAGES!E166)</f>
        <v>45939</v>
      </c>
      <c r="B166" s="31">
        <v>122000.0</v>
      </c>
      <c r="C166" s="31">
        <v>4350.0</v>
      </c>
      <c r="D166" s="31">
        <v>2.75</v>
      </c>
      <c r="E166" s="31">
        <v>222.0</v>
      </c>
      <c r="F166" s="31">
        <v>390.0</v>
      </c>
      <c r="G166" s="31">
        <v>0.47</v>
      </c>
      <c r="H166" s="31">
        <v>22.5</v>
      </c>
      <c r="I166" s="31">
        <v>0.25</v>
      </c>
      <c r="J166" s="31">
        <v>1.2E-6</v>
      </c>
      <c r="K166" s="31">
        <v>3.7</v>
      </c>
      <c r="L166" s="31">
        <v>0.436</v>
      </c>
      <c r="M166" s="31">
        <v>280.0</v>
      </c>
      <c r="N166" s="31">
        <v>0.0043</v>
      </c>
      <c r="O166" s="31">
        <v>4.7</v>
      </c>
      <c r="P166" s="31">
        <v>0.00164</v>
      </c>
      <c r="Q166" s="31">
        <v>9.3E-6</v>
      </c>
      <c r="R166" s="31">
        <v>0.73</v>
      </c>
      <c r="S166" s="136">
        <v>2.7</v>
      </c>
      <c r="T166" s="14">
        <f>IF(A166="","",ARBITRAGES!M166)</f>
        <v>13937.49379</v>
      </c>
      <c r="U166" s="417">
        <f>IF(A166="","",B166*'QUANTITE DETENUES'!B166+'QUANTITE DETENUES'!C166*C166+'QUANTITE DETENUES'!D166*D166+E166*'QUANTITE DETENUES'!E166+'QUANTITE DETENUES'!F166*F166+G166*'QUANTITE DETENUES'!G166+'QUANTITE DETENUES'!H166*H166+I166*'QUANTITE DETENUES'!I166+'QUANTITE DETENUES'!J166*J166+K166*'QUANTITE DETENUES'!K166+'QUANTITE DETENUES'!L166*L166+M166*'QUANTITE DETENUES'!M166+'QUANTITE DETENUES'!N166*N166+O166*'QUANTITE DETENUES'!O166+T166+P166*'QUANTITE DETENUES'!P166+'QUANTITE DETENUES'!Q166*Q166+R166*'QUANTITE DETENUES'!R166+'QUANTITE DETENUES'!S166*S166)</f>
        <v>63789.16448</v>
      </c>
      <c r="V166" s="288"/>
      <c r="W166" s="220"/>
      <c r="X166" s="220"/>
      <c r="Y166" s="220"/>
      <c r="Z166" s="220"/>
      <c r="AA166" s="220"/>
      <c r="AB166" s="220"/>
      <c r="AC166" s="220"/>
      <c r="AD166" s="220"/>
      <c r="AE166" s="220"/>
      <c r="AF166" s="220"/>
      <c r="AG166" s="308"/>
      <c r="AH166" s="220"/>
      <c r="AI166" s="220"/>
      <c r="AJ166" s="220"/>
      <c r="AK166" s="220"/>
      <c r="AL166" s="220"/>
      <c r="AM166" s="220"/>
    </row>
    <row r="167">
      <c r="A167" s="409">
        <f>IF(ARBITRAGES!E167="","",ARBITRAGES!E167)</f>
        <v>45939</v>
      </c>
      <c r="B167" s="31">
        <v>122000.0</v>
      </c>
      <c r="C167" s="31">
        <v>4350.0</v>
      </c>
      <c r="D167" s="31">
        <v>2.75</v>
      </c>
      <c r="E167" s="31">
        <v>222.0</v>
      </c>
      <c r="F167" s="31">
        <v>390.0</v>
      </c>
      <c r="G167" s="31">
        <v>0.47</v>
      </c>
      <c r="H167" s="31">
        <v>22.5</v>
      </c>
      <c r="I167" s="31">
        <v>0.25</v>
      </c>
      <c r="J167" s="31">
        <v>1.2E-6</v>
      </c>
      <c r="K167" s="31">
        <v>3.7</v>
      </c>
      <c r="L167" s="31">
        <v>0.436</v>
      </c>
      <c r="M167" s="31">
        <v>280.0</v>
      </c>
      <c r="N167" s="31">
        <v>0.0043</v>
      </c>
      <c r="O167" s="31">
        <v>4.7</v>
      </c>
      <c r="P167" s="31">
        <v>0.00164</v>
      </c>
      <c r="Q167" s="31">
        <v>9.3E-6</v>
      </c>
      <c r="R167" s="31">
        <v>0.73</v>
      </c>
      <c r="S167" s="136">
        <v>2.7</v>
      </c>
      <c r="T167" s="14">
        <f>IF(A167="","",ARBITRAGES!M167)</f>
        <v>14134.99379</v>
      </c>
      <c r="U167" s="417">
        <f>IF(A167="","",B167*'QUANTITE DETENUES'!B167+'QUANTITE DETENUES'!C167*C167+'QUANTITE DETENUES'!D167*D167+E167*'QUANTITE DETENUES'!E167+'QUANTITE DETENUES'!F167*F167+G167*'QUANTITE DETENUES'!G167+'QUANTITE DETENUES'!H167*H167+I167*'QUANTITE DETENUES'!I167+'QUANTITE DETENUES'!J167*J167+K167*'QUANTITE DETENUES'!K167+'QUANTITE DETENUES'!L167*L167+M167*'QUANTITE DETENUES'!M167+'QUANTITE DETENUES'!N167*N167+O167*'QUANTITE DETENUES'!O167+T167+P167*'QUANTITE DETENUES'!P167+'QUANTITE DETENUES'!Q167*Q167+R167*'QUANTITE DETENUES'!R167+'QUANTITE DETENUES'!S167*S167)</f>
        <v>63791.66448</v>
      </c>
      <c r="V167" s="288"/>
      <c r="W167" s="220"/>
      <c r="X167" s="220"/>
      <c r="Y167" s="220"/>
      <c r="Z167" s="220"/>
      <c r="AA167" s="220"/>
      <c r="AB167" s="220"/>
      <c r="AC167" s="220"/>
      <c r="AD167" s="220"/>
      <c r="AE167" s="220"/>
      <c r="AF167" s="220"/>
      <c r="AG167" s="308"/>
      <c r="AH167" s="220"/>
      <c r="AI167" s="220"/>
      <c r="AJ167" s="220"/>
      <c r="AK167" s="220"/>
      <c r="AL167" s="220"/>
      <c r="AM167" s="220"/>
    </row>
    <row r="168">
      <c r="A168" s="409">
        <f>IF(ARBITRAGES!E168="","",ARBITRAGES!E168)</f>
        <v>45940</v>
      </c>
      <c r="B168" s="31">
        <v>122000.0</v>
      </c>
      <c r="C168" s="31">
        <v>4350.0</v>
      </c>
      <c r="D168" s="31">
        <v>2.75</v>
      </c>
      <c r="E168" s="31">
        <v>222.0</v>
      </c>
      <c r="F168" s="31">
        <v>390.0</v>
      </c>
      <c r="G168" s="31">
        <v>0.47</v>
      </c>
      <c r="H168" s="31">
        <v>22.5</v>
      </c>
      <c r="I168" s="31">
        <v>0.25</v>
      </c>
      <c r="J168" s="31">
        <v>1.2E-6</v>
      </c>
      <c r="K168" s="31">
        <v>3.7</v>
      </c>
      <c r="L168" s="31">
        <v>0.436</v>
      </c>
      <c r="M168" s="31">
        <v>280.0</v>
      </c>
      <c r="N168" s="31">
        <v>0.0043</v>
      </c>
      <c r="O168" s="31">
        <v>4.7</v>
      </c>
      <c r="P168" s="31">
        <v>0.00164</v>
      </c>
      <c r="Q168" s="31">
        <v>9.3E-6</v>
      </c>
      <c r="R168" s="31">
        <v>0.73</v>
      </c>
      <c r="S168" s="136">
        <v>2.7</v>
      </c>
      <c r="T168" s="14">
        <f>IF(A168="","",ARBITRAGES!M168)</f>
        <v>13591.898</v>
      </c>
      <c r="U168" s="417">
        <f>IF(A168="","",B168*'QUANTITE DETENUES'!B168+'QUANTITE DETENUES'!C168*C168+'QUANTITE DETENUES'!D168*D168+E168*'QUANTITE DETENUES'!E168+'QUANTITE DETENUES'!F168*F168+G168*'QUANTITE DETENUES'!G168+'QUANTITE DETENUES'!H168*H168+I168*'QUANTITE DETENUES'!I168+'QUANTITE DETENUES'!J168*J168+K168*'QUANTITE DETENUES'!K168+'QUANTITE DETENUES'!L168*L168+M168*'QUANTITE DETENUES'!M168+'QUANTITE DETENUES'!N168*N168+O168*'QUANTITE DETENUES'!O168+T168+P168*'QUANTITE DETENUES'!P168+'QUANTITE DETENUES'!Q168*Q168+R168*'QUANTITE DETENUES'!R168+'QUANTITE DETENUES'!S168*S168)</f>
        <v>63023.16419</v>
      </c>
      <c r="V168" s="288"/>
      <c r="W168" s="220"/>
      <c r="X168" s="220"/>
      <c r="Y168" s="220"/>
      <c r="Z168" s="220"/>
      <c r="AA168" s="220"/>
      <c r="AB168" s="220"/>
      <c r="AC168" s="220"/>
      <c r="AD168" s="220"/>
      <c r="AE168" s="220"/>
      <c r="AF168" s="220"/>
      <c r="AG168" s="308"/>
      <c r="AH168" s="220"/>
      <c r="AI168" s="220"/>
      <c r="AJ168" s="220"/>
      <c r="AK168" s="220"/>
      <c r="AL168" s="220"/>
      <c r="AM168" s="220"/>
    </row>
    <row r="169">
      <c r="A169" s="409">
        <f>IF(ARBITRAGES!E169="","",ARBITRAGES!E169)</f>
        <v>45941</v>
      </c>
      <c r="B169" s="31">
        <v>112500.0</v>
      </c>
      <c r="C169" s="31">
        <v>3900.0</v>
      </c>
      <c r="D169" s="31">
        <v>2.25</v>
      </c>
      <c r="E169" s="31">
        <v>185.0</v>
      </c>
      <c r="F169" s="31">
        <v>320.0</v>
      </c>
      <c r="G169" s="31">
        <v>0.27</v>
      </c>
      <c r="H169" s="31">
        <v>18.0</v>
      </c>
      <c r="I169" s="31">
        <v>0.195</v>
      </c>
      <c r="J169" s="31">
        <v>1.05E-6</v>
      </c>
      <c r="K169" s="31">
        <v>2.85</v>
      </c>
      <c r="L169" s="31">
        <v>0.34</v>
      </c>
      <c r="M169" s="31">
        <v>245.0</v>
      </c>
      <c r="N169" s="31">
        <v>0.0033</v>
      </c>
      <c r="O169" s="31">
        <v>3.7</v>
      </c>
      <c r="P169" s="31">
        <v>0.001</v>
      </c>
      <c r="Q169" s="31">
        <v>7.2E-6</v>
      </c>
      <c r="R169" s="31">
        <v>0.5</v>
      </c>
      <c r="S169" s="136">
        <v>2.0</v>
      </c>
      <c r="T169" s="14">
        <f>IF(A169="","",ARBITRAGES!M169)</f>
        <v>13515.798</v>
      </c>
      <c r="U169" s="417">
        <f>IF(A169="","",B169*'QUANTITE DETENUES'!B169+'QUANTITE DETENUES'!C169*C169+'QUANTITE DETENUES'!D169*D169+E169*'QUANTITE DETENUES'!E169+'QUANTITE DETENUES'!F169*F169+G169*'QUANTITE DETENUES'!G169+'QUANTITE DETENUES'!H169*H169+I169*'QUANTITE DETENUES'!I169+'QUANTITE DETENUES'!J169*J169+K169*'QUANTITE DETENUES'!K169+'QUANTITE DETENUES'!L169*L169+M169*'QUANTITE DETENUES'!M169+'QUANTITE DETENUES'!N169*N169+O169*'QUANTITE DETENUES'!O169+T169+P169*'QUANTITE DETENUES'!P169+'QUANTITE DETENUES'!Q169*Q169+R169*'QUANTITE DETENUES'!R169+'QUANTITE DETENUES'!S169*S169)</f>
        <v>57331.98588</v>
      </c>
      <c r="V169" s="288"/>
      <c r="W169" s="220"/>
      <c r="X169" s="220"/>
      <c r="Y169" s="220"/>
      <c r="Z169" s="220"/>
      <c r="AA169" s="220"/>
      <c r="AB169" s="220"/>
      <c r="AC169" s="220"/>
      <c r="AD169" s="220"/>
      <c r="AE169" s="220"/>
      <c r="AF169" s="220"/>
      <c r="AG169" s="308"/>
      <c r="AH169" s="220"/>
      <c r="AI169" s="220"/>
      <c r="AJ169" s="220"/>
      <c r="AK169" s="220"/>
      <c r="AL169" s="220"/>
      <c r="AM169" s="220"/>
    </row>
    <row r="170">
      <c r="A170" s="409">
        <f>IF(ARBITRAGES!E170="","",ARBITRAGES!E170)</f>
        <v>45941</v>
      </c>
      <c r="B170" s="31">
        <v>115000.0</v>
      </c>
      <c r="C170" s="31">
        <v>4150.0</v>
      </c>
      <c r="D170" s="31">
        <v>2.3</v>
      </c>
      <c r="E170" s="31">
        <v>200.0</v>
      </c>
      <c r="F170" s="31">
        <v>415.0</v>
      </c>
      <c r="G170" s="31">
        <v>0.4</v>
      </c>
      <c r="H170" s="31">
        <v>20.0</v>
      </c>
      <c r="I170" s="31">
        <v>0.211</v>
      </c>
      <c r="J170" s="31">
        <v>1.1E-6</v>
      </c>
      <c r="K170" s="31">
        <v>3.5</v>
      </c>
      <c r="L170" s="31">
        <v>0.38</v>
      </c>
      <c r="M170" s="31">
        <v>255.0</v>
      </c>
      <c r="N170" s="31">
        <v>0.0036</v>
      </c>
      <c r="O170" s="31">
        <v>3.9</v>
      </c>
      <c r="P170" s="31">
        <v>0.0012</v>
      </c>
      <c r="Q170" s="31">
        <v>7.6E-6</v>
      </c>
      <c r="R170" s="31">
        <v>0.56</v>
      </c>
      <c r="S170" s="136">
        <v>2.0</v>
      </c>
      <c r="T170" s="14">
        <f>IF(A170="","",ARBITRAGES!M170)</f>
        <v>13421.798</v>
      </c>
      <c r="U170" s="417">
        <f>IF(A170="","",B170*'QUANTITE DETENUES'!B170+'QUANTITE DETENUES'!C170*C170+'QUANTITE DETENUES'!D170*D170+E170*'QUANTITE DETENUES'!E170+'QUANTITE DETENUES'!F170*F170+G170*'QUANTITE DETENUES'!G170+'QUANTITE DETENUES'!H170*H170+I170*'QUANTITE DETENUES'!I170+'QUANTITE DETENUES'!J170*J170+K170*'QUANTITE DETENUES'!K170+'QUANTITE DETENUES'!L170*L170+M170*'QUANTITE DETENUES'!M170+'QUANTITE DETENUES'!N170*N170+O170*'QUANTITE DETENUES'!O170+T170+P170*'QUANTITE DETENUES'!P170+'QUANTITE DETENUES'!Q170*Q170+R170*'QUANTITE DETENUES'!R170+'QUANTITE DETENUES'!S170*S170)</f>
        <v>60267.14169</v>
      </c>
      <c r="V170" s="288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308"/>
      <c r="AH170" s="220"/>
      <c r="AI170" s="220"/>
      <c r="AJ170" s="220"/>
      <c r="AK170" s="220"/>
      <c r="AL170" s="220"/>
      <c r="AM170" s="220"/>
    </row>
    <row r="171">
      <c r="A171" s="409">
        <f>IF(ARBITRAGES!E171="","",ARBITRAGES!E171)</f>
        <v>45942</v>
      </c>
      <c r="B171" s="31">
        <v>115000.0</v>
      </c>
      <c r="C171" s="31">
        <v>4150.0</v>
      </c>
      <c r="D171" s="31">
        <v>2.3</v>
      </c>
      <c r="E171" s="31">
        <v>200.0</v>
      </c>
      <c r="F171" s="31">
        <v>415.0</v>
      </c>
      <c r="G171" s="31">
        <v>0.4</v>
      </c>
      <c r="H171" s="31">
        <v>20.0</v>
      </c>
      <c r="I171" s="31">
        <v>0.211</v>
      </c>
      <c r="J171" s="31">
        <v>1.1E-6</v>
      </c>
      <c r="K171" s="31">
        <v>3.5</v>
      </c>
      <c r="L171" s="31">
        <v>0.38</v>
      </c>
      <c r="M171" s="31">
        <v>255.0</v>
      </c>
      <c r="N171" s="31">
        <v>0.0036</v>
      </c>
      <c r="O171" s="31">
        <v>3.9</v>
      </c>
      <c r="P171" s="31">
        <v>0.0012</v>
      </c>
      <c r="Q171" s="31">
        <v>7.6E-6</v>
      </c>
      <c r="R171" s="31">
        <v>0.56</v>
      </c>
      <c r="S171" s="136">
        <v>2.0</v>
      </c>
      <c r="T171" s="14">
        <f>IF(A171="","",ARBITRAGES!M171)</f>
        <v>13321.358</v>
      </c>
      <c r="U171" s="417">
        <f>IF(A171="","",B171*'QUANTITE DETENUES'!B171+'QUANTITE DETENUES'!C171*C171+'QUANTITE DETENUES'!D171*D171+E171*'QUANTITE DETENUES'!E171+'QUANTITE DETENUES'!F171*F171+G171*'QUANTITE DETENUES'!G171+'QUANTITE DETENUES'!H171*H171+I171*'QUANTITE DETENUES'!I171+'QUANTITE DETENUES'!J171*J171+K171*'QUANTITE DETENUES'!K171+'QUANTITE DETENUES'!L171*L171+M171*'QUANTITE DETENUES'!M171+'QUANTITE DETENUES'!N171*N171+O171*'QUANTITE DETENUES'!O171+T171+P171*'QUANTITE DETENUES'!P171+'QUANTITE DETENUES'!Q171*Q171+R171*'QUANTITE DETENUES'!R171+'QUANTITE DETENUES'!S171*S171)</f>
        <v>60279.58169</v>
      </c>
      <c r="V171" s="288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308"/>
      <c r="AH171" s="220"/>
      <c r="AI171" s="220"/>
      <c r="AJ171" s="220"/>
      <c r="AK171" s="220"/>
      <c r="AL171" s="220"/>
      <c r="AM171" s="220"/>
    </row>
    <row r="172">
      <c r="A172" s="409">
        <f>IF(ARBITRAGES!E172="","",ARBITRAGES!E172)</f>
        <v>45945</v>
      </c>
      <c r="B172" s="31">
        <v>111111.0</v>
      </c>
      <c r="C172" s="31">
        <v>4000.0</v>
      </c>
      <c r="D172" s="31">
        <v>2.25</v>
      </c>
      <c r="E172" s="31">
        <v>200.0</v>
      </c>
      <c r="F172" s="31">
        <v>400.0</v>
      </c>
      <c r="G172" s="31">
        <v>0.4</v>
      </c>
      <c r="H172" s="31">
        <v>18.21</v>
      </c>
      <c r="I172" s="31">
        <v>0.2</v>
      </c>
      <c r="J172" s="31">
        <v>1.0E-5</v>
      </c>
      <c r="K172" s="31">
        <v>3.4</v>
      </c>
      <c r="L172" s="31">
        <v>0.36</v>
      </c>
      <c r="M172" s="31">
        <v>245.0</v>
      </c>
      <c r="N172" s="31">
        <v>0.0034</v>
      </c>
      <c r="O172" s="31">
        <v>3.35</v>
      </c>
      <c r="P172" s="31">
        <v>0.00113</v>
      </c>
      <c r="Q172" s="31">
        <v>7.0E-6</v>
      </c>
      <c r="R172" s="31">
        <v>0.55</v>
      </c>
      <c r="S172" s="136">
        <v>1.95</v>
      </c>
      <c r="T172" s="14">
        <f>IF(A172="","",ARBITRAGES!M172)</f>
        <v>13543.858</v>
      </c>
      <c r="U172" s="417">
        <f>IF(A172="","",B172*'QUANTITE DETENUES'!B172+'QUANTITE DETENUES'!C172*C172+'QUANTITE DETENUES'!D172*D172+E172*'QUANTITE DETENUES'!E172+'QUANTITE DETENUES'!F172*F172+G172*'QUANTITE DETENUES'!G172+'QUANTITE DETENUES'!H172*H172+I172*'QUANTITE DETENUES'!I172+'QUANTITE DETENUES'!J172*J172+K172*'QUANTITE DETENUES'!K172+'QUANTITE DETENUES'!L172*L172+M172*'QUANTITE DETENUES'!M172+'QUANTITE DETENUES'!N172*N172+O172*'QUANTITE DETENUES'!O172+T172+P172*'QUANTITE DETENUES'!P172+'QUANTITE DETENUES'!Q172*Q172+R172*'QUANTITE DETENUES'!R172+'QUANTITE DETENUES'!S172*S172)</f>
        <v>58802.78132</v>
      </c>
      <c r="V172" s="288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308"/>
      <c r="AH172" s="220"/>
      <c r="AI172" s="220"/>
      <c r="AJ172" s="220"/>
      <c r="AK172" s="220"/>
      <c r="AL172" s="220"/>
      <c r="AM172" s="220"/>
    </row>
    <row r="173">
      <c r="A173" s="409">
        <f>IF(ARBITRAGES!E173="","",ARBITRAGES!E173)</f>
        <v>45949</v>
      </c>
      <c r="B173" s="31">
        <v>111500.0</v>
      </c>
      <c r="C173" s="31">
        <v>4070.0</v>
      </c>
      <c r="D173" s="31">
        <v>2.25</v>
      </c>
      <c r="E173" s="31">
        <v>195.0</v>
      </c>
      <c r="F173" s="31">
        <v>455.0</v>
      </c>
      <c r="G173" s="31">
        <v>0.39</v>
      </c>
      <c r="H173" s="31">
        <v>18.0</v>
      </c>
      <c r="I173" s="31">
        <v>0.201</v>
      </c>
      <c r="J173" s="31">
        <v>1.0E-5</v>
      </c>
      <c r="K173" s="31">
        <v>3.0</v>
      </c>
      <c r="L173" s="31">
        <v>0.36</v>
      </c>
      <c r="M173" s="31">
        <v>230.0</v>
      </c>
      <c r="N173" s="31">
        <v>0.0034</v>
      </c>
      <c r="O173" s="31">
        <v>3.26</v>
      </c>
      <c r="P173" s="31">
        <v>0.0011</v>
      </c>
      <c r="Q173" s="31">
        <v>7.0E-6</v>
      </c>
      <c r="R173" s="31">
        <v>0.55</v>
      </c>
      <c r="S173" s="136">
        <v>1.95</v>
      </c>
      <c r="T173" s="14">
        <f>IF(A173="","",ARBITRAGES!M173)</f>
        <v>13768.858</v>
      </c>
      <c r="U173" s="417">
        <f>IF(A173="","",B173*'QUANTITE DETENUES'!B173+'QUANTITE DETENUES'!C173*C173+'QUANTITE DETENUES'!D173*D173+E173*'QUANTITE DETENUES'!E173+'QUANTITE DETENUES'!F173*F173+G173*'QUANTITE DETENUES'!G173+'QUANTITE DETENUES'!H173*H173+I173*'QUANTITE DETENUES'!I173+'QUANTITE DETENUES'!J173*J173+K173*'QUANTITE DETENUES'!K173+'QUANTITE DETENUES'!L173*L173+M173*'QUANTITE DETENUES'!M173+'QUANTITE DETENUES'!N173*N173+O173*'QUANTITE DETENUES'!O173+T173+P173*'QUANTITE DETENUES'!P173+'QUANTITE DETENUES'!Q173*Q173+R173*'QUANTITE DETENUES'!R173+'QUANTITE DETENUES'!S173*S173)</f>
        <v>59403.42487</v>
      </c>
      <c r="V173" s="288"/>
      <c r="W173" s="220"/>
      <c r="X173" s="220"/>
      <c r="Y173" s="220"/>
      <c r="Z173" s="220"/>
      <c r="AA173" s="220"/>
      <c r="AB173" s="220"/>
      <c r="AC173" s="220"/>
      <c r="AD173" s="220"/>
      <c r="AE173" s="220"/>
      <c r="AF173" s="220"/>
      <c r="AG173" s="308"/>
      <c r="AH173" s="220"/>
      <c r="AI173" s="220"/>
      <c r="AJ173" s="220"/>
      <c r="AK173" s="220"/>
      <c r="AL173" s="220"/>
      <c r="AM173" s="220"/>
    </row>
    <row r="174">
      <c r="A174" s="409">
        <f>IF(ARBITRAGES!E174="","",ARBITRAGES!E174)</f>
        <v>45950</v>
      </c>
      <c r="B174" s="31">
        <v>111500.0</v>
      </c>
      <c r="C174" s="31">
        <v>4070.0</v>
      </c>
      <c r="D174" s="31">
        <v>2.25</v>
      </c>
      <c r="E174" s="31">
        <v>195.0</v>
      </c>
      <c r="F174" s="31">
        <v>455.0</v>
      </c>
      <c r="G174" s="31">
        <v>0.39</v>
      </c>
      <c r="H174" s="31">
        <v>18.0</v>
      </c>
      <c r="I174" s="31">
        <v>0.201</v>
      </c>
      <c r="J174" s="31">
        <v>1.0E-5</v>
      </c>
      <c r="K174" s="31">
        <v>3.0</v>
      </c>
      <c r="L174" s="31">
        <v>0.36</v>
      </c>
      <c r="M174" s="31">
        <v>230.0</v>
      </c>
      <c r="N174" s="31">
        <v>0.0034</v>
      </c>
      <c r="O174" s="31">
        <v>3.26</v>
      </c>
      <c r="P174" s="31">
        <v>0.0011</v>
      </c>
      <c r="Q174" s="31">
        <v>7.0E-6</v>
      </c>
      <c r="R174" s="31">
        <v>0.55</v>
      </c>
      <c r="S174" s="136">
        <v>1.95</v>
      </c>
      <c r="T174" s="14">
        <f>IF(A174="","",ARBITRAGES!M174)</f>
        <v>13997.358</v>
      </c>
      <c r="U174" s="417">
        <f>IF(A174="","",B174*'QUANTITE DETENUES'!B174+'QUANTITE DETENUES'!C174*C174+'QUANTITE DETENUES'!D174*D174+E174*'QUANTITE DETENUES'!E174+'QUANTITE DETENUES'!F174*F174+G174*'QUANTITE DETENUES'!G174+'QUANTITE DETENUES'!H174*H174+I174*'QUANTITE DETENUES'!I174+'QUANTITE DETENUES'!J174*J174+K174*'QUANTITE DETENUES'!K174+'QUANTITE DETENUES'!L174*L174+M174*'QUANTITE DETENUES'!M174+'QUANTITE DETENUES'!N174*N174+O174*'QUANTITE DETENUES'!O174+T174+P174*'QUANTITE DETENUES'!P174+'QUANTITE DETENUES'!Q174*Q174+R174*'QUANTITE DETENUES'!R174+'QUANTITE DETENUES'!S174*S174)</f>
        <v>59404.42487</v>
      </c>
      <c r="V174" s="288"/>
      <c r="W174" s="220"/>
      <c r="X174" s="220"/>
      <c r="Y174" s="220"/>
      <c r="Z174" s="220"/>
      <c r="AA174" s="220"/>
      <c r="AB174" s="220"/>
      <c r="AC174" s="220"/>
      <c r="AD174" s="220"/>
      <c r="AE174" s="220"/>
      <c r="AF174" s="220"/>
      <c r="AG174" s="308"/>
      <c r="AH174" s="220"/>
      <c r="AI174" s="220"/>
      <c r="AJ174" s="220"/>
      <c r="AK174" s="220"/>
      <c r="AL174" s="220"/>
      <c r="AM174" s="220"/>
    </row>
    <row r="175">
      <c r="A175" s="409">
        <f>IF(ARBITRAGES!E175="","",ARBITRAGES!E175)</f>
        <v>45952</v>
      </c>
      <c r="B175" s="31">
        <v>108200.0</v>
      </c>
      <c r="C175" s="31">
        <v>3850.0</v>
      </c>
      <c r="D175" s="31">
        <v>2.15</v>
      </c>
      <c r="E175" s="31">
        <v>185.0</v>
      </c>
      <c r="F175" s="31">
        <v>390.0</v>
      </c>
      <c r="G175" s="31">
        <v>0.37</v>
      </c>
      <c r="H175" s="31">
        <v>17.6</v>
      </c>
      <c r="I175" s="31">
        <v>0.192</v>
      </c>
      <c r="J175" s="31">
        <v>1.0E-5</v>
      </c>
      <c r="K175" s="31">
        <v>2.75</v>
      </c>
      <c r="L175" s="31">
        <v>0.35</v>
      </c>
      <c r="M175" s="31">
        <v>220.0</v>
      </c>
      <c r="N175" s="31">
        <v>0.0033</v>
      </c>
      <c r="O175" s="31">
        <v>3.2</v>
      </c>
      <c r="P175" s="31">
        <v>0.001</v>
      </c>
      <c r="Q175" s="31">
        <v>7.0E-6</v>
      </c>
      <c r="R175" s="31">
        <v>0.51</v>
      </c>
      <c r="S175" s="136">
        <v>1.77</v>
      </c>
      <c r="T175" s="14">
        <f>IF(A175="","",ARBITRAGES!M175)</f>
        <v>14564.6059</v>
      </c>
      <c r="U175" s="417">
        <f>IF(A175="","",B175*'QUANTITE DETENUES'!B175+'QUANTITE DETENUES'!C175*C175+'QUANTITE DETENUES'!D175*D175+E175*'QUANTITE DETENUES'!E175+'QUANTITE DETENUES'!F175*F175+G175*'QUANTITE DETENUES'!G175+'QUANTITE DETENUES'!H175*H175+I175*'QUANTITE DETENUES'!I175+'QUANTITE DETENUES'!J175*J175+K175*'QUANTITE DETENUES'!K175+'QUANTITE DETENUES'!L175*L175+M175*'QUANTITE DETENUES'!M175+'QUANTITE DETENUES'!N175*N175+O175*'QUANTITE DETENUES'!O175+T175+P175*'QUANTITE DETENUES'!P175+'QUANTITE DETENUES'!Q175*Q175+R175*'QUANTITE DETENUES'!R175+'QUANTITE DETENUES'!S175*S175)</f>
        <v>57209.62094</v>
      </c>
      <c r="V175" s="288"/>
      <c r="W175" s="220"/>
      <c r="X175" s="220"/>
      <c r="Y175" s="220"/>
      <c r="Z175" s="220"/>
      <c r="AA175" s="220"/>
      <c r="AB175" s="220"/>
      <c r="AC175" s="220"/>
      <c r="AD175" s="220"/>
      <c r="AE175" s="220"/>
      <c r="AF175" s="220"/>
      <c r="AG175" s="308"/>
      <c r="AH175" s="220"/>
      <c r="AI175" s="220"/>
      <c r="AJ175" s="220"/>
      <c r="AK175" s="220"/>
      <c r="AL175" s="220"/>
      <c r="AM175" s="220"/>
    </row>
    <row r="176">
      <c r="A176" s="409">
        <f>IF(ARBITRAGES!E176="","",ARBITRAGES!E176)</f>
        <v>45953</v>
      </c>
      <c r="B176" s="31">
        <v>110500.0</v>
      </c>
      <c r="C176" s="31">
        <v>3900.0</v>
      </c>
      <c r="D176" s="31">
        <v>2.2</v>
      </c>
      <c r="E176" s="31">
        <v>191.0</v>
      </c>
      <c r="F176" s="31">
        <v>385.0</v>
      </c>
      <c r="G176" s="31">
        <v>0.375</v>
      </c>
      <c r="H176" s="31">
        <v>17.7</v>
      </c>
      <c r="I176" s="31">
        <v>0.195</v>
      </c>
      <c r="J176" s="31">
        <v>1.0E-5</v>
      </c>
      <c r="K176" s="31">
        <v>2.65</v>
      </c>
      <c r="L176" s="31">
        <v>0.37</v>
      </c>
      <c r="M176" s="31">
        <v>230.0</v>
      </c>
      <c r="N176" s="31">
        <v>0.0032</v>
      </c>
      <c r="O176" s="31">
        <v>3.15</v>
      </c>
      <c r="P176" s="31">
        <v>0.001</v>
      </c>
      <c r="Q176" s="31">
        <v>7.0E-6</v>
      </c>
      <c r="R176" s="31">
        <v>0.53</v>
      </c>
      <c r="S176" s="136">
        <v>1.78</v>
      </c>
      <c r="T176" s="14">
        <f>IF(A176="","",ARBITRAGES!M176)</f>
        <v>14733.61277</v>
      </c>
      <c r="U176" s="417">
        <f>IF(A176="","",B176*'QUANTITE DETENUES'!B176+'QUANTITE DETENUES'!C176*C176+'QUANTITE DETENUES'!D176*D176+E176*'QUANTITE DETENUES'!E176+'QUANTITE DETENUES'!F176*F176+G176*'QUANTITE DETENUES'!G176+'QUANTITE DETENUES'!H176*H176+I176*'QUANTITE DETENUES'!I176+'QUANTITE DETENUES'!J176*J176+K176*'QUANTITE DETENUES'!K176+'QUANTITE DETENUES'!L176*L176+M176*'QUANTITE DETENUES'!M176+'QUANTITE DETENUES'!N176*N176+O176*'QUANTITE DETENUES'!O176+T176+P176*'QUANTITE DETENUES'!P176+'QUANTITE DETENUES'!Q176*Q176+R176*'QUANTITE DETENUES'!R176+'QUANTITE DETENUES'!S176*S176)</f>
        <v>57908.82315</v>
      </c>
      <c r="V176" s="288"/>
      <c r="W176" s="220"/>
      <c r="X176" s="220"/>
      <c r="Y176" s="220"/>
      <c r="Z176" s="220"/>
      <c r="AA176" s="220"/>
      <c r="AB176" s="220"/>
      <c r="AC176" s="220"/>
      <c r="AD176" s="220"/>
      <c r="AE176" s="220"/>
      <c r="AF176" s="220"/>
      <c r="AG176" s="308"/>
      <c r="AH176" s="220"/>
      <c r="AI176" s="220"/>
      <c r="AJ176" s="220"/>
      <c r="AK176" s="220"/>
      <c r="AL176" s="220"/>
      <c r="AM176" s="220"/>
    </row>
    <row r="177">
      <c r="A177" s="409">
        <f>IF(ARBITRAGES!E177="","",ARBITRAGES!E177)</f>
        <v>45957</v>
      </c>
      <c r="B177" s="31">
        <v>114500.0</v>
      </c>
      <c r="C177" s="31">
        <v>4150.0</v>
      </c>
      <c r="D177" s="31">
        <v>2.28</v>
      </c>
      <c r="E177" s="31">
        <v>200.0</v>
      </c>
      <c r="F177" s="31">
        <v>450.0</v>
      </c>
      <c r="G177" s="31">
        <v>0.36</v>
      </c>
      <c r="H177" s="31">
        <v>18.5</v>
      </c>
      <c r="I177" s="31">
        <v>0.195</v>
      </c>
      <c r="J177" s="31">
        <v>1.05E-5</v>
      </c>
      <c r="K177" s="31">
        <v>2.7</v>
      </c>
      <c r="L177" s="31">
        <v>0.437</v>
      </c>
      <c r="M177" s="31">
        <v>230.0</v>
      </c>
      <c r="N177" s="31">
        <v>5.0</v>
      </c>
      <c r="O177" s="31">
        <v>3.3</v>
      </c>
      <c r="P177" s="31">
        <v>0.0011</v>
      </c>
      <c r="Q177" s="31">
        <v>7.18E-6</v>
      </c>
      <c r="R177" s="31">
        <v>0.55</v>
      </c>
      <c r="S177" s="136">
        <v>1.85</v>
      </c>
      <c r="T177" s="14">
        <f>IF(A177="","",ARBITRAGES!M177)</f>
        <v>15878.61277</v>
      </c>
      <c r="U177" s="417">
        <f>IF(A177="","",B177*'QUANTITE DETENUES'!B177+'QUANTITE DETENUES'!C177*C177+'QUANTITE DETENUES'!D177*D177+E177*'QUANTITE DETENUES'!E177+'QUANTITE DETENUES'!F177*F177+G177*'QUANTITE DETENUES'!G177+'QUANTITE DETENUES'!H177*H177+I177*'QUANTITE DETENUES'!I177+'QUANTITE DETENUES'!J177*J177+K177*'QUANTITE DETENUES'!K177+'QUANTITE DETENUES'!L177*L177+M177*'QUANTITE DETENUES'!M177+'QUANTITE DETENUES'!N177*N177+O177*'QUANTITE DETENUES'!O177+T177+P177*'QUANTITE DETENUES'!P177+'QUANTITE DETENUES'!Q177*Q177+R177*'QUANTITE DETENUES'!R177+'QUANTITE DETENUES'!S177*S177)</f>
        <v>60211.62415</v>
      </c>
      <c r="V177" s="288"/>
      <c r="W177" s="220"/>
      <c r="X177" s="220"/>
      <c r="Y177" s="220"/>
      <c r="Z177" s="220"/>
      <c r="AA177" s="220"/>
      <c r="AB177" s="220"/>
      <c r="AC177" s="220"/>
      <c r="AD177" s="220"/>
      <c r="AE177" s="220"/>
      <c r="AF177" s="220"/>
      <c r="AG177" s="308"/>
      <c r="AH177" s="220"/>
      <c r="AI177" s="220"/>
      <c r="AJ177" s="220"/>
      <c r="AK177" s="220"/>
      <c r="AL177" s="220"/>
      <c r="AM177" s="220"/>
    </row>
    <row r="178">
      <c r="A178" s="409">
        <f>IF(ARBITRAGES!E178="","",ARBITRAGES!E178)</f>
        <v>45957</v>
      </c>
      <c r="B178" s="31">
        <v>114500.0</v>
      </c>
      <c r="C178" s="31">
        <v>4150.0</v>
      </c>
      <c r="D178" s="31">
        <v>2.28</v>
      </c>
      <c r="E178" s="31">
        <v>200.0</v>
      </c>
      <c r="F178" s="31">
        <v>450.0</v>
      </c>
      <c r="G178" s="31">
        <v>0.36</v>
      </c>
      <c r="H178" s="31">
        <v>18.5</v>
      </c>
      <c r="I178" s="31">
        <v>0.195</v>
      </c>
      <c r="J178" s="31">
        <v>1.05E-5</v>
      </c>
      <c r="K178" s="31">
        <v>2.7</v>
      </c>
      <c r="L178" s="31">
        <v>0.437</v>
      </c>
      <c r="M178" s="31">
        <v>230.0</v>
      </c>
      <c r="N178" s="31">
        <v>5.0</v>
      </c>
      <c r="O178" s="31">
        <v>3.3</v>
      </c>
      <c r="P178" s="31">
        <v>0.0011</v>
      </c>
      <c r="Q178" s="31">
        <v>7.18E-6</v>
      </c>
      <c r="R178" s="31">
        <v>0.55</v>
      </c>
      <c r="S178" s="136">
        <v>1.85</v>
      </c>
      <c r="T178" s="14">
        <f>IF(A178="","",ARBITRAGES!M178)</f>
        <v>16703.61277</v>
      </c>
      <c r="U178" s="417">
        <f>IF(A178="","",B178*'QUANTITE DETENUES'!B178+'QUANTITE DETENUES'!C178*C178+'QUANTITE DETENUES'!D178*D178+E178*'QUANTITE DETENUES'!E178+'QUANTITE DETENUES'!F178*F178+G178*'QUANTITE DETENUES'!G178+'QUANTITE DETENUES'!H178*H178+I178*'QUANTITE DETENUES'!I178+'QUANTITE DETENUES'!J178*J178+K178*'QUANTITE DETENUES'!K178+'QUANTITE DETENUES'!L178*L178+M178*'QUANTITE DETENUES'!M178+'QUANTITE DETENUES'!N178*N178+O178*'QUANTITE DETENUES'!O178+T178+P178*'QUANTITE DETENUES'!P178+'QUANTITE DETENUES'!Q178*Q178+R178*'QUANTITE DETENUES'!R178+'QUANTITE DETENUES'!S178*S178)</f>
        <v>60206.62415</v>
      </c>
      <c r="V178" s="288"/>
      <c r="W178" s="220"/>
      <c r="X178" s="220"/>
      <c r="Y178" s="220"/>
      <c r="Z178" s="220"/>
      <c r="AA178" s="220"/>
      <c r="AB178" s="220"/>
      <c r="AC178" s="220"/>
      <c r="AD178" s="220"/>
      <c r="AE178" s="220"/>
      <c r="AF178" s="220"/>
      <c r="AG178" s="308"/>
      <c r="AH178" s="220"/>
      <c r="AI178" s="220"/>
      <c r="AJ178" s="220"/>
      <c r="AK178" s="220"/>
      <c r="AL178" s="220"/>
      <c r="AM178" s="220"/>
    </row>
    <row r="179">
      <c r="A179" s="409">
        <f>IF(ARBITRAGES!E179="","",ARBITRAGES!E179)</f>
        <v>45958</v>
      </c>
      <c r="B179" s="31">
        <v>114500.0</v>
      </c>
      <c r="C179" s="31">
        <v>4150.0</v>
      </c>
      <c r="D179" s="31">
        <v>2.28</v>
      </c>
      <c r="E179" s="31">
        <v>200.0</v>
      </c>
      <c r="F179" s="31">
        <v>450.0</v>
      </c>
      <c r="G179" s="31">
        <v>0.36</v>
      </c>
      <c r="H179" s="31">
        <v>18.5</v>
      </c>
      <c r="I179" s="31">
        <v>0.195</v>
      </c>
      <c r="J179" s="31">
        <v>1.05E-5</v>
      </c>
      <c r="K179" s="31">
        <v>2.7</v>
      </c>
      <c r="L179" s="31">
        <v>0.437</v>
      </c>
      <c r="M179" s="31">
        <v>230.0</v>
      </c>
      <c r="N179" s="31">
        <v>5.0</v>
      </c>
      <c r="O179" s="31">
        <v>3.3</v>
      </c>
      <c r="P179" s="31">
        <v>0.0011</v>
      </c>
      <c r="Q179" s="31">
        <v>7.18E-6</v>
      </c>
      <c r="R179" s="31">
        <v>0.55</v>
      </c>
      <c r="S179" s="136">
        <v>1.85</v>
      </c>
      <c r="T179" s="14">
        <f>IF(A179="","",ARBITRAGES!M179)</f>
        <v>17183.61277</v>
      </c>
      <c r="U179" s="417">
        <f>IF(A179="","",B179*'QUANTITE DETENUES'!B179+'QUANTITE DETENUES'!C179*C179+'QUANTITE DETENUES'!D179*D179+E179*'QUANTITE DETENUES'!E179+'QUANTITE DETENUES'!F179*F179+G179*'QUANTITE DETENUES'!G179+'QUANTITE DETENUES'!H179*H179+I179*'QUANTITE DETENUES'!I179+'QUANTITE DETENUES'!J179*J179+K179*'QUANTITE DETENUES'!K179+'QUANTITE DETENUES'!L179*L179+M179*'QUANTITE DETENUES'!M179+'QUANTITE DETENUES'!N179*N179+O179*'QUANTITE DETENUES'!O179+T179+P179*'QUANTITE DETENUES'!P179+'QUANTITE DETENUES'!Q179*Q179+R179*'QUANTITE DETENUES'!R179+'QUANTITE DETENUES'!S179*S179)</f>
        <v>60237.52415</v>
      </c>
      <c r="V179" s="288"/>
      <c r="W179" s="220"/>
      <c r="X179" s="220"/>
      <c r="Y179" s="220"/>
      <c r="Z179" s="220"/>
      <c r="AA179" s="220"/>
      <c r="AB179" s="220"/>
      <c r="AC179" s="220"/>
      <c r="AD179" s="220"/>
      <c r="AE179" s="220"/>
      <c r="AF179" s="220"/>
      <c r="AG179" s="308"/>
      <c r="AH179" s="220"/>
      <c r="AI179" s="220"/>
      <c r="AJ179" s="220"/>
      <c r="AK179" s="220"/>
      <c r="AL179" s="220"/>
      <c r="AM179" s="220"/>
    </row>
    <row r="180">
      <c r="A180" s="409">
        <f>IF(ARBITRAGES!E180="","",ARBITRAGES!E180)</f>
        <v>45960</v>
      </c>
      <c r="B180" s="31">
        <v>111000.0</v>
      </c>
      <c r="C180" s="31">
        <v>3900.0</v>
      </c>
      <c r="D180" s="31">
        <v>2.25</v>
      </c>
      <c r="E180" s="31">
        <v>190.0</v>
      </c>
      <c r="F180" s="31">
        <v>475.0</v>
      </c>
      <c r="G180" s="31">
        <v>0.33</v>
      </c>
      <c r="H180" s="31">
        <v>17.5</v>
      </c>
      <c r="I180" s="31">
        <v>0.187</v>
      </c>
      <c r="J180" s="31">
        <v>1.0E-5</v>
      </c>
      <c r="K180" s="31">
        <v>2.45</v>
      </c>
      <c r="L180" s="31">
        <v>0.405</v>
      </c>
      <c r="M180" s="31">
        <v>220.0</v>
      </c>
      <c r="N180" s="31">
        <v>0.0031</v>
      </c>
      <c r="O180" s="31">
        <v>3.1</v>
      </c>
      <c r="P180" s="31">
        <v>0.001</v>
      </c>
      <c r="Q180" s="31">
        <v>6.5E-6</v>
      </c>
      <c r="R180" s="31">
        <v>0.5</v>
      </c>
      <c r="S180" s="136">
        <v>1.7</v>
      </c>
      <c r="T180" s="14">
        <f>IF(A180="","",ARBITRAGES!M180)</f>
        <v>17648.61277</v>
      </c>
      <c r="U180" s="417">
        <f>IF(A180="","",B180*'QUANTITE DETENUES'!B180+'QUANTITE DETENUES'!C180*C180+'QUANTITE DETENUES'!D180*D180+E180*'QUANTITE DETENUES'!E180+'QUANTITE DETENUES'!F180*F180+G180*'QUANTITE DETENUES'!G180+'QUANTITE DETENUES'!H180*H180+I180*'QUANTITE DETENUES'!I180+'QUANTITE DETENUES'!J180*J180+K180*'QUANTITE DETENUES'!K180+'QUANTITE DETENUES'!L180*L180+M180*'QUANTITE DETENUES'!M180+'QUANTITE DETENUES'!N180*N180+O180*'QUANTITE DETENUES'!O180+T180+P180*'QUANTITE DETENUES'!P180+'QUANTITE DETENUES'!Q180*Q180+R180*'QUANTITE DETENUES'!R180+'QUANTITE DETENUES'!S180*S180)</f>
        <v>58892.85713</v>
      </c>
      <c r="V180" s="288"/>
      <c r="W180" s="220"/>
      <c r="X180" s="220"/>
      <c r="Y180" s="220"/>
      <c r="Z180" s="220"/>
      <c r="AA180" s="220"/>
      <c r="AB180" s="220"/>
      <c r="AC180" s="220"/>
      <c r="AD180" s="220"/>
      <c r="AE180" s="220"/>
      <c r="AF180" s="220"/>
      <c r="AG180" s="308"/>
      <c r="AH180" s="220"/>
      <c r="AI180" s="220"/>
      <c r="AJ180" s="220"/>
      <c r="AK180" s="220"/>
      <c r="AL180" s="220"/>
      <c r="AM180" s="220"/>
    </row>
    <row r="181">
      <c r="A181" s="409">
        <f>IF(ARBITRAGES!E181="","",ARBITRAGES!E181)</f>
        <v>45961</v>
      </c>
      <c r="B181" s="31">
        <v>111000.0</v>
      </c>
      <c r="C181" s="31">
        <v>3900.0</v>
      </c>
      <c r="D181" s="31">
        <v>2.25</v>
      </c>
      <c r="E181" s="31">
        <v>190.0</v>
      </c>
      <c r="F181" s="31">
        <v>475.0</v>
      </c>
      <c r="G181" s="31">
        <v>0.33</v>
      </c>
      <c r="H181" s="31">
        <v>17.5</v>
      </c>
      <c r="I181" s="31">
        <v>0.187</v>
      </c>
      <c r="J181" s="31">
        <v>1.0E-5</v>
      </c>
      <c r="K181" s="31">
        <v>2.45</v>
      </c>
      <c r="L181" s="31">
        <v>0.405</v>
      </c>
      <c r="M181" s="31">
        <v>220.0</v>
      </c>
      <c r="N181" s="31">
        <v>0.0031</v>
      </c>
      <c r="O181" s="31">
        <v>3.1</v>
      </c>
      <c r="P181" s="31">
        <v>0.001</v>
      </c>
      <c r="Q181" s="31">
        <v>6.5E-6</v>
      </c>
      <c r="R181" s="31">
        <v>0.5</v>
      </c>
      <c r="S181" s="136">
        <v>1.7</v>
      </c>
      <c r="T181" s="14">
        <f>IF(A181="","",ARBITRAGES!M181)</f>
        <v>18353.61277</v>
      </c>
      <c r="U181" s="417">
        <f>IF(A181="","",B181*'QUANTITE DETENUES'!B181+'QUANTITE DETENUES'!C181*C181+'QUANTITE DETENUES'!D181*D181+E181*'QUANTITE DETENUES'!E181+'QUANTITE DETENUES'!F181*F181+G181*'QUANTITE DETENUES'!G181+'QUANTITE DETENUES'!H181*H181+I181*'QUANTITE DETENUES'!I181+'QUANTITE DETENUES'!J181*J181+K181*'QUANTITE DETENUES'!K181+'QUANTITE DETENUES'!L181*L181+M181*'QUANTITE DETENUES'!M181+'QUANTITE DETENUES'!N181*N181+O181*'QUANTITE DETENUES'!O181+T181+P181*'QUANTITE DETENUES'!P181+'QUANTITE DETENUES'!Q181*Q181+R181*'QUANTITE DETENUES'!R181+'QUANTITE DETENUES'!S181*S181)</f>
        <v>58886.30713</v>
      </c>
      <c r="V181" s="288"/>
      <c r="W181" s="220"/>
      <c r="X181" s="220"/>
      <c r="Y181" s="220"/>
      <c r="Z181" s="220"/>
      <c r="AA181" s="220"/>
      <c r="AB181" s="220"/>
      <c r="AC181" s="220"/>
      <c r="AD181" s="220"/>
      <c r="AE181" s="220"/>
      <c r="AF181" s="220"/>
      <c r="AG181" s="308"/>
      <c r="AH181" s="220"/>
      <c r="AI181" s="220"/>
      <c r="AJ181" s="220"/>
      <c r="AK181" s="220"/>
      <c r="AL181" s="220"/>
      <c r="AM181" s="220"/>
    </row>
    <row r="182">
      <c r="A182" s="409">
        <f>IF(ARBITRAGES!E182="","",ARBITRAGES!E182)</f>
        <v>45961</v>
      </c>
      <c r="B182" s="31">
        <v>111000.0</v>
      </c>
      <c r="C182" s="31">
        <v>3900.0</v>
      </c>
      <c r="D182" s="31">
        <v>2.25</v>
      </c>
      <c r="E182" s="31">
        <v>190.0</v>
      </c>
      <c r="F182" s="31">
        <v>475.0</v>
      </c>
      <c r="G182" s="31">
        <v>0.33</v>
      </c>
      <c r="H182" s="31">
        <v>17.5</v>
      </c>
      <c r="I182" s="31">
        <v>0.187</v>
      </c>
      <c r="J182" s="31">
        <v>1.0E-5</v>
      </c>
      <c r="K182" s="31">
        <v>2.45</v>
      </c>
      <c r="L182" s="31">
        <v>0.405</v>
      </c>
      <c r="M182" s="31">
        <v>220.0</v>
      </c>
      <c r="N182" s="31">
        <v>0.0031</v>
      </c>
      <c r="O182" s="31">
        <v>3.1</v>
      </c>
      <c r="P182" s="31">
        <v>0.001</v>
      </c>
      <c r="Q182" s="31">
        <v>6.5E-6</v>
      </c>
      <c r="R182" s="31">
        <v>0.5</v>
      </c>
      <c r="S182" s="136">
        <v>1.7</v>
      </c>
      <c r="T182" s="14">
        <f>IF(A182="","",ARBITRAGES!M182)</f>
        <v>18753.61277</v>
      </c>
      <c r="U182" s="417">
        <f>IF(A182="","",B182*'QUANTITE DETENUES'!B182+'QUANTITE DETENUES'!C182*C182+'QUANTITE DETENUES'!D182*D182+E182*'QUANTITE DETENUES'!E182+'QUANTITE DETENUES'!F182*F182+G182*'QUANTITE DETENUES'!G182+'QUANTITE DETENUES'!H182*H182+I182*'QUANTITE DETENUES'!I182+'QUANTITE DETENUES'!J182*J182+K182*'QUANTITE DETENUES'!K182+'QUANTITE DETENUES'!L182*L182+M182*'QUANTITE DETENUES'!M182+'QUANTITE DETENUES'!N182*N182+O182*'QUANTITE DETENUES'!O182+T182+P182*'QUANTITE DETENUES'!P182+'QUANTITE DETENUES'!Q182*Q182+R182*'QUANTITE DETENUES'!R182+'QUANTITE DETENUES'!S182*S182)</f>
        <v>58907.25713</v>
      </c>
      <c r="V182" s="288"/>
      <c r="W182" s="220"/>
      <c r="X182" s="220"/>
      <c r="Y182" s="220"/>
      <c r="Z182" s="220"/>
      <c r="AA182" s="220"/>
      <c r="AB182" s="220"/>
      <c r="AC182" s="220"/>
      <c r="AD182" s="220"/>
      <c r="AE182" s="220"/>
      <c r="AF182" s="220"/>
      <c r="AG182" s="308"/>
      <c r="AH182" s="220"/>
      <c r="AI182" s="220"/>
      <c r="AJ182" s="220"/>
      <c r="AK182" s="220"/>
      <c r="AL182" s="220"/>
      <c r="AM182" s="220"/>
    </row>
    <row r="183">
      <c r="A183" s="409">
        <f>IF(ARBITRAGES!E183="","",ARBITRAGES!E183)</f>
        <v>45962</v>
      </c>
      <c r="B183" s="31">
        <v>110000.0</v>
      </c>
      <c r="C183" s="31">
        <v>3900.0</v>
      </c>
      <c r="D183" s="31">
        <v>2.3</v>
      </c>
      <c r="E183" s="31">
        <v>185.0</v>
      </c>
      <c r="F183" s="31">
        <v>530.0</v>
      </c>
      <c r="G183" s="31">
        <v>0.33</v>
      </c>
      <c r="H183" s="31">
        <v>17.5</v>
      </c>
      <c r="I183" s="31">
        <v>0.187</v>
      </c>
      <c r="J183" s="31">
        <v>1.0E-5</v>
      </c>
      <c r="K183" s="31">
        <v>2.5</v>
      </c>
      <c r="L183" s="31">
        <v>0.41</v>
      </c>
      <c r="M183" s="31">
        <v>225.0</v>
      </c>
      <c r="N183" s="31">
        <v>0.0032</v>
      </c>
      <c r="O183" s="31">
        <v>3.15</v>
      </c>
      <c r="P183" s="31">
        <v>0.001</v>
      </c>
      <c r="Q183" s="31">
        <v>6.5E-6</v>
      </c>
      <c r="R183" s="31">
        <v>0.5</v>
      </c>
      <c r="S183" s="136">
        <v>1.65</v>
      </c>
      <c r="T183" s="14">
        <f>IF(A183="","",ARBITRAGES!M183)</f>
        <v>19018.61277</v>
      </c>
      <c r="U183" s="417">
        <f>IF(A183="","",B183*'QUANTITE DETENUES'!B183+'QUANTITE DETENUES'!C183*C183+'QUANTITE DETENUES'!D183*D183+E183*'QUANTITE DETENUES'!E183+'QUANTITE DETENUES'!F183*F183+G183*'QUANTITE DETENUES'!G183+'QUANTITE DETENUES'!H183*H183+I183*'QUANTITE DETENUES'!I183+'QUANTITE DETENUES'!J183*J183+K183*'QUANTITE DETENUES'!K183+'QUANTITE DETENUES'!L183*L183+M183*'QUANTITE DETENUES'!M183+'QUANTITE DETENUES'!N183*N183+O183*'QUANTITE DETENUES'!O183+T183+P183*'QUANTITE DETENUES'!P183+'QUANTITE DETENUES'!Q183*Q183+R183*'QUANTITE DETENUES'!R183+'QUANTITE DETENUES'!S183*S183)</f>
        <v>59046.03016</v>
      </c>
      <c r="V183" s="288"/>
      <c r="W183" s="220"/>
      <c r="X183" s="220"/>
      <c r="Y183" s="220"/>
      <c r="Z183" s="220"/>
      <c r="AA183" s="220"/>
      <c r="AB183" s="220"/>
      <c r="AC183" s="220"/>
      <c r="AD183" s="220"/>
      <c r="AE183" s="220"/>
      <c r="AF183" s="220"/>
      <c r="AG183" s="308"/>
      <c r="AH183" s="220"/>
      <c r="AI183" s="220"/>
      <c r="AJ183" s="220"/>
      <c r="AK183" s="220"/>
      <c r="AL183" s="220"/>
      <c r="AM183" s="220"/>
    </row>
    <row r="184">
      <c r="A184" s="409">
        <f>IF(ARBITRAGES!E184="","",ARBITRAGES!E184)</f>
        <v>45963</v>
      </c>
      <c r="B184" s="31">
        <v>110000.0</v>
      </c>
      <c r="C184" s="31">
        <v>3900.0</v>
      </c>
      <c r="D184" s="31">
        <v>2.3</v>
      </c>
      <c r="E184" s="31">
        <v>185.0</v>
      </c>
      <c r="F184" s="31">
        <v>530.0</v>
      </c>
      <c r="G184" s="31">
        <v>0.33</v>
      </c>
      <c r="H184" s="31">
        <v>17.5</v>
      </c>
      <c r="I184" s="31">
        <v>0.187</v>
      </c>
      <c r="J184" s="31">
        <v>1.0E-5</v>
      </c>
      <c r="K184" s="31">
        <v>2.5</v>
      </c>
      <c r="L184" s="31">
        <v>0.41</v>
      </c>
      <c r="M184" s="31">
        <v>225.0</v>
      </c>
      <c r="N184" s="31">
        <v>0.0032</v>
      </c>
      <c r="O184" s="31">
        <v>3.15</v>
      </c>
      <c r="P184" s="31">
        <v>0.001</v>
      </c>
      <c r="Q184" s="31">
        <v>6.5E-6</v>
      </c>
      <c r="R184" s="31">
        <v>0.5</v>
      </c>
      <c r="S184" s="136">
        <v>1.65</v>
      </c>
      <c r="T184" s="14">
        <f>IF(A184="","",ARBITRAGES!M184)</f>
        <v>19228.37173</v>
      </c>
      <c r="U184" s="417">
        <f>IF(A184="","",B184*'QUANTITE DETENUES'!B184+'QUANTITE DETENUES'!C184*C184+'QUANTITE DETENUES'!D184*D184+E184*'QUANTITE DETENUES'!E184+'QUANTITE DETENUES'!F184*F184+G184*'QUANTITE DETENUES'!G184+'QUANTITE DETENUES'!H184*H184+I184*'QUANTITE DETENUES'!I184+'QUANTITE DETENUES'!J184*J184+K184*'QUANTITE DETENUES'!K184+'QUANTITE DETENUES'!L184*L184+M184*'QUANTITE DETENUES'!M184+'QUANTITE DETENUES'!N184*N184+O184*'QUANTITE DETENUES'!O184+T184+P184*'QUANTITE DETENUES'!P184+'QUANTITE DETENUES'!Q184*Q184+R184*'QUANTITE DETENUES'!R184+'QUANTITE DETENUES'!S184*S184)</f>
        <v>59050.75837</v>
      </c>
      <c r="V184" s="288"/>
      <c r="W184" s="220"/>
      <c r="X184" s="220"/>
      <c r="Y184" s="220"/>
      <c r="Z184" s="220"/>
      <c r="AA184" s="220"/>
      <c r="AB184" s="220"/>
      <c r="AC184" s="220"/>
      <c r="AD184" s="220"/>
      <c r="AE184" s="220"/>
      <c r="AF184" s="220"/>
      <c r="AG184" s="308"/>
      <c r="AH184" s="220"/>
      <c r="AI184" s="220"/>
      <c r="AJ184" s="220"/>
      <c r="AK184" s="220"/>
      <c r="AL184" s="220"/>
      <c r="AM184" s="220"/>
    </row>
    <row r="185">
      <c r="A185" s="409">
        <f>IF(ARBITRAGES!E185="","",ARBITRAGES!E185)</f>
        <v>45964</v>
      </c>
      <c r="B185" s="31">
        <v>100500.0</v>
      </c>
      <c r="C185" s="31">
        <v>3200.0</v>
      </c>
      <c r="D185" s="31">
        <v>1.9</v>
      </c>
      <c r="E185" s="31">
        <v>155.0</v>
      </c>
      <c r="F185" s="31">
        <v>400.0</v>
      </c>
      <c r="G185" s="31">
        <v>0.27</v>
      </c>
      <c r="H185" s="31">
        <v>14.25</v>
      </c>
      <c r="I185" s="31">
        <v>0.16</v>
      </c>
      <c r="J185" s="31">
        <v>8.7E-6</v>
      </c>
      <c r="K185" s="31">
        <v>2.15</v>
      </c>
      <c r="L185" s="31">
        <v>0.34</v>
      </c>
      <c r="M185" s="31">
        <v>190.0</v>
      </c>
      <c r="N185" s="31">
        <v>0.0028</v>
      </c>
      <c r="O185" s="31">
        <v>2.57</v>
      </c>
      <c r="P185" s="31">
        <v>8.0E-4</v>
      </c>
      <c r="Q185" s="31">
        <v>5.46E-6</v>
      </c>
      <c r="R185" s="31">
        <v>0.4</v>
      </c>
      <c r="S185" s="136">
        <v>1.4</v>
      </c>
      <c r="T185" s="14">
        <f>IF(A185="","",ARBITRAGES!M185)</f>
        <v>18928.37173</v>
      </c>
      <c r="U185" s="417">
        <f>IF(A185="","",B185*'QUANTITE DETENUES'!B185+'QUANTITE DETENUES'!C185*C185+'QUANTITE DETENUES'!D185*D185+E185*'QUANTITE DETENUES'!E185+'QUANTITE DETENUES'!F185*F185+G185*'QUANTITE DETENUES'!G185+'QUANTITE DETENUES'!H185*H185+I185*'QUANTITE DETENUES'!I185+'QUANTITE DETENUES'!J185*J185+K185*'QUANTITE DETENUES'!K185+'QUANTITE DETENUES'!L185*L185+M185*'QUANTITE DETENUES'!M185+'QUANTITE DETENUES'!N185*N185+O185*'QUANTITE DETENUES'!O185+T185+P185*'QUANTITE DETENUES'!P185+'QUANTITE DETENUES'!Q185*Q185+R185*'QUANTITE DETENUES'!R185+'QUANTITE DETENUES'!S185*S185)</f>
        <v>53780.20039</v>
      </c>
      <c r="V185" s="288"/>
      <c r="W185" s="220"/>
      <c r="X185" s="220"/>
      <c r="Y185" s="220"/>
      <c r="Z185" s="220"/>
      <c r="AA185" s="220"/>
      <c r="AB185" s="220"/>
      <c r="AC185" s="220"/>
      <c r="AD185" s="220"/>
      <c r="AE185" s="220"/>
      <c r="AF185" s="220"/>
      <c r="AG185" s="308"/>
      <c r="AH185" s="220"/>
      <c r="AI185" s="220"/>
      <c r="AJ185" s="220"/>
      <c r="AK185" s="220"/>
      <c r="AL185" s="220"/>
      <c r="AM185" s="220"/>
    </row>
    <row r="186">
      <c r="A186" s="409">
        <f>IF(ARBITRAGES!E186="","",ARBITRAGES!E186)</f>
        <v>45964</v>
      </c>
      <c r="B186" s="31">
        <v>100500.0</v>
      </c>
      <c r="C186" s="31">
        <v>3200.0</v>
      </c>
      <c r="D186" s="31">
        <v>1.9</v>
      </c>
      <c r="E186" s="31">
        <v>155.0</v>
      </c>
      <c r="F186" s="31">
        <v>400.0</v>
      </c>
      <c r="G186" s="31">
        <v>0.27</v>
      </c>
      <c r="H186" s="31">
        <v>14.25</v>
      </c>
      <c r="I186" s="31">
        <v>0.16</v>
      </c>
      <c r="J186" s="31">
        <v>8.7E-6</v>
      </c>
      <c r="K186" s="31">
        <v>2.15</v>
      </c>
      <c r="L186" s="31">
        <v>0.34</v>
      </c>
      <c r="M186" s="31">
        <v>190.0</v>
      </c>
      <c r="N186" s="31">
        <v>0.0028</v>
      </c>
      <c r="O186" s="31">
        <v>2.57</v>
      </c>
      <c r="P186" s="31">
        <v>8.0E-4</v>
      </c>
      <c r="Q186" s="31">
        <v>5.46E-6</v>
      </c>
      <c r="R186" s="31">
        <v>0.4</v>
      </c>
      <c r="S186" s="136">
        <v>1.4</v>
      </c>
      <c r="T186" s="14">
        <f>IF(A186="","",ARBITRAGES!M186)</f>
        <v>17928.37173</v>
      </c>
      <c r="U186" s="417">
        <f>IF(A186="","",B186*'QUANTITE DETENUES'!B186+'QUANTITE DETENUES'!C186*C186+'QUANTITE DETENUES'!D186*D186+E186*'QUANTITE DETENUES'!E186+'QUANTITE DETENUES'!F186*F186+G186*'QUANTITE DETENUES'!G186+'QUANTITE DETENUES'!H186*H186+I186*'QUANTITE DETENUES'!I186+'QUANTITE DETENUES'!J186*J186+K186*'QUANTITE DETENUES'!K186+'QUANTITE DETENUES'!L186*L186+M186*'QUANTITE DETENUES'!M186+'QUANTITE DETENUES'!N186*N186+O186*'QUANTITE DETENUES'!O186+T186+P186*'QUANTITE DETENUES'!P186+'QUANTITE DETENUES'!Q186*Q186+R186*'QUANTITE DETENUES'!R186+'QUANTITE DETENUES'!S186*S186)</f>
        <v>53785.70314</v>
      </c>
      <c r="V186" s="288"/>
      <c r="W186" s="220"/>
      <c r="X186" s="220"/>
      <c r="Y186" s="220"/>
      <c r="Z186" s="220"/>
      <c r="AA186" s="220"/>
      <c r="AB186" s="220"/>
      <c r="AC186" s="220"/>
      <c r="AD186" s="220"/>
      <c r="AE186" s="220"/>
      <c r="AF186" s="220"/>
      <c r="AG186" s="308"/>
      <c r="AH186" s="220"/>
      <c r="AI186" s="220"/>
      <c r="AJ186" s="220"/>
      <c r="AK186" s="220"/>
      <c r="AL186" s="220"/>
      <c r="AM186" s="220"/>
    </row>
    <row r="187">
      <c r="A187" s="409">
        <f>IF(ARBITRAGES!E187="","",ARBITRAGES!E187)</f>
        <v>45964</v>
      </c>
      <c r="B187" s="31">
        <v>100500.0</v>
      </c>
      <c r="C187" s="31">
        <v>3200.0</v>
      </c>
      <c r="D187" s="31">
        <v>1.9</v>
      </c>
      <c r="E187" s="31">
        <v>155.0</v>
      </c>
      <c r="F187" s="31">
        <v>400.0</v>
      </c>
      <c r="G187" s="31">
        <v>0.27</v>
      </c>
      <c r="H187" s="31">
        <v>14.25</v>
      </c>
      <c r="I187" s="31">
        <v>0.16</v>
      </c>
      <c r="J187" s="31">
        <v>8.7E-6</v>
      </c>
      <c r="K187" s="31">
        <v>2.15</v>
      </c>
      <c r="L187" s="31">
        <v>0.34</v>
      </c>
      <c r="M187" s="31">
        <v>190.0</v>
      </c>
      <c r="N187" s="31">
        <v>0.0028</v>
      </c>
      <c r="O187" s="31">
        <v>2.57</v>
      </c>
      <c r="P187" s="31">
        <v>8.0E-4</v>
      </c>
      <c r="Q187" s="31">
        <v>5.46E-6</v>
      </c>
      <c r="R187" s="31">
        <v>0.4</v>
      </c>
      <c r="S187" s="136">
        <v>1.4</v>
      </c>
      <c r="T187" s="14">
        <f>IF(A187="","",ARBITRAGES!M187)</f>
        <v>17525.37173</v>
      </c>
      <c r="U187" s="417">
        <f>IF(A187="","",B187*'QUANTITE DETENUES'!B187+'QUANTITE DETENUES'!C187*C187+'QUANTITE DETENUES'!D187*D187+E187*'QUANTITE DETENUES'!E187+'QUANTITE DETENUES'!F187*F187+G187*'QUANTITE DETENUES'!G187+'QUANTITE DETENUES'!H187*H187+I187*'QUANTITE DETENUES'!I187+'QUANTITE DETENUES'!J187*J187+K187*'QUANTITE DETENUES'!K187+'QUANTITE DETENUES'!L187*L187+M187*'QUANTITE DETENUES'!M187+'QUANTITE DETENUES'!N187*N187+O187*'QUANTITE DETENUES'!O187+T187+P187*'QUANTITE DETENUES'!P187+'QUANTITE DETENUES'!Q187*Q187+R187*'QUANTITE DETENUES'!R187+'QUANTITE DETENUES'!S187*S187)</f>
        <v>53798.70314</v>
      </c>
      <c r="V187" s="288"/>
      <c r="W187" s="220"/>
      <c r="X187" s="220"/>
      <c r="Y187" s="220"/>
      <c r="Z187" s="220"/>
      <c r="AA187" s="220"/>
      <c r="AB187" s="220"/>
      <c r="AC187" s="220"/>
      <c r="AD187" s="220"/>
      <c r="AE187" s="220"/>
      <c r="AF187" s="220"/>
      <c r="AG187" s="308"/>
      <c r="AH187" s="220"/>
      <c r="AI187" s="220"/>
      <c r="AJ187" s="220"/>
      <c r="AK187" s="220"/>
      <c r="AL187" s="220"/>
      <c r="AM187" s="220"/>
    </row>
    <row r="188">
      <c r="A188" s="409">
        <f>IF(ARBITRAGES!E188="","",ARBITRAGES!E188)</f>
        <v>45965</v>
      </c>
      <c r="B188" s="31">
        <v>100500.0</v>
      </c>
      <c r="C188" s="31">
        <v>3200.0</v>
      </c>
      <c r="D188" s="31">
        <v>1.9</v>
      </c>
      <c r="E188" s="31">
        <v>155.0</v>
      </c>
      <c r="F188" s="31">
        <v>400.0</v>
      </c>
      <c r="G188" s="31">
        <v>0.27</v>
      </c>
      <c r="H188" s="31">
        <v>14.25</v>
      </c>
      <c r="I188" s="31">
        <v>0.16</v>
      </c>
      <c r="J188" s="31">
        <v>8.7E-6</v>
      </c>
      <c r="K188" s="31">
        <v>2.15</v>
      </c>
      <c r="L188" s="31">
        <v>0.34</v>
      </c>
      <c r="M188" s="31">
        <v>190.0</v>
      </c>
      <c r="N188" s="31">
        <v>0.0028</v>
      </c>
      <c r="O188" s="31">
        <v>2.57</v>
      </c>
      <c r="P188" s="31">
        <v>8.0E-4</v>
      </c>
      <c r="Q188" s="31">
        <v>5.46E-6</v>
      </c>
      <c r="R188" s="31">
        <v>0.4</v>
      </c>
      <c r="S188" s="136">
        <v>1.4</v>
      </c>
      <c r="T188" s="14">
        <f>IF(A188="","",ARBITRAGES!M188)</f>
        <v>17225.37173</v>
      </c>
      <c r="U188" s="417">
        <f>IF(A188="","",B188*'QUANTITE DETENUES'!B188+'QUANTITE DETENUES'!C188*C188+'QUANTITE DETENUES'!D188*D188+E188*'QUANTITE DETENUES'!E188+'QUANTITE DETENUES'!F188*F188+G188*'QUANTITE DETENUES'!G188+'QUANTITE DETENUES'!H188*H188+I188*'QUANTITE DETENUES'!I188+'QUANTITE DETENUES'!J188*J188+K188*'QUANTITE DETENUES'!K188+'QUANTITE DETENUES'!L188*L188+M188*'QUANTITE DETENUES'!M188+'QUANTITE DETENUES'!N188*N188+O188*'QUANTITE DETENUES'!O188+T188+P188*'QUANTITE DETENUES'!P188+'QUANTITE DETENUES'!Q188*Q188+R188*'QUANTITE DETENUES'!R188+'QUANTITE DETENUES'!S188*S188)</f>
        <v>53803.2486</v>
      </c>
      <c r="V188" s="288"/>
      <c r="W188" s="220"/>
      <c r="X188" s="220"/>
      <c r="Y188" s="220"/>
      <c r="Z188" s="220"/>
      <c r="AA188" s="220"/>
      <c r="AB188" s="220"/>
      <c r="AC188" s="220"/>
      <c r="AD188" s="220"/>
      <c r="AE188" s="220"/>
      <c r="AF188" s="220"/>
      <c r="AG188" s="308"/>
      <c r="AH188" s="220"/>
      <c r="AI188" s="220"/>
      <c r="AJ188" s="220"/>
      <c r="AK188" s="220"/>
      <c r="AL188" s="220"/>
      <c r="AM188" s="220"/>
    </row>
    <row r="189">
      <c r="A189" s="409">
        <f>IF(ARBITRAGES!E189="","",ARBITRAGES!E189)</f>
        <v>45968</v>
      </c>
      <c r="B189" s="31">
        <v>102000.0</v>
      </c>
      <c r="C189" s="31">
        <v>3300.0</v>
      </c>
      <c r="D189" s="31">
        <v>1.98</v>
      </c>
      <c r="E189" s="31">
        <v>160.0</v>
      </c>
      <c r="F189" s="31">
        <v>390.0</v>
      </c>
      <c r="G189" s="31">
        <v>0.287</v>
      </c>
      <c r="H189" s="31">
        <v>15.15</v>
      </c>
      <c r="I189" s="31">
        <v>0.167</v>
      </c>
      <c r="J189" s="31">
        <v>9.5E-6</v>
      </c>
      <c r="K189" s="31">
        <v>2.3</v>
      </c>
      <c r="L189" s="31">
        <v>0.35</v>
      </c>
      <c r="M189" s="31">
        <v>200.0</v>
      </c>
      <c r="N189" s="31">
        <v>0.0032</v>
      </c>
      <c r="O189" s="31">
        <v>2.7</v>
      </c>
      <c r="P189" s="31">
        <v>8.6E-4</v>
      </c>
      <c r="Q189" s="31">
        <v>5.7E-6</v>
      </c>
      <c r="R189" s="31">
        <v>0.45</v>
      </c>
      <c r="S189" s="136">
        <v>1.35</v>
      </c>
      <c r="T189" s="14">
        <f>IF(A189="","",ARBITRAGES!M189)</f>
        <v>16225.37173</v>
      </c>
      <c r="U189" s="417">
        <f>IF(A189="","",B189*'QUANTITE DETENUES'!B189+'QUANTITE DETENUES'!C189*C189+'QUANTITE DETENUES'!D189*D189+E189*'QUANTITE DETENUES'!E189+'QUANTITE DETENUES'!F189*F189+G189*'QUANTITE DETENUES'!G189+'QUANTITE DETENUES'!H189*H189+I189*'QUANTITE DETENUES'!I189+'QUANTITE DETENUES'!J189*J189+K189*'QUANTITE DETENUES'!K189+'QUANTITE DETENUES'!L189*L189+M189*'QUANTITE DETENUES'!M189+'QUANTITE DETENUES'!N189*N189+O189*'QUANTITE DETENUES'!O189+T189+P189*'QUANTITE DETENUES'!P189+'QUANTITE DETENUES'!Q189*Q189+R189*'QUANTITE DETENUES'!R189+'QUANTITE DETENUES'!S189*S189)</f>
        <v>54577.90923</v>
      </c>
      <c r="V189" s="288"/>
      <c r="W189" s="220"/>
      <c r="X189" s="220"/>
      <c r="Y189" s="220"/>
      <c r="Z189" s="220"/>
      <c r="AA189" s="220"/>
      <c r="AB189" s="220"/>
      <c r="AC189" s="220"/>
      <c r="AD189" s="220"/>
      <c r="AE189" s="220"/>
      <c r="AF189" s="220"/>
      <c r="AG189" s="308"/>
      <c r="AH189" s="220"/>
      <c r="AI189" s="220"/>
      <c r="AJ189" s="220"/>
      <c r="AK189" s="220"/>
      <c r="AL189" s="220"/>
      <c r="AM189" s="220"/>
    </row>
    <row r="190">
      <c r="A190" s="409">
        <f>IF(ARBITRAGES!E190="","",ARBITRAGES!E190)</f>
        <v>45970</v>
      </c>
      <c r="B190" s="31">
        <v>106500.0</v>
      </c>
      <c r="C190" s="31">
        <v>3650.0</v>
      </c>
      <c r="D190" s="31">
        <v>2.15</v>
      </c>
      <c r="E190" s="31">
        <v>170.0</v>
      </c>
      <c r="F190" s="31">
        <v>400.0</v>
      </c>
      <c r="G190" s="31">
        <v>0.31</v>
      </c>
      <c r="H190" s="31">
        <v>16.5</v>
      </c>
      <c r="I190" s="31">
        <v>0.185</v>
      </c>
      <c r="J190" s="31">
        <v>1.01E-6</v>
      </c>
      <c r="K190" s="31">
        <v>2.5</v>
      </c>
      <c r="L190" s="31">
        <v>0.36</v>
      </c>
      <c r="M190" s="31">
        <v>225.0</v>
      </c>
      <c r="N190" s="31">
        <v>0.0035</v>
      </c>
      <c r="O190" s="31">
        <v>2.8</v>
      </c>
      <c r="P190" s="31">
        <v>9.8E-4</v>
      </c>
      <c r="Q190" s="31">
        <v>6.2E-6</v>
      </c>
      <c r="R190" s="31">
        <v>0.5</v>
      </c>
      <c r="S190" s="136">
        <v>1.6</v>
      </c>
      <c r="T190" s="14">
        <f>IF(A190="","",ARBITRAGES!M190)</f>
        <v>15825.37173</v>
      </c>
      <c r="U190" s="417">
        <f>IF(A190="","",B190*'QUANTITE DETENUES'!B190+'QUANTITE DETENUES'!C190*C190+'QUANTITE DETENUES'!D190*D190+E190*'QUANTITE DETENUES'!E190+'QUANTITE DETENUES'!F190*F190+G190*'QUANTITE DETENUES'!G190+'QUANTITE DETENUES'!H190*H190+I190*'QUANTITE DETENUES'!I190+'QUANTITE DETENUES'!J190*J190+K190*'QUANTITE DETENUES'!K190+'QUANTITE DETENUES'!L190*L190+M190*'QUANTITE DETENUES'!M190+'QUANTITE DETENUES'!N190*N190+O190*'QUANTITE DETENUES'!O190+T190+P190*'QUANTITE DETENUES'!P190+'QUANTITE DETENUES'!Q190*Q190+R190*'QUANTITE DETENUES'!R190+'QUANTITE DETENUES'!S190*S190)</f>
        <v>56935.8572</v>
      </c>
      <c r="V190" s="288"/>
      <c r="W190" s="220"/>
      <c r="X190" s="220"/>
      <c r="Y190" s="220"/>
      <c r="Z190" s="220"/>
      <c r="AA190" s="220"/>
      <c r="AB190" s="220"/>
      <c r="AC190" s="220"/>
      <c r="AD190" s="220"/>
      <c r="AE190" s="220"/>
      <c r="AF190" s="220"/>
      <c r="AG190" s="308"/>
      <c r="AH190" s="220"/>
      <c r="AI190" s="220"/>
      <c r="AJ190" s="220"/>
      <c r="AK190" s="220"/>
      <c r="AL190" s="220"/>
      <c r="AM190" s="220"/>
    </row>
    <row r="191">
      <c r="A191" s="409">
        <f>IF(ARBITRAGES!E191="","",ARBITRAGES!E191)</f>
        <v>45971</v>
      </c>
      <c r="B191" s="31">
        <v>106500.0</v>
      </c>
      <c r="C191" s="31">
        <v>3650.0</v>
      </c>
      <c r="D191" s="31">
        <v>2.15</v>
      </c>
      <c r="E191" s="31">
        <v>170.0</v>
      </c>
      <c r="F191" s="31">
        <v>400.0</v>
      </c>
      <c r="G191" s="31">
        <v>0.31</v>
      </c>
      <c r="H191" s="31">
        <v>16.5</v>
      </c>
      <c r="I191" s="31">
        <v>0.185</v>
      </c>
      <c r="J191" s="31">
        <v>9.8E-6</v>
      </c>
      <c r="K191" s="31">
        <v>2.5</v>
      </c>
      <c r="L191" s="31">
        <v>0.36</v>
      </c>
      <c r="M191" s="31">
        <v>225.0</v>
      </c>
      <c r="N191" s="31">
        <v>0.0035</v>
      </c>
      <c r="O191" s="31">
        <v>2.8</v>
      </c>
      <c r="P191" s="31">
        <v>9.8E-4</v>
      </c>
      <c r="Q191" s="31">
        <v>6.2E-6</v>
      </c>
      <c r="R191" s="31">
        <v>0.5</v>
      </c>
      <c r="S191" s="136">
        <v>1.6</v>
      </c>
      <c r="T191" s="14">
        <f>IF(A191="","",ARBITRAGES!M191)</f>
        <v>16187.42716</v>
      </c>
      <c r="U191" s="417">
        <f>IF(A191="","",B191*'QUANTITE DETENUES'!B191+'QUANTITE DETENUES'!C191*C191+'QUANTITE DETENUES'!D191*D191+E191*'QUANTITE DETENUES'!E191+'QUANTITE DETENUES'!F191*F191+G191*'QUANTITE DETENUES'!G191+'QUANTITE DETENUES'!H191*H191+I191*'QUANTITE DETENUES'!I191+'QUANTITE DETENUES'!J191*J191+K191*'QUANTITE DETENUES'!K191+'QUANTITE DETENUES'!L191*L191+M191*'QUANTITE DETENUES'!M191+'QUANTITE DETENUES'!N191*N191+O191*'QUANTITE DETENUES'!O191+T191+P191*'QUANTITE DETENUES'!P191+'QUANTITE DETENUES'!Q191*Q191+R191*'QUANTITE DETENUES'!R191+'QUANTITE DETENUES'!S191*S191)</f>
        <v>56948.59667</v>
      </c>
      <c r="V191" s="288"/>
      <c r="W191" s="220"/>
      <c r="X191" s="220"/>
      <c r="Y191" s="220"/>
      <c r="Z191" s="220"/>
      <c r="AA191" s="220"/>
      <c r="AB191" s="220"/>
      <c r="AC191" s="220"/>
      <c r="AD191" s="220"/>
      <c r="AE191" s="220"/>
      <c r="AF191" s="220"/>
      <c r="AG191" s="308"/>
      <c r="AH191" s="220"/>
      <c r="AI191" s="220"/>
      <c r="AJ191" s="220"/>
      <c r="AK191" s="220"/>
      <c r="AL191" s="220"/>
      <c r="AM191" s="220"/>
    </row>
    <row r="192">
      <c r="A192" s="409">
        <f>IF(ARBITRAGES!E192="","",ARBITRAGES!E192)</f>
        <v>45971</v>
      </c>
      <c r="B192" s="31">
        <v>104000.0</v>
      </c>
      <c r="C192" s="31">
        <v>3500.0</v>
      </c>
      <c r="D192" s="31">
        <v>2.05</v>
      </c>
      <c r="E192" s="31">
        <v>160.0</v>
      </c>
      <c r="F192" s="31">
        <v>380.0</v>
      </c>
      <c r="G192" s="31">
        <v>0.285</v>
      </c>
      <c r="H192" s="31">
        <v>16.0</v>
      </c>
      <c r="I192" s="31">
        <v>0.175</v>
      </c>
      <c r="J192" s="31">
        <v>9.8E-6</v>
      </c>
      <c r="K192" s="31">
        <v>2.65</v>
      </c>
      <c r="L192" s="31">
        <v>0.35</v>
      </c>
      <c r="M192" s="31">
        <v>215.0</v>
      </c>
      <c r="N192" s="31">
        <v>0.0034</v>
      </c>
      <c r="O192" s="31">
        <v>2.77</v>
      </c>
      <c r="P192" s="31">
        <v>9.4E-4</v>
      </c>
      <c r="Q192" s="31">
        <v>6.0E-6</v>
      </c>
      <c r="R192" s="31">
        <v>0.47</v>
      </c>
      <c r="S192" s="136">
        <v>1.56</v>
      </c>
      <c r="T192" s="14">
        <f>IF(A192="","",ARBITRAGES!M192)</f>
        <v>16082.42716</v>
      </c>
      <c r="U192" s="417">
        <f>IF(A192="","",B192*'QUANTITE DETENUES'!B192+'QUANTITE DETENUES'!C192*C192+'QUANTITE DETENUES'!D192*D192+E192*'QUANTITE DETENUES'!E192+'QUANTITE DETENUES'!F192*F192+G192*'QUANTITE DETENUES'!G192+'QUANTITE DETENUES'!H192*H192+I192*'QUANTITE DETENUES'!I192+'QUANTITE DETENUES'!J192*J192+K192*'QUANTITE DETENUES'!K192+'QUANTITE DETENUES'!L192*L192+M192*'QUANTITE DETENUES'!M192+'QUANTITE DETENUES'!N192*N192+O192*'QUANTITE DETENUES'!O192+T192+P192*'QUANTITE DETENUES'!P192+'QUANTITE DETENUES'!Q192*Q192+R192*'QUANTITE DETENUES'!R192+'QUANTITE DETENUES'!S192*S192)</f>
        <v>55642.93569</v>
      </c>
      <c r="V192" s="288"/>
      <c r="W192" s="220"/>
      <c r="X192" s="220"/>
      <c r="Y192" s="220"/>
      <c r="Z192" s="220"/>
      <c r="AA192" s="220"/>
      <c r="AB192" s="220"/>
      <c r="AC192" s="220"/>
      <c r="AD192" s="220"/>
      <c r="AE192" s="220"/>
      <c r="AF192" s="220"/>
      <c r="AG192" s="308"/>
      <c r="AH192" s="220"/>
      <c r="AI192" s="220"/>
      <c r="AJ192" s="220"/>
      <c r="AK192" s="220"/>
      <c r="AL192" s="220"/>
      <c r="AM192" s="220"/>
    </row>
    <row r="193">
      <c r="A193" s="409">
        <f>IF(ARBITRAGES!E193="","",ARBITRAGES!E193)</f>
        <v>45972</v>
      </c>
      <c r="B193" s="31">
        <v>104000.0</v>
      </c>
      <c r="C193" s="31">
        <v>3500.0</v>
      </c>
      <c r="D193" s="31">
        <v>2.05</v>
      </c>
      <c r="E193" s="31">
        <v>160.0</v>
      </c>
      <c r="F193" s="31">
        <v>380.0</v>
      </c>
      <c r="G193" s="31">
        <v>0.285</v>
      </c>
      <c r="H193" s="31">
        <v>16.0</v>
      </c>
      <c r="I193" s="31">
        <v>0.175</v>
      </c>
      <c r="J193" s="31">
        <v>9.8E-6</v>
      </c>
      <c r="K193" s="31">
        <v>2.65</v>
      </c>
      <c r="L193" s="31">
        <v>0.35</v>
      </c>
      <c r="M193" s="31">
        <v>215.0</v>
      </c>
      <c r="N193" s="31">
        <v>0.0034</v>
      </c>
      <c r="O193" s="31">
        <v>2.77</v>
      </c>
      <c r="P193" s="31">
        <v>9.4E-4</v>
      </c>
      <c r="Q193" s="31">
        <v>6.0E-6</v>
      </c>
      <c r="R193" s="31">
        <v>0.47</v>
      </c>
      <c r="S193" s="136">
        <v>1.56</v>
      </c>
      <c r="T193" s="14">
        <f>IF(A193="","",ARBITRAGES!M193)</f>
        <v>16074.42716</v>
      </c>
      <c r="U193" s="417">
        <f>IF(A193="","",B193*'QUANTITE DETENUES'!B193+'QUANTITE DETENUES'!C193*C193+'QUANTITE DETENUES'!D193*D193+E193*'QUANTITE DETENUES'!E193+'QUANTITE DETENUES'!F193*F193+G193*'QUANTITE DETENUES'!G193+'QUANTITE DETENUES'!H193*H193+I193*'QUANTITE DETENUES'!I193+'QUANTITE DETENUES'!J193*J193+K193*'QUANTITE DETENUES'!K193+'QUANTITE DETENUES'!L193*L193+M193*'QUANTITE DETENUES'!M193+'QUANTITE DETENUES'!N193*N193+O193*'QUANTITE DETENUES'!O193+T193+P193*'QUANTITE DETENUES'!P193+'QUANTITE DETENUES'!Q193*Q193+R193*'QUANTITE DETENUES'!R193+'QUANTITE DETENUES'!S193*S193)</f>
        <v>55842.93569</v>
      </c>
      <c r="V193" s="288"/>
      <c r="W193" s="220"/>
      <c r="X193" s="220"/>
      <c r="Y193" s="220"/>
      <c r="Z193" s="220"/>
      <c r="AA193" s="220"/>
      <c r="AB193" s="220"/>
      <c r="AC193" s="220"/>
      <c r="AD193" s="220"/>
      <c r="AE193" s="220"/>
      <c r="AF193" s="220"/>
      <c r="AG193" s="308"/>
      <c r="AH193" s="220"/>
      <c r="AI193" s="220"/>
      <c r="AJ193" s="220"/>
      <c r="AK193" s="220"/>
      <c r="AL193" s="220"/>
      <c r="AM193" s="220"/>
    </row>
    <row r="194">
      <c r="A194" s="409">
        <f>IF(ARBITRAGES!E194="","",ARBITRAGES!E194)</f>
        <v>45974</v>
      </c>
      <c r="B194" s="31">
        <v>98000.0</v>
      </c>
      <c r="C194" s="31">
        <v>3200.0</v>
      </c>
      <c r="D194" s="31">
        <v>2.0</v>
      </c>
      <c r="E194" s="31">
        <v>150.0</v>
      </c>
      <c r="F194" s="31">
        <v>333.0</v>
      </c>
      <c r="G194" s="31">
        <v>0.266</v>
      </c>
      <c r="H194" s="31">
        <v>14.65</v>
      </c>
      <c r="I194" s="31">
        <v>0.165</v>
      </c>
      <c r="J194" s="31">
        <v>9.3E-6</v>
      </c>
      <c r="K194" s="31">
        <v>2.3</v>
      </c>
      <c r="L194" s="31">
        <v>0.32</v>
      </c>
      <c r="M194" s="31">
        <v>200.0</v>
      </c>
      <c r="N194" s="31">
        <v>0.003</v>
      </c>
      <c r="O194" s="31">
        <v>2.5</v>
      </c>
      <c r="P194" s="31">
        <v>8.4E-4</v>
      </c>
      <c r="Q194" s="31">
        <v>5.5E-6</v>
      </c>
      <c r="R194" s="31">
        <v>0.44</v>
      </c>
      <c r="S194" s="136">
        <v>1.4</v>
      </c>
      <c r="T194" s="14">
        <f>IF(A194="","",ARBITRAGES!M194)</f>
        <v>14974.42716</v>
      </c>
      <c r="U194" s="417">
        <f>IF(A194="","",B194*'QUANTITE DETENUES'!B194+'QUANTITE DETENUES'!C194*C194+'QUANTITE DETENUES'!D194*D194+E194*'QUANTITE DETENUES'!E194+'QUANTITE DETENUES'!F194*F194+G194*'QUANTITE DETENUES'!G194+'QUANTITE DETENUES'!H194*H194+I194*'QUANTITE DETENUES'!I194+'QUANTITE DETENUES'!J194*J194+K194*'QUANTITE DETENUES'!K194+'QUANTITE DETENUES'!L194*L194+M194*'QUANTITE DETENUES'!M194+'QUANTITE DETENUES'!N194*N194+O194*'QUANTITE DETENUES'!O194+T194+P194*'QUANTITE DETENUES'!P194+'QUANTITE DETENUES'!Q194*Q194+R194*'QUANTITE DETENUES'!R194+'QUANTITE DETENUES'!S194*S194)</f>
        <v>53100.54934</v>
      </c>
      <c r="V194" s="288"/>
      <c r="W194" s="220"/>
      <c r="X194" s="220"/>
      <c r="Y194" s="220"/>
      <c r="Z194" s="220"/>
      <c r="AA194" s="220"/>
      <c r="AB194" s="220"/>
      <c r="AC194" s="220"/>
      <c r="AD194" s="220"/>
      <c r="AE194" s="220"/>
      <c r="AF194" s="220"/>
      <c r="AG194" s="308"/>
      <c r="AH194" s="220"/>
      <c r="AI194" s="220"/>
      <c r="AJ194" s="220"/>
      <c r="AK194" s="220"/>
      <c r="AL194" s="220"/>
      <c r="AM194" s="220"/>
    </row>
    <row r="195">
      <c r="A195" s="409">
        <f>IF(ARBITRAGES!E195="","",ARBITRAGES!E195)</f>
        <v>45974</v>
      </c>
      <c r="B195" s="31">
        <v>97500.0</v>
      </c>
      <c r="C195" s="31">
        <v>3180.0</v>
      </c>
      <c r="D195" s="31">
        <v>1.95</v>
      </c>
      <c r="E195" s="31">
        <v>145.0</v>
      </c>
      <c r="F195" s="31">
        <v>333.0</v>
      </c>
      <c r="G195" s="31">
        <v>0.26</v>
      </c>
      <c r="H195" s="31">
        <v>14.33</v>
      </c>
      <c r="I195" s="31">
        <v>0.1638</v>
      </c>
      <c r="J195" s="31">
        <v>9.1E-6</v>
      </c>
      <c r="K195" s="31">
        <v>2.35</v>
      </c>
      <c r="L195" s="31">
        <v>0.3</v>
      </c>
      <c r="M195" s="31">
        <v>190.0</v>
      </c>
      <c r="N195" s="31">
        <v>0.003</v>
      </c>
      <c r="O195" s="31">
        <v>2.45</v>
      </c>
      <c r="P195" s="31">
        <v>8.2E-4</v>
      </c>
      <c r="Q195" s="31">
        <v>5.3E-6</v>
      </c>
      <c r="R195" s="31">
        <v>0.43</v>
      </c>
      <c r="S195" s="136">
        <v>1.4</v>
      </c>
      <c r="T195" s="14">
        <f>IF(A195="","",ARBITRAGES!M195)</f>
        <v>13998.23896</v>
      </c>
      <c r="U195" s="417">
        <f>IF(A195="","",B195*'QUANTITE DETENUES'!B195+'QUANTITE DETENUES'!C195*C195+'QUANTITE DETENUES'!D195*D195+E195*'QUANTITE DETENUES'!E195+'QUANTITE DETENUES'!F195*F195+G195*'QUANTITE DETENUES'!G195+'QUANTITE DETENUES'!H195*H195+I195*'QUANTITE DETENUES'!I195+'QUANTITE DETENUES'!J195*J195+K195*'QUANTITE DETENUES'!K195+'QUANTITE DETENUES'!L195*L195+M195*'QUANTITE DETENUES'!M195+'QUANTITE DETENUES'!N195*N195+O195*'QUANTITE DETENUES'!O195+T195+P195*'QUANTITE DETENUES'!P195+'QUANTITE DETENUES'!Q195*Q195+R195*'QUANTITE DETENUES'!R195+'QUANTITE DETENUES'!S195*S195)</f>
        <v>52763.48738</v>
      </c>
      <c r="V195" s="288"/>
      <c r="W195" s="220"/>
      <c r="X195" s="220"/>
      <c r="Y195" s="220"/>
      <c r="Z195" s="220"/>
      <c r="AA195" s="220"/>
      <c r="AB195" s="220"/>
      <c r="AC195" s="220"/>
      <c r="AD195" s="220"/>
      <c r="AE195" s="220"/>
      <c r="AF195" s="220"/>
      <c r="AG195" s="308"/>
      <c r="AH195" s="220"/>
      <c r="AI195" s="220"/>
      <c r="AJ195" s="220"/>
      <c r="AK195" s="220"/>
      <c r="AL195" s="220"/>
      <c r="AM195" s="220"/>
    </row>
    <row r="196">
      <c r="A196" s="409">
        <f>IF(ARBITRAGES!E196="","",ARBITRAGES!E196)</f>
        <v>45974</v>
      </c>
      <c r="B196" s="31">
        <v>97500.0</v>
      </c>
      <c r="C196" s="31">
        <v>3180.0</v>
      </c>
      <c r="D196" s="31">
        <v>1.95</v>
      </c>
      <c r="E196" s="31">
        <v>145.0</v>
      </c>
      <c r="F196" s="31">
        <v>333.0</v>
      </c>
      <c r="G196" s="31">
        <v>0.26</v>
      </c>
      <c r="H196" s="31">
        <v>14.33</v>
      </c>
      <c r="I196" s="31">
        <v>0.1638</v>
      </c>
      <c r="J196" s="31">
        <v>9.1E-6</v>
      </c>
      <c r="K196" s="31">
        <v>2.35</v>
      </c>
      <c r="L196" s="31">
        <v>0.3</v>
      </c>
      <c r="M196" s="31">
        <v>190.0</v>
      </c>
      <c r="N196" s="31">
        <v>0.003</v>
      </c>
      <c r="O196" s="31">
        <v>2.45</v>
      </c>
      <c r="P196" s="31">
        <v>8.2E-4</v>
      </c>
      <c r="Q196" s="31">
        <v>5.3E-6</v>
      </c>
      <c r="R196" s="31">
        <v>0.43</v>
      </c>
      <c r="S196" s="136">
        <v>1.4</v>
      </c>
      <c r="T196" s="14">
        <f>IF(A196="","",ARBITRAGES!M196)</f>
        <v>13297.69106</v>
      </c>
      <c r="U196" s="417">
        <f>IF(A196="","",B196*'QUANTITE DETENUES'!B196+'QUANTITE DETENUES'!C196*C196+'QUANTITE DETENUES'!D196*D196+E196*'QUANTITE DETENUES'!E196+'QUANTITE DETENUES'!F196*F196+G196*'QUANTITE DETENUES'!G196+'QUANTITE DETENUES'!H196*H196+I196*'QUANTITE DETENUES'!I196+'QUANTITE DETENUES'!J196*J196+K196*'QUANTITE DETENUES'!K196+'QUANTITE DETENUES'!L196*L196+M196*'QUANTITE DETENUES'!M196+'QUANTITE DETENUES'!N196*N196+O196*'QUANTITE DETENUES'!O196+T196+P196*'QUANTITE DETENUES'!P196+'QUANTITE DETENUES'!Q196*Q196+R196*'QUANTITE DETENUES'!R196+'QUANTITE DETENUES'!S196*S196)</f>
        <v>52763.48738</v>
      </c>
      <c r="V196" s="288"/>
      <c r="W196" s="220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308"/>
      <c r="AH196" s="220"/>
      <c r="AI196" s="220"/>
      <c r="AJ196" s="220"/>
      <c r="AK196" s="220"/>
      <c r="AL196" s="220"/>
      <c r="AM196" s="220"/>
    </row>
    <row r="197">
      <c r="A197" s="409">
        <f>IF(ARBITRAGES!E197="","",ARBITRAGES!E197)</f>
        <v>45974</v>
      </c>
      <c r="B197" s="31">
        <v>97500.0</v>
      </c>
      <c r="C197" s="31">
        <v>3180.0</v>
      </c>
      <c r="D197" s="31">
        <v>1.95</v>
      </c>
      <c r="E197" s="31">
        <v>145.0</v>
      </c>
      <c r="F197" s="31">
        <v>333.0</v>
      </c>
      <c r="G197" s="31">
        <v>0.26</v>
      </c>
      <c r="H197" s="31">
        <v>14.33</v>
      </c>
      <c r="I197" s="31">
        <v>0.1638</v>
      </c>
      <c r="J197" s="31">
        <v>9.1E-6</v>
      </c>
      <c r="K197" s="31">
        <v>2.35</v>
      </c>
      <c r="L197" s="31">
        <v>0.3</v>
      </c>
      <c r="M197" s="31">
        <v>190.0</v>
      </c>
      <c r="N197" s="31">
        <v>0.003</v>
      </c>
      <c r="O197" s="31">
        <v>2.45</v>
      </c>
      <c r="P197" s="31">
        <v>8.2E-4</v>
      </c>
      <c r="Q197" s="31">
        <v>5.3E-6</v>
      </c>
      <c r="R197" s="31">
        <v>0.43</v>
      </c>
      <c r="S197" s="136">
        <v>1.4</v>
      </c>
      <c r="T197" s="14">
        <f>IF(A197="","",ARBITRAGES!M197)</f>
        <v>12297.69106</v>
      </c>
      <c r="U197" s="417">
        <f>IF(A197="","",B197*'QUANTITE DETENUES'!B197+'QUANTITE DETENUES'!C197*C197+'QUANTITE DETENUES'!D197*D197+E197*'QUANTITE DETENUES'!E197+'QUANTITE DETENUES'!F197*F197+G197*'QUANTITE DETENUES'!G197+'QUANTITE DETENUES'!H197*H197+I197*'QUANTITE DETENUES'!I197+'QUANTITE DETENUES'!J197*J197+K197*'QUANTITE DETENUES'!K197+'QUANTITE DETENUES'!L197*L197+M197*'QUANTITE DETENUES'!M197+'QUANTITE DETENUES'!N197*N197+O197*'QUANTITE DETENUES'!O197+T197+P197*'QUANTITE DETENUES'!P197+'QUANTITE DETENUES'!Q197*Q197+R197*'QUANTITE DETENUES'!R197+'QUANTITE DETENUES'!S197*S197)</f>
        <v>52773.85007</v>
      </c>
      <c r="V197" s="288"/>
      <c r="W197" s="220"/>
      <c r="X197" s="220"/>
      <c r="Y197" s="220"/>
      <c r="Z197" s="220"/>
      <c r="AA197" s="220"/>
      <c r="AB197" s="220"/>
      <c r="AC197" s="220"/>
      <c r="AD197" s="220"/>
      <c r="AE197" s="220"/>
      <c r="AF197" s="220"/>
      <c r="AG197" s="308"/>
      <c r="AH197" s="220"/>
      <c r="AI197" s="220"/>
      <c r="AJ197" s="220"/>
      <c r="AK197" s="220"/>
      <c r="AL197" s="220"/>
      <c r="AM197" s="220"/>
    </row>
    <row r="198">
      <c r="A198" s="409">
        <f>IF(ARBITRAGES!E198="","",ARBITRAGES!E198)</f>
        <v>45974</v>
      </c>
      <c r="B198" s="31">
        <v>97500.0</v>
      </c>
      <c r="C198" s="31">
        <v>3180.0</v>
      </c>
      <c r="D198" s="31">
        <v>1.95</v>
      </c>
      <c r="E198" s="31">
        <v>145.0</v>
      </c>
      <c r="F198" s="31">
        <v>333.0</v>
      </c>
      <c r="G198" s="31">
        <v>0.26</v>
      </c>
      <c r="H198" s="31">
        <v>14.33</v>
      </c>
      <c r="I198" s="31">
        <v>0.1638</v>
      </c>
      <c r="J198" s="31">
        <v>9.1E-6</v>
      </c>
      <c r="K198" s="31">
        <v>2.35</v>
      </c>
      <c r="L198" s="31">
        <v>0.3</v>
      </c>
      <c r="M198" s="31">
        <v>190.0</v>
      </c>
      <c r="N198" s="31">
        <v>0.003</v>
      </c>
      <c r="O198" s="31">
        <v>2.45</v>
      </c>
      <c r="P198" s="31">
        <v>8.2E-4</v>
      </c>
      <c r="Q198" s="31">
        <v>5.3E-6</v>
      </c>
      <c r="R198" s="31">
        <v>0.43</v>
      </c>
      <c r="S198" s="136">
        <v>1.4</v>
      </c>
      <c r="T198" s="14">
        <f>IF(A198="","",ARBITRAGES!M198)</f>
        <v>11297.69106</v>
      </c>
      <c r="U198" s="417">
        <f>IF(A198="","",B198*'QUANTITE DETENUES'!B198+'QUANTITE DETENUES'!C198*C198+'QUANTITE DETENUES'!D198*D198+E198*'QUANTITE DETENUES'!E198+'QUANTITE DETENUES'!F198*F198+G198*'QUANTITE DETENUES'!G198+'QUANTITE DETENUES'!H198*H198+I198*'QUANTITE DETENUES'!I198+'QUANTITE DETENUES'!J198*J198+K198*'QUANTITE DETENUES'!K198+'QUANTITE DETENUES'!L198*L198+M198*'QUANTITE DETENUES'!M198+'QUANTITE DETENUES'!N198*N198+O198*'QUANTITE DETENUES'!O198+T198+P198*'QUANTITE DETENUES'!P198+'QUANTITE DETENUES'!Q198*Q198+R198*'QUANTITE DETENUES'!R198+'QUANTITE DETENUES'!S198*S198)</f>
        <v>52789.47507</v>
      </c>
      <c r="V198" s="288"/>
      <c r="W198" s="220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308"/>
      <c r="AH198" s="220"/>
      <c r="AI198" s="220"/>
      <c r="AJ198" s="220"/>
      <c r="AK198" s="220"/>
      <c r="AL198" s="220"/>
      <c r="AM198" s="220"/>
    </row>
    <row r="199">
      <c r="A199" s="409">
        <f>IF(ARBITRAGES!E199="","",ARBITRAGES!E199)</f>
        <v>45974</v>
      </c>
      <c r="B199" s="31">
        <v>96000.0</v>
      </c>
      <c r="C199" s="31">
        <v>3100.0</v>
      </c>
      <c r="D199" s="31">
        <v>1.9</v>
      </c>
      <c r="E199" s="31">
        <v>140.0</v>
      </c>
      <c r="F199" s="31">
        <v>325.0</v>
      </c>
      <c r="G199" s="31">
        <v>0.26</v>
      </c>
      <c r="H199" s="31">
        <v>14.15</v>
      </c>
      <c r="I199" s="31">
        <v>0.1625</v>
      </c>
      <c r="J199" s="31">
        <v>9.1E-6</v>
      </c>
      <c r="K199" s="31">
        <v>2.35</v>
      </c>
      <c r="L199" s="31">
        <v>0.29</v>
      </c>
      <c r="M199" s="31">
        <v>185.0</v>
      </c>
      <c r="N199" s="31">
        <v>0.003</v>
      </c>
      <c r="O199" s="31">
        <v>2.37</v>
      </c>
      <c r="P199" s="31">
        <v>8.1E-4</v>
      </c>
      <c r="Q199" s="31">
        <v>5.25E-6</v>
      </c>
      <c r="R199" s="31">
        <v>0.427</v>
      </c>
      <c r="S199" s="136">
        <v>1.37</v>
      </c>
      <c r="T199" s="14">
        <f>IF(A199="","",ARBITRAGES!M199)</f>
        <v>10797.69106</v>
      </c>
      <c r="U199" s="417">
        <f>IF(A199="","",B199*'QUANTITE DETENUES'!B199+'QUANTITE DETENUES'!C199*C199+'QUANTITE DETENUES'!D199*D199+E199*'QUANTITE DETENUES'!E199+'QUANTITE DETENUES'!F199*F199+G199*'QUANTITE DETENUES'!G199+'QUANTITE DETENUES'!H199*H199+I199*'QUANTITE DETENUES'!I199+'QUANTITE DETENUES'!J199*J199+K199*'QUANTITE DETENUES'!K199+'QUANTITE DETENUES'!L199*L199+M199*'QUANTITE DETENUES'!M199+'QUANTITE DETENUES'!N199*N199+O199*'QUANTITE DETENUES'!O199+T199+P199*'QUANTITE DETENUES'!P199+'QUANTITE DETENUES'!Q199*Q199+R199*'QUANTITE DETENUES'!R199+'QUANTITE DETENUES'!S199*S199)</f>
        <v>52016.56799</v>
      </c>
      <c r="V199" s="288"/>
      <c r="W199" s="220"/>
      <c r="X199" s="220"/>
      <c r="Y199" s="220"/>
      <c r="Z199" s="220"/>
      <c r="AA199" s="220"/>
      <c r="AB199" s="220"/>
      <c r="AC199" s="220"/>
      <c r="AD199" s="220"/>
      <c r="AE199" s="220"/>
      <c r="AF199" s="220"/>
      <c r="AG199" s="308"/>
      <c r="AH199" s="220"/>
      <c r="AI199" s="220"/>
      <c r="AJ199" s="220"/>
      <c r="AK199" s="220"/>
      <c r="AL199" s="220"/>
      <c r="AM199" s="220"/>
    </row>
    <row r="200">
      <c r="A200" s="409">
        <f>IF(ARBITRAGES!E200="","",ARBITRAGES!E200)</f>
        <v>45974</v>
      </c>
      <c r="B200" s="31">
        <v>96000.0</v>
      </c>
      <c r="C200" s="31">
        <v>3100.0</v>
      </c>
      <c r="D200" s="31">
        <v>1.9</v>
      </c>
      <c r="E200" s="31">
        <v>140.0</v>
      </c>
      <c r="F200" s="31">
        <v>325.0</v>
      </c>
      <c r="G200" s="31">
        <v>0.26</v>
      </c>
      <c r="H200" s="31">
        <v>14.15</v>
      </c>
      <c r="I200" s="31">
        <v>0.1625</v>
      </c>
      <c r="J200" s="31">
        <v>9.1E-6</v>
      </c>
      <c r="K200" s="31">
        <v>2.35</v>
      </c>
      <c r="L200" s="31">
        <v>0.29</v>
      </c>
      <c r="M200" s="31">
        <v>185.0</v>
      </c>
      <c r="N200" s="31">
        <v>0.003</v>
      </c>
      <c r="O200" s="31">
        <v>2.37</v>
      </c>
      <c r="P200" s="31">
        <v>8.1E-4</v>
      </c>
      <c r="Q200" s="31">
        <v>5.25E-6</v>
      </c>
      <c r="R200" s="31">
        <v>0.427</v>
      </c>
      <c r="S200" s="136">
        <v>1.37</v>
      </c>
      <c r="T200" s="14">
        <f>IF(A200="","",ARBITRAGES!M200)</f>
        <v>9797.69106</v>
      </c>
      <c r="U200" s="417">
        <f>IF(A200="","",B200*'QUANTITE DETENUES'!B200+'QUANTITE DETENUES'!C200*C200+'QUANTITE DETENUES'!D200*D200+E200*'QUANTITE DETENUES'!E200+'QUANTITE DETENUES'!F200*F200+G200*'QUANTITE DETENUES'!G200+'QUANTITE DETENUES'!H200*H200+I200*'QUANTITE DETENUES'!I200+'QUANTITE DETENUES'!J200*J200+K200*'QUANTITE DETENUES'!K200+'QUANTITE DETENUES'!L200*L200+M200*'QUANTITE DETENUES'!M200+'QUANTITE DETENUES'!N200*N200+O200*'QUANTITE DETENUES'!O200+T200+P200*'QUANTITE DETENUES'!P200+'QUANTITE DETENUES'!Q200*Q200+R200*'QUANTITE DETENUES'!R200+'QUANTITE DETENUES'!S200*S200)</f>
        <v>52027.09431</v>
      </c>
      <c r="V200" s="288"/>
      <c r="W200" s="220"/>
      <c r="X200" s="220"/>
      <c r="Y200" s="220"/>
      <c r="Z200" s="220"/>
      <c r="AA200" s="220"/>
      <c r="AB200" s="220"/>
      <c r="AC200" s="220"/>
      <c r="AD200" s="220"/>
      <c r="AE200" s="220"/>
      <c r="AF200" s="220"/>
      <c r="AG200" s="308"/>
      <c r="AH200" s="220"/>
      <c r="AI200" s="220"/>
      <c r="AJ200" s="220"/>
      <c r="AK200" s="220"/>
      <c r="AL200" s="220"/>
      <c r="AM200" s="220"/>
    </row>
    <row r="201">
      <c r="A201" s="409">
        <f>IF(ARBITRAGES!E201="","",ARBITRAGES!E201)</f>
        <v>45974</v>
      </c>
      <c r="B201" s="31">
        <v>97500.0</v>
      </c>
      <c r="C201" s="31">
        <v>3180.0</v>
      </c>
      <c r="D201" s="31">
        <v>1.95</v>
      </c>
      <c r="E201" s="31">
        <v>145.0</v>
      </c>
      <c r="F201" s="31">
        <v>333.0</v>
      </c>
      <c r="G201" s="31">
        <v>0.26</v>
      </c>
      <c r="H201" s="31">
        <v>14.33</v>
      </c>
      <c r="I201" s="31">
        <v>0.1638</v>
      </c>
      <c r="J201" s="31">
        <v>9.1E-6</v>
      </c>
      <c r="K201" s="31">
        <v>2.35</v>
      </c>
      <c r="L201" s="31">
        <v>0.3</v>
      </c>
      <c r="M201" s="31">
        <v>190.0</v>
      </c>
      <c r="N201" s="31">
        <v>0.003</v>
      </c>
      <c r="O201" s="31">
        <v>2.45</v>
      </c>
      <c r="P201" s="31">
        <v>8.2E-4</v>
      </c>
      <c r="Q201" s="31">
        <v>5.3E-6</v>
      </c>
      <c r="R201" s="31">
        <v>0.43</v>
      </c>
      <c r="S201" s="136">
        <v>1.4</v>
      </c>
      <c r="T201" s="14">
        <f>IF(A201="","",ARBITRAGES!M201)</f>
        <v>9497.69106</v>
      </c>
      <c r="U201" s="417">
        <f>IF(A201="","",B201*'QUANTITE DETENUES'!B201+'QUANTITE DETENUES'!C201*C201+'QUANTITE DETENUES'!D201*D201+E201*'QUANTITE DETENUES'!E201+'QUANTITE DETENUES'!F201*F201+G201*'QUANTITE DETENUES'!G201+'QUANTITE DETENUES'!H201*H201+I201*'QUANTITE DETENUES'!I201+'QUANTITE DETENUES'!J201*J201+K201*'QUANTITE DETENUES'!K201+'QUANTITE DETENUES'!L201*L201+M201*'QUANTITE DETENUES'!M201+'QUANTITE DETENUES'!N201*N201+O201*'QUANTITE DETENUES'!O201+T201+P201*'QUANTITE DETENUES'!P201+'QUANTITE DETENUES'!Q201*Q201+R201*'QUANTITE DETENUES'!R201+'QUANTITE DETENUES'!S201*S201)</f>
        <v>52834.80637</v>
      </c>
      <c r="V201" s="288"/>
      <c r="W201" s="220"/>
      <c r="X201" s="220"/>
      <c r="Y201" s="220"/>
      <c r="Z201" s="220"/>
      <c r="AA201" s="220"/>
      <c r="AB201" s="220"/>
      <c r="AC201" s="220"/>
      <c r="AD201" s="220"/>
      <c r="AE201" s="220"/>
      <c r="AF201" s="220"/>
      <c r="AG201" s="308"/>
      <c r="AH201" s="220"/>
      <c r="AI201" s="220"/>
      <c r="AJ201" s="220"/>
      <c r="AK201" s="220"/>
      <c r="AL201" s="220"/>
      <c r="AM201" s="220"/>
    </row>
    <row r="202">
      <c r="A202" s="409">
        <f>IF(ARBITRAGES!E202="","",ARBITRAGES!E202)</f>
        <v>45975</v>
      </c>
      <c r="B202" s="31">
        <v>97500.0</v>
      </c>
      <c r="C202" s="31">
        <v>3180.0</v>
      </c>
      <c r="D202" s="31">
        <v>1.95</v>
      </c>
      <c r="E202" s="31">
        <v>145.0</v>
      </c>
      <c r="F202" s="31">
        <v>333.0</v>
      </c>
      <c r="G202" s="31">
        <v>0.26</v>
      </c>
      <c r="H202" s="31">
        <v>14.33</v>
      </c>
      <c r="I202" s="31">
        <v>0.1638</v>
      </c>
      <c r="J202" s="31">
        <v>9.1E-6</v>
      </c>
      <c r="K202" s="31">
        <v>2.35</v>
      </c>
      <c r="L202" s="31">
        <v>0.3</v>
      </c>
      <c r="M202" s="31">
        <v>190.0</v>
      </c>
      <c r="N202" s="31">
        <v>0.003</v>
      </c>
      <c r="O202" s="31">
        <v>2.45</v>
      </c>
      <c r="P202" s="31">
        <v>8.2E-4</v>
      </c>
      <c r="Q202" s="31">
        <v>5.3E-6</v>
      </c>
      <c r="R202" s="31">
        <v>0.43</v>
      </c>
      <c r="S202" s="136">
        <v>1.4</v>
      </c>
      <c r="T202" s="14">
        <f>IF(A202="","",ARBITRAGES!M202)</f>
        <v>8997.69106</v>
      </c>
      <c r="U202" s="417">
        <f>IF(A202="","",B202*'QUANTITE DETENUES'!B202+'QUANTITE DETENUES'!C202*C202+'QUANTITE DETENUES'!D202*D202+E202*'QUANTITE DETENUES'!E202+'QUANTITE DETENUES'!F202*F202+G202*'QUANTITE DETENUES'!G202+'QUANTITE DETENUES'!H202*H202+I202*'QUANTITE DETENUES'!I202+'QUANTITE DETENUES'!J202*J202+K202*'QUANTITE DETENUES'!K202+'QUANTITE DETENUES'!L202*L202+M202*'QUANTITE DETENUES'!M202+'QUANTITE DETENUES'!N202*N202+O202*'QUANTITE DETENUES'!O202+T202+P202*'QUANTITE DETENUES'!P202+'QUANTITE DETENUES'!Q202*Q202+R202*'QUANTITE DETENUES'!R202+'QUANTITE DETENUES'!S202*S202)</f>
        <v>52850.13407</v>
      </c>
      <c r="V202" s="288"/>
      <c r="W202" s="220"/>
      <c r="X202" s="220"/>
      <c r="Y202" s="220"/>
      <c r="Z202" s="220"/>
      <c r="AA202" s="220"/>
      <c r="AB202" s="220"/>
      <c r="AC202" s="220"/>
      <c r="AD202" s="220"/>
      <c r="AE202" s="220"/>
      <c r="AF202" s="220"/>
      <c r="AG202" s="308"/>
      <c r="AH202" s="220"/>
      <c r="AI202" s="220"/>
      <c r="AJ202" s="220"/>
      <c r="AK202" s="220"/>
      <c r="AL202" s="220"/>
      <c r="AM202" s="220"/>
    </row>
    <row r="203">
      <c r="A203" s="409">
        <f>IF(ARBITRAGES!E203="","",ARBITRAGES!E203)</f>
        <v>45977</v>
      </c>
      <c r="B203" s="31">
        <v>92000.0</v>
      </c>
      <c r="C203" s="31">
        <v>3000.0</v>
      </c>
      <c r="D203" s="31">
        <v>1.75</v>
      </c>
      <c r="E203" s="31">
        <v>130.0</v>
      </c>
      <c r="F203" s="31">
        <v>310.0</v>
      </c>
      <c r="G203" s="31">
        <v>0.24</v>
      </c>
      <c r="H203" s="31">
        <v>13.5</v>
      </c>
      <c r="I203" s="31">
        <v>0.156</v>
      </c>
      <c r="J203" s="31">
        <v>8.7E-6</v>
      </c>
      <c r="K203" s="31">
        <v>2.33</v>
      </c>
      <c r="L203" s="31">
        <v>0.265</v>
      </c>
      <c r="M203" s="31">
        <v>170.0</v>
      </c>
      <c r="N203" s="31">
        <v>0.003</v>
      </c>
      <c r="O203" s="31">
        <v>2.28</v>
      </c>
      <c r="P203" s="31">
        <v>8.6E-4</v>
      </c>
      <c r="Q203" s="31">
        <v>4.8E-6</v>
      </c>
      <c r="R203" s="31">
        <v>0.4</v>
      </c>
      <c r="S203" s="136">
        <v>1.2</v>
      </c>
      <c r="T203" s="14">
        <f>IF(A203="","",ARBITRAGES!M203)</f>
        <v>8510.15106</v>
      </c>
      <c r="U203" s="417">
        <f>IF(A203="","",B203*'QUANTITE DETENUES'!B203+'QUANTITE DETENUES'!C203*C203+'QUANTITE DETENUES'!D203*D203+E203*'QUANTITE DETENUES'!E203+'QUANTITE DETENUES'!F203*F203+G203*'QUANTITE DETENUES'!G203+'QUANTITE DETENUES'!H203*H203+I203*'QUANTITE DETENUES'!I203+'QUANTITE DETENUES'!J203*J203+K203*'QUANTITE DETENUES'!K203+'QUANTITE DETENUES'!L203*L203+M203*'QUANTITE DETENUES'!M203+'QUANTITE DETENUES'!N203*N203+O203*'QUANTITE DETENUES'!O203+T203+P203*'QUANTITE DETENUES'!P203+'QUANTITE DETENUES'!Q203*Q203+R203*'QUANTITE DETENUES'!R203+'QUANTITE DETENUES'!S203*S203)</f>
        <v>50173.95668</v>
      </c>
      <c r="V203" s="288"/>
      <c r="W203" s="220"/>
      <c r="X203" s="220"/>
      <c r="Y203" s="220"/>
      <c r="Z203" s="220"/>
      <c r="AA203" s="220"/>
      <c r="AB203" s="220"/>
      <c r="AC203" s="220"/>
      <c r="AD203" s="220"/>
      <c r="AE203" s="220"/>
      <c r="AF203" s="220"/>
      <c r="AG203" s="308"/>
      <c r="AH203" s="220"/>
      <c r="AI203" s="220"/>
      <c r="AJ203" s="220"/>
      <c r="AK203" s="220"/>
      <c r="AL203" s="220"/>
      <c r="AM203" s="220"/>
    </row>
    <row r="204">
      <c r="A204" s="409">
        <f>IF(ARBITRAGES!E204="","",ARBITRAGES!E204)</f>
        <v>45977</v>
      </c>
      <c r="B204" s="31">
        <v>92000.0</v>
      </c>
      <c r="C204" s="31">
        <v>3000.0</v>
      </c>
      <c r="D204" s="31">
        <v>1.75</v>
      </c>
      <c r="E204" s="31">
        <v>130.0</v>
      </c>
      <c r="F204" s="31">
        <v>310.0</v>
      </c>
      <c r="G204" s="31">
        <v>0.24</v>
      </c>
      <c r="H204" s="31">
        <v>13.5</v>
      </c>
      <c r="I204" s="31">
        <v>0.156</v>
      </c>
      <c r="J204" s="31">
        <v>8.7E-6</v>
      </c>
      <c r="K204" s="31">
        <v>2.33</v>
      </c>
      <c r="L204" s="31">
        <v>0.265</v>
      </c>
      <c r="M204" s="31">
        <v>170.0</v>
      </c>
      <c r="N204" s="31">
        <v>0.003</v>
      </c>
      <c r="O204" s="31">
        <v>2.28</v>
      </c>
      <c r="P204" s="31">
        <v>8.6E-4</v>
      </c>
      <c r="Q204" s="31">
        <v>4.8E-6</v>
      </c>
      <c r="R204" s="31">
        <v>0.4</v>
      </c>
      <c r="S204" s="136">
        <v>1.2</v>
      </c>
      <c r="T204" s="14">
        <f>IF(A204="","",ARBITRAGES!M204)</f>
        <v>8097.15106</v>
      </c>
      <c r="U204" s="417">
        <f>IF(A204="","",B204*'QUANTITE DETENUES'!B204+'QUANTITE DETENUES'!C204*C204+'QUANTITE DETENUES'!D204*D204+E204*'QUANTITE DETENUES'!E204+'QUANTITE DETENUES'!F204*F204+G204*'QUANTITE DETENUES'!G204+'QUANTITE DETENUES'!H204*H204+I204*'QUANTITE DETENUES'!I204+'QUANTITE DETENUES'!J204*J204+K204*'QUANTITE DETENUES'!K204+'QUANTITE DETENUES'!L204*L204+M204*'QUANTITE DETENUES'!M204+'QUANTITE DETENUES'!N204*N204+O204*'QUANTITE DETENUES'!O204+T204+P204*'QUANTITE DETENUES'!P204+'QUANTITE DETENUES'!Q204*Q204+R204*'QUANTITE DETENUES'!R204+'QUANTITE DETENUES'!S204*S204)</f>
        <v>50186.95668</v>
      </c>
      <c r="V204" s="288"/>
      <c r="W204" s="220"/>
      <c r="X204" s="220"/>
      <c r="Y204" s="220"/>
      <c r="Z204" s="220"/>
      <c r="AA204" s="220"/>
      <c r="AB204" s="220"/>
      <c r="AC204" s="220"/>
      <c r="AD204" s="220"/>
      <c r="AE204" s="220"/>
      <c r="AF204" s="220"/>
      <c r="AG204" s="308"/>
      <c r="AH204" s="220"/>
      <c r="AI204" s="220"/>
      <c r="AJ204" s="220"/>
      <c r="AK204" s="220"/>
      <c r="AL204" s="220"/>
      <c r="AM204" s="220"/>
    </row>
    <row r="205">
      <c r="A205" s="409">
        <f>IF(ARBITRAGES!E205="","",ARBITRAGES!E205)</f>
        <v>45978</v>
      </c>
      <c r="B205" s="31">
        <v>92000.0</v>
      </c>
      <c r="C205" s="31">
        <v>3000.0</v>
      </c>
      <c r="D205" s="31">
        <v>1.75</v>
      </c>
      <c r="E205" s="31">
        <v>130.0</v>
      </c>
      <c r="F205" s="31">
        <v>310.0</v>
      </c>
      <c r="G205" s="31">
        <v>0.24</v>
      </c>
      <c r="H205" s="31">
        <v>13.5</v>
      </c>
      <c r="I205" s="31">
        <v>0.156</v>
      </c>
      <c r="J205" s="31">
        <v>8.7E-6</v>
      </c>
      <c r="K205" s="31">
        <v>2.33</v>
      </c>
      <c r="L205" s="31">
        <v>0.265</v>
      </c>
      <c r="M205" s="31">
        <v>170.0</v>
      </c>
      <c r="N205" s="31">
        <v>0.003</v>
      </c>
      <c r="O205" s="31">
        <v>2.28</v>
      </c>
      <c r="P205" s="31">
        <v>8.6E-4</v>
      </c>
      <c r="Q205" s="31">
        <v>4.8E-6</v>
      </c>
      <c r="R205" s="31">
        <v>0.4</v>
      </c>
      <c r="S205" s="136">
        <v>1.2</v>
      </c>
      <c r="T205" s="14">
        <f>IF(A205="","",ARBITRAGES!M205)</f>
        <v>8157.26641</v>
      </c>
      <c r="U205" s="417">
        <f>IF(A205="","",B205*'QUANTITE DETENUES'!B205+'QUANTITE DETENUES'!C205*C205+'QUANTITE DETENUES'!D205*D205+E205*'QUANTITE DETENUES'!E205+'QUANTITE DETENUES'!F205*F205+G205*'QUANTITE DETENUES'!G205+'QUANTITE DETENUES'!H205*H205+I205*'QUANTITE DETENUES'!I205+'QUANTITE DETENUES'!J205*J205+K205*'QUANTITE DETENUES'!K205+'QUANTITE DETENUES'!L205*L205+M205*'QUANTITE DETENUES'!M205+'QUANTITE DETENUES'!N205*N205+O205*'QUANTITE DETENUES'!O205+T205+P205*'QUANTITE DETENUES'!P205+'QUANTITE DETENUES'!Q205*Q205+R205*'QUANTITE DETENUES'!R205+'QUANTITE DETENUES'!S205*S205)</f>
        <v>49950.97459</v>
      </c>
      <c r="V205" s="288"/>
      <c r="W205" s="220"/>
      <c r="X205" s="220"/>
      <c r="Y205" s="220"/>
      <c r="Z205" s="220"/>
      <c r="AA205" s="220"/>
      <c r="AB205" s="220"/>
      <c r="AC205" s="220"/>
      <c r="AD205" s="220"/>
      <c r="AE205" s="220"/>
      <c r="AF205" s="220"/>
      <c r="AG205" s="308"/>
      <c r="AH205" s="220"/>
      <c r="AI205" s="220"/>
      <c r="AJ205" s="220"/>
      <c r="AK205" s="220"/>
      <c r="AL205" s="220"/>
      <c r="AM205" s="220"/>
    </row>
    <row r="206">
      <c r="A206" s="409">
        <f>IF(ARBITRAGES!E206="","",ARBITRAGES!E206)</f>
        <v>45978</v>
      </c>
      <c r="B206" s="31">
        <v>91500.0</v>
      </c>
      <c r="C206" s="31">
        <v>3050.0</v>
      </c>
      <c r="D206" s="31">
        <v>1.75</v>
      </c>
      <c r="E206" s="31">
        <v>140.0</v>
      </c>
      <c r="F206" s="31">
        <v>330.0</v>
      </c>
      <c r="G206" s="31">
        <v>0.25</v>
      </c>
      <c r="H206" s="31">
        <v>13.55</v>
      </c>
      <c r="I206" s="31">
        <v>0.156</v>
      </c>
      <c r="J206" s="31">
        <v>8.7E-6</v>
      </c>
      <c r="K206" s="31">
        <v>2.36</v>
      </c>
      <c r="L206" s="31">
        <v>0.27</v>
      </c>
      <c r="M206" s="31">
        <v>175.0</v>
      </c>
      <c r="N206" s="31">
        <v>0.0028</v>
      </c>
      <c r="O206" s="31">
        <v>2.35</v>
      </c>
      <c r="P206" s="31">
        <v>8.0E-4</v>
      </c>
      <c r="Q206" s="31">
        <v>4.8E-6</v>
      </c>
      <c r="R206" s="31">
        <v>0.4</v>
      </c>
      <c r="S206" s="136">
        <v>1.22</v>
      </c>
      <c r="T206" s="14">
        <f>IF(A206="","",ARBITRAGES!M206)</f>
        <v>8502.26641</v>
      </c>
      <c r="U206" s="417">
        <f>IF(A206="","",B206*'QUANTITE DETENUES'!B206+'QUANTITE DETENUES'!C206*C206+'QUANTITE DETENUES'!D206*D206+E206*'QUANTITE DETENUES'!E206+'QUANTITE DETENUES'!F206*F206+G206*'QUANTITE DETENUES'!G206+'QUANTITE DETENUES'!H206*H206+I206*'QUANTITE DETENUES'!I206+'QUANTITE DETENUES'!J206*J206+K206*'QUANTITE DETENUES'!K206+'QUANTITE DETENUES'!L206*L206+M206*'QUANTITE DETENUES'!M206+'QUANTITE DETENUES'!N206*N206+O206*'QUANTITE DETENUES'!O206+T206+P206*'QUANTITE DETENUES'!P206+'QUANTITE DETENUES'!Q206*Q206+R206*'QUANTITE DETENUES'!R206+'QUANTITE DETENUES'!S206*S206)</f>
        <v>50259.02658</v>
      </c>
      <c r="V206" s="288"/>
      <c r="W206" s="220"/>
      <c r="X206" s="220"/>
      <c r="Y206" s="220"/>
      <c r="Z206" s="220"/>
      <c r="AA206" s="220"/>
      <c r="AB206" s="220"/>
      <c r="AC206" s="220"/>
      <c r="AD206" s="220"/>
      <c r="AE206" s="220"/>
      <c r="AF206" s="220"/>
      <c r="AG206" s="308"/>
      <c r="AH206" s="220"/>
      <c r="AI206" s="220"/>
      <c r="AJ206" s="220"/>
      <c r="AK206" s="220"/>
      <c r="AL206" s="220"/>
      <c r="AM206" s="220"/>
    </row>
    <row r="207">
      <c r="A207" s="409">
        <f>IF(ARBITRAGES!E207="","",ARBITRAGES!E207)</f>
        <v>45978</v>
      </c>
      <c r="B207" s="31">
        <v>93200.0</v>
      </c>
      <c r="C207" s="31">
        <v>3150.0</v>
      </c>
      <c r="D207" s="31">
        <v>1.8</v>
      </c>
      <c r="E207" s="31">
        <v>140.0</v>
      </c>
      <c r="F207" s="31">
        <v>330.0</v>
      </c>
      <c r="G207" s="31">
        <v>0.25</v>
      </c>
      <c r="H207" s="31">
        <v>13.7</v>
      </c>
      <c r="I207" s="31">
        <v>0.156</v>
      </c>
      <c r="J207" s="31">
        <v>8.8E-6</v>
      </c>
      <c r="K207" s="31">
        <v>2.38</v>
      </c>
      <c r="L207" s="31">
        <v>0.27</v>
      </c>
      <c r="M207" s="31">
        <v>180.0</v>
      </c>
      <c r="N207" s="31">
        <v>0.0029</v>
      </c>
      <c r="O207" s="31">
        <v>2.45</v>
      </c>
      <c r="P207" s="31">
        <v>8.0E-4</v>
      </c>
      <c r="Q207" s="31">
        <v>4.8E-6</v>
      </c>
      <c r="R207" s="31">
        <v>0.41</v>
      </c>
      <c r="S207" s="136">
        <v>1.22</v>
      </c>
      <c r="T207" s="14">
        <f>IF(A207="","",ARBITRAGES!M207)</f>
        <v>8782.26641</v>
      </c>
      <c r="U207" s="417">
        <f>IF(A207="","",B207*'QUANTITE DETENUES'!B207+'QUANTITE DETENUES'!C207*C207+'QUANTITE DETENUES'!D207*D207+E207*'QUANTITE DETENUES'!E207+'QUANTITE DETENUES'!F207*F207+G207*'QUANTITE DETENUES'!G207+'QUANTITE DETENUES'!H207*H207+I207*'QUANTITE DETENUES'!I207+'QUANTITE DETENUES'!J207*J207+K207*'QUANTITE DETENUES'!K207+'QUANTITE DETENUES'!L207*L207+M207*'QUANTITE DETENUES'!M207+'QUANTITE DETENUES'!N207*N207+O207*'QUANTITE DETENUES'!O207+T207+P207*'QUANTITE DETENUES'!P207+'QUANTITE DETENUES'!Q207*Q207+R207*'QUANTITE DETENUES'!R207+'QUANTITE DETENUES'!S207*S207)</f>
        <v>51053.33978</v>
      </c>
      <c r="V207" s="288"/>
      <c r="W207" s="220"/>
      <c r="X207" s="220"/>
      <c r="Y207" s="220"/>
      <c r="Z207" s="220"/>
      <c r="AA207" s="220"/>
      <c r="AB207" s="220"/>
      <c r="AC207" s="220"/>
      <c r="AD207" s="220"/>
      <c r="AE207" s="220"/>
      <c r="AF207" s="220"/>
      <c r="AG207" s="308"/>
      <c r="AH207" s="220"/>
      <c r="AI207" s="220"/>
      <c r="AJ207" s="220"/>
      <c r="AK207" s="220"/>
      <c r="AL207" s="220"/>
      <c r="AM207" s="220"/>
    </row>
    <row r="208">
      <c r="A208" s="409">
        <f>IF(ARBITRAGES!E208="","",ARBITRAGES!E208)</f>
        <v>45979</v>
      </c>
      <c r="B208" s="31">
        <v>93200.0</v>
      </c>
      <c r="C208" s="31">
        <v>3150.0</v>
      </c>
      <c r="D208" s="31">
        <v>1.8</v>
      </c>
      <c r="E208" s="31">
        <v>140.0</v>
      </c>
      <c r="F208" s="31">
        <v>330.0</v>
      </c>
      <c r="G208" s="31">
        <v>0.25</v>
      </c>
      <c r="H208" s="31">
        <v>13.7</v>
      </c>
      <c r="I208" s="31">
        <v>0.156</v>
      </c>
      <c r="J208" s="31">
        <v>8.8E-6</v>
      </c>
      <c r="K208" s="31">
        <v>2.38</v>
      </c>
      <c r="L208" s="31">
        <v>0.27</v>
      </c>
      <c r="M208" s="31">
        <v>180.0</v>
      </c>
      <c r="N208" s="31">
        <v>0.0029</v>
      </c>
      <c r="O208" s="31">
        <v>2.45</v>
      </c>
      <c r="P208" s="31">
        <v>8.0E-4</v>
      </c>
      <c r="Q208" s="31">
        <v>4.8E-6</v>
      </c>
      <c r="R208" s="31">
        <v>0.41</v>
      </c>
      <c r="S208" s="136">
        <v>1.22</v>
      </c>
      <c r="T208" s="14">
        <f>IF(A208="","",ARBITRAGES!M208)</f>
        <v>9098.26641</v>
      </c>
      <c r="U208" s="417">
        <f>IF(A208="","",B208*'QUANTITE DETENUES'!B208+'QUANTITE DETENUES'!C208*C208+'QUANTITE DETENUES'!D208*D208+E208*'QUANTITE DETENUES'!E208+'QUANTITE DETENUES'!F208*F208+G208*'QUANTITE DETENUES'!G208+'QUANTITE DETENUES'!H208*H208+I208*'QUANTITE DETENUES'!I208+'QUANTITE DETENUES'!J208*J208+K208*'QUANTITE DETENUES'!K208+'QUANTITE DETENUES'!L208*L208+M208*'QUANTITE DETENUES'!M208+'QUANTITE DETENUES'!N208*N208+O208*'QUANTITE DETENUES'!O208+T208+P208*'QUANTITE DETENUES'!P208+'QUANTITE DETENUES'!Q208*Q208+R208*'QUANTITE DETENUES'!R208+'QUANTITE DETENUES'!S208*S208)</f>
        <v>51138.33978</v>
      </c>
      <c r="V208" s="288"/>
      <c r="W208" s="220"/>
      <c r="X208" s="220"/>
      <c r="Y208" s="220"/>
      <c r="Z208" s="220"/>
      <c r="AA208" s="220"/>
      <c r="AB208" s="220"/>
      <c r="AC208" s="220"/>
      <c r="AD208" s="220"/>
      <c r="AE208" s="220"/>
      <c r="AF208" s="220"/>
      <c r="AG208" s="308"/>
      <c r="AH208" s="220"/>
      <c r="AI208" s="220"/>
      <c r="AJ208" s="220"/>
      <c r="AK208" s="220"/>
      <c r="AL208" s="220"/>
      <c r="AM208" s="220"/>
    </row>
    <row r="209">
      <c r="A209" s="409">
        <f>IF(ARBITRAGES!E209="","",ARBITRAGES!E209)</f>
        <v>45980</v>
      </c>
      <c r="B209" s="31">
        <v>86500.0</v>
      </c>
      <c r="C209" s="31">
        <v>2850.0</v>
      </c>
      <c r="D209" s="31">
        <v>1.6</v>
      </c>
      <c r="E209" s="31">
        <v>130.0</v>
      </c>
      <c r="F209" s="31">
        <v>305.0</v>
      </c>
      <c r="G209" s="31">
        <v>0.23</v>
      </c>
      <c r="H209" s="31">
        <v>13.0</v>
      </c>
      <c r="I209" s="31">
        <v>0.15</v>
      </c>
      <c r="J209" s="31">
        <v>8.2E-6</v>
      </c>
      <c r="K209" s="31">
        <v>2.2</v>
      </c>
      <c r="L209" s="31">
        <v>0.25</v>
      </c>
      <c r="M209" s="31">
        <v>160.0</v>
      </c>
      <c r="N209" s="31">
        <v>0.0026</v>
      </c>
      <c r="O209" s="31">
        <v>2.3</v>
      </c>
      <c r="P209" s="31">
        <v>7.4E-4</v>
      </c>
      <c r="Q209" s="31">
        <v>4.5E-6</v>
      </c>
      <c r="R209" s="31">
        <v>0.38</v>
      </c>
      <c r="S209" s="136">
        <v>1.15</v>
      </c>
      <c r="T209" s="14">
        <f>IF(A209="","",ARBITRAGES!M209)</f>
        <v>8798.26641</v>
      </c>
      <c r="U209" s="417">
        <f>IF(A209="","",B209*'QUANTITE DETENUES'!B209+'QUANTITE DETENUES'!C209*C209+'QUANTITE DETENUES'!D209*D209+E209*'QUANTITE DETENUES'!E209+'QUANTITE DETENUES'!F209*F209+G209*'QUANTITE DETENUES'!G209+'QUANTITE DETENUES'!H209*H209+I209*'QUANTITE DETENUES'!I209+'QUANTITE DETENUES'!J209*J209+K209*'QUANTITE DETENUES'!K209+'QUANTITE DETENUES'!L209*L209+M209*'QUANTITE DETENUES'!M209+'QUANTITE DETENUES'!N209*N209+O209*'QUANTITE DETENUES'!O209+T209+P209*'QUANTITE DETENUES'!P209+'QUANTITE DETENUES'!Q209*Q209+R209*'QUANTITE DETENUES'!R209+'QUANTITE DETENUES'!S209*S209)</f>
        <v>47928.09342</v>
      </c>
      <c r="V209" s="288"/>
      <c r="W209" s="220"/>
      <c r="X209" s="220"/>
      <c r="Y209" s="220"/>
      <c r="Z209" s="220"/>
      <c r="AA209" s="220"/>
      <c r="AB209" s="220"/>
      <c r="AC209" s="220"/>
      <c r="AD209" s="220"/>
      <c r="AE209" s="220"/>
      <c r="AF209" s="220"/>
      <c r="AG209" s="308"/>
      <c r="AH209" s="220"/>
      <c r="AI209" s="220"/>
      <c r="AJ209" s="220"/>
      <c r="AK209" s="220"/>
      <c r="AL209" s="220"/>
      <c r="AM209" s="220"/>
    </row>
    <row r="210">
      <c r="A210" s="409">
        <f>IF(ARBITRAGES!E210="","",ARBITRAGES!E210)</f>
        <v>45981</v>
      </c>
      <c r="B210" s="31">
        <v>86500.0</v>
      </c>
      <c r="C210" s="31">
        <v>2850.0</v>
      </c>
      <c r="D210" s="31">
        <v>1.6</v>
      </c>
      <c r="E210" s="31">
        <v>130.0</v>
      </c>
      <c r="F210" s="31">
        <v>305.0</v>
      </c>
      <c r="G210" s="31">
        <v>0.23</v>
      </c>
      <c r="H210" s="31">
        <v>13.0</v>
      </c>
      <c r="I210" s="31">
        <v>0.15</v>
      </c>
      <c r="J210" s="31">
        <v>8.2E-6</v>
      </c>
      <c r="K210" s="31">
        <v>2.2</v>
      </c>
      <c r="L210" s="31">
        <v>0.25</v>
      </c>
      <c r="M210" s="31">
        <v>160.0</v>
      </c>
      <c r="N210" s="31">
        <v>0.0026</v>
      </c>
      <c r="O210" s="31">
        <v>2.3</v>
      </c>
      <c r="P210" s="31">
        <v>7.4E-4</v>
      </c>
      <c r="Q210" s="31">
        <v>4.5E-6</v>
      </c>
      <c r="R210" s="31">
        <v>0.38</v>
      </c>
      <c r="S210" s="136">
        <v>1.15</v>
      </c>
      <c r="T210" s="14">
        <f>IF(A210="","",ARBITRAGES!M210)</f>
        <v>8498.26641</v>
      </c>
      <c r="U210" s="417">
        <f>IF(A210="","",B210*'QUANTITE DETENUES'!B210+'QUANTITE DETENUES'!C210*C210+'QUANTITE DETENUES'!D210*D210+E210*'QUANTITE DETENUES'!E210+'QUANTITE DETENUES'!F210*F210+G210*'QUANTITE DETENUES'!G210+'QUANTITE DETENUES'!H210*H210+I210*'QUANTITE DETENUES'!I210+'QUANTITE DETENUES'!J210*J210+K210*'QUANTITE DETENUES'!K210+'QUANTITE DETENUES'!L210*L210+M210*'QUANTITE DETENUES'!M210+'QUANTITE DETENUES'!N210*N210+O210*'QUANTITE DETENUES'!O210+T210+P210*'QUANTITE DETENUES'!P210+'QUANTITE DETENUES'!Q210*Q210+R210*'QUANTITE DETENUES'!R210+'QUANTITE DETENUES'!S210*S210)</f>
        <v>47926.36928</v>
      </c>
      <c r="V210" s="288"/>
      <c r="W210" s="220"/>
      <c r="X210" s="220"/>
      <c r="Y210" s="220"/>
      <c r="Z210" s="220"/>
      <c r="AA210" s="220"/>
      <c r="AB210" s="220"/>
      <c r="AC210" s="220"/>
      <c r="AD210" s="220"/>
      <c r="AE210" s="220"/>
      <c r="AF210" s="220"/>
      <c r="AG210" s="308"/>
      <c r="AH210" s="220"/>
      <c r="AI210" s="220"/>
      <c r="AJ210" s="220"/>
      <c r="AK210" s="220"/>
      <c r="AL210" s="220"/>
      <c r="AM210" s="220"/>
    </row>
    <row r="211">
      <c r="A211" s="409">
        <f>IF(ARBITRAGES!E211="","",ARBITRAGES!E211)</f>
        <v>45981</v>
      </c>
      <c r="B211" s="31">
        <v>83500.0</v>
      </c>
      <c r="C211" s="31">
        <v>2800.0</v>
      </c>
      <c r="D211" s="31">
        <v>1.5</v>
      </c>
      <c r="E211" s="31">
        <v>127.0</v>
      </c>
      <c r="F211" s="31">
        <v>270.0</v>
      </c>
      <c r="G211" s="31">
        <v>0.214</v>
      </c>
      <c r="H211" s="31">
        <v>12.0</v>
      </c>
      <c r="I211" s="31">
        <v>0.14</v>
      </c>
      <c r="J211" s="31">
        <v>7.7E-6</v>
      </c>
      <c r="K211" s="31">
        <v>2.0</v>
      </c>
      <c r="L211" s="31">
        <v>0.237</v>
      </c>
      <c r="M211" s="31">
        <v>155.0</v>
      </c>
      <c r="N211" s="31">
        <v>0.0024</v>
      </c>
      <c r="O211" s="31">
        <v>2.2</v>
      </c>
      <c r="P211" s="31">
        <v>6.5E-4</v>
      </c>
      <c r="Q211" s="31">
        <v>4.1E-6</v>
      </c>
      <c r="R211" s="31">
        <v>0.334</v>
      </c>
      <c r="S211" s="136">
        <v>1.0</v>
      </c>
      <c r="T211" s="14">
        <f>IF(A211="","",ARBITRAGES!M211)</f>
        <v>7998.26641</v>
      </c>
      <c r="U211" s="417">
        <f>IF(A211="","",B211*'QUANTITE DETENUES'!B211+'QUANTITE DETENUES'!C211*C211+'QUANTITE DETENUES'!D211*D211+E211*'QUANTITE DETENUES'!E211+'QUANTITE DETENUES'!F211*F211+G211*'QUANTITE DETENUES'!G211+'QUANTITE DETENUES'!H211*H211+I211*'QUANTITE DETENUES'!I211+'QUANTITE DETENUES'!J211*J211+K211*'QUANTITE DETENUES'!K211+'QUANTITE DETENUES'!L211*L211+M211*'QUANTITE DETENUES'!M211+'QUANTITE DETENUES'!N211*N211+O211*'QUANTITE DETENUES'!O211+T211+P211*'QUANTITE DETENUES'!P211+'QUANTITE DETENUES'!Q211*Q211+R211*'QUANTITE DETENUES'!R211+'QUANTITE DETENUES'!S211*S211)</f>
        <v>46475.85983</v>
      </c>
      <c r="V211" s="288"/>
      <c r="W211" s="220"/>
      <c r="X211" s="220"/>
      <c r="Y211" s="220"/>
      <c r="Z211" s="220"/>
      <c r="AA211" s="220"/>
      <c r="AB211" s="220"/>
      <c r="AC211" s="220"/>
      <c r="AD211" s="220"/>
      <c r="AE211" s="220"/>
      <c r="AF211" s="220"/>
      <c r="AG211" s="308"/>
      <c r="AH211" s="220"/>
      <c r="AI211" s="220"/>
      <c r="AJ211" s="220"/>
      <c r="AK211" s="220"/>
      <c r="AL211" s="220"/>
      <c r="AM211" s="220"/>
    </row>
    <row r="212">
      <c r="A212" s="409">
        <f>IF(ARBITRAGES!E212="","",ARBITRAGES!E212)</f>
        <v>45981</v>
      </c>
      <c r="B212" s="31">
        <v>83500.0</v>
      </c>
      <c r="C212" s="31">
        <v>2800.0</v>
      </c>
      <c r="D212" s="31">
        <v>1.5</v>
      </c>
      <c r="E212" s="31">
        <v>127.0</v>
      </c>
      <c r="F212" s="31">
        <v>270.0</v>
      </c>
      <c r="G212" s="31">
        <v>0.214</v>
      </c>
      <c r="H212" s="31">
        <v>12.0</v>
      </c>
      <c r="I212" s="31">
        <v>0.14</v>
      </c>
      <c r="J212" s="31">
        <v>7.7E-6</v>
      </c>
      <c r="K212" s="31">
        <v>2.0</v>
      </c>
      <c r="L212" s="31">
        <v>0.237</v>
      </c>
      <c r="M212" s="31">
        <v>155.0</v>
      </c>
      <c r="N212" s="31">
        <v>0.0024</v>
      </c>
      <c r="O212" s="31">
        <v>2.2</v>
      </c>
      <c r="P212" s="31">
        <v>6.5E-4</v>
      </c>
      <c r="Q212" s="31">
        <v>4.1E-6</v>
      </c>
      <c r="R212" s="31">
        <v>0.334</v>
      </c>
      <c r="S212" s="136">
        <v>1.0</v>
      </c>
      <c r="T212" s="14">
        <f>IF(A212="","",ARBITRAGES!M212)</f>
        <v>7873.26641</v>
      </c>
      <c r="U212" s="417">
        <f>IF(A212="","",B212*'QUANTITE DETENUES'!B212+'QUANTITE DETENUES'!C212*C212+'QUANTITE DETENUES'!D212*D212+E212*'QUANTITE DETENUES'!E212+'QUANTITE DETENUES'!F212*F212+G212*'QUANTITE DETENUES'!G212+'QUANTITE DETENUES'!H212*H212+I212*'QUANTITE DETENUES'!I212+'QUANTITE DETENUES'!J212*J212+K212*'QUANTITE DETENUES'!K212+'QUANTITE DETENUES'!L212*L212+M212*'QUANTITE DETENUES'!M212+'QUANTITE DETENUES'!N212*N212+O212*'QUANTITE DETENUES'!O212+T212+P212*'QUANTITE DETENUES'!P212+'QUANTITE DETENUES'!Q212*Q212+R212*'QUANTITE DETENUES'!R212+'QUANTITE DETENUES'!S212*S212)</f>
        <v>46477.85983</v>
      </c>
      <c r="V212" s="288"/>
      <c r="W212" s="220"/>
      <c r="X212" s="220"/>
      <c r="Y212" s="220"/>
      <c r="Z212" s="220"/>
      <c r="AA212" s="220"/>
      <c r="AB212" s="220"/>
      <c r="AC212" s="220"/>
      <c r="AD212" s="220"/>
      <c r="AE212" s="220"/>
      <c r="AF212" s="220"/>
      <c r="AG212" s="308"/>
      <c r="AH212" s="220"/>
      <c r="AI212" s="220"/>
      <c r="AJ212" s="220"/>
      <c r="AK212" s="220"/>
      <c r="AL212" s="220"/>
      <c r="AM212" s="220"/>
    </row>
    <row r="213">
      <c r="A213" s="409">
        <f>IF(ARBITRAGES!E213="","",ARBITRAGES!E213)</f>
        <v>45981</v>
      </c>
      <c r="B213" s="31">
        <v>83500.0</v>
      </c>
      <c r="C213" s="31">
        <v>2800.0</v>
      </c>
      <c r="D213" s="31">
        <v>1.5</v>
      </c>
      <c r="E213" s="31">
        <v>127.0</v>
      </c>
      <c r="F213" s="31">
        <v>270.0</v>
      </c>
      <c r="G213" s="31">
        <v>0.214</v>
      </c>
      <c r="H213" s="31">
        <v>12.0</v>
      </c>
      <c r="I213" s="31">
        <v>0.14</v>
      </c>
      <c r="J213" s="31">
        <v>7.7E-6</v>
      </c>
      <c r="K213" s="31">
        <v>2.0</v>
      </c>
      <c r="L213" s="31">
        <v>0.237</v>
      </c>
      <c r="M213" s="31">
        <v>155.0</v>
      </c>
      <c r="N213" s="31">
        <v>0.0024</v>
      </c>
      <c r="O213" s="31">
        <v>2.2</v>
      </c>
      <c r="P213" s="31">
        <v>6.5E-4</v>
      </c>
      <c r="Q213" s="31">
        <v>4.1E-6</v>
      </c>
      <c r="R213" s="31">
        <v>0.334</v>
      </c>
      <c r="S213" s="136">
        <v>1.0</v>
      </c>
      <c r="T213" s="14">
        <f>IF(A213="","",ARBITRAGES!M213)</f>
        <v>7598.26641</v>
      </c>
      <c r="U213" s="417">
        <f>IF(A213="","",B213*'QUANTITE DETENUES'!B213+'QUANTITE DETENUES'!C213*C213+'QUANTITE DETENUES'!D213*D213+E213*'QUANTITE DETENUES'!E213+'QUANTITE DETENUES'!F213*F213+G213*'QUANTITE DETENUES'!G213+'QUANTITE DETENUES'!H213*H213+I213*'QUANTITE DETENUES'!I213+'QUANTITE DETENUES'!J213*J213+K213*'QUANTITE DETENUES'!K213+'QUANTITE DETENUES'!L213*L213+M213*'QUANTITE DETENUES'!M213+'QUANTITE DETENUES'!N213*N213+O213*'QUANTITE DETENUES'!O213+T213+P213*'QUANTITE DETENUES'!P213+'QUANTITE DETENUES'!Q213*Q213+R213*'QUANTITE DETENUES'!R213+'QUANTITE DETENUES'!S213*S213)</f>
        <v>46469.09171</v>
      </c>
      <c r="V213" s="288"/>
      <c r="W213" s="220"/>
      <c r="X213" s="220"/>
      <c r="Y213" s="220"/>
      <c r="Z213" s="220"/>
      <c r="AA213" s="220"/>
      <c r="AB213" s="220"/>
      <c r="AC213" s="220"/>
      <c r="AD213" s="220"/>
      <c r="AE213" s="220"/>
      <c r="AF213" s="220"/>
      <c r="AG213" s="308"/>
      <c r="AH213" s="220"/>
      <c r="AI213" s="220"/>
      <c r="AJ213" s="220"/>
      <c r="AK213" s="220"/>
      <c r="AL213" s="220"/>
      <c r="AM213" s="220"/>
    </row>
    <row r="214">
      <c r="A214" s="409">
        <f>IF(ARBITRAGES!E214="","",ARBITRAGES!E214)</f>
        <v>45981</v>
      </c>
      <c r="B214" s="31">
        <v>83500.0</v>
      </c>
      <c r="C214" s="31">
        <v>2800.0</v>
      </c>
      <c r="D214" s="31">
        <v>1.5</v>
      </c>
      <c r="E214" s="31">
        <v>127.0</v>
      </c>
      <c r="F214" s="31">
        <v>270.0</v>
      </c>
      <c r="G214" s="31">
        <v>0.214</v>
      </c>
      <c r="H214" s="31">
        <v>12.0</v>
      </c>
      <c r="I214" s="31">
        <v>0.14</v>
      </c>
      <c r="J214" s="31">
        <v>7.7E-6</v>
      </c>
      <c r="K214" s="31">
        <v>2.0</v>
      </c>
      <c r="L214" s="31">
        <v>0.237</v>
      </c>
      <c r="M214" s="31">
        <v>155.0</v>
      </c>
      <c r="N214" s="31">
        <v>0.0024</v>
      </c>
      <c r="O214" s="31">
        <v>2.2</v>
      </c>
      <c r="P214" s="31">
        <v>6.5E-4</v>
      </c>
      <c r="Q214" s="31">
        <v>4.1E-6</v>
      </c>
      <c r="R214" s="31">
        <v>0.334</v>
      </c>
      <c r="S214" s="136">
        <v>1.0</v>
      </c>
      <c r="T214" s="14">
        <f>IF(A214="","",ARBITRAGES!M214)</f>
        <v>7498.26641</v>
      </c>
      <c r="U214" s="417">
        <f>IF(A214="","",B214*'QUANTITE DETENUES'!B214+'QUANTITE DETENUES'!C214*C214+'QUANTITE DETENUES'!D214*D214+E214*'QUANTITE DETENUES'!E214+'QUANTITE DETENUES'!F214*F214+G214*'QUANTITE DETENUES'!G214+'QUANTITE DETENUES'!H214*H214+I214*'QUANTITE DETENUES'!I214+'QUANTITE DETENUES'!J214*J214+K214*'QUANTITE DETENUES'!K214+'QUANTITE DETENUES'!L214*L214+M214*'QUANTITE DETENUES'!M214+'QUANTITE DETENUES'!N214*N214+O214*'QUANTITE DETENUES'!O214+T214+P214*'QUANTITE DETENUES'!P214+'QUANTITE DETENUES'!Q214*Q214+R214*'QUANTITE DETENUES'!R214+'QUANTITE DETENUES'!S214*S214)</f>
        <v>46469.09171</v>
      </c>
      <c r="V214" s="288"/>
      <c r="W214" s="220"/>
      <c r="X214" s="220"/>
      <c r="Y214" s="220"/>
      <c r="Z214" s="220"/>
      <c r="AA214" s="220"/>
      <c r="AB214" s="220"/>
      <c r="AC214" s="220"/>
      <c r="AD214" s="220"/>
      <c r="AE214" s="220"/>
      <c r="AF214" s="220"/>
      <c r="AG214" s="308"/>
      <c r="AH214" s="220"/>
      <c r="AI214" s="220"/>
      <c r="AJ214" s="220"/>
      <c r="AK214" s="220"/>
      <c r="AL214" s="220"/>
      <c r="AM214" s="220"/>
    </row>
    <row r="215">
      <c r="A215" s="409">
        <f>IF(ARBITRAGES!E215="","",ARBITRAGES!E215)</f>
        <v>45981</v>
      </c>
      <c r="B215" s="31">
        <v>83500.0</v>
      </c>
      <c r="C215" s="31">
        <v>2800.0</v>
      </c>
      <c r="D215" s="31">
        <v>1.5</v>
      </c>
      <c r="E215" s="31">
        <v>127.0</v>
      </c>
      <c r="F215" s="31">
        <v>270.0</v>
      </c>
      <c r="G215" s="31">
        <v>0.214</v>
      </c>
      <c r="H215" s="31">
        <v>12.0</v>
      </c>
      <c r="I215" s="31">
        <v>0.14</v>
      </c>
      <c r="J215" s="31">
        <v>7.7E-6</v>
      </c>
      <c r="K215" s="31">
        <v>2.0</v>
      </c>
      <c r="L215" s="31">
        <v>0.237</v>
      </c>
      <c r="M215" s="31">
        <v>155.0</v>
      </c>
      <c r="N215" s="31">
        <v>0.0024</v>
      </c>
      <c r="O215" s="31">
        <v>2.2</v>
      </c>
      <c r="P215" s="31">
        <v>6.5E-4</v>
      </c>
      <c r="Q215" s="31">
        <v>4.1E-6</v>
      </c>
      <c r="R215" s="31">
        <v>0.334</v>
      </c>
      <c r="S215" s="136">
        <v>1.0</v>
      </c>
      <c r="T215" s="14">
        <f>IF(A215="","",ARBITRAGES!M215)</f>
        <v>7248.26641</v>
      </c>
      <c r="U215" s="417">
        <f>IF(A215="","",B215*'QUANTITE DETENUES'!B215+'QUANTITE DETENUES'!C215*C215+'QUANTITE DETENUES'!D215*D215+E215*'QUANTITE DETENUES'!E215+'QUANTITE DETENUES'!F215*F215+G215*'QUANTITE DETENUES'!G215+'QUANTITE DETENUES'!H215*H215+I215*'QUANTITE DETENUES'!I215+'QUANTITE DETENUES'!J215*J215+K215*'QUANTITE DETENUES'!K215+'QUANTITE DETENUES'!L215*L215+M215*'QUANTITE DETENUES'!M215+'QUANTITE DETENUES'!N215*N215+O215*'QUANTITE DETENUES'!O215+T215+P215*'QUANTITE DETENUES'!P215+'QUANTITE DETENUES'!Q215*Q215+R215*'QUANTITE DETENUES'!R215+'QUANTITE DETENUES'!S215*S215)</f>
        <v>46470.59774</v>
      </c>
      <c r="V215" s="288"/>
      <c r="W215" s="220"/>
      <c r="X215" s="220"/>
      <c r="Y215" s="220"/>
      <c r="Z215" s="220"/>
      <c r="AA215" s="220"/>
      <c r="AB215" s="220"/>
      <c r="AC215" s="220"/>
      <c r="AD215" s="220"/>
      <c r="AE215" s="220"/>
      <c r="AF215" s="220"/>
      <c r="AG215" s="308"/>
      <c r="AH215" s="220"/>
      <c r="AI215" s="220"/>
      <c r="AJ215" s="220"/>
      <c r="AK215" s="220"/>
      <c r="AL215" s="220"/>
      <c r="AM215" s="220"/>
    </row>
    <row r="216">
      <c r="A216" s="409">
        <f>IF(ARBITRAGES!E216="","",ARBITRAGES!E216)</f>
        <v>45981</v>
      </c>
      <c r="B216" s="31">
        <v>83500.0</v>
      </c>
      <c r="C216" s="31">
        <v>2800.0</v>
      </c>
      <c r="D216" s="31">
        <v>1.5</v>
      </c>
      <c r="E216" s="31">
        <v>127.0</v>
      </c>
      <c r="F216" s="31">
        <v>270.0</v>
      </c>
      <c r="G216" s="31">
        <v>0.214</v>
      </c>
      <c r="H216" s="31">
        <v>12.0</v>
      </c>
      <c r="I216" s="31">
        <v>0.14</v>
      </c>
      <c r="J216" s="31">
        <v>7.7E-6</v>
      </c>
      <c r="K216" s="31">
        <v>2.0</v>
      </c>
      <c r="L216" s="31">
        <v>0.237</v>
      </c>
      <c r="M216" s="31">
        <v>155.0</v>
      </c>
      <c r="N216" s="31">
        <v>0.0024</v>
      </c>
      <c r="O216" s="31">
        <v>2.2</v>
      </c>
      <c r="P216" s="31">
        <v>6.5E-4</v>
      </c>
      <c r="Q216" s="31">
        <v>4.1E-6</v>
      </c>
      <c r="R216" s="31">
        <v>0.334</v>
      </c>
      <c r="S216" s="136">
        <v>1.0</v>
      </c>
      <c r="T216" s="14">
        <f>IF(A216="","",ARBITRAGES!M216)</f>
        <v>7098.26641</v>
      </c>
      <c r="U216" s="417">
        <f>IF(A216="","",B216*'QUANTITE DETENUES'!B216+'QUANTITE DETENUES'!C216*C216+'QUANTITE DETENUES'!D216*D216+E216*'QUANTITE DETENUES'!E216+'QUANTITE DETENUES'!F216*F216+G216*'QUANTITE DETENUES'!G216+'QUANTITE DETENUES'!H216*H216+I216*'QUANTITE DETENUES'!I216+'QUANTITE DETENUES'!J216*J216+K216*'QUANTITE DETENUES'!K216+'QUANTITE DETENUES'!L216*L216+M216*'QUANTITE DETENUES'!M216+'QUANTITE DETENUES'!N216*N216+O216*'QUANTITE DETENUES'!O216+T216+P216*'QUANTITE DETENUES'!P216+'QUANTITE DETENUES'!Q216*Q216+R216*'QUANTITE DETENUES'!R216+'QUANTITE DETENUES'!S216*S216)</f>
        <v>46471.86585</v>
      </c>
      <c r="V216" s="288"/>
      <c r="W216" s="220"/>
      <c r="X216" s="220"/>
      <c r="Y216" s="220"/>
      <c r="Z216" s="220"/>
      <c r="AA216" s="220"/>
      <c r="AB216" s="220"/>
      <c r="AC216" s="220"/>
      <c r="AD216" s="220"/>
      <c r="AE216" s="220"/>
      <c r="AF216" s="220"/>
      <c r="AG216" s="308"/>
      <c r="AH216" s="220"/>
      <c r="AI216" s="220"/>
      <c r="AJ216" s="220"/>
      <c r="AK216" s="220"/>
      <c r="AL216" s="220"/>
      <c r="AM216" s="220"/>
    </row>
    <row r="217">
      <c r="A217" s="409">
        <f>IF(ARBITRAGES!E217="","",ARBITRAGES!E217)</f>
        <v>45982</v>
      </c>
      <c r="B217" s="31">
        <v>85000.0</v>
      </c>
      <c r="C217" s="31">
        <v>2800.0</v>
      </c>
      <c r="D217" s="31">
        <v>1.53</v>
      </c>
      <c r="E217" s="31">
        <v>127.0</v>
      </c>
      <c r="F217" s="31">
        <v>280.0</v>
      </c>
      <c r="G217" s="31">
        <v>0.217</v>
      </c>
      <c r="H217" s="31">
        <v>12.3</v>
      </c>
      <c r="I217" s="31">
        <v>0.141</v>
      </c>
      <c r="J217" s="31">
        <v>8.0E-6</v>
      </c>
      <c r="K217" s="31">
        <v>2.1</v>
      </c>
      <c r="L217" s="31">
        <v>0.243</v>
      </c>
      <c r="M217" s="31">
        <v>160.0</v>
      </c>
      <c r="N217" s="31">
        <v>0.00255</v>
      </c>
      <c r="O217" s="31">
        <v>2.2</v>
      </c>
      <c r="P217" s="31">
        <v>7.0E-4</v>
      </c>
      <c r="Q217" s="31">
        <v>4.2E-6</v>
      </c>
      <c r="R217" s="31">
        <v>0.333</v>
      </c>
      <c r="S217" s="136">
        <v>1.03</v>
      </c>
      <c r="T217" s="14">
        <f>IF(A217="","",ARBITRAGES!M217)</f>
        <v>6998.26641</v>
      </c>
      <c r="U217" s="417">
        <f>IF(A217="","",B217*'QUANTITE DETENUES'!B217+'QUANTITE DETENUES'!C217*C217+'QUANTITE DETENUES'!D217*D217+E217*'QUANTITE DETENUES'!E217+'QUANTITE DETENUES'!F217*F217+G217*'QUANTITE DETENUES'!G217+'QUANTITE DETENUES'!H217*H217+I217*'QUANTITE DETENUES'!I217+'QUANTITE DETENUES'!J217*J217+K217*'QUANTITE DETENUES'!K217+'QUANTITE DETENUES'!L217*L217+M217*'QUANTITE DETENUES'!M217+'QUANTITE DETENUES'!N217*N217+O217*'QUANTITE DETENUES'!O217+T217+P217*'QUANTITE DETENUES'!P217+'QUANTITE DETENUES'!Q217*Q217+R217*'QUANTITE DETENUES'!R217+'QUANTITE DETENUES'!S217*S217)</f>
        <v>47074.14994</v>
      </c>
      <c r="V217" s="288"/>
      <c r="W217" s="220"/>
      <c r="X217" s="220"/>
      <c r="Y217" s="220"/>
      <c r="Z217" s="220"/>
      <c r="AA217" s="220"/>
      <c r="AB217" s="220"/>
      <c r="AC217" s="220"/>
      <c r="AD217" s="220"/>
      <c r="AE217" s="220"/>
      <c r="AF217" s="220"/>
      <c r="AG217" s="308"/>
      <c r="AH217" s="220"/>
      <c r="AI217" s="220"/>
      <c r="AJ217" s="220"/>
      <c r="AK217" s="220"/>
      <c r="AL217" s="220"/>
      <c r="AM217" s="220"/>
    </row>
    <row r="218">
      <c r="A218" s="409">
        <f>IF(ARBITRAGES!E218="","",ARBITRAGES!E218)</f>
        <v>45988</v>
      </c>
      <c r="B218" s="31">
        <v>92500.0</v>
      </c>
      <c r="C218" s="31">
        <v>3075.0</v>
      </c>
      <c r="D218" s="31">
        <v>1.65</v>
      </c>
      <c r="E218" s="31">
        <v>145.0</v>
      </c>
      <c r="F218" s="31">
        <v>315.0</v>
      </c>
      <c r="G218" s="31">
        <v>0.185</v>
      </c>
      <c r="H218" s="31">
        <v>13.4</v>
      </c>
      <c r="I218" s="31">
        <v>0.155</v>
      </c>
      <c r="J218" s="31">
        <v>9.0E-6</v>
      </c>
      <c r="K218" s="31">
        <v>2.5</v>
      </c>
      <c r="L218" s="31">
        <v>0.255</v>
      </c>
      <c r="M218" s="31">
        <v>190.0</v>
      </c>
      <c r="N218" s="31">
        <v>0.0029</v>
      </c>
      <c r="O218" s="31">
        <v>2.85</v>
      </c>
      <c r="P218" s="31">
        <v>7.7E-4</v>
      </c>
      <c r="Q218" s="31">
        <v>4.8E-6</v>
      </c>
      <c r="R218" s="31">
        <v>0.39</v>
      </c>
      <c r="S218" s="136">
        <v>1.2</v>
      </c>
      <c r="T218" s="14">
        <f>IF(A218="","",ARBITRAGES!M218)</f>
        <v>7156.381256</v>
      </c>
      <c r="U218" s="417">
        <f>IF(A218="","",B218*'QUANTITE DETENUES'!B218+'QUANTITE DETENUES'!C218*C218+'QUANTITE DETENUES'!D218*D218+E218*'QUANTITE DETENUES'!E218+'QUANTITE DETENUES'!F218*F218+G218*'QUANTITE DETENUES'!G218+'QUANTITE DETENUES'!H218*H218+I218*'QUANTITE DETENUES'!I218+'QUANTITE DETENUES'!J218*J218+K218*'QUANTITE DETENUES'!K218+'QUANTITE DETENUES'!L218*L218+M218*'QUANTITE DETENUES'!M218+'QUANTITE DETENUES'!N218*N218+O218*'QUANTITE DETENUES'!O218+T218+P218*'QUANTITE DETENUES'!P218+'QUANTITE DETENUES'!Q218*Q218+R218*'QUANTITE DETENUES'!R218+'QUANTITE DETENUES'!S218*S218)</f>
        <v>50959.10987</v>
      </c>
      <c r="V218" s="288"/>
      <c r="W218" s="220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308"/>
      <c r="AH218" s="220"/>
      <c r="AI218" s="220"/>
      <c r="AJ218" s="220"/>
      <c r="AK218" s="220"/>
      <c r="AL218" s="220"/>
      <c r="AM218" s="220"/>
    </row>
    <row r="219">
      <c r="A219" s="409">
        <f>IF(ARBITRAGES!E219="","",ARBITRAGES!E219)</f>
        <v>45988</v>
      </c>
      <c r="B219" s="31">
        <v>92500.0</v>
      </c>
      <c r="C219" s="31">
        <v>3075.0</v>
      </c>
      <c r="D219" s="31">
        <v>1.65</v>
      </c>
      <c r="E219" s="31">
        <v>145.0</v>
      </c>
      <c r="F219" s="31">
        <v>315.0</v>
      </c>
      <c r="G219" s="31">
        <v>0.185</v>
      </c>
      <c r="H219" s="31">
        <v>13.4</v>
      </c>
      <c r="I219" s="31">
        <v>0.155</v>
      </c>
      <c r="J219" s="31">
        <v>9.0E-6</v>
      </c>
      <c r="K219" s="31">
        <v>2.5</v>
      </c>
      <c r="L219" s="31">
        <v>0.255</v>
      </c>
      <c r="M219" s="31">
        <v>190.0</v>
      </c>
      <c r="N219" s="31">
        <v>0.0029</v>
      </c>
      <c r="O219" s="31">
        <v>2.85</v>
      </c>
      <c r="P219" s="31">
        <v>7.7E-4</v>
      </c>
      <c r="Q219" s="31">
        <v>4.8E-6</v>
      </c>
      <c r="R219" s="31">
        <v>0.39</v>
      </c>
      <c r="S219" s="136">
        <v>1.2</v>
      </c>
      <c r="T219" s="14">
        <f>IF(A219="","",ARBITRAGES!M219)</f>
        <v>7339.781256</v>
      </c>
      <c r="U219" s="417">
        <f>IF(A219="","",B219*'QUANTITE DETENUES'!B219+'QUANTITE DETENUES'!C219*C219+'QUANTITE DETENUES'!D219*D219+E219*'QUANTITE DETENUES'!E219+'QUANTITE DETENUES'!F219*F219+G219*'QUANTITE DETENUES'!G219+'QUANTITE DETENUES'!H219*H219+I219*'QUANTITE DETENUES'!I219+'QUANTITE DETENUES'!J219*J219+K219*'QUANTITE DETENUES'!K219+'QUANTITE DETENUES'!L219*L219+M219*'QUANTITE DETENUES'!M219+'QUANTITE DETENUES'!N219*N219+O219*'QUANTITE DETENUES'!O219+T219+P219*'QUANTITE DETENUES'!P219+'QUANTITE DETENUES'!Q219*Q219+R219*'QUANTITE DETENUES'!R219+'QUANTITE DETENUES'!S219*S219)</f>
        <v>50957.50987</v>
      </c>
      <c r="V219" s="288"/>
      <c r="W219" s="220"/>
      <c r="X219" s="220"/>
      <c r="Y219" s="220"/>
      <c r="Z219" s="220"/>
      <c r="AA219" s="220"/>
      <c r="AB219" s="220"/>
      <c r="AC219" s="220"/>
      <c r="AD219" s="220"/>
      <c r="AE219" s="220"/>
      <c r="AF219" s="220"/>
      <c r="AG219" s="308"/>
      <c r="AH219" s="220"/>
      <c r="AI219" s="220"/>
      <c r="AJ219" s="220"/>
      <c r="AK219" s="220"/>
      <c r="AL219" s="220"/>
      <c r="AM219" s="220"/>
    </row>
    <row r="220">
      <c r="A220" s="409">
        <f>IF(ARBITRAGES!E220="","",ARBITRAGES!E220)</f>
        <v>45988</v>
      </c>
      <c r="B220" s="31">
        <v>92500.0</v>
      </c>
      <c r="C220" s="31">
        <v>3075.0</v>
      </c>
      <c r="D220" s="31">
        <v>1.65</v>
      </c>
      <c r="E220" s="31">
        <v>145.0</v>
      </c>
      <c r="F220" s="31">
        <v>315.0</v>
      </c>
      <c r="G220" s="31">
        <v>0.185</v>
      </c>
      <c r="H220" s="31">
        <v>13.4</v>
      </c>
      <c r="I220" s="31">
        <v>0.155</v>
      </c>
      <c r="J220" s="31">
        <v>9.0E-6</v>
      </c>
      <c r="K220" s="31">
        <v>2.5</v>
      </c>
      <c r="L220" s="31">
        <v>0.255</v>
      </c>
      <c r="M220" s="31">
        <v>190.0</v>
      </c>
      <c r="N220" s="31">
        <v>0.0029</v>
      </c>
      <c r="O220" s="31">
        <v>2.85</v>
      </c>
      <c r="P220" s="31">
        <v>7.7E-4</v>
      </c>
      <c r="Q220" s="31">
        <v>4.8E-6</v>
      </c>
      <c r="R220" s="31">
        <v>0.39</v>
      </c>
      <c r="S220" s="136">
        <v>1.2</v>
      </c>
      <c r="T220" s="14">
        <f>IF(A220="","",ARBITRAGES!M220)</f>
        <v>7615.781256</v>
      </c>
      <c r="U220" s="417">
        <f>IF(A220="","",B220*'QUANTITE DETENUES'!B220+'QUANTITE DETENUES'!C220*C220+'QUANTITE DETENUES'!D220*D220+E220*'QUANTITE DETENUES'!E220+'QUANTITE DETENUES'!F220*F220+G220*'QUANTITE DETENUES'!G220+'QUANTITE DETENUES'!H220*H220+I220*'QUANTITE DETENUES'!I220+'QUANTITE DETENUES'!J220*J220+K220*'QUANTITE DETENUES'!K220+'QUANTITE DETENUES'!L220*L220+M220*'QUANTITE DETENUES'!M220+'QUANTITE DETENUES'!N220*N220+O220*'QUANTITE DETENUES'!O220+T220+P220*'QUANTITE DETENUES'!P220+'QUANTITE DETENUES'!Q220*Q220+R220*'QUANTITE DETENUES'!R220+'QUANTITE DETENUES'!S220*S220)</f>
        <v>50956.00987</v>
      </c>
      <c r="V220" s="288"/>
      <c r="W220" s="220"/>
      <c r="X220" s="220"/>
      <c r="Y220" s="220"/>
      <c r="Z220" s="220"/>
      <c r="AA220" s="220"/>
      <c r="AB220" s="220"/>
      <c r="AC220" s="220"/>
      <c r="AD220" s="220"/>
      <c r="AE220" s="220"/>
      <c r="AF220" s="220"/>
      <c r="AG220" s="308"/>
      <c r="AH220" s="220"/>
      <c r="AI220" s="220"/>
      <c r="AJ220" s="220"/>
      <c r="AK220" s="220"/>
      <c r="AL220" s="220"/>
      <c r="AM220" s="220"/>
    </row>
    <row r="221">
      <c r="A221" s="409">
        <f>IF(ARBITRAGES!E221="","",ARBITRAGES!E221)</f>
        <v>45989</v>
      </c>
      <c r="B221" s="31">
        <v>92500.0</v>
      </c>
      <c r="C221" s="31">
        <v>3075.0</v>
      </c>
      <c r="D221" s="31">
        <v>1.65</v>
      </c>
      <c r="E221" s="31">
        <v>145.0</v>
      </c>
      <c r="F221" s="31">
        <v>315.0</v>
      </c>
      <c r="G221" s="31">
        <v>0.185</v>
      </c>
      <c r="H221" s="31">
        <v>13.4</v>
      </c>
      <c r="I221" s="31">
        <v>0.155</v>
      </c>
      <c r="J221" s="31">
        <v>9.0E-6</v>
      </c>
      <c r="K221" s="31">
        <v>2.5</v>
      </c>
      <c r="L221" s="31">
        <v>0.255</v>
      </c>
      <c r="M221" s="31">
        <v>190.0</v>
      </c>
      <c r="N221" s="31">
        <v>0.0029</v>
      </c>
      <c r="O221" s="31">
        <v>2.85</v>
      </c>
      <c r="P221" s="31">
        <v>7.7E-4</v>
      </c>
      <c r="Q221" s="31">
        <v>4.8E-6</v>
      </c>
      <c r="R221" s="31">
        <v>0.39</v>
      </c>
      <c r="S221" s="136">
        <v>1.2</v>
      </c>
      <c r="T221" s="14">
        <f>IF(A221="","",ARBITRAGES!M221)</f>
        <v>7974.531256</v>
      </c>
      <c r="U221" s="417">
        <f>IF(A221="","",B221*'QUANTITE DETENUES'!B221+'QUANTITE DETENUES'!C221*C221+'QUANTITE DETENUES'!D221*D221+E221*'QUANTITE DETENUES'!E221+'QUANTITE DETENUES'!F221*F221+G221*'QUANTITE DETENUES'!G221+'QUANTITE DETENUES'!H221*H221+I221*'QUANTITE DETENUES'!I221+'QUANTITE DETENUES'!J221*J221+K221*'QUANTITE DETENUES'!K221+'QUANTITE DETENUES'!L221*L221+M221*'QUANTITE DETENUES'!M221+'QUANTITE DETENUES'!N221*N221+O221*'QUANTITE DETENUES'!O221+T221+P221*'QUANTITE DETENUES'!P221+'QUANTITE DETENUES'!Q221*Q221+R221*'QUANTITE DETENUES'!R221+'QUANTITE DETENUES'!S221*S221)</f>
        <v>50952.25987</v>
      </c>
      <c r="V221" s="288"/>
      <c r="W221" s="220"/>
      <c r="X221" s="220"/>
      <c r="Y221" s="220"/>
      <c r="Z221" s="220"/>
      <c r="AA221" s="220"/>
      <c r="AB221" s="220"/>
      <c r="AC221" s="220"/>
      <c r="AD221" s="220"/>
      <c r="AE221" s="220"/>
      <c r="AF221" s="220"/>
      <c r="AG221" s="308"/>
      <c r="AH221" s="220"/>
      <c r="AI221" s="220"/>
      <c r="AJ221" s="220"/>
      <c r="AK221" s="220"/>
      <c r="AL221" s="220"/>
      <c r="AM221" s="220"/>
    </row>
    <row r="222">
      <c r="A222" s="409">
        <f>IF(ARBITRAGES!E222="","",ARBITRAGES!E222)</f>
        <v>45991</v>
      </c>
      <c r="B222" s="31">
        <v>87000.0</v>
      </c>
      <c r="C222" s="31">
        <v>2850.0</v>
      </c>
      <c r="D222" s="31">
        <v>1.5</v>
      </c>
      <c r="E222" s="31">
        <v>130.0</v>
      </c>
      <c r="F222" s="31">
        <v>275.0</v>
      </c>
      <c r="G222" s="31">
        <v>0.17</v>
      </c>
      <c r="H222" s="31">
        <v>12.2</v>
      </c>
      <c r="I222" s="31">
        <v>0.138</v>
      </c>
      <c r="J222" s="31">
        <v>8.0E-6</v>
      </c>
      <c r="K222" s="31">
        <v>2.28</v>
      </c>
      <c r="L222" s="31">
        <v>0.223</v>
      </c>
      <c r="M222" s="31">
        <v>170.0</v>
      </c>
      <c r="N222" s="31">
        <v>0.0026</v>
      </c>
      <c r="O222" s="31">
        <v>2.7</v>
      </c>
      <c r="P222" s="31">
        <v>6.4E-4</v>
      </c>
      <c r="Q222" s="31">
        <v>4.1E-6</v>
      </c>
      <c r="R222" s="31">
        <v>0.34</v>
      </c>
      <c r="S222" s="136">
        <v>1.0</v>
      </c>
      <c r="T222" s="14">
        <f>IF(A222="","",ARBITRAGES!M222)</f>
        <v>7788.661256</v>
      </c>
      <c r="U222" s="417">
        <f>IF(A222="","",B222*'QUANTITE DETENUES'!B222+'QUANTITE DETENUES'!C222*C222+'QUANTITE DETENUES'!D222*D222+E222*'QUANTITE DETENUES'!E222+'QUANTITE DETENUES'!F222*F222+G222*'QUANTITE DETENUES'!G222+'QUANTITE DETENUES'!H222*H222+I222*'QUANTITE DETENUES'!I222+'QUANTITE DETENUES'!J222*J222+K222*'QUANTITE DETENUES'!K222+'QUANTITE DETENUES'!L222*L222+M222*'QUANTITE DETENUES'!M222+'QUANTITE DETENUES'!N222*N222+O222*'QUANTITE DETENUES'!O222+T222+P222*'QUANTITE DETENUES'!P222+'QUANTITE DETENUES'!Q222*Q222+R222*'QUANTITE DETENUES'!R222+'QUANTITE DETENUES'!S222*S222)</f>
        <v>47959.81892</v>
      </c>
      <c r="V222" s="288"/>
      <c r="W222" s="220"/>
      <c r="X222" s="220"/>
      <c r="Y222" s="220"/>
      <c r="Z222" s="220"/>
      <c r="AA222" s="220"/>
      <c r="AB222" s="220"/>
      <c r="AC222" s="220"/>
      <c r="AD222" s="220"/>
      <c r="AE222" s="220"/>
      <c r="AF222" s="220"/>
      <c r="AG222" s="308"/>
      <c r="AH222" s="220"/>
      <c r="AI222" s="220"/>
      <c r="AJ222" s="220"/>
      <c r="AK222" s="220"/>
      <c r="AL222" s="220"/>
      <c r="AM222" s="220"/>
    </row>
    <row r="223">
      <c r="A223" s="409">
        <f>IF(ARBITRAGES!E223="","",ARBITRAGES!E223)</f>
        <v>45992</v>
      </c>
      <c r="B223" s="31">
        <v>87000.0</v>
      </c>
      <c r="C223" s="31">
        <v>2850.0</v>
      </c>
      <c r="D223" s="31">
        <v>1.5</v>
      </c>
      <c r="E223" s="31">
        <v>130.0</v>
      </c>
      <c r="F223" s="31">
        <v>275.0</v>
      </c>
      <c r="G223" s="31">
        <v>0.17</v>
      </c>
      <c r="H223" s="31">
        <v>12.2</v>
      </c>
      <c r="I223" s="31">
        <v>0.138</v>
      </c>
      <c r="J223" s="31">
        <v>8.0E-6</v>
      </c>
      <c r="K223" s="31">
        <v>2.28</v>
      </c>
      <c r="L223" s="31">
        <v>0.223</v>
      </c>
      <c r="M223" s="31">
        <v>170.0</v>
      </c>
      <c r="N223" s="31">
        <v>0.0026</v>
      </c>
      <c r="O223" s="31">
        <v>2.7</v>
      </c>
      <c r="P223" s="31">
        <v>6.4E-4</v>
      </c>
      <c r="Q223" s="31">
        <v>4.1E-6</v>
      </c>
      <c r="R223" s="31">
        <v>0.34</v>
      </c>
      <c r="S223" s="136">
        <v>1.0</v>
      </c>
      <c r="T223" s="14">
        <f>IF(A223="","",ARBITRAGES!M223)</f>
        <v>8262.661256</v>
      </c>
      <c r="U223" s="417">
        <f>IF(A223="","",B223*'QUANTITE DETENUES'!B223+'QUANTITE DETENUES'!C223*C223+'QUANTITE DETENUES'!D223*D223+E223*'QUANTITE DETENUES'!E223+'QUANTITE DETENUES'!F223*F223+G223*'QUANTITE DETENUES'!G223+'QUANTITE DETENUES'!H223*H223+I223*'QUANTITE DETENUES'!I223+'QUANTITE DETENUES'!J223*J223+K223*'QUANTITE DETENUES'!K223+'QUANTITE DETENUES'!L223*L223+M223*'QUANTITE DETENUES'!M223+'QUANTITE DETENUES'!N223*N223+O223*'QUANTITE DETENUES'!O223+T223+P223*'QUANTITE DETENUES'!P223+'QUANTITE DETENUES'!Q223*Q223+R223*'QUANTITE DETENUES'!R223+'QUANTITE DETENUES'!S223*S223)</f>
        <v>47966.31892</v>
      </c>
      <c r="V223" s="288"/>
      <c r="W223" s="220"/>
      <c r="X223" s="220"/>
      <c r="Y223" s="220"/>
      <c r="Z223" s="220"/>
      <c r="AA223" s="220"/>
      <c r="AB223" s="220"/>
      <c r="AC223" s="220"/>
      <c r="AD223" s="220"/>
      <c r="AE223" s="220"/>
      <c r="AF223" s="220"/>
      <c r="AG223" s="308"/>
      <c r="AH223" s="220"/>
      <c r="AI223" s="220"/>
      <c r="AJ223" s="220"/>
      <c r="AK223" s="220"/>
      <c r="AL223" s="220"/>
      <c r="AM223" s="220"/>
    </row>
    <row r="224">
      <c r="A224" s="409">
        <f>IF(ARBITRAGES!E224="","",ARBITRAGES!E224)</f>
        <v>45992</v>
      </c>
      <c r="B224" s="31">
        <v>87000.0</v>
      </c>
      <c r="C224" s="31">
        <v>2850.0</v>
      </c>
      <c r="D224" s="31">
        <v>1.5</v>
      </c>
      <c r="E224" s="31">
        <v>130.0</v>
      </c>
      <c r="F224" s="31">
        <v>275.0</v>
      </c>
      <c r="G224" s="31">
        <v>0.17</v>
      </c>
      <c r="H224" s="31">
        <v>12.2</v>
      </c>
      <c r="I224" s="31">
        <v>0.138</v>
      </c>
      <c r="J224" s="31">
        <v>8.0E-6</v>
      </c>
      <c r="K224" s="31">
        <v>2.28</v>
      </c>
      <c r="L224" s="31">
        <v>0.223</v>
      </c>
      <c r="M224" s="31">
        <v>170.0</v>
      </c>
      <c r="N224" s="31">
        <v>0.0026</v>
      </c>
      <c r="O224" s="31">
        <v>2.7</v>
      </c>
      <c r="P224" s="31">
        <v>6.4E-4</v>
      </c>
      <c r="Q224" s="31">
        <v>4.1E-6</v>
      </c>
      <c r="R224" s="31">
        <v>0.34</v>
      </c>
      <c r="S224" s="136">
        <v>1.0</v>
      </c>
      <c r="T224" s="14">
        <f>IF(A224="","",ARBITRAGES!M224)</f>
        <v>8862.661256</v>
      </c>
      <c r="U224" s="417">
        <f>IF(A224="","",B224*'QUANTITE DETENUES'!B224+'QUANTITE DETENUES'!C224*C224+'QUANTITE DETENUES'!D224*D224+E224*'QUANTITE DETENUES'!E224+'QUANTITE DETENUES'!F224*F224+G224*'QUANTITE DETENUES'!G224+'QUANTITE DETENUES'!H224*H224+I224*'QUANTITE DETENUES'!I224+'QUANTITE DETENUES'!J224*J224+K224*'QUANTITE DETENUES'!K224+'QUANTITE DETENUES'!L224*L224+M224*'QUANTITE DETENUES'!M224+'QUANTITE DETENUES'!N224*N224+O224*'QUANTITE DETENUES'!O224+T224+P224*'QUANTITE DETENUES'!P224+'QUANTITE DETENUES'!Q224*Q224+R224*'QUANTITE DETENUES'!R224+'QUANTITE DETENUES'!S224*S224)</f>
        <v>47956.31892</v>
      </c>
      <c r="V224" s="288"/>
      <c r="W224" s="220"/>
      <c r="X224" s="220"/>
      <c r="Y224" s="220"/>
      <c r="Z224" s="220"/>
      <c r="AA224" s="220"/>
      <c r="AB224" s="220"/>
      <c r="AC224" s="220"/>
      <c r="AD224" s="220"/>
      <c r="AE224" s="220"/>
      <c r="AF224" s="220"/>
      <c r="AG224" s="308"/>
      <c r="AH224" s="220"/>
      <c r="AI224" s="220"/>
      <c r="AJ224" s="220"/>
      <c r="AK224" s="220"/>
      <c r="AL224" s="220"/>
      <c r="AM224" s="220"/>
    </row>
    <row r="225">
      <c r="A225" s="409">
        <f>IF(ARBITRAGES!E225="","",ARBITRAGES!E225)</f>
        <v>45992</v>
      </c>
      <c r="B225" s="31">
        <v>87000.0</v>
      </c>
      <c r="C225" s="31">
        <v>2850.0</v>
      </c>
      <c r="D225" s="31">
        <v>1.5</v>
      </c>
      <c r="E225" s="31">
        <v>130.0</v>
      </c>
      <c r="F225" s="31">
        <v>275.0</v>
      </c>
      <c r="G225" s="31">
        <v>0.17</v>
      </c>
      <c r="H225" s="31">
        <v>12.2</v>
      </c>
      <c r="I225" s="31">
        <v>0.138</v>
      </c>
      <c r="J225" s="31">
        <v>8.0E-6</v>
      </c>
      <c r="K225" s="31">
        <v>2.28</v>
      </c>
      <c r="L225" s="31">
        <v>0.223</v>
      </c>
      <c r="M225" s="31">
        <v>170.0</v>
      </c>
      <c r="N225" s="31">
        <v>0.0026</v>
      </c>
      <c r="O225" s="31">
        <v>2.7</v>
      </c>
      <c r="P225" s="31">
        <v>6.4E-4</v>
      </c>
      <c r="Q225" s="31">
        <v>4.1E-6</v>
      </c>
      <c r="R225" s="31">
        <v>0.34</v>
      </c>
      <c r="S225" s="136">
        <v>1.0</v>
      </c>
      <c r="T225" s="14">
        <f>IF(A225="","",ARBITRAGES!M225)</f>
        <v>9353.312806</v>
      </c>
      <c r="U225" s="417">
        <f>IF(A225="","",B225*'QUANTITE DETENUES'!B225+'QUANTITE DETENUES'!C225*C225+'QUANTITE DETENUES'!D225*D225+E225*'QUANTITE DETENUES'!E225+'QUANTITE DETENUES'!F225*F225+G225*'QUANTITE DETENUES'!G225+'QUANTITE DETENUES'!H225*H225+I225*'QUANTITE DETENUES'!I225+'QUANTITE DETENUES'!J225*J225+K225*'QUANTITE DETENUES'!K225+'QUANTITE DETENUES'!L225*L225+M225*'QUANTITE DETENUES'!M225+'QUANTITE DETENUES'!N225*N225+O225*'QUANTITE DETENUES'!O225+T225+P225*'QUANTITE DETENUES'!P225+'QUANTITE DETENUES'!Q225*Q225+R225*'QUANTITE DETENUES'!R225+'QUANTITE DETENUES'!S225*S225)</f>
        <v>47958.32158</v>
      </c>
      <c r="V225" s="288"/>
      <c r="W225" s="220"/>
      <c r="X225" s="220"/>
      <c r="Y225" s="220"/>
      <c r="Z225" s="220"/>
      <c r="AA225" s="220"/>
      <c r="AB225" s="220"/>
      <c r="AC225" s="220"/>
      <c r="AD225" s="220"/>
      <c r="AE225" s="220"/>
      <c r="AF225" s="220"/>
      <c r="AG225" s="308"/>
      <c r="AH225" s="220"/>
      <c r="AI225" s="220"/>
      <c r="AJ225" s="220"/>
      <c r="AK225" s="220"/>
      <c r="AL225" s="220"/>
      <c r="AM225" s="220"/>
    </row>
    <row r="226">
      <c r="A226" s="409">
        <f>IF(ARBITRAGES!E226="","",ARBITRAGES!E226)</f>
        <v>45992</v>
      </c>
      <c r="B226" s="31">
        <v>90000.0</v>
      </c>
      <c r="C226" s="31">
        <v>2930.0</v>
      </c>
      <c r="D226" s="31">
        <v>1.555</v>
      </c>
      <c r="E226" s="31">
        <v>135.0</v>
      </c>
      <c r="F226" s="31">
        <v>280.0</v>
      </c>
      <c r="G226" s="31">
        <v>0.155</v>
      </c>
      <c r="H226" s="31">
        <v>12.9</v>
      </c>
      <c r="I226" s="31">
        <v>0.14337</v>
      </c>
      <c r="J226" s="31">
        <v>8.05E-6</v>
      </c>
      <c r="K226" s="31">
        <v>2.36</v>
      </c>
      <c r="L226" s="31">
        <v>0.25</v>
      </c>
      <c r="M226" s="31">
        <v>180.0</v>
      </c>
      <c r="N226" s="31">
        <v>0.00251</v>
      </c>
      <c r="O226" s="31">
        <v>2.61</v>
      </c>
      <c r="P226" s="31">
        <v>6.8E-4</v>
      </c>
      <c r="Q226" s="31">
        <v>4.2E-6</v>
      </c>
      <c r="R226" s="31">
        <v>0.353</v>
      </c>
      <c r="S226" s="136">
        <v>1.11</v>
      </c>
      <c r="T226" s="14">
        <f>IF(A226="","",ARBITRAGES!M226)</f>
        <v>9560.301423</v>
      </c>
      <c r="U226" s="417">
        <f>IF(A226="","",B226*'QUANTITE DETENUES'!B226+'QUANTITE DETENUES'!C226*C226+'QUANTITE DETENUES'!D226*D226+E226*'QUANTITE DETENUES'!E226+'QUANTITE DETENUES'!F226*F226+G226*'QUANTITE DETENUES'!G226+'QUANTITE DETENUES'!H226*H226+I226*'QUANTITE DETENUES'!I226+'QUANTITE DETENUES'!J226*J226+K226*'QUANTITE DETENUES'!K226+'QUANTITE DETENUES'!L226*L226+M226*'QUANTITE DETENUES'!M226+'QUANTITE DETENUES'!N226*N226+O226*'QUANTITE DETENUES'!O226+T226+P226*'QUANTITE DETENUES'!P226+'QUANTITE DETENUES'!Q226*Q226+R226*'QUANTITE DETENUES'!R226+'QUANTITE DETENUES'!S226*S226)</f>
        <v>49246.0262</v>
      </c>
      <c r="V226" s="288"/>
      <c r="W226" s="220"/>
      <c r="X226" s="220"/>
      <c r="Y226" s="220"/>
      <c r="Z226" s="220"/>
      <c r="AA226" s="220"/>
      <c r="AB226" s="220"/>
      <c r="AC226" s="220"/>
      <c r="AD226" s="220"/>
      <c r="AE226" s="220"/>
      <c r="AF226" s="220"/>
      <c r="AG226" s="308"/>
      <c r="AH226" s="220"/>
      <c r="AI226" s="220"/>
      <c r="AJ226" s="220"/>
      <c r="AK226" s="220"/>
      <c r="AL226" s="220"/>
      <c r="AM226" s="220"/>
    </row>
    <row r="227">
      <c r="A227" s="409">
        <f>IF(ARBITRAGES!E227="","",ARBITRAGES!E227)</f>
        <v>45993</v>
      </c>
      <c r="B227" s="31">
        <v>90000.0</v>
      </c>
      <c r="C227" s="31">
        <v>2930.0</v>
      </c>
      <c r="D227" s="31">
        <v>1.555</v>
      </c>
      <c r="E227" s="31">
        <v>135.0</v>
      </c>
      <c r="F227" s="31">
        <v>280.0</v>
      </c>
      <c r="G227" s="31">
        <v>0.155</v>
      </c>
      <c r="H227" s="31">
        <v>12.9</v>
      </c>
      <c r="I227" s="31">
        <v>0.14337</v>
      </c>
      <c r="J227" s="31">
        <v>8.05E-6</v>
      </c>
      <c r="K227" s="31">
        <v>2.36</v>
      </c>
      <c r="L227" s="31">
        <v>0.25</v>
      </c>
      <c r="M227" s="31">
        <v>180.0</v>
      </c>
      <c r="N227" s="31">
        <v>0.00251</v>
      </c>
      <c r="O227" s="31">
        <v>2.61</v>
      </c>
      <c r="P227" s="31">
        <v>6.8E-4</v>
      </c>
      <c r="Q227" s="31">
        <v>4.2E-6</v>
      </c>
      <c r="R227" s="31">
        <v>0.353</v>
      </c>
      <c r="S227" s="136">
        <v>1.11</v>
      </c>
      <c r="T227" s="14">
        <f>IF(A227="","",ARBITRAGES!M227)</f>
        <v>9830.301423</v>
      </c>
      <c r="U227" s="417">
        <f>IF(A227="","",B227*'QUANTITE DETENUES'!B227+'QUANTITE DETENUES'!C227*C227+'QUANTITE DETENUES'!D227*D227+E227*'QUANTITE DETENUES'!E227+'QUANTITE DETENUES'!F227*F227+G227*'QUANTITE DETENUES'!G227+'QUANTITE DETENUES'!H227*H227+I227*'QUANTITE DETENUES'!I227+'QUANTITE DETENUES'!J227*J227+K227*'QUANTITE DETENUES'!K227+'QUANTITE DETENUES'!L227*L227+M227*'QUANTITE DETENUES'!M227+'QUANTITE DETENUES'!N227*N227+O227*'QUANTITE DETENUES'!O227+T227+P227*'QUANTITE DETENUES'!P227+'QUANTITE DETENUES'!Q227*Q227+R227*'QUANTITE DETENUES'!R227+'QUANTITE DETENUES'!S227*S227)</f>
        <v>49246.0262</v>
      </c>
      <c r="V227" s="288"/>
      <c r="W227" s="220"/>
      <c r="X227" s="220"/>
      <c r="Y227" s="220"/>
      <c r="Z227" s="220"/>
      <c r="AA227" s="220"/>
      <c r="AB227" s="220"/>
      <c r="AC227" s="220"/>
      <c r="AD227" s="220"/>
      <c r="AE227" s="220"/>
      <c r="AF227" s="220"/>
      <c r="AG227" s="308"/>
      <c r="AH227" s="220"/>
      <c r="AI227" s="220"/>
      <c r="AJ227" s="220"/>
      <c r="AK227" s="220"/>
      <c r="AL227" s="220"/>
      <c r="AM227" s="220"/>
    </row>
    <row r="228">
      <c r="A228" s="409">
        <f>IF(ARBITRAGES!E228="","",ARBITRAGES!E228)</f>
        <v>45993</v>
      </c>
      <c r="B228" s="31">
        <v>93000.0</v>
      </c>
      <c r="C228" s="31">
        <v>3100.0</v>
      </c>
      <c r="D228" s="31">
        <v>1.6</v>
      </c>
      <c r="E228" s="31">
        <v>145.0</v>
      </c>
      <c r="F228" s="31">
        <v>290.0</v>
      </c>
      <c r="G228" s="31">
        <v>0.168</v>
      </c>
      <c r="H228" s="31">
        <v>14.5</v>
      </c>
      <c r="I228" s="31">
        <v>0.15</v>
      </c>
      <c r="J228" s="31">
        <v>8.8E-6</v>
      </c>
      <c r="K228" s="31">
        <v>2.45</v>
      </c>
      <c r="L228" s="31">
        <v>0.255</v>
      </c>
      <c r="M228" s="31">
        <v>195.0</v>
      </c>
      <c r="N228" s="31">
        <v>0.0026</v>
      </c>
      <c r="O228" s="31">
        <v>2.7</v>
      </c>
      <c r="P228" s="31">
        <v>7.2E-4</v>
      </c>
      <c r="Q228" s="31">
        <v>4.8E-6</v>
      </c>
      <c r="R228" s="31">
        <v>0.4</v>
      </c>
      <c r="S228" s="136">
        <v>1.15</v>
      </c>
      <c r="T228" s="14">
        <f>IF(A228="","",ARBITRAGES!M228)</f>
        <v>10115.30142</v>
      </c>
      <c r="U228" s="417">
        <f>IF(A228="","",B228*'QUANTITE DETENUES'!B228+'QUANTITE DETENUES'!C228*C228+'QUANTITE DETENUES'!D228*D228+E228*'QUANTITE DETENUES'!E228+'QUANTITE DETENUES'!F228*F228+G228*'QUANTITE DETENUES'!G228+'QUANTITE DETENUES'!H228*H228+I228*'QUANTITE DETENUES'!I228+'QUANTITE DETENUES'!J228*J228+K228*'QUANTITE DETENUES'!K228+'QUANTITE DETENUES'!L228*L228+M228*'QUANTITE DETENUES'!M228+'QUANTITE DETENUES'!N228*N228+O228*'QUANTITE DETENUES'!O228+T228+P228*'QUANTITE DETENUES'!P228+'QUANTITE DETENUES'!Q228*Q228+R228*'QUANTITE DETENUES'!R228+'QUANTITE DETENUES'!S228*S228)</f>
        <v>50830.33496</v>
      </c>
      <c r="V228" s="288"/>
      <c r="W228" s="220"/>
      <c r="X228" s="220"/>
      <c r="Y228" s="220"/>
      <c r="Z228" s="220"/>
      <c r="AA228" s="220"/>
      <c r="AB228" s="220"/>
      <c r="AC228" s="220"/>
      <c r="AD228" s="220"/>
      <c r="AE228" s="220"/>
      <c r="AF228" s="220"/>
      <c r="AG228" s="308"/>
      <c r="AH228" s="220"/>
      <c r="AI228" s="220"/>
      <c r="AJ228" s="220"/>
      <c r="AK228" s="220"/>
      <c r="AL228" s="220"/>
      <c r="AM228" s="220"/>
    </row>
    <row r="229">
      <c r="A229" s="409">
        <f>IF(ARBITRAGES!E229="","",ARBITRAGES!E229)</f>
        <v>45993</v>
      </c>
      <c r="B229" s="31">
        <v>93000.0</v>
      </c>
      <c r="C229" s="31">
        <v>3100.0</v>
      </c>
      <c r="D229" s="31">
        <v>1.6</v>
      </c>
      <c r="E229" s="31">
        <v>145.0</v>
      </c>
      <c r="F229" s="31">
        <v>290.0</v>
      </c>
      <c r="G229" s="31">
        <v>0.168</v>
      </c>
      <c r="H229" s="31">
        <v>14.5</v>
      </c>
      <c r="I229" s="31">
        <v>0.15</v>
      </c>
      <c r="J229" s="31">
        <v>8.8E-6</v>
      </c>
      <c r="K229" s="31">
        <v>2.45</v>
      </c>
      <c r="L229" s="31">
        <v>0.255</v>
      </c>
      <c r="M229" s="31">
        <v>195.0</v>
      </c>
      <c r="N229" s="31">
        <v>0.0026</v>
      </c>
      <c r="O229" s="31">
        <v>2.7</v>
      </c>
      <c r="P229" s="31">
        <v>7.2E-4</v>
      </c>
      <c r="Q229" s="31">
        <v>4.8E-6</v>
      </c>
      <c r="R229" s="31">
        <v>0.4</v>
      </c>
      <c r="S229" s="136">
        <v>1.15</v>
      </c>
      <c r="T229" s="14">
        <f>IF(A229="","",ARBITRAGES!M229)</f>
        <v>10265.30142</v>
      </c>
      <c r="U229" s="417">
        <f>IF(A229="","",B229*'QUANTITE DETENUES'!B229+'QUANTITE DETENUES'!C229*C229+'QUANTITE DETENUES'!D229*D229+E229*'QUANTITE DETENUES'!E229+'QUANTITE DETENUES'!F229*F229+G229*'QUANTITE DETENUES'!G229+'QUANTITE DETENUES'!H229*H229+I229*'QUANTITE DETENUES'!I229+'QUANTITE DETENUES'!J229*J229+K229*'QUANTITE DETENUES'!K229+'QUANTITE DETENUES'!L229*L229+M229*'QUANTITE DETENUES'!M229+'QUANTITE DETENUES'!N229*N229+O229*'QUANTITE DETENUES'!O229+T229+P229*'QUANTITE DETENUES'!P229+'QUANTITE DETENUES'!Q229*Q229+R229*'QUANTITE DETENUES'!R229+'QUANTITE DETENUES'!S229*S229)</f>
        <v>50830.30496</v>
      </c>
      <c r="V229" s="288"/>
      <c r="W229" s="220"/>
      <c r="X229" s="220"/>
      <c r="Y229" s="220"/>
      <c r="Z229" s="220"/>
      <c r="AA229" s="220"/>
      <c r="AB229" s="220"/>
      <c r="AC229" s="220"/>
      <c r="AD229" s="220"/>
      <c r="AE229" s="220"/>
      <c r="AF229" s="220"/>
      <c r="AG229" s="308"/>
      <c r="AH229" s="220"/>
      <c r="AI229" s="220"/>
      <c r="AJ229" s="220"/>
      <c r="AK229" s="220"/>
      <c r="AL229" s="220"/>
      <c r="AM229" s="220"/>
    </row>
    <row r="230">
      <c r="A230" s="409">
        <f>IF(ARBITRAGES!E230="","",ARBITRAGES!E230)</f>
        <v>45994</v>
      </c>
      <c r="B230" s="31">
        <v>93000.0</v>
      </c>
      <c r="C230" s="31">
        <v>3100.0</v>
      </c>
      <c r="D230" s="31">
        <v>1.6</v>
      </c>
      <c r="E230" s="31">
        <v>145.0</v>
      </c>
      <c r="F230" s="31">
        <v>290.0</v>
      </c>
      <c r="G230" s="31">
        <v>0.168</v>
      </c>
      <c r="H230" s="31">
        <v>14.5</v>
      </c>
      <c r="I230" s="31">
        <v>0.15</v>
      </c>
      <c r="J230" s="31">
        <v>8.8E-6</v>
      </c>
      <c r="K230" s="31">
        <v>2.45</v>
      </c>
      <c r="L230" s="31">
        <v>0.255</v>
      </c>
      <c r="M230" s="31">
        <v>195.0</v>
      </c>
      <c r="N230" s="31">
        <v>0.0026</v>
      </c>
      <c r="O230" s="31">
        <v>2.7</v>
      </c>
      <c r="P230" s="31">
        <v>7.2E-4</v>
      </c>
      <c r="Q230" s="31">
        <v>4.8E-6</v>
      </c>
      <c r="R230" s="31">
        <v>0.4</v>
      </c>
      <c r="S230" s="136">
        <v>1.15</v>
      </c>
      <c r="T230" s="14">
        <f>IF(A230="","",ARBITRAGES!M230)</f>
        <v>10765.3014</v>
      </c>
      <c r="U230" s="417">
        <f>IF(A230="","",B230*'QUANTITE DETENUES'!B230+'QUANTITE DETENUES'!C230*C230+'QUANTITE DETENUES'!D230*D230+E230*'QUANTITE DETENUES'!E230+'QUANTITE DETENUES'!F230*F230+G230*'QUANTITE DETENUES'!G230+'QUANTITE DETENUES'!H230*H230+I230*'QUANTITE DETENUES'!I230+'QUANTITE DETENUES'!J230*J230+K230*'QUANTITE DETENUES'!K230+'QUANTITE DETENUES'!L230*L230+M230*'QUANTITE DETENUES'!M230+'QUANTITE DETENUES'!N230*N230+O230*'QUANTITE DETENUES'!O230+T230+P230*'QUANTITE DETENUES'!P230+'QUANTITE DETENUES'!Q230*Q230+R230*'QUANTITE DETENUES'!R230+'QUANTITE DETENUES'!S230*S230)</f>
        <v>50831.64544</v>
      </c>
      <c r="V230" s="288"/>
      <c r="W230" s="220"/>
      <c r="X230" s="220"/>
      <c r="Y230" s="220"/>
      <c r="Z230" s="220"/>
      <c r="AA230" s="220"/>
      <c r="AB230" s="220"/>
      <c r="AC230" s="220"/>
      <c r="AD230" s="220"/>
      <c r="AE230" s="220"/>
      <c r="AF230" s="220"/>
      <c r="AG230" s="308"/>
      <c r="AH230" s="220"/>
      <c r="AI230" s="220"/>
      <c r="AJ230" s="220"/>
      <c r="AK230" s="220"/>
      <c r="AL230" s="220"/>
      <c r="AM230" s="220"/>
    </row>
    <row r="231">
      <c r="A231" s="409">
        <f>IF(ARBITRAGES!E231="","",ARBITRAGES!E231)</f>
        <v>45994</v>
      </c>
      <c r="B231" s="31">
        <v>93000.0</v>
      </c>
      <c r="C231" s="31">
        <v>3100.0</v>
      </c>
      <c r="D231" s="31">
        <v>1.6</v>
      </c>
      <c r="E231" s="31">
        <v>145.0</v>
      </c>
      <c r="F231" s="31">
        <v>290.0</v>
      </c>
      <c r="G231" s="31">
        <v>0.168</v>
      </c>
      <c r="H231" s="31">
        <v>14.5</v>
      </c>
      <c r="I231" s="31">
        <v>0.15</v>
      </c>
      <c r="J231" s="31">
        <v>8.8E-6</v>
      </c>
      <c r="K231" s="31">
        <v>2.45</v>
      </c>
      <c r="L231" s="31">
        <v>0.255</v>
      </c>
      <c r="M231" s="31">
        <v>195.0</v>
      </c>
      <c r="N231" s="31">
        <v>0.0026</v>
      </c>
      <c r="O231" s="31">
        <v>2.7</v>
      </c>
      <c r="P231" s="31">
        <v>7.2E-4</v>
      </c>
      <c r="Q231" s="31">
        <v>4.8E-6</v>
      </c>
      <c r="R231" s="31">
        <v>0.4</v>
      </c>
      <c r="S231" s="136">
        <v>1.15</v>
      </c>
      <c r="T231" s="14">
        <f>IF(A231="","",ARBITRAGES!M231)</f>
        <v>11055.3014</v>
      </c>
      <c r="U231" s="417">
        <f>IF(A231="","",B231*'QUANTITE DETENUES'!B231+'QUANTITE DETENUES'!C231*C231+'QUANTITE DETENUES'!D231*D231+E231*'QUANTITE DETENUES'!E231+'QUANTITE DETENUES'!F231*F231+G231*'QUANTITE DETENUES'!G231+'QUANTITE DETENUES'!H231*H231+I231*'QUANTITE DETENUES'!I231+'QUANTITE DETENUES'!J231*J231+K231*'QUANTITE DETENUES'!K231+'QUANTITE DETENUES'!L231*L231+M231*'QUANTITE DETENUES'!M231+'QUANTITE DETENUES'!N231*N231+O231*'QUANTITE DETENUES'!O231+T231+P231*'QUANTITE DETENUES'!P231+'QUANTITE DETENUES'!Q231*Q231+R231*'QUANTITE DETENUES'!R231+'QUANTITE DETENUES'!S231*S231)</f>
        <v>50831.64544</v>
      </c>
      <c r="V231" s="288"/>
      <c r="W231" s="220"/>
      <c r="X231" s="220"/>
      <c r="Y231" s="220"/>
      <c r="Z231" s="220"/>
      <c r="AA231" s="220"/>
      <c r="AB231" s="220"/>
      <c r="AC231" s="220"/>
      <c r="AD231" s="220"/>
      <c r="AE231" s="220"/>
      <c r="AF231" s="220"/>
      <c r="AG231" s="308"/>
      <c r="AH231" s="220"/>
      <c r="AI231" s="220"/>
      <c r="AJ231" s="220"/>
      <c r="AK231" s="220"/>
      <c r="AL231" s="220"/>
      <c r="AM231" s="220"/>
    </row>
    <row r="232">
      <c r="A232" s="409">
        <f>IF(ARBITRAGES!E232="","",ARBITRAGES!E232)</f>
        <v>45995</v>
      </c>
      <c r="B232" s="31">
        <v>93000.0</v>
      </c>
      <c r="C232" s="31">
        <v>3150.0</v>
      </c>
      <c r="D232" s="31">
        <v>1.6</v>
      </c>
      <c r="E232" s="31">
        <v>145.0</v>
      </c>
      <c r="F232" s="31">
        <v>290.0</v>
      </c>
      <c r="G232" s="31">
        <v>0.168</v>
      </c>
      <c r="H232" s="31">
        <v>14.5</v>
      </c>
      <c r="I232" s="31">
        <v>0.15</v>
      </c>
      <c r="J232" s="31">
        <v>8.8E-6</v>
      </c>
      <c r="K232" s="31">
        <v>2.45</v>
      </c>
      <c r="L232" s="31">
        <v>0.255</v>
      </c>
      <c r="M232" s="31">
        <v>195.0</v>
      </c>
      <c r="N232" s="31">
        <v>0.0026</v>
      </c>
      <c r="O232" s="31">
        <v>2.7</v>
      </c>
      <c r="P232" s="31">
        <v>7.2E-4</v>
      </c>
      <c r="Q232" s="31">
        <v>4.8E-6</v>
      </c>
      <c r="R232" s="31">
        <v>0.4</v>
      </c>
      <c r="S232" s="136">
        <v>1.15</v>
      </c>
      <c r="T232" s="14">
        <f>IF(A232="","",ARBITRAGES!M232)</f>
        <v>11352.60425</v>
      </c>
      <c r="U232" s="417">
        <f>IF(A232="","",B232*'QUANTITE DETENUES'!B232+'QUANTITE DETENUES'!C232*C232+'QUANTITE DETENUES'!D232*D232+E232*'QUANTITE DETENUES'!E232+'QUANTITE DETENUES'!F232*F232+G232*'QUANTITE DETENUES'!G232+'QUANTITE DETENUES'!H232*H232+I232*'QUANTITE DETENUES'!I232+'QUANTITE DETENUES'!J232*J232+K232*'QUANTITE DETENUES'!K232+'QUANTITE DETENUES'!L232*L232+M232*'QUANTITE DETENUES'!M232+'QUANTITE DETENUES'!N232*N232+O232*'QUANTITE DETENUES'!O232+T232+P232*'QUANTITE DETENUES'!P232+'QUANTITE DETENUES'!Q232*Q232+R232*'QUANTITE DETENUES'!R232+'QUANTITE DETENUES'!S232*S232)</f>
        <v>50951.29748</v>
      </c>
      <c r="V232" s="288"/>
      <c r="W232" s="220"/>
      <c r="X232" s="220"/>
      <c r="Y232" s="220"/>
      <c r="Z232" s="220"/>
      <c r="AA232" s="220"/>
      <c r="AB232" s="220"/>
      <c r="AC232" s="220"/>
      <c r="AD232" s="220"/>
      <c r="AE232" s="220"/>
      <c r="AF232" s="220"/>
      <c r="AG232" s="308"/>
      <c r="AH232" s="220"/>
      <c r="AI232" s="220"/>
      <c r="AJ232" s="220"/>
      <c r="AK232" s="220"/>
      <c r="AL232" s="220"/>
      <c r="AM232" s="220"/>
    </row>
    <row r="233">
      <c r="A233" s="409">
        <f>IF(ARBITRAGES!E233="","",ARBITRAGES!E233)</f>
        <v>46001</v>
      </c>
      <c r="B233" s="31">
        <v>93000.0</v>
      </c>
      <c r="C233" s="31">
        <v>3330.0</v>
      </c>
      <c r="D233" s="31">
        <v>1.65</v>
      </c>
      <c r="E233" s="31">
        <v>140.0</v>
      </c>
      <c r="F233" s="31">
        <v>300.0</v>
      </c>
      <c r="G233" s="31">
        <v>0.175</v>
      </c>
      <c r="H233" s="31">
        <v>14.2</v>
      </c>
      <c r="I233" s="31">
        <v>0.147</v>
      </c>
      <c r="J233" s="31">
        <v>8.6E-6</v>
      </c>
      <c r="K233" s="31">
        <v>2.35</v>
      </c>
      <c r="L233" s="31">
        <v>0.23</v>
      </c>
      <c r="M233" s="31">
        <v>200.0</v>
      </c>
      <c r="N233" s="31">
        <v>0.00272</v>
      </c>
      <c r="O233" s="31">
        <v>2.35</v>
      </c>
      <c r="P233" s="31">
        <v>7.5E-4</v>
      </c>
      <c r="Q233" s="31">
        <v>4.7E-6</v>
      </c>
      <c r="R233" s="31">
        <v>0.42</v>
      </c>
      <c r="S233" s="136">
        <v>1.18</v>
      </c>
      <c r="T233" s="14">
        <f>IF(A233="","",ARBITRAGES!M233)</f>
        <v>11689.47235</v>
      </c>
      <c r="U233" s="417">
        <f>IF(A233="","",B233*'QUANTITE DETENUES'!B233+'QUANTITE DETENUES'!C233*C233+'QUANTITE DETENUES'!D233*D233+E233*'QUANTITE DETENUES'!E233+'QUANTITE DETENUES'!F233*F233+G233*'QUANTITE DETENUES'!G233+'QUANTITE DETENUES'!H233*H233+I233*'QUANTITE DETENUES'!I233+'QUANTITE DETENUES'!J233*J233+K233*'QUANTITE DETENUES'!K233+'QUANTITE DETENUES'!L233*L233+M233*'QUANTITE DETENUES'!M233+'QUANTITE DETENUES'!N233*N233+O233*'QUANTITE DETENUES'!O233+T233+P233*'QUANTITE DETENUES'!P233+'QUANTITE DETENUES'!Q233*Q233+R233*'QUANTITE DETENUES'!R233+'QUANTITE DETENUES'!S233*S233)</f>
        <v>51375.74074</v>
      </c>
      <c r="V233" s="288"/>
      <c r="W233" s="220"/>
      <c r="X233" s="220"/>
      <c r="Y233" s="220"/>
      <c r="Z233" s="220"/>
      <c r="AA233" s="220"/>
      <c r="AB233" s="220"/>
      <c r="AC233" s="220"/>
      <c r="AD233" s="220"/>
      <c r="AE233" s="220"/>
      <c r="AF233" s="220"/>
      <c r="AG233" s="308"/>
      <c r="AH233" s="220"/>
      <c r="AI233" s="220"/>
      <c r="AJ233" s="220"/>
      <c r="AK233" s="220"/>
      <c r="AL233" s="220"/>
      <c r="AM233" s="220"/>
    </row>
    <row r="234">
      <c r="A234" s="409">
        <f>IF(ARBITRAGES!E234="","",ARBITRAGES!E234)</f>
        <v>46026</v>
      </c>
      <c r="B234" s="31">
        <v>91500.0</v>
      </c>
      <c r="C234" s="31">
        <v>3150.0</v>
      </c>
      <c r="D234" s="31">
        <v>1.85</v>
      </c>
      <c r="E234" s="31">
        <v>135.0</v>
      </c>
      <c r="F234" s="31">
        <v>270.0</v>
      </c>
      <c r="G234" s="31">
        <v>0.144</v>
      </c>
      <c r="H234" s="31">
        <v>13.4</v>
      </c>
      <c r="I234" s="31">
        <v>0.1515</v>
      </c>
      <c r="J234" s="31">
        <v>9.0E-6</v>
      </c>
      <c r="K234" s="31">
        <v>2.0</v>
      </c>
      <c r="L234" s="31">
        <v>0.22</v>
      </c>
      <c r="M234" s="31">
        <v>165.0</v>
      </c>
      <c r="N234" s="31">
        <v>0.0028</v>
      </c>
      <c r="O234" s="31">
        <v>2.25</v>
      </c>
      <c r="P234" s="31">
        <v>8.0E-4</v>
      </c>
      <c r="Q234" s="31">
        <v>7.5E-6</v>
      </c>
      <c r="R234" s="31">
        <v>0.4</v>
      </c>
      <c r="S234" s="136">
        <v>1.15</v>
      </c>
      <c r="T234" s="14">
        <f>IF(A234="","",ARBITRAGES!M234)</f>
        <v>11989.47235</v>
      </c>
      <c r="U234" s="417">
        <f>IF(A234="","",B234*'QUANTITE DETENUES'!B234+'QUANTITE DETENUES'!C234*C234+'QUANTITE DETENUES'!D234*D234+E234*'QUANTITE DETENUES'!E234+'QUANTITE DETENUES'!F234*F234+G234*'QUANTITE DETENUES'!G234+'QUANTITE DETENUES'!H234*H234+I234*'QUANTITE DETENUES'!I234+'QUANTITE DETENUES'!J234*J234+K234*'QUANTITE DETENUES'!K234+'QUANTITE DETENUES'!L234*L234+M234*'QUANTITE DETENUES'!M234+'QUANTITE DETENUES'!N234*N234+O234*'QUANTITE DETENUES'!O234+T234+P234*'QUANTITE DETENUES'!P234+'QUANTITE DETENUES'!Q234*Q234+R234*'QUANTITE DETENUES'!R234+'QUANTITE DETENUES'!S234*S234)</f>
        <v>50259.36039</v>
      </c>
      <c r="V234" s="288"/>
      <c r="W234" s="220"/>
      <c r="X234" s="220"/>
      <c r="Y234" s="220"/>
      <c r="Z234" s="220"/>
      <c r="AA234" s="220"/>
      <c r="AB234" s="220"/>
      <c r="AC234" s="220"/>
      <c r="AD234" s="220"/>
      <c r="AE234" s="220"/>
      <c r="AF234" s="220"/>
      <c r="AG234" s="308"/>
      <c r="AH234" s="220"/>
      <c r="AI234" s="220"/>
      <c r="AJ234" s="220"/>
      <c r="AK234" s="220"/>
      <c r="AL234" s="220"/>
      <c r="AM234" s="220"/>
    </row>
    <row r="235">
      <c r="A235" s="409">
        <f>IF(ARBITRAGES!E235="","",ARBITRAGES!E235)</f>
        <v>46039</v>
      </c>
      <c r="B235" s="31">
        <v>92200.0</v>
      </c>
      <c r="C235" s="31">
        <v>3100.0</v>
      </c>
      <c r="D235" s="31">
        <v>1.6</v>
      </c>
      <c r="E235" s="31">
        <v>130.0</v>
      </c>
      <c r="F235" s="31">
        <v>245.0</v>
      </c>
      <c r="G235" s="31">
        <v>0.147</v>
      </c>
      <c r="H235" s="31">
        <v>12.5</v>
      </c>
      <c r="I235" s="31">
        <v>0.125</v>
      </c>
      <c r="J235" s="31">
        <v>7.8E-6</v>
      </c>
      <c r="K235" s="31">
        <v>1.95</v>
      </c>
      <c r="L235" s="31">
        <v>0.2</v>
      </c>
      <c r="M235" s="31">
        <v>160.0</v>
      </c>
      <c r="N235" s="31">
        <v>0.00244</v>
      </c>
      <c r="O235" s="31">
        <v>2.0</v>
      </c>
      <c r="P235" s="31">
        <v>6.0E-4</v>
      </c>
      <c r="Q235" s="31">
        <v>5.1E-6</v>
      </c>
      <c r="R235" s="31">
        <v>0.34</v>
      </c>
      <c r="S235" s="136">
        <v>1.0</v>
      </c>
      <c r="T235" s="14">
        <f>IF(A235="","",ARBITRAGES!M235)</f>
        <v>12320.53153</v>
      </c>
      <c r="U235" s="417">
        <f>IF(A235="","",B235*'QUANTITE DETENUES'!B235+'QUANTITE DETENUES'!C235*C235+'QUANTITE DETENUES'!D235*D235+E235*'QUANTITE DETENUES'!E235+'QUANTITE DETENUES'!F235*F235+G235*'QUANTITE DETENUES'!G235+'QUANTITE DETENUES'!H235*H235+I235*'QUANTITE DETENUES'!I235+'QUANTITE DETENUES'!J235*J235+K235*'QUANTITE DETENUES'!K235+'QUANTITE DETENUES'!L235*L235+M235*'QUANTITE DETENUES'!M235+'QUANTITE DETENUES'!N235*N235+O235*'QUANTITE DETENUES'!O235+T235+P235*'QUANTITE DETENUES'!P235+'QUANTITE DETENUES'!Q235*Q235+R235*'QUANTITE DETENUES'!R235+'QUANTITE DETENUES'!S235*S235)</f>
        <v>50101.19299</v>
      </c>
      <c r="V235" s="288"/>
      <c r="W235" s="220"/>
      <c r="X235" s="220"/>
      <c r="Y235" s="220"/>
      <c r="Z235" s="220"/>
      <c r="AA235" s="220"/>
      <c r="AB235" s="220"/>
      <c r="AC235" s="220"/>
      <c r="AD235" s="220"/>
      <c r="AE235" s="220"/>
      <c r="AF235" s="220"/>
      <c r="AG235" s="308"/>
      <c r="AH235" s="220"/>
      <c r="AI235" s="220"/>
      <c r="AJ235" s="220"/>
      <c r="AK235" s="220"/>
      <c r="AL235" s="220"/>
      <c r="AM235" s="220"/>
    </row>
    <row r="236">
      <c r="A236" s="409">
        <f>IF(ARBITRAGES!E236="","",ARBITRAGES!E236)</f>
        <v>46045</v>
      </c>
      <c r="B236" s="31">
        <v>89000.0</v>
      </c>
      <c r="C236" s="31">
        <v>2960.0</v>
      </c>
      <c r="D236" s="31">
        <v>1.535</v>
      </c>
      <c r="E236" s="31">
        <v>130.0</v>
      </c>
      <c r="F236" s="31">
        <v>240.0</v>
      </c>
      <c r="G236" s="31">
        <v>0.153</v>
      </c>
      <c r="H236" s="31">
        <v>12.15</v>
      </c>
      <c r="I236" s="31">
        <v>0.1235</v>
      </c>
      <c r="J236" s="31">
        <v>7.8E-6</v>
      </c>
      <c r="K236" s="31">
        <v>1.95</v>
      </c>
      <c r="L236" s="31">
        <v>0.196</v>
      </c>
      <c r="M236" s="31">
        <v>155.0</v>
      </c>
      <c r="N236" s="31">
        <v>0.00247</v>
      </c>
      <c r="O236" s="31">
        <v>2.0</v>
      </c>
      <c r="P236" s="31">
        <v>5.8E-4</v>
      </c>
      <c r="Q236" s="31">
        <v>5.0E-6</v>
      </c>
      <c r="R236" s="31">
        <v>0.333</v>
      </c>
      <c r="S236" s="136">
        <v>1.0</v>
      </c>
      <c r="T236" s="14">
        <f>IF(A236="","",ARBITRAGES!M236)</f>
        <v>12633.03153</v>
      </c>
      <c r="U236" s="417">
        <f>IF(A236="","",B236*'QUANTITE DETENUES'!B236+'QUANTITE DETENUES'!C236*C236+'QUANTITE DETENUES'!D236*D236+E236*'QUANTITE DETENUES'!E236+'QUANTITE DETENUES'!F236*F236+G236*'QUANTITE DETENUES'!G236+'QUANTITE DETENUES'!H236*H236+I236*'QUANTITE DETENUES'!I236+'QUANTITE DETENUES'!J236*J236+K236*'QUANTITE DETENUES'!K236+'QUANTITE DETENUES'!L236*L236+M236*'QUANTITE DETENUES'!M236+'QUANTITE DETENUES'!N236*N236+O236*'QUANTITE DETENUES'!O236+T236+P236*'QUANTITE DETENUES'!P236+'QUANTITE DETENUES'!Q236*Q236+R236*'QUANTITE DETENUES'!R236+'QUANTITE DETENUES'!S236*S236)</f>
        <v>48792.21262</v>
      </c>
      <c r="V236" s="288"/>
      <c r="W236" s="220"/>
      <c r="X236" s="220"/>
      <c r="Y236" s="220"/>
      <c r="Z236" s="220"/>
      <c r="AA236" s="220"/>
      <c r="AB236" s="220"/>
      <c r="AC236" s="220"/>
      <c r="AD236" s="220"/>
      <c r="AE236" s="220"/>
      <c r="AF236" s="220"/>
      <c r="AG236" s="308"/>
      <c r="AH236" s="220"/>
      <c r="AI236" s="220"/>
      <c r="AJ236" s="220"/>
      <c r="AK236" s="220"/>
      <c r="AL236" s="220"/>
      <c r="AM236" s="220"/>
    </row>
    <row r="237">
      <c r="A237" s="409">
        <f>IF(ARBITRAGES!E237="","",ARBITRAGES!E237)</f>
        <v>46046</v>
      </c>
      <c r="B237" s="31">
        <v>89000.0</v>
      </c>
      <c r="C237" s="31">
        <v>2960.0</v>
      </c>
      <c r="D237" s="31">
        <v>1.535</v>
      </c>
      <c r="E237" s="31">
        <v>130.0</v>
      </c>
      <c r="F237" s="31">
        <v>240.0</v>
      </c>
      <c r="G237" s="31">
        <v>0.153</v>
      </c>
      <c r="H237" s="31">
        <v>12.15</v>
      </c>
      <c r="I237" s="31">
        <v>0.1235</v>
      </c>
      <c r="J237" s="31">
        <v>7.8E-6</v>
      </c>
      <c r="K237" s="31">
        <v>1.95</v>
      </c>
      <c r="L237" s="31">
        <v>0.196</v>
      </c>
      <c r="M237" s="31">
        <v>155.0</v>
      </c>
      <c r="N237" s="31">
        <v>0.00247</v>
      </c>
      <c r="O237" s="31">
        <v>2.0</v>
      </c>
      <c r="P237" s="31">
        <v>5.8E-4</v>
      </c>
      <c r="Q237" s="31">
        <v>5.0E-6</v>
      </c>
      <c r="R237" s="31">
        <v>0.333</v>
      </c>
      <c r="S237" s="136">
        <v>1.0</v>
      </c>
      <c r="T237" s="14">
        <f>IF(A237="","",ARBITRAGES!M237)</f>
        <v>13633.03142</v>
      </c>
      <c r="U237" s="417">
        <f>IF(A237="","",B237*'QUANTITE DETENUES'!B237+'QUANTITE DETENUES'!C237*C237+'QUANTITE DETENUES'!D237*D237+E237*'QUANTITE DETENUES'!E237+'QUANTITE DETENUES'!F237*F237+G237*'QUANTITE DETENUES'!G237+'QUANTITE DETENUES'!H237*H237+I237*'QUANTITE DETENUES'!I237+'QUANTITE DETENUES'!J237*J237+K237*'QUANTITE DETENUES'!K237+'QUANTITE DETENUES'!L237*L237+M237*'QUANTITE DETENUES'!M237+'QUANTITE DETENUES'!N237*N237+O237*'QUANTITE DETENUES'!O237+T237+P237*'QUANTITE DETENUES'!P237+'QUANTITE DETENUES'!Q237*Q237+R237*'QUANTITE DETENUES'!R237+'QUANTITE DETENUES'!S237*S237)</f>
        <v>48800.56917</v>
      </c>
      <c r="V237" s="288"/>
      <c r="W237" s="220"/>
      <c r="X237" s="220"/>
      <c r="Y237" s="220"/>
      <c r="Z237" s="220"/>
      <c r="AA237" s="220"/>
      <c r="AB237" s="220"/>
      <c r="AC237" s="220"/>
      <c r="AD237" s="220"/>
      <c r="AE237" s="220"/>
      <c r="AF237" s="220"/>
      <c r="AG237" s="308"/>
      <c r="AH237" s="220"/>
      <c r="AI237" s="220"/>
      <c r="AJ237" s="220"/>
      <c r="AK237" s="220"/>
      <c r="AL237" s="220"/>
      <c r="AM237" s="220"/>
    </row>
    <row r="238">
      <c r="A238" s="409">
        <f>IF(ARBITRAGES!E238="","",ARBITRAGES!E238)</f>
        <v>46047</v>
      </c>
      <c r="B238" s="31">
        <v>88000.0</v>
      </c>
      <c r="C238" s="31">
        <v>2900.0</v>
      </c>
      <c r="D238" s="31">
        <v>1.5</v>
      </c>
      <c r="E238" s="31">
        <v>125.0</v>
      </c>
      <c r="F238" s="31">
        <v>231.0</v>
      </c>
      <c r="G238" s="31">
        <v>0.145</v>
      </c>
      <c r="H238" s="31">
        <v>11.8</v>
      </c>
      <c r="I238" s="31">
        <v>0.121</v>
      </c>
      <c r="J238" s="31">
        <v>7.65E-6</v>
      </c>
      <c r="K238" s="31">
        <v>1.9</v>
      </c>
      <c r="L238" s="31">
        <v>0.19</v>
      </c>
      <c r="M238" s="31">
        <v>152.0</v>
      </c>
      <c r="N238" s="31">
        <v>0.0024</v>
      </c>
      <c r="O238" s="31">
        <v>1.9</v>
      </c>
      <c r="P238" s="31">
        <v>5.6E-4</v>
      </c>
      <c r="Q238" s="31">
        <v>4.8E-6</v>
      </c>
      <c r="R238" s="31">
        <v>0.325</v>
      </c>
      <c r="S238" s="136">
        <v>0.96</v>
      </c>
      <c r="T238" s="14">
        <f>IF(A238="","",ARBITRAGES!M238)</f>
        <v>13336.78142</v>
      </c>
      <c r="U238" s="417">
        <f>IF(A238="","",B238*'QUANTITE DETENUES'!B238+'QUANTITE DETENUES'!C238*C238+'QUANTITE DETENUES'!D238*D238+E238*'QUANTITE DETENUES'!E238+'QUANTITE DETENUES'!F238*F238+G238*'QUANTITE DETENUES'!G238+'QUANTITE DETENUES'!H238*H238+I238*'QUANTITE DETENUES'!I238+'QUANTITE DETENUES'!J238*J238+K238*'QUANTITE DETENUES'!K238+'QUANTITE DETENUES'!L238*L238+M238*'QUANTITE DETENUES'!M238+'QUANTITE DETENUES'!N238*N238+O238*'QUANTITE DETENUES'!O238+T238+P238*'QUANTITE DETENUES'!P238+'QUANTITE DETENUES'!Q238*Q238+R238*'QUANTITE DETENUES'!R238+'QUANTITE DETENUES'!S238*S238)</f>
        <v>48287.00358</v>
      </c>
      <c r="V238" s="288"/>
      <c r="W238" s="220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308"/>
      <c r="AH238" s="220"/>
      <c r="AI238" s="220"/>
      <c r="AJ238" s="220"/>
      <c r="AK238" s="220"/>
      <c r="AL238" s="220"/>
      <c r="AM238" s="220"/>
    </row>
    <row r="239">
      <c r="A239" s="409">
        <f>IF(ARBITRAGES!E239="","",ARBITRAGES!E239)</f>
        <v>46048</v>
      </c>
      <c r="B239" s="31">
        <v>88000.0</v>
      </c>
      <c r="C239" s="31">
        <v>2900.0</v>
      </c>
      <c r="D239" s="31">
        <v>1.5</v>
      </c>
      <c r="E239" s="31">
        <v>125.0</v>
      </c>
      <c r="F239" s="31">
        <v>231.0</v>
      </c>
      <c r="G239" s="31">
        <v>0.145</v>
      </c>
      <c r="H239" s="31">
        <v>11.8</v>
      </c>
      <c r="I239" s="31">
        <v>0.121</v>
      </c>
      <c r="J239" s="31">
        <v>7.65E-6</v>
      </c>
      <c r="K239" s="31">
        <v>1.9</v>
      </c>
      <c r="L239" s="31">
        <v>0.19</v>
      </c>
      <c r="M239" s="31">
        <v>152.0</v>
      </c>
      <c r="N239" s="31">
        <v>0.0024</v>
      </c>
      <c r="O239" s="31">
        <v>1.9</v>
      </c>
      <c r="P239" s="31">
        <v>5.6E-4</v>
      </c>
      <c r="Q239" s="31">
        <v>4.8E-6</v>
      </c>
      <c r="R239" s="31">
        <v>0.325</v>
      </c>
      <c r="S239" s="136">
        <v>0.96</v>
      </c>
      <c r="T239" s="14">
        <f>IF(A239="","",ARBITRAGES!M239)</f>
        <v>13136.78142</v>
      </c>
      <c r="U239" s="417">
        <f>IF(A239="","",B239*'QUANTITE DETENUES'!B239+'QUANTITE DETENUES'!C239*C239+'QUANTITE DETENUES'!D239*D239+E239*'QUANTITE DETENUES'!E239+'QUANTITE DETENUES'!F239*F239+G239*'QUANTITE DETENUES'!G239+'QUANTITE DETENUES'!H239*H239+I239*'QUANTITE DETENUES'!I239+'QUANTITE DETENUES'!J239*J239+K239*'QUANTITE DETENUES'!K239+'QUANTITE DETENUES'!L239*L239+M239*'QUANTITE DETENUES'!M239+'QUANTITE DETENUES'!N239*N239+O239*'QUANTITE DETENUES'!O239+T239+P239*'QUANTITE DETENUES'!P239+'QUANTITE DETENUES'!Q239*Q239+R239*'QUANTITE DETENUES'!R239+'QUANTITE DETENUES'!S239*S239)</f>
        <v>48288.14644</v>
      </c>
      <c r="V239" s="288"/>
      <c r="W239" s="220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308"/>
      <c r="AH239" s="220"/>
      <c r="AI239" s="220"/>
      <c r="AJ239" s="220"/>
      <c r="AK239" s="220"/>
      <c r="AL239" s="220"/>
      <c r="AM239" s="220"/>
    </row>
    <row r="240">
      <c r="A240" s="409">
        <f>IF(ARBITRAGES!E240="","",ARBITRAGES!E240)</f>
        <v>46053</v>
      </c>
      <c r="B240" s="31">
        <v>83000.0</v>
      </c>
      <c r="C240" s="31">
        <v>2670.0</v>
      </c>
      <c r="D240" s="31">
        <v>1.4</v>
      </c>
      <c r="E240" s="31">
        <v>117.0</v>
      </c>
      <c r="F240" s="31">
        <v>210.0</v>
      </c>
      <c r="G240" s="31">
        <v>0.122</v>
      </c>
      <c r="H240" s="31">
        <v>10.5</v>
      </c>
      <c r="I240" s="31">
        <v>0.113</v>
      </c>
      <c r="J240" s="31">
        <v>7.0E-6</v>
      </c>
      <c r="K240" s="31">
        <v>1.65</v>
      </c>
      <c r="L240" s="31">
        <v>0.2</v>
      </c>
      <c r="M240" s="31">
        <v>135.0</v>
      </c>
      <c r="N240" s="31">
        <v>0.00215</v>
      </c>
      <c r="O240" s="31">
        <v>1.75</v>
      </c>
      <c r="P240" s="31">
        <v>5.4E-4</v>
      </c>
      <c r="Q240" s="31">
        <v>4.4E-6</v>
      </c>
      <c r="R240" s="31">
        <v>0.28</v>
      </c>
      <c r="S240" s="136">
        <v>0.9</v>
      </c>
      <c r="T240" s="14">
        <f>IF(A240="","",ARBITRAGES!M240)</f>
        <v>12037.03142</v>
      </c>
      <c r="U240" s="417">
        <f>IF(A240="","",B240*'QUANTITE DETENUES'!B240+'QUANTITE DETENUES'!C240*C240+'QUANTITE DETENUES'!D240*D240+E240*'QUANTITE DETENUES'!E240+'QUANTITE DETENUES'!F240*F240+G240*'QUANTITE DETENUES'!G240+'QUANTITE DETENUES'!H240*H240+I240*'QUANTITE DETENUES'!I240+'QUANTITE DETENUES'!J240*J240+K240*'QUANTITE DETENUES'!K240+'QUANTITE DETENUES'!L240*L240+M240*'QUANTITE DETENUES'!M240+'QUANTITE DETENUES'!N240*N240+O240*'QUANTITE DETENUES'!O240+T240+P240*'QUANTITE DETENUES'!P240+'QUANTITE DETENUES'!Q240*Q240+R240*'QUANTITE DETENUES'!R240+'QUANTITE DETENUES'!S240*S240)</f>
        <v>46066.89183</v>
      </c>
      <c r="V240" s="288"/>
      <c r="W240" s="220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308"/>
      <c r="AH240" s="220"/>
      <c r="AI240" s="220"/>
      <c r="AJ240" s="220"/>
      <c r="AK240" s="220"/>
      <c r="AL240" s="220"/>
      <c r="AM240" s="220"/>
    </row>
    <row r="241">
      <c r="A241" s="409">
        <f>IF(ARBITRAGES!E241="","",ARBITRAGES!E241)</f>
        <v>46053</v>
      </c>
      <c r="B241" s="31">
        <v>83000.0</v>
      </c>
      <c r="C241" s="31">
        <v>2670.0</v>
      </c>
      <c r="D241" s="31">
        <v>1.4</v>
      </c>
      <c r="E241" s="31">
        <v>117.0</v>
      </c>
      <c r="F241" s="31">
        <v>210.0</v>
      </c>
      <c r="G241" s="31">
        <v>0.122</v>
      </c>
      <c r="H241" s="31">
        <v>10.5</v>
      </c>
      <c r="I241" s="31">
        <v>0.113</v>
      </c>
      <c r="J241" s="31">
        <v>7.0E-6</v>
      </c>
      <c r="K241" s="31">
        <v>1.65</v>
      </c>
      <c r="L241" s="31">
        <v>0.2</v>
      </c>
      <c r="M241" s="31">
        <v>135.0</v>
      </c>
      <c r="N241" s="31">
        <v>0.00215</v>
      </c>
      <c r="O241" s="31">
        <v>1.75</v>
      </c>
      <c r="P241" s="31">
        <v>5.4E-4</v>
      </c>
      <c r="Q241" s="31">
        <v>4.4E-6</v>
      </c>
      <c r="R241" s="31">
        <v>0.28</v>
      </c>
      <c r="S241" s="136">
        <v>0.9</v>
      </c>
      <c r="T241" s="14">
        <f>IF(A241="","",ARBITRAGES!M241)</f>
        <v>11542.03142</v>
      </c>
      <c r="U241" s="417">
        <f>IF(A241="","",B241*'QUANTITE DETENUES'!B241+'QUANTITE DETENUES'!C241*C241+'QUANTITE DETENUES'!D241*D241+E241*'QUANTITE DETENUES'!E241+'QUANTITE DETENUES'!F241*F241+G241*'QUANTITE DETENUES'!G241+'QUANTITE DETENUES'!H241*H241+I241*'QUANTITE DETENUES'!I241+'QUANTITE DETENUES'!J241*J241+K241*'QUANTITE DETENUES'!K241+'QUANTITE DETENUES'!L241*L241+M241*'QUANTITE DETENUES'!M241+'QUANTITE DETENUES'!N241*N241+O241*'QUANTITE DETENUES'!O241+T241+P241*'QUANTITE DETENUES'!P241+'QUANTITE DETENUES'!Q241*Q241+R241*'QUANTITE DETENUES'!R241+'QUANTITE DETENUES'!S241*S241)</f>
        <v>46069.89183</v>
      </c>
      <c r="V241" s="288"/>
      <c r="W241" s="220"/>
      <c r="X241" s="220"/>
      <c r="Y241" s="220"/>
      <c r="Z241" s="220"/>
      <c r="AA241" s="220"/>
      <c r="AB241" s="220"/>
      <c r="AC241" s="220"/>
      <c r="AD241" s="220"/>
      <c r="AE241" s="220"/>
      <c r="AF241" s="220"/>
      <c r="AG241" s="308"/>
      <c r="AH241" s="220"/>
      <c r="AI241" s="220"/>
      <c r="AJ241" s="220"/>
      <c r="AK241" s="220"/>
      <c r="AL241" s="220"/>
      <c r="AM241" s="220"/>
    </row>
    <row r="242">
      <c r="A242" s="409">
        <f>IF(ARBITRAGES!E242="","",ARBITRAGES!E242)</f>
        <v>46053</v>
      </c>
      <c r="B242" s="31">
        <v>83000.0</v>
      </c>
      <c r="C242" s="31">
        <v>2670.0</v>
      </c>
      <c r="D242" s="31">
        <v>1.4</v>
      </c>
      <c r="E242" s="31">
        <v>117.0</v>
      </c>
      <c r="F242" s="31">
        <v>210.0</v>
      </c>
      <c r="G242" s="31">
        <v>0.122</v>
      </c>
      <c r="H242" s="31">
        <v>10.5</v>
      </c>
      <c r="I242" s="31">
        <v>0.113</v>
      </c>
      <c r="J242" s="31">
        <v>7.0E-6</v>
      </c>
      <c r="K242" s="31">
        <v>1.65</v>
      </c>
      <c r="L242" s="31">
        <v>0.2</v>
      </c>
      <c r="M242" s="31">
        <v>135.0</v>
      </c>
      <c r="N242" s="31">
        <v>0.00215</v>
      </c>
      <c r="O242" s="31">
        <v>1.75</v>
      </c>
      <c r="P242" s="31">
        <v>5.4E-4</v>
      </c>
      <c r="Q242" s="31">
        <v>4.4E-6</v>
      </c>
      <c r="R242" s="31">
        <v>0.28</v>
      </c>
      <c r="S242" s="136">
        <v>0.9</v>
      </c>
      <c r="T242" s="14">
        <f>IF(A242="","",ARBITRAGES!M242)</f>
        <v>11842.03142</v>
      </c>
      <c r="U242" s="417">
        <f>IF(A242="","",B242*'QUANTITE DETENUES'!B242+'QUANTITE DETENUES'!C242*C242+'QUANTITE DETENUES'!D242*D242+E242*'QUANTITE DETENUES'!E242+'QUANTITE DETENUES'!F242*F242+G242*'QUANTITE DETENUES'!G242+'QUANTITE DETENUES'!H242*H242+I242*'QUANTITE DETENUES'!I242+'QUANTITE DETENUES'!J242*J242+K242*'QUANTITE DETENUES'!K242+'QUANTITE DETENUES'!L242*L242+M242*'QUANTITE DETENUES'!M242+'QUANTITE DETENUES'!N242*N242+O242*'QUANTITE DETENUES'!O242+T242+P242*'QUANTITE DETENUES'!P242+'QUANTITE DETENUES'!Q242*Q242+R242*'QUANTITE DETENUES'!R242+'QUANTITE DETENUES'!S242*S242)</f>
        <v>46067.51836</v>
      </c>
      <c r="V242" s="288"/>
      <c r="W242" s="220"/>
      <c r="X242" s="220"/>
      <c r="Y242" s="220"/>
      <c r="Z242" s="220"/>
      <c r="AA242" s="220"/>
      <c r="AB242" s="220"/>
      <c r="AC242" s="220"/>
      <c r="AD242" s="220"/>
      <c r="AE242" s="220"/>
      <c r="AF242" s="220"/>
      <c r="AG242" s="308"/>
      <c r="AH242" s="220"/>
      <c r="AI242" s="220"/>
      <c r="AJ242" s="220"/>
      <c r="AK242" s="220"/>
      <c r="AL242" s="220"/>
      <c r="AM242" s="220"/>
    </row>
    <row r="243">
      <c r="A243" s="409">
        <f>IF(ARBITRAGES!E243="","",ARBITRAGES!E243)</f>
        <v>46053</v>
      </c>
      <c r="B243" s="31">
        <v>83000.0</v>
      </c>
      <c r="C243" s="31">
        <v>2670.0</v>
      </c>
      <c r="D243" s="31">
        <v>1.4</v>
      </c>
      <c r="E243" s="31">
        <v>117.0</v>
      </c>
      <c r="F243" s="31">
        <v>210.0</v>
      </c>
      <c r="G243" s="31">
        <v>0.122</v>
      </c>
      <c r="H243" s="31">
        <v>10.5</v>
      </c>
      <c r="I243" s="31">
        <v>0.113</v>
      </c>
      <c r="J243" s="31">
        <v>7.0E-6</v>
      </c>
      <c r="K243" s="31">
        <v>1.65</v>
      </c>
      <c r="L243" s="31">
        <v>0.2</v>
      </c>
      <c r="M243" s="31">
        <v>135.0</v>
      </c>
      <c r="N243" s="31">
        <v>0.00215</v>
      </c>
      <c r="O243" s="31">
        <v>1.75</v>
      </c>
      <c r="P243" s="31">
        <v>5.4E-4</v>
      </c>
      <c r="Q243" s="31">
        <v>4.4E-6</v>
      </c>
      <c r="R243" s="31">
        <v>0.28</v>
      </c>
      <c r="S243" s="136">
        <v>0.9</v>
      </c>
      <c r="T243" s="14">
        <f>IF(A243="","",ARBITRAGES!M243)</f>
        <v>10372.62204</v>
      </c>
      <c r="U243" s="417">
        <f>IF(A243="","",B243*'QUANTITE DETENUES'!B243+'QUANTITE DETENUES'!C243*C243+'QUANTITE DETENUES'!D243*D243+E243*'QUANTITE DETENUES'!E243+'QUANTITE DETENUES'!F243*F243+G243*'QUANTITE DETENUES'!G243+'QUANTITE DETENUES'!H243*H243+I243*'QUANTITE DETENUES'!I243+'QUANTITE DETENUES'!J243*J243+K243*'QUANTITE DETENUES'!K243+'QUANTITE DETENUES'!L243*L243+M243*'QUANTITE DETENUES'!M243+'QUANTITE DETENUES'!N243*N243+O243*'QUANTITE DETENUES'!O243+T243+P243*'QUANTITE DETENUES'!P243+'QUANTITE DETENUES'!Q243*Q243+R243*'QUANTITE DETENUES'!R243+'QUANTITE DETENUES'!S243*S243)</f>
        <v>46171.79903</v>
      </c>
      <c r="V243" s="288"/>
      <c r="W243" s="220"/>
      <c r="X243" s="220"/>
      <c r="Y243" s="220"/>
      <c r="Z243" s="220"/>
      <c r="AA243" s="220"/>
      <c r="AB243" s="220"/>
      <c r="AC243" s="220"/>
      <c r="AD243" s="220"/>
      <c r="AE243" s="220"/>
      <c r="AF243" s="220"/>
      <c r="AG243" s="308"/>
      <c r="AH243" s="220"/>
      <c r="AI243" s="220"/>
      <c r="AJ243" s="220"/>
      <c r="AK243" s="220"/>
      <c r="AL243" s="220"/>
      <c r="AM243" s="220"/>
    </row>
    <row r="244">
      <c r="A244" s="409">
        <f>IF(ARBITRAGES!E244="","",ARBITRAGES!E244)</f>
        <v>46053</v>
      </c>
      <c r="B244" s="31">
        <v>83000.0</v>
      </c>
      <c r="C244" s="31">
        <v>2670.0</v>
      </c>
      <c r="D244" s="31">
        <v>1.4</v>
      </c>
      <c r="E244" s="31">
        <v>117.0</v>
      </c>
      <c r="F244" s="31">
        <v>210.0</v>
      </c>
      <c r="G244" s="31">
        <v>0.122</v>
      </c>
      <c r="H244" s="31">
        <v>10.5</v>
      </c>
      <c r="I244" s="31">
        <v>0.113</v>
      </c>
      <c r="J244" s="31">
        <v>7.0E-6</v>
      </c>
      <c r="K244" s="31">
        <v>1.65</v>
      </c>
      <c r="L244" s="31">
        <v>0.2</v>
      </c>
      <c r="M244" s="31">
        <v>135.0</v>
      </c>
      <c r="N244" s="31">
        <v>0.00215</v>
      </c>
      <c r="O244" s="31">
        <v>1.75</v>
      </c>
      <c r="P244" s="31">
        <v>5.4E-4</v>
      </c>
      <c r="Q244" s="31">
        <v>4.4E-6</v>
      </c>
      <c r="R244" s="31">
        <v>0.28</v>
      </c>
      <c r="S244" s="136">
        <v>0.9</v>
      </c>
      <c r="T244" s="14">
        <f>IF(A244="","",ARBITRAGES!M244)</f>
        <v>10172.62204</v>
      </c>
      <c r="U244" s="417">
        <f>IF(A244="","",B244*'QUANTITE DETENUES'!B244+'QUANTITE DETENUES'!C244*C244+'QUANTITE DETENUES'!D244*D244+E244*'QUANTITE DETENUES'!E244+'QUANTITE DETENUES'!F244*F244+G244*'QUANTITE DETENUES'!G244+'QUANTITE DETENUES'!H244*H244+I244*'QUANTITE DETENUES'!I244+'QUANTITE DETENUES'!J244*J244+K244*'QUANTITE DETENUES'!K244+'QUANTITE DETENUES'!L244*L244+M244*'QUANTITE DETENUES'!M244+'QUANTITE DETENUES'!N244*N244+O244*'QUANTITE DETENUES'!O244+T244+P244*'QUANTITE DETENUES'!P244+'QUANTITE DETENUES'!Q244*Q244+R244*'QUANTITE DETENUES'!R244+'QUANTITE DETENUES'!S244*S244)</f>
        <v>46182.13503</v>
      </c>
      <c r="V244" s="288"/>
      <c r="W244" s="220"/>
      <c r="X244" s="220"/>
      <c r="Y244" s="220"/>
      <c r="Z244" s="220"/>
      <c r="AA244" s="220"/>
      <c r="AB244" s="220"/>
      <c r="AC244" s="220"/>
      <c r="AD244" s="220"/>
      <c r="AE244" s="220"/>
      <c r="AF244" s="220"/>
      <c r="AG244" s="308"/>
      <c r="AH244" s="220"/>
      <c r="AI244" s="220"/>
      <c r="AJ244" s="220"/>
      <c r="AK244" s="220"/>
      <c r="AL244" s="220"/>
      <c r="AM244" s="220"/>
    </row>
    <row r="245">
      <c r="A245" s="409">
        <f>IF(ARBITRAGES!E245="","",ARBITRAGES!E245)</f>
        <v>46053</v>
      </c>
      <c r="B245" s="31">
        <v>83000.0</v>
      </c>
      <c r="C245" s="31">
        <v>2670.0</v>
      </c>
      <c r="D245" s="31">
        <v>1.4</v>
      </c>
      <c r="E245" s="31">
        <v>117.0</v>
      </c>
      <c r="F245" s="31">
        <v>210.0</v>
      </c>
      <c r="G245" s="31">
        <v>0.122</v>
      </c>
      <c r="H245" s="31">
        <v>10.5</v>
      </c>
      <c r="I245" s="31">
        <v>0.113</v>
      </c>
      <c r="J245" s="31">
        <v>7.0E-6</v>
      </c>
      <c r="K245" s="31">
        <v>1.65</v>
      </c>
      <c r="L245" s="31">
        <v>0.2</v>
      </c>
      <c r="M245" s="31">
        <v>135.0</v>
      </c>
      <c r="N245" s="31">
        <v>0.00215</v>
      </c>
      <c r="O245" s="31">
        <v>1.75</v>
      </c>
      <c r="P245" s="31">
        <v>5.4E-4</v>
      </c>
      <c r="Q245" s="31">
        <v>4.4E-6</v>
      </c>
      <c r="R245" s="31">
        <v>0.28</v>
      </c>
      <c r="S245" s="136">
        <v>0.9</v>
      </c>
      <c r="T245" s="14">
        <f>IF(A245="","",ARBITRAGES!M245)</f>
        <v>9930.622036</v>
      </c>
      <c r="U245" s="417">
        <f>IF(A245="","",B245*'QUANTITE DETENUES'!B245+'QUANTITE DETENUES'!C245*C245+'QUANTITE DETENUES'!D245*D245+E245*'QUANTITE DETENUES'!E245+'QUANTITE DETENUES'!F245*F245+G245*'QUANTITE DETENUES'!G245+'QUANTITE DETENUES'!H245*H245+I245*'QUANTITE DETENUES'!I245+'QUANTITE DETENUES'!J245*J245+K245*'QUANTITE DETENUES'!K245+'QUANTITE DETENUES'!L245*L245+M245*'QUANTITE DETENUES'!M245+'QUANTITE DETENUES'!N245*N245+O245*'QUANTITE DETENUES'!O245+T245+P245*'QUANTITE DETENUES'!P245+'QUANTITE DETENUES'!Q245*Q245+R245*'QUANTITE DETENUES'!R245+'QUANTITE DETENUES'!S245*S245)</f>
        <v>46201.04503</v>
      </c>
      <c r="V245" s="288"/>
      <c r="W245" s="220"/>
      <c r="X245" s="220"/>
      <c r="Y245" s="220"/>
      <c r="Z245" s="220"/>
      <c r="AA245" s="220"/>
      <c r="AB245" s="220"/>
      <c r="AC245" s="220"/>
      <c r="AD245" s="220"/>
      <c r="AE245" s="220"/>
      <c r="AF245" s="220"/>
      <c r="AG245" s="308"/>
      <c r="AH245" s="220"/>
      <c r="AI245" s="220"/>
      <c r="AJ245" s="220"/>
      <c r="AK245" s="220"/>
      <c r="AL245" s="220"/>
      <c r="AM245" s="220"/>
    </row>
    <row r="246">
      <c r="A246" s="409">
        <f>IF(ARBITRAGES!E246="","",ARBITRAGES!E246)</f>
        <v>46053</v>
      </c>
      <c r="B246" s="31">
        <v>83000.0</v>
      </c>
      <c r="C246" s="31">
        <v>2670.0</v>
      </c>
      <c r="D246" s="31">
        <v>1.4</v>
      </c>
      <c r="E246" s="31">
        <v>117.0</v>
      </c>
      <c r="F246" s="31">
        <v>210.0</v>
      </c>
      <c r="G246" s="31">
        <v>0.122</v>
      </c>
      <c r="H246" s="31">
        <v>10.5</v>
      </c>
      <c r="I246" s="31">
        <v>0.113</v>
      </c>
      <c r="J246" s="31">
        <v>7.0E-6</v>
      </c>
      <c r="K246" s="31">
        <v>1.65</v>
      </c>
      <c r="L246" s="31">
        <v>0.2</v>
      </c>
      <c r="M246" s="31">
        <v>135.0</v>
      </c>
      <c r="N246" s="31">
        <v>0.00215</v>
      </c>
      <c r="O246" s="31">
        <v>1.75</v>
      </c>
      <c r="P246" s="31">
        <v>5.4E-4</v>
      </c>
      <c r="Q246" s="31">
        <v>4.4E-6</v>
      </c>
      <c r="R246" s="31">
        <v>0.28</v>
      </c>
      <c r="S246" s="136">
        <v>0.9</v>
      </c>
      <c r="T246" s="14">
        <f>IF(A246="","",ARBITRAGES!M246)</f>
        <v>9930.621936</v>
      </c>
      <c r="U246" s="417">
        <f>IF(A246="","",B246*'QUANTITE DETENUES'!B246+'QUANTITE DETENUES'!C246*C246+'QUANTITE DETENUES'!D246*D246+E246*'QUANTITE DETENUES'!E246+'QUANTITE DETENUES'!F246*F246+G246*'QUANTITE DETENUES'!G246+'QUANTITE DETENUES'!H246*H246+I246*'QUANTITE DETENUES'!I246+'QUANTITE DETENUES'!J246*J246+K246*'QUANTITE DETENUES'!K246+'QUANTITE DETENUES'!L246*L246+M246*'QUANTITE DETENUES'!M246+'QUANTITE DETENUES'!N246*N246+O246*'QUANTITE DETENUES'!O246+T246+P246*'QUANTITE DETENUES'!P246+'QUANTITE DETENUES'!Q246*Q246+R246*'QUANTITE DETENUES'!R246+'QUANTITE DETENUES'!S246*S246)</f>
        <v>46201.04504</v>
      </c>
      <c r="V246" s="288"/>
      <c r="W246" s="220"/>
      <c r="X246" s="220"/>
      <c r="Y246" s="220"/>
      <c r="Z246" s="220"/>
      <c r="AA246" s="220"/>
      <c r="AB246" s="220"/>
      <c r="AC246" s="220"/>
      <c r="AD246" s="220"/>
      <c r="AE246" s="220"/>
      <c r="AF246" s="220"/>
      <c r="AG246" s="308"/>
      <c r="AH246" s="220"/>
      <c r="AI246" s="220"/>
      <c r="AJ246" s="220"/>
      <c r="AK246" s="220"/>
      <c r="AL246" s="220"/>
      <c r="AM246" s="220"/>
    </row>
    <row r="247">
      <c r="A247" s="409">
        <f>IF(ARBITRAGES!E247="","",ARBITRAGES!E247)</f>
        <v>46054</v>
      </c>
      <c r="B247" s="31">
        <v>78500.0</v>
      </c>
      <c r="C247" s="31">
        <v>2400.0</v>
      </c>
      <c r="D247" s="31">
        <v>1.36</v>
      </c>
      <c r="E247" s="31">
        <v>105.0</v>
      </c>
      <c r="F247" s="31">
        <v>195.0</v>
      </c>
      <c r="G247" s="31">
        <v>0.11</v>
      </c>
      <c r="H247" s="31">
        <v>9.85</v>
      </c>
      <c r="I247" s="31">
        <v>0.105</v>
      </c>
      <c r="J247" s="31">
        <v>6.8E-6</v>
      </c>
      <c r="K247" s="31">
        <v>1.54</v>
      </c>
      <c r="L247" s="31">
        <v>0.177</v>
      </c>
      <c r="M247" s="31">
        <v>127.0</v>
      </c>
      <c r="N247" s="31">
        <v>0.002</v>
      </c>
      <c r="O247" s="31">
        <v>1.62</v>
      </c>
      <c r="P247" s="31">
        <v>4.8E-4</v>
      </c>
      <c r="Q247" s="31">
        <v>4.3E-6</v>
      </c>
      <c r="R247" s="31">
        <v>0.258</v>
      </c>
      <c r="S247" s="136">
        <v>0.73</v>
      </c>
      <c r="T247" s="14">
        <f>IF(A247="","",ARBITRAGES!M247)</f>
        <v>9545.621936</v>
      </c>
      <c r="U247" s="417">
        <f>IF(A247="","",B247*'QUANTITE DETENUES'!B247+'QUANTITE DETENUES'!C247*C247+'QUANTITE DETENUES'!D247*D247+E247*'QUANTITE DETENUES'!E247+'QUANTITE DETENUES'!F247*F247+G247*'QUANTITE DETENUES'!G247+'QUANTITE DETENUES'!H247*H247+I247*'QUANTITE DETENUES'!I247+'QUANTITE DETENUES'!J247*J247+K247*'QUANTITE DETENUES'!K247+'QUANTITE DETENUES'!L247*L247+M247*'QUANTITE DETENUES'!M247+'QUANTITE DETENUES'!N247*N247+O247*'QUANTITE DETENUES'!O247+T247+P247*'QUANTITE DETENUES'!P247+'QUANTITE DETENUES'!Q247*Q247+R247*'QUANTITE DETENUES'!R247+'QUANTITE DETENUES'!S247*S247)</f>
        <v>43898.21918</v>
      </c>
      <c r="V247" s="288"/>
      <c r="W247" s="220"/>
      <c r="X247" s="220"/>
      <c r="Y247" s="220"/>
      <c r="Z247" s="220"/>
      <c r="AA247" s="220"/>
      <c r="AB247" s="220"/>
      <c r="AC247" s="220"/>
      <c r="AD247" s="220"/>
      <c r="AE247" s="220"/>
      <c r="AF247" s="220"/>
      <c r="AG247" s="308"/>
      <c r="AH247" s="220"/>
      <c r="AI247" s="220"/>
      <c r="AJ247" s="220"/>
      <c r="AK247" s="220"/>
      <c r="AL247" s="220"/>
      <c r="AM247" s="220"/>
    </row>
    <row r="248">
      <c r="A248" s="409">
        <f>IF(ARBITRAGES!E248="","",ARBITRAGES!E248)</f>
        <v>46054</v>
      </c>
      <c r="B248" s="31">
        <v>78500.0</v>
      </c>
      <c r="C248" s="31">
        <v>2400.0</v>
      </c>
      <c r="D248" s="31">
        <v>1.36</v>
      </c>
      <c r="E248" s="31">
        <v>105.0</v>
      </c>
      <c r="F248" s="31">
        <v>195.0</v>
      </c>
      <c r="G248" s="31">
        <v>0.11</v>
      </c>
      <c r="H248" s="31">
        <v>9.85</v>
      </c>
      <c r="I248" s="31">
        <v>0.105</v>
      </c>
      <c r="J248" s="31">
        <v>6.8E-6</v>
      </c>
      <c r="K248" s="31">
        <v>1.54</v>
      </c>
      <c r="L248" s="31">
        <v>0.177</v>
      </c>
      <c r="M248" s="31">
        <v>127.0</v>
      </c>
      <c r="N248" s="31">
        <v>0.002</v>
      </c>
      <c r="O248" s="31">
        <v>1.62</v>
      </c>
      <c r="P248" s="31">
        <v>4.8E-4</v>
      </c>
      <c r="Q248" s="31">
        <v>4.3E-6</v>
      </c>
      <c r="R248" s="31">
        <v>0.258</v>
      </c>
      <c r="S248" s="136">
        <v>0.73</v>
      </c>
      <c r="T248" s="14">
        <f>IF(A248="","",ARBITRAGES!M248)</f>
        <v>9430.621936</v>
      </c>
      <c r="U248" s="417">
        <f>IF(A248="","",B248*'QUANTITE DETENUES'!B248+'QUANTITE DETENUES'!C248*C248+'QUANTITE DETENUES'!D248*D248+E248*'QUANTITE DETENUES'!E248+'QUANTITE DETENUES'!F248*F248+G248*'QUANTITE DETENUES'!G248+'QUANTITE DETENUES'!H248*H248+I248*'QUANTITE DETENUES'!I248+'QUANTITE DETENUES'!J248*J248+K248*'QUANTITE DETENUES'!K248+'QUANTITE DETENUES'!L248*L248+M248*'QUANTITE DETENUES'!M248+'QUANTITE DETENUES'!N248*N248+O248*'QUANTITE DETENUES'!O248+T248+P248*'QUANTITE DETENUES'!P248+'QUANTITE DETENUES'!Q248*Q248+R248*'QUANTITE DETENUES'!R248+'QUANTITE DETENUES'!S248*S248)</f>
        <v>43900.66599</v>
      </c>
      <c r="V248" s="288"/>
      <c r="W248" s="220"/>
      <c r="X248" s="220"/>
      <c r="Y248" s="220"/>
      <c r="Z248" s="220"/>
      <c r="AA248" s="220"/>
      <c r="AB248" s="220"/>
      <c r="AC248" s="220"/>
      <c r="AD248" s="220"/>
      <c r="AE248" s="220"/>
      <c r="AF248" s="220"/>
      <c r="AG248" s="308"/>
      <c r="AH248" s="220"/>
      <c r="AI248" s="220"/>
      <c r="AJ248" s="220"/>
      <c r="AK248" s="220"/>
      <c r="AL248" s="220"/>
      <c r="AM248" s="220"/>
    </row>
    <row r="249">
      <c r="A249" s="409">
        <f>IF(ARBITRAGES!E249="","",ARBITRAGES!E249)</f>
        <v>46054</v>
      </c>
      <c r="B249" s="31">
        <v>78500.0</v>
      </c>
      <c r="C249" s="31">
        <v>2400.0</v>
      </c>
      <c r="D249" s="31">
        <v>1.36</v>
      </c>
      <c r="E249" s="31">
        <v>105.0</v>
      </c>
      <c r="F249" s="31">
        <v>195.0</v>
      </c>
      <c r="G249" s="31">
        <v>0.11</v>
      </c>
      <c r="H249" s="31">
        <v>9.85</v>
      </c>
      <c r="I249" s="31">
        <v>0.105</v>
      </c>
      <c r="J249" s="31">
        <v>6.8E-6</v>
      </c>
      <c r="K249" s="31">
        <v>1.54</v>
      </c>
      <c r="L249" s="31">
        <v>0.177</v>
      </c>
      <c r="M249" s="31">
        <v>127.0</v>
      </c>
      <c r="N249" s="31">
        <v>0.002</v>
      </c>
      <c r="O249" s="31">
        <v>1.62</v>
      </c>
      <c r="P249" s="31">
        <v>4.8E-4</v>
      </c>
      <c r="Q249" s="31">
        <v>4.3E-6</v>
      </c>
      <c r="R249" s="31">
        <v>0.258</v>
      </c>
      <c r="S249" s="136">
        <v>0.73</v>
      </c>
      <c r="T249" s="14">
        <f>IF(A249="","",ARBITRAGES!M249)</f>
        <v>9085.621936</v>
      </c>
      <c r="U249" s="417">
        <f>IF(A249="","",B249*'QUANTITE DETENUES'!B249+'QUANTITE DETENUES'!C249*C249+'QUANTITE DETENUES'!D249*D249+E249*'QUANTITE DETENUES'!E249+'QUANTITE DETENUES'!F249*F249+G249*'QUANTITE DETENUES'!G249+'QUANTITE DETENUES'!H249*H249+I249*'QUANTITE DETENUES'!I249+'QUANTITE DETENUES'!J249*J249+K249*'QUANTITE DETENUES'!K249+'QUANTITE DETENUES'!L249*L249+M249*'QUANTITE DETENUES'!M249+'QUANTITE DETENUES'!N249*N249+O249*'QUANTITE DETENUES'!O249+T249+P249*'QUANTITE DETENUES'!P249+'QUANTITE DETENUES'!Q249*Q249+R249*'QUANTITE DETENUES'!R249+'QUANTITE DETENUES'!S249*S249)</f>
        <v>43915.66599</v>
      </c>
      <c r="V249" s="288"/>
      <c r="W249" s="220"/>
      <c r="X249" s="220"/>
      <c r="Y249" s="220"/>
      <c r="Z249" s="220"/>
      <c r="AA249" s="220"/>
      <c r="AB249" s="220"/>
      <c r="AC249" s="220"/>
      <c r="AD249" s="220"/>
      <c r="AE249" s="220"/>
      <c r="AF249" s="220"/>
      <c r="AG249" s="308"/>
      <c r="AH249" s="220"/>
      <c r="AI249" s="220"/>
      <c r="AJ249" s="220"/>
      <c r="AK249" s="220"/>
      <c r="AL249" s="220"/>
      <c r="AM249" s="220"/>
    </row>
    <row r="250">
      <c r="A250" s="409">
        <f>IF(ARBITRAGES!E250="","",ARBITRAGES!E250)</f>
        <v>46055</v>
      </c>
      <c r="B250" s="31">
        <v>77000.0</v>
      </c>
      <c r="C250" s="31">
        <v>2250.0</v>
      </c>
      <c r="D250" s="31">
        <v>1.33</v>
      </c>
      <c r="E250" s="31">
        <v>100.0</v>
      </c>
      <c r="F250" s="31">
        <v>190.0</v>
      </c>
      <c r="G250" s="31">
        <v>0.106</v>
      </c>
      <c r="H250" s="31">
        <v>9.6</v>
      </c>
      <c r="I250" s="31">
        <v>0.105</v>
      </c>
      <c r="J250" s="31">
        <v>6.6E-6</v>
      </c>
      <c r="K250" s="31">
        <v>1.5</v>
      </c>
      <c r="L250" s="31">
        <v>0.186</v>
      </c>
      <c r="M250" s="31">
        <v>125.0</v>
      </c>
      <c r="N250" s="31">
        <v>0.002</v>
      </c>
      <c r="O250" s="31">
        <v>1.56</v>
      </c>
      <c r="P250" s="31">
        <v>4.6E-4</v>
      </c>
      <c r="Q250" s="31">
        <v>4.0E-6</v>
      </c>
      <c r="R250" s="31">
        <v>0.245</v>
      </c>
      <c r="S250" s="136">
        <v>0.71</v>
      </c>
      <c r="T250" s="14">
        <f>IF(A250="","",ARBITRAGES!M250)</f>
        <v>8851.621936</v>
      </c>
      <c r="U250" s="417">
        <f>IF(A250="","",B250*'QUANTITE DETENUES'!B250+'QUANTITE DETENUES'!C250*C250+'QUANTITE DETENUES'!D250*D250+E250*'QUANTITE DETENUES'!E250+'QUANTITE DETENUES'!F250*F250+G250*'QUANTITE DETENUES'!G250+'QUANTITE DETENUES'!H250*H250+I250*'QUANTITE DETENUES'!I250+'QUANTITE DETENUES'!J250*J250+K250*'QUANTITE DETENUES'!K250+'QUANTITE DETENUES'!L250*L250+M250*'QUANTITE DETENUES'!M250+'QUANTITE DETENUES'!N250*N250+O250*'QUANTITE DETENUES'!O250+T250+P250*'QUANTITE DETENUES'!P250+'QUANTITE DETENUES'!Q250*Q250+R250*'QUANTITE DETENUES'!R250+'QUANTITE DETENUES'!S250*S250)</f>
        <v>43048.78345</v>
      </c>
      <c r="V250" s="288"/>
      <c r="W250" s="220"/>
      <c r="X250" s="220"/>
      <c r="Y250" s="220"/>
      <c r="Z250" s="220"/>
      <c r="AA250" s="220"/>
      <c r="AB250" s="220"/>
      <c r="AC250" s="220"/>
      <c r="AD250" s="220"/>
      <c r="AE250" s="220"/>
      <c r="AF250" s="220"/>
      <c r="AG250" s="308"/>
      <c r="AH250" s="220"/>
      <c r="AI250" s="220"/>
      <c r="AJ250" s="220"/>
      <c r="AK250" s="220"/>
      <c r="AL250" s="220"/>
      <c r="AM250" s="220"/>
    </row>
    <row r="251">
      <c r="A251" s="409">
        <f>IF(ARBITRAGES!E251="","",ARBITRAGES!E251)</f>
        <v>46055</v>
      </c>
      <c r="B251" s="31">
        <v>77000.0</v>
      </c>
      <c r="C251" s="31">
        <v>2250.0</v>
      </c>
      <c r="D251" s="31">
        <v>1.33</v>
      </c>
      <c r="E251" s="31">
        <v>100.0</v>
      </c>
      <c r="F251" s="31">
        <v>190.0</v>
      </c>
      <c r="G251" s="31">
        <v>0.106</v>
      </c>
      <c r="H251" s="31">
        <v>9.6</v>
      </c>
      <c r="I251" s="31">
        <v>0.105</v>
      </c>
      <c r="J251" s="31">
        <v>6.6E-6</v>
      </c>
      <c r="K251" s="31">
        <v>1.5</v>
      </c>
      <c r="L251" s="31">
        <v>0.186</v>
      </c>
      <c r="M251" s="31">
        <v>125.0</v>
      </c>
      <c r="N251" s="31">
        <v>0.002</v>
      </c>
      <c r="O251" s="31">
        <v>1.56</v>
      </c>
      <c r="P251" s="31">
        <v>4.6E-4</v>
      </c>
      <c r="Q251" s="31">
        <v>4.0E-6</v>
      </c>
      <c r="R251" s="31">
        <v>0.245</v>
      </c>
      <c r="S251" s="136">
        <v>0.71</v>
      </c>
      <c r="T251" s="14">
        <f>IF(A251="","",ARBITRAGES!M251)</f>
        <v>9151.621927</v>
      </c>
      <c r="U251" s="417">
        <f>IF(A251="","",B251*'QUANTITE DETENUES'!B251+'QUANTITE DETENUES'!C251*C251+'QUANTITE DETENUES'!D251*D251+E251*'QUANTITE DETENUES'!E251+'QUANTITE DETENUES'!F251*F251+G251*'QUANTITE DETENUES'!G251+'QUANTITE DETENUES'!H251*H251+I251*'QUANTITE DETENUES'!I251+'QUANTITE DETENUES'!J251*J251+K251*'QUANTITE DETENUES'!K251+'QUANTITE DETENUES'!L251*L251+M251*'QUANTITE DETENUES'!M251+'QUANTITE DETENUES'!N251*N251+O251*'QUANTITE DETENUES'!O251+T251+P251*'QUANTITE DETENUES'!P251+'QUANTITE DETENUES'!Q251*Q251+R251*'QUANTITE DETENUES'!R251+'QUANTITE DETENUES'!S251*S251)</f>
        <v>43055.9418</v>
      </c>
      <c r="V251" s="288"/>
      <c r="W251" s="220"/>
      <c r="X251" s="220"/>
      <c r="Y251" s="220"/>
      <c r="Z251" s="220"/>
      <c r="AA251" s="220"/>
      <c r="AB251" s="220"/>
      <c r="AC251" s="220"/>
      <c r="AD251" s="220"/>
      <c r="AE251" s="220"/>
      <c r="AF251" s="220"/>
      <c r="AG251" s="308"/>
      <c r="AH251" s="220"/>
      <c r="AI251" s="220"/>
      <c r="AJ251" s="220"/>
      <c r="AK251" s="220"/>
      <c r="AL251" s="220"/>
      <c r="AM251" s="220"/>
    </row>
    <row r="252">
      <c r="A252" s="409">
        <f>IF(ARBITRAGES!E252="","",ARBITRAGES!E252)</f>
        <v>46055</v>
      </c>
      <c r="B252" s="31">
        <v>77000.0</v>
      </c>
      <c r="C252" s="31">
        <v>2250.0</v>
      </c>
      <c r="D252" s="31">
        <v>1.33</v>
      </c>
      <c r="E252" s="31">
        <v>100.0</v>
      </c>
      <c r="F252" s="31">
        <v>190.0</v>
      </c>
      <c r="G252" s="31">
        <v>0.106</v>
      </c>
      <c r="H252" s="31">
        <v>9.6</v>
      </c>
      <c r="I252" s="31">
        <v>0.105</v>
      </c>
      <c r="J252" s="31">
        <v>6.6E-6</v>
      </c>
      <c r="K252" s="31">
        <v>1.5</v>
      </c>
      <c r="L252" s="31">
        <v>0.186</v>
      </c>
      <c r="M252" s="31">
        <v>125.0</v>
      </c>
      <c r="N252" s="31">
        <v>0.002</v>
      </c>
      <c r="O252" s="31">
        <v>1.56</v>
      </c>
      <c r="P252" s="31">
        <v>4.6E-4</v>
      </c>
      <c r="Q252" s="31">
        <v>4.0E-6</v>
      </c>
      <c r="R252" s="31">
        <v>0.245</v>
      </c>
      <c r="S252" s="136">
        <v>0.71</v>
      </c>
      <c r="T252" s="14">
        <f>IF(A252="","",ARBITRAGES!M252)</f>
        <v>8920.621927</v>
      </c>
      <c r="U252" s="417">
        <f>IF(A252="","",B252*'QUANTITE DETENUES'!B252+'QUANTITE DETENUES'!C252*C252+'QUANTITE DETENUES'!D252*D252+E252*'QUANTITE DETENUES'!E252+'QUANTITE DETENUES'!F252*F252+G252*'QUANTITE DETENUES'!G252+'QUANTITE DETENUES'!H252*H252+I252*'QUANTITE DETENUES'!I252+'QUANTITE DETENUES'!J252*J252+K252*'QUANTITE DETENUES'!K252+'QUANTITE DETENUES'!L252*L252+M252*'QUANTITE DETENUES'!M252+'QUANTITE DETENUES'!N252*N252+O252*'QUANTITE DETENUES'!O252+T252+P252*'QUANTITE DETENUES'!P252+'QUANTITE DETENUES'!Q252*Q252+R252*'QUANTITE DETENUES'!R252+'QUANTITE DETENUES'!S252*S252)</f>
        <v>43055.9418</v>
      </c>
      <c r="V252" s="288"/>
      <c r="W252" s="220"/>
      <c r="X252" s="220"/>
      <c r="Y252" s="220"/>
      <c r="Z252" s="220"/>
      <c r="AA252" s="220"/>
      <c r="AB252" s="220"/>
      <c r="AC252" s="220"/>
      <c r="AD252" s="220"/>
      <c r="AE252" s="220"/>
      <c r="AF252" s="220"/>
      <c r="AG252" s="308"/>
      <c r="AH252" s="220"/>
      <c r="AI252" s="220"/>
      <c r="AJ252" s="220"/>
      <c r="AK252" s="220"/>
      <c r="AL252" s="220"/>
      <c r="AM252" s="220"/>
    </row>
    <row r="253">
      <c r="A253" s="409">
        <f>IF(ARBITRAGES!E253="","",ARBITRAGES!E253)</f>
        <v>46055</v>
      </c>
      <c r="B253" s="31">
        <v>77000.0</v>
      </c>
      <c r="C253" s="31">
        <v>2250.0</v>
      </c>
      <c r="D253" s="31">
        <v>1.33</v>
      </c>
      <c r="E253" s="31">
        <v>100.0</v>
      </c>
      <c r="F253" s="31">
        <v>190.0</v>
      </c>
      <c r="G253" s="31">
        <v>0.106</v>
      </c>
      <c r="H253" s="31">
        <v>9.6</v>
      </c>
      <c r="I253" s="31">
        <v>0.105</v>
      </c>
      <c r="J253" s="31">
        <v>6.6E-6</v>
      </c>
      <c r="K253" s="31">
        <v>1.5</v>
      </c>
      <c r="L253" s="31">
        <v>0.186</v>
      </c>
      <c r="M253" s="31">
        <v>125.0</v>
      </c>
      <c r="N253" s="31">
        <v>0.002</v>
      </c>
      <c r="O253" s="31">
        <v>1.56</v>
      </c>
      <c r="P253" s="31">
        <v>4.6E-4</v>
      </c>
      <c r="Q253" s="31">
        <v>4.0E-6</v>
      </c>
      <c r="R253" s="31">
        <v>0.245</v>
      </c>
      <c r="S253" s="136">
        <v>0.71</v>
      </c>
      <c r="T253" s="14">
        <f>IF(A253="","",ARBITRAGES!M253)</f>
        <v>8670.621927</v>
      </c>
      <c r="U253" s="417">
        <f>IF(A253="","",B253*'QUANTITE DETENUES'!B253+'QUANTITE DETENUES'!C253*C253+'QUANTITE DETENUES'!D253*D253+E253*'QUANTITE DETENUES'!E253+'QUANTITE DETENUES'!F253*F253+G253*'QUANTITE DETENUES'!G253+'QUANTITE DETENUES'!H253*H253+I253*'QUANTITE DETENUES'!I253+'QUANTITE DETENUES'!J253*J253+K253*'QUANTITE DETENUES'!K253+'QUANTITE DETENUES'!L253*L253+M253*'QUANTITE DETENUES'!M253+'QUANTITE DETENUES'!N253*N253+O253*'QUANTITE DETENUES'!O253+T253+P253*'QUANTITE DETENUES'!P253+'QUANTITE DETENUES'!Q253*Q253+R253*'QUANTITE DETENUES'!R253+'QUANTITE DETENUES'!S253*S253)</f>
        <v>43068.91995</v>
      </c>
      <c r="V253" s="288"/>
      <c r="W253" s="220"/>
      <c r="X253" s="220"/>
      <c r="Y253" s="220"/>
      <c r="Z253" s="220"/>
      <c r="AA253" s="220"/>
      <c r="AB253" s="220"/>
      <c r="AC253" s="220"/>
      <c r="AD253" s="220"/>
      <c r="AE253" s="220"/>
      <c r="AF253" s="220"/>
      <c r="AG253" s="308"/>
      <c r="AH253" s="220"/>
      <c r="AI253" s="220"/>
      <c r="AJ253" s="220"/>
      <c r="AK253" s="220"/>
      <c r="AL253" s="220"/>
      <c r="AM253" s="220"/>
    </row>
    <row r="254">
      <c r="A254" s="409">
        <f>IF(ARBITRAGES!E254="","",ARBITRAGES!E254)</f>
        <v>46055</v>
      </c>
      <c r="B254" s="31">
        <v>77000.0</v>
      </c>
      <c r="C254" s="31">
        <v>2250.0</v>
      </c>
      <c r="D254" s="31">
        <v>1.33</v>
      </c>
      <c r="E254" s="31">
        <v>100.0</v>
      </c>
      <c r="F254" s="31">
        <v>190.0</v>
      </c>
      <c r="G254" s="31">
        <v>0.106</v>
      </c>
      <c r="H254" s="31">
        <v>9.6</v>
      </c>
      <c r="I254" s="31">
        <v>0.105</v>
      </c>
      <c r="J254" s="31">
        <v>6.6E-6</v>
      </c>
      <c r="K254" s="31">
        <v>1.5</v>
      </c>
      <c r="L254" s="31">
        <v>0.186</v>
      </c>
      <c r="M254" s="31">
        <v>125.0</v>
      </c>
      <c r="N254" s="31">
        <v>0.002</v>
      </c>
      <c r="O254" s="31">
        <v>1.56</v>
      </c>
      <c r="P254" s="31">
        <v>4.6E-4</v>
      </c>
      <c r="Q254" s="31">
        <v>4.0E-6</v>
      </c>
      <c r="R254" s="31">
        <v>0.245</v>
      </c>
      <c r="S254" s="136">
        <v>0.71</v>
      </c>
      <c r="T254" s="14">
        <f>IF(A254="","",ARBITRAGES!M254)</f>
        <v>8465.941927</v>
      </c>
      <c r="U254" s="417">
        <f>IF(A254="","",B254*'QUANTITE DETENUES'!B254+'QUANTITE DETENUES'!C254*C254+'QUANTITE DETENUES'!D254*D254+E254*'QUANTITE DETENUES'!E254+'QUANTITE DETENUES'!F254*F254+G254*'QUANTITE DETENUES'!G254+'QUANTITE DETENUES'!H254*H254+I254*'QUANTITE DETENUES'!I254+'QUANTITE DETENUES'!J254*J254+K254*'QUANTITE DETENUES'!K254+'QUANTITE DETENUES'!L254*L254+M254*'QUANTITE DETENUES'!M254+'QUANTITE DETENUES'!N254*N254+O254*'QUANTITE DETENUES'!O254+T254+P254*'QUANTITE DETENUES'!P254+'QUANTITE DETENUES'!Q254*Q254+R254*'QUANTITE DETENUES'!R254+'QUANTITE DETENUES'!S254*S254)</f>
        <v>43079.83995</v>
      </c>
      <c r="V254" s="288"/>
      <c r="W254" s="220"/>
      <c r="X254" s="220"/>
      <c r="Y254" s="220"/>
      <c r="Z254" s="220"/>
      <c r="AA254" s="220"/>
      <c r="AB254" s="220"/>
      <c r="AC254" s="220"/>
      <c r="AD254" s="220"/>
      <c r="AE254" s="220"/>
      <c r="AF254" s="220"/>
      <c r="AG254" s="308"/>
      <c r="AH254" s="220"/>
      <c r="AI254" s="220"/>
      <c r="AJ254" s="220"/>
      <c r="AK254" s="220"/>
      <c r="AL254" s="220"/>
      <c r="AM254" s="220"/>
    </row>
    <row r="255">
      <c r="A255" s="409">
        <f>IF(ARBITRAGES!E255="","",ARBITRAGES!E255)</f>
        <v>46056</v>
      </c>
      <c r="B255" s="31">
        <v>76500.0</v>
      </c>
      <c r="C255" s="31">
        <v>2300.0</v>
      </c>
      <c r="D255" s="31">
        <v>1.4</v>
      </c>
      <c r="E255" s="31">
        <v>98.0</v>
      </c>
      <c r="F255" s="31">
        <v>195.0</v>
      </c>
      <c r="G255" s="31">
        <v>0.1</v>
      </c>
      <c r="H255" s="31">
        <v>9.7</v>
      </c>
      <c r="I255" s="31">
        <v>0.108</v>
      </c>
      <c r="J255" s="31">
        <v>6.8E-6</v>
      </c>
      <c r="K255" s="31">
        <v>1.6</v>
      </c>
      <c r="L255" s="31">
        <v>0.19</v>
      </c>
      <c r="M255" s="31">
        <v>128.0</v>
      </c>
      <c r="N255" s="31">
        <v>0.002</v>
      </c>
      <c r="O255" s="31">
        <v>1.56</v>
      </c>
      <c r="P255" s="31">
        <v>4.8E-4</v>
      </c>
      <c r="Q255" s="31">
        <v>4.25E-6</v>
      </c>
      <c r="R255" s="31">
        <v>0.25</v>
      </c>
      <c r="S255" s="136">
        <v>0.68</v>
      </c>
      <c r="T255" s="14">
        <f>IF(A255="","",ARBITRAGES!M255)</f>
        <v>7816.241927</v>
      </c>
      <c r="U255" s="417">
        <f>IF(A255="","",B255*'QUANTITE DETENUES'!B255+'QUANTITE DETENUES'!C255*C255+'QUANTITE DETENUES'!D255*D255+E255*'QUANTITE DETENUES'!E255+'QUANTITE DETENUES'!F255*F255+G255*'QUANTITE DETENUES'!G255+'QUANTITE DETENUES'!H255*H255+I255*'QUANTITE DETENUES'!I255+'QUANTITE DETENUES'!J255*J255+K255*'QUANTITE DETENUES'!K255+'QUANTITE DETENUES'!L255*L255+M255*'QUANTITE DETENUES'!M255+'QUANTITE DETENUES'!N255*N255+O255*'QUANTITE DETENUES'!O255+T255+P255*'QUANTITE DETENUES'!P255+'QUANTITE DETENUES'!Q255*Q255+R255*'QUANTITE DETENUES'!R255+'QUANTITE DETENUES'!S255*S255)</f>
        <v>43061.41388</v>
      </c>
      <c r="V255" s="288"/>
      <c r="W255" s="220"/>
      <c r="X255" s="220"/>
      <c r="Y255" s="220"/>
      <c r="Z255" s="220"/>
      <c r="AA255" s="220"/>
      <c r="AB255" s="220"/>
      <c r="AC255" s="220"/>
      <c r="AD255" s="220"/>
      <c r="AE255" s="220"/>
      <c r="AF255" s="220"/>
      <c r="AG255" s="308"/>
      <c r="AH255" s="220"/>
      <c r="AI255" s="220"/>
      <c r="AJ255" s="220"/>
      <c r="AK255" s="220"/>
      <c r="AL255" s="220"/>
      <c r="AM255" s="220"/>
    </row>
    <row r="256">
      <c r="A256" s="409">
        <f>IF(ARBITRAGES!E256="","",ARBITRAGES!E256)</f>
        <v>46057</v>
      </c>
      <c r="B256" s="31">
        <v>70000.0</v>
      </c>
      <c r="C256" s="31">
        <v>2070.0</v>
      </c>
      <c r="D256" s="31">
        <v>1.38</v>
      </c>
      <c r="E256" s="31">
        <v>89.0</v>
      </c>
      <c r="F256" s="31">
        <v>180.0</v>
      </c>
      <c r="G256" s="31">
        <v>0.095</v>
      </c>
      <c r="H256" s="31">
        <v>8.83</v>
      </c>
      <c r="I256" s="31">
        <v>0.098</v>
      </c>
      <c r="J256" s="31">
        <v>6.2E-6</v>
      </c>
      <c r="K256" s="31">
        <v>1.45</v>
      </c>
      <c r="L256" s="31">
        <v>0.182</v>
      </c>
      <c r="M256" s="31">
        <v>118.0</v>
      </c>
      <c r="N256" s="31">
        <v>0.0017</v>
      </c>
      <c r="O256" s="31">
        <v>1.35</v>
      </c>
      <c r="P256" s="31">
        <v>4.5E-4</v>
      </c>
      <c r="Q256" s="31">
        <v>4.0E-6</v>
      </c>
      <c r="R256" s="31">
        <v>0.235</v>
      </c>
      <c r="S256" s="136">
        <v>0.64</v>
      </c>
      <c r="T256" s="14">
        <f>IF(A256="","",ARBITRAGES!M256)</f>
        <v>7500.241927</v>
      </c>
      <c r="U256" s="417">
        <f>IF(A256="","",B256*'QUANTITE DETENUES'!B256+'QUANTITE DETENUES'!C256*C256+'QUANTITE DETENUES'!D256*D256+E256*'QUANTITE DETENUES'!E256+'QUANTITE DETENUES'!F256*F256+G256*'QUANTITE DETENUES'!G256+'QUANTITE DETENUES'!H256*H256+I256*'QUANTITE DETENUES'!I256+'QUANTITE DETENUES'!J256*J256+K256*'QUANTITE DETENUES'!K256+'QUANTITE DETENUES'!L256*L256+M256*'QUANTITE DETENUES'!M256+'QUANTITE DETENUES'!N256*N256+O256*'QUANTITE DETENUES'!O256+T256+P256*'QUANTITE DETENUES'!P256+'QUANTITE DETENUES'!Q256*Q256+R256*'QUANTITE DETENUES'!R256+'QUANTITE DETENUES'!S256*S256)</f>
        <v>39996.4808</v>
      </c>
      <c r="V256" s="288"/>
      <c r="W256" s="220"/>
      <c r="X256" s="220"/>
      <c r="Y256" s="220"/>
      <c r="Z256" s="220"/>
      <c r="AA256" s="220"/>
      <c r="AB256" s="220"/>
      <c r="AC256" s="220"/>
      <c r="AD256" s="220"/>
      <c r="AE256" s="220"/>
      <c r="AF256" s="220"/>
      <c r="AG256" s="308"/>
      <c r="AH256" s="220"/>
      <c r="AI256" s="220"/>
      <c r="AJ256" s="220"/>
      <c r="AK256" s="220"/>
      <c r="AL256" s="220"/>
      <c r="AM256" s="220"/>
    </row>
    <row r="257">
      <c r="A257" s="409">
        <f>IF(ARBITRAGES!E257="","",ARBITRAGES!E257)</f>
        <v>46058</v>
      </c>
      <c r="B257" s="31">
        <v>64000.0</v>
      </c>
      <c r="C257" s="31">
        <v>1870.0</v>
      </c>
      <c r="D257" s="31">
        <v>1.3</v>
      </c>
      <c r="E257" s="31">
        <v>80.0</v>
      </c>
      <c r="F257" s="31">
        <v>165.0</v>
      </c>
      <c r="G257" s="31">
        <v>0.09</v>
      </c>
      <c r="H257" s="31">
        <v>8.1</v>
      </c>
      <c r="I257" s="31">
        <v>0.09</v>
      </c>
      <c r="J257" s="31">
        <v>5.6E-6</v>
      </c>
      <c r="K257" s="31">
        <v>1.3</v>
      </c>
      <c r="L257" s="31">
        <v>0.158</v>
      </c>
      <c r="M257" s="31">
        <v>106.0</v>
      </c>
      <c r="N257" s="31">
        <v>0.0016</v>
      </c>
      <c r="O257" s="31">
        <v>1.1</v>
      </c>
      <c r="P257" s="31">
        <v>3.4E-4</v>
      </c>
      <c r="Q257" s="31">
        <v>3.55E-6</v>
      </c>
      <c r="R257" s="31">
        <v>0.21</v>
      </c>
      <c r="S257" s="136">
        <v>0.57</v>
      </c>
      <c r="T257" s="14">
        <f>IF(A257="","",ARBITRAGES!M257)</f>
        <v>7725.241927</v>
      </c>
      <c r="U257" s="417">
        <f>IF(A257="","",B257*'QUANTITE DETENUES'!B257+'QUANTITE DETENUES'!C257*C257+'QUANTITE DETENUES'!D257*D257+E257*'QUANTITE DETENUES'!E257+'QUANTITE DETENUES'!F257*F257+G257*'QUANTITE DETENUES'!G257+'QUANTITE DETENUES'!H257*H257+I257*'QUANTITE DETENUES'!I257+'QUANTITE DETENUES'!J257*J257+K257*'QUANTITE DETENUES'!K257+'QUANTITE DETENUES'!L257*L257+M257*'QUANTITE DETENUES'!M257+'QUANTITE DETENUES'!N257*N257+O257*'QUANTITE DETENUES'!O257+T257+P257*'QUANTITE DETENUES'!P257+'QUANTITE DETENUES'!Q257*Q257+R257*'QUANTITE DETENUES'!R257+'QUANTITE DETENUES'!S257*S257)</f>
        <v>37166.50621</v>
      </c>
      <c r="V257" s="288"/>
      <c r="W257" s="220"/>
      <c r="X257" s="220"/>
      <c r="Y257" s="220"/>
      <c r="Z257" s="220"/>
      <c r="AA257" s="220"/>
      <c r="AB257" s="220"/>
      <c r="AC257" s="220"/>
      <c r="AD257" s="220"/>
      <c r="AE257" s="220"/>
      <c r="AF257" s="220"/>
      <c r="AG257" s="308"/>
      <c r="AH257" s="220"/>
      <c r="AI257" s="220"/>
      <c r="AJ257" s="220"/>
      <c r="AK257" s="220"/>
      <c r="AL257" s="220"/>
      <c r="AM257" s="220"/>
    </row>
    <row r="258">
      <c r="A258" s="409">
        <f>IF(ARBITRAGES!E258="","",ARBITRAGES!E258)</f>
        <v>46058</v>
      </c>
      <c r="B258" s="31">
        <v>64000.0</v>
      </c>
      <c r="C258" s="31">
        <v>1870.0</v>
      </c>
      <c r="D258" s="31">
        <v>1.3</v>
      </c>
      <c r="E258" s="31">
        <v>80.0</v>
      </c>
      <c r="F258" s="31">
        <v>165.0</v>
      </c>
      <c r="G258" s="31">
        <v>0.09</v>
      </c>
      <c r="H258" s="31">
        <v>8.1</v>
      </c>
      <c r="I258" s="31">
        <v>0.09</v>
      </c>
      <c r="J258" s="31">
        <v>5.6E-6</v>
      </c>
      <c r="K258" s="31">
        <v>1.3</v>
      </c>
      <c r="L258" s="31">
        <v>0.158</v>
      </c>
      <c r="M258" s="31">
        <v>106.0</v>
      </c>
      <c r="N258" s="31">
        <v>0.0016</v>
      </c>
      <c r="O258" s="31">
        <v>1.1</v>
      </c>
      <c r="P258" s="31">
        <v>3.4E-4</v>
      </c>
      <c r="Q258" s="31">
        <v>3.55E-6</v>
      </c>
      <c r="R258" s="31">
        <v>0.21</v>
      </c>
      <c r="S258" s="136">
        <v>0.57</v>
      </c>
      <c r="T258" s="14">
        <f>IF(A258="","",ARBITRAGES!M258)</f>
        <v>7500.241927</v>
      </c>
      <c r="U258" s="417">
        <f>IF(A258="","",B258*'QUANTITE DETENUES'!B258+'QUANTITE DETENUES'!C258*C258+'QUANTITE DETENUES'!D258*D258+E258*'QUANTITE DETENUES'!E258+'QUANTITE DETENUES'!F258*F258+G258*'QUANTITE DETENUES'!G258+'QUANTITE DETENUES'!H258*H258+I258*'QUANTITE DETENUES'!I258+'QUANTITE DETENUES'!J258*J258+K258*'QUANTITE DETENUES'!K258+'QUANTITE DETENUES'!L258*L258+M258*'QUANTITE DETENUES'!M258+'QUANTITE DETENUES'!N258*N258+O258*'QUANTITE DETENUES'!O258+T258+P258*'QUANTITE DETENUES'!P258+'QUANTITE DETENUES'!Q258*Q258+R258*'QUANTITE DETENUES'!R258+'QUANTITE DETENUES'!S258*S258)</f>
        <v>37161.35354</v>
      </c>
      <c r="V258" s="288"/>
      <c r="W258" s="220"/>
      <c r="X258" s="220"/>
      <c r="Y258" s="220"/>
      <c r="Z258" s="220"/>
      <c r="AA258" s="220"/>
      <c r="AB258" s="220"/>
      <c r="AC258" s="220"/>
      <c r="AD258" s="220"/>
      <c r="AE258" s="220"/>
      <c r="AF258" s="220"/>
      <c r="AG258" s="308"/>
      <c r="AH258" s="220"/>
      <c r="AI258" s="220"/>
      <c r="AJ258" s="220"/>
      <c r="AK258" s="220"/>
      <c r="AL258" s="220"/>
      <c r="AM258" s="220"/>
    </row>
    <row r="259">
      <c r="A259" s="409">
        <f>IF(ARBITRAGES!E259="","",ARBITRAGES!E259)</f>
        <v>46059</v>
      </c>
      <c r="B259" s="31">
        <v>61000.0</v>
      </c>
      <c r="C259" s="31">
        <v>1800.0</v>
      </c>
      <c r="D259" s="31">
        <v>1.25</v>
      </c>
      <c r="E259" s="31">
        <v>75.0</v>
      </c>
      <c r="F259" s="31">
        <v>155.0</v>
      </c>
      <c r="G259" s="31">
        <v>0.085</v>
      </c>
      <c r="H259" s="31">
        <v>7.8</v>
      </c>
      <c r="I259" s="31">
        <v>0.087</v>
      </c>
      <c r="J259" s="31">
        <v>5.4E-6</v>
      </c>
      <c r="K259" s="31">
        <v>1.25</v>
      </c>
      <c r="L259" s="31">
        <v>0.155</v>
      </c>
      <c r="M259" s="31">
        <v>100.0</v>
      </c>
      <c r="N259" s="31">
        <v>0.0015</v>
      </c>
      <c r="O259" s="31">
        <v>1.1</v>
      </c>
      <c r="P259" s="31">
        <v>3.4E-4</v>
      </c>
      <c r="Q259" s="31">
        <v>3.4E-6</v>
      </c>
      <c r="R259" s="31">
        <v>0.2</v>
      </c>
      <c r="S259" s="136">
        <v>0.55</v>
      </c>
      <c r="T259" s="14">
        <f>IF(A259="","",ARBITRAGES!M259)</f>
        <v>7000.241927</v>
      </c>
      <c r="U259" s="417">
        <f>IF(A259="","",B259*'QUANTITE DETENUES'!B259+'QUANTITE DETENUES'!C259*C259+'QUANTITE DETENUES'!D259*D259+E259*'QUANTITE DETENUES'!E259+'QUANTITE DETENUES'!F259*F259+G259*'QUANTITE DETENUES'!G259+'QUANTITE DETENUES'!H259*H259+I259*'QUANTITE DETENUES'!I259+'QUANTITE DETENUES'!J259*J259+K259*'QUANTITE DETENUES'!K259+'QUANTITE DETENUES'!L259*L259+M259*'QUANTITE DETENUES'!M259+'QUANTITE DETENUES'!N259*N259+O259*'QUANTITE DETENUES'!O259+T259+P259*'QUANTITE DETENUES'!P259+'QUANTITE DETENUES'!Q259*Q259+R259*'QUANTITE DETENUES'!R259+'QUANTITE DETENUES'!S259*S259)</f>
        <v>35761.94124</v>
      </c>
      <c r="V259" s="288"/>
      <c r="W259" s="220"/>
      <c r="X259" s="220"/>
      <c r="Y259" s="220"/>
      <c r="Z259" s="220"/>
      <c r="AA259" s="220"/>
      <c r="AB259" s="220"/>
      <c r="AC259" s="220"/>
      <c r="AD259" s="220"/>
      <c r="AE259" s="220"/>
      <c r="AF259" s="220"/>
      <c r="AG259" s="308"/>
      <c r="AH259" s="220"/>
      <c r="AI259" s="220"/>
      <c r="AJ259" s="220"/>
      <c r="AK259" s="220"/>
      <c r="AL259" s="220"/>
      <c r="AM259" s="220"/>
    </row>
    <row r="260">
      <c r="A260" s="409">
        <f>IF(ARBITRAGES!E260="","",ARBITRAGES!E260)</f>
        <v>46060</v>
      </c>
      <c r="B260" s="31">
        <v>67000.0</v>
      </c>
      <c r="C260" s="31">
        <v>1950.0</v>
      </c>
      <c r="D260" s="31">
        <v>1.3</v>
      </c>
      <c r="E260" s="31">
        <v>83.0</v>
      </c>
      <c r="F260" s="31">
        <v>170.0</v>
      </c>
      <c r="G260" s="31">
        <v>0.092</v>
      </c>
      <c r="H260" s="31">
        <v>8.4</v>
      </c>
      <c r="I260" s="31">
        <v>0.094</v>
      </c>
      <c r="J260" s="31">
        <v>6.0E-6</v>
      </c>
      <c r="K260" s="31">
        <v>1.33</v>
      </c>
      <c r="L260" s="31">
        <v>0.16</v>
      </c>
      <c r="M260" s="31">
        <v>107.0</v>
      </c>
      <c r="N260" s="31">
        <v>0.0017</v>
      </c>
      <c r="O260" s="31">
        <v>1.15</v>
      </c>
      <c r="P260" s="31">
        <v>4.1E-4</v>
      </c>
      <c r="Q260" s="31">
        <v>3.7E-6</v>
      </c>
      <c r="R260" s="31">
        <v>0.22</v>
      </c>
      <c r="S260" s="136">
        <v>0.58</v>
      </c>
      <c r="T260" s="14">
        <f>IF(A260="","",ARBITRAGES!M260)</f>
        <v>7385.844473</v>
      </c>
      <c r="U260" s="417">
        <f>IF(A260="","",B260*'QUANTITE DETENUES'!B260+'QUANTITE DETENUES'!C260*C260+'QUANTITE DETENUES'!D260*D260+E260*'QUANTITE DETENUES'!E260+'QUANTITE DETENUES'!F260*F260+G260*'QUANTITE DETENUES'!G260+'QUANTITE DETENUES'!H260*H260+I260*'QUANTITE DETENUES'!I260+'QUANTITE DETENUES'!J260*J260+K260*'QUANTITE DETENUES'!K260+'QUANTITE DETENUES'!L260*L260+M260*'QUANTITE DETENUES'!M260+'QUANTITE DETENUES'!N260*N260+O260*'QUANTITE DETENUES'!O260+T260+P260*'QUANTITE DETENUES'!P260+'QUANTITE DETENUES'!Q260*Q260+R260*'QUANTITE DETENUES'!R260+'QUANTITE DETENUES'!S260*S260)</f>
        <v>38537.78225</v>
      </c>
      <c r="V260" s="288"/>
      <c r="W260" s="220"/>
      <c r="X260" s="220"/>
      <c r="Y260" s="220"/>
      <c r="Z260" s="220"/>
      <c r="AA260" s="220"/>
      <c r="AB260" s="220"/>
      <c r="AC260" s="220"/>
      <c r="AD260" s="220"/>
      <c r="AE260" s="220"/>
      <c r="AF260" s="220"/>
      <c r="AG260" s="308"/>
      <c r="AH260" s="220"/>
      <c r="AI260" s="220"/>
      <c r="AJ260" s="220"/>
      <c r="AK260" s="220"/>
      <c r="AL260" s="220"/>
      <c r="AM260" s="220"/>
    </row>
    <row r="261">
      <c r="A261" s="409">
        <f>IF(ARBITRAGES!E261="","",ARBITRAGES!E261)</f>
        <v>46060</v>
      </c>
      <c r="B261" s="31">
        <v>67000.0</v>
      </c>
      <c r="C261" s="31">
        <v>1950.0</v>
      </c>
      <c r="D261" s="31">
        <v>1.3</v>
      </c>
      <c r="E261" s="31">
        <v>83.0</v>
      </c>
      <c r="F261" s="31">
        <v>170.0</v>
      </c>
      <c r="G261" s="31">
        <v>0.092</v>
      </c>
      <c r="H261" s="31">
        <v>8.4</v>
      </c>
      <c r="I261" s="31">
        <v>0.094</v>
      </c>
      <c r="J261" s="31">
        <v>6.0E-6</v>
      </c>
      <c r="K261" s="31">
        <v>1.33</v>
      </c>
      <c r="L261" s="31">
        <v>0.16</v>
      </c>
      <c r="M261" s="31">
        <v>107.0</v>
      </c>
      <c r="N261" s="31">
        <v>0.0017</v>
      </c>
      <c r="O261" s="31">
        <v>1.15</v>
      </c>
      <c r="P261" s="31">
        <v>4.1E-4</v>
      </c>
      <c r="Q261" s="31">
        <v>3.7E-6</v>
      </c>
      <c r="R261" s="31">
        <v>0.22</v>
      </c>
      <c r="S261" s="136">
        <v>0.58</v>
      </c>
      <c r="T261" s="14">
        <f>IF(A261="","",ARBITRAGES!M261)</f>
        <v>8261.143581</v>
      </c>
      <c r="U261" s="417">
        <f>IF(A261="","",B261*'QUANTITE DETENUES'!B261+'QUANTITE DETENUES'!C261*C261+'QUANTITE DETENUES'!D261*D261+E261*'QUANTITE DETENUES'!E261+'QUANTITE DETENUES'!F261*F261+G261*'QUANTITE DETENUES'!G261+'QUANTITE DETENUES'!H261*H261+I261*'QUANTITE DETENUES'!I261+'QUANTITE DETENUES'!J261*J261+K261*'QUANTITE DETENUES'!K261+'QUANTITE DETENUES'!L261*L261+M261*'QUANTITE DETENUES'!M261+'QUANTITE DETENUES'!N261*N261+O261*'QUANTITE DETENUES'!O261+T261+P261*'QUANTITE DETENUES'!P261+'QUANTITE DETENUES'!Q261*Q261+R261*'QUANTITE DETENUES'!R261+'QUANTITE DETENUES'!S261*S261)</f>
        <v>38562.88211</v>
      </c>
      <c r="V261" s="288"/>
      <c r="W261" s="220"/>
      <c r="X261" s="220"/>
      <c r="Y261" s="220"/>
      <c r="Z261" s="220"/>
      <c r="AA261" s="220"/>
      <c r="AB261" s="220"/>
      <c r="AC261" s="220"/>
      <c r="AD261" s="220"/>
      <c r="AE261" s="220"/>
      <c r="AF261" s="220"/>
      <c r="AG261" s="308"/>
      <c r="AH261" s="220"/>
      <c r="AI261" s="220"/>
      <c r="AJ261" s="220"/>
      <c r="AK261" s="220"/>
      <c r="AL261" s="220"/>
      <c r="AM261" s="220"/>
    </row>
    <row r="262">
      <c r="A262" s="409">
        <f>IF(ARBITRAGES!E262="","",ARBITRAGES!E262)</f>
        <v>46061</v>
      </c>
      <c r="B262" s="31">
        <v>69000.0</v>
      </c>
      <c r="C262" s="31">
        <v>2050.0</v>
      </c>
      <c r="D262" s="31">
        <v>1.33</v>
      </c>
      <c r="E262" s="31">
        <v>86.0</v>
      </c>
      <c r="F262" s="31">
        <v>170.0</v>
      </c>
      <c r="G262" s="31">
        <v>0.097</v>
      </c>
      <c r="H262" s="31">
        <v>8.8</v>
      </c>
      <c r="I262" s="31">
        <v>0.096</v>
      </c>
      <c r="J262" s="31">
        <v>6.2E-6</v>
      </c>
      <c r="K262" s="31">
        <v>1.35</v>
      </c>
      <c r="L262" s="31">
        <v>0.161</v>
      </c>
      <c r="M262" s="31">
        <v>115.0</v>
      </c>
      <c r="N262" s="31">
        <v>0.0017</v>
      </c>
      <c r="O262" s="31">
        <v>1.2</v>
      </c>
      <c r="P262" s="31">
        <v>4.2E-4</v>
      </c>
      <c r="Q262" s="31">
        <v>3.8E-6</v>
      </c>
      <c r="R262" s="31">
        <v>0.23</v>
      </c>
      <c r="S262" s="136">
        <v>0.599</v>
      </c>
      <c r="T262" s="14">
        <f>IF(A262="","",ARBITRAGES!M262)</f>
        <v>9131.085093</v>
      </c>
      <c r="U262" s="417">
        <f>IF(A262="","",B262*'QUANTITE DETENUES'!B262+'QUANTITE DETENUES'!C262*C262+'QUANTITE DETENUES'!D262*D262+E262*'QUANTITE DETENUES'!E262+'QUANTITE DETENUES'!F262*F262+G262*'QUANTITE DETENUES'!G262+'QUANTITE DETENUES'!H262*H262+I262*'QUANTITE DETENUES'!I262+'QUANTITE DETENUES'!J262*J262+K262*'QUANTITE DETENUES'!K262+'QUANTITE DETENUES'!L262*L262+M262*'QUANTITE DETENUES'!M262+'QUANTITE DETENUES'!N262*N262+O262*'QUANTITE DETENUES'!O262+T262+P262*'QUANTITE DETENUES'!P262+'QUANTITE DETENUES'!Q262*Q262+R262*'QUANTITE DETENUES'!R262+'QUANTITE DETENUES'!S262*S262)</f>
        <v>39554.08661</v>
      </c>
      <c r="V262" s="288"/>
      <c r="W262" s="220"/>
      <c r="X262" s="220"/>
      <c r="Y262" s="220"/>
      <c r="Z262" s="220"/>
      <c r="AA262" s="220"/>
      <c r="AB262" s="220"/>
      <c r="AC262" s="220"/>
      <c r="AD262" s="220"/>
      <c r="AE262" s="220"/>
      <c r="AF262" s="220"/>
      <c r="AG262" s="308"/>
      <c r="AH262" s="220"/>
      <c r="AI262" s="220"/>
      <c r="AJ262" s="220"/>
      <c r="AK262" s="220"/>
      <c r="AL262" s="220"/>
      <c r="AM262" s="220"/>
    </row>
    <row r="263">
      <c r="A263" s="409">
        <f>IF(ARBITRAGES!E263="","",ARBITRAGES!E263)</f>
        <v>46061</v>
      </c>
      <c r="B263" s="31">
        <v>69000.0</v>
      </c>
      <c r="C263" s="31">
        <v>2050.0</v>
      </c>
      <c r="D263" s="31">
        <v>1.33</v>
      </c>
      <c r="E263" s="31">
        <v>86.0</v>
      </c>
      <c r="F263" s="31">
        <v>170.0</v>
      </c>
      <c r="G263" s="31">
        <v>0.097</v>
      </c>
      <c r="H263" s="31">
        <v>8.8</v>
      </c>
      <c r="I263" s="31">
        <v>0.096</v>
      </c>
      <c r="J263" s="31">
        <v>6.2E-6</v>
      </c>
      <c r="K263" s="31">
        <v>1.35</v>
      </c>
      <c r="L263" s="31">
        <v>0.161</v>
      </c>
      <c r="M263" s="31">
        <v>115.0</v>
      </c>
      <c r="N263" s="31">
        <v>0.0017</v>
      </c>
      <c r="O263" s="31">
        <v>1.2</v>
      </c>
      <c r="P263" s="31">
        <v>4.2E-4</v>
      </c>
      <c r="Q263" s="31">
        <v>3.8E-6</v>
      </c>
      <c r="R263" s="31">
        <v>0.23</v>
      </c>
      <c r="S263" s="136">
        <v>0.599</v>
      </c>
      <c r="T263" s="14">
        <f>IF(A263="","",ARBITRAGES!M263)</f>
        <v>9275.558268</v>
      </c>
      <c r="U263" s="417">
        <f>IF(A263="","",B263*'QUANTITE DETENUES'!B263+'QUANTITE DETENUES'!C263*C263+'QUANTITE DETENUES'!D263*D263+E263*'QUANTITE DETENUES'!E263+'QUANTITE DETENUES'!F263*F263+G263*'QUANTITE DETENUES'!G263+'QUANTITE DETENUES'!H263*H263+I263*'QUANTITE DETENUES'!I263+'QUANTITE DETENUES'!J263*J263+K263*'QUANTITE DETENUES'!K263+'QUANTITE DETENUES'!L263*L263+M263*'QUANTITE DETENUES'!M263+'QUANTITE DETENUES'!N263*N263+O263*'QUANTITE DETENUES'!O263+T263+P263*'QUANTITE DETENUES'!P263+'QUANTITE DETENUES'!Q263*Q263+R263*'QUANTITE DETENUES'!R263+'QUANTITE DETENUES'!S263*S263)</f>
        <v>39557.52645</v>
      </c>
      <c r="V263" s="288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308"/>
      <c r="AH263" s="220"/>
      <c r="AI263" s="220"/>
      <c r="AJ263" s="220"/>
      <c r="AK263" s="220"/>
      <c r="AL263" s="220"/>
      <c r="AM263" s="220"/>
    </row>
    <row r="264">
      <c r="A264" s="409">
        <f>IF(ARBITRAGES!E264="","",ARBITRAGES!E264)</f>
        <v>46062</v>
      </c>
      <c r="B264" s="31">
        <v>69000.0</v>
      </c>
      <c r="C264" s="31">
        <v>2020.0</v>
      </c>
      <c r="D264" s="31">
        <v>1.34</v>
      </c>
      <c r="E264" s="31">
        <v>83.0</v>
      </c>
      <c r="F264" s="31">
        <v>155.0</v>
      </c>
      <c r="G264" s="31">
        <v>0.095</v>
      </c>
      <c r="H264" s="31">
        <v>8.55</v>
      </c>
      <c r="I264" s="31">
        <v>0.0929</v>
      </c>
      <c r="J264" s="31">
        <v>6.0E-6</v>
      </c>
      <c r="K264" s="31">
        <v>1.3</v>
      </c>
      <c r="L264" s="31">
        <v>0.153</v>
      </c>
      <c r="M264" s="31">
        <v>110.0</v>
      </c>
      <c r="N264" s="31">
        <v>0.00165</v>
      </c>
      <c r="O264" s="31">
        <v>1.15</v>
      </c>
      <c r="P264" s="31">
        <v>4.0E-4</v>
      </c>
      <c r="Q264" s="31">
        <v>3.65E-6</v>
      </c>
      <c r="R264" s="31">
        <v>0.22</v>
      </c>
      <c r="S264" s="136">
        <v>0.575</v>
      </c>
      <c r="T264" s="14">
        <f>IF(A264="","",ARBITRAGES!M264)</f>
        <v>9375.558218</v>
      </c>
      <c r="U264" s="417">
        <f>IF(A264="","",B264*'QUANTITE DETENUES'!B264+'QUANTITE DETENUES'!C264*C264+'QUANTITE DETENUES'!D264*D264+E264*'QUANTITE DETENUES'!E264+'QUANTITE DETENUES'!F264*F264+G264*'QUANTITE DETENUES'!G264+'QUANTITE DETENUES'!H264*H264+I264*'QUANTITE DETENUES'!I264+'QUANTITE DETENUES'!J264*J264+K264*'QUANTITE DETENUES'!K264+'QUANTITE DETENUES'!L264*L264+M264*'QUANTITE DETENUES'!M264+'QUANTITE DETENUES'!N264*N264+O264*'QUANTITE DETENUES'!O264+T264+P264*'QUANTITE DETENUES'!P264+'QUANTITE DETENUES'!Q264*Q264+R264*'QUANTITE DETENUES'!R264+'QUANTITE DETENUES'!S264*S264)</f>
        <v>39497.21829</v>
      </c>
      <c r="V264" s="288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308"/>
      <c r="AH264" s="220"/>
      <c r="AI264" s="220"/>
      <c r="AJ264" s="220"/>
      <c r="AK264" s="220"/>
      <c r="AL264" s="220"/>
      <c r="AM264" s="220"/>
    </row>
    <row r="265">
      <c r="A265" s="409">
        <f>IF(ARBITRAGES!E265="","",ARBITRAGES!E265)</f>
        <v>46063</v>
      </c>
      <c r="B265" s="31">
        <v>66000.0</v>
      </c>
      <c r="C265" s="31">
        <v>1900.0</v>
      </c>
      <c r="D265" s="31">
        <v>1.3</v>
      </c>
      <c r="E265" s="31">
        <v>80.0</v>
      </c>
      <c r="F265" s="31">
        <v>145.0</v>
      </c>
      <c r="G265" s="31">
        <v>0.096</v>
      </c>
      <c r="H265" s="31">
        <v>8.25</v>
      </c>
      <c r="I265" s="31">
        <v>0.09005</v>
      </c>
      <c r="J265" s="31">
        <v>5.8E-6</v>
      </c>
      <c r="K265" s="31">
        <v>1.275</v>
      </c>
      <c r="L265" s="31">
        <v>0.135</v>
      </c>
      <c r="M265" s="31">
        <v>105.0</v>
      </c>
      <c r="N265" s="31">
        <v>0.00155</v>
      </c>
      <c r="O265" s="31">
        <v>1.1</v>
      </c>
      <c r="P265" s="31">
        <v>3.6E-4</v>
      </c>
      <c r="Q265" s="31">
        <v>3.5E-6</v>
      </c>
      <c r="R265" s="31">
        <v>0.2</v>
      </c>
      <c r="S265" s="136">
        <v>0.55</v>
      </c>
      <c r="T265" s="14">
        <f>IF(A265="","",ARBITRAGES!M265)</f>
        <v>9175.558218</v>
      </c>
      <c r="U265" s="417">
        <f>IF(A265="","",B265*'QUANTITE DETENUES'!B265+'QUANTITE DETENUES'!C265*C265+'QUANTITE DETENUES'!D265*D265+E265*'QUANTITE DETENUES'!E265+'QUANTITE DETENUES'!F265*F265+G265*'QUANTITE DETENUES'!G265+'QUANTITE DETENUES'!H265*H265+I265*'QUANTITE DETENUES'!I265+'QUANTITE DETENUES'!J265*J265+K265*'QUANTITE DETENUES'!K265+'QUANTITE DETENUES'!L265*L265+M265*'QUANTITE DETENUES'!M265+'QUANTITE DETENUES'!N265*N265+O265*'QUANTITE DETENUES'!O265+T265+P265*'QUANTITE DETENUES'!P265+'QUANTITE DETENUES'!Q265*Q265+R265*'QUANTITE DETENUES'!R265+'QUANTITE DETENUES'!S265*S265)</f>
        <v>38119.99257</v>
      </c>
      <c r="V265" s="288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308"/>
      <c r="AH265" s="220"/>
      <c r="AI265" s="220"/>
      <c r="AJ265" s="220"/>
      <c r="AK265" s="220"/>
      <c r="AL265" s="220"/>
      <c r="AM265" s="220"/>
    </row>
    <row r="266">
      <c r="A266" s="409">
        <f>IF(ARBITRAGES!E266="","",ARBITRAGES!E266)</f>
        <v>46064</v>
      </c>
      <c r="B266" s="31">
        <v>66700.0</v>
      </c>
      <c r="C266" s="31">
        <v>1950.0</v>
      </c>
      <c r="D266" s="31">
        <v>1.3</v>
      </c>
      <c r="E266" s="31">
        <v>80.0</v>
      </c>
      <c r="F266" s="31">
        <v>145.0</v>
      </c>
      <c r="G266" s="31">
        <v>0.096</v>
      </c>
      <c r="H266" s="31">
        <v>8.25</v>
      </c>
      <c r="I266" s="31">
        <v>0.09005</v>
      </c>
      <c r="J266" s="31">
        <v>5.8E-6</v>
      </c>
      <c r="K266" s="31">
        <v>1.275</v>
      </c>
      <c r="L266" s="31">
        <v>0.135</v>
      </c>
      <c r="M266" s="31">
        <v>105.0</v>
      </c>
      <c r="N266" s="31">
        <v>0.00155</v>
      </c>
      <c r="O266" s="31">
        <v>1.1</v>
      </c>
      <c r="P266" s="31">
        <v>3.6E-4</v>
      </c>
      <c r="Q266" s="31">
        <v>3.5E-6</v>
      </c>
      <c r="R266" s="31">
        <v>0.2</v>
      </c>
      <c r="S266" s="136">
        <v>0.55</v>
      </c>
      <c r="T266" s="14">
        <f>IF(A266="","",ARBITRAGES!M266)</f>
        <v>9375.891551</v>
      </c>
      <c r="U266" s="417">
        <f>IF(A266="","",B266*'QUANTITE DETENUES'!B266+'QUANTITE DETENUES'!C266*C266+'QUANTITE DETENUES'!D266*D266+E266*'QUANTITE DETENUES'!E266+'QUANTITE DETENUES'!F266*F266+G266*'QUANTITE DETENUES'!G266+'QUANTITE DETENUES'!H266*H266+I266*'QUANTITE DETENUES'!I266+'QUANTITE DETENUES'!J266*J266+K266*'QUANTITE DETENUES'!K266+'QUANTITE DETENUES'!L266*L266+M266*'QUANTITE DETENUES'!M266+'QUANTITE DETENUES'!N266*N266+O266*'QUANTITE DETENUES'!O266+T266+P266*'QUANTITE DETENUES'!P266+'QUANTITE DETENUES'!Q266*Q266+R266*'QUANTITE DETENUES'!R266+'QUANTITE DETENUES'!S266*S266)</f>
        <v>38487.88514</v>
      </c>
      <c r="V266" s="288"/>
      <c r="W266" s="220"/>
      <c r="X266" s="220"/>
      <c r="Y266" s="220"/>
      <c r="Z266" s="220"/>
      <c r="AA266" s="220"/>
      <c r="AB266" s="220"/>
      <c r="AC266" s="220"/>
      <c r="AD266" s="220"/>
      <c r="AE266" s="220"/>
      <c r="AF266" s="220"/>
      <c r="AG266" s="308"/>
      <c r="AH266" s="220"/>
      <c r="AI266" s="220"/>
      <c r="AJ266" s="220"/>
      <c r="AK266" s="220"/>
      <c r="AL266" s="220"/>
      <c r="AM266" s="220"/>
    </row>
    <row r="267">
      <c r="A267" s="409">
        <f>IF(ARBITRAGES!E267="","",ARBITRAGES!E267)</f>
        <v>46065</v>
      </c>
      <c r="B267" s="31">
        <v>67500.0</v>
      </c>
      <c r="C267" s="31">
        <v>1950.0</v>
      </c>
      <c r="D267" s="31">
        <v>1.44</v>
      </c>
      <c r="E267" s="31">
        <v>83.0</v>
      </c>
      <c r="F267" s="31">
        <v>190.0</v>
      </c>
      <c r="G267" s="31">
        <v>0.096</v>
      </c>
      <c r="H267" s="31">
        <v>8.7</v>
      </c>
      <c r="I267" s="31">
        <v>0.0999</v>
      </c>
      <c r="J267" s="31">
        <v>6.5E-6</v>
      </c>
      <c r="K267" s="31">
        <v>1.3</v>
      </c>
      <c r="L267" s="31">
        <v>0.157</v>
      </c>
      <c r="M267" s="31">
        <v>125.0</v>
      </c>
      <c r="N267" s="31">
        <v>0.00165</v>
      </c>
      <c r="O267" s="31">
        <v>1.2</v>
      </c>
      <c r="P267" s="31">
        <v>4.3E-4</v>
      </c>
      <c r="Q267" s="31">
        <v>4.4E-6</v>
      </c>
      <c r="R267" s="31">
        <v>0.23</v>
      </c>
      <c r="S267" s="136">
        <v>0.6</v>
      </c>
      <c r="T267" s="14">
        <f>IF(A267="","",ARBITRAGES!M267)</f>
        <v>9713.391551</v>
      </c>
      <c r="U267" s="417">
        <f>IF(A267="","",B267*'QUANTITE DETENUES'!B267+'QUANTITE DETENUES'!C267*C267+'QUANTITE DETENUES'!D267*D267+E267*'QUANTITE DETENUES'!E267+'QUANTITE DETENUES'!F267*F267+G267*'QUANTITE DETENUES'!G267+'QUANTITE DETENUES'!H267*H267+I267*'QUANTITE DETENUES'!I267+'QUANTITE DETENUES'!J267*J267+K267*'QUANTITE DETENUES'!K267+'QUANTITE DETENUES'!L267*L267+M267*'QUANTITE DETENUES'!M267+'QUANTITE DETENUES'!N267*N267+O267*'QUANTITE DETENUES'!O267+T267+P267*'QUANTITE DETENUES'!P267+'QUANTITE DETENUES'!Q267*Q267+R267*'QUANTITE DETENUES'!R267+'QUANTITE DETENUES'!S267*S267)</f>
        <v>38787.84142</v>
      </c>
      <c r="V267" s="288"/>
      <c r="W267" s="220"/>
      <c r="X267" s="220"/>
      <c r="Y267" s="220"/>
      <c r="Z267" s="220"/>
      <c r="AA267" s="220"/>
      <c r="AB267" s="220"/>
      <c r="AC267" s="220"/>
      <c r="AD267" s="220"/>
      <c r="AE267" s="220"/>
      <c r="AF267" s="220"/>
      <c r="AG267" s="308"/>
      <c r="AH267" s="220"/>
      <c r="AI267" s="220"/>
      <c r="AJ267" s="220"/>
      <c r="AK267" s="220"/>
      <c r="AL267" s="220"/>
      <c r="AM267" s="220"/>
    </row>
    <row r="268">
      <c r="A268" s="409">
        <f>IF(ARBITRAGES!E268="","",ARBITRAGES!E268)</f>
        <v>46066</v>
      </c>
      <c r="B268" s="31">
        <v>67500.0</v>
      </c>
      <c r="C268" s="31">
        <v>1950.0</v>
      </c>
      <c r="D268" s="31">
        <v>1.44</v>
      </c>
      <c r="E268" s="31">
        <v>83.0</v>
      </c>
      <c r="F268" s="31">
        <v>190.0</v>
      </c>
      <c r="G268" s="31">
        <v>0.096</v>
      </c>
      <c r="H268" s="31">
        <v>8.7</v>
      </c>
      <c r="I268" s="31">
        <v>0.0999</v>
      </c>
      <c r="J268" s="31">
        <v>6.5E-6</v>
      </c>
      <c r="K268" s="31">
        <v>1.3</v>
      </c>
      <c r="L268" s="31">
        <v>0.157</v>
      </c>
      <c r="M268" s="31">
        <v>125.0</v>
      </c>
      <c r="N268" s="31">
        <v>0.00165</v>
      </c>
      <c r="O268" s="31">
        <v>1.2</v>
      </c>
      <c r="P268" s="31">
        <v>4.3E-4</v>
      </c>
      <c r="Q268" s="31">
        <v>4.4E-6</v>
      </c>
      <c r="R268" s="31">
        <v>0.23</v>
      </c>
      <c r="S268" s="136">
        <v>0.6</v>
      </c>
      <c r="T268" s="14">
        <f>IF(A268="","",ARBITRAGES!M268)</f>
        <v>10332.39371</v>
      </c>
      <c r="U268" s="417">
        <f>IF(A268="","",B268*'QUANTITE DETENUES'!B268+'QUANTITE DETENUES'!C268*C268+'QUANTITE DETENUES'!D268*D268+E268*'QUANTITE DETENUES'!E268+'QUANTITE DETENUES'!F268*F268+G268*'QUANTITE DETENUES'!G268+'QUANTITE DETENUES'!H268*H268+I268*'QUANTITE DETENUES'!I268+'QUANTITE DETENUES'!J268*J268+K268*'QUANTITE DETENUES'!K268+'QUANTITE DETENUES'!L268*L268+M268*'QUANTITE DETENUES'!M268+'QUANTITE DETENUES'!N268*N268+O268*'QUANTITE DETENUES'!O268+T268+P268*'QUANTITE DETENUES'!P268+'QUANTITE DETENUES'!Q268*Q268+R268*'QUANTITE DETENUES'!R268+'QUANTITE DETENUES'!S268*S268)</f>
        <v>38821.35275</v>
      </c>
      <c r="V268" s="288"/>
      <c r="W268" s="220"/>
      <c r="X268" s="220"/>
      <c r="Y268" s="220"/>
      <c r="Z268" s="220"/>
      <c r="AA268" s="220"/>
      <c r="AB268" s="220"/>
      <c r="AC268" s="220"/>
      <c r="AD268" s="220"/>
      <c r="AE268" s="220"/>
      <c r="AF268" s="220"/>
      <c r="AG268" s="308"/>
      <c r="AH268" s="220"/>
      <c r="AI268" s="220"/>
      <c r="AJ268" s="220"/>
      <c r="AK268" s="220"/>
      <c r="AL268" s="220"/>
      <c r="AM268" s="220"/>
    </row>
    <row r="269">
      <c r="A269" s="409" t="str">
        <f>IF(ARBITRAGES!E269="","",ARBITRAGES!E269)</f>
        <v/>
      </c>
      <c r="B269" s="424"/>
      <c r="C269" s="424"/>
      <c r="D269" s="425"/>
      <c r="E269" s="424"/>
      <c r="F269" s="424"/>
      <c r="G269" s="425"/>
      <c r="H269" s="425"/>
      <c r="I269" s="426"/>
      <c r="J269" s="427"/>
      <c r="K269" s="426"/>
      <c r="L269" s="426"/>
      <c r="M269" s="426"/>
      <c r="N269" s="428"/>
      <c r="O269" s="426"/>
      <c r="P269" s="426"/>
      <c r="Q269" s="429"/>
      <c r="R269" s="426"/>
      <c r="S269" s="426"/>
      <c r="T269" s="14" t="str">
        <f>IF(A269="","",ARBITRAGES!M269)</f>
        <v/>
      </c>
      <c r="U269" s="417" t="str">
        <f>IF(A269="","",B269*'QUANTITE DETENUES'!B269+'QUANTITE DETENUES'!C269*C269+'QUANTITE DETENUES'!D269*D269+E269*'QUANTITE DETENUES'!E269+'QUANTITE DETENUES'!F269*F269+G269*'QUANTITE DETENUES'!G269+'QUANTITE DETENUES'!H269*H269+I269*'QUANTITE DETENUES'!I269+'QUANTITE DETENUES'!J269*J269+K269*'QUANTITE DETENUES'!K269+'QUANTITE DETENUES'!L269*L269+M269*'QUANTITE DETENUES'!M269+'QUANTITE DETENUES'!N269*N269+O269*'QUANTITE DETENUES'!O269+T269+P269*'QUANTITE DETENUES'!P269+'QUANTITE DETENUES'!Q269*Q269+R269*'QUANTITE DETENUES'!R269+'QUANTITE DETENUES'!S269*S269)</f>
        <v/>
      </c>
      <c r="V269" s="288"/>
      <c r="W269" s="220"/>
      <c r="X269" s="220"/>
      <c r="Y269" s="220"/>
      <c r="Z269" s="220"/>
      <c r="AA269" s="220"/>
      <c r="AB269" s="220"/>
      <c r="AC269" s="220"/>
      <c r="AD269" s="220"/>
      <c r="AE269" s="220"/>
      <c r="AF269" s="220"/>
      <c r="AG269" s="308"/>
      <c r="AH269" s="220"/>
      <c r="AI269" s="220"/>
      <c r="AJ269" s="220"/>
      <c r="AK269" s="220"/>
      <c r="AL269" s="220"/>
      <c r="AM269" s="220"/>
    </row>
    <row r="270">
      <c r="A270" s="409" t="str">
        <f>IF(ARBITRAGES!E270="","",ARBITRAGES!E270)</f>
        <v/>
      </c>
      <c r="B270" s="424"/>
      <c r="C270" s="424"/>
      <c r="D270" s="425"/>
      <c r="E270" s="424"/>
      <c r="F270" s="424"/>
      <c r="G270" s="425"/>
      <c r="H270" s="425"/>
      <c r="I270" s="426"/>
      <c r="J270" s="427"/>
      <c r="K270" s="426"/>
      <c r="L270" s="426"/>
      <c r="M270" s="426"/>
      <c r="N270" s="428"/>
      <c r="O270" s="426"/>
      <c r="P270" s="426"/>
      <c r="Q270" s="429"/>
      <c r="R270" s="426"/>
      <c r="S270" s="426"/>
      <c r="T270" s="14" t="str">
        <f>IF(A270="","",ARBITRAGES!M270)</f>
        <v/>
      </c>
      <c r="U270" s="417" t="str">
        <f>IF(A270="","",B270*'QUANTITE DETENUES'!B270+'QUANTITE DETENUES'!C270*C270+'QUANTITE DETENUES'!D270*D270+E270*'QUANTITE DETENUES'!E270+'QUANTITE DETENUES'!F270*F270+G270*'QUANTITE DETENUES'!G270+'QUANTITE DETENUES'!H270*H270+I270*'QUANTITE DETENUES'!I270+'QUANTITE DETENUES'!J270*J270+K270*'QUANTITE DETENUES'!K270+'QUANTITE DETENUES'!L270*L270+M270*'QUANTITE DETENUES'!M270+'QUANTITE DETENUES'!N270*N270+O270*'QUANTITE DETENUES'!O270+T270+P270*'QUANTITE DETENUES'!P270+'QUANTITE DETENUES'!Q270*Q270+R270*'QUANTITE DETENUES'!R270+'QUANTITE DETENUES'!S270*S270)</f>
        <v/>
      </c>
      <c r="V270" s="288"/>
      <c r="W270" s="220"/>
      <c r="X270" s="220"/>
      <c r="Y270" s="220"/>
      <c r="Z270" s="220"/>
      <c r="AA270" s="220"/>
      <c r="AB270" s="220"/>
      <c r="AC270" s="220"/>
      <c r="AD270" s="220"/>
      <c r="AE270" s="220"/>
      <c r="AF270" s="220"/>
      <c r="AG270" s="308"/>
      <c r="AH270" s="220"/>
      <c r="AI270" s="220"/>
      <c r="AJ270" s="220"/>
      <c r="AK270" s="220"/>
      <c r="AL270" s="220"/>
      <c r="AM270" s="220"/>
    </row>
    <row r="271">
      <c r="A271" s="409" t="str">
        <f>IF(ARBITRAGES!E271="","",ARBITRAGES!E271)</f>
        <v/>
      </c>
      <c r="B271" s="424"/>
      <c r="C271" s="424"/>
      <c r="D271" s="425"/>
      <c r="E271" s="424"/>
      <c r="F271" s="424"/>
      <c r="G271" s="425"/>
      <c r="H271" s="425"/>
      <c r="I271" s="426"/>
      <c r="J271" s="427"/>
      <c r="K271" s="426"/>
      <c r="L271" s="426"/>
      <c r="M271" s="426"/>
      <c r="N271" s="428"/>
      <c r="O271" s="426"/>
      <c r="P271" s="426"/>
      <c r="Q271" s="429"/>
      <c r="R271" s="426"/>
      <c r="S271" s="426"/>
      <c r="T271" s="14" t="str">
        <f>IF(A271="","",ARBITRAGES!M271)</f>
        <v/>
      </c>
      <c r="U271" s="417" t="str">
        <f>IF(A271="","",B271*'QUANTITE DETENUES'!B271+'QUANTITE DETENUES'!C271*C271+'QUANTITE DETENUES'!D271*D271+E271*'QUANTITE DETENUES'!E271+'QUANTITE DETENUES'!F271*F271+G271*'QUANTITE DETENUES'!G271+'QUANTITE DETENUES'!H271*H271+I271*'QUANTITE DETENUES'!I271+'QUANTITE DETENUES'!J271*J271+K271*'QUANTITE DETENUES'!K271+'QUANTITE DETENUES'!L271*L271+M271*'QUANTITE DETENUES'!M271+'QUANTITE DETENUES'!N271*N271+O271*'QUANTITE DETENUES'!O271+T271+P271*'QUANTITE DETENUES'!P271+'QUANTITE DETENUES'!Q271*Q271+R271*'QUANTITE DETENUES'!R271+'QUANTITE DETENUES'!S271*S271)</f>
        <v/>
      </c>
      <c r="V271" s="288"/>
      <c r="W271" s="220"/>
      <c r="X271" s="220"/>
      <c r="Y271" s="220"/>
      <c r="Z271" s="220"/>
      <c r="AA271" s="220"/>
      <c r="AB271" s="220"/>
      <c r="AC271" s="220"/>
      <c r="AD271" s="220"/>
      <c r="AE271" s="220"/>
      <c r="AF271" s="220"/>
      <c r="AG271" s="308"/>
      <c r="AH271" s="220"/>
      <c r="AI271" s="220"/>
      <c r="AJ271" s="220"/>
      <c r="AK271" s="220"/>
      <c r="AL271" s="220"/>
      <c r="AM271" s="220"/>
    </row>
    <row r="272">
      <c r="A272" s="409" t="str">
        <f>IF(ARBITRAGES!E272="","",ARBITRAGES!E272)</f>
        <v/>
      </c>
      <c r="B272" s="424"/>
      <c r="C272" s="424"/>
      <c r="D272" s="425"/>
      <c r="E272" s="424"/>
      <c r="F272" s="424"/>
      <c r="G272" s="425"/>
      <c r="H272" s="425"/>
      <c r="I272" s="426"/>
      <c r="J272" s="427"/>
      <c r="K272" s="426"/>
      <c r="L272" s="426"/>
      <c r="M272" s="426"/>
      <c r="N272" s="428"/>
      <c r="O272" s="426"/>
      <c r="P272" s="426"/>
      <c r="Q272" s="429"/>
      <c r="R272" s="426"/>
      <c r="S272" s="426"/>
      <c r="T272" s="14" t="str">
        <f>IF(A272="","",ARBITRAGES!M272)</f>
        <v/>
      </c>
      <c r="U272" s="417" t="str">
        <f>IF(A272="","",B272*'QUANTITE DETENUES'!B272+'QUANTITE DETENUES'!C272*C272+'QUANTITE DETENUES'!D272*D272+E272*'QUANTITE DETENUES'!E272+'QUANTITE DETENUES'!F272*F272+G272*'QUANTITE DETENUES'!G272+'QUANTITE DETENUES'!H272*H272+I272*'QUANTITE DETENUES'!I272+'QUANTITE DETENUES'!J272*J272+K272*'QUANTITE DETENUES'!K272+'QUANTITE DETENUES'!L272*L272+M272*'QUANTITE DETENUES'!M272+'QUANTITE DETENUES'!N272*N272+O272*'QUANTITE DETENUES'!O272+T272+P272*'QUANTITE DETENUES'!P272+'QUANTITE DETENUES'!Q272*Q272+R272*'QUANTITE DETENUES'!R272+'QUANTITE DETENUES'!S272*S272)</f>
        <v/>
      </c>
      <c r="V272" s="288"/>
      <c r="W272" s="220"/>
      <c r="X272" s="220"/>
      <c r="Y272" s="220"/>
      <c r="Z272" s="220"/>
      <c r="AA272" s="220"/>
      <c r="AB272" s="220"/>
      <c r="AC272" s="220"/>
      <c r="AD272" s="220"/>
      <c r="AE272" s="220"/>
      <c r="AF272" s="220"/>
      <c r="AG272" s="308"/>
      <c r="AH272" s="220"/>
      <c r="AI272" s="220"/>
      <c r="AJ272" s="220"/>
      <c r="AK272" s="220"/>
      <c r="AL272" s="220"/>
      <c r="AM272" s="220"/>
    </row>
    <row r="273">
      <c r="A273" s="409" t="str">
        <f>IF(ARBITRAGES!E273="","",ARBITRAGES!E273)</f>
        <v/>
      </c>
      <c r="B273" s="424"/>
      <c r="C273" s="424"/>
      <c r="D273" s="425"/>
      <c r="E273" s="424"/>
      <c r="F273" s="424"/>
      <c r="G273" s="425"/>
      <c r="H273" s="425"/>
      <c r="I273" s="426"/>
      <c r="J273" s="427"/>
      <c r="K273" s="426"/>
      <c r="L273" s="426"/>
      <c r="M273" s="426"/>
      <c r="N273" s="428"/>
      <c r="O273" s="426"/>
      <c r="P273" s="426"/>
      <c r="Q273" s="429"/>
      <c r="R273" s="426"/>
      <c r="S273" s="426"/>
      <c r="T273" s="14" t="str">
        <f>IF(A273="","",ARBITRAGES!M273)</f>
        <v/>
      </c>
      <c r="U273" s="417" t="str">
        <f>IF(A273="","",B273*'QUANTITE DETENUES'!B273+'QUANTITE DETENUES'!C273*C273+'QUANTITE DETENUES'!D273*D273+E273*'QUANTITE DETENUES'!E273+'QUANTITE DETENUES'!F273*F273+G273*'QUANTITE DETENUES'!G273+'QUANTITE DETENUES'!H273*H273+I273*'QUANTITE DETENUES'!I273+'QUANTITE DETENUES'!J273*J273+K273*'QUANTITE DETENUES'!K273+'QUANTITE DETENUES'!L273*L273+M273*'QUANTITE DETENUES'!M273+'QUANTITE DETENUES'!N273*N273+O273*'QUANTITE DETENUES'!O273+T273+P273*'QUANTITE DETENUES'!P273+'QUANTITE DETENUES'!Q273*Q273+R273*'QUANTITE DETENUES'!R273+'QUANTITE DETENUES'!S273*S273)</f>
        <v/>
      </c>
      <c r="V273" s="288"/>
      <c r="W273" s="220"/>
      <c r="X273" s="220"/>
      <c r="Y273" s="220"/>
      <c r="Z273" s="220"/>
      <c r="AA273" s="220"/>
      <c r="AB273" s="220"/>
      <c r="AC273" s="220"/>
      <c r="AD273" s="220"/>
      <c r="AE273" s="220"/>
      <c r="AF273" s="220"/>
      <c r="AG273" s="308"/>
      <c r="AH273" s="220"/>
      <c r="AI273" s="220"/>
      <c r="AJ273" s="220"/>
      <c r="AK273" s="220"/>
      <c r="AL273" s="220"/>
      <c r="AM273" s="220"/>
    </row>
    <row r="274">
      <c r="A274" s="409" t="str">
        <f>IF(ARBITRAGES!E274="","",ARBITRAGES!E274)</f>
        <v/>
      </c>
      <c r="B274" s="424"/>
      <c r="C274" s="424"/>
      <c r="D274" s="425"/>
      <c r="E274" s="424"/>
      <c r="F274" s="424"/>
      <c r="G274" s="425"/>
      <c r="H274" s="425"/>
      <c r="I274" s="426"/>
      <c r="J274" s="427"/>
      <c r="K274" s="426"/>
      <c r="L274" s="426"/>
      <c r="M274" s="426"/>
      <c r="N274" s="428"/>
      <c r="O274" s="426"/>
      <c r="P274" s="426"/>
      <c r="Q274" s="429"/>
      <c r="R274" s="426"/>
      <c r="S274" s="426"/>
      <c r="T274" s="14" t="str">
        <f>IF(A274="","",ARBITRAGES!M274)</f>
        <v/>
      </c>
      <c r="U274" s="417" t="str">
        <f>IF(A274="","",B274*'QUANTITE DETENUES'!B274+'QUANTITE DETENUES'!C274*C274+'QUANTITE DETENUES'!D274*D274+E274*'QUANTITE DETENUES'!E274+'QUANTITE DETENUES'!F274*F274+G274*'QUANTITE DETENUES'!G274+'QUANTITE DETENUES'!H274*H274+I274*'QUANTITE DETENUES'!I274+'QUANTITE DETENUES'!J274*J274+K274*'QUANTITE DETENUES'!K274+'QUANTITE DETENUES'!L274*L274+M274*'QUANTITE DETENUES'!M274+'QUANTITE DETENUES'!N274*N274+O274*'QUANTITE DETENUES'!O274+T274+P274*'QUANTITE DETENUES'!P274+'QUANTITE DETENUES'!Q274*Q274+R274*'QUANTITE DETENUES'!R274+'QUANTITE DETENUES'!S274*S274)</f>
        <v/>
      </c>
      <c r="V274" s="288"/>
      <c r="W274" s="220"/>
      <c r="X274" s="220"/>
      <c r="Y274" s="220"/>
      <c r="Z274" s="220"/>
      <c r="AA274" s="220"/>
      <c r="AB274" s="220"/>
      <c r="AC274" s="220"/>
      <c r="AD274" s="220"/>
      <c r="AE274" s="220"/>
      <c r="AF274" s="220"/>
      <c r="AG274" s="308"/>
      <c r="AH274" s="220"/>
      <c r="AI274" s="220"/>
      <c r="AJ274" s="220"/>
      <c r="AK274" s="220"/>
      <c r="AL274" s="220"/>
      <c r="AM274" s="220"/>
    </row>
    <row r="275">
      <c r="A275" s="409" t="str">
        <f>IF(ARBITRAGES!E275="","",ARBITRAGES!E275)</f>
        <v/>
      </c>
      <c r="B275" s="424"/>
      <c r="C275" s="424"/>
      <c r="D275" s="425"/>
      <c r="E275" s="424"/>
      <c r="F275" s="424"/>
      <c r="G275" s="425"/>
      <c r="H275" s="425"/>
      <c r="I275" s="426"/>
      <c r="J275" s="427"/>
      <c r="K275" s="426"/>
      <c r="L275" s="426"/>
      <c r="M275" s="426"/>
      <c r="N275" s="428"/>
      <c r="O275" s="426"/>
      <c r="P275" s="426"/>
      <c r="Q275" s="429"/>
      <c r="R275" s="426"/>
      <c r="S275" s="426"/>
      <c r="T275" s="14" t="str">
        <f>IF(A275="","",ARBITRAGES!M275)</f>
        <v/>
      </c>
      <c r="U275" s="417" t="str">
        <f>IF(A275="","",B275*'QUANTITE DETENUES'!B275+'QUANTITE DETENUES'!C275*C275+'QUANTITE DETENUES'!D275*D275+E275*'QUANTITE DETENUES'!E275+'QUANTITE DETENUES'!F275*F275+G275*'QUANTITE DETENUES'!G275+'QUANTITE DETENUES'!H275*H275+I275*'QUANTITE DETENUES'!I275+'QUANTITE DETENUES'!J275*J275+K275*'QUANTITE DETENUES'!K275+'QUANTITE DETENUES'!L275*L275+M275*'QUANTITE DETENUES'!M275+'QUANTITE DETENUES'!N275*N275+O275*'QUANTITE DETENUES'!O275+T275+P275*'QUANTITE DETENUES'!P275+'QUANTITE DETENUES'!Q275*Q275+R275*'QUANTITE DETENUES'!R275+'QUANTITE DETENUES'!S275*S275)</f>
        <v/>
      </c>
      <c r="V275" s="288"/>
      <c r="W275" s="220"/>
      <c r="X275" s="220"/>
      <c r="Y275" s="220"/>
      <c r="Z275" s="220"/>
      <c r="AA275" s="220"/>
      <c r="AB275" s="220"/>
      <c r="AC275" s="220"/>
      <c r="AD275" s="220"/>
      <c r="AE275" s="220"/>
      <c r="AF275" s="220"/>
      <c r="AG275" s="308"/>
      <c r="AH275" s="220"/>
      <c r="AI275" s="220"/>
      <c r="AJ275" s="220"/>
      <c r="AK275" s="220"/>
      <c r="AL275" s="220"/>
      <c r="AM275" s="220"/>
    </row>
    <row r="276">
      <c r="A276" s="409" t="str">
        <f>IF(ARBITRAGES!E276="","",ARBITRAGES!E276)</f>
        <v/>
      </c>
      <c r="B276" s="424"/>
      <c r="C276" s="424"/>
      <c r="D276" s="425"/>
      <c r="E276" s="424"/>
      <c r="F276" s="424"/>
      <c r="G276" s="425"/>
      <c r="H276" s="425"/>
      <c r="I276" s="426"/>
      <c r="J276" s="427"/>
      <c r="K276" s="426"/>
      <c r="L276" s="426"/>
      <c r="M276" s="426"/>
      <c r="N276" s="428"/>
      <c r="O276" s="426"/>
      <c r="P276" s="426"/>
      <c r="Q276" s="429"/>
      <c r="R276" s="426"/>
      <c r="S276" s="426"/>
      <c r="T276" s="14" t="str">
        <f>IF(A276="","",ARBITRAGES!M276)</f>
        <v/>
      </c>
      <c r="U276" s="417" t="str">
        <f>IF(A276="","",B276*'QUANTITE DETENUES'!B276+'QUANTITE DETENUES'!C276*C276+'QUANTITE DETENUES'!D276*D276+E276*'QUANTITE DETENUES'!E276+'QUANTITE DETENUES'!F276*F276+G276*'QUANTITE DETENUES'!G276+'QUANTITE DETENUES'!H276*H276+I276*'QUANTITE DETENUES'!I276+'QUANTITE DETENUES'!J276*J276+K276*'QUANTITE DETENUES'!K276+'QUANTITE DETENUES'!L276*L276+M276*'QUANTITE DETENUES'!M276+'QUANTITE DETENUES'!N276*N276+O276*'QUANTITE DETENUES'!O276+T276+P276*'QUANTITE DETENUES'!P276+'QUANTITE DETENUES'!Q276*Q276+R276*'QUANTITE DETENUES'!R276+'QUANTITE DETENUES'!S276*S276)</f>
        <v/>
      </c>
      <c r="V276" s="288"/>
      <c r="W276" s="220"/>
      <c r="X276" s="220"/>
      <c r="Y276" s="220"/>
      <c r="Z276" s="220"/>
      <c r="AA276" s="220"/>
      <c r="AB276" s="220"/>
      <c r="AC276" s="220"/>
      <c r="AD276" s="220"/>
      <c r="AE276" s="220"/>
      <c r="AF276" s="220"/>
      <c r="AG276" s="308"/>
      <c r="AH276" s="220"/>
      <c r="AI276" s="220"/>
      <c r="AJ276" s="220"/>
      <c r="AK276" s="220"/>
      <c r="AL276" s="220"/>
      <c r="AM276" s="220"/>
    </row>
    <row r="277">
      <c r="A277" s="409" t="str">
        <f>IF(ARBITRAGES!E277="","",ARBITRAGES!E277)</f>
        <v/>
      </c>
      <c r="B277" s="424"/>
      <c r="C277" s="424"/>
      <c r="D277" s="425"/>
      <c r="E277" s="424"/>
      <c r="F277" s="424"/>
      <c r="G277" s="425"/>
      <c r="H277" s="425"/>
      <c r="I277" s="426"/>
      <c r="J277" s="427"/>
      <c r="K277" s="426"/>
      <c r="L277" s="426"/>
      <c r="M277" s="426"/>
      <c r="N277" s="428"/>
      <c r="O277" s="426"/>
      <c r="P277" s="426"/>
      <c r="Q277" s="429"/>
      <c r="R277" s="426"/>
      <c r="S277" s="426"/>
      <c r="T277" s="14" t="str">
        <f>IF(A277="","",ARBITRAGES!M277)</f>
        <v/>
      </c>
      <c r="U277" s="417" t="str">
        <f>IF(A277="","",B277*'QUANTITE DETENUES'!B277+'QUANTITE DETENUES'!C277*C277+'QUANTITE DETENUES'!D277*D277+E277*'QUANTITE DETENUES'!E277+'QUANTITE DETENUES'!F277*F277+G277*'QUANTITE DETENUES'!G277+'QUANTITE DETENUES'!H277*H277+I277*'QUANTITE DETENUES'!I277+'QUANTITE DETENUES'!J277*J277+K277*'QUANTITE DETENUES'!K277+'QUANTITE DETENUES'!L277*L277+M277*'QUANTITE DETENUES'!M277+'QUANTITE DETENUES'!N277*N277+O277*'QUANTITE DETENUES'!O277+T277+P277*'QUANTITE DETENUES'!P277+'QUANTITE DETENUES'!Q277*Q277+R277*'QUANTITE DETENUES'!R277+'QUANTITE DETENUES'!S277*S277)</f>
        <v/>
      </c>
      <c r="V277" s="288"/>
      <c r="W277" s="220"/>
      <c r="X277" s="220"/>
      <c r="Y277" s="220"/>
      <c r="Z277" s="220"/>
      <c r="AA277" s="220"/>
      <c r="AB277" s="220"/>
      <c r="AC277" s="220"/>
      <c r="AD277" s="220"/>
      <c r="AE277" s="220"/>
      <c r="AF277" s="220"/>
      <c r="AG277" s="308"/>
      <c r="AH277" s="220"/>
      <c r="AI277" s="220"/>
      <c r="AJ277" s="220"/>
      <c r="AK277" s="220"/>
      <c r="AL277" s="220"/>
      <c r="AM277" s="220"/>
    </row>
    <row r="278">
      <c r="A278" s="409" t="str">
        <f>IF(ARBITRAGES!E278="","",ARBITRAGES!E278)</f>
        <v/>
      </c>
      <c r="B278" s="424"/>
      <c r="C278" s="424"/>
      <c r="D278" s="425"/>
      <c r="E278" s="424"/>
      <c r="F278" s="424"/>
      <c r="G278" s="425"/>
      <c r="H278" s="425"/>
      <c r="I278" s="426"/>
      <c r="J278" s="427"/>
      <c r="K278" s="426"/>
      <c r="L278" s="426"/>
      <c r="M278" s="426"/>
      <c r="N278" s="428"/>
      <c r="O278" s="426"/>
      <c r="P278" s="426"/>
      <c r="Q278" s="429"/>
      <c r="R278" s="426"/>
      <c r="S278" s="426"/>
      <c r="T278" s="14" t="str">
        <f>IF(A278="","",ARBITRAGES!M278)</f>
        <v/>
      </c>
      <c r="U278" s="417" t="str">
        <f>IF(A278="","",B278*'QUANTITE DETENUES'!B278+'QUANTITE DETENUES'!C278*C278+'QUANTITE DETENUES'!D278*D278+E278*'QUANTITE DETENUES'!E278+'QUANTITE DETENUES'!F278*F278+G278*'QUANTITE DETENUES'!G278+'QUANTITE DETENUES'!H278*H278+I278*'QUANTITE DETENUES'!I278+'QUANTITE DETENUES'!J278*J278+K278*'QUANTITE DETENUES'!K278+'QUANTITE DETENUES'!L278*L278+M278*'QUANTITE DETENUES'!M278+'QUANTITE DETENUES'!N278*N278+O278*'QUANTITE DETENUES'!O278+T278+P278*'QUANTITE DETENUES'!P278+'QUANTITE DETENUES'!Q278*Q278+R278*'QUANTITE DETENUES'!R278+'QUANTITE DETENUES'!S278*S278)</f>
        <v/>
      </c>
      <c r="V278" s="288"/>
      <c r="W278" s="220"/>
      <c r="X278" s="220"/>
      <c r="Y278" s="220"/>
      <c r="Z278" s="220"/>
      <c r="AA278" s="220"/>
      <c r="AB278" s="220"/>
      <c r="AC278" s="220"/>
      <c r="AD278" s="220"/>
      <c r="AE278" s="220"/>
      <c r="AF278" s="220"/>
      <c r="AG278" s="308"/>
      <c r="AH278" s="220"/>
      <c r="AI278" s="220"/>
      <c r="AJ278" s="220"/>
      <c r="AK278" s="220"/>
      <c r="AL278" s="220"/>
      <c r="AM278" s="220"/>
    </row>
    <row r="279">
      <c r="A279" s="409" t="str">
        <f>IF(ARBITRAGES!E279="","",ARBITRAGES!E279)</f>
        <v/>
      </c>
      <c r="B279" s="424"/>
      <c r="C279" s="424"/>
      <c r="D279" s="425"/>
      <c r="E279" s="424"/>
      <c r="F279" s="424"/>
      <c r="G279" s="425"/>
      <c r="H279" s="425"/>
      <c r="I279" s="426"/>
      <c r="J279" s="427"/>
      <c r="K279" s="426"/>
      <c r="L279" s="426"/>
      <c r="M279" s="426"/>
      <c r="N279" s="428"/>
      <c r="O279" s="426"/>
      <c r="P279" s="426"/>
      <c r="Q279" s="429"/>
      <c r="R279" s="426"/>
      <c r="S279" s="426"/>
      <c r="T279" s="14" t="str">
        <f>IF(A279="","",ARBITRAGES!M279)</f>
        <v/>
      </c>
      <c r="U279" s="417" t="str">
        <f>IF(A279="","",B279*'QUANTITE DETENUES'!B279+'QUANTITE DETENUES'!C279*C279+'QUANTITE DETENUES'!D279*D279+E279*'QUANTITE DETENUES'!E279+'QUANTITE DETENUES'!F279*F279+G279*'QUANTITE DETENUES'!G279+'QUANTITE DETENUES'!H279*H279+I279*'QUANTITE DETENUES'!I279+'QUANTITE DETENUES'!J279*J279+K279*'QUANTITE DETENUES'!K279+'QUANTITE DETENUES'!L279*L279+M279*'QUANTITE DETENUES'!M279+'QUANTITE DETENUES'!N279*N279+O279*'QUANTITE DETENUES'!O279+T279+P279*'QUANTITE DETENUES'!P279+'QUANTITE DETENUES'!Q279*Q279+R279*'QUANTITE DETENUES'!R279+'QUANTITE DETENUES'!S279*S279)</f>
        <v/>
      </c>
      <c r="V279" s="288"/>
      <c r="W279" s="220"/>
      <c r="X279" s="220"/>
      <c r="Y279" s="220"/>
      <c r="Z279" s="220"/>
      <c r="AA279" s="220"/>
      <c r="AB279" s="220"/>
      <c r="AC279" s="220"/>
      <c r="AD279" s="220"/>
      <c r="AE279" s="220"/>
      <c r="AF279" s="220"/>
      <c r="AG279" s="308"/>
      <c r="AH279" s="220"/>
      <c r="AI279" s="220"/>
      <c r="AJ279" s="220"/>
      <c r="AK279" s="220"/>
      <c r="AL279" s="220"/>
      <c r="AM279" s="220"/>
    </row>
    <row r="280">
      <c r="A280" s="409" t="str">
        <f>IF(ARBITRAGES!E280="","",ARBITRAGES!E280)</f>
        <v/>
      </c>
      <c r="B280" s="424"/>
      <c r="C280" s="424"/>
      <c r="D280" s="425"/>
      <c r="E280" s="424"/>
      <c r="F280" s="424"/>
      <c r="G280" s="425"/>
      <c r="H280" s="425"/>
      <c r="I280" s="426"/>
      <c r="J280" s="427"/>
      <c r="K280" s="426"/>
      <c r="L280" s="426"/>
      <c r="M280" s="426"/>
      <c r="N280" s="428"/>
      <c r="O280" s="426"/>
      <c r="P280" s="426"/>
      <c r="Q280" s="429"/>
      <c r="R280" s="426"/>
      <c r="S280" s="426"/>
      <c r="T280" s="14" t="str">
        <f>IF(A280="","",ARBITRAGES!M280)</f>
        <v/>
      </c>
      <c r="U280" s="417" t="str">
        <f>IF(A280="","",B280*'QUANTITE DETENUES'!B280+'QUANTITE DETENUES'!C280*C280+'QUANTITE DETENUES'!D280*D280+E280*'QUANTITE DETENUES'!E280+'QUANTITE DETENUES'!F280*F280+G280*'QUANTITE DETENUES'!G280+'QUANTITE DETENUES'!H280*H280+I280*'QUANTITE DETENUES'!I280+'QUANTITE DETENUES'!J280*J280+K280*'QUANTITE DETENUES'!K280+'QUANTITE DETENUES'!L280*L280+M280*'QUANTITE DETENUES'!M280+'QUANTITE DETENUES'!N280*N280+O280*'QUANTITE DETENUES'!O280+T280+P280*'QUANTITE DETENUES'!P280+'QUANTITE DETENUES'!Q280*Q280+R280*'QUANTITE DETENUES'!R280+'QUANTITE DETENUES'!S280*S280)</f>
        <v/>
      </c>
      <c r="V280" s="288"/>
      <c r="W280" s="220"/>
      <c r="X280" s="220"/>
      <c r="Y280" s="220"/>
      <c r="Z280" s="220"/>
      <c r="AA280" s="220"/>
      <c r="AB280" s="220"/>
      <c r="AC280" s="220"/>
      <c r="AD280" s="220"/>
      <c r="AE280" s="220"/>
      <c r="AF280" s="220"/>
      <c r="AG280" s="308"/>
      <c r="AH280" s="220"/>
      <c r="AI280" s="220"/>
      <c r="AJ280" s="220"/>
      <c r="AK280" s="220"/>
      <c r="AL280" s="220"/>
      <c r="AM280" s="220"/>
    </row>
    <row r="281">
      <c r="A281" s="409" t="str">
        <f>IF(ARBITRAGES!E281="","",ARBITRAGES!E281)</f>
        <v/>
      </c>
      <c r="B281" s="424"/>
      <c r="C281" s="424"/>
      <c r="D281" s="425"/>
      <c r="E281" s="424"/>
      <c r="F281" s="424"/>
      <c r="G281" s="425"/>
      <c r="H281" s="425"/>
      <c r="I281" s="426"/>
      <c r="J281" s="427"/>
      <c r="K281" s="426"/>
      <c r="L281" s="426"/>
      <c r="M281" s="426"/>
      <c r="N281" s="428"/>
      <c r="O281" s="426"/>
      <c r="P281" s="426"/>
      <c r="Q281" s="429"/>
      <c r="R281" s="426"/>
      <c r="S281" s="426"/>
      <c r="T281" s="14" t="str">
        <f>IF(A281="","",ARBITRAGES!M281)</f>
        <v/>
      </c>
      <c r="U281" s="417" t="str">
        <f>IF(A281="","",B281*'QUANTITE DETENUES'!B281+'QUANTITE DETENUES'!C281*C281+'QUANTITE DETENUES'!D281*D281+E281*'QUANTITE DETENUES'!E281+'QUANTITE DETENUES'!F281*F281+G281*'QUANTITE DETENUES'!G281+'QUANTITE DETENUES'!H281*H281+I281*'QUANTITE DETENUES'!I281+'QUANTITE DETENUES'!J281*J281+K281*'QUANTITE DETENUES'!K281+'QUANTITE DETENUES'!L281*L281+M281*'QUANTITE DETENUES'!M281+'QUANTITE DETENUES'!N281*N281+O281*'QUANTITE DETENUES'!O281+T281+P281*'QUANTITE DETENUES'!P281+'QUANTITE DETENUES'!Q281*Q281+R281*'QUANTITE DETENUES'!R281+'QUANTITE DETENUES'!S281*S281)</f>
        <v/>
      </c>
      <c r="V281" s="288"/>
      <c r="W281" s="220"/>
      <c r="X281" s="220"/>
      <c r="Y281" s="220"/>
      <c r="Z281" s="220"/>
      <c r="AA281" s="220"/>
      <c r="AB281" s="220"/>
      <c r="AC281" s="220"/>
      <c r="AD281" s="220"/>
      <c r="AE281" s="220"/>
      <c r="AF281" s="220"/>
      <c r="AG281" s="308"/>
      <c r="AH281" s="220"/>
      <c r="AI281" s="220"/>
      <c r="AJ281" s="220"/>
      <c r="AK281" s="220"/>
      <c r="AL281" s="220"/>
      <c r="AM281" s="220"/>
    </row>
    <row r="282">
      <c r="A282" s="409" t="str">
        <f>IF(ARBITRAGES!E282="","",ARBITRAGES!E282)</f>
        <v/>
      </c>
      <c r="B282" s="424"/>
      <c r="C282" s="424"/>
      <c r="D282" s="425"/>
      <c r="E282" s="424"/>
      <c r="F282" s="424"/>
      <c r="G282" s="425"/>
      <c r="H282" s="425"/>
      <c r="I282" s="426"/>
      <c r="J282" s="427"/>
      <c r="K282" s="426"/>
      <c r="L282" s="426"/>
      <c r="M282" s="426"/>
      <c r="N282" s="428"/>
      <c r="O282" s="426"/>
      <c r="P282" s="426"/>
      <c r="Q282" s="429"/>
      <c r="R282" s="426"/>
      <c r="S282" s="426"/>
      <c r="T282" s="14" t="str">
        <f>IF(A282="","",ARBITRAGES!M282)</f>
        <v/>
      </c>
      <c r="U282" s="417" t="str">
        <f>IF(A282="","",B282*'QUANTITE DETENUES'!B282+'QUANTITE DETENUES'!C282*C282+'QUANTITE DETENUES'!D282*D282+E282*'QUANTITE DETENUES'!E282+'QUANTITE DETENUES'!F282*F282+G282*'QUANTITE DETENUES'!G282+'QUANTITE DETENUES'!H282*H282+I282*'QUANTITE DETENUES'!I282+'QUANTITE DETENUES'!J282*J282+K282*'QUANTITE DETENUES'!K282+'QUANTITE DETENUES'!L282*L282+M282*'QUANTITE DETENUES'!M282+'QUANTITE DETENUES'!N282*N282+O282*'QUANTITE DETENUES'!O282+T282+P282*'QUANTITE DETENUES'!P282+'QUANTITE DETENUES'!Q282*Q282+R282*'QUANTITE DETENUES'!R282+'QUANTITE DETENUES'!S282*S282)</f>
        <v/>
      </c>
      <c r="V282" s="288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308"/>
      <c r="AH282" s="220"/>
      <c r="AI282" s="220"/>
      <c r="AJ282" s="220"/>
      <c r="AK282" s="220"/>
      <c r="AL282" s="220"/>
      <c r="AM282" s="220"/>
    </row>
    <row r="283">
      <c r="A283" s="409" t="str">
        <f>IF(ARBITRAGES!E283="","",ARBITRAGES!E283)</f>
        <v/>
      </c>
      <c r="B283" s="424"/>
      <c r="C283" s="424"/>
      <c r="D283" s="425"/>
      <c r="E283" s="424"/>
      <c r="F283" s="424"/>
      <c r="G283" s="425"/>
      <c r="H283" s="425"/>
      <c r="I283" s="426"/>
      <c r="J283" s="427"/>
      <c r="K283" s="426"/>
      <c r="L283" s="426"/>
      <c r="M283" s="426"/>
      <c r="N283" s="428"/>
      <c r="O283" s="426"/>
      <c r="P283" s="426"/>
      <c r="Q283" s="429"/>
      <c r="R283" s="426"/>
      <c r="S283" s="426"/>
      <c r="T283" s="14" t="str">
        <f>IF(A283="","",ARBITRAGES!M283)</f>
        <v/>
      </c>
      <c r="U283" s="417" t="str">
        <f>IF(A283="","",B283*'QUANTITE DETENUES'!B283+'QUANTITE DETENUES'!C283*C283+'QUANTITE DETENUES'!D283*D283+E283*'QUANTITE DETENUES'!E283+'QUANTITE DETENUES'!F283*F283+G283*'QUANTITE DETENUES'!G283+'QUANTITE DETENUES'!H283*H283+I283*'QUANTITE DETENUES'!I283+'QUANTITE DETENUES'!J283*J283+K283*'QUANTITE DETENUES'!K283+'QUANTITE DETENUES'!L283*L283+M283*'QUANTITE DETENUES'!M283+'QUANTITE DETENUES'!N283*N283+O283*'QUANTITE DETENUES'!O283+T283+P283*'QUANTITE DETENUES'!P283+'QUANTITE DETENUES'!Q283*Q283+R283*'QUANTITE DETENUES'!R283+'QUANTITE DETENUES'!S283*S283)</f>
        <v/>
      </c>
      <c r="V283" s="288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308"/>
      <c r="AH283" s="220"/>
      <c r="AI283" s="220"/>
      <c r="AJ283" s="220"/>
      <c r="AK283" s="220"/>
      <c r="AL283" s="220"/>
      <c r="AM283" s="220"/>
    </row>
    <row r="284">
      <c r="A284" s="409" t="str">
        <f>IF(ARBITRAGES!E284="","",ARBITRAGES!E284)</f>
        <v/>
      </c>
      <c r="B284" s="424"/>
      <c r="C284" s="424"/>
      <c r="D284" s="425"/>
      <c r="E284" s="424"/>
      <c r="F284" s="424"/>
      <c r="G284" s="425"/>
      <c r="H284" s="425"/>
      <c r="I284" s="426"/>
      <c r="J284" s="427"/>
      <c r="K284" s="426"/>
      <c r="L284" s="426"/>
      <c r="M284" s="426"/>
      <c r="N284" s="428"/>
      <c r="O284" s="426"/>
      <c r="P284" s="426"/>
      <c r="Q284" s="429"/>
      <c r="R284" s="426"/>
      <c r="S284" s="426"/>
      <c r="T284" s="14" t="str">
        <f>IF(A284="","",ARBITRAGES!M284)</f>
        <v/>
      </c>
      <c r="U284" s="417" t="str">
        <f>IF(A284="","",B284*'QUANTITE DETENUES'!B284+'QUANTITE DETENUES'!C284*C284+'QUANTITE DETENUES'!D284*D284+E284*'QUANTITE DETENUES'!E284+'QUANTITE DETENUES'!F284*F284+G284*'QUANTITE DETENUES'!G284+'QUANTITE DETENUES'!H284*H284+I284*'QUANTITE DETENUES'!I284+'QUANTITE DETENUES'!J284*J284+K284*'QUANTITE DETENUES'!K284+'QUANTITE DETENUES'!L284*L284+M284*'QUANTITE DETENUES'!M284+'QUANTITE DETENUES'!N284*N284+O284*'QUANTITE DETENUES'!O284+T284+P284*'QUANTITE DETENUES'!P284+'QUANTITE DETENUES'!Q284*Q284+R284*'QUANTITE DETENUES'!R284+'QUANTITE DETENUES'!S284*S284)</f>
        <v/>
      </c>
      <c r="V284" s="288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308"/>
      <c r="AH284" s="220"/>
      <c r="AI284" s="220"/>
      <c r="AJ284" s="220"/>
      <c r="AK284" s="220"/>
      <c r="AL284" s="220"/>
      <c r="AM284" s="220"/>
    </row>
    <row r="285">
      <c r="A285" s="409" t="str">
        <f>IF(ARBITRAGES!E285="","",ARBITRAGES!E285)</f>
        <v/>
      </c>
      <c r="B285" s="424"/>
      <c r="C285" s="424"/>
      <c r="D285" s="425"/>
      <c r="E285" s="424"/>
      <c r="F285" s="424"/>
      <c r="G285" s="425"/>
      <c r="H285" s="425"/>
      <c r="I285" s="426"/>
      <c r="J285" s="427"/>
      <c r="K285" s="426"/>
      <c r="L285" s="426"/>
      <c r="M285" s="426"/>
      <c r="N285" s="428"/>
      <c r="O285" s="426"/>
      <c r="P285" s="426"/>
      <c r="Q285" s="429"/>
      <c r="R285" s="426"/>
      <c r="S285" s="426"/>
      <c r="T285" s="14" t="str">
        <f>IF(A285="","",ARBITRAGES!M285)</f>
        <v/>
      </c>
      <c r="U285" s="417" t="str">
        <f>IF(A285="","",B285*'QUANTITE DETENUES'!B285+'QUANTITE DETENUES'!C285*C285+'QUANTITE DETENUES'!D285*D285+E285*'QUANTITE DETENUES'!E285+'QUANTITE DETENUES'!F285*F285+G285*'QUANTITE DETENUES'!G285+'QUANTITE DETENUES'!H285*H285+I285*'QUANTITE DETENUES'!I285+'QUANTITE DETENUES'!J285*J285+K285*'QUANTITE DETENUES'!K285+'QUANTITE DETENUES'!L285*L285+M285*'QUANTITE DETENUES'!M285+'QUANTITE DETENUES'!N285*N285+O285*'QUANTITE DETENUES'!O285+T285+P285*'QUANTITE DETENUES'!P285+'QUANTITE DETENUES'!Q285*Q285+R285*'QUANTITE DETENUES'!R285+'QUANTITE DETENUES'!S285*S285)</f>
        <v/>
      </c>
      <c r="V285" s="288"/>
      <c r="W285" s="220"/>
      <c r="X285" s="220"/>
      <c r="Y285" s="220"/>
      <c r="Z285" s="220"/>
      <c r="AA285" s="220"/>
      <c r="AB285" s="220"/>
      <c r="AC285" s="220"/>
      <c r="AD285" s="220"/>
      <c r="AE285" s="220"/>
      <c r="AF285" s="220"/>
      <c r="AG285" s="308"/>
      <c r="AH285" s="220"/>
      <c r="AI285" s="220"/>
      <c r="AJ285" s="220"/>
      <c r="AK285" s="220"/>
      <c r="AL285" s="220"/>
      <c r="AM285" s="220"/>
    </row>
    <row r="286">
      <c r="A286" s="409" t="str">
        <f>IF(ARBITRAGES!E286="","",ARBITRAGES!E286)</f>
        <v/>
      </c>
      <c r="B286" s="424"/>
      <c r="C286" s="424"/>
      <c r="D286" s="425"/>
      <c r="E286" s="424"/>
      <c r="F286" s="424"/>
      <c r="G286" s="425"/>
      <c r="H286" s="425"/>
      <c r="I286" s="426"/>
      <c r="J286" s="427"/>
      <c r="K286" s="426"/>
      <c r="L286" s="426"/>
      <c r="M286" s="426"/>
      <c r="N286" s="428"/>
      <c r="O286" s="426"/>
      <c r="P286" s="426"/>
      <c r="Q286" s="429"/>
      <c r="R286" s="426"/>
      <c r="S286" s="426"/>
      <c r="T286" s="14" t="str">
        <f>IF(A286="","",ARBITRAGES!M286)</f>
        <v/>
      </c>
      <c r="U286" s="417" t="str">
        <f>IF(A286="","",B286*'QUANTITE DETENUES'!B286+'QUANTITE DETENUES'!C286*C286+'QUANTITE DETENUES'!D286*D286+E286*'QUANTITE DETENUES'!E286+'QUANTITE DETENUES'!F286*F286+G286*'QUANTITE DETENUES'!G286+'QUANTITE DETENUES'!H286*H286+I286*'QUANTITE DETENUES'!I286+'QUANTITE DETENUES'!J286*J286+K286*'QUANTITE DETENUES'!K286+'QUANTITE DETENUES'!L286*L286+M286*'QUANTITE DETENUES'!M286+'QUANTITE DETENUES'!N286*N286+O286*'QUANTITE DETENUES'!O286+T286+P286*'QUANTITE DETENUES'!P286+'QUANTITE DETENUES'!Q286*Q286+R286*'QUANTITE DETENUES'!R286+'QUANTITE DETENUES'!S286*S286)</f>
        <v/>
      </c>
      <c r="V286" s="288"/>
      <c r="W286" s="220"/>
      <c r="X286" s="220"/>
      <c r="Y286" s="220"/>
      <c r="Z286" s="220"/>
      <c r="AA286" s="220"/>
      <c r="AB286" s="220"/>
      <c r="AC286" s="220"/>
      <c r="AD286" s="220"/>
      <c r="AE286" s="220"/>
      <c r="AF286" s="220"/>
      <c r="AG286" s="308"/>
      <c r="AH286" s="220"/>
      <c r="AI286" s="220"/>
      <c r="AJ286" s="220"/>
      <c r="AK286" s="220"/>
      <c r="AL286" s="220"/>
      <c r="AM286" s="220"/>
    </row>
    <row r="287">
      <c r="A287" s="409" t="str">
        <f>IF(ARBITRAGES!E287="","",ARBITRAGES!E287)</f>
        <v/>
      </c>
      <c r="B287" s="424"/>
      <c r="C287" s="424"/>
      <c r="D287" s="425"/>
      <c r="E287" s="424"/>
      <c r="F287" s="424"/>
      <c r="G287" s="425"/>
      <c r="H287" s="425"/>
      <c r="I287" s="426"/>
      <c r="J287" s="427"/>
      <c r="K287" s="426"/>
      <c r="L287" s="426"/>
      <c r="M287" s="426"/>
      <c r="N287" s="428"/>
      <c r="O287" s="426"/>
      <c r="P287" s="426"/>
      <c r="Q287" s="429"/>
      <c r="R287" s="426"/>
      <c r="S287" s="426"/>
      <c r="T287" s="14" t="str">
        <f>IF(A287="","",ARBITRAGES!M287)</f>
        <v/>
      </c>
      <c r="U287" s="417" t="str">
        <f>IF(A287="","",B287*'QUANTITE DETENUES'!B287+'QUANTITE DETENUES'!C287*C287+'QUANTITE DETENUES'!D287*D287+E287*'QUANTITE DETENUES'!E287+'QUANTITE DETENUES'!F287*F287+G287*'QUANTITE DETENUES'!G287+'QUANTITE DETENUES'!H287*H287+I287*'QUANTITE DETENUES'!I287+'QUANTITE DETENUES'!J287*J287+K287*'QUANTITE DETENUES'!K287+'QUANTITE DETENUES'!L287*L287+M287*'QUANTITE DETENUES'!M287+'QUANTITE DETENUES'!N287*N287+O287*'QUANTITE DETENUES'!O287+T287+P287*'QUANTITE DETENUES'!P287+'QUANTITE DETENUES'!Q287*Q287+R287*'QUANTITE DETENUES'!R287+'QUANTITE DETENUES'!S287*S287)</f>
        <v/>
      </c>
      <c r="V287" s="288"/>
      <c r="W287" s="220"/>
      <c r="X287" s="220"/>
      <c r="Y287" s="220"/>
      <c r="Z287" s="220"/>
      <c r="AA287" s="220"/>
      <c r="AB287" s="220"/>
      <c r="AC287" s="220"/>
      <c r="AD287" s="220"/>
      <c r="AE287" s="220"/>
      <c r="AF287" s="220"/>
      <c r="AG287" s="308"/>
      <c r="AH287" s="220"/>
      <c r="AI287" s="220"/>
      <c r="AJ287" s="220"/>
      <c r="AK287" s="220"/>
      <c r="AL287" s="220"/>
      <c r="AM287" s="220"/>
    </row>
    <row r="288">
      <c r="A288" s="409" t="str">
        <f>IF(ARBITRAGES!E288="","",ARBITRAGES!E288)</f>
        <v/>
      </c>
      <c r="B288" s="424"/>
      <c r="C288" s="424"/>
      <c r="D288" s="425"/>
      <c r="E288" s="424"/>
      <c r="F288" s="424"/>
      <c r="G288" s="425"/>
      <c r="H288" s="425"/>
      <c r="I288" s="426"/>
      <c r="J288" s="427"/>
      <c r="K288" s="426"/>
      <c r="L288" s="426"/>
      <c r="M288" s="426"/>
      <c r="N288" s="428"/>
      <c r="O288" s="426"/>
      <c r="P288" s="426"/>
      <c r="Q288" s="429"/>
      <c r="R288" s="426"/>
      <c r="S288" s="426"/>
      <c r="T288" s="14" t="str">
        <f>IF(A288="","",ARBITRAGES!M288)</f>
        <v/>
      </c>
      <c r="U288" s="417" t="str">
        <f>IF(A288="","",B288*'QUANTITE DETENUES'!B288+'QUANTITE DETENUES'!C288*C288+'QUANTITE DETENUES'!D288*D288+E288*'QUANTITE DETENUES'!E288+'QUANTITE DETENUES'!F288*F288+G288*'QUANTITE DETENUES'!G288+'QUANTITE DETENUES'!H288*H288+I288*'QUANTITE DETENUES'!I288+'QUANTITE DETENUES'!J288*J288+K288*'QUANTITE DETENUES'!K288+'QUANTITE DETENUES'!L288*L288+M288*'QUANTITE DETENUES'!M288+'QUANTITE DETENUES'!N288*N288+O288*'QUANTITE DETENUES'!O288+T288+P288*'QUANTITE DETENUES'!P288+'QUANTITE DETENUES'!Q288*Q288+R288*'QUANTITE DETENUES'!R288+'QUANTITE DETENUES'!S288*S288)</f>
        <v/>
      </c>
      <c r="V288" s="288"/>
      <c r="W288" s="220"/>
      <c r="X288" s="220"/>
      <c r="Y288" s="220"/>
      <c r="Z288" s="220"/>
      <c r="AA288" s="220"/>
      <c r="AB288" s="220"/>
      <c r="AC288" s="220"/>
      <c r="AD288" s="220"/>
      <c r="AE288" s="220"/>
      <c r="AF288" s="220"/>
      <c r="AG288" s="308"/>
      <c r="AH288" s="220"/>
      <c r="AI288" s="220"/>
      <c r="AJ288" s="220"/>
      <c r="AK288" s="220"/>
      <c r="AL288" s="220"/>
      <c r="AM288" s="220"/>
    </row>
    <row r="289">
      <c r="A289" s="409" t="str">
        <f>IF(ARBITRAGES!E289="","",ARBITRAGES!E289)</f>
        <v/>
      </c>
      <c r="B289" s="424"/>
      <c r="C289" s="424"/>
      <c r="D289" s="425"/>
      <c r="E289" s="424"/>
      <c r="F289" s="424"/>
      <c r="G289" s="425"/>
      <c r="H289" s="425"/>
      <c r="I289" s="426"/>
      <c r="J289" s="427"/>
      <c r="K289" s="426"/>
      <c r="L289" s="426"/>
      <c r="M289" s="426"/>
      <c r="N289" s="428"/>
      <c r="O289" s="426"/>
      <c r="P289" s="426"/>
      <c r="Q289" s="429"/>
      <c r="R289" s="426"/>
      <c r="S289" s="426"/>
      <c r="T289" s="14" t="str">
        <f>IF(A289="","",ARBITRAGES!M289)</f>
        <v/>
      </c>
      <c r="U289" s="417" t="str">
        <f>IF(A289="","",B289*'QUANTITE DETENUES'!B289+'QUANTITE DETENUES'!C289*C289+'QUANTITE DETENUES'!D289*D289+E289*'QUANTITE DETENUES'!E289+'QUANTITE DETENUES'!F289*F289+G289*'QUANTITE DETENUES'!G289+'QUANTITE DETENUES'!H289*H289+I289*'QUANTITE DETENUES'!I289+'QUANTITE DETENUES'!J289*J289+K289*'QUANTITE DETENUES'!K289+'QUANTITE DETENUES'!L289*L289+M289*'QUANTITE DETENUES'!M289+'QUANTITE DETENUES'!N289*N289+O289*'QUANTITE DETENUES'!O289+T289+P289*'QUANTITE DETENUES'!P289+'QUANTITE DETENUES'!Q289*Q289+R289*'QUANTITE DETENUES'!R289+'QUANTITE DETENUES'!S289*S289)</f>
        <v/>
      </c>
      <c r="V289" s="288"/>
      <c r="W289" s="220"/>
      <c r="X289" s="220"/>
      <c r="Y289" s="220"/>
      <c r="Z289" s="220"/>
      <c r="AA289" s="220"/>
      <c r="AB289" s="220"/>
      <c r="AC289" s="220"/>
      <c r="AD289" s="220"/>
      <c r="AE289" s="220"/>
      <c r="AF289" s="220"/>
      <c r="AG289" s="308"/>
      <c r="AH289" s="220"/>
      <c r="AI289" s="220"/>
      <c r="AJ289" s="220"/>
      <c r="AK289" s="220"/>
      <c r="AL289" s="220"/>
      <c r="AM289" s="220"/>
    </row>
    <row r="290">
      <c r="A290" s="409" t="str">
        <f>IF(ARBITRAGES!E290="","",ARBITRAGES!E290)</f>
        <v/>
      </c>
      <c r="B290" s="424"/>
      <c r="C290" s="424"/>
      <c r="D290" s="425"/>
      <c r="E290" s="424"/>
      <c r="F290" s="424"/>
      <c r="G290" s="425"/>
      <c r="H290" s="425"/>
      <c r="I290" s="426"/>
      <c r="J290" s="427"/>
      <c r="K290" s="426"/>
      <c r="L290" s="426"/>
      <c r="M290" s="426"/>
      <c r="N290" s="428"/>
      <c r="O290" s="426"/>
      <c r="P290" s="426"/>
      <c r="Q290" s="429"/>
      <c r="R290" s="426"/>
      <c r="S290" s="426"/>
      <c r="T290" s="14" t="str">
        <f>IF(A290="","",ARBITRAGES!M290)</f>
        <v/>
      </c>
      <c r="U290" s="417" t="str">
        <f>IF(A290="","",B290*'QUANTITE DETENUES'!B290+'QUANTITE DETENUES'!C290*C290+'QUANTITE DETENUES'!D290*D290+E290*'QUANTITE DETENUES'!E290+'QUANTITE DETENUES'!F290*F290+G290*'QUANTITE DETENUES'!G290+'QUANTITE DETENUES'!H290*H290+I290*'QUANTITE DETENUES'!I290+'QUANTITE DETENUES'!J290*J290+K290*'QUANTITE DETENUES'!K290+'QUANTITE DETENUES'!L290*L290+M290*'QUANTITE DETENUES'!M290+'QUANTITE DETENUES'!N290*N290+O290*'QUANTITE DETENUES'!O290+T290+P290*'QUANTITE DETENUES'!P290+'QUANTITE DETENUES'!Q290*Q290+R290*'QUANTITE DETENUES'!R290+'QUANTITE DETENUES'!S290*S290)</f>
        <v/>
      </c>
      <c r="V290" s="288"/>
      <c r="W290" s="220"/>
      <c r="X290" s="220"/>
      <c r="Y290" s="220"/>
      <c r="Z290" s="220"/>
      <c r="AA290" s="220"/>
      <c r="AB290" s="220"/>
      <c r="AC290" s="220"/>
      <c r="AD290" s="220"/>
      <c r="AE290" s="220"/>
      <c r="AF290" s="220"/>
      <c r="AG290" s="308"/>
      <c r="AH290" s="220"/>
      <c r="AI290" s="220"/>
      <c r="AJ290" s="220"/>
      <c r="AK290" s="220"/>
      <c r="AL290" s="220"/>
      <c r="AM290" s="220"/>
    </row>
    <row r="291">
      <c r="A291" s="409" t="str">
        <f>IF(ARBITRAGES!E291="","",ARBITRAGES!E291)</f>
        <v/>
      </c>
      <c r="B291" s="424"/>
      <c r="C291" s="424"/>
      <c r="D291" s="425"/>
      <c r="E291" s="424"/>
      <c r="F291" s="424"/>
      <c r="G291" s="425"/>
      <c r="H291" s="425"/>
      <c r="I291" s="426"/>
      <c r="J291" s="427"/>
      <c r="K291" s="426"/>
      <c r="L291" s="426"/>
      <c r="M291" s="426"/>
      <c r="N291" s="428"/>
      <c r="O291" s="426"/>
      <c r="P291" s="426"/>
      <c r="Q291" s="429"/>
      <c r="R291" s="426"/>
      <c r="S291" s="426"/>
      <c r="T291" s="14" t="str">
        <f>IF(A291="","",ARBITRAGES!M291)</f>
        <v/>
      </c>
      <c r="U291" s="417" t="str">
        <f>IF(A291="","",B291*'QUANTITE DETENUES'!B291+'QUANTITE DETENUES'!C291*C291+'QUANTITE DETENUES'!D291*D291+E291*'QUANTITE DETENUES'!E291+'QUANTITE DETENUES'!F291*F291+G291*'QUANTITE DETENUES'!G291+'QUANTITE DETENUES'!H291*H291+I291*'QUANTITE DETENUES'!I291+'QUANTITE DETENUES'!J291*J291+K291*'QUANTITE DETENUES'!K291+'QUANTITE DETENUES'!L291*L291+M291*'QUANTITE DETENUES'!M291+'QUANTITE DETENUES'!N291*N291+O291*'QUANTITE DETENUES'!O291+T291+P291*'QUANTITE DETENUES'!P291+'QUANTITE DETENUES'!Q291*Q291+R291*'QUANTITE DETENUES'!R291+'QUANTITE DETENUES'!S291*S291)</f>
        <v/>
      </c>
      <c r="V291" s="288"/>
      <c r="W291" s="220"/>
      <c r="X291" s="220"/>
      <c r="Y291" s="220"/>
      <c r="Z291" s="220"/>
      <c r="AA291" s="220"/>
      <c r="AB291" s="220"/>
      <c r="AC291" s="220"/>
      <c r="AD291" s="220"/>
      <c r="AE291" s="220"/>
      <c r="AF291" s="220"/>
      <c r="AG291" s="308"/>
      <c r="AH291" s="220"/>
      <c r="AI291" s="220"/>
      <c r="AJ291" s="220"/>
      <c r="AK291" s="220"/>
      <c r="AL291" s="220"/>
      <c r="AM291" s="220"/>
    </row>
    <row r="292">
      <c r="A292" s="409" t="str">
        <f>IF(ARBITRAGES!E292="","",ARBITRAGES!E292)</f>
        <v/>
      </c>
      <c r="B292" s="424"/>
      <c r="C292" s="424"/>
      <c r="D292" s="425"/>
      <c r="E292" s="424"/>
      <c r="F292" s="424"/>
      <c r="G292" s="425"/>
      <c r="H292" s="425"/>
      <c r="I292" s="426"/>
      <c r="J292" s="427"/>
      <c r="K292" s="426"/>
      <c r="L292" s="426"/>
      <c r="M292" s="426"/>
      <c r="N292" s="428"/>
      <c r="O292" s="426"/>
      <c r="P292" s="426"/>
      <c r="Q292" s="429"/>
      <c r="R292" s="426"/>
      <c r="S292" s="426"/>
      <c r="T292" s="14" t="str">
        <f>IF(A292="","",ARBITRAGES!M292)</f>
        <v/>
      </c>
      <c r="U292" s="417" t="str">
        <f>IF(A292="","",B292*'QUANTITE DETENUES'!B292+'QUANTITE DETENUES'!C292*C292+'QUANTITE DETENUES'!D292*D292+E292*'QUANTITE DETENUES'!E292+'QUANTITE DETENUES'!F292*F292+G292*'QUANTITE DETENUES'!G292+'QUANTITE DETENUES'!H292*H292+I292*'QUANTITE DETENUES'!I292+'QUANTITE DETENUES'!J292*J292+K292*'QUANTITE DETENUES'!K292+'QUANTITE DETENUES'!L292*L292+M292*'QUANTITE DETENUES'!M292+'QUANTITE DETENUES'!N292*N292+O292*'QUANTITE DETENUES'!O292+T292+P292*'QUANTITE DETENUES'!P292+'QUANTITE DETENUES'!Q292*Q292+R292*'QUANTITE DETENUES'!R292+'QUANTITE DETENUES'!S292*S292)</f>
        <v/>
      </c>
      <c r="V292" s="288"/>
      <c r="W292" s="220"/>
      <c r="X292" s="220"/>
      <c r="Y292" s="220"/>
      <c r="Z292" s="220"/>
      <c r="AA292" s="220"/>
      <c r="AB292" s="220"/>
      <c r="AC292" s="220"/>
      <c r="AD292" s="220"/>
      <c r="AE292" s="220"/>
      <c r="AF292" s="220"/>
      <c r="AG292" s="308"/>
      <c r="AH292" s="220"/>
      <c r="AI292" s="220"/>
      <c r="AJ292" s="220"/>
      <c r="AK292" s="220"/>
      <c r="AL292" s="220"/>
      <c r="AM292" s="220"/>
    </row>
    <row r="293">
      <c r="A293" s="409" t="str">
        <f>IF(ARBITRAGES!E293="","",ARBITRAGES!E293)</f>
        <v/>
      </c>
      <c r="B293" s="424"/>
      <c r="C293" s="424"/>
      <c r="D293" s="425"/>
      <c r="E293" s="424"/>
      <c r="F293" s="424"/>
      <c r="G293" s="425"/>
      <c r="H293" s="425"/>
      <c r="I293" s="426"/>
      <c r="J293" s="427"/>
      <c r="K293" s="426"/>
      <c r="L293" s="426"/>
      <c r="M293" s="426"/>
      <c r="N293" s="428"/>
      <c r="O293" s="426"/>
      <c r="P293" s="426"/>
      <c r="Q293" s="429"/>
      <c r="R293" s="426"/>
      <c r="S293" s="426"/>
      <c r="T293" s="14" t="str">
        <f>IF(A293="","",ARBITRAGES!M293)</f>
        <v/>
      </c>
      <c r="U293" s="417" t="str">
        <f>IF(A293="","",B293*'QUANTITE DETENUES'!B293+'QUANTITE DETENUES'!C293*C293+'QUANTITE DETENUES'!D293*D293+E293*'QUANTITE DETENUES'!E293+'QUANTITE DETENUES'!F293*F293+G293*'QUANTITE DETENUES'!G293+'QUANTITE DETENUES'!H293*H293+I293*'QUANTITE DETENUES'!I293+'QUANTITE DETENUES'!J293*J293+K293*'QUANTITE DETENUES'!K293+'QUANTITE DETENUES'!L293*L293+M293*'QUANTITE DETENUES'!M293+'QUANTITE DETENUES'!N293*N293+O293*'QUANTITE DETENUES'!O293+T293+P293*'QUANTITE DETENUES'!P293+'QUANTITE DETENUES'!Q293*Q293+R293*'QUANTITE DETENUES'!R293+'QUANTITE DETENUES'!S293*S293)</f>
        <v/>
      </c>
      <c r="V293" s="288"/>
      <c r="W293" s="220"/>
      <c r="X293" s="220"/>
      <c r="Y293" s="220"/>
      <c r="Z293" s="220"/>
      <c r="AA293" s="220"/>
      <c r="AB293" s="220"/>
      <c r="AC293" s="220"/>
      <c r="AD293" s="220"/>
      <c r="AE293" s="220"/>
      <c r="AF293" s="220"/>
      <c r="AG293" s="308"/>
      <c r="AH293" s="220"/>
      <c r="AI293" s="220"/>
      <c r="AJ293" s="220"/>
      <c r="AK293" s="220"/>
      <c r="AL293" s="220"/>
      <c r="AM293" s="220"/>
    </row>
    <row r="294">
      <c r="A294" s="409" t="str">
        <f>IF(ARBITRAGES!E294="","",ARBITRAGES!E294)</f>
        <v/>
      </c>
      <c r="B294" s="424"/>
      <c r="C294" s="424"/>
      <c r="D294" s="425"/>
      <c r="E294" s="424"/>
      <c r="F294" s="424"/>
      <c r="G294" s="425"/>
      <c r="H294" s="425"/>
      <c r="I294" s="426"/>
      <c r="J294" s="427"/>
      <c r="K294" s="426"/>
      <c r="L294" s="426"/>
      <c r="M294" s="426"/>
      <c r="N294" s="428"/>
      <c r="O294" s="426"/>
      <c r="P294" s="426"/>
      <c r="Q294" s="429"/>
      <c r="R294" s="426"/>
      <c r="S294" s="426"/>
      <c r="T294" s="14" t="str">
        <f>IF(A294="","",ARBITRAGES!M294)</f>
        <v/>
      </c>
      <c r="U294" s="417" t="str">
        <f>IF(A294="","",B294*'QUANTITE DETENUES'!B294+'QUANTITE DETENUES'!C294*C294+'QUANTITE DETENUES'!D294*D294+E294*'QUANTITE DETENUES'!E294+'QUANTITE DETENUES'!F294*F294+G294*'QUANTITE DETENUES'!G294+'QUANTITE DETENUES'!H294*H294+I294*'QUANTITE DETENUES'!I294+'QUANTITE DETENUES'!J294*J294+K294*'QUANTITE DETENUES'!K294+'QUANTITE DETENUES'!L294*L294+M294*'QUANTITE DETENUES'!M294+'QUANTITE DETENUES'!N294*N294+O294*'QUANTITE DETENUES'!O294+T294+P294*'QUANTITE DETENUES'!P294+'QUANTITE DETENUES'!Q294*Q294+R294*'QUANTITE DETENUES'!R294+'QUANTITE DETENUES'!S294*S294)</f>
        <v/>
      </c>
      <c r="V294" s="288"/>
      <c r="W294" s="220"/>
      <c r="X294" s="220"/>
      <c r="Y294" s="220"/>
      <c r="Z294" s="220"/>
      <c r="AA294" s="220"/>
      <c r="AB294" s="220"/>
      <c r="AC294" s="220"/>
      <c r="AD294" s="220"/>
      <c r="AE294" s="220"/>
      <c r="AF294" s="220"/>
      <c r="AG294" s="308"/>
      <c r="AH294" s="220"/>
      <c r="AI294" s="220"/>
      <c r="AJ294" s="220"/>
      <c r="AK294" s="220"/>
      <c r="AL294" s="220"/>
      <c r="AM294" s="220"/>
    </row>
    <row r="295">
      <c r="A295" s="409" t="str">
        <f>IF(ARBITRAGES!E295="","",ARBITRAGES!E295)</f>
        <v/>
      </c>
      <c r="B295" s="424"/>
      <c r="C295" s="424"/>
      <c r="D295" s="425"/>
      <c r="E295" s="424"/>
      <c r="F295" s="424"/>
      <c r="G295" s="425"/>
      <c r="H295" s="425"/>
      <c r="I295" s="426"/>
      <c r="J295" s="427"/>
      <c r="K295" s="426"/>
      <c r="L295" s="426"/>
      <c r="M295" s="426"/>
      <c r="N295" s="428"/>
      <c r="O295" s="426"/>
      <c r="P295" s="426"/>
      <c r="Q295" s="429"/>
      <c r="R295" s="426"/>
      <c r="S295" s="426"/>
      <c r="T295" s="14" t="str">
        <f>IF(A295="","",ARBITRAGES!M295)</f>
        <v/>
      </c>
      <c r="U295" s="417" t="str">
        <f>IF(A295="","",B295*'QUANTITE DETENUES'!B295+'QUANTITE DETENUES'!C295*C295+'QUANTITE DETENUES'!D295*D295+E295*'QUANTITE DETENUES'!E295+'QUANTITE DETENUES'!F295*F295+G295*'QUANTITE DETENUES'!G295+'QUANTITE DETENUES'!H295*H295+I295*'QUANTITE DETENUES'!I295+'QUANTITE DETENUES'!J295*J295+K295*'QUANTITE DETENUES'!K295+'QUANTITE DETENUES'!L295*L295+M295*'QUANTITE DETENUES'!M295+'QUANTITE DETENUES'!N295*N295+O295*'QUANTITE DETENUES'!O295+T295+P295*'QUANTITE DETENUES'!P295+'QUANTITE DETENUES'!Q295*Q295+R295*'QUANTITE DETENUES'!R295+'QUANTITE DETENUES'!S295*S295)</f>
        <v/>
      </c>
      <c r="V295" s="288"/>
      <c r="W295" s="220"/>
      <c r="X295" s="220"/>
      <c r="Y295" s="220"/>
      <c r="Z295" s="220"/>
      <c r="AA295" s="220"/>
      <c r="AB295" s="220"/>
      <c r="AC295" s="220"/>
      <c r="AD295" s="220"/>
      <c r="AE295" s="220"/>
      <c r="AF295" s="220"/>
      <c r="AG295" s="308"/>
      <c r="AH295" s="220"/>
      <c r="AI295" s="220"/>
      <c r="AJ295" s="220"/>
      <c r="AK295" s="220"/>
      <c r="AL295" s="220"/>
      <c r="AM295" s="220"/>
    </row>
    <row r="296">
      <c r="A296" s="409" t="str">
        <f>IF(ARBITRAGES!E296="","",ARBITRAGES!E296)</f>
        <v/>
      </c>
      <c r="B296" s="424"/>
      <c r="C296" s="424"/>
      <c r="D296" s="425"/>
      <c r="E296" s="424"/>
      <c r="F296" s="424"/>
      <c r="G296" s="425"/>
      <c r="H296" s="425"/>
      <c r="I296" s="426"/>
      <c r="J296" s="427"/>
      <c r="K296" s="426"/>
      <c r="L296" s="426"/>
      <c r="M296" s="426"/>
      <c r="N296" s="428"/>
      <c r="O296" s="426"/>
      <c r="P296" s="426"/>
      <c r="Q296" s="429"/>
      <c r="R296" s="426"/>
      <c r="S296" s="426"/>
      <c r="T296" s="14" t="str">
        <f>IF(A296="","",ARBITRAGES!M296)</f>
        <v/>
      </c>
      <c r="U296" s="417" t="str">
        <f>IF(A296="","",B296*'QUANTITE DETENUES'!B296+'QUANTITE DETENUES'!C296*C296+'QUANTITE DETENUES'!D296*D296+E296*'QUANTITE DETENUES'!E296+'QUANTITE DETENUES'!F296*F296+G296*'QUANTITE DETENUES'!G296+'QUANTITE DETENUES'!H296*H296+I296*'QUANTITE DETENUES'!I296+'QUANTITE DETENUES'!J296*J296+K296*'QUANTITE DETENUES'!K296+'QUANTITE DETENUES'!L296*L296+M296*'QUANTITE DETENUES'!M296+'QUANTITE DETENUES'!N296*N296+O296*'QUANTITE DETENUES'!O296+T296+P296*'QUANTITE DETENUES'!P296+'QUANTITE DETENUES'!Q296*Q296+R296*'QUANTITE DETENUES'!R296+'QUANTITE DETENUES'!S296*S296)</f>
        <v/>
      </c>
      <c r="V296" s="288"/>
      <c r="W296" s="220"/>
      <c r="X296" s="220"/>
      <c r="Y296" s="220"/>
      <c r="Z296" s="220"/>
      <c r="AA296" s="220"/>
      <c r="AB296" s="220"/>
      <c r="AC296" s="220"/>
      <c r="AD296" s="220"/>
      <c r="AE296" s="220"/>
      <c r="AF296" s="220"/>
      <c r="AG296" s="308"/>
      <c r="AH296" s="220"/>
      <c r="AI296" s="220"/>
      <c r="AJ296" s="220"/>
      <c r="AK296" s="220"/>
      <c r="AL296" s="220"/>
      <c r="AM296" s="220"/>
    </row>
    <row r="297">
      <c r="A297" s="409" t="str">
        <f>IF(ARBITRAGES!E297="","",ARBITRAGES!E297)</f>
        <v/>
      </c>
      <c r="B297" s="424"/>
      <c r="C297" s="424"/>
      <c r="D297" s="425"/>
      <c r="E297" s="424"/>
      <c r="F297" s="424"/>
      <c r="G297" s="425"/>
      <c r="H297" s="425"/>
      <c r="I297" s="426"/>
      <c r="J297" s="427"/>
      <c r="K297" s="426"/>
      <c r="L297" s="426"/>
      <c r="M297" s="426"/>
      <c r="N297" s="428"/>
      <c r="O297" s="426"/>
      <c r="P297" s="426"/>
      <c r="Q297" s="429"/>
      <c r="R297" s="426"/>
      <c r="S297" s="426"/>
      <c r="T297" s="14" t="str">
        <f>IF(A297="","",ARBITRAGES!M297)</f>
        <v/>
      </c>
      <c r="U297" s="417" t="str">
        <f>IF(A297="","",B297*'QUANTITE DETENUES'!B297+'QUANTITE DETENUES'!C297*C297+'QUANTITE DETENUES'!D297*D297+E297*'QUANTITE DETENUES'!E297+'QUANTITE DETENUES'!F297*F297+G297*'QUANTITE DETENUES'!G297+'QUANTITE DETENUES'!H297*H297+I297*'QUANTITE DETENUES'!I297+'QUANTITE DETENUES'!J297*J297+K297*'QUANTITE DETENUES'!K297+'QUANTITE DETENUES'!L297*L297+M297*'QUANTITE DETENUES'!M297+'QUANTITE DETENUES'!N297*N297+O297*'QUANTITE DETENUES'!O297+T297+P297*'QUANTITE DETENUES'!P297+'QUANTITE DETENUES'!Q297*Q297+R297*'QUANTITE DETENUES'!R297+'QUANTITE DETENUES'!S297*S297)</f>
        <v/>
      </c>
      <c r="V297" s="288"/>
      <c r="W297" s="220"/>
      <c r="X297" s="220"/>
      <c r="Y297" s="220"/>
      <c r="Z297" s="220"/>
      <c r="AA297" s="220"/>
      <c r="AB297" s="220"/>
      <c r="AC297" s="220"/>
      <c r="AD297" s="220"/>
      <c r="AE297" s="220"/>
      <c r="AF297" s="220"/>
      <c r="AG297" s="308"/>
      <c r="AH297" s="220"/>
      <c r="AI297" s="220"/>
      <c r="AJ297" s="220"/>
      <c r="AK297" s="220"/>
      <c r="AL297" s="220"/>
      <c r="AM297" s="220"/>
    </row>
    <row r="298">
      <c r="A298" s="409" t="str">
        <f>IF(ARBITRAGES!E298="","",ARBITRAGES!E298)</f>
        <v/>
      </c>
      <c r="B298" s="424"/>
      <c r="C298" s="424"/>
      <c r="D298" s="425"/>
      <c r="E298" s="424"/>
      <c r="F298" s="424"/>
      <c r="G298" s="425"/>
      <c r="H298" s="425"/>
      <c r="I298" s="426"/>
      <c r="J298" s="427"/>
      <c r="K298" s="426"/>
      <c r="L298" s="426"/>
      <c r="M298" s="426"/>
      <c r="N298" s="428"/>
      <c r="O298" s="426"/>
      <c r="P298" s="426"/>
      <c r="Q298" s="429"/>
      <c r="R298" s="426"/>
      <c r="S298" s="426"/>
      <c r="T298" s="14" t="str">
        <f>IF(A298="","",ARBITRAGES!M298)</f>
        <v/>
      </c>
      <c r="U298" s="417" t="str">
        <f>IF(A298="","",B298*'QUANTITE DETENUES'!B298+'QUANTITE DETENUES'!C298*C298+'QUANTITE DETENUES'!D298*D298+E298*'QUANTITE DETENUES'!E298+'QUANTITE DETENUES'!F298*F298+G298*'QUANTITE DETENUES'!G298+'QUANTITE DETENUES'!H298*H298+I298*'QUANTITE DETENUES'!I298+'QUANTITE DETENUES'!J298*J298+K298*'QUANTITE DETENUES'!K298+'QUANTITE DETENUES'!L298*L298+M298*'QUANTITE DETENUES'!M298+'QUANTITE DETENUES'!N298*N298+O298*'QUANTITE DETENUES'!O298+T298+P298*'QUANTITE DETENUES'!P298+'QUANTITE DETENUES'!Q298*Q298+R298*'QUANTITE DETENUES'!R298+'QUANTITE DETENUES'!S298*S298)</f>
        <v/>
      </c>
      <c r="V298" s="288"/>
      <c r="W298" s="220"/>
      <c r="X298" s="220"/>
      <c r="Y298" s="220"/>
      <c r="Z298" s="220"/>
      <c r="AA298" s="220"/>
      <c r="AB298" s="220"/>
      <c r="AC298" s="220"/>
      <c r="AD298" s="220"/>
      <c r="AE298" s="220"/>
      <c r="AF298" s="220"/>
      <c r="AG298" s="308"/>
      <c r="AH298" s="220"/>
      <c r="AI298" s="220"/>
      <c r="AJ298" s="220"/>
      <c r="AK298" s="220"/>
      <c r="AL298" s="220"/>
      <c r="AM298" s="220"/>
    </row>
    <row r="299">
      <c r="A299" s="409" t="str">
        <f>IF(ARBITRAGES!E299="","",ARBITRAGES!E299)</f>
        <v/>
      </c>
      <c r="B299" s="424"/>
      <c r="C299" s="424"/>
      <c r="D299" s="425"/>
      <c r="E299" s="424"/>
      <c r="F299" s="424"/>
      <c r="G299" s="425"/>
      <c r="H299" s="425"/>
      <c r="I299" s="426"/>
      <c r="J299" s="427"/>
      <c r="K299" s="426"/>
      <c r="L299" s="426"/>
      <c r="M299" s="426"/>
      <c r="N299" s="428"/>
      <c r="O299" s="426"/>
      <c r="P299" s="426"/>
      <c r="Q299" s="429"/>
      <c r="R299" s="426"/>
      <c r="S299" s="426"/>
      <c r="T299" s="14" t="str">
        <f>IF(A299="","",ARBITRAGES!M299)</f>
        <v/>
      </c>
      <c r="U299" s="417" t="str">
        <f>IF(A299="","",B299*'QUANTITE DETENUES'!B299+'QUANTITE DETENUES'!C299*C299+'QUANTITE DETENUES'!D299*D299+E299*'QUANTITE DETENUES'!E299+'QUANTITE DETENUES'!F299*F299+G299*'QUANTITE DETENUES'!G299+'QUANTITE DETENUES'!H299*H299+I299*'QUANTITE DETENUES'!I299+'QUANTITE DETENUES'!J299*J299+K299*'QUANTITE DETENUES'!K299+'QUANTITE DETENUES'!L299*L299+M299*'QUANTITE DETENUES'!M299+'QUANTITE DETENUES'!N299*N299+O299*'QUANTITE DETENUES'!O299+T299+P299*'QUANTITE DETENUES'!P299+'QUANTITE DETENUES'!Q299*Q299+R299*'QUANTITE DETENUES'!R299+'QUANTITE DETENUES'!S299*S299)</f>
        <v/>
      </c>
      <c r="V299" s="288"/>
      <c r="W299" s="220"/>
      <c r="X299" s="220"/>
      <c r="Y299" s="220"/>
      <c r="Z299" s="220"/>
      <c r="AA299" s="220"/>
      <c r="AB299" s="220"/>
      <c r="AC299" s="220"/>
      <c r="AD299" s="220"/>
      <c r="AE299" s="220"/>
      <c r="AF299" s="220"/>
      <c r="AG299" s="308"/>
      <c r="AH299" s="220"/>
      <c r="AI299" s="220"/>
      <c r="AJ299" s="220"/>
      <c r="AK299" s="220"/>
      <c r="AL299" s="220"/>
      <c r="AM299" s="220"/>
    </row>
    <row r="300">
      <c r="A300" s="409" t="str">
        <f>IF(ARBITRAGES!E300="","",ARBITRAGES!E300)</f>
        <v/>
      </c>
      <c r="B300" s="424"/>
      <c r="C300" s="424"/>
      <c r="D300" s="425"/>
      <c r="E300" s="424"/>
      <c r="F300" s="424"/>
      <c r="G300" s="425"/>
      <c r="H300" s="425"/>
      <c r="I300" s="426"/>
      <c r="J300" s="427"/>
      <c r="K300" s="426"/>
      <c r="L300" s="426"/>
      <c r="M300" s="426"/>
      <c r="N300" s="428"/>
      <c r="O300" s="426"/>
      <c r="P300" s="426"/>
      <c r="Q300" s="429"/>
      <c r="R300" s="426"/>
      <c r="S300" s="426"/>
      <c r="T300" s="14" t="str">
        <f>IF(A300="","",ARBITRAGES!M300)</f>
        <v/>
      </c>
      <c r="U300" s="417" t="str">
        <f>IF(A300="","",B300*'QUANTITE DETENUES'!B300+'QUANTITE DETENUES'!C300*C300+'QUANTITE DETENUES'!D300*D300+E300*'QUANTITE DETENUES'!E300+'QUANTITE DETENUES'!F300*F300+G300*'QUANTITE DETENUES'!G300+'QUANTITE DETENUES'!H300*H300+I300*'QUANTITE DETENUES'!I300+'QUANTITE DETENUES'!J300*J300+K300*'QUANTITE DETENUES'!K300+'QUANTITE DETENUES'!L300*L300+M300*'QUANTITE DETENUES'!M300+'QUANTITE DETENUES'!N300*N300+O300*'QUANTITE DETENUES'!O300+T300+P300*'QUANTITE DETENUES'!P300+'QUANTITE DETENUES'!Q300*Q300+R300*'QUANTITE DETENUES'!R300+'QUANTITE DETENUES'!S300*S300)</f>
        <v/>
      </c>
      <c r="V300" s="288"/>
      <c r="W300" s="220"/>
      <c r="X300" s="220"/>
      <c r="Y300" s="220"/>
      <c r="Z300" s="220"/>
      <c r="AA300" s="220"/>
      <c r="AB300" s="220"/>
      <c r="AC300" s="220"/>
      <c r="AD300" s="220"/>
      <c r="AE300" s="220"/>
      <c r="AF300" s="220"/>
      <c r="AG300" s="308"/>
      <c r="AH300" s="220"/>
      <c r="AI300" s="220"/>
      <c r="AJ300" s="220"/>
      <c r="AK300" s="220"/>
      <c r="AL300" s="220"/>
      <c r="AM300" s="220"/>
    </row>
    <row r="301">
      <c r="A301" s="409" t="str">
        <f>IF(ARBITRAGES!E301="","",ARBITRAGES!E301)</f>
        <v/>
      </c>
      <c r="B301" s="424"/>
      <c r="C301" s="424"/>
      <c r="D301" s="425"/>
      <c r="E301" s="424"/>
      <c r="F301" s="424"/>
      <c r="G301" s="425"/>
      <c r="H301" s="425"/>
      <c r="I301" s="426"/>
      <c r="J301" s="427"/>
      <c r="K301" s="426"/>
      <c r="L301" s="426"/>
      <c r="M301" s="426"/>
      <c r="N301" s="428"/>
      <c r="O301" s="426"/>
      <c r="P301" s="426"/>
      <c r="Q301" s="429"/>
      <c r="R301" s="426"/>
      <c r="S301" s="426"/>
      <c r="T301" s="14" t="str">
        <f>IF(A301="","",ARBITRAGES!M301)</f>
        <v/>
      </c>
      <c r="U301" s="417" t="str">
        <f>IF(A301="","",B301*'QUANTITE DETENUES'!B301+'QUANTITE DETENUES'!C301*C301+'QUANTITE DETENUES'!D301*D301+E301*'QUANTITE DETENUES'!E301+'QUANTITE DETENUES'!F301*F301+G301*'QUANTITE DETENUES'!G301+'QUANTITE DETENUES'!H301*H301+I301*'QUANTITE DETENUES'!I301+'QUANTITE DETENUES'!J301*J301+K301*'QUANTITE DETENUES'!K301+'QUANTITE DETENUES'!L301*L301+M301*'QUANTITE DETENUES'!M301+'QUANTITE DETENUES'!N301*N301+O301*'QUANTITE DETENUES'!O301+T301+P301*'QUANTITE DETENUES'!P301+'QUANTITE DETENUES'!Q301*Q301+R301*'QUANTITE DETENUES'!R301+'QUANTITE DETENUES'!S301*S301)</f>
        <v/>
      </c>
      <c r="V301" s="288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308"/>
      <c r="AH301" s="220"/>
      <c r="AI301" s="220"/>
      <c r="AJ301" s="220"/>
      <c r="AK301" s="220"/>
      <c r="AL301" s="220"/>
      <c r="AM301" s="220"/>
    </row>
    <row r="302">
      <c r="A302" s="409" t="str">
        <f>IF(ARBITRAGES!E302="","",ARBITRAGES!E302)</f>
        <v/>
      </c>
      <c r="B302" s="424"/>
      <c r="C302" s="424"/>
      <c r="D302" s="425"/>
      <c r="E302" s="424"/>
      <c r="F302" s="424"/>
      <c r="G302" s="425"/>
      <c r="H302" s="425"/>
      <c r="I302" s="426"/>
      <c r="J302" s="427"/>
      <c r="K302" s="426"/>
      <c r="L302" s="426"/>
      <c r="M302" s="426"/>
      <c r="N302" s="428"/>
      <c r="O302" s="426"/>
      <c r="P302" s="426"/>
      <c r="Q302" s="429"/>
      <c r="R302" s="426"/>
      <c r="S302" s="426"/>
      <c r="T302" s="14" t="str">
        <f>IF(A302="","",ARBITRAGES!M302)</f>
        <v/>
      </c>
      <c r="U302" s="417" t="str">
        <f>IF(A302="","",B302*'QUANTITE DETENUES'!B302+'QUANTITE DETENUES'!C302*C302+'QUANTITE DETENUES'!D302*D302+E302*'QUANTITE DETENUES'!E302+'QUANTITE DETENUES'!F302*F302+G302*'QUANTITE DETENUES'!G302+'QUANTITE DETENUES'!H302*H302+I302*'QUANTITE DETENUES'!I302+'QUANTITE DETENUES'!J302*J302+K302*'QUANTITE DETENUES'!K302+'QUANTITE DETENUES'!L302*L302+M302*'QUANTITE DETENUES'!M302+'QUANTITE DETENUES'!N302*N302+O302*'QUANTITE DETENUES'!O302+T302+P302*'QUANTITE DETENUES'!P302+'QUANTITE DETENUES'!Q302*Q302+R302*'QUANTITE DETENUES'!R302+'QUANTITE DETENUES'!S302*S302)</f>
        <v/>
      </c>
      <c r="V302" s="288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308"/>
      <c r="AH302" s="220"/>
      <c r="AI302" s="220"/>
      <c r="AJ302" s="220"/>
      <c r="AK302" s="220"/>
      <c r="AL302" s="220"/>
      <c r="AM302" s="220"/>
    </row>
    <row r="303">
      <c r="A303" s="409" t="str">
        <f>IF(ARBITRAGES!E303="","",ARBITRAGES!E303)</f>
        <v/>
      </c>
      <c r="B303" s="424"/>
      <c r="C303" s="424"/>
      <c r="D303" s="425"/>
      <c r="E303" s="424"/>
      <c r="F303" s="424"/>
      <c r="G303" s="425"/>
      <c r="H303" s="425"/>
      <c r="I303" s="426"/>
      <c r="J303" s="427"/>
      <c r="K303" s="426"/>
      <c r="L303" s="426"/>
      <c r="M303" s="426"/>
      <c r="N303" s="428"/>
      <c r="O303" s="426"/>
      <c r="P303" s="426"/>
      <c r="Q303" s="429"/>
      <c r="R303" s="426"/>
      <c r="S303" s="426"/>
      <c r="T303" s="14" t="str">
        <f>IF(A303="","",ARBITRAGES!M303)</f>
        <v/>
      </c>
      <c r="U303" s="417" t="str">
        <f>IF(A303="","",B303*'QUANTITE DETENUES'!B303+'QUANTITE DETENUES'!C303*C303+'QUANTITE DETENUES'!D303*D303+E303*'QUANTITE DETENUES'!E303+'QUANTITE DETENUES'!F303*F303+G303*'QUANTITE DETENUES'!G303+'QUANTITE DETENUES'!H303*H303+I303*'QUANTITE DETENUES'!I303+'QUANTITE DETENUES'!J303*J303+K303*'QUANTITE DETENUES'!K303+'QUANTITE DETENUES'!L303*L303+M303*'QUANTITE DETENUES'!M303+'QUANTITE DETENUES'!N303*N303+O303*'QUANTITE DETENUES'!O303+T303+P303*'QUANTITE DETENUES'!P303+'QUANTITE DETENUES'!Q303*Q303+R303*'QUANTITE DETENUES'!R303+'QUANTITE DETENUES'!S303*S303)</f>
        <v/>
      </c>
      <c r="V303" s="288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308"/>
      <c r="AH303" s="220"/>
      <c r="AI303" s="220"/>
      <c r="AJ303" s="220"/>
      <c r="AK303" s="220"/>
      <c r="AL303" s="220"/>
      <c r="AM303" s="220"/>
    </row>
    <row r="304">
      <c r="A304" s="409" t="str">
        <f>IF(ARBITRAGES!E304="","",ARBITRAGES!E304)</f>
        <v/>
      </c>
      <c r="B304" s="424"/>
      <c r="C304" s="424"/>
      <c r="D304" s="425"/>
      <c r="E304" s="424"/>
      <c r="F304" s="424"/>
      <c r="G304" s="425"/>
      <c r="H304" s="425"/>
      <c r="I304" s="426"/>
      <c r="J304" s="427"/>
      <c r="K304" s="426"/>
      <c r="L304" s="426"/>
      <c r="M304" s="426"/>
      <c r="N304" s="428"/>
      <c r="O304" s="426"/>
      <c r="P304" s="426"/>
      <c r="Q304" s="429"/>
      <c r="R304" s="426"/>
      <c r="S304" s="426"/>
      <c r="T304" s="14" t="str">
        <f>IF(A304="","",ARBITRAGES!M304)</f>
        <v/>
      </c>
      <c r="U304" s="417" t="str">
        <f>IF(A304="","",B304*'QUANTITE DETENUES'!B304+'QUANTITE DETENUES'!C304*C304+'QUANTITE DETENUES'!D304*D304+E304*'QUANTITE DETENUES'!E304+'QUANTITE DETENUES'!F304*F304+G304*'QUANTITE DETENUES'!G304+'QUANTITE DETENUES'!H304*H304+I304*'QUANTITE DETENUES'!I304+'QUANTITE DETENUES'!J304*J304+K304*'QUANTITE DETENUES'!K304+'QUANTITE DETENUES'!L304*L304+M304*'QUANTITE DETENUES'!M304+'QUANTITE DETENUES'!N304*N304+O304*'QUANTITE DETENUES'!O304+T304+P304*'QUANTITE DETENUES'!P304+'QUANTITE DETENUES'!Q304*Q304+R304*'QUANTITE DETENUES'!R304+'QUANTITE DETENUES'!S304*S304)</f>
        <v/>
      </c>
      <c r="V304" s="288"/>
      <c r="W304" s="220"/>
      <c r="X304" s="220"/>
      <c r="Y304" s="220"/>
      <c r="Z304" s="220"/>
      <c r="AA304" s="220"/>
      <c r="AB304" s="220"/>
      <c r="AC304" s="220"/>
      <c r="AD304" s="220"/>
      <c r="AE304" s="220"/>
      <c r="AF304" s="220"/>
      <c r="AG304" s="308"/>
      <c r="AH304" s="220"/>
      <c r="AI304" s="220"/>
      <c r="AJ304" s="220"/>
      <c r="AK304" s="220"/>
      <c r="AL304" s="220"/>
      <c r="AM304" s="220"/>
    </row>
    <row r="305">
      <c r="A305" s="409" t="str">
        <f>IF(ARBITRAGES!E305="","",ARBITRAGES!E305)</f>
        <v/>
      </c>
      <c r="B305" s="424"/>
      <c r="C305" s="424"/>
      <c r="D305" s="425"/>
      <c r="E305" s="424"/>
      <c r="F305" s="424"/>
      <c r="G305" s="425"/>
      <c r="H305" s="425"/>
      <c r="I305" s="426"/>
      <c r="J305" s="427"/>
      <c r="K305" s="426"/>
      <c r="L305" s="426"/>
      <c r="M305" s="426"/>
      <c r="N305" s="428"/>
      <c r="O305" s="426"/>
      <c r="P305" s="426"/>
      <c r="Q305" s="429"/>
      <c r="R305" s="426"/>
      <c r="S305" s="426"/>
      <c r="T305" s="14" t="str">
        <f>IF(A305="","",ARBITRAGES!M305)</f>
        <v/>
      </c>
      <c r="U305" s="417" t="str">
        <f>IF(A305="","",B305*'QUANTITE DETENUES'!B305+'QUANTITE DETENUES'!C305*C305+'QUANTITE DETENUES'!D305*D305+E305*'QUANTITE DETENUES'!E305+'QUANTITE DETENUES'!F305*F305+G305*'QUANTITE DETENUES'!G305+'QUANTITE DETENUES'!H305*H305+I305*'QUANTITE DETENUES'!I305+'QUANTITE DETENUES'!J305*J305+K305*'QUANTITE DETENUES'!K305+'QUANTITE DETENUES'!L305*L305+M305*'QUANTITE DETENUES'!M305+'QUANTITE DETENUES'!N305*N305+O305*'QUANTITE DETENUES'!O305+T305+P305*'QUANTITE DETENUES'!P305+'QUANTITE DETENUES'!Q305*Q305+R305*'QUANTITE DETENUES'!R305+'QUANTITE DETENUES'!S305*S305)</f>
        <v/>
      </c>
      <c r="V305" s="288"/>
      <c r="W305" s="220"/>
      <c r="X305" s="220"/>
      <c r="Y305" s="220"/>
      <c r="Z305" s="220"/>
      <c r="AA305" s="220"/>
      <c r="AB305" s="220"/>
      <c r="AC305" s="220"/>
      <c r="AD305" s="220"/>
      <c r="AE305" s="220"/>
      <c r="AF305" s="220"/>
      <c r="AG305" s="308"/>
      <c r="AH305" s="220"/>
      <c r="AI305" s="220"/>
      <c r="AJ305" s="220"/>
      <c r="AK305" s="220"/>
      <c r="AL305" s="220"/>
      <c r="AM305" s="220"/>
    </row>
    <row r="306">
      <c r="A306" s="430"/>
      <c r="B306" s="311"/>
      <c r="C306" s="311"/>
      <c r="D306" s="312"/>
      <c r="E306" s="311"/>
      <c r="F306" s="311"/>
      <c r="G306" s="312"/>
      <c r="H306" s="312"/>
      <c r="I306" s="313"/>
      <c r="J306" s="431"/>
      <c r="K306" s="313"/>
      <c r="L306" s="313"/>
      <c r="M306" s="313"/>
      <c r="N306" s="315"/>
      <c r="O306" s="313"/>
      <c r="P306" s="313"/>
      <c r="Q306" s="432"/>
      <c r="R306" s="313"/>
      <c r="S306" s="313"/>
      <c r="T306" s="317"/>
      <c r="U306" s="417" t="str">
        <f>IF(A306="","",B306*'QUANTITE DETENUES'!B306+'QUANTITE DETENUES'!C306*C306+'QUANTITE DETENUES'!D306*D306+E306*'QUANTITE DETENUES'!E306+'QUANTITE DETENUES'!F306*F306+G306*'QUANTITE DETENUES'!G306+'QUANTITE DETENUES'!H306*H306+I306*'QUANTITE DETENUES'!I306+'QUANTITE DETENUES'!J306*J306+K306*'QUANTITE DETENUES'!K306+'QUANTITE DETENUES'!L306*L306+M306*'QUANTITE DETENUES'!M306+'QUANTITE DETENUES'!N306*N306+O306*'QUANTITE DETENUES'!O306+T306+P306*'QUANTITE DETENUES'!P306+'QUANTITE DETENUES'!Q306*Q306+R306*'QUANTITE DETENUES'!R306+'QUANTITE DETENUES'!S306*S306)</f>
        <v/>
      </c>
      <c r="V306" s="288"/>
      <c r="W306" s="220"/>
      <c r="X306" s="220"/>
      <c r="Y306" s="220"/>
      <c r="Z306" s="220"/>
      <c r="AA306" s="220"/>
      <c r="AB306" s="220"/>
      <c r="AC306" s="220"/>
      <c r="AD306" s="220"/>
      <c r="AE306" s="220"/>
      <c r="AF306" s="220"/>
      <c r="AG306" s="308"/>
      <c r="AH306" s="220"/>
      <c r="AI306" s="220"/>
      <c r="AJ306" s="220"/>
      <c r="AK306" s="220"/>
      <c r="AL306" s="220"/>
      <c r="AM306" s="220"/>
    </row>
    <row r="307">
      <c r="A307" s="430"/>
      <c r="B307" s="311"/>
      <c r="C307" s="311"/>
      <c r="D307" s="312"/>
      <c r="E307" s="311"/>
      <c r="F307" s="311"/>
      <c r="G307" s="312"/>
      <c r="H307" s="312"/>
      <c r="I307" s="313"/>
      <c r="J307" s="431"/>
      <c r="K307" s="313"/>
      <c r="L307" s="313"/>
      <c r="M307" s="313"/>
      <c r="N307" s="315"/>
      <c r="O307" s="313"/>
      <c r="P307" s="313"/>
      <c r="Q307" s="432"/>
      <c r="R307" s="313"/>
      <c r="S307" s="313"/>
      <c r="T307" s="317"/>
      <c r="U307" s="417" t="str">
        <f>IF(A307="","",B307*'QUANTITE DETENUES'!B307+'QUANTITE DETENUES'!C307*C307+'QUANTITE DETENUES'!D307*D307+E307*'QUANTITE DETENUES'!E307+'QUANTITE DETENUES'!F307*F307+G307*'QUANTITE DETENUES'!G307+'QUANTITE DETENUES'!H307*H307+I307*'QUANTITE DETENUES'!I307+'QUANTITE DETENUES'!J307*J307+K307*'QUANTITE DETENUES'!K307+'QUANTITE DETENUES'!L307*L307+M307*'QUANTITE DETENUES'!M307+'QUANTITE DETENUES'!N307*N307+O307*'QUANTITE DETENUES'!O307+T307+P307*'QUANTITE DETENUES'!P307+'QUANTITE DETENUES'!Q307*Q307+R307*'QUANTITE DETENUES'!R307+'QUANTITE DETENUES'!S307*S307)</f>
        <v/>
      </c>
      <c r="V307" s="288"/>
      <c r="W307" s="220"/>
      <c r="X307" s="220"/>
      <c r="Y307" s="220"/>
      <c r="Z307" s="220"/>
      <c r="AA307" s="220"/>
      <c r="AB307" s="220"/>
      <c r="AC307" s="220"/>
      <c r="AD307" s="220"/>
      <c r="AE307" s="220"/>
      <c r="AF307" s="220"/>
      <c r="AG307" s="308"/>
      <c r="AH307" s="220"/>
      <c r="AI307" s="220"/>
      <c r="AJ307" s="220"/>
      <c r="AK307" s="220"/>
      <c r="AL307" s="220"/>
      <c r="AM307" s="220"/>
    </row>
    <row r="308">
      <c r="A308" s="430"/>
      <c r="B308" s="311"/>
      <c r="C308" s="311"/>
      <c r="D308" s="312"/>
      <c r="E308" s="311"/>
      <c r="F308" s="311"/>
      <c r="G308" s="312"/>
      <c r="H308" s="312"/>
      <c r="I308" s="313"/>
      <c r="J308" s="431"/>
      <c r="K308" s="313"/>
      <c r="L308" s="313"/>
      <c r="M308" s="313"/>
      <c r="N308" s="315"/>
      <c r="O308" s="313"/>
      <c r="P308" s="313"/>
      <c r="Q308" s="432"/>
      <c r="R308" s="313"/>
      <c r="S308" s="313"/>
      <c r="T308" s="317"/>
      <c r="U308" s="417" t="str">
        <f>IF(A308="","",B308*'QUANTITE DETENUES'!B308+'QUANTITE DETENUES'!C308*C308+'QUANTITE DETENUES'!D308*D308+E308*'QUANTITE DETENUES'!E308+'QUANTITE DETENUES'!F308*F308+G308*'QUANTITE DETENUES'!G308+'QUANTITE DETENUES'!H308*H308+I308*'QUANTITE DETENUES'!I308+'QUANTITE DETENUES'!J308*J308+K308*'QUANTITE DETENUES'!K308+'QUANTITE DETENUES'!L308*L308+M308*'QUANTITE DETENUES'!M308+'QUANTITE DETENUES'!N308*N308+O308*'QUANTITE DETENUES'!O308+T308+P308*'QUANTITE DETENUES'!P308+'QUANTITE DETENUES'!Q308*Q308+R308*'QUANTITE DETENUES'!R308+'QUANTITE DETENUES'!S308*S308)</f>
        <v/>
      </c>
      <c r="V308" s="288"/>
      <c r="W308" s="220"/>
      <c r="X308" s="220"/>
      <c r="Y308" s="220"/>
      <c r="Z308" s="220"/>
      <c r="AA308" s="220"/>
      <c r="AB308" s="220"/>
      <c r="AC308" s="220"/>
      <c r="AD308" s="220"/>
      <c r="AE308" s="220"/>
      <c r="AF308" s="220"/>
      <c r="AG308" s="308"/>
      <c r="AH308" s="220"/>
      <c r="AI308" s="220"/>
      <c r="AJ308" s="220"/>
      <c r="AK308" s="220"/>
      <c r="AL308" s="220"/>
      <c r="AM308" s="220"/>
    </row>
    <row r="309">
      <c r="A309" s="430"/>
      <c r="B309" s="311"/>
      <c r="C309" s="311"/>
      <c r="D309" s="312"/>
      <c r="E309" s="311"/>
      <c r="F309" s="311"/>
      <c r="G309" s="312"/>
      <c r="H309" s="312"/>
      <c r="I309" s="313"/>
      <c r="J309" s="431"/>
      <c r="K309" s="313"/>
      <c r="L309" s="313"/>
      <c r="M309" s="313"/>
      <c r="N309" s="315"/>
      <c r="O309" s="313"/>
      <c r="P309" s="313"/>
      <c r="Q309" s="432"/>
      <c r="R309" s="313"/>
      <c r="S309" s="313"/>
      <c r="T309" s="317"/>
      <c r="U309" s="417" t="str">
        <f>IF(A309="","",B309*'QUANTITE DETENUES'!B309+'QUANTITE DETENUES'!C309*C309+'QUANTITE DETENUES'!D309*D309+E309*'QUANTITE DETENUES'!E309+'QUANTITE DETENUES'!F309*F309+G309*'QUANTITE DETENUES'!G309+'QUANTITE DETENUES'!H309*H309+I309*'QUANTITE DETENUES'!I309+'QUANTITE DETENUES'!J309*J309+K309*'QUANTITE DETENUES'!K309+'QUANTITE DETENUES'!L309*L309+M309*'QUANTITE DETENUES'!M309+'QUANTITE DETENUES'!N309*N309+O309*'QUANTITE DETENUES'!O309+T309+P309*'QUANTITE DETENUES'!P309+'QUANTITE DETENUES'!Q309*Q309+R309*'QUANTITE DETENUES'!R309+'QUANTITE DETENUES'!S309*S309)</f>
        <v/>
      </c>
      <c r="V309" s="288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308"/>
      <c r="AH309" s="220"/>
      <c r="AI309" s="220"/>
      <c r="AJ309" s="220"/>
      <c r="AK309" s="220"/>
      <c r="AL309" s="220"/>
      <c r="AM309" s="220"/>
    </row>
    <row r="310">
      <c r="A310" s="430"/>
      <c r="B310" s="311"/>
      <c r="C310" s="311"/>
      <c r="D310" s="312"/>
      <c r="E310" s="311"/>
      <c r="F310" s="311"/>
      <c r="G310" s="312"/>
      <c r="H310" s="312"/>
      <c r="I310" s="313"/>
      <c r="J310" s="431"/>
      <c r="K310" s="313"/>
      <c r="L310" s="313"/>
      <c r="M310" s="313"/>
      <c r="N310" s="315"/>
      <c r="O310" s="313"/>
      <c r="P310" s="313"/>
      <c r="Q310" s="432"/>
      <c r="R310" s="313"/>
      <c r="S310" s="313"/>
      <c r="T310" s="317"/>
      <c r="U310" s="417" t="str">
        <f>IF(A310="","",B310*'QUANTITE DETENUES'!B310+'QUANTITE DETENUES'!C310*C310+'QUANTITE DETENUES'!D310*D310+E310*'QUANTITE DETENUES'!E310+'QUANTITE DETENUES'!F310*F310+G310*'QUANTITE DETENUES'!G310+'QUANTITE DETENUES'!H310*H310+I310*'QUANTITE DETENUES'!I310+'QUANTITE DETENUES'!J310*J310+K310*'QUANTITE DETENUES'!K310+'QUANTITE DETENUES'!L310*L310+M310*'QUANTITE DETENUES'!M310+'QUANTITE DETENUES'!N310*N310+O310*'QUANTITE DETENUES'!O310+T310+P310*'QUANTITE DETENUES'!P310+'QUANTITE DETENUES'!Q310*Q310+R310*'QUANTITE DETENUES'!R310+'QUANTITE DETENUES'!S310*S310)</f>
        <v/>
      </c>
      <c r="V310" s="288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308"/>
      <c r="AH310" s="220"/>
      <c r="AI310" s="220"/>
      <c r="AJ310" s="220"/>
      <c r="AK310" s="220"/>
      <c r="AL310" s="220"/>
      <c r="AM310" s="220"/>
    </row>
    <row r="311">
      <c r="A311" s="430"/>
      <c r="B311" s="311"/>
      <c r="C311" s="311"/>
      <c r="D311" s="312"/>
      <c r="E311" s="311"/>
      <c r="F311" s="311"/>
      <c r="G311" s="312"/>
      <c r="H311" s="312"/>
      <c r="I311" s="313"/>
      <c r="J311" s="431"/>
      <c r="K311" s="313"/>
      <c r="L311" s="313"/>
      <c r="M311" s="313"/>
      <c r="N311" s="315"/>
      <c r="O311" s="313"/>
      <c r="P311" s="313"/>
      <c r="Q311" s="432"/>
      <c r="R311" s="313"/>
      <c r="S311" s="313"/>
      <c r="T311" s="317"/>
      <c r="U311" s="417" t="str">
        <f>IF(A311="","",B311*'QUANTITE DETENUES'!B311+'QUANTITE DETENUES'!C311*C311+'QUANTITE DETENUES'!D311*D311+E311*'QUANTITE DETENUES'!E311+'QUANTITE DETENUES'!F311*F311+G311*'QUANTITE DETENUES'!G311+'QUANTITE DETENUES'!H311*H311+I311*'QUANTITE DETENUES'!I311+'QUANTITE DETENUES'!J311*J311+K311*'QUANTITE DETENUES'!K311+'QUANTITE DETENUES'!L311*L311+M311*'QUANTITE DETENUES'!M311+'QUANTITE DETENUES'!N311*N311+O311*'QUANTITE DETENUES'!O311+T311+P311*'QUANTITE DETENUES'!P311+'QUANTITE DETENUES'!Q311*Q311+R311*'QUANTITE DETENUES'!R311+'QUANTITE DETENUES'!S311*S311)</f>
        <v/>
      </c>
      <c r="V311" s="288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308"/>
      <c r="AH311" s="220"/>
      <c r="AI311" s="220"/>
      <c r="AJ311" s="220"/>
      <c r="AK311" s="220"/>
      <c r="AL311" s="220"/>
      <c r="AM311" s="220"/>
    </row>
    <row r="312">
      <c r="A312" s="430"/>
      <c r="B312" s="311"/>
      <c r="C312" s="311"/>
      <c r="D312" s="312"/>
      <c r="E312" s="311"/>
      <c r="F312" s="311"/>
      <c r="G312" s="312"/>
      <c r="H312" s="312"/>
      <c r="I312" s="313"/>
      <c r="J312" s="431"/>
      <c r="K312" s="313"/>
      <c r="L312" s="313"/>
      <c r="M312" s="313"/>
      <c r="N312" s="315"/>
      <c r="O312" s="313"/>
      <c r="P312" s="313"/>
      <c r="Q312" s="432"/>
      <c r="R312" s="313"/>
      <c r="S312" s="313"/>
      <c r="T312" s="317"/>
      <c r="U312" s="417" t="str">
        <f>IF(A312="","",B312*'QUANTITE DETENUES'!B312+'QUANTITE DETENUES'!C312*C312+'QUANTITE DETENUES'!D312*D312+E312*'QUANTITE DETENUES'!E312+'QUANTITE DETENUES'!F312*F312+G312*'QUANTITE DETENUES'!G312+'QUANTITE DETENUES'!H312*H312+I312*'QUANTITE DETENUES'!I312+'QUANTITE DETENUES'!J312*J312+K312*'QUANTITE DETENUES'!K312+'QUANTITE DETENUES'!L312*L312+M312*'QUANTITE DETENUES'!M312+'QUANTITE DETENUES'!N312*N312+O312*'QUANTITE DETENUES'!O312+T312+P312*'QUANTITE DETENUES'!P312+'QUANTITE DETENUES'!Q312*Q312+R312*'QUANTITE DETENUES'!R312+'QUANTITE DETENUES'!S312*S312)</f>
        <v/>
      </c>
      <c r="V312" s="288"/>
      <c r="W312" s="220"/>
      <c r="X312" s="220"/>
      <c r="Y312" s="220"/>
      <c r="Z312" s="220"/>
      <c r="AA312" s="220"/>
      <c r="AB312" s="220"/>
      <c r="AC312" s="220"/>
      <c r="AD312" s="220"/>
      <c r="AE312" s="220"/>
      <c r="AF312" s="220"/>
      <c r="AG312" s="308"/>
      <c r="AH312" s="220"/>
      <c r="AI312" s="220"/>
      <c r="AJ312" s="220"/>
      <c r="AK312" s="220"/>
      <c r="AL312" s="220"/>
      <c r="AM312" s="220"/>
    </row>
    <row r="313">
      <c r="A313" s="430"/>
      <c r="B313" s="311"/>
      <c r="C313" s="311"/>
      <c r="D313" s="312"/>
      <c r="E313" s="311"/>
      <c r="F313" s="311"/>
      <c r="G313" s="312"/>
      <c r="H313" s="312"/>
      <c r="I313" s="313"/>
      <c r="J313" s="431"/>
      <c r="K313" s="313"/>
      <c r="L313" s="313"/>
      <c r="M313" s="313"/>
      <c r="N313" s="315"/>
      <c r="O313" s="313"/>
      <c r="P313" s="313"/>
      <c r="Q313" s="432"/>
      <c r="R313" s="313"/>
      <c r="S313" s="313"/>
      <c r="T313" s="317"/>
      <c r="U313" s="417" t="str">
        <f>IF(A313="","",B313*'QUANTITE DETENUES'!B313+'QUANTITE DETENUES'!C313*C313+'QUANTITE DETENUES'!D313*D313+E313*'QUANTITE DETENUES'!E313+'QUANTITE DETENUES'!F313*F313+G313*'QUANTITE DETENUES'!G313+'QUANTITE DETENUES'!H313*H313+I313*'QUANTITE DETENUES'!I313+'QUANTITE DETENUES'!J313*J313+K313*'QUANTITE DETENUES'!K313+'QUANTITE DETENUES'!L313*L313+M313*'QUANTITE DETENUES'!M313+'QUANTITE DETENUES'!N313*N313+O313*'QUANTITE DETENUES'!O313+T313+P313*'QUANTITE DETENUES'!P313+'QUANTITE DETENUES'!Q313*Q313+R313*'QUANTITE DETENUES'!R313+'QUANTITE DETENUES'!S313*S313)</f>
        <v/>
      </c>
      <c r="V313" s="288"/>
      <c r="W313" s="220"/>
      <c r="X313" s="220"/>
      <c r="Y313" s="220"/>
      <c r="Z313" s="220"/>
      <c r="AA313" s="220"/>
      <c r="AB313" s="220"/>
      <c r="AC313" s="220"/>
      <c r="AD313" s="220"/>
      <c r="AE313" s="220"/>
      <c r="AF313" s="220"/>
      <c r="AG313" s="308"/>
      <c r="AH313" s="220"/>
      <c r="AI313" s="220"/>
      <c r="AJ313" s="220"/>
      <c r="AK313" s="220"/>
      <c r="AL313" s="220"/>
      <c r="AM313" s="220"/>
    </row>
    <row r="314">
      <c r="A314" s="430"/>
      <c r="B314" s="311"/>
      <c r="C314" s="311"/>
      <c r="D314" s="312"/>
      <c r="E314" s="311"/>
      <c r="F314" s="311"/>
      <c r="G314" s="312"/>
      <c r="H314" s="312"/>
      <c r="I314" s="313"/>
      <c r="J314" s="431"/>
      <c r="K314" s="313"/>
      <c r="L314" s="313"/>
      <c r="M314" s="313"/>
      <c r="N314" s="315"/>
      <c r="O314" s="313"/>
      <c r="P314" s="313"/>
      <c r="Q314" s="432"/>
      <c r="R314" s="313"/>
      <c r="S314" s="313"/>
      <c r="T314" s="317"/>
      <c r="U314" s="417" t="str">
        <f>IF(A314="","",B314*'QUANTITE DETENUES'!B314+'QUANTITE DETENUES'!C314*C314+'QUANTITE DETENUES'!D314*D314+E314*'QUANTITE DETENUES'!E314+'QUANTITE DETENUES'!F314*F314+G314*'QUANTITE DETENUES'!G314+'QUANTITE DETENUES'!H314*H314+I314*'QUANTITE DETENUES'!I314+'QUANTITE DETENUES'!J314*J314+K314*'QUANTITE DETENUES'!K314+'QUANTITE DETENUES'!L314*L314+M314*'QUANTITE DETENUES'!M314+'QUANTITE DETENUES'!N314*N314+O314*'QUANTITE DETENUES'!O314+T314+P314*'QUANTITE DETENUES'!P314+'QUANTITE DETENUES'!Q314*Q314+R314*'QUANTITE DETENUES'!R314+'QUANTITE DETENUES'!S314*S314)</f>
        <v/>
      </c>
      <c r="V314" s="288"/>
      <c r="W314" s="220"/>
      <c r="X314" s="220"/>
      <c r="Y314" s="220"/>
      <c r="Z314" s="220"/>
      <c r="AA314" s="220"/>
      <c r="AB314" s="220"/>
      <c r="AC314" s="220"/>
      <c r="AD314" s="220"/>
      <c r="AE314" s="220"/>
      <c r="AF314" s="220"/>
      <c r="AG314" s="308"/>
      <c r="AH314" s="220"/>
      <c r="AI314" s="220"/>
      <c r="AJ314" s="220"/>
      <c r="AK314" s="220"/>
      <c r="AL314" s="220"/>
      <c r="AM314" s="220"/>
    </row>
    <row r="315">
      <c r="A315" s="430"/>
      <c r="B315" s="311"/>
      <c r="C315" s="311"/>
      <c r="D315" s="312"/>
      <c r="E315" s="311"/>
      <c r="F315" s="311"/>
      <c r="G315" s="312"/>
      <c r="H315" s="312"/>
      <c r="I315" s="313"/>
      <c r="J315" s="431"/>
      <c r="K315" s="313"/>
      <c r="L315" s="313"/>
      <c r="M315" s="313"/>
      <c r="N315" s="315"/>
      <c r="O315" s="313"/>
      <c r="P315" s="313"/>
      <c r="Q315" s="432"/>
      <c r="R315" s="313"/>
      <c r="S315" s="313"/>
      <c r="T315" s="317"/>
      <c r="U315" s="417" t="str">
        <f>IF(A315="","",B315*'QUANTITE DETENUES'!B315+'QUANTITE DETENUES'!C315*C315+'QUANTITE DETENUES'!D315*D315+E315*'QUANTITE DETENUES'!E315+'QUANTITE DETENUES'!F315*F315+G315*'QUANTITE DETENUES'!G315+'QUANTITE DETENUES'!H315*H315+I315*'QUANTITE DETENUES'!I315+'QUANTITE DETENUES'!J315*J315+K315*'QUANTITE DETENUES'!K315+'QUANTITE DETENUES'!L315*L315+M315*'QUANTITE DETENUES'!M315+'QUANTITE DETENUES'!N315*N315+O315*'QUANTITE DETENUES'!O315+T315+P315*'QUANTITE DETENUES'!P315+'QUANTITE DETENUES'!Q315*Q315+R315*'QUANTITE DETENUES'!R315+'QUANTITE DETENUES'!S315*S315)</f>
        <v/>
      </c>
      <c r="V315" s="288"/>
      <c r="W315" s="220"/>
      <c r="X315" s="220"/>
      <c r="Y315" s="220"/>
      <c r="Z315" s="220"/>
      <c r="AA315" s="220"/>
      <c r="AB315" s="220"/>
      <c r="AC315" s="220"/>
      <c r="AD315" s="220"/>
      <c r="AE315" s="220"/>
      <c r="AF315" s="220"/>
      <c r="AG315" s="308"/>
      <c r="AH315" s="220"/>
      <c r="AI315" s="220"/>
      <c r="AJ315" s="220"/>
      <c r="AK315" s="220"/>
      <c r="AL315" s="220"/>
      <c r="AM315" s="220"/>
    </row>
    <row r="316">
      <c r="A316" s="430"/>
      <c r="B316" s="311"/>
      <c r="C316" s="311"/>
      <c r="D316" s="312"/>
      <c r="E316" s="311"/>
      <c r="F316" s="311"/>
      <c r="G316" s="312"/>
      <c r="H316" s="312"/>
      <c r="I316" s="313"/>
      <c r="J316" s="431"/>
      <c r="K316" s="313"/>
      <c r="L316" s="313"/>
      <c r="M316" s="313"/>
      <c r="N316" s="315"/>
      <c r="O316" s="313"/>
      <c r="P316" s="313"/>
      <c r="Q316" s="432"/>
      <c r="R316" s="313"/>
      <c r="S316" s="313"/>
      <c r="T316" s="317"/>
      <c r="U316" s="417" t="str">
        <f>IF(A316="","",B316*'QUANTITE DETENUES'!B316+'QUANTITE DETENUES'!C316*C316+'QUANTITE DETENUES'!D316*D316+E316*'QUANTITE DETENUES'!E316+'QUANTITE DETENUES'!F316*F316+G316*'QUANTITE DETENUES'!G316+'QUANTITE DETENUES'!H316*H316+I316*'QUANTITE DETENUES'!I316+'QUANTITE DETENUES'!J316*J316+K316*'QUANTITE DETENUES'!K316+'QUANTITE DETENUES'!L316*L316+M316*'QUANTITE DETENUES'!M316+'QUANTITE DETENUES'!N316*N316+O316*'QUANTITE DETENUES'!O316+T316+P316*'QUANTITE DETENUES'!P316+'QUANTITE DETENUES'!Q316*Q316+R316*'QUANTITE DETENUES'!R316+'QUANTITE DETENUES'!S316*S316)</f>
        <v/>
      </c>
      <c r="V316" s="288"/>
      <c r="W316" s="220"/>
      <c r="X316" s="220"/>
      <c r="Y316" s="220"/>
      <c r="Z316" s="220"/>
      <c r="AA316" s="220"/>
      <c r="AB316" s="220"/>
      <c r="AC316" s="220"/>
      <c r="AD316" s="220"/>
      <c r="AE316" s="220"/>
      <c r="AF316" s="220"/>
      <c r="AG316" s="308"/>
      <c r="AH316" s="220"/>
      <c r="AI316" s="220"/>
      <c r="AJ316" s="220"/>
      <c r="AK316" s="220"/>
      <c r="AL316" s="220"/>
      <c r="AM316" s="220"/>
    </row>
    <row r="317">
      <c r="A317" s="430"/>
      <c r="B317" s="311"/>
      <c r="C317" s="311"/>
      <c r="D317" s="312"/>
      <c r="E317" s="311"/>
      <c r="F317" s="311"/>
      <c r="G317" s="312"/>
      <c r="H317" s="312"/>
      <c r="I317" s="313"/>
      <c r="J317" s="431"/>
      <c r="K317" s="313"/>
      <c r="L317" s="313"/>
      <c r="M317" s="313"/>
      <c r="N317" s="315"/>
      <c r="O317" s="313"/>
      <c r="P317" s="313"/>
      <c r="Q317" s="432"/>
      <c r="R317" s="313"/>
      <c r="S317" s="313"/>
      <c r="T317" s="317"/>
      <c r="U317" s="417" t="str">
        <f>IF(A317="","",B317*'QUANTITE DETENUES'!B317+'QUANTITE DETENUES'!C317*C317+'QUANTITE DETENUES'!D317*D317+E317*'QUANTITE DETENUES'!E317+'QUANTITE DETENUES'!F317*F317+G317*'QUANTITE DETENUES'!G317+'QUANTITE DETENUES'!H317*H317+I317*'QUANTITE DETENUES'!I317+'QUANTITE DETENUES'!J317*J317+K317*'QUANTITE DETENUES'!K317+'QUANTITE DETENUES'!L317*L317+M317*'QUANTITE DETENUES'!M317+'QUANTITE DETENUES'!N317*N317+O317*'QUANTITE DETENUES'!O317+T317+P317*'QUANTITE DETENUES'!P317+'QUANTITE DETENUES'!Q317*Q317+R317*'QUANTITE DETENUES'!R317+'QUANTITE DETENUES'!S317*S317)</f>
        <v/>
      </c>
      <c r="V317" s="288"/>
      <c r="W317" s="220"/>
      <c r="X317" s="220"/>
      <c r="Y317" s="220"/>
      <c r="Z317" s="220"/>
      <c r="AA317" s="220"/>
      <c r="AB317" s="220"/>
      <c r="AC317" s="220"/>
      <c r="AD317" s="220"/>
      <c r="AE317" s="220"/>
      <c r="AF317" s="220"/>
      <c r="AG317" s="308"/>
      <c r="AH317" s="220"/>
      <c r="AI317" s="220"/>
      <c r="AJ317" s="220"/>
      <c r="AK317" s="220"/>
      <c r="AL317" s="220"/>
      <c r="AM317" s="220"/>
    </row>
    <row r="318">
      <c r="A318" s="430"/>
      <c r="B318" s="311"/>
      <c r="C318" s="311"/>
      <c r="D318" s="312"/>
      <c r="E318" s="311"/>
      <c r="F318" s="311"/>
      <c r="G318" s="312"/>
      <c r="H318" s="312"/>
      <c r="I318" s="313"/>
      <c r="J318" s="431"/>
      <c r="K318" s="313"/>
      <c r="L318" s="313"/>
      <c r="M318" s="313"/>
      <c r="N318" s="315"/>
      <c r="O318" s="313"/>
      <c r="P318" s="313"/>
      <c r="Q318" s="432"/>
      <c r="R318" s="313"/>
      <c r="S318" s="313"/>
      <c r="T318" s="317"/>
      <c r="U318" s="417" t="str">
        <f>IF(A318="","",B318*'QUANTITE DETENUES'!B318+'QUANTITE DETENUES'!C318*C318+'QUANTITE DETENUES'!D318*D318+E318*'QUANTITE DETENUES'!E318+'QUANTITE DETENUES'!F318*F318+G318*'QUANTITE DETENUES'!G318+'QUANTITE DETENUES'!H318*H318+I318*'QUANTITE DETENUES'!I318+'QUANTITE DETENUES'!J318*J318+K318*'QUANTITE DETENUES'!K318+'QUANTITE DETENUES'!L318*L318+M318*'QUANTITE DETENUES'!M318+'QUANTITE DETENUES'!N318*N318+O318*'QUANTITE DETENUES'!O318+T318+P318*'QUANTITE DETENUES'!P318+'QUANTITE DETENUES'!Q318*Q318+R318*'QUANTITE DETENUES'!R318+'QUANTITE DETENUES'!S318*S318)</f>
        <v/>
      </c>
      <c r="V318" s="288"/>
      <c r="W318" s="220"/>
      <c r="X318" s="220"/>
      <c r="Y318" s="220"/>
      <c r="Z318" s="220"/>
      <c r="AA318" s="220"/>
      <c r="AB318" s="220"/>
      <c r="AC318" s="220"/>
      <c r="AD318" s="220"/>
      <c r="AE318" s="220"/>
      <c r="AF318" s="220"/>
      <c r="AG318" s="308"/>
      <c r="AH318" s="220"/>
      <c r="AI318" s="220"/>
      <c r="AJ318" s="220"/>
      <c r="AK318" s="220"/>
      <c r="AL318" s="220"/>
      <c r="AM318" s="220"/>
    </row>
    <row r="319">
      <c r="A319" s="430"/>
      <c r="B319" s="311"/>
      <c r="C319" s="311"/>
      <c r="D319" s="312"/>
      <c r="E319" s="311"/>
      <c r="F319" s="311"/>
      <c r="G319" s="312"/>
      <c r="H319" s="312"/>
      <c r="I319" s="313"/>
      <c r="J319" s="431"/>
      <c r="K319" s="313"/>
      <c r="L319" s="313"/>
      <c r="M319" s="313"/>
      <c r="N319" s="315"/>
      <c r="O319" s="313"/>
      <c r="P319" s="313"/>
      <c r="Q319" s="432"/>
      <c r="R319" s="313"/>
      <c r="S319" s="313"/>
      <c r="T319" s="317"/>
      <c r="U319" s="433"/>
      <c r="V319" s="288"/>
      <c r="W319" s="220"/>
      <c r="X319" s="220"/>
      <c r="Y319" s="220"/>
      <c r="Z319" s="220"/>
      <c r="AA319" s="220"/>
      <c r="AB319" s="220"/>
      <c r="AC319" s="220"/>
      <c r="AD319" s="220"/>
      <c r="AE319" s="220"/>
      <c r="AF319" s="220"/>
      <c r="AG319" s="308"/>
      <c r="AH319" s="220"/>
      <c r="AI319" s="220"/>
      <c r="AJ319" s="220"/>
      <c r="AK319" s="220"/>
      <c r="AL319" s="220"/>
      <c r="AM319" s="220"/>
    </row>
    <row r="320">
      <c r="A320" s="430"/>
      <c r="B320" s="311"/>
      <c r="C320" s="311"/>
      <c r="D320" s="312"/>
      <c r="E320" s="311"/>
      <c r="F320" s="311"/>
      <c r="G320" s="312"/>
      <c r="H320" s="312"/>
      <c r="I320" s="313"/>
      <c r="J320" s="431"/>
      <c r="K320" s="313"/>
      <c r="L320" s="313"/>
      <c r="M320" s="313"/>
      <c r="N320" s="315"/>
      <c r="O320" s="313"/>
      <c r="P320" s="313"/>
      <c r="Q320" s="432"/>
      <c r="R320" s="313"/>
      <c r="S320" s="313"/>
      <c r="T320" s="317"/>
      <c r="U320" s="433"/>
      <c r="V320" s="288"/>
      <c r="W320" s="220"/>
      <c r="X320" s="220"/>
      <c r="Y320" s="220"/>
      <c r="Z320" s="220"/>
      <c r="AA320" s="220"/>
      <c r="AB320" s="220"/>
      <c r="AC320" s="220"/>
      <c r="AD320" s="220"/>
      <c r="AE320" s="220"/>
      <c r="AF320" s="220"/>
      <c r="AG320" s="308"/>
      <c r="AH320" s="220"/>
      <c r="AI320" s="220"/>
      <c r="AJ320" s="220"/>
      <c r="AK320" s="220"/>
      <c r="AL320" s="220"/>
      <c r="AM320" s="220"/>
    </row>
    <row r="321">
      <c r="A321" s="430"/>
      <c r="B321" s="311"/>
      <c r="C321" s="311"/>
      <c r="D321" s="312"/>
      <c r="E321" s="311"/>
      <c r="F321" s="311"/>
      <c r="G321" s="312"/>
      <c r="H321" s="312"/>
      <c r="I321" s="313"/>
      <c r="J321" s="431"/>
      <c r="K321" s="313"/>
      <c r="L321" s="313"/>
      <c r="M321" s="313"/>
      <c r="N321" s="315"/>
      <c r="O321" s="313"/>
      <c r="P321" s="313"/>
      <c r="Q321" s="432"/>
      <c r="R321" s="313"/>
      <c r="S321" s="313"/>
      <c r="T321" s="317"/>
      <c r="U321" s="433"/>
      <c r="V321" s="288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308"/>
      <c r="AH321" s="220"/>
      <c r="AI321" s="220"/>
      <c r="AJ321" s="220"/>
      <c r="AK321" s="220"/>
      <c r="AL321" s="220"/>
      <c r="AM321" s="220"/>
    </row>
    <row r="322">
      <c r="A322" s="430"/>
      <c r="B322" s="311"/>
      <c r="C322" s="311"/>
      <c r="D322" s="312"/>
      <c r="E322" s="311"/>
      <c r="F322" s="311"/>
      <c r="G322" s="312"/>
      <c r="H322" s="312"/>
      <c r="I322" s="313"/>
      <c r="J322" s="431"/>
      <c r="K322" s="313"/>
      <c r="L322" s="313"/>
      <c r="M322" s="313"/>
      <c r="N322" s="315"/>
      <c r="O322" s="313"/>
      <c r="P322" s="313"/>
      <c r="Q322" s="432"/>
      <c r="R322" s="313"/>
      <c r="S322" s="313"/>
      <c r="T322" s="317"/>
      <c r="U322" s="433"/>
      <c r="V322" s="288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308"/>
      <c r="AH322" s="220"/>
      <c r="AI322" s="220"/>
      <c r="AJ322" s="220"/>
      <c r="AK322" s="220"/>
      <c r="AL322" s="220"/>
      <c r="AM322" s="220"/>
    </row>
    <row r="323">
      <c r="A323" s="430"/>
      <c r="B323" s="311"/>
      <c r="C323" s="311"/>
      <c r="D323" s="312"/>
      <c r="E323" s="311"/>
      <c r="F323" s="311"/>
      <c r="G323" s="312"/>
      <c r="H323" s="312"/>
      <c r="I323" s="313"/>
      <c r="J323" s="431"/>
      <c r="K323" s="313"/>
      <c r="L323" s="313"/>
      <c r="M323" s="313"/>
      <c r="N323" s="315"/>
      <c r="O323" s="313"/>
      <c r="P323" s="313"/>
      <c r="Q323" s="432"/>
      <c r="R323" s="313"/>
      <c r="S323" s="313"/>
      <c r="T323" s="317"/>
      <c r="U323" s="433"/>
      <c r="V323" s="288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308"/>
      <c r="AH323" s="220"/>
      <c r="AI323" s="220"/>
      <c r="AJ323" s="220"/>
      <c r="AK323" s="220"/>
      <c r="AL323" s="220"/>
      <c r="AM323" s="220"/>
    </row>
    <row r="324">
      <c r="A324" s="430"/>
      <c r="B324" s="311"/>
      <c r="C324" s="311"/>
      <c r="D324" s="312"/>
      <c r="E324" s="311"/>
      <c r="F324" s="311"/>
      <c r="G324" s="312"/>
      <c r="H324" s="312"/>
      <c r="I324" s="313"/>
      <c r="J324" s="431"/>
      <c r="K324" s="313"/>
      <c r="L324" s="313"/>
      <c r="M324" s="313"/>
      <c r="N324" s="315"/>
      <c r="O324" s="313"/>
      <c r="P324" s="313"/>
      <c r="Q324" s="432"/>
      <c r="R324" s="313"/>
      <c r="S324" s="313"/>
      <c r="T324" s="317"/>
      <c r="U324" s="433"/>
      <c r="V324" s="288"/>
      <c r="W324" s="220"/>
      <c r="X324" s="220"/>
      <c r="Y324" s="220"/>
      <c r="Z324" s="220"/>
      <c r="AA324" s="220"/>
      <c r="AB324" s="220"/>
      <c r="AC324" s="220"/>
      <c r="AD324" s="220"/>
      <c r="AE324" s="220"/>
      <c r="AF324" s="220"/>
      <c r="AG324" s="308"/>
      <c r="AH324" s="220"/>
      <c r="AI324" s="220"/>
      <c r="AJ324" s="220"/>
      <c r="AK324" s="220"/>
      <c r="AL324" s="220"/>
      <c r="AM324" s="220"/>
    </row>
    <row r="325">
      <c r="A325" s="430"/>
      <c r="B325" s="311"/>
      <c r="C325" s="311"/>
      <c r="D325" s="312"/>
      <c r="E325" s="311"/>
      <c r="F325" s="311"/>
      <c r="G325" s="312"/>
      <c r="H325" s="312"/>
      <c r="I325" s="313"/>
      <c r="J325" s="431"/>
      <c r="K325" s="313"/>
      <c r="L325" s="313"/>
      <c r="M325" s="313"/>
      <c r="N325" s="315"/>
      <c r="O325" s="313"/>
      <c r="P325" s="313"/>
      <c r="Q325" s="432"/>
      <c r="R325" s="313"/>
      <c r="S325" s="313"/>
      <c r="T325" s="317"/>
      <c r="U325" s="433"/>
      <c r="V325" s="288"/>
      <c r="W325" s="220"/>
      <c r="X325" s="220"/>
      <c r="Y325" s="220"/>
      <c r="Z325" s="220"/>
      <c r="AA325" s="220"/>
      <c r="AB325" s="220"/>
      <c r="AC325" s="220"/>
      <c r="AD325" s="220"/>
      <c r="AE325" s="220"/>
      <c r="AF325" s="220"/>
      <c r="AG325" s="308"/>
      <c r="AH325" s="220"/>
      <c r="AI325" s="220"/>
      <c r="AJ325" s="220"/>
      <c r="AK325" s="220"/>
      <c r="AL325" s="220"/>
      <c r="AM325" s="220"/>
    </row>
    <row r="326">
      <c r="A326" s="430"/>
      <c r="B326" s="311"/>
      <c r="C326" s="311"/>
      <c r="D326" s="312"/>
      <c r="E326" s="311"/>
      <c r="F326" s="311"/>
      <c r="G326" s="312"/>
      <c r="H326" s="312"/>
      <c r="I326" s="313"/>
      <c r="J326" s="431"/>
      <c r="K326" s="313"/>
      <c r="L326" s="313"/>
      <c r="M326" s="313"/>
      <c r="N326" s="315"/>
      <c r="O326" s="313"/>
      <c r="P326" s="313"/>
      <c r="Q326" s="432"/>
      <c r="R326" s="313"/>
      <c r="S326" s="313"/>
      <c r="T326" s="317"/>
      <c r="U326" s="433"/>
      <c r="V326" s="288"/>
      <c r="W326" s="220"/>
      <c r="X326" s="220"/>
      <c r="Y326" s="220"/>
      <c r="Z326" s="220"/>
      <c r="AA326" s="220"/>
      <c r="AB326" s="220"/>
      <c r="AC326" s="220"/>
      <c r="AD326" s="220"/>
      <c r="AE326" s="220"/>
      <c r="AF326" s="220"/>
      <c r="AG326" s="308"/>
      <c r="AH326" s="220"/>
      <c r="AI326" s="220"/>
      <c r="AJ326" s="220"/>
      <c r="AK326" s="220"/>
      <c r="AL326" s="220"/>
      <c r="AM326" s="220"/>
    </row>
    <row r="327">
      <c r="A327" s="430"/>
      <c r="B327" s="311"/>
      <c r="C327" s="311"/>
      <c r="D327" s="312"/>
      <c r="E327" s="311"/>
      <c r="F327" s="311"/>
      <c r="G327" s="312"/>
      <c r="H327" s="312"/>
      <c r="I327" s="313"/>
      <c r="J327" s="431"/>
      <c r="K327" s="313"/>
      <c r="L327" s="313"/>
      <c r="M327" s="313"/>
      <c r="N327" s="315"/>
      <c r="O327" s="313"/>
      <c r="P327" s="313"/>
      <c r="Q327" s="432"/>
      <c r="R327" s="313"/>
      <c r="S327" s="313"/>
      <c r="T327" s="317"/>
      <c r="U327" s="433"/>
      <c r="V327" s="288"/>
      <c r="W327" s="220"/>
      <c r="X327" s="220"/>
      <c r="Y327" s="220"/>
      <c r="Z327" s="220"/>
      <c r="AA327" s="220"/>
      <c r="AB327" s="220"/>
      <c r="AC327" s="220"/>
      <c r="AD327" s="220"/>
      <c r="AE327" s="220"/>
      <c r="AF327" s="220"/>
      <c r="AG327" s="308"/>
      <c r="AH327" s="220"/>
      <c r="AI327" s="220"/>
      <c r="AJ327" s="220"/>
      <c r="AK327" s="220"/>
      <c r="AL327" s="220"/>
      <c r="AM327" s="220"/>
    </row>
    <row r="328">
      <c r="A328" s="430"/>
      <c r="B328" s="311"/>
      <c r="C328" s="311"/>
      <c r="D328" s="312"/>
      <c r="E328" s="311"/>
      <c r="F328" s="311"/>
      <c r="G328" s="312"/>
      <c r="H328" s="312"/>
      <c r="I328" s="313"/>
      <c r="J328" s="431"/>
      <c r="K328" s="313"/>
      <c r="L328" s="313"/>
      <c r="M328" s="313"/>
      <c r="N328" s="315"/>
      <c r="O328" s="313"/>
      <c r="P328" s="313"/>
      <c r="Q328" s="432"/>
      <c r="R328" s="313"/>
      <c r="S328" s="313"/>
      <c r="T328" s="317"/>
      <c r="U328" s="433"/>
      <c r="V328" s="288"/>
      <c r="W328" s="220"/>
      <c r="X328" s="220"/>
      <c r="Y328" s="220"/>
      <c r="Z328" s="220"/>
      <c r="AA328" s="220"/>
      <c r="AB328" s="220"/>
      <c r="AC328" s="220"/>
      <c r="AD328" s="220"/>
      <c r="AE328" s="220"/>
      <c r="AF328" s="220"/>
      <c r="AG328" s="308"/>
      <c r="AH328" s="220"/>
      <c r="AI328" s="220"/>
      <c r="AJ328" s="220"/>
      <c r="AK328" s="220"/>
      <c r="AL328" s="220"/>
      <c r="AM328" s="220"/>
    </row>
    <row r="329">
      <c r="A329" s="430"/>
      <c r="B329" s="311"/>
      <c r="C329" s="311"/>
      <c r="D329" s="312"/>
      <c r="E329" s="311"/>
      <c r="F329" s="311"/>
      <c r="G329" s="312"/>
      <c r="H329" s="312"/>
      <c r="I329" s="313"/>
      <c r="J329" s="431"/>
      <c r="K329" s="313"/>
      <c r="L329" s="313"/>
      <c r="M329" s="313"/>
      <c r="N329" s="315"/>
      <c r="O329" s="313"/>
      <c r="P329" s="313"/>
      <c r="Q329" s="432"/>
      <c r="R329" s="313"/>
      <c r="S329" s="313"/>
      <c r="T329" s="317"/>
      <c r="U329" s="433"/>
      <c r="V329" s="288"/>
      <c r="W329" s="220"/>
      <c r="X329" s="220"/>
      <c r="Y329" s="220"/>
      <c r="Z329" s="220"/>
      <c r="AA329" s="220"/>
      <c r="AB329" s="220"/>
      <c r="AC329" s="220"/>
      <c r="AD329" s="220"/>
      <c r="AE329" s="220"/>
      <c r="AF329" s="220"/>
      <c r="AG329" s="308"/>
      <c r="AH329" s="220"/>
      <c r="AI329" s="220"/>
      <c r="AJ329" s="220"/>
      <c r="AK329" s="220"/>
      <c r="AL329" s="220"/>
      <c r="AM329" s="220"/>
    </row>
    <row r="330">
      <c r="A330" s="430"/>
      <c r="B330" s="311"/>
      <c r="C330" s="311"/>
      <c r="D330" s="312"/>
      <c r="E330" s="311"/>
      <c r="F330" s="311"/>
      <c r="G330" s="312"/>
      <c r="H330" s="312"/>
      <c r="I330" s="313"/>
      <c r="J330" s="431"/>
      <c r="K330" s="313"/>
      <c r="L330" s="313"/>
      <c r="M330" s="313"/>
      <c r="N330" s="315"/>
      <c r="O330" s="313"/>
      <c r="P330" s="313"/>
      <c r="Q330" s="432"/>
      <c r="R330" s="313"/>
      <c r="S330" s="313"/>
      <c r="T330" s="317"/>
      <c r="U330" s="433"/>
      <c r="V330" s="288"/>
      <c r="W330" s="220"/>
      <c r="X330" s="220"/>
      <c r="Y330" s="220"/>
      <c r="Z330" s="220"/>
      <c r="AA330" s="220"/>
      <c r="AB330" s="220"/>
      <c r="AC330" s="220"/>
      <c r="AD330" s="220"/>
      <c r="AE330" s="220"/>
      <c r="AF330" s="220"/>
      <c r="AG330" s="308"/>
      <c r="AH330" s="220"/>
      <c r="AI330" s="220"/>
      <c r="AJ330" s="220"/>
      <c r="AK330" s="220"/>
      <c r="AL330" s="220"/>
      <c r="AM330" s="220"/>
    </row>
    <row r="331">
      <c r="A331" s="430"/>
      <c r="B331" s="311"/>
      <c r="C331" s="311"/>
      <c r="D331" s="312"/>
      <c r="E331" s="311"/>
      <c r="F331" s="311"/>
      <c r="G331" s="312"/>
      <c r="H331" s="312"/>
      <c r="I331" s="313"/>
      <c r="J331" s="431"/>
      <c r="K331" s="313"/>
      <c r="L331" s="313"/>
      <c r="M331" s="313"/>
      <c r="N331" s="315"/>
      <c r="O331" s="313"/>
      <c r="P331" s="313"/>
      <c r="Q331" s="432"/>
      <c r="R331" s="313"/>
      <c r="S331" s="313"/>
      <c r="T331" s="317"/>
      <c r="U331" s="433"/>
      <c r="V331" s="288"/>
      <c r="W331" s="220"/>
      <c r="X331" s="220"/>
      <c r="Y331" s="220"/>
      <c r="Z331" s="220"/>
      <c r="AA331" s="220"/>
      <c r="AB331" s="220"/>
      <c r="AC331" s="220"/>
      <c r="AD331" s="220"/>
      <c r="AE331" s="220"/>
      <c r="AF331" s="220"/>
      <c r="AG331" s="308"/>
      <c r="AH331" s="220"/>
      <c r="AI331" s="220"/>
      <c r="AJ331" s="220"/>
      <c r="AK331" s="220"/>
      <c r="AL331" s="220"/>
      <c r="AM331" s="220"/>
    </row>
    <row r="332">
      <c r="A332" s="430"/>
      <c r="B332" s="311"/>
      <c r="C332" s="311"/>
      <c r="D332" s="312"/>
      <c r="E332" s="311"/>
      <c r="F332" s="311"/>
      <c r="G332" s="312"/>
      <c r="H332" s="312"/>
      <c r="I332" s="313"/>
      <c r="J332" s="431"/>
      <c r="K332" s="313"/>
      <c r="L332" s="313"/>
      <c r="M332" s="313"/>
      <c r="N332" s="315"/>
      <c r="O332" s="313"/>
      <c r="P332" s="313"/>
      <c r="Q332" s="432"/>
      <c r="R332" s="313"/>
      <c r="S332" s="313"/>
      <c r="T332" s="317"/>
      <c r="U332" s="433"/>
      <c r="V332" s="288"/>
      <c r="W332" s="220"/>
      <c r="X332" s="220"/>
      <c r="Y332" s="220"/>
      <c r="Z332" s="220"/>
      <c r="AA332" s="220"/>
      <c r="AB332" s="220"/>
      <c r="AC332" s="220"/>
      <c r="AD332" s="220"/>
      <c r="AE332" s="220"/>
      <c r="AF332" s="220"/>
      <c r="AG332" s="308"/>
      <c r="AH332" s="220"/>
      <c r="AI332" s="220"/>
      <c r="AJ332" s="220"/>
      <c r="AK332" s="220"/>
      <c r="AL332" s="220"/>
      <c r="AM332" s="220"/>
    </row>
    <row r="333">
      <c r="A333" s="430"/>
      <c r="B333" s="311"/>
      <c r="C333" s="311"/>
      <c r="D333" s="312"/>
      <c r="E333" s="311"/>
      <c r="F333" s="311"/>
      <c r="G333" s="312"/>
      <c r="H333" s="312"/>
      <c r="I333" s="313"/>
      <c r="J333" s="431"/>
      <c r="K333" s="313"/>
      <c r="L333" s="313"/>
      <c r="M333" s="313"/>
      <c r="N333" s="315"/>
      <c r="O333" s="313"/>
      <c r="P333" s="313"/>
      <c r="Q333" s="432"/>
      <c r="R333" s="313"/>
      <c r="S333" s="313"/>
      <c r="T333" s="317"/>
      <c r="U333" s="433"/>
      <c r="V333" s="288"/>
      <c r="W333" s="220"/>
      <c r="X333" s="220"/>
      <c r="Y333" s="220"/>
      <c r="Z333" s="220"/>
      <c r="AA333" s="220"/>
      <c r="AB333" s="220"/>
      <c r="AC333" s="220"/>
      <c r="AD333" s="220"/>
      <c r="AE333" s="220"/>
      <c r="AF333" s="220"/>
      <c r="AG333" s="308"/>
      <c r="AH333" s="220"/>
      <c r="AI333" s="220"/>
      <c r="AJ333" s="220"/>
      <c r="AK333" s="220"/>
      <c r="AL333" s="220"/>
      <c r="AM333" s="220"/>
    </row>
    <row r="334">
      <c r="A334" s="430"/>
      <c r="B334" s="311"/>
      <c r="C334" s="311"/>
      <c r="D334" s="312"/>
      <c r="E334" s="311"/>
      <c r="F334" s="311"/>
      <c r="G334" s="312"/>
      <c r="H334" s="312"/>
      <c r="I334" s="313"/>
      <c r="J334" s="431"/>
      <c r="K334" s="313"/>
      <c r="L334" s="313"/>
      <c r="M334" s="313"/>
      <c r="N334" s="315"/>
      <c r="O334" s="313"/>
      <c r="P334" s="313"/>
      <c r="Q334" s="432"/>
      <c r="R334" s="313"/>
      <c r="S334" s="313"/>
      <c r="T334" s="317"/>
      <c r="U334" s="433"/>
      <c r="V334" s="288"/>
      <c r="W334" s="220"/>
      <c r="X334" s="220"/>
      <c r="Y334" s="220"/>
      <c r="Z334" s="220"/>
      <c r="AA334" s="220"/>
      <c r="AB334" s="220"/>
      <c r="AC334" s="220"/>
      <c r="AD334" s="220"/>
      <c r="AE334" s="220"/>
      <c r="AF334" s="220"/>
      <c r="AG334" s="308"/>
      <c r="AH334" s="220"/>
      <c r="AI334" s="220"/>
      <c r="AJ334" s="220"/>
      <c r="AK334" s="220"/>
      <c r="AL334" s="220"/>
      <c r="AM334" s="220"/>
    </row>
    <row r="335">
      <c r="A335" s="430"/>
      <c r="B335" s="311"/>
      <c r="C335" s="311"/>
      <c r="D335" s="312"/>
      <c r="E335" s="311"/>
      <c r="F335" s="311"/>
      <c r="G335" s="312"/>
      <c r="H335" s="312"/>
      <c r="I335" s="313"/>
      <c r="J335" s="431"/>
      <c r="K335" s="313"/>
      <c r="L335" s="313"/>
      <c r="M335" s="313"/>
      <c r="N335" s="315"/>
      <c r="O335" s="313"/>
      <c r="P335" s="313"/>
      <c r="Q335" s="432"/>
      <c r="R335" s="313"/>
      <c r="S335" s="313"/>
      <c r="T335" s="317"/>
      <c r="U335" s="433"/>
      <c r="V335" s="288"/>
      <c r="W335" s="220"/>
      <c r="X335" s="220"/>
      <c r="Y335" s="220"/>
      <c r="Z335" s="220"/>
      <c r="AA335" s="220"/>
      <c r="AB335" s="220"/>
      <c r="AC335" s="220"/>
      <c r="AD335" s="220"/>
      <c r="AE335" s="220"/>
      <c r="AF335" s="220"/>
      <c r="AG335" s="308"/>
      <c r="AH335" s="220"/>
      <c r="AI335" s="220"/>
      <c r="AJ335" s="220"/>
      <c r="AK335" s="220"/>
      <c r="AL335" s="220"/>
      <c r="AM335" s="220"/>
    </row>
    <row r="336">
      <c r="A336" s="430"/>
      <c r="B336" s="311"/>
      <c r="C336" s="311"/>
      <c r="D336" s="312"/>
      <c r="E336" s="311"/>
      <c r="F336" s="311"/>
      <c r="G336" s="312"/>
      <c r="H336" s="312"/>
      <c r="I336" s="313"/>
      <c r="J336" s="431"/>
      <c r="K336" s="313"/>
      <c r="L336" s="313"/>
      <c r="M336" s="313"/>
      <c r="N336" s="315"/>
      <c r="O336" s="313"/>
      <c r="P336" s="313"/>
      <c r="Q336" s="432"/>
      <c r="R336" s="313"/>
      <c r="S336" s="313"/>
      <c r="T336" s="317"/>
      <c r="U336" s="433"/>
      <c r="V336" s="288"/>
      <c r="W336" s="220"/>
      <c r="X336" s="220"/>
      <c r="Y336" s="220"/>
      <c r="Z336" s="220"/>
      <c r="AA336" s="220"/>
      <c r="AB336" s="220"/>
      <c r="AC336" s="220"/>
      <c r="AD336" s="220"/>
      <c r="AE336" s="220"/>
      <c r="AF336" s="220"/>
      <c r="AG336" s="308"/>
      <c r="AH336" s="220"/>
      <c r="AI336" s="220"/>
      <c r="AJ336" s="220"/>
      <c r="AK336" s="220"/>
      <c r="AL336" s="220"/>
      <c r="AM336" s="220"/>
    </row>
    <row r="337">
      <c r="A337" s="430"/>
      <c r="B337" s="311"/>
      <c r="C337" s="311"/>
      <c r="D337" s="312"/>
      <c r="E337" s="311"/>
      <c r="F337" s="311"/>
      <c r="G337" s="312"/>
      <c r="H337" s="312"/>
      <c r="I337" s="313"/>
      <c r="J337" s="431"/>
      <c r="K337" s="313"/>
      <c r="L337" s="313"/>
      <c r="M337" s="313"/>
      <c r="N337" s="315"/>
      <c r="O337" s="313"/>
      <c r="P337" s="313"/>
      <c r="Q337" s="432"/>
      <c r="R337" s="313"/>
      <c r="S337" s="313"/>
      <c r="T337" s="317"/>
      <c r="U337" s="433"/>
      <c r="V337" s="288"/>
      <c r="W337" s="220"/>
      <c r="X337" s="220"/>
      <c r="Y337" s="220"/>
      <c r="Z337" s="220"/>
      <c r="AA337" s="220"/>
      <c r="AB337" s="220"/>
      <c r="AC337" s="220"/>
      <c r="AD337" s="220"/>
      <c r="AE337" s="220"/>
      <c r="AF337" s="220"/>
      <c r="AG337" s="308"/>
      <c r="AH337" s="220"/>
      <c r="AI337" s="220"/>
      <c r="AJ337" s="220"/>
      <c r="AK337" s="220"/>
      <c r="AL337" s="220"/>
      <c r="AM337" s="220"/>
    </row>
    <row r="338">
      <c r="A338" s="430"/>
      <c r="B338" s="311"/>
      <c r="C338" s="311"/>
      <c r="D338" s="312"/>
      <c r="E338" s="311"/>
      <c r="F338" s="311"/>
      <c r="G338" s="312"/>
      <c r="H338" s="312"/>
      <c r="I338" s="313"/>
      <c r="J338" s="431"/>
      <c r="K338" s="313"/>
      <c r="L338" s="313"/>
      <c r="M338" s="313"/>
      <c r="N338" s="315"/>
      <c r="O338" s="313"/>
      <c r="P338" s="313"/>
      <c r="Q338" s="432"/>
      <c r="R338" s="313"/>
      <c r="S338" s="313"/>
      <c r="T338" s="317"/>
      <c r="U338" s="433"/>
      <c r="V338" s="288"/>
      <c r="W338" s="220"/>
      <c r="X338" s="220"/>
      <c r="Y338" s="220"/>
      <c r="Z338" s="220"/>
      <c r="AA338" s="220"/>
      <c r="AB338" s="220"/>
      <c r="AC338" s="220"/>
      <c r="AD338" s="220"/>
      <c r="AE338" s="220"/>
      <c r="AF338" s="220"/>
      <c r="AG338" s="308"/>
      <c r="AH338" s="220"/>
      <c r="AI338" s="220"/>
      <c r="AJ338" s="220"/>
      <c r="AK338" s="220"/>
      <c r="AL338" s="220"/>
      <c r="AM338" s="220"/>
    </row>
    <row r="339">
      <c r="A339" s="430"/>
      <c r="B339" s="311"/>
      <c r="C339" s="311"/>
      <c r="D339" s="312"/>
      <c r="E339" s="311"/>
      <c r="F339" s="311"/>
      <c r="G339" s="312"/>
      <c r="H339" s="312"/>
      <c r="I339" s="313"/>
      <c r="J339" s="431"/>
      <c r="K339" s="313"/>
      <c r="L339" s="313"/>
      <c r="M339" s="313"/>
      <c r="N339" s="315"/>
      <c r="O339" s="313"/>
      <c r="P339" s="313"/>
      <c r="Q339" s="432"/>
      <c r="R339" s="313"/>
      <c r="S339" s="313"/>
      <c r="T339" s="317"/>
      <c r="U339" s="433"/>
      <c r="V339" s="288"/>
      <c r="W339" s="220"/>
      <c r="X339" s="220"/>
      <c r="Y339" s="220"/>
      <c r="Z339" s="220"/>
      <c r="AA339" s="220"/>
      <c r="AB339" s="220"/>
      <c r="AC339" s="220"/>
      <c r="AD339" s="220"/>
      <c r="AE339" s="220"/>
      <c r="AF339" s="220"/>
      <c r="AG339" s="308"/>
      <c r="AH339" s="220"/>
      <c r="AI339" s="220"/>
      <c r="AJ339" s="220"/>
      <c r="AK339" s="220"/>
      <c r="AL339" s="220"/>
      <c r="AM339" s="220"/>
    </row>
    <row r="340">
      <c r="A340" s="430"/>
      <c r="B340" s="311"/>
      <c r="C340" s="311"/>
      <c r="D340" s="312"/>
      <c r="E340" s="311"/>
      <c r="F340" s="311"/>
      <c r="G340" s="312"/>
      <c r="H340" s="312"/>
      <c r="I340" s="313"/>
      <c r="J340" s="431"/>
      <c r="K340" s="313"/>
      <c r="L340" s="313"/>
      <c r="M340" s="313"/>
      <c r="N340" s="315"/>
      <c r="O340" s="313"/>
      <c r="P340" s="313"/>
      <c r="Q340" s="432"/>
      <c r="R340" s="313"/>
      <c r="S340" s="313"/>
      <c r="T340" s="317"/>
      <c r="U340" s="433"/>
      <c r="V340" s="288"/>
      <c r="W340" s="220"/>
      <c r="X340" s="220"/>
      <c r="Y340" s="220"/>
      <c r="Z340" s="220"/>
      <c r="AA340" s="220"/>
      <c r="AB340" s="220"/>
      <c r="AC340" s="220"/>
      <c r="AD340" s="220"/>
      <c r="AE340" s="220"/>
      <c r="AF340" s="220"/>
      <c r="AG340" s="308"/>
      <c r="AH340" s="220"/>
      <c r="AI340" s="220"/>
      <c r="AJ340" s="220"/>
      <c r="AK340" s="220"/>
      <c r="AL340" s="220"/>
      <c r="AM340" s="220"/>
    </row>
    <row r="341">
      <c r="A341" s="430"/>
      <c r="B341" s="311"/>
      <c r="C341" s="311"/>
      <c r="D341" s="312"/>
      <c r="E341" s="311"/>
      <c r="F341" s="311"/>
      <c r="G341" s="312"/>
      <c r="H341" s="312"/>
      <c r="I341" s="313"/>
      <c r="J341" s="431"/>
      <c r="K341" s="313"/>
      <c r="L341" s="313"/>
      <c r="M341" s="313"/>
      <c r="N341" s="315"/>
      <c r="O341" s="313"/>
      <c r="P341" s="313"/>
      <c r="Q341" s="432"/>
      <c r="R341" s="313"/>
      <c r="S341" s="313"/>
      <c r="T341" s="317"/>
      <c r="U341" s="433"/>
      <c r="V341" s="288"/>
      <c r="W341" s="220"/>
      <c r="X341" s="220"/>
      <c r="Y341" s="220"/>
      <c r="Z341" s="220"/>
      <c r="AA341" s="220"/>
      <c r="AB341" s="220"/>
      <c r="AC341" s="220"/>
      <c r="AD341" s="220"/>
      <c r="AE341" s="220"/>
      <c r="AF341" s="220"/>
      <c r="AG341" s="308"/>
      <c r="AH341" s="220"/>
      <c r="AI341" s="220"/>
      <c r="AJ341" s="220"/>
      <c r="AK341" s="220"/>
      <c r="AL341" s="220"/>
      <c r="AM341" s="220"/>
    </row>
    <row r="342">
      <c r="A342" s="430"/>
      <c r="B342" s="311"/>
      <c r="C342" s="311"/>
      <c r="D342" s="312"/>
      <c r="E342" s="311"/>
      <c r="F342" s="311"/>
      <c r="G342" s="312"/>
      <c r="H342" s="312"/>
      <c r="I342" s="313"/>
      <c r="J342" s="431"/>
      <c r="K342" s="313"/>
      <c r="L342" s="313"/>
      <c r="M342" s="313"/>
      <c r="N342" s="315"/>
      <c r="O342" s="313"/>
      <c r="P342" s="313"/>
      <c r="Q342" s="432"/>
      <c r="R342" s="313"/>
      <c r="S342" s="313"/>
      <c r="T342" s="317"/>
      <c r="U342" s="433"/>
      <c r="V342" s="288"/>
      <c r="W342" s="220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308"/>
      <c r="AH342" s="220"/>
      <c r="AI342" s="220"/>
      <c r="AJ342" s="220"/>
      <c r="AK342" s="220"/>
      <c r="AL342" s="220"/>
      <c r="AM342" s="220"/>
    </row>
    <row r="343">
      <c r="A343" s="430"/>
      <c r="B343" s="311"/>
      <c r="C343" s="311"/>
      <c r="D343" s="312"/>
      <c r="E343" s="311"/>
      <c r="F343" s="311"/>
      <c r="G343" s="312"/>
      <c r="H343" s="312"/>
      <c r="I343" s="313"/>
      <c r="J343" s="431"/>
      <c r="K343" s="313"/>
      <c r="L343" s="313"/>
      <c r="M343" s="313"/>
      <c r="N343" s="315"/>
      <c r="O343" s="313"/>
      <c r="P343" s="313"/>
      <c r="Q343" s="432"/>
      <c r="R343" s="313"/>
      <c r="S343" s="313"/>
      <c r="T343" s="317"/>
      <c r="U343" s="433"/>
      <c r="V343" s="288"/>
      <c r="W343" s="220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308"/>
      <c r="AH343" s="220"/>
      <c r="AI343" s="220"/>
      <c r="AJ343" s="220"/>
      <c r="AK343" s="220"/>
      <c r="AL343" s="220"/>
      <c r="AM343" s="220"/>
    </row>
    <row r="344">
      <c r="A344" s="430"/>
      <c r="B344" s="311"/>
      <c r="C344" s="311"/>
      <c r="D344" s="312"/>
      <c r="E344" s="311"/>
      <c r="F344" s="311"/>
      <c r="G344" s="312"/>
      <c r="H344" s="312"/>
      <c r="I344" s="313"/>
      <c r="J344" s="431"/>
      <c r="K344" s="313"/>
      <c r="L344" s="313"/>
      <c r="M344" s="313"/>
      <c r="N344" s="315"/>
      <c r="O344" s="313"/>
      <c r="P344" s="313"/>
      <c r="Q344" s="432"/>
      <c r="R344" s="313"/>
      <c r="S344" s="313"/>
      <c r="T344" s="317"/>
      <c r="U344" s="433"/>
      <c r="V344" s="288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308"/>
      <c r="AH344" s="220"/>
      <c r="AI344" s="220"/>
      <c r="AJ344" s="220"/>
      <c r="AK344" s="220"/>
      <c r="AL344" s="220"/>
      <c r="AM344" s="220"/>
    </row>
    <row r="345">
      <c r="A345" s="430"/>
      <c r="B345" s="311"/>
      <c r="C345" s="311"/>
      <c r="D345" s="312"/>
      <c r="E345" s="311"/>
      <c r="F345" s="311"/>
      <c r="G345" s="312"/>
      <c r="H345" s="312"/>
      <c r="I345" s="313"/>
      <c r="J345" s="431"/>
      <c r="K345" s="313"/>
      <c r="L345" s="313"/>
      <c r="M345" s="313"/>
      <c r="N345" s="315"/>
      <c r="O345" s="313"/>
      <c r="P345" s="313"/>
      <c r="Q345" s="432"/>
      <c r="R345" s="313"/>
      <c r="S345" s="313"/>
      <c r="T345" s="317"/>
      <c r="U345" s="433"/>
      <c r="V345" s="288"/>
      <c r="W345" s="220"/>
      <c r="X345" s="220"/>
      <c r="Y345" s="220"/>
      <c r="Z345" s="220"/>
      <c r="AA345" s="220"/>
      <c r="AB345" s="220"/>
      <c r="AC345" s="220"/>
      <c r="AD345" s="220"/>
      <c r="AE345" s="220"/>
      <c r="AF345" s="220"/>
      <c r="AG345" s="308"/>
      <c r="AH345" s="220"/>
      <c r="AI345" s="220"/>
      <c r="AJ345" s="220"/>
      <c r="AK345" s="220"/>
      <c r="AL345" s="220"/>
      <c r="AM345" s="220"/>
    </row>
    <row r="346">
      <c r="A346" s="430"/>
      <c r="B346" s="311"/>
      <c r="C346" s="311"/>
      <c r="D346" s="312"/>
      <c r="E346" s="311"/>
      <c r="F346" s="311"/>
      <c r="G346" s="312"/>
      <c r="H346" s="312"/>
      <c r="I346" s="313"/>
      <c r="J346" s="431"/>
      <c r="K346" s="313"/>
      <c r="L346" s="313"/>
      <c r="M346" s="313"/>
      <c r="N346" s="315"/>
      <c r="O346" s="313"/>
      <c r="P346" s="313"/>
      <c r="Q346" s="432"/>
      <c r="R346" s="313"/>
      <c r="S346" s="313"/>
      <c r="T346" s="317"/>
      <c r="U346" s="433"/>
      <c r="V346" s="288"/>
      <c r="W346" s="220"/>
      <c r="X346" s="220"/>
      <c r="Y346" s="220"/>
      <c r="Z346" s="220"/>
      <c r="AA346" s="220"/>
      <c r="AB346" s="220"/>
      <c r="AC346" s="220"/>
      <c r="AD346" s="220"/>
      <c r="AE346" s="220"/>
      <c r="AF346" s="220"/>
      <c r="AG346" s="308"/>
      <c r="AH346" s="220"/>
      <c r="AI346" s="220"/>
      <c r="AJ346" s="220"/>
      <c r="AK346" s="220"/>
      <c r="AL346" s="220"/>
      <c r="AM346" s="220"/>
    </row>
    <row r="347">
      <c r="A347" s="430"/>
      <c r="B347" s="311"/>
      <c r="C347" s="311"/>
      <c r="D347" s="312"/>
      <c r="E347" s="311"/>
      <c r="F347" s="311"/>
      <c r="G347" s="312"/>
      <c r="H347" s="312"/>
      <c r="I347" s="313"/>
      <c r="J347" s="431"/>
      <c r="K347" s="313"/>
      <c r="L347" s="313"/>
      <c r="M347" s="313"/>
      <c r="N347" s="315"/>
      <c r="O347" s="313"/>
      <c r="P347" s="313"/>
      <c r="Q347" s="432"/>
      <c r="R347" s="313"/>
      <c r="S347" s="313"/>
      <c r="T347" s="317"/>
      <c r="U347" s="433"/>
      <c r="V347" s="288"/>
      <c r="W347" s="220"/>
      <c r="X347" s="220"/>
      <c r="Y347" s="220"/>
      <c r="Z347" s="220"/>
      <c r="AA347" s="220"/>
      <c r="AB347" s="220"/>
      <c r="AC347" s="220"/>
      <c r="AD347" s="220"/>
      <c r="AE347" s="220"/>
      <c r="AF347" s="220"/>
      <c r="AG347" s="308"/>
      <c r="AH347" s="220"/>
      <c r="AI347" s="220"/>
      <c r="AJ347" s="220"/>
      <c r="AK347" s="220"/>
      <c r="AL347" s="220"/>
      <c r="AM347" s="220"/>
    </row>
    <row r="348">
      <c r="A348" s="430"/>
      <c r="B348" s="311"/>
      <c r="C348" s="311"/>
      <c r="D348" s="312"/>
      <c r="E348" s="311"/>
      <c r="F348" s="311"/>
      <c r="G348" s="312"/>
      <c r="H348" s="312"/>
      <c r="I348" s="313"/>
      <c r="J348" s="431"/>
      <c r="K348" s="313"/>
      <c r="L348" s="313"/>
      <c r="M348" s="313"/>
      <c r="N348" s="315"/>
      <c r="O348" s="313"/>
      <c r="P348" s="313"/>
      <c r="Q348" s="432"/>
      <c r="R348" s="313"/>
      <c r="S348" s="313"/>
      <c r="T348" s="317"/>
      <c r="U348" s="433"/>
      <c r="V348" s="288"/>
      <c r="W348" s="220"/>
      <c r="X348" s="220"/>
      <c r="Y348" s="220"/>
      <c r="Z348" s="220"/>
      <c r="AA348" s="220"/>
      <c r="AB348" s="220"/>
      <c r="AC348" s="220"/>
      <c r="AD348" s="220"/>
      <c r="AE348" s="220"/>
      <c r="AF348" s="220"/>
      <c r="AG348" s="308"/>
      <c r="AH348" s="220"/>
      <c r="AI348" s="220"/>
      <c r="AJ348" s="220"/>
      <c r="AK348" s="220"/>
      <c r="AL348" s="220"/>
      <c r="AM348" s="220"/>
    </row>
    <row r="349">
      <c r="A349" s="430"/>
      <c r="B349" s="311"/>
      <c r="C349" s="311"/>
      <c r="D349" s="312"/>
      <c r="E349" s="311"/>
      <c r="F349" s="311"/>
      <c r="G349" s="312"/>
      <c r="H349" s="312"/>
      <c r="I349" s="313"/>
      <c r="J349" s="431"/>
      <c r="K349" s="313"/>
      <c r="L349" s="313"/>
      <c r="M349" s="313"/>
      <c r="N349" s="315"/>
      <c r="O349" s="313"/>
      <c r="P349" s="313"/>
      <c r="Q349" s="432"/>
      <c r="R349" s="313"/>
      <c r="S349" s="313"/>
      <c r="T349" s="317"/>
      <c r="U349" s="433"/>
      <c r="V349" s="288"/>
      <c r="W349" s="220"/>
      <c r="X349" s="220"/>
      <c r="Y349" s="220"/>
      <c r="Z349" s="220"/>
      <c r="AA349" s="220"/>
      <c r="AB349" s="220"/>
      <c r="AC349" s="220"/>
      <c r="AD349" s="220"/>
      <c r="AE349" s="220"/>
      <c r="AF349" s="220"/>
      <c r="AG349" s="308"/>
      <c r="AH349" s="220"/>
      <c r="AI349" s="220"/>
      <c r="AJ349" s="220"/>
      <c r="AK349" s="220"/>
      <c r="AL349" s="220"/>
      <c r="AM349" s="220"/>
    </row>
    <row r="350">
      <c r="A350" s="430"/>
      <c r="B350" s="311"/>
      <c r="C350" s="311"/>
      <c r="D350" s="312"/>
      <c r="E350" s="311"/>
      <c r="F350" s="311"/>
      <c r="G350" s="312"/>
      <c r="H350" s="312"/>
      <c r="I350" s="313"/>
      <c r="J350" s="431"/>
      <c r="K350" s="313"/>
      <c r="L350" s="313"/>
      <c r="M350" s="313"/>
      <c r="N350" s="315"/>
      <c r="O350" s="313"/>
      <c r="P350" s="313"/>
      <c r="Q350" s="432"/>
      <c r="R350" s="313"/>
      <c r="S350" s="313"/>
      <c r="T350" s="317"/>
      <c r="U350" s="433"/>
      <c r="V350" s="288"/>
      <c r="W350" s="220"/>
      <c r="X350" s="220"/>
      <c r="Y350" s="220"/>
      <c r="Z350" s="220"/>
      <c r="AA350" s="220"/>
      <c r="AB350" s="220"/>
      <c r="AC350" s="220"/>
      <c r="AD350" s="220"/>
      <c r="AE350" s="220"/>
      <c r="AF350" s="220"/>
      <c r="AG350" s="308"/>
      <c r="AH350" s="220"/>
      <c r="AI350" s="220"/>
      <c r="AJ350" s="220"/>
      <c r="AK350" s="220"/>
      <c r="AL350" s="220"/>
      <c r="AM350" s="220"/>
    </row>
    <row r="351">
      <c r="A351" s="430"/>
      <c r="B351" s="311"/>
      <c r="C351" s="311"/>
      <c r="D351" s="312"/>
      <c r="E351" s="311"/>
      <c r="F351" s="311"/>
      <c r="G351" s="312"/>
      <c r="H351" s="312"/>
      <c r="I351" s="313"/>
      <c r="J351" s="431"/>
      <c r="K351" s="313"/>
      <c r="L351" s="313"/>
      <c r="M351" s="313"/>
      <c r="N351" s="315"/>
      <c r="O351" s="313"/>
      <c r="P351" s="313"/>
      <c r="Q351" s="432"/>
      <c r="R351" s="313"/>
      <c r="S351" s="313"/>
      <c r="T351" s="317"/>
      <c r="U351" s="433"/>
      <c r="V351" s="288"/>
      <c r="W351" s="220"/>
      <c r="X351" s="220"/>
      <c r="Y351" s="220"/>
      <c r="Z351" s="220"/>
      <c r="AA351" s="220"/>
      <c r="AB351" s="220"/>
      <c r="AC351" s="220"/>
      <c r="AD351" s="220"/>
      <c r="AE351" s="220"/>
      <c r="AF351" s="220"/>
      <c r="AG351" s="308"/>
      <c r="AH351" s="220"/>
      <c r="AI351" s="220"/>
      <c r="AJ351" s="220"/>
      <c r="AK351" s="220"/>
      <c r="AL351" s="220"/>
      <c r="AM351" s="220"/>
    </row>
    <row r="352">
      <c r="A352" s="430"/>
      <c r="B352" s="311"/>
      <c r="C352" s="311"/>
      <c r="D352" s="312"/>
      <c r="E352" s="311"/>
      <c r="F352" s="311"/>
      <c r="G352" s="312"/>
      <c r="H352" s="312"/>
      <c r="I352" s="313"/>
      <c r="J352" s="431"/>
      <c r="K352" s="313"/>
      <c r="L352" s="313"/>
      <c r="M352" s="313"/>
      <c r="N352" s="315"/>
      <c r="O352" s="313"/>
      <c r="P352" s="313"/>
      <c r="Q352" s="432"/>
      <c r="R352" s="313"/>
      <c r="S352" s="313"/>
      <c r="T352" s="317"/>
      <c r="U352" s="433"/>
      <c r="V352" s="288"/>
      <c r="W352" s="220"/>
      <c r="X352" s="220"/>
      <c r="Y352" s="220"/>
      <c r="Z352" s="220"/>
      <c r="AA352" s="220"/>
      <c r="AB352" s="220"/>
      <c r="AC352" s="220"/>
      <c r="AD352" s="220"/>
      <c r="AE352" s="220"/>
      <c r="AF352" s="220"/>
      <c r="AG352" s="308"/>
      <c r="AH352" s="220"/>
      <c r="AI352" s="220"/>
      <c r="AJ352" s="220"/>
      <c r="AK352" s="220"/>
      <c r="AL352" s="220"/>
      <c r="AM352" s="220"/>
    </row>
    <row r="353">
      <c r="A353" s="430"/>
      <c r="B353" s="311"/>
      <c r="C353" s="311"/>
      <c r="D353" s="312"/>
      <c r="E353" s="311"/>
      <c r="F353" s="311"/>
      <c r="G353" s="312"/>
      <c r="H353" s="312"/>
      <c r="I353" s="313"/>
      <c r="J353" s="431"/>
      <c r="K353" s="313"/>
      <c r="L353" s="313"/>
      <c r="M353" s="313"/>
      <c r="N353" s="315"/>
      <c r="O353" s="313"/>
      <c r="P353" s="313"/>
      <c r="Q353" s="432"/>
      <c r="R353" s="313"/>
      <c r="S353" s="313"/>
      <c r="T353" s="317"/>
      <c r="U353" s="433"/>
      <c r="V353" s="288"/>
      <c r="W353" s="220"/>
      <c r="X353" s="220"/>
      <c r="Y353" s="220"/>
      <c r="Z353" s="220"/>
      <c r="AA353" s="220"/>
      <c r="AB353" s="220"/>
      <c r="AC353" s="220"/>
      <c r="AD353" s="220"/>
      <c r="AE353" s="220"/>
      <c r="AF353" s="220"/>
      <c r="AG353" s="308"/>
      <c r="AH353" s="220"/>
      <c r="AI353" s="220"/>
      <c r="AJ353" s="220"/>
      <c r="AK353" s="220"/>
      <c r="AL353" s="220"/>
      <c r="AM353" s="220"/>
    </row>
    <row r="354">
      <c r="A354" s="430"/>
      <c r="B354" s="311"/>
      <c r="C354" s="311"/>
      <c r="D354" s="312"/>
      <c r="E354" s="311"/>
      <c r="F354" s="311"/>
      <c r="G354" s="312"/>
      <c r="H354" s="312"/>
      <c r="I354" s="313"/>
      <c r="J354" s="431"/>
      <c r="K354" s="313"/>
      <c r="L354" s="313"/>
      <c r="M354" s="313"/>
      <c r="N354" s="315"/>
      <c r="O354" s="313"/>
      <c r="P354" s="313"/>
      <c r="Q354" s="432"/>
      <c r="R354" s="313"/>
      <c r="S354" s="313"/>
      <c r="T354" s="317"/>
      <c r="U354" s="433"/>
      <c r="V354" s="288"/>
      <c r="W354" s="220"/>
      <c r="X354" s="220"/>
      <c r="Y354" s="220"/>
      <c r="Z354" s="220"/>
      <c r="AA354" s="220"/>
      <c r="AB354" s="220"/>
      <c r="AC354" s="220"/>
      <c r="AD354" s="220"/>
      <c r="AE354" s="220"/>
      <c r="AF354" s="220"/>
      <c r="AG354" s="308"/>
      <c r="AH354" s="220"/>
      <c r="AI354" s="220"/>
      <c r="AJ354" s="220"/>
      <c r="AK354" s="220"/>
      <c r="AL354" s="220"/>
      <c r="AM354" s="220"/>
    </row>
    <row r="355">
      <c r="A355" s="430"/>
      <c r="B355" s="311"/>
      <c r="C355" s="311"/>
      <c r="D355" s="312"/>
      <c r="E355" s="311"/>
      <c r="F355" s="311"/>
      <c r="G355" s="312"/>
      <c r="H355" s="312"/>
      <c r="I355" s="313"/>
      <c r="J355" s="431"/>
      <c r="K355" s="313"/>
      <c r="L355" s="313"/>
      <c r="M355" s="313"/>
      <c r="N355" s="315"/>
      <c r="O355" s="313"/>
      <c r="P355" s="313"/>
      <c r="Q355" s="432"/>
      <c r="R355" s="313"/>
      <c r="S355" s="313"/>
      <c r="T355" s="317"/>
      <c r="U355" s="433"/>
      <c r="V355" s="288"/>
      <c r="W355" s="220"/>
      <c r="X355" s="220"/>
      <c r="Y355" s="220"/>
      <c r="Z355" s="220"/>
      <c r="AA355" s="220"/>
      <c r="AB355" s="220"/>
      <c r="AC355" s="220"/>
      <c r="AD355" s="220"/>
      <c r="AE355" s="220"/>
      <c r="AF355" s="220"/>
      <c r="AG355" s="308"/>
      <c r="AH355" s="220"/>
      <c r="AI355" s="220"/>
      <c r="AJ355" s="220"/>
      <c r="AK355" s="220"/>
      <c r="AL355" s="220"/>
      <c r="AM355" s="220"/>
    </row>
    <row r="356">
      <c r="A356" s="430"/>
      <c r="B356" s="311"/>
      <c r="C356" s="311"/>
      <c r="D356" s="312"/>
      <c r="E356" s="311"/>
      <c r="F356" s="311"/>
      <c r="G356" s="312"/>
      <c r="H356" s="312"/>
      <c r="I356" s="313"/>
      <c r="J356" s="431"/>
      <c r="K356" s="313"/>
      <c r="L356" s="313"/>
      <c r="M356" s="313"/>
      <c r="N356" s="315"/>
      <c r="O356" s="313"/>
      <c r="P356" s="313"/>
      <c r="Q356" s="432"/>
      <c r="R356" s="313"/>
      <c r="S356" s="313"/>
      <c r="T356" s="317"/>
      <c r="U356" s="433"/>
      <c r="V356" s="288"/>
      <c r="W356" s="220"/>
      <c r="X356" s="220"/>
      <c r="Y356" s="220"/>
      <c r="Z356" s="220"/>
      <c r="AA356" s="220"/>
      <c r="AB356" s="220"/>
      <c r="AC356" s="220"/>
      <c r="AD356" s="220"/>
      <c r="AE356" s="220"/>
      <c r="AF356" s="220"/>
      <c r="AG356" s="308"/>
      <c r="AH356" s="220"/>
      <c r="AI356" s="220"/>
      <c r="AJ356" s="220"/>
      <c r="AK356" s="220"/>
      <c r="AL356" s="220"/>
      <c r="AM356" s="220"/>
    </row>
    <row r="357">
      <c r="A357" s="430"/>
      <c r="B357" s="311"/>
      <c r="C357" s="311"/>
      <c r="D357" s="312"/>
      <c r="E357" s="311"/>
      <c r="F357" s="311"/>
      <c r="G357" s="312"/>
      <c r="H357" s="312"/>
      <c r="I357" s="313"/>
      <c r="J357" s="431"/>
      <c r="K357" s="313"/>
      <c r="L357" s="313"/>
      <c r="M357" s="313"/>
      <c r="N357" s="315"/>
      <c r="O357" s="313"/>
      <c r="P357" s="313"/>
      <c r="Q357" s="432"/>
      <c r="R357" s="313"/>
      <c r="S357" s="313"/>
      <c r="T357" s="317"/>
      <c r="U357" s="433"/>
      <c r="V357" s="288"/>
      <c r="W357" s="220"/>
      <c r="X357" s="220"/>
      <c r="Y357" s="220"/>
      <c r="Z357" s="220"/>
      <c r="AA357" s="220"/>
      <c r="AB357" s="220"/>
      <c r="AC357" s="220"/>
      <c r="AD357" s="220"/>
      <c r="AE357" s="220"/>
      <c r="AF357" s="220"/>
      <c r="AG357" s="308"/>
      <c r="AH357" s="220"/>
      <c r="AI357" s="220"/>
      <c r="AJ357" s="220"/>
      <c r="AK357" s="220"/>
      <c r="AL357" s="220"/>
      <c r="AM357" s="220"/>
    </row>
    <row r="358">
      <c r="A358" s="430"/>
      <c r="B358" s="311"/>
      <c r="C358" s="311"/>
      <c r="D358" s="312"/>
      <c r="E358" s="311"/>
      <c r="F358" s="311"/>
      <c r="G358" s="312"/>
      <c r="H358" s="312"/>
      <c r="I358" s="313"/>
      <c r="J358" s="431"/>
      <c r="K358" s="313"/>
      <c r="L358" s="313"/>
      <c r="M358" s="313"/>
      <c r="N358" s="315"/>
      <c r="O358" s="313"/>
      <c r="P358" s="313"/>
      <c r="Q358" s="432"/>
      <c r="R358" s="313"/>
      <c r="S358" s="313"/>
      <c r="T358" s="317"/>
      <c r="U358" s="433"/>
      <c r="V358" s="288"/>
      <c r="W358" s="220"/>
      <c r="X358" s="220"/>
      <c r="Y358" s="220"/>
      <c r="Z358" s="220"/>
      <c r="AA358" s="220"/>
      <c r="AB358" s="220"/>
      <c r="AC358" s="220"/>
      <c r="AD358" s="220"/>
      <c r="AE358" s="220"/>
      <c r="AF358" s="220"/>
      <c r="AG358" s="308"/>
      <c r="AH358" s="220"/>
      <c r="AI358" s="220"/>
      <c r="AJ358" s="220"/>
      <c r="AK358" s="220"/>
      <c r="AL358" s="220"/>
      <c r="AM358" s="220"/>
    </row>
    <row r="359">
      <c r="A359" s="430"/>
      <c r="B359" s="311"/>
      <c r="C359" s="311"/>
      <c r="D359" s="312"/>
      <c r="E359" s="311"/>
      <c r="F359" s="311"/>
      <c r="G359" s="312"/>
      <c r="H359" s="312"/>
      <c r="I359" s="313"/>
      <c r="J359" s="431"/>
      <c r="K359" s="313"/>
      <c r="L359" s="313"/>
      <c r="M359" s="313"/>
      <c r="N359" s="315"/>
      <c r="O359" s="313"/>
      <c r="P359" s="313"/>
      <c r="Q359" s="432"/>
      <c r="R359" s="313"/>
      <c r="S359" s="313"/>
      <c r="T359" s="317"/>
      <c r="U359" s="433"/>
      <c r="V359" s="288"/>
      <c r="W359" s="220"/>
      <c r="X359" s="220"/>
      <c r="Y359" s="220"/>
      <c r="Z359" s="220"/>
      <c r="AA359" s="220"/>
      <c r="AB359" s="220"/>
      <c r="AC359" s="220"/>
      <c r="AD359" s="220"/>
      <c r="AE359" s="220"/>
      <c r="AF359" s="220"/>
      <c r="AG359" s="308"/>
      <c r="AH359" s="220"/>
      <c r="AI359" s="220"/>
      <c r="AJ359" s="220"/>
      <c r="AK359" s="220"/>
      <c r="AL359" s="220"/>
      <c r="AM359" s="220"/>
    </row>
    <row r="360">
      <c r="A360" s="430"/>
      <c r="B360" s="311"/>
      <c r="C360" s="311"/>
      <c r="D360" s="312"/>
      <c r="E360" s="311"/>
      <c r="F360" s="311"/>
      <c r="G360" s="312"/>
      <c r="H360" s="312"/>
      <c r="I360" s="313"/>
      <c r="J360" s="431"/>
      <c r="K360" s="313"/>
      <c r="L360" s="313"/>
      <c r="M360" s="313"/>
      <c r="N360" s="315"/>
      <c r="O360" s="313"/>
      <c r="P360" s="313"/>
      <c r="Q360" s="432"/>
      <c r="R360" s="313"/>
      <c r="S360" s="313"/>
      <c r="T360" s="317"/>
      <c r="U360" s="433"/>
      <c r="V360" s="288"/>
      <c r="W360" s="220"/>
      <c r="X360" s="220"/>
      <c r="Y360" s="220"/>
      <c r="Z360" s="220"/>
      <c r="AA360" s="220"/>
      <c r="AB360" s="220"/>
      <c r="AC360" s="220"/>
      <c r="AD360" s="220"/>
      <c r="AE360" s="220"/>
      <c r="AF360" s="220"/>
      <c r="AG360" s="308"/>
      <c r="AH360" s="220"/>
      <c r="AI360" s="220"/>
      <c r="AJ360" s="220"/>
      <c r="AK360" s="220"/>
      <c r="AL360" s="220"/>
      <c r="AM360" s="220"/>
    </row>
    <row r="361">
      <c r="A361" s="430"/>
      <c r="B361" s="311"/>
      <c r="C361" s="311"/>
      <c r="D361" s="312"/>
      <c r="E361" s="311"/>
      <c r="F361" s="311"/>
      <c r="G361" s="312"/>
      <c r="H361" s="312"/>
      <c r="I361" s="313"/>
      <c r="J361" s="431"/>
      <c r="K361" s="313"/>
      <c r="L361" s="313"/>
      <c r="M361" s="313"/>
      <c r="N361" s="315"/>
      <c r="O361" s="313"/>
      <c r="P361" s="313"/>
      <c r="Q361" s="432"/>
      <c r="R361" s="313"/>
      <c r="S361" s="313"/>
      <c r="T361" s="317"/>
      <c r="U361" s="433"/>
      <c r="V361" s="288"/>
      <c r="W361" s="220"/>
      <c r="X361" s="220"/>
      <c r="Y361" s="220"/>
      <c r="Z361" s="220"/>
      <c r="AA361" s="220"/>
      <c r="AB361" s="220"/>
      <c r="AC361" s="220"/>
      <c r="AD361" s="220"/>
      <c r="AE361" s="220"/>
      <c r="AF361" s="220"/>
      <c r="AG361" s="308"/>
      <c r="AH361" s="220"/>
      <c r="AI361" s="220"/>
      <c r="AJ361" s="220"/>
      <c r="AK361" s="220"/>
      <c r="AL361" s="220"/>
      <c r="AM361" s="220"/>
    </row>
    <row r="362">
      <c r="A362" s="430"/>
      <c r="B362" s="311"/>
      <c r="C362" s="311"/>
      <c r="D362" s="312"/>
      <c r="E362" s="311"/>
      <c r="F362" s="311"/>
      <c r="G362" s="312"/>
      <c r="H362" s="312"/>
      <c r="I362" s="313"/>
      <c r="J362" s="431"/>
      <c r="K362" s="313"/>
      <c r="L362" s="313"/>
      <c r="M362" s="313"/>
      <c r="N362" s="315"/>
      <c r="O362" s="313"/>
      <c r="P362" s="313"/>
      <c r="Q362" s="432"/>
      <c r="R362" s="313"/>
      <c r="S362" s="313"/>
      <c r="T362" s="317"/>
      <c r="U362" s="433"/>
      <c r="V362" s="288"/>
      <c r="W362" s="220"/>
      <c r="X362" s="220"/>
      <c r="Y362" s="220"/>
      <c r="Z362" s="220"/>
      <c r="AA362" s="220"/>
      <c r="AB362" s="220"/>
      <c r="AC362" s="220"/>
      <c r="AD362" s="220"/>
      <c r="AE362" s="220"/>
      <c r="AF362" s="220"/>
      <c r="AG362" s="308"/>
      <c r="AH362" s="220"/>
      <c r="AI362" s="220"/>
      <c r="AJ362" s="220"/>
      <c r="AK362" s="220"/>
      <c r="AL362" s="220"/>
      <c r="AM362" s="220"/>
    </row>
    <row r="363">
      <c r="A363" s="430"/>
      <c r="B363" s="311"/>
      <c r="C363" s="311"/>
      <c r="D363" s="312"/>
      <c r="E363" s="311"/>
      <c r="F363" s="311"/>
      <c r="G363" s="312"/>
      <c r="H363" s="312"/>
      <c r="I363" s="313"/>
      <c r="J363" s="431"/>
      <c r="K363" s="313"/>
      <c r="L363" s="313"/>
      <c r="M363" s="313"/>
      <c r="N363" s="315"/>
      <c r="O363" s="313"/>
      <c r="P363" s="313"/>
      <c r="Q363" s="432"/>
      <c r="R363" s="313"/>
      <c r="S363" s="313"/>
      <c r="T363" s="317"/>
      <c r="U363" s="433"/>
      <c r="V363" s="288"/>
      <c r="W363" s="220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308"/>
      <c r="AH363" s="220"/>
      <c r="AI363" s="220"/>
      <c r="AJ363" s="220"/>
      <c r="AK363" s="220"/>
      <c r="AL363" s="220"/>
      <c r="AM363" s="220"/>
    </row>
    <row r="364">
      <c r="A364" s="430"/>
      <c r="B364" s="311"/>
      <c r="C364" s="311"/>
      <c r="D364" s="312"/>
      <c r="E364" s="311"/>
      <c r="F364" s="311"/>
      <c r="G364" s="312"/>
      <c r="H364" s="312"/>
      <c r="I364" s="313"/>
      <c r="J364" s="431"/>
      <c r="K364" s="313"/>
      <c r="L364" s="313"/>
      <c r="M364" s="313"/>
      <c r="N364" s="315"/>
      <c r="O364" s="313"/>
      <c r="P364" s="313"/>
      <c r="Q364" s="432"/>
      <c r="R364" s="313"/>
      <c r="S364" s="313"/>
      <c r="T364" s="317"/>
      <c r="U364" s="433"/>
      <c r="V364" s="288"/>
      <c r="W364" s="220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308"/>
      <c r="AH364" s="220"/>
      <c r="AI364" s="220"/>
      <c r="AJ364" s="220"/>
      <c r="AK364" s="220"/>
      <c r="AL364" s="220"/>
      <c r="AM364" s="220"/>
    </row>
    <row r="365">
      <c r="A365" s="430"/>
      <c r="B365" s="311"/>
      <c r="C365" s="311"/>
      <c r="D365" s="312"/>
      <c r="E365" s="311"/>
      <c r="F365" s="311"/>
      <c r="G365" s="312"/>
      <c r="H365" s="312"/>
      <c r="I365" s="313"/>
      <c r="J365" s="431"/>
      <c r="K365" s="313"/>
      <c r="L365" s="313"/>
      <c r="M365" s="313"/>
      <c r="N365" s="315"/>
      <c r="O365" s="313"/>
      <c r="P365" s="313"/>
      <c r="Q365" s="432"/>
      <c r="R365" s="313"/>
      <c r="S365" s="313"/>
      <c r="T365" s="317"/>
      <c r="U365" s="433"/>
      <c r="V365" s="288"/>
      <c r="W365" s="220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308"/>
      <c r="AH365" s="220"/>
      <c r="AI365" s="220"/>
      <c r="AJ365" s="220"/>
      <c r="AK365" s="220"/>
      <c r="AL365" s="220"/>
      <c r="AM365" s="220"/>
    </row>
    <row r="366">
      <c r="A366" s="430"/>
      <c r="B366" s="311"/>
      <c r="C366" s="311"/>
      <c r="D366" s="312"/>
      <c r="E366" s="311"/>
      <c r="F366" s="311"/>
      <c r="G366" s="312"/>
      <c r="H366" s="312"/>
      <c r="I366" s="313"/>
      <c r="J366" s="431"/>
      <c r="K366" s="313"/>
      <c r="L366" s="313"/>
      <c r="M366" s="313"/>
      <c r="N366" s="315"/>
      <c r="O366" s="313"/>
      <c r="P366" s="313"/>
      <c r="Q366" s="432"/>
      <c r="R366" s="313"/>
      <c r="S366" s="313"/>
      <c r="T366" s="317"/>
      <c r="U366" s="433"/>
      <c r="V366" s="288"/>
      <c r="W366" s="220"/>
      <c r="X366" s="220"/>
      <c r="Y366" s="220"/>
      <c r="Z366" s="220"/>
      <c r="AA366" s="220"/>
      <c r="AB366" s="220"/>
      <c r="AC366" s="220"/>
      <c r="AD366" s="220"/>
      <c r="AE366" s="220"/>
      <c r="AF366" s="220"/>
      <c r="AG366" s="308"/>
      <c r="AH366" s="220"/>
      <c r="AI366" s="220"/>
      <c r="AJ366" s="220"/>
      <c r="AK366" s="220"/>
      <c r="AL366" s="220"/>
      <c r="AM366" s="220"/>
    </row>
    <row r="367">
      <c r="A367" s="430"/>
      <c r="B367" s="311"/>
      <c r="C367" s="311"/>
      <c r="D367" s="312"/>
      <c r="E367" s="311"/>
      <c r="F367" s="311"/>
      <c r="G367" s="312"/>
      <c r="H367" s="312"/>
      <c r="I367" s="313"/>
      <c r="J367" s="431"/>
      <c r="K367" s="313"/>
      <c r="L367" s="313"/>
      <c r="M367" s="313"/>
      <c r="N367" s="315"/>
      <c r="O367" s="313"/>
      <c r="P367" s="313"/>
      <c r="Q367" s="432"/>
      <c r="R367" s="313"/>
      <c r="S367" s="313"/>
      <c r="T367" s="317"/>
      <c r="U367" s="433"/>
      <c r="V367" s="288"/>
      <c r="W367" s="220"/>
      <c r="X367" s="220"/>
      <c r="Y367" s="220"/>
      <c r="Z367" s="220"/>
      <c r="AA367" s="220"/>
      <c r="AB367" s="220"/>
      <c r="AC367" s="220"/>
      <c r="AD367" s="220"/>
      <c r="AE367" s="220"/>
      <c r="AF367" s="220"/>
      <c r="AG367" s="308"/>
      <c r="AH367" s="220"/>
      <c r="AI367" s="220"/>
      <c r="AJ367" s="220"/>
      <c r="AK367" s="220"/>
      <c r="AL367" s="220"/>
      <c r="AM367" s="220"/>
    </row>
    <row r="368">
      <c r="A368" s="430"/>
      <c r="B368" s="311"/>
      <c r="C368" s="311"/>
      <c r="D368" s="312"/>
      <c r="E368" s="311"/>
      <c r="F368" s="311"/>
      <c r="G368" s="312"/>
      <c r="H368" s="312"/>
      <c r="I368" s="313"/>
      <c r="J368" s="431"/>
      <c r="K368" s="313"/>
      <c r="L368" s="313"/>
      <c r="M368" s="313"/>
      <c r="N368" s="315"/>
      <c r="O368" s="313"/>
      <c r="P368" s="313"/>
      <c r="Q368" s="432"/>
      <c r="R368" s="313"/>
      <c r="S368" s="313"/>
      <c r="T368" s="317"/>
      <c r="U368" s="433"/>
      <c r="V368" s="288"/>
      <c r="W368" s="220"/>
      <c r="X368" s="220"/>
      <c r="Y368" s="220"/>
      <c r="Z368" s="220"/>
      <c r="AA368" s="220"/>
      <c r="AB368" s="220"/>
      <c r="AC368" s="220"/>
      <c r="AD368" s="220"/>
      <c r="AE368" s="220"/>
      <c r="AF368" s="220"/>
      <c r="AG368" s="308"/>
      <c r="AH368" s="220"/>
      <c r="AI368" s="220"/>
      <c r="AJ368" s="220"/>
      <c r="AK368" s="220"/>
      <c r="AL368" s="220"/>
      <c r="AM368" s="220"/>
    </row>
    <row r="369">
      <c r="A369" s="430"/>
      <c r="B369" s="311"/>
      <c r="C369" s="311"/>
      <c r="D369" s="312"/>
      <c r="E369" s="311"/>
      <c r="F369" s="311"/>
      <c r="G369" s="312"/>
      <c r="H369" s="312"/>
      <c r="I369" s="313"/>
      <c r="J369" s="431"/>
      <c r="K369" s="313"/>
      <c r="L369" s="313"/>
      <c r="M369" s="313"/>
      <c r="N369" s="315"/>
      <c r="O369" s="313"/>
      <c r="P369" s="313"/>
      <c r="Q369" s="432"/>
      <c r="R369" s="313"/>
      <c r="S369" s="313"/>
      <c r="T369" s="317"/>
      <c r="U369" s="433"/>
      <c r="V369" s="288"/>
      <c r="W369" s="220"/>
      <c r="X369" s="220"/>
      <c r="Y369" s="220"/>
      <c r="Z369" s="220"/>
      <c r="AA369" s="220"/>
      <c r="AB369" s="220"/>
      <c r="AC369" s="220"/>
      <c r="AD369" s="220"/>
      <c r="AE369" s="220"/>
      <c r="AF369" s="220"/>
      <c r="AG369" s="308"/>
      <c r="AH369" s="220"/>
      <c r="AI369" s="220"/>
      <c r="AJ369" s="220"/>
      <c r="AK369" s="220"/>
      <c r="AL369" s="220"/>
      <c r="AM369" s="220"/>
    </row>
    <row r="370">
      <c r="A370" s="430"/>
      <c r="B370" s="311"/>
      <c r="C370" s="311"/>
      <c r="D370" s="312"/>
      <c r="E370" s="311"/>
      <c r="F370" s="311"/>
      <c r="G370" s="312"/>
      <c r="H370" s="312"/>
      <c r="I370" s="313"/>
      <c r="J370" s="431"/>
      <c r="K370" s="313"/>
      <c r="L370" s="313"/>
      <c r="M370" s="313"/>
      <c r="N370" s="315"/>
      <c r="O370" s="313"/>
      <c r="P370" s="313"/>
      <c r="Q370" s="432"/>
      <c r="R370" s="313"/>
      <c r="S370" s="313"/>
      <c r="T370" s="317"/>
      <c r="U370" s="433"/>
      <c r="V370" s="288"/>
      <c r="W370" s="220"/>
      <c r="X370" s="220"/>
      <c r="Y370" s="220"/>
      <c r="Z370" s="220"/>
      <c r="AA370" s="220"/>
      <c r="AB370" s="220"/>
      <c r="AC370" s="220"/>
      <c r="AD370" s="220"/>
      <c r="AE370" s="220"/>
      <c r="AF370" s="220"/>
      <c r="AG370" s="308"/>
      <c r="AH370" s="220"/>
      <c r="AI370" s="220"/>
      <c r="AJ370" s="220"/>
      <c r="AK370" s="220"/>
      <c r="AL370" s="220"/>
      <c r="AM370" s="220"/>
    </row>
    <row r="371">
      <c r="A371" s="430"/>
      <c r="B371" s="311"/>
      <c r="C371" s="311"/>
      <c r="D371" s="312"/>
      <c r="E371" s="311"/>
      <c r="F371" s="311"/>
      <c r="G371" s="312"/>
      <c r="H371" s="312"/>
      <c r="I371" s="313"/>
      <c r="J371" s="431"/>
      <c r="K371" s="313"/>
      <c r="L371" s="313"/>
      <c r="M371" s="313"/>
      <c r="N371" s="315"/>
      <c r="O371" s="313"/>
      <c r="P371" s="313"/>
      <c r="Q371" s="432"/>
      <c r="R371" s="313"/>
      <c r="S371" s="313"/>
      <c r="T371" s="317"/>
      <c r="U371" s="433"/>
      <c r="V371" s="288"/>
      <c r="W371" s="220"/>
      <c r="X371" s="220"/>
      <c r="Y371" s="220"/>
      <c r="Z371" s="220"/>
      <c r="AA371" s="220"/>
      <c r="AB371" s="220"/>
      <c r="AC371" s="220"/>
      <c r="AD371" s="220"/>
      <c r="AE371" s="220"/>
      <c r="AF371" s="220"/>
      <c r="AG371" s="308"/>
      <c r="AH371" s="220"/>
      <c r="AI371" s="220"/>
      <c r="AJ371" s="220"/>
      <c r="AK371" s="220"/>
      <c r="AL371" s="220"/>
      <c r="AM371" s="220"/>
    </row>
    <row r="372">
      <c r="A372" s="430"/>
      <c r="B372" s="311"/>
      <c r="C372" s="311"/>
      <c r="D372" s="312"/>
      <c r="E372" s="311"/>
      <c r="F372" s="311"/>
      <c r="G372" s="312"/>
      <c r="H372" s="312"/>
      <c r="I372" s="313"/>
      <c r="J372" s="431"/>
      <c r="K372" s="313"/>
      <c r="L372" s="313"/>
      <c r="M372" s="313"/>
      <c r="N372" s="315"/>
      <c r="O372" s="313"/>
      <c r="P372" s="313"/>
      <c r="Q372" s="432"/>
      <c r="R372" s="313"/>
      <c r="S372" s="313"/>
      <c r="T372" s="317"/>
      <c r="U372" s="433"/>
      <c r="V372" s="288"/>
      <c r="W372" s="220"/>
      <c r="X372" s="220"/>
      <c r="Y372" s="220"/>
      <c r="Z372" s="220"/>
      <c r="AA372" s="220"/>
      <c r="AB372" s="220"/>
      <c r="AC372" s="220"/>
      <c r="AD372" s="220"/>
      <c r="AE372" s="220"/>
      <c r="AF372" s="220"/>
      <c r="AG372" s="308"/>
      <c r="AH372" s="220"/>
      <c r="AI372" s="220"/>
      <c r="AJ372" s="220"/>
      <c r="AK372" s="220"/>
      <c r="AL372" s="220"/>
      <c r="AM372" s="220"/>
    </row>
    <row r="373">
      <c r="A373" s="430"/>
      <c r="B373" s="311"/>
      <c r="C373" s="311"/>
      <c r="D373" s="312"/>
      <c r="E373" s="311"/>
      <c r="F373" s="311"/>
      <c r="G373" s="312"/>
      <c r="H373" s="312"/>
      <c r="I373" s="313"/>
      <c r="J373" s="431"/>
      <c r="K373" s="313"/>
      <c r="L373" s="313"/>
      <c r="M373" s="313"/>
      <c r="N373" s="315"/>
      <c r="O373" s="313"/>
      <c r="P373" s="313"/>
      <c r="Q373" s="432"/>
      <c r="R373" s="313"/>
      <c r="S373" s="313"/>
      <c r="T373" s="317"/>
      <c r="U373" s="433"/>
      <c r="V373" s="288"/>
      <c r="W373" s="220"/>
      <c r="X373" s="220"/>
      <c r="Y373" s="220"/>
      <c r="Z373" s="220"/>
      <c r="AA373" s="220"/>
      <c r="AB373" s="220"/>
      <c r="AC373" s="220"/>
      <c r="AD373" s="220"/>
      <c r="AE373" s="220"/>
      <c r="AF373" s="220"/>
      <c r="AG373" s="308"/>
      <c r="AH373" s="220"/>
      <c r="AI373" s="220"/>
      <c r="AJ373" s="220"/>
      <c r="AK373" s="220"/>
      <c r="AL373" s="220"/>
      <c r="AM373" s="220"/>
    </row>
    <row r="374">
      <c r="A374" s="430"/>
      <c r="B374" s="311"/>
      <c r="C374" s="311"/>
      <c r="D374" s="312"/>
      <c r="E374" s="311"/>
      <c r="F374" s="311"/>
      <c r="G374" s="312"/>
      <c r="H374" s="312"/>
      <c r="I374" s="313"/>
      <c r="J374" s="431"/>
      <c r="K374" s="313"/>
      <c r="L374" s="313"/>
      <c r="M374" s="313"/>
      <c r="N374" s="315"/>
      <c r="O374" s="313"/>
      <c r="P374" s="313"/>
      <c r="Q374" s="432"/>
      <c r="R374" s="313"/>
      <c r="S374" s="313"/>
      <c r="T374" s="317"/>
      <c r="U374" s="433"/>
      <c r="V374" s="288"/>
      <c r="W374" s="220"/>
      <c r="X374" s="220"/>
      <c r="Y374" s="220"/>
      <c r="Z374" s="220"/>
      <c r="AA374" s="220"/>
      <c r="AB374" s="220"/>
      <c r="AC374" s="220"/>
      <c r="AD374" s="220"/>
      <c r="AE374" s="220"/>
      <c r="AF374" s="220"/>
      <c r="AG374" s="308"/>
      <c r="AH374" s="220"/>
      <c r="AI374" s="220"/>
      <c r="AJ374" s="220"/>
      <c r="AK374" s="220"/>
      <c r="AL374" s="220"/>
      <c r="AM374" s="220"/>
    </row>
    <row r="375">
      <c r="A375" s="430"/>
      <c r="B375" s="311"/>
      <c r="C375" s="311"/>
      <c r="D375" s="312"/>
      <c r="E375" s="311"/>
      <c r="F375" s="311"/>
      <c r="G375" s="312"/>
      <c r="H375" s="312"/>
      <c r="I375" s="313"/>
      <c r="J375" s="431"/>
      <c r="K375" s="313"/>
      <c r="L375" s="313"/>
      <c r="M375" s="313"/>
      <c r="N375" s="315"/>
      <c r="O375" s="313"/>
      <c r="P375" s="313"/>
      <c r="Q375" s="432"/>
      <c r="R375" s="313"/>
      <c r="S375" s="313"/>
      <c r="T375" s="317"/>
      <c r="U375" s="433"/>
      <c r="V375" s="288"/>
      <c r="W375" s="220"/>
      <c r="X375" s="220"/>
      <c r="Y375" s="220"/>
      <c r="Z375" s="220"/>
      <c r="AA375" s="220"/>
      <c r="AB375" s="220"/>
      <c r="AC375" s="220"/>
      <c r="AD375" s="220"/>
      <c r="AE375" s="220"/>
      <c r="AF375" s="220"/>
      <c r="AG375" s="308"/>
      <c r="AH375" s="220"/>
      <c r="AI375" s="220"/>
      <c r="AJ375" s="220"/>
      <c r="AK375" s="220"/>
      <c r="AL375" s="220"/>
      <c r="AM375" s="220"/>
    </row>
    <row r="376">
      <c r="A376" s="430"/>
      <c r="B376" s="311"/>
      <c r="C376" s="311"/>
      <c r="D376" s="312"/>
      <c r="E376" s="311"/>
      <c r="F376" s="311"/>
      <c r="G376" s="312"/>
      <c r="H376" s="312"/>
      <c r="I376" s="313"/>
      <c r="J376" s="431"/>
      <c r="K376" s="313"/>
      <c r="L376" s="313"/>
      <c r="M376" s="313"/>
      <c r="N376" s="315"/>
      <c r="O376" s="313"/>
      <c r="P376" s="313"/>
      <c r="Q376" s="432"/>
      <c r="R376" s="313"/>
      <c r="S376" s="313"/>
      <c r="T376" s="317"/>
      <c r="U376" s="433"/>
      <c r="V376" s="288"/>
      <c r="W376" s="220"/>
      <c r="X376" s="220"/>
      <c r="Y376" s="220"/>
      <c r="Z376" s="220"/>
      <c r="AA376" s="220"/>
      <c r="AB376" s="220"/>
      <c r="AC376" s="220"/>
      <c r="AD376" s="220"/>
      <c r="AE376" s="220"/>
      <c r="AF376" s="220"/>
      <c r="AG376" s="308"/>
      <c r="AH376" s="220"/>
      <c r="AI376" s="220"/>
      <c r="AJ376" s="220"/>
      <c r="AK376" s="220"/>
      <c r="AL376" s="220"/>
      <c r="AM376" s="220"/>
    </row>
    <row r="377">
      <c r="A377" s="430"/>
      <c r="B377" s="311"/>
      <c r="C377" s="311"/>
      <c r="D377" s="312"/>
      <c r="E377" s="311"/>
      <c r="F377" s="311"/>
      <c r="G377" s="312"/>
      <c r="H377" s="312"/>
      <c r="I377" s="313"/>
      <c r="J377" s="431"/>
      <c r="K377" s="313"/>
      <c r="L377" s="313"/>
      <c r="M377" s="313"/>
      <c r="N377" s="315"/>
      <c r="O377" s="313"/>
      <c r="P377" s="313"/>
      <c r="Q377" s="432"/>
      <c r="R377" s="313"/>
      <c r="S377" s="313"/>
      <c r="T377" s="317"/>
      <c r="U377" s="433"/>
      <c r="V377" s="288"/>
      <c r="W377" s="220"/>
      <c r="X377" s="220"/>
      <c r="Y377" s="220"/>
      <c r="Z377" s="220"/>
      <c r="AA377" s="220"/>
      <c r="AB377" s="220"/>
      <c r="AC377" s="220"/>
      <c r="AD377" s="220"/>
      <c r="AE377" s="220"/>
      <c r="AF377" s="220"/>
      <c r="AG377" s="308"/>
      <c r="AH377" s="220"/>
      <c r="AI377" s="220"/>
      <c r="AJ377" s="220"/>
      <c r="AK377" s="220"/>
      <c r="AL377" s="220"/>
      <c r="AM377" s="220"/>
    </row>
    <row r="378">
      <c r="A378" s="430"/>
      <c r="B378" s="311"/>
      <c r="C378" s="311"/>
      <c r="D378" s="312"/>
      <c r="E378" s="311"/>
      <c r="F378" s="311"/>
      <c r="G378" s="312"/>
      <c r="H378" s="312"/>
      <c r="I378" s="313"/>
      <c r="J378" s="431"/>
      <c r="K378" s="313"/>
      <c r="L378" s="313"/>
      <c r="M378" s="313"/>
      <c r="N378" s="315"/>
      <c r="O378" s="313"/>
      <c r="P378" s="313"/>
      <c r="Q378" s="432"/>
      <c r="R378" s="313"/>
      <c r="S378" s="313"/>
      <c r="T378" s="317"/>
      <c r="U378" s="433"/>
      <c r="V378" s="288"/>
      <c r="W378" s="220"/>
      <c r="X378" s="220"/>
      <c r="Y378" s="220"/>
      <c r="Z378" s="220"/>
      <c r="AA378" s="220"/>
      <c r="AB378" s="220"/>
      <c r="AC378" s="220"/>
      <c r="AD378" s="220"/>
      <c r="AE378" s="220"/>
      <c r="AF378" s="220"/>
      <c r="AG378" s="308"/>
      <c r="AH378" s="220"/>
      <c r="AI378" s="220"/>
      <c r="AJ378" s="220"/>
      <c r="AK378" s="220"/>
      <c r="AL378" s="220"/>
      <c r="AM378" s="220"/>
    </row>
    <row r="379">
      <c r="A379" s="430"/>
      <c r="B379" s="311"/>
      <c r="C379" s="311"/>
      <c r="D379" s="312"/>
      <c r="E379" s="311"/>
      <c r="F379" s="311"/>
      <c r="G379" s="312"/>
      <c r="H379" s="312"/>
      <c r="I379" s="313"/>
      <c r="J379" s="431"/>
      <c r="K379" s="313"/>
      <c r="L379" s="313"/>
      <c r="M379" s="313"/>
      <c r="N379" s="315"/>
      <c r="O379" s="313"/>
      <c r="P379" s="313"/>
      <c r="Q379" s="432"/>
      <c r="R379" s="313"/>
      <c r="S379" s="313"/>
      <c r="T379" s="317"/>
      <c r="U379" s="433"/>
      <c r="V379" s="288"/>
      <c r="W379" s="220"/>
      <c r="X379" s="220"/>
      <c r="Y379" s="220"/>
      <c r="Z379" s="220"/>
      <c r="AA379" s="220"/>
      <c r="AB379" s="220"/>
      <c r="AC379" s="220"/>
      <c r="AD379" s="220"/>
      <c r="AE379" s="220"/>
      <c r="AF379" s="220"/>
      <c r="AG379" s="308"/>
      <c r="AH379" s="220"/>
      <c r="AI379" s="220"/>
      <c r="AJ379" s="220"/>
      <c r="AK379" s="220"/>
      <c r="AL379" s="220"/>
      <c r="AM379" s="220"/>
    </row>
    <row r="380">
      <c r="A380" s="430"/>
      <c r="B380" s="311"/>
      <c r="C380" s="311"/>
      <c r="D380" s="312"/>
      <c r="E380" s="311"/>
      <c r="F380" s="311"/>
      <c r="G380" s="312"/>
      <c r="H380" s="312"/>
      <c r="I380" s="313"/>
      <c r="J380" s="431"/>
      <c r="K380" s="313"/>
      <c r="L380" s="313"/>
      <c r="M380" s="313"/>
      <c r="N380" s="315"/>
      <c r="O380" s="313"/>
      <c r="P380" s="313"/>
      <c r="Q380" s="432"/>
      <c r="R380" s="313"/>
      <c r="S380" s="313"/>
      <c r="T380" s="317"/>
      <c r="U380" s="433"/>
      <c r="V380" s="288"/>
      <c r="W380" s="220"/>
      <c r="X380" s="220"/>
      <c r="Y380" s="220"/>
      <c r="Z380" s="220"/>
      <c r="AA380" s="220"/>
      <c r="AB380" s="220"/>
      <c r="AC380" s="220"/>
      <c r="AD380" s="220"/>
      <c r="AE380" s="220"/>
      <c r="AF380" s="220"/>
      <c r="AG380" s="308"/>
      <c r="AH380" s="220"/>
      <c r="AI380" s="220"/>
      <c r="AJ380" s="220"/>
      <c r="AK380" s="220"/>
      <c r="AL380" s="220"/>
      <c r="AM380" s="220"/>
    </row>
    <row r="381">
      <c r="A381" s="430"/>
      <c r="B381" s="311"/>
      <c r="C381" s="311"/>
      <c r="D381" s="312"/>
      <c r="E381" s="311"/>
      <c r="F381" s="311"/>
      <c r="G381" s="312"/>
      <c r="H381" s="312"/>
      <c r="I381" s="313"/>
      <c r="J381" s="431"/>
      <c r="K381" s="313"/>
      <c r="L381" s="313"/>
      <c r="M381" s="313"/>
      <c r="N381" s="315"/>
      <c r="O381" s="313"/>
      <c r="P381" s="313"/>
      <c r="Q381" s="432"/>
      <c r="R381" s="313"/>
      <c r="S381" s="313"/>
      <c r="T381" s="317"/>
      <c r="U381" s="433"/>
      <c r="V381" s="288"/>
      <c r="W381" s="220"/>
      <c r="X381" s="220"/>
      <c r="Y381" s="220"/>
      <c r="Z381" s="220"/>
      <c r="AA381" s="220"/>
      <c r="AB381" s="220"/>
      <c r="AC381" s="220"/>
      <c r="AD381" s="220"/>
      <c r="AE381" s="220"/>
      <c r="AF381" s="220"/>
      <c r="AG381" s="308"/>
      <c r="AH381" s="220"/>
      <c r="AI381" s="220"/>
      <c r="AJ381" s="220"/>
      <c r="AK381" s="220"/>
      <c r="AL381" s="220"/>
      <c r="AM381" s="220"/>
    </row>
    <row r="382">
      <c r="A382" s="430"/>
      <c r="B382" s="311"/>
      <c r="C382" s="311"/>
      <c r="D382" s="312"/>
      <c r="E382" s="311"/>
      <c r="F382" s="311"/>
      <c r="G382" s="312"/>
      <c r="H382" s="312"/>
      <c r="I382" s="313"/>
      <c r="J382" s="431"/>
      <c r="K382" s="313"/>
      <c r="L382" s="313"/>
      <c r="M382" s="313"/>
      <c r="N382" s="315"/>
      <c r="O382" s="313"/>
      <c r="P382" s="313"/>
      <c r="Q382" s="432"/>
      <c r="R382" s="313"/>
      <c r="S382" s="313"/>
      <c r="T382" s="317"/>
      <c r="U382" s="433"/>
      <c r="V382" s="288"/>
      <c r="W382" s="220"/>
      <c r="X382" s="220"/>
      <c r="Y382" s="220"/>
      <c r="Z382" s="220"/>
      <c r="AA382" s="220"/>
      <c r="AB382" s="220"/>
      <c r="AC382" s="220"/>
      <c r="AD382" s="220"/>
      <c r="AE382" s="220"/>
      <c r="AF382" s="220"/>
      <c r="AG382" s="308"/>
      <c r="AH382" s="220"/>
      <c r="AI382" s="220"/>
      <c r="AJ382" s="220"/>
      <c r="AK382" s="220"/>
      <c r="AL382" s="220"/>
      <c r="AM382" s="220"/>
    </row>
    <row r="383">
      <c r="A383" s="430"/>
      <c r="B383" s="311"/>
      <c r="C383" s="311"/>
      <c r="D383" s="312"/>
      <c r="E383" s="311"/>
      <c r="F383" s="311"/>
      <c r="G383" s="312"/>
      <c r="H383" s="312"/>
      <c r="I383" s="313"/>
      <c r="J383" s="431"/>
      <c r="K383" s="313"/>
      <c r="L383" s="313"/>
      <c r="M383" s="313"/>
      <c r="N383" s="315"/>
      <c r="O383" s="313"/>
      <c r="P383" s="313"/>
      <c r="Q383" s="432"/>
      <c r="R383" s="313"/>
      <c r="S383" s="313"/>
      <c r="T383" s="317"/>
      <c r="U383" s="433"/>
      <c r="V383" s="288"/>
      <c r="W383" s="220"/>
      <c r="X383" s="220"/>
      <c r="Y383" s="220"/>
      <c r="Z383" s="220"/>
      <c r="AA383" s="220"/>
      <c r="AB383" s="220"/>
      <c r="AC383" s="220"/>
      <c r="AD383" s="220"/>
      <c r="AE383" s="220"/>
      <c r="AF383" s="220"/>
      <c r="AG383" s="308"/>
      <c r="AH383" s="220"/>
      <c r="AI383" s="220"/>
      <c r="AJ383" s="220"/>
      <c r="AK383" s="220"/>
      <c r="AL383" s="220"/>
      <c r="AM383" s="220"/>
    </row>
    <row r="384">
      <c r="A384" s="430"/>
      <c r="B384" s="311"/>
      <c r="C384" s="311"/>
      <c r="D384" s="312"/>
      <c r="E384" s="311"/>
      <c r="F384" s="311"/>
      <c r="G384" s="312"/>
      <c r="H384" s="312"/>
      <c r="I384" s="313"/>
      <c r="J384" s="431"/>
      <c r="K384" s="313"/>
      <c r="L384" s="313"/>
      <c r="M384" s="313"/>
      <c r="N384" s="315"/>
      <c r="O384" s="313"/>
      <c r="P384" s="313"/>
      <c r="Q384" s="432"/>
      <c r="R384" s="313"/>
      <c r="S384" s="313"/>
      <c r="T384" s="317"/>
      <c r="U384" s="433"/>
      <c r="V384" s="288"/>
      <c r="W384" s="220"/>
      <c r="X384" s="220"/>
      <c r="Y384" s="220"/>
      <c r="Z384" s="220"/>
      <c r="AA384" s="220"/>
      <c r="AB384" s="220"/>
      <c r="AC384" s="220"/>
      <c r="AD384" s="220"/>
      <c r="AE384" s="220"/>
      <c r="AF384" s="220"/>
      <c r="AG384" s="308"/>
      <c r="AH384" s="220"/>
      <c r="AI384" s="220"/>
      <c r="AJ384" s="220"/>
      <c r="AK384" s="220"/>
      <c r="AL384" s="220"/>
      <c r="AM384" s="220"/>
    </row>
    <row r="385">
      <c r="A385" s="430"/>
      <c r="B385" s="311"/>
      <c r="C385" s="311"/>
      <c r="D385" s="312"/>
      <c r="E385" s="311"/>
      <c r="F385" s="311"/>
      <c r="G385" s="312"/>
      <c r="H385" s="312"/>
      <c r="I385" s="313"/>
      <c r="J385" s="431"/>
      <c r="K385" s="313"/>
      <c r="L385" s="313"/>
      <c r="M385" s="313"/>
      <c r="N385" s="315"/>
      <c r="O385" s="313"/>
      <c r="P385" s="313"/>
      <c r="Q385" s="432"/>
      <c r="R385" s="313"/>
      <c r="S385" s="313"/>
      <c r="T385" s="317"/>
      <c r="U385" s="433"/>
      <c r="V385" s="288"/>
      <c r="W385" s="220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308"/>
      <c r="AH385" s="220"/>
      <c r="AI385" s="220"/>
      <c r="AJ385" s="220"/>
      <c r="AK385" s="220"/>
      <c r="AL385" s="220"/>
      <c r="AM385" s="220"/>
    </row>
    <row r="386">
      <c r="A386" s="430"/>
      <c r="B386" s="311"/>
      <c r="C386" s="311"/>
      <c r="D386" s="312"/>
      <c r="E386" s="311"/>
      <c r="F386" s="311"/>
      <c r="G386" s="312"/>
      <c r="H386" s="312"/>
      <c r="I386" s="313"/>
      <c r="J386" s="431"/>
      <c r="K386" s="313"/>
      <c r="L386" s="313"/>
      <c r="M386" s="313"/>
      <c r="N386" s="315"/>
      <c r="O386" s="313"/>
      <c r="P386" s="313"/>
      <c r="Q386" s="432"/>
      <c r="R386" s="313"/>
      <c r="S386" s="313"/>
      <c r="T386" s="317"/>
      <c r="U386" s="433"/>
      <c r="V386" s="288"/>
      <c r="W386" s="220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308"/>
      <c r="AH386" s="220"/>
      <c r="AI386" s="220"/>
      <c r="AJ386" s="220"/>
      <c r="AK386" s="220"/>
      <c r="AL386" s="220"/>
      <c r="AM386" s="220"/>
    </row>
    <row r="387">
      <c r="A387" s="430"/>
      <c r="B387" s="311"/>
      <c r="C387" s="311"/>
      <c r="D387" s="312"/>
      <c r="E387" s="311"/>
      <c r="F387" s="311"/>
      <c r="G387" s="312"/>
      <c r="H387" s="312"/>
      <c r="I387" s="313"/>
      <c r="J387" s="431"/>
      <c r="K387" s="313"/>
      <c r="L387" s="313"/>
      <c r="M387" s="313"/>
      <c r="N387" s="315"/>
      <c r="O387" s="313"/>
      <c r="P387" s="313"/>
      <c r="Q387" s="432"/>
      <c r="R387" s="313"/>
      <c r="S387" s="313"/>
      <c r="T387" s="317"/>
      <c r="U387" s="433"/>
      <c r="V387" s="288"/>
      <c r="W387" s="220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308"/>
      <c r="AH387" s="220"/>
      <c r="AI387" s="220"/>
      <c r="AJ387" s="220"/>
      <c r="AK387" s="220"/>
      <c r="AL387" s="220"/>
      <c r="AM387" s="220"/>
    </row>
    <row r="388">
      <c r="A388" s="430"/>
      <c r="B388" s="311"/>
      <c r="C388" s="311"/>
      <c r="D388" s="312"/>
      <c r="E388" s="311"/>
      <c r="F388" s="311"/>
      <c r="G388" s="312"/>
      <c r="H388" s="312"/>
      <c r="I388" s="313"/>
      <c r="J388" s="431"/>
      <c r="K388" s="313"/>
      <c r="L388" s="313"/>
      <c r="M388" s="313"/>
      <c r="N388" s="315"/>
      <c r="O388" s="313"/>
      <c r="P388" s="313"/>
      <c r="Q388" s="432"/>
      <c r="R388" s="313"/>
      <c r="S388" s="313"/>
      <c r="T388" s="317"/>
      <c r="U388" s="433"/>
      <c r="V388" s="288"/>
      <c r="W388" s="220"/>
      <c r="X388" s="220"/>
      <c r="Y388" s="220"/>
      <c r="Z388" s="220"/>
      <c r="AA388" s="220"/>
      <c r="AB388" s="220"/>
      <c r="AC388" s="220"/>
      <c r="AD388" s="220"/>
      <c r="AE388" s="220"/>
      <c r="AF388" s="220"/>
      <c r="AG388" s="308"/>
      <c r="AH388" s="220"/>
      <c r="AI388" s="220"/>
      <c r="AJ388" s="220"/>
      <c r="AK388" s="220"/>
      <c r="AL388" s="220"/>
      <c r="AM388" s="220"/>
    </row>
    <row r="389">
      <c r="A389" s="430"/>
      <c r="B389" s="311"/>
      <c r="C389" s="311"/>
      <c r="D389" s="312"/>
      <c r="E389" s="311"/>
      <c r="F389" s="311"/>
      <c r="G389" s="312"/>
      <c r="H389" s="312"/>
      <c r="I389" s="313"/>
      <c r="J389" s="431"/>
      <c r="K389" s="313"/>
      <c r="L389" s="313"/>
      <c r="M389" s="313"/>
      <c r="N389" s="315"/>
      <c r="O389" s="313"/>
      <c r="P389" s="313"/>
      <c r="Q389" s="432"/>
      <c r="R389" s="313"/>
      <c r="S389" s="313"/>
      <c r="T389" s="317"/>
      <c r="U389" s="433"/>
      <c r="V389" s="288"/>
      <c r="W389" s="220"/>
      <c r="X389" s="220"/>
      <c r="Y389" s="220"/>
      <c r="Z389" s="220"/>
      <c r="AA389" s="220"/>
      <c r="AB389" s="220"/>
      <c r="AC389" s="220"/>
      <c r="AD389" s="220"/>
      <c r="AE389" s="220"/>
      <c r="AF389" s="220"/>
      <c r="AG389" s="308"/>
      <c r="AH389" s="220"/>
      <c r="AI389" s="220"/>
      <c r="AJ389" s="220"/>
      <c r="AK389" s="220"/>
      <c r="AL389" s="220"/>
      <c r="AM389" s="220"/>
    </row>
    <row r="390">
      <c r="A390" s="430"/>
      <c r="B390" s="311"/>
      <c r="C390" s="311"/>
      <c r="D390" s="312"/>
      <c r="E390" s="311"/>
      <c r="F390" s="311"/>
      <c r="G390" s="312"/>
      <c r="H390" s="312"/>
      <c r="I390" s="313"/>
      <c r="J390" s="431"/>
      <c r="K390" s="313"/>
      <c r="L390" s="313"/>
      <c r="M390" s="313"/>
      <c r="N390" s="315"/>
      <c r="O390" s="313"/>
      <c r="P390" s="313"/>
      <c r="Q390" s="432"/>
      <c r="R390" s="313"/>
      <c r="S390" s="313"/>
      <c r="T390" s="317"/>
      <c r="U390" s="433"/>
      <c r="V390" s="288"/>
      <c r="W390" s="220"/>
      <c r="X390" s="220"/>
      <c r="Y390" s="220"/>
      <c r="Z390" s="220"/>
      <c r="AA390" s="220"/>
      <c r="AB390" s="220"/>
      <c r="AC390" s="220"/>
      <c r="AD390" s="220"/>
      <c r="AE390" s="220"/>
      <c r="AF390" s="220"/>
      <c r="AG390" s="308"/>
      <c r="AH390" s="220"/>
      <c r="AI390" s="220"/>
      <c r="AJ390" s="220"/>
      <c r="AK390" s="220"/>
      <c r="AL390" s="220"/>
      <c r="AM390" s="220"/>
    </row>
    <row r="391">
      <c r="A391" s="430"/>
      <c r="B391" s="311"/>
      <c r="C391" s="311"/>
      <c r="D391" s="312"/>
      <c r="E391" s="311"/>
      <c r="F391" s="311"/>
      <c r="G391" s="312"/>
      <c r="H391" s="312"/>
      <c r="I391" s="313"/>
      <c r="J391" s="431"/>
      <c r="K391" s="313"/>
      <c r="L391" s="313"/>
      <c r="M391" s="313"/>
      <c r="N391" s="315"/>
      <c r="O391" s="313"/>
      <c r="P391" s="313"/>
      <c r="Q391" s="432"/>
      <c r="R391" s="313"/>
      <c r="S391" s="313"/>
      <c r="T391" s="317"/>
      <c r="U391" s="433"/>
      <c r="V391" s="288"/>
      <c r="W391" s="220"/>
      <c r="X391" s="220"/>
      <c r="Y391" s="220"/>
      <c r="Z391" s="220"/>
      <c r="AA391" s="220"/>
      <c r="AB391" s="220"/>
      <c r="AC391" s="220"/>
      <c r="AD391" s="220"/>
      <c r="AE391" s="220"/>
      <c r="AF391" s="220"/>
      <c r="AG391" s="308"/>
      <c r="AH391" s="220"/>
      <c r="AI391" s="220"/>
      <c r="AJ391" s="220"/>
      <c r="AK391" s="220"/>
      <c r="AL391" s="220"/>
      <c r="AM391" s="220"/>
    </row>
    <row r="392">
      <c r="A392" s="430"/>
      <c r="B392" s="311"/>
      <c r="C392" s="311"/>
      <c r="D392" s="312"/>
      <c r="E392" s="311"/>
      <c r="F392" s="311"/>
      <c r="G392" s="312"/>
      <c r="H392" s="312"/>
      <c r="I392" s="313"/>
      <c r="J392" s="431"/>
      <c r="K392" s="313"/>
      <c r="L392" s="313"/>
      <c r="M392" s="313"/>
      <c r="N392" s="315"/>
      <c r="O392" s="313"/>
      <c r="P392" s="313"/>
      <c r="Q392" s="432"/>
      <c r="R392" s="313"/>
      <c r="S392" s="313"/>
      <c r="T392" s="317"/>
      <c r="U392" s="433"/>
      <c r="V392" s="288"/>
      <c r="W392" s="220"/>
      <c r="X392" s="220"/>
      <c r="Y392" s="220"/>
      <c r="Z392" s="220"/>
      <c r="AA392" s="220"/>
      <c r="AB392" s="220"/>
      <c r="AC392" s="220"/>
      <c r="AD392" s="220"/>
      <c r="AE392" s="220"/>
      <c r="AF392" s="220"/>
      <c r="AG392" s="308"/>
      <c r="AH392" s="220"/>
      <c r="AI392" s="220"/>
      <c r="AJ392" s="220"/>
      <c r="AK392" s="220"/>
      <c r="AL392" s="220"/>
      <c r="AM392" s="220"/>
    </row>
    <row r="393">
      <c r="A393" s="430"/>
      <c r="B393" s="311"/>
      <c r="C393" s="311"/>
      <c r="D393" s="312"/>
      <c r="E393" s="311"/>
      <c r="F393" s="311"/>
      <c r="G393" s="312"/>
      <c r="H393" s="312"/>
      <c r="I393" s="313"/>
      <c r="J393" s="431"/>
      <c r="K393" s="313"/>
      <c r="L393" s="313"/>
      <c r="M393" s="313"/>
      <c r="N393" s="315"/>
      <c r="O393" s="313"/>
      <c r="P393" s="313"/>
      <c r="Q393" s="432"/>
      <c r="R393" s="313"/>
      <c r="S393" s="313"/>
      <c r="T393" s="317"/>
      <c r="U393" s="433"/>
      <c r="V393" s="288"/>
      <c r="W393" s="220"/>
      <c r="X393" s="220"/>
      <c r="Y393" s="220"/>
      <c r="Z393" s="220"/>
      <c r="AA393" s="220"/>
      <c r="AB393" s="220"/>
      <c r="AC393" s="220"/>
      <c r="AD393" s="220"/>
      <c r="AE393" s="220"/>
      <c r="AF393" s="220"/>
      <c r="AG393" s="308"/>
      <c r="AH393" s="220"/>
      <c r="AI393" s="220"/>
      <c r="AJ393" s="220"/>
      <c r="AK393" s="220"/>
      <c r="AL393" s="220"/>
      <c r="AM393" s="220"/>
    </row>
    <row r="394">
      <c r="A394" s="430"/>
      <c r="B394" s="311"/>
      <c r="C394" s="311"/>
      <c r="D394" s="312"/>
      <c r="E394" s="311"/>
      <c r="F394" s="311"/>
      <c r="G394" s="312"/>
      <c r="H394" s="312"/>
      <c r="I394" s="313"/>
      <c r="J394" s="431"/>
      <c r="K394" s="313"/>
      <c r="L394" s="313"/>
      <c r="M394" s="313"/>
      <c r="N394" s="315"/>
      <c r="O394" s="313"/>
      <c r="P394" s="313"/>
      <c r="Q394" s="432"/>
      <c r="R394" s="313"/>
      <c r="S394" s="313"/>
      <c r="T394" s="317"/>
      <c r="U394" s="433"/>
      <c r="V394" s="288"/>
      <c r="W394" s="220"/>
      <c r="X394" s="220"/>
      <c r="Y394" s="220"/>
      <c r="Z394" s="220"/>
      <c r="AA394" s="220"/>
      <c r="AB394" s="220"/>
      <c r="AC394" s="220"/>
      <c r="AD394" s="220"/>
      <c r="AE394" s="220"/>
      <c r="AF394" s="220"/>
      <c r="AG394" s="308"/>
      <c r="AH394" s="220"/>
      <c r="AI394" s="220"/>
      <c r="AJ394" s="220"/>
      <c r="AK394" s="220"/>
      <c r="AL394" s="220"/>
      <c r="AM394" s="220"/>
    </row>
    <row r="395">
      <c r="A395" s="430"/>
      <c r="B395" s="311"/>
      <c r="C395" s="311"/>
      <c r="D395" s="312"/>
      <c r="E395" s="311"/>
      <c r="F395" s="311"/>
      <c r="G395" s="312"/>
      <c r="H395" s="312"/>
      <c r="I395" s="313"/>
      <c r="J395" s="431"/>
      <c r="K395" s="313"/>
      <c r="L395" s="313"/>
      <c r="M395" s="313"/>
      <c r="N395" s="315"/>
      <c r="O395" s="313"/>
      <c r="P395" s="313"/>
      <c r="Q395" s="432"/>
      <c r="R395" s="313"/>
      <c r="S395" s="313"/>
      <c r="T395" s="317"/>
      <c r="U395" s="433"/>
      <c r="V395" s="288"/>
      <c r="W395" s="220"/>
      <c r="X395" s="220"/>
      <c r="Y395" s="220"/>
      <c r="Z395" s="220"/>
      <c r="AA395" s="220"/>
      <c r="AB395" s="220"/>
      <c r="AC395" s="220"/>
      <c r="AD395" s="220"/>
      <c r="AE395" s="220"/>
      <c r="AF395" s="220"/>
      <c r="AG395" s="308"/>
      <c r="AH395" s="220"/>
      <c r="AI395" s="220"/>
      <c r="AJ395" s="220"/>
      <c r="AK395" s="220"/>
      <c r="AL395" s="220"/>
      <c r="AM395" s="220"/>
    </row>
    <row r="396">
      <c r="A396" s="430"/>
      <c r="B396" s="311"/>
      <c r="C396" s="311"/>
      <c r="D396" s="312"/>
      <c r="E396" s="311"/>
      <c r="F396" s="311"/>
      <c r="G396" s="312"/>
      <c r="H396" s="312"/>
      <c r="I396" s="313"/>
      <c r="J396" s="431"/>
      <c r="K396" s="313"/>
      <c r="L396" s="313"/>
      <c r="M396" s="313"/>
      <c r="N396" s="315"/>
      <c r="O396" s="313"/>
      <c r="P396" s="313"/>
      <c r="Q396" s="432"/>
      <c r="R396" s="313"/>
      <c r="S396" s="313"/>
      <c r="T396" s="317"/>
      <c r="U396" s="433"/>
      <c r="V396" s="288"/>
      <c r="W396" s="220"/>
      <c r="X396" s="220"/>
      <c r="Y396" s="220"/>
      <c r="Z396" s="220"/>
      <c r="AA396" s="220"/>
      <c r="AB396" s="220"/>
      <c r="AC396" s="220"/>
      <c r="AD396" s="220"/>
      <c r="AE396" s="220"/>
      <c r="AF396" s="220"/>
      <c r="AG396" s="308"/>
      <c r="AH396" s="220"/>
      <c r="AI396" s="220"/>
      <c r="AJ396" s="220"/>
      <c r="AK396" s="220"/>
      <c r="AL396" s="220"/>
      <c r="AM396" s="220"/>
    </row>
    <row r="397">
      <c r="A397" s="430"/>
      <c r="B397" s="311"/>
      <c r="C397" s="311"/>
      <c r="D397" s="312"/>
      <c r="E397" s="311"/>
      <c r="F397" s="311"/>
      <c r="G397" s="312"/>
      <c r="H397" s="312"/>
      <c r="I397" s="313"/>
      <c r="J397" s="431"/>
      <c r="K397" s="313"/>
      <c r="L397" s="313"/>
      <c r="M397" s="313"/>
      <c r="N397" s="315"/>
      <c r="O397" s="313"/>
      <c r="P397" s="313"/>
      <c r="Q397" s="432"/>
      <c r="R397" s="313"/>
      <c r="S397" s="313"/>
      <c r="T397" s="317"/>
      <c r="U397" s="433"/>
      <c r="V397" s="288"/>
      <c r="W397" s="220"/>
      <c r="X397" s="220"/>
      <c r="Y397" s="220"/>
      <c r="Z397" s="220"/>
      <c r="AA397" s="220"/>
      <c r="AB397" s="220"/>
      <c r="AC397" s="220"/>
      <c r="AD397" s="220"/>
      <c r="AE397" s="220"/>
      <c r="AF397" s="220"/>
      <c r="AG397" s="308"/>
      <c r="AH397" s="220"/>
      <c r="AI397" s="220"/>
      <c r="AJ397" s="220"/>
      <c r="AK397" s="220"/>
      <c r="AL397" s="220"/>
      <c r="AM397" s="220"/>
    </row>
    <row r="398">
      <c r="A398" s="430"/>
      <c r="B398" s="311"/>
      <c r="C398" s="311"/>
      <c r="D398" s="312"/>
      <c r="E398" s="311"/>
      <c r="F398" s="311"/>
      <c r="G398" s="312"/>
      <c r="H398" s="312"/>
      <c r="I398" s="313"/>
      <c r="J398" s="431"/>
      <c r="K398" s="313"/>
      <c r="L398" s="313"/>
      <c r="M398" s="313"/>
      <c r="N398" s="315"/>
      <c r="O398" s="313"/>
      <c r="P398" s="313"/>
      <c r="Q398" s="432"/>
      <c r="R398" s="313"/>
      <c r="S398" s="313"/>
      <c r="T398" s="317"/>
      <c r="U398" s="433"/>
      <c r="V398" s="288"/>
      <c r="W398" s="220"/>
      <c r="X398" s="220"/>
      <c r="Y398" s="220"/>
      <c r="Z398" s="220"/>
      <c r="AA398" s="220"/>
      <c r="AB398" s="220"/>
      <c r="AC398" s="220"/>
      <c r="AD398" s="220"/>
      <c r="AE398" s="220"/>
      <c r="AF398" s="220"/>
      <c r="AG398" s="308"/>
      <c r="AH398" s="220"/>
      <c r="AI398" s="220"/>
      <c r="AJ398" s="220"/>
      <c r="AK398" s="220"/>
      <c r="AL398" s="220"/>
      <c r="AM398" s="220"/>
    </row>
    <row r="399">
      <c r="A399" s="430"/>
      <c r="B399" s="311"/>
      <c r="C399" s="311"/>
      <c r="D399" s="312"/>
      <c r="E399" s="311"/>
      <c r="F399" s="311"/>
      <c r="G399" s="312"/>
      <c r="H399" s="312"/>
      <c r="I399" s="313"/>
      <c r="J399" s="431"/>
      <c r="K399" s="313"/>
      <c r="L399" s="313"/>
      <c r="M399" s="313"/>
      <c r="N399" s="315"/>
      <c r="O399" s="313"/>
      <c r="P399" s="313"/>
      <c r="Q399" s="432"/>
      <c r="R399" s="313"/>
      <c r="S399" s="313"/>
      <c r="T399" s="317"/>
      <c r="U399" s="433"/>
      <c r="V399" s="288"/>
      <c r="W399" s="220"/>
      <c r="X399" s="220"/>
      <c r="Y399" s="220"/>
      <c r="Z399" s="220"/>
      <c r="AA399" s="220"/>
      <c r="AB399" s="220"/>
      <c r="AC399" s="220"/>
      <c r="AD399" s="220"/>
      <c r="AE399" s="220"/>
      <c r="AF399" s="220"/>
      <c r="AG399" s="308"/>
      <c r="AH399" s="220"/>
      <c r="AI399" s="220"/>
      <c r="AJ399" s="220"/>
      <c r="AK399" s="220"/>
      <c r="AL399" s="220"/>
      <c r="AM399" s="220"/>
    </row>
    <row r="400">
      <c r="A400" s="430"/>
      <c r="B400" s="311"/>
      <c r="C400" s="311"/>
      <c r="D400" s="312"/>
      <c r="E400" s="311"/>
      <c r="F400" s="311"/>
      <c r="G400" s="312"/>
      <c r="H400" s="312"/>
      <c r="I400" s="313"/>
      <c r="J400" s="431"/>
      <c r="K400" s="313"/>
      <c r="L400" s="313"/>
      <c r="M400" s="313"/>
      <c r="N400" s="315"/>
      <c r="O400" s="313"/>
      <c r="P400" s="313"/>
      <c r="Q400" s="432"/>
      <c r="R400" s="313"/>
      <c r="S400" s="313"/>
      <c r="T400" s="317"/>
      <c r="U400" s="433"/>
      <c r="V400" s="288"/>
      <c r="W400" s="220"/>
      <c r="X400" s="220"/>
      <c r="Y400" s="220"/>
      <c r="Z400" s="220"/>
      <c r="AA400" s="220"/>
      <c r="AB400" s="220"/>
      <c r="AC400" s="220"/>
      <c r="AD400" s="220"/>
      <c r="AE400" s="220"/>
      <c r="AF400" s="220"/>
      <c r="AG400" s="308"/>
      <c r="AH400" s="220"/>
      <c r="AI400" s="220"/>
      <c r="AJ400" s="220"/>
      <c r="AK400" s="220"/>
      <c r="AL400" s="220"/>
      <c r="AM400" s="220"/>
    </row>
    <row r="401">
      <c r="A401" s="430"/>
      <c r="B401" s="311"/>
      <c r="C401" s="311"/>
      <c r="D401" s="312"/>
      <c r="E401" s="311"/>
      <c r="F401" s="311"/>
      <c r="G401" s="312"/>
      <c r="H401" s="312"/>
      <c r="I401" s="313"/>
      <c r="J401" s="431"/>
      <c r="K401" s="313"/>
      <c r="L401" s="313"/>
      <c r="M401" s="313"/>
      <c r="N401" s="315"/>
      <c r="O401" s="313"/>
      <c r="P401" s="313"/>
      <c r="Q401" s="432"/>
      <c r="R401" s="313"/>
      <c r="S401" s="313"/>
      <c r="T401" s="317"/>
      <c r="U401" s="433"/>
      <c r="V401" s="288"/>
      <c r="W401" s="220"/>
      <c r="X401" s="220"/>
      <c r="Y401" s="220"/>
      <c r="Z401" s="220"/>
      <c r="AA401" s="220"/>
      <c r="AB401" s="220"/>
      <c r="AC401" s="220"/>
      <c r="AD401" s="220"/>
      <c r="AE401" s="220"/>
      <c r="AF401" s="220"/>
      <c r="AG401" s="308"/>
      <c r="AH401" s="220"/>
      <c r="AI401" s="220"/>
      <c r="AJ401" s="220"/>
      <c r="AK401" s="220"/>
      <c r="AL401" s="220"/>
      <c r="AM401" s="220"/>
    </row>
    <row r="402">
      <c r="A402" s="430"/>
      <c r="B402" s="311"/>
      <c r="C402" s="311"/>
      <c r="D402" s="312"/>
      <c r="E402" s="311"/>
      <c r="F402" s="311"/>
      <c r="G402" s="312"/>
      <c r="H402" s="312"/>
      <c r="I402" s="313"/>
      <c r="J402" s="431"/>
      <c r="K402" s="313"/>
      <c r="L402" s="313"/>
      <c r="M402" s="313"/>
      <c r="N402" s="315"/>
      <c r="O402" s="313"/>
      <c r="P402" s="313"/>
      <c r="Q402" s="432"/>
      <c r="R402" s="313"/>
      <c r="S402" s="313"/>
      <c r="T402" s="317"/>
      <c r="U402" s="433"/>
      <c r="V402" s="288"/>
      <c r="W402" s="220"/>
      <c r="X402" s="220"/>
      <c r="Y402" s="220"/>
      <c r="Z402" s="220"/>
      <c r="AA402" s="220"/>
      <c r="AB402" s="220"/>
      <c r="AC402" s="220"/>
      <c r="AD402" s="220"/>
      <c r="AE402" s="220"/>
      <c r="AF402" s="220"/>
      <c r="AG402" s="308"/>
      <c r="AH402" s="220"/>
      <c r="AI402" s="220"/>
      <c r="AJ402" s="220"/>
      <c r="AK402" s="220"/>
      <c r="AL402" s="220"/>
      <c r="AM402" s="220"/>
    </row>
    <row r="403">
      <c r="A403" s="430"/>
      <c r="B403" s="311"/>
      <c r="C403" s="311"/>
      <c r="D403" s="312"/>
      <c r="E403" s="311"/>
      <c r="F403" s="311"/>
      <c r="G403" s="312"/>
      <c r="H403" s="312"/>
      <c r="I403" s="313"/>
      <c r="J403" s="431"/>
      <c r="K403" s="313"/>
      <c r="L403" s="313"/>
      <c r="M403" s="313"/>
      <c r="N403" s="315"/>
      <c r="O403" s="313"/>
      <c r="P403" s="313"/>
      <c r="Q403" s="432"/>
      <c r="R403" s="313"/>
      <c r="S403" s="313"/>
      <c r="T403" s="317"/>
      <c r="U403" s="433"/>
      <c r="V403" s="288"/>
      <c r="W403" s="220"/>
      <c r="X403" s="220"/>
      <c r="Y403" s="220"/>
      <c r="Z403" s="220"/>
      <c r="AA403" s="220"/>
      <c r="AB403" s="220"/>
      <c r="AC403" s="220"/>
      <c r="AD403" s="220"/>
      <c r="AE403" s="220"/>
      <c r="AF403" s="220"/>
      <c r="AG403" s="308"/>
      <c r="AH403" s="220"/>
      <c r="AI403" s="220"/>
      <c r="AJ403" s="220"/>
      <c r="AK403" s="220"/>
      <c r="AL403" s="220"/>
      <c r="AM403" s="220"/>
    </row>
    <row r="404">
      <c r="A404" s="430"/>
      <c r="B404" s="311"/>
      <c r="C404" s="311"/>
      <c r="D404" s="312"/>
      <c r="E404" s="311"/>
      <c r="F404" s="311"/>
      <c r="G404" s="312"/>
      <c r="H404" s="312"/>
      <c r="I404" s="313"/>
      <c r="J404" s="431"/>
      <c r="K404" s="313"/>
      <c r="L404" s="313"/>
      <c r="M404" s="313"/>
      <c r="N404" s="315"/>
      <c r="O404" s="313"/>
      <c r="P404" s="313"/>
      <c r="Q404" s="432"/>
      <c r="R404" s="313"/>
      <c r="S404" s="313"/>
      <c r="T404" s="317"/>
      <c r="U404" s="433"/>
      <c r="V404" s="288"/>
      <c r="W404" s="220"/>
      <c r="X404" s="220"/>
      <c r="Y404" s="220"/>
      <c r="Z404" s="220"/>
      <c r="AA404" s="220"/>
      <c r="AB404" s="220"/>
      <c r="AC404" s="220"/>
      <c r="AD404" s="220"/>
      <c r="AE404" s="220"/>
      <c r="AF404" s="220"/>
      <c r="AG404" s="308"/>
      <c r="AH404" s="220"/>
      <c r="AI404" s="220"/>
      <c r="AJ404" s="220"/>
      <c r="AK404" s="220"/>
      <c r="AL404" s="220"/>
      <c r="AM404" s="220"/>
    </row>
    <row r="405">
      <c r="A405" s="430"/>
      <c r="B405" s="311"/>
      <c r="C405" s="311"/>
      <c r="D405" s="312"/>
      <c r="E405" s="311"/>
      <c r="F405" s="311"/>
      <c r="G405" s="312"/>
      <c r="H405" s="312"/>
      <c r="I405" s="313"/>
      <c r="J405" s="431"/>
      <c r="K405" s="313"/>
      <c r="L405" s="313"/>
      <c r="M405" s="313"/>
      <c r="N405" s="315"/>
      <c r="O405" s="313"/>
      <c r="P405" s="313"/>
      <c r="Q405" s="432"/>
      <c r="R405" s="313"/>
      <c r="S405" s="313"/>
      <c r="T405" s="317"/>
      <c r="U405" s="433"/>
      <c r="V405" s="288"/>
      <c r="W405" s="220"/>
      <c r="X405" s="220"/>
      <c r="Y405" s="220"/>
      <c r="Z405" s="220"/>
      <c r="AA405" s="220"/>
      <c r="AB405" s="220"/>
      <c r="AC405" s="220"/>
      <c r="AD405" s="220"/>
      <c r="AE405" s="220"/>
      <c r="AF405" s="220"/>
      <c r="AG405" s="308"/>
      <c r="AH405" s="220"/>
      <c r="AI405" s="220"/>
      <c r="AJ405" s="220"/>
      <c r="AK405" s="220"/>
      <c r="AL405" s="220"/>
      <c r="AM405" s="220"/>
    </row>
    <row r="406">
      <c r="A406" s="430"/>
      <c r="B406" s="311"/>
      <c r="C406" s="311"/>
      <c r="D406" s="312"/>
      <c r="E406" s="311"/>
      <c r="F406" s="311"/>
      <c r="G406" s="312"/>
      <c r="H406" s="312"/>
      <c r="I406" s="313"/>
      <c r="J406" s="431"/>
      <c r="K406" s="313"/>
      <c r="L406" s="313"/>
      <c r="M406" s="313"/>
      <c r="N406" s="315"/>
      <c r="O406" s="313"/>
      <c r="P406" s="313"/>
      <c r="Q406" s="432"/>
      <c r="R406" s="313"/>
      <c r="S406" s="313"/>
      <c r="T406" s="317"/>
      <c r="U406" s="433"/>
      <c r="V406" s="288"/>
      <c r="W406" s="220"/>
      <c r="X406" s="220"/>
      <c r="Y406" s="220"/>
      <c r="Z406" s="220"/>
      <c r="AA406" s="220"/>
      <c r="AB406" s="220"/>
      <c r="AC406" s="220"/>
      <c r="AD406" s="220"/>
      <c r="AE406" s="220"/>
      <c r="AF406" s="220"/>
      <c r="AG406" s="308"/>
      <c r="AH406" s="220"/>
      <c r="AI406" s="220"/>
      <c r="AJ406" s="220"/>
      <c r="AK406" s="220"/>
      <c r="AL406" s="220"/>
      <c r="AM406" s="220"/>
    </row>
    <row r="407">
      <c r="A407" s="430"/>
      <c r="B407" s="311"/>
      <c r="C407" s="311"/>
      <c r="D407" s="312"/>
      <c r="E407" s="311"/>
      <c r="F407" s="311"/>
      <c r="G407" s="312"/>
      <c r="H407" s="312"/>
      <c r="I407" s="313"/>
      <c r="J407" s="431"/>
      <c r="K407" s="313"/>
      <c r="L407" s="313"/>
      <c r="M407" s="313"/>
      <c r="N407" s="315"/>
      <c r="O407" s="313"/>
      <c r="P407" s="313"/>
      <c r="Q407" s="432"/>
      <c r="R407" s="313"/>
      <c r="S407" s="313"/>
      <c r="T407" s="317"/>
      <c r="U407" s="433"/>
      <c r="V407" s="288"/>
      <c r="W407" s="220"/>
      <c r="X407" s="220"/>
      <c r="Y407" s="220"/>
      <c r="Z407" s="220"/>
      <c r="AA407" s="220"/>
      <c r="AB407" s="220"/>
      <c r="AC407" s="220"/>
      <c r="AD407" s="220"/>
      <c r="AE407" s="220"/>
      <c r="AF407" s="220"/>
      <c r="AG407" s="308"/>
      <c r="AH407" s="220"/>
      <c r="AI407" s="220"/>
      <c r="AJ407" s="220"/>
      <c r="AK407" s="220"/>
      <c r="AL407" s="220"/>
      <c r="AM407" s="220"/>
    </row>
    <row r="408">
      <c r="A408" s="430"/>
      <c r="B408" s="311"/>
      <c r="C408" s="311"/>
      <c r="D408" s="312"/>
      <c r="E408" s="311"/>
      <c r="F408" s="311"/>
      <c r="G408" s="312"/>
      <c r="H408" s="312"/>
      <c r="I408" s="313"/>
      <c r="J408" s="431"/>
      <c r="K408" s="313"/>
      <c r="L408" s="313"/>
      <c r="M408" s="313"/>
      <c r="N408" s="315"/>
      <c r="O408" s="313"/>
      <c r="P408" s="313"/>
      <c r="Q408" s="432"/>
      <c r="R408" s="313"/>
      <c r="S408" s="313"/>
      <c r="T408" s="317"/>
      <c r="U408" s="433"/>
      <c r="V408" s="288"/>
      <c r="W408" s="220"/>
      <c r="X408" s="220"/>
      <c r="Y408" s="220"/>
      <c r="Z408" s="220"/>
      <c r="AA408" s="220"/>
      <c r="AB408" s="220"/>
      <c r="AC408" s="220"/>
      <c r="AD408" s="220"/>
      <c r="AE408" s="220"/>
      <c r="AF408" s="220"/>
      <c r="AG408" s="308"/>
      <c r="AH408" s="220"/>
      <c r="AI408" s="220"/>
      <c r="AJ408" s="220"/>
      <c r="AK408" s="220"/>
      <c r="AL408" s="220"/>
      <c r="AM408" s="220"/>
    </row>
    <row r="409">
      <c r="A409" s="430"/>
      <c r="B409" s="311"/>
      <c r="C409" s="311"/>
      <c r="D409" s="312"/>
      <c r="E409" s="311"/>
      <c r="F409" s="311"/>
      <c r="G409" s="312"/>
      <c r="H409" s="312"/>
      <c r="I409" s="313"/>
      <c r="J409" s="431"/>
      <c r="K409" s="313"/>
      <c r="L409" s="313"/>
      <c r="M409" s="313"/>
      <c r="N409" s="315"/>
      <c r="O409" s="313"/>
      <c r="P409" s="313"/>
      <c r="Q409" s="432"/>
      <c r="R409" s="313"/>
      <c r="S409" s="313"/>
      <c r="T409" s="317"/>
      <c r="U409" s="433"/>
      <c r="V409" s="288"/>
      <c r="W409" s="220"/>
      <c r="X409" s="220"/>
      <c r="Y409" s="220"/>
      <c r="Z409" s="220"/>
      <c r="AA409" s="220"/>
      <c r="AB409" s="220"/>
      <c r="AC409" s="220"/>
      <c r="AD409" s="220"/>
      <c r="AE409" s="220"/>
      <c r="AF409" s="220"/>
      <c r="AG409" s="308"/>
      <c r="AH409" s="220"/>
      <c r="AI409" s="220"/>
      <c r="AJ409" s="220"/>
      <c r="AK409" s="220"/>
      <c r="AL409" s="220"/>
      <c r="AM409" s="220"/>
    </row>
    <row r="410">
      <c r="A410" s="430"/>
      <c r="B410" s="311"/>
      <c r="C410" s="311"/>
      <c r="D410" s="312"/>
      <c r="E410" s="311"/>
      <c r="F410" s="311"/>
      <c r="G410" s="312"/>
      <c r="H410" s="312"/>
      <c r="I410" s="313"/>
      <c r="J410" s="431"/>
      <c r="K410" s="313"/>
      <c r="L410" s="313"/>
      <c r="M410" s="313"/>
      <c r="N410" s="315"/>
      <c r="O410" s="313"/>
      <c r="P410" s="313"/>
      <c r="Q410" s="432"/>
      <c r="R410" s="313"/>
      <c r="S410" s="313"/>
      <c r="T410" s="317"/>
      <c r="U410" s="433"/>
      <c r="V410" s="288"/>
      <c r="W410" s="220"/>
      <c r="X410" s="220"/>
      <c r="Y410" s="220"/>
      <c r="Z410" s="220"/>
      <c r="AA410" s="220"/>
      <c r="AB410" s="220"/>
      <c r="AC410" s="220"/>
      <c r="AD410" s="220"/>
      <c r="AE410" s="220"/>
      <c r="AF410" s="220"/>
      <c r="AG410" s="308"/>
      <c r="AH410" s="220"/>
      <c r="AI410" s="220"/>
      <c r="AJ410" s="220"/>
      <c r="AK410" s="220"/>
      <c r="AL410" s="220"/>
      <c r="AM410" s="220"/>
    </row>
    <row r="411">
      <c r="A411" s="430"/>
      <c r="B411" s="311"/>
      <c r="C411" s="311"/>
      <c r="D411" s="312"/>
      <c r="E411" s="311"/>
      <c r="F411" s="311"/>
      <c r="G411" s="312"/>
      <c r="H411" s="312"/>
      <c r="I411" s="313"/>
      <c r="J411" s="431"/>
      <c r="K411" s="313"/>
      <c r="L411" s="313"/>
      <c r="M411" s="313"/>
      <c r="N411" s="315"/>
      <c r="O411" s="313"/>
      <c r="P411" s="313"/>
      <c r="Q411" s="432"/>
      <c r="R411" s="313"/>
      <c r="S411" s="313"/>
      <c r="T411" s="317"/>
      <c r="U411" s="433"/>
      <c r="V411" s="288"/>
      <c r="W411" s="220"/>
      <c r="X411" s="220"/>
      <c r="Y411" s="220"/>
      <c r="Z411" s="220"/>
      <c r="AA411" s="220"/>
      <c r="AB411" s="220"/>
      <c r="AC411" s="220"/>
      <c r="AD411" s="220"/>
      <c r="AE411" s="220"/>
      <c r="AF411" s="220"/>
      <c r="AG411" s="308"/>
      <c r="AH411" s="220"/>
      <c r="AI411" s="220"/>
      <c r="AJ411" s="220"/>
      <c r="AK411" s="220"/>
      <c r="AL411" s="220"/>
      <c r="AM411" s="220"/>
    </row>
    <row r="412">
      <c r="A412" s="430"/>
      <c r="B412" s="311"/>
      <c r="C412" s="311"/>
      <c r="D412" s="312"/>
      <c r="E412" s="311"/>
      <c r="F412" s="311"/>
      <c r="G412" s="312"/>
      <c r="H412" s="312"/>
      <c r="I412" s="313"/>
      <c r="J412" s="431"/>
      <c r="K412" s="313"/>
      <c r="L412" s="313"/>
      <c r="M412" s="313"/>
      <c r="N412" s="315"/>
      <c r="O412" s="313"/>
      <c r="P412" s="313"/>
      <c r="Q412" s="432"/>
      <c r="R412" s="313"/>
      <c r="S412" s="313"/>
      <c r="T412" s="317"/>
      <c r="U412" s="433"/>
      <c r="V412" s="288"/>
      <c r="W412" s="220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308"/>
      <c r="AH412" s="220"/>
      <c r="AI412" s="220"/>
      <c r="AJ412" s="220"/>
      <c r="AK412" s="220"/>
      <c r="AL412" s="220"/>
      <c r="AM412" s="220"/>
    </row>
    <row r="413">
      <c r="A413" s="430"/>
      <c r="B413" s="311"/>
      <c r="C413" s="311"/>
      <c r="D413" s="312"/>
      <c r="E413" s="311"/>
      <c r="F413" s="311"/>
      <c r="G413" s="312"/>
      <c r="H413" s="312"/>
      <c r="I413" s="313"/>
      <c r="J413" s="431"/>
      <c r="K413" s="313"/>
      <c r="L413" s="313"/>
      <c r="M413" s="313"/>
      <c r="N413" s="315"/>
      <c r="O413" s="313"/>
      <c r="P413" s="313"/>
      <c r="Q413" s="432"/>
      <c r="R413" s="313"/>
      <c r="S413" s="313"/>
      <c r="T413" s="317"/>
      <c r="U413" s="433"/>
      <c r="V413" s="288"/>
      <c r="W413" s="220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308"/>
      <c r="AH413" s="220"/>
      <c r="AI413" s="220"/>
      <c r="AJ413" s="220"/>
      <c r="AK413" s="220"/>
      <c r="AL413" s="220"/>
      <c r="AM413" s="220"/>
    </row>
    <row r="414">
      <c r="A414" s="430"/>
      <c r="B414" s="311"/>
      <c r="C414" s="311"/>
      <c r="D414" s="312"/>
      <c r="E414" s="311"/>
      <c r="F414" s="311"/>
      <c r="G414" s="312"/>
      <c r="H414" s="312"/>
      <c r="I414" s="313"/>
      <c r="J414" s="431"/>
      <c r="K414" s="313"/>
      <c r="L414" s="313"/>
      <c r="M414" s="313"/>
      <c r="N414" s="315"/>
      <c r="O414" s="313"/>
      <c r="P414" s="313"/>
      <c r="Q414" s="432"/>
      <c r="R414" s="313"/>
      <c r="S414" s="313"/>
      <c r="T414" s="317"/>
      <c r="U414" s="433"/>
      <c r="V414" s="288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308"/>
      <c r="AH414" s="220"/>
      <c r="AI414" s="220"/>
      <c r="AJ414" s="220"/>
      <c r="AK414" s="220"/>
      <c r="AL414" s="220"/>
      <c r="AM414" s="220"/>
    </row>
    <row r="415">
      <c r="A415" s="430"/>
      <c r="B415" s="311"/>
      <c r="C415" s="311"/>
      <c r="D415" s="312"/>
      <c r="E415" s="311"/>
      <c r="F415" s="311"/>
      <c r="G415" s="312"/>
      <c r="H415" s="312"/>
      <c r="I415" s="313"/>
      <c r="J415" s="431"/>
      <c r="K415" s="313"/>
      <c r="L415" s="313"/>
      <c r="M415" s="313"/>
      <c r="N415" s="315"/>
      <c r="O415" s="313"/>
      <c r="P415" s="313"/>
      <c r="Q415" s="432"/>
      <c r="R415" s="313"/>
      <c r="S415" s="313"/>
      <c r="T415" s="317"/>
      <c r="U415" s="433"/>
      <c r="V415" s="288"/>
      <c r="W415" s="220"/>
      <c r="X415" s="220"/>
      <c r="Y415" s="220"/>
      <c r="Z415" s="220"/>
      <c r="AA415" s="220"/>
      <c r="AB415" s="220"/>
      <c r="AC415" s="220"/>
      <c r="AD415" s="220"/>
      <c r="AE415" s="220"/>
      <c r="AF415" s="220"/>
      <c r="AG415" s="308"/>
      <c r="AH415" s="220"/>
      <c r="AI415" s="220"/>
      <c r="AJ415" s="220"/>
      <c r="AK415" s="220"/>
      <c r="AL415" s="220"/>
      <c r="AM415" s="220"/>
    </row>
    <row r="416">
      <c r="A416" s="430"/>
      <c r="B416" s="311"/>
      <c r="C416" s="311"/>
      <c r="D416" s="312"/>
      <c r="E416" s="311"/>
      <c r="F416" s="311"/>
      <c r="G416" s="312"/>
      <c r="H416" s="312"/>
      <c r="I416" s="313"/>
      <c r="J416" s="431"/>
      <c r="K416" s="313"/>
      <c r="L416" s="313"/>
      <c r="M416" s="313"/>
      <c r="N416" s="315"/>
      <c r="O416" s="313"/>
      <c r="P416" s="313"/>
      <c r="Q416" s="432"/>
      <c r="R416" s="313"/>
      <c r="S416" s="313"/>
      <c r="T416" s="317"/>
      <c r="U416" s="433"/>
      <c r="V416" s="288"/>
      <c r="W416" s="220"/>
      <c r="X416" s="220"/>
      <c r="Y416" s="220"/>
      <c r="Z416" s="220"/>
      <c r="AA416" s="220"/>
      <c r="AB416" s="220"/>
      <c r="AC416" s="220"/>
      <c r="AD416" s="220"/>
      <c r="AE416" s="220"/>
      <c r="AF416" s="220"/>
      <c r="AG416" s="308"/>
      <c r="AH416" s="220"/>
      <c r="AI416" s="220"/>
      <c r="AJ416" s="220"/>
      <c r="AK416" s="220"/>
      <c r="AL416" s="220"/>
      <c r="AM416" s="220"/>
    </row>
    <row r="417">
      <c r="A417" s="430"/>
      <c r="B417" s="311"/>
      <c r="C417" s="311"/>
      <c r="D417" s="312"/>
      <c r="E417" s="311"/>
      <c r="F417" s="311"/>
      <c r="G417" s="312"/>
      <c r="H417" s="312"/>
      <c r="I417" s="313"/>
      <c r="J417" s="431"/>
      <c r="K417" s="313"/>
      <c r="L417" s="313"/>
      <c r="M417" s="313"/>
      <c r="N417" s="315"/>
      <c r="O417" s="313"/>
      <c r="P417" s="313"/>
      <c r="Q417" s="432"/>
      <c r="R417" s="313"/>
      <c r="S417" s="313"/>
      <c r="T417" s="317"/>
      <c r="U417" s="433"/>
      <c r="V417" s="288"/>
      <c r="W417" s="220"/>
      <c r="X417" s="220"/>
      <c r="Y417" s="220"/>
      <c r="Z417" s="220"/>
      <c r="AA417" s="220"/>
      <c r="AB417" s="220"/>
      <c r="AC417" s="220"/>
      <c r="AD417" s="220"/>
      <c r="AE417" s="220"/>
      <c r="AF417" s="220"/>
      <c r="AG417" s="308"/>
      <c r="AH417" s="220"/>
      <c r="AI417" s="220"/>
      <c r="AJ417" s="220"/>
      <c r="AK417" s="220"/>
      <c r="AL417" s="220"/>
      <c r="AM417" s="220"/>
    </row>
    <row r="418">
      <c r="A418" s="430"/>
      <c r="B418" s="311"/>
      <c r="C418" s="311"/>
      <c r="D418" s="312"/>
      <c r="E418" s="311"/>
      <c r="F418" s="311"/>
      <c r="G418" s="312"/>
      <c r="H418" s="312"/>
      <c r="I418" s="313"/>
      <c r="J418" s="431"/>
      <c r="K418" s="313"/>
      <c r="L418" s="313"/>
      <c r="M418" s="313"/>
      <c r="N418" s="315"/>
      <c r="O418" s="313"/>
      <c r="P418" s="313"/>
      <c r="Q418" s="432"/>
      <c r="R418" s="313"/>
      <c r="S418" s="313"/>
      <c r="T418" s="317"/>
      <c r="U418" s="433"/>
      <c r="V418" s="288"/>
      <c r="W418" s="220"/>
      <c r="X418" s="220"/>
      <c r="Y418" s="220"/>
      <c r="Z418" s="220"/>
      <c r="AA418" s="220"/>
      <c r="AB418" s="220"/>
      <c r="AC418" s="220"/>
      <c r="AD418" s="220"/>
      <c r="AE418" s="220"/>
      <c r="AF418" s="220"/>
      <c r="AG418" s="308"/>
      <c r="AH418" s="220"/>
      <c r="AI418" s="220"/>
      <c r="AJ418" s="220"/>
      <c r="AK418" s="220"/>
      <c r="AL418" s="220"/>
      <c r="AM418" s="220"/>
    </row>
    <row r="419">
      <c r="A419" s="430"/>
      <c r="B419" s="311"/>
      <c r="C419" s="311"/>
      <c r="D419" s="312"/>
      <c r="E419" s="311"/>
      <c r="F419" s="311"/>
      <c r="G419" s="312"/>
      <c r="H419" s="312"/>
      <c r="I419" s="313"/>
      <c r="J419" s="431"/>
      <c r="K419" s="313"/>
      <c r="L419" s="313"/>
      <c r="M419" s="313"/>
      <c r="N419" s="315"/>
      <c r="O419" s="313"/>
      <c r="P419" s="313"/>
      <c r="Q419" s="432"/>
      <c r="R419" s="313"/>
      <c r="S419" s="313"/>
      <c r="T419" s="317"/>
      <c r="U419" s="433"/>
      <c r="V419" s="288"/>
      <c r="W419" s="220"/>
      <c r="X419" s="220"/>
      <c r="Y419" s="220"/>
      <c r="Z419" s="220"/>
      <c r="AA419" s="220"/>
      <c r="AB419" s="220"/>
      <c r="AC419" s="220"/>
      <c r="AD419" s="220"/>
      <c r="AE419" s="220"/>
      <c r="AF419" s="220"/>
      <c r="AG419" s="308"/>
      <c r="AH419" s="220"/>
      <c r="AI419" s="220"/>
      <c r="AJ419" s="220"/>
      <c r="AK419" s="220"/>
      <c r="AL419" s="220"/>
      <c r="AM419" s="220"/>
    </row>
    <row r="420">
      <c r="A420" s="430"/>
      <c r="B420" s="311"/>
      <c r="C420" s="311"/>
      <c r="D420" s="312"/>
      <c r="E420" s="311"/>
      <c r="F420" s="311"/>
      <c r="G420" s="312"/>
      <c r="H420" s="312"/>
      <c r="I420" s="313"/>
      <c r="J420" s="431"/>
      <c r="K420" s="313"/>
      <c r="L420" s="313"/>
      <c r="M420" s="313"/>
      <c r="N420" s="315"/>
      <c r="O420" s="313"/>
      <c r="P420" s="313"/>
      <c r="Q420" s="432"/>
      <c r="R420" s="313"/>
      <c r="S420" s="313"/>
      <c r="T420" s="317"/>
      <c r="U420" s="433"/>
      <c r="V420" s="288"/>
      <c r="W420" s="220"/>
      <c r="X420" s="220"/>
      <c r="Y420" s="220"/>
      <c r="Z420" s="220"/>
      <c r="AA420" s="220"/>
      <c r="AB420" s="220"/>
      <c r="AC420" s="220"/>
      <c r="AD420" s="220"/>
      <c r="AE420" s="220"/>
      <c r="AF420" s="220"/>
      <c r="AG420" s="308"/>
      <c r="AH420" s="220"/>
      <c r="AI420" s="220"/>
      <c r="AJ420" s="220"/>
      <c r="AK420" s="220"/>
      <c r="AL420" s="220"/>
      <c r="AM420" s="220"/>
    </row>
    <row r="421">
      <c r="A421" s="430"/>
      <c r="B421" s="311"/>
      <c r="C421" s="311"/>
      <c r="D421" s="312"/>
      <c r="E421" s="311"/>
      <c r="F421" s="311"/>
      <c r="G421" s="312"/>
      <c r="H421" s="312"/>
      <c r="I421" s="313"/>
      <c r="J421" s="431"/>
      <c r="K421" s="313"/>
      <c r="L421" s="313"/>
      <c r="M421" s="313"/>
      <c r="N421" s="315"/>
      <c r="O421" s="313"/>
      <c r="P421" s="313"/>
      <c r="Q421" s="432"/>
      <c r="R421" s="313"/>
      <c r="S421" s="313"/>
      <c r="T421" s="317"/>
      <c r="U421" s="433"/>
      <c r="V421" s="288"/>
      <c r="W421" s="220"/>
      <c r="X421" s="220"/>
      <c r="Y421" s="220"/>
      <c r="Z421" s="220"/>
      <c r="AA421" s="220"/>
      <c r="AB421" s="220"/>
      <c r="AC421" s="220"/>
      <c r="AD421" s="220"/>
      <c r="AE421" s="220"/>
      <c r="AF421" s="220"/>
      <c r="AG421" s="308"/>
      <c r="AH421" s="220"/>
      <c r="AI421" s="220"/>
      <c r="AJ421" s="220"/>
      <c r="AK421" s="220"/>
      <c r="AL421" s="220"/>
      <c r="AM421" s="220"/>
    </row>
    <row r="422">
      <c r="A422" s="430"/>
      <c r="B422" s="311"/>
      <c r="C422" s="311"/>
      <c r="D422" s="312"/>
      <c r="E422" s="311"/>
      <c r="F422" s="311"/>
      <c r="G422" s="312"/>
      <c r="H422" s="312"/>
      <c r="I422" s="313"/>
      <c r="J422" s="431"/>
      <c r="K422" s="313"/>
      <c r="L422" s="313"/>
      <c r="M422" s="313"/>
      <c r="N422" s="315"/>
      <c r="O422" s="313"/>
      <c r="P422" s="313"/>
      <c r="Q422" s="432"/>
      <c r="R422" s="313"/>
      <c r="S422" s="313"/>
      <c r="T422" s="317"/>
      <c r="U422" s="433"/>
      <c r="V422" s="288"/>
      <c r="W422" s="220"/>
      <c r="X422" s="220"/>
      <c r="Y422" s="220"/>
      <c r="Z422" s="220"/>
      <c r="AA422" s="220"/>
      <c r="AB422" s="220"/>
      <c r="AC422" s="220"/>
      <c r="AD422" s="220"/>
      <c r="AE422" s="220"/>
      <c r="AF422" s="220"/>
      <c r="AG422" s="308"/>
      <c r="AH422" s="220"/>
      <c r="AI422" s="220"/>
      <c r="AJ422" s="220"/>
      <c r="AK422" s="220"/>
      <c r="AL422" s="220"/>
      <c r="AM422" s="220"/>
    </row>
    <row r="423">
      <c r="A423" s="430"/>
      <c r="B423" s="311"/>
      <c r="C423" s="311"/>
      <c r="D423" s="312"/>
      <c r="E423" s="311"/>
      <c r="F423" s="311"/>
      <c r="G423" s="312"/>
      <c r="H423" s="312"/>
      <c r="I423" s="313"/>
      <c r="J423" s="431"/>
      <c r="K423" s="313"/>
      <c r="L423" s="313"/>
      <c r="M423" s="313"/>
      <c r="N423" s="315"/>
      <c r="O423" s="313"/>
      <c r="P423" s="313"/>
      <c r="Q423" s="432"/>
      <c r="R423" s="313"/>
      <c r="S423" s="313"/>
      <c r="T423" s="317"/>
      <c r="U423" s="433"/>
      <c r="V423" s="288"/>
      <c r="W423" s="220"/>
      <c r="X423" s="220"/>
      <c r="Y423" s="220"/>
      <c r="Z423" s="220"/>
      <c r="AA423" s="220"/>
      <c r="AB423" s="220"/>
      <c r="AC423" s="220"/>
      <c r="AD423" s="220"/>
      <c r="AE423" s="220"/>
      <c r="AF423" s="220"/>
      <c r="AG423" s="308"/>
      <c r="AH423" s="220"/>
      <c r="AI423" s="220"/>
      <c r="AJ423" s="220"/>
      <c r="AK423" s="220"/>
      <c r="AL423" s="220"/>
      <c r="AM423" s="220"/>
    </row>
    <row r="424">
      <c r="A424" s="430"/>
      <c r="B424" s="311"/>
      <c r="C424" s="311"/>
      <c r="D424" s="312"/>
      <c r="E424" s="311"/>
      <c r="F424" s="311"/>
      <c r="G424" s="312"/>
      <c r="H424" s="312"/>
      <c r="I424" s="313"/>
      <c r="J424" s="431"/>
      <c r="K424" s="313"/>
      <c r="L424" s="313"/>
      <c r="M424" s="313"/>
      <c r="N424" s="315"/>
      <c r="O424" s="313"/>
      <c r="P424" s="313"/>
      <c r="Q424" s="432"/>
      <c r="R424" s="313"/>
      <c r="S424" s="313"/>
      <c r="T424" s="317"/>
      <c r="U424" s="433"/>
      <c r="V424" s="288"/>
      <c r="W424" s="220"/>
      <c r="X424" s="220"/>
      <c r="Y424" s="220"/>
      <c r="Z424" s="220"/>
      <c r="AA424" s="220"/>
      <c r="AB424" s="220"/>
      <c r="AC424" s="220"/>
      <c r="AD424" s="220"/>
      <c r="AE424" s="220"/>
      <c r="AF424" s="220"/>
      <c r="AG424" s="308"/>
      <c r="AH424" s="220"/>
      <c r="AI424" s="220"/>
      <c r="AJ424" s="220"/>
      <c r="AK424" s="220"/>
      <c r="AL424" s="220"/>
      <c r="AM424" s="220"/>
    </row>
    <row r="425">
      <c r="A425" s="430"/>
      <c r="B425" s="311"/>
      <c r="C425" s="311"/>
      <c r="D425" s="312"/>
      <c r="E425" s="311"/>
      <c r="F425" s="311"/>
      <c r="G425" s="312"/>
      <c r="H425" s="312"/>
      <c r="I425" s="313"/>
      <c r="J425" s="431"/>
      <c r="K425" s="313"/>
      <c r="L425" s="313"/>
      <c r="M425" s="313"/>
      <c r="N425" s="315"/>
      <c r="O425" s="313"/>
      <c r="P425" s="313"/>
      <c r="Q425" s="432"/>
      <c r="R425" s="313"/>
      <c r="S425" s="313"/>
      <c r="T425" s="317"/>
      <c r="U425" s="433"/>
      <c r="V425" s="288"/>
      <c r="W425" s="220"/>
      <c r="X425" s="220"/>
      <c r="Y425" s="220"/>
      <c r="Z425" s="220"/>
      <c r="AA425" s="220"/>
      <c r="AB425" s="220"/>
      <c r="AC425" s="220"/>
      <c r="AD425" s="220"/>
      <c r="AE425" s="220"/>
      <c r="AF425" s="220"/>
      <c r="AG425" s="308"/>
      <c r="AH425" s="220"/>
      <c r="AI425" s="220"/>
      <c r="AJ425" s="220"/>
      <c r="AK425" s="220"/>
      <c r="AL425" s="220"/>
      <c r="AM425" s="220"/>
    </row>
    <row r="426">
      <c r="A426" s="430"/>
      <c r="B426" s="311"/>
      <c r="C426" s="311"/>
      <c r="D426" s="312"/>
      <c r="E426" s="311"/>
      <c r="F426" s="311"/>
      <c r="G426" s="312"/>
      <c r="H426" s="312"/>
      <c r="I426" s="313"/>
      <c r="J426" s="431"/>
      <c r="K426" s="313"/>
      <c r="L426" s="313"/>
      <c r="M426" s="313"/>
      <c r="N426" s="315"/>
      <c r="O426" s="313"/>
      <c r="P426" s="313"/>
      <c r="Q426" s="432"/>
      <c r="R426" s="313"/>
      <c r="S426" s="313"/>
      <c r="T426" s="317"/>
      <c r="U426" s="433"/>
      <c r="V426" s="288"/>
      <c r="W426" s="220"/>
      <c r="X426" s="220"/>
      <c r="Y426" s="220"/>
      <c r="Z426" s="220"/>
      <c r="AA426" s="220"/>
      <c r="AB426" s="220"/>
      <c r="AC426" s="220"/>
      <c r="AD426" s="220"/>
      <c r="AE426" s="220"/>
      <c r="AF426" s="220"/>
      <c r="AG426" s="308"/>
      <c r="AH426" s="220"/>
      <c r="AI426" s="220"/>
      <c r="AJ426" s="220"/>
      <c r="AK426" s="220"/>
      <c r="AL426" s="220"/>
      <c r="AM426" s="220"/>
    </row>
    <row r="427">
      <c r="A427" s="430"/>
      <c r="B427" s="311"/>
      <c r="C427" s="311"/>
      <c r="D427" s="312"/>
      <c r="E427" s="311"/>
      <c r="F427" s="311"/>
      <c r="G427" s="312"/>
      <c r="H427" s="312"/>
      <c r="I427" s="313"/>
      <c r="J427" s="431"/>
      <c r="K427" s="313"/>
      <c r="L427" s="313"/>
      <c r="M427" s="313"/>
      <c r="N427" s="315"/>
      <c r="O427" s="313"/>
      <c r="P427" s="313"/>
      <c r="Q427" s="432"/>
      <c r="R427" s="313"/>
      <c r="S427" s="313"/>
      <c r="T427" s="317"/>
      <c r="U427" s="433"/>
      <c r="V427" s="288"/>
      <c r="W427" s="220"/>
      <c r="X427" s="220"/>
      <c r="Y427" s="220"/>
      <c r="Z427" s="220"/>
      <c r="AA427" s="220"/>
      <c r="AB427" s="220"/>
      <c r="AC427" s="220"/>
      <c r="AD427" s="220"/>
      <c r="AE427" s="220"/>
      <c r="AF427" s="220"/>
      <c r="AG427" s="308"/>
      <c r="AH427" s="220"/>
      <c r="AI427" s="220"/>
      <c r="AJ427" s="220"/>
      <c r="AK427" s="220"/>
      <c r="AL427" s="220"/>
      <c r="AM427" s="220"/>
    </row>
    <row r="428">
      <c r="A428" s="430"/>
      <c r="B428" s="311"/>
      <c r="C428" s="311"/>
      <c r="D428" s="312"/>
      <c r="E428" s="311"/>
      <c r="F428" s="311"/>
      <c r="G428" s="312"/>
      <c r="H428" s="312"/>
      <c r="I428" s="313"/>
      <c r="J428" s="431"/>
      <c r="K428" s="313"/>
      <c r="L428" s="313"/>
      <c r="M428" s="313"/>
      <c r="N428" s="315"/>
      <c r="O428" s="313"/>
      <c r="P428" s="313"/>
      <c r="Q428" s="432"/>
      <c r="R428" s="313"/>
      <c r="S428" s="313"/>
      <c r="T428" s="317"/>
      <c r="U428" s="433"/>
      <c r="V428" s="288"/>
      <c r="W428" s="220"/>
      <c r="X428" s="220"/>
      <c r="Y428" s="220"/>
      <c r="Z428" s="220"/>
      <c r="AA428" s="220"/>
      <c r="AB428" s="220"/>
      <c r="AC428" s="220"/>
      <c r="AD428" s="220"/>
      <c r="AE428" s="220"/>
      <c r="AF428" s="220"/>
      <c r="AG428" s="308"/>
      <c r="AH428" s="220"/>
      <c r="AI428" s="220"/>
      <c r="AJ428" s="220"/>
      <c r="AK428" s="220"/>
      <c r="AL428" s="220"/>
      <c r="AM428" s="220"/>
    </row>
    <row r="429">
      <c r="A429" s="430"/>
      <c r="B429" s="311"/>
      <c r="C429" s="311"/>
      <c r="D429" s="312"/>
      <c r="E429" s="311"/>
      <c r="F429" s="311"/>
      <c r="G429" s="312"/>
      <c r="H429" s="312"/>
      <c r="I429" s="313"/>
      <c r="J429" s="431"/>
      <c r="K429" s="313"/>
      <c r="L429" s="313"/>
      <c r="M429" s="313"/>
      <c r="N429" s="315"/>
      <c r="O429" s="313"/>
      <c r="P429" s="313"/>
      <c r="Q429" s="432"/>
      <c r="R429" s="313"/>
      <c r="S429" s="313"/>
      <c r="T429" s="317"/>
      <c r="U429" s="433"/>
      <c r="V429" s="288"/>
      <c r="W429" s="220"/>
      <c r="X429" s="220"/>
      <c r="Y429" s="220"/>
      <c r="Z429" s="220"/>
      <c r="AA429" s="220"/>
      <c r="AB429" s="220"/>
      <c r="AC429" s="220"/>
      <c r="AD429" s="220"/>
      <c r="AE429" s="220"/>
      <c r="AF429" s="220"/>
      <c r="AG429" s="308"/>
      <c r="AH429" s="220"/>
      <c r="AI429" s="220"/>
      <c r="AJ429" s="220"/>
      <c r="AK429" s="220"/>
      <c r="AL429" s="220"/>
      <c r="AM429" s="220"/>
    </row>
    <row r="430">
      <c r="A430" s="430"/>
      <c r="B430" s="311"/>
      <c r="C430" s="311"/>
      <c r="D430" s="312"/>
      <c r="E430" s="311"/>
      <c r="F430" s="311"/>
      <c r="G430" s="312"/>
      <c r="H430" s="312"/>
      <c r="I430" s="313"/>
      <c r="J430" s="431"/>
      <c r="K430" s="313"/>
      <c r="L430" s="313"/>
      <c r="M430" s="313"/>
      <c r="N430" s="315"/>
      <c r="O430" s="313"/>
      <c r="P430" s="313"/>
      <c r="Q430" s="432"/>
      <c r="R430" s="313"/>
      <c r="S430" s="313"/>
      <c r="T430" s="317"/>
      <c r="U430" s="433"/>
      <c r="V430" s="288"/>
      <c r="W430" s="220"/>
      <c r="X430" s="220"/>
      <c r="Y430" s="220"/>
      <c r="Z430" s="220"/>
      <c r="AA430" s="220"/>
      <c r="AB430" s="220"/>
      <c r="AC430" s="220"/>
      <c r="AD430" s="220"/>
      <c r="AE430" s="220"/>
      <c r="AF430" s="220"/>
      <c r="AG430" s="308"/>
      <c r="AH430" s="220"/>
      <c r="AI430" s="220"/>
      <c r="AJ430" s="220"/>
      <c r="AK430" s="220"/>
      <c r="AL430" s="220"/>
      <c r="AM430" s="220"/>
    </row>
    <row r="431">
      <c r="A431" s="430"/>
      <c r="B431" s="311"/>
      <c r="C431" s="311"/>
      <c r="D431" s="312"/>
      <c r="E431" s="311"/>
      <c r="F431" s="311"/>
      <c r="G431" s="312"/>
      <c r="H431" s="312"/>
      <c r="I431" s="313"/>
      <c r="J431" s="431"/>
      <c r="K431" s="313"/>
      <c r="L431" s="313"/>
      <c r="M431" s="313"/>
      <c r="N431" s="315"/>
      <c r="O431" s="313"/>
      <c r="P431" s="313"/>
      <c r="Q431" s="432"/>
      <c r="R431" s="313"/>
      <c r="S431" s="313"/>
      <c r="T431" s="317"/>
      <c r="U431" s="433"/>
      <c r="V431" s="288"/>
      <c r="W431" s="220"/>
      <c r="X431" s="220"/>
      <c r="Y431" s="220"/>
      <c r="Z431" s="220"/>
      <c r="AA431" s="220"/>
      <c r="AB431" s="220"/>
      <c r="AC431" s="220"/>
      <c r="AD431" s="220"/>
      <c r="AE431" s="220"/>
      <c r="AF431" s="220"/>
      <c r="AG431" s="308"/>
      <c r="AH431" s="220"/>
      <c r="AI431" s="220"/>
      <c r="AJ431" s="220"/>
      <c r="AK431" s="220"/>
      <c r="AL431" s="220"/>
      <c r="AM431" s="220"/>
    </row>
    <row r="432">
      <c r="A432" s="430"/>
      <c r="B432" s="311"/>
      <c r="C432" s="311"/>
      <c r="D432" s="312"/>
      <c r="E432" s="311"/>
      <c r="F432" s="311"/>
      <c r="G432" s="312"/>
      <c r="H432" s="312"/>
      <c r="I432" s="313"/>
      <c r="J432" s="431"/>
      <c r="K432" s="313"/>
      <c r="L432" s="313"/>
      <c r="M432" s="313"/>
      <c r="N432" s="315"/>
      <c r="O432" s="313"/>
      <c r="P432" s="313"/>
      <c r="Q432" s="432"/>
      <c r="R432" s="313"/>
      <c r="S432" s="313"/>
      <c r="T432" s="317"/>
      <c r="U432" s="433"/>
      <c r="V432" s="288"/>
      <c r="W432" s="220"/>
      <c r="X432" s="220"/>
      <c r="Y432" s="220"/>
      <c r="Z432" s="220"/>
      <c r="AA432" s="220"/>
      <c r="AB432" s="220"/>
      <c r="AC432" s="220"/>
      <c r="AD432" s="220"/>
      <c r="AE432" s="220"/>
      <c r="AF432" s="220"/>
      <c r="AG432" s="308"/>
      <c r="AH432" s="220"/>
      <c r="AI432" s="220"/>
      <c r="AJ432" s="220"/>
      <c r="AK432" s="220"/>
      <c r="AL432" s="220"/>
      <c r="AM432" s="220"/>
    </row>
    <row r="433">
      <c r="A433" s="430"/>
      <c r="B433" s="311"/>
      <c r="C433" s="311"/>
      <c r="D433" s="312"/>
      <c r="E433" s="311"/>
      <c r="F433" s="311"/>
      <c r="G433" s="312"/>
      <c r="H433" s="312"/>
      <c r="I433" s="313"/>
      <c r="J433" s="431"/>
      <c r="K433" s="313"/>
      <c r="L433" s="313"/>
      <c r="M433" s="313"/>
      <c r="N433" s="315"/>
      <c r="O433" s="313"/>
      <c r="P433" s="313"/>
      <c r="Q433" s="432"/>
      <c r="R433" s="313"/>
      <c r="S433" s="313"/>
      <c r="T433" s="317"/>
      <c r="U433" s="433"/>
      <c r="V433" s="288"/>
      <c r="W433" s="220"/>
      <c r="X433" s="220"/>
      <c r="Y433" s="220"/>
      <c r="Z433" s="220"/>
      <c r="AA433" s="220"/>
      <c r="AB433" s="220"/>
      <c r="AC433" s="220"/>
      <c r="AD433" s="220"/>
      <c r="AE433" s="220"/>
      <c r="AF433" s="220"/>
      <c r="AG433" s="308"/>
      <c r="AH433" s="220"/>
      <c r="AI433" s="220"/>
      <c r="AJ433" s="220"/>
      <c r="AK433" s="220"/>
      <c r="AL433" s="220"/>
      <c r="AM433" s="220"/>
    </row>
    <row r="434">
      <c r="A434" s="430"/>
      <c r="B434" s="311"/>
      <c r="C434" s="311"/>
      <c r="D434" s="312"/>
      <c r="E434" s="311"/>
      <c r="F434" s="311"/>
      <c r="G434" s="312"/>
      <c r="H434" s="312"/>
      <c r="I434" s="313"/>
      <c r="J434" s="431"/>
      <c r="K434" s="313"/>
      <c r="L434" s="313"/>
      <c r="M434" s="313"/>
      <c r="N434" s="315"/>
      <c r="O434" s="313"/>
      <c r="P434" s="313"/>
      <c r="Q434" s="432"/>
      <c r="R434" s="313"/>
      <c r="S434" s="313"/>
      <c r="T434" s="317"/>
      <c r="U434" s="433"/>
      <c r="V434" s="288"/>
      <c r="W434" s="220"/>
      <c r="X434" s="220"/>
      <c r="Y434" s="220"/>
      <c r="Z434" s="220"/>
      <c r="AA434" s="220"/>
      <c r="AB434" s="220"/>
      <c r="AC434" s="220"/>
      <c r="AD434" s="220"/>
      <c r="AE434" s="220"/>
      <c r="AF434" s="220"/>
      <c r="AG434" s="308"/>
      <c r="AH434" s="220"/>
      <c r="AI434" s="220"/>
      <c r="AJ434" s="220"/>
      <c r="AK434" s="220"/>
      <c r="AL434" s="220"/>
      <c r="AM434" s="220"/>
    </row>
    <row r="435">
      <c r="A435" s="430"/>
      <c r="B435" s="311"/>
      <c r="C435" s="311"/>
      <c r="D435" s="312"/>
      <c r="E435" s="311"/>
      <c r="F435" s="311"/>
      <c r="G435" s="312"/>
      <c r="H435" s="312"/>
      <c r="I435" s="313"/>
      <c r="J435" s="431"/>
      <c r="K435" s="313"/>
      <c r="L435" s="313"/>
      <c r="M435" s="313"/>
      <c r="N435" s="315"/>
      <c r="O435" s="313"/>
      <c r="P435" s="313"/>
      <c r="Q435" s="432"/>
      <c r="R435" s="313"/>
      <c r="S435" s="313"/>
      <c r="T435" s="317"/>
      <c r="U435" s="433"/>
      <c r="V435" s="288"/>
      <c r="W435" s="220"/>
      <c r="X435" s="220"/>
      <c r="Y435" s="220"/>
      <c r="Z435" s="220"/>
      <c r="AA435" s="220"/>
      <c r="AB435" s="220"/>
      <c r="AC435" s="220"/>
      <c r="AD435" s="220"/>
      <c r="AE435" s="220"/>
      <c r="AF435" s="220"/>
      <c r="AG435" s="308"/>
      <c r="AH435" s="220"/>
      <c r="AI435" s="220"/>
      <c r="AJ435" s="220"/>
      <c r="AK435" s="220"/>
      <c r="AL435" s="220"/>
      <c r="AM435" s="220"/>
    </row>
    <row r="436">
      <c r="A436" s="430"/>
      <c r="B436" s="311"/>
      <c r="C436" s="311"/>
      <c r="D436" s="312"/>
      <c r="E436" s="311"/>
      <c r="F436" s="311"/>
      <c r="G436" s="312"/>
      <c r="H436" s="312"/>
      <c r="I436" s="313"/>
      <c r="J436" s="431"/>
      <c r="K436" s="313"/>
      <c r="L436" s="313"/>
      <c r="M436" s="313"/>
      <c r="N436" s="315"/>
      <c r="O436" s="313"/>
      <c r="P436" s="313"/>
      <c r="Q436" s="432"/>
      <c r="R436" s="313"/>
      <c r="S436" s="313"/>
      <c r="T436" s="317"/>
      <c r="U436" s="433"/>
      <c r="V436" s="288"/>
      <c r="W436" s="220"/>
      <c r="X436" s="220"/>
      <c r="Y436" s="220"/>
      <c r="Z436" s="220"/>
      <c r="AA436" s="220"/>
      <c r="AB436" s="220"/>
      <c r="AC436" s="220"/>
      <c r="AD436" s="220"/>
      <c r="AE436" s="220"/>
      <c r="AF436" s="220"/>
      <c r="AG436" s="308"/>
      <c r="AH436" s="220"/>
      <c r="AI436" s="220"/>
      <c r="AJ436" s="220"/>
      <c r="AK436" s="220"/>
      <c r="AL436" s="220"/>
      <c r="AM436" s="220"/>
    </row>
    <row r="437">
      <c r="A437" s="430"/>
      <c r="B437" s="311"/>
      <c r="C437" s="311"/>
      <c r="D437" s="312"/>
      <c r="E437" s="311"/>
      <c r="F437" s="311"/>
      <c r="G437" s="312"/>
      <c r="H437" s="312"/>
      <c r="I437" s="313"/>
      <c r="J437" s="431"/>
      <c r="K437" s="313"/>
      <c r="L437" s="313"/>
      <c r="M437" s="313"/>
      <c r="N437" s="315"/>
      <c r="O437" s="313"/>
      <c r="P437" s="313"/>
      <c r="Q437" s="432"/>
      <c r="R437" s="313"/>
      <c r="S437" s="313"/>
      <c r="T437" s="317"/>
      <c r="U437" s="433"/>
      <c r="V437" s="288"/>
      <c r="W437" s="220"/>
      <c r="X437" s="220"/>
      <c r="Y437" s="220"/>
      <c r="Z437" s="220"/>
      <c r="AA437" s="220"/>
      <c r="AB437" s="220"/>
      <c r="AC437" s="220"/>
      <c r="AD437" s="220"/>
      <c r="AE437" s="220"/>
      <c r="AF437" s="220"/>
      <c r="AG437" s="308"/>
      <c r="AH437" s="220"/>
      <c r="AI437" s="220"/>
      <c r="AJ437" s="220"/>
      <c r="AK437" s="220"/>
      <c r="AL437" s="220"/>
      <c r="AM437" s="220"/>
    </row>
    <row r="438">
      <c r="A438" s="430"/>
      <c r="B438" s="311"/>
      <c r="C438" s="311"/>
      <c r="D438" s="312"/>
      <c r="E438" s="311"/>
      <c r="F438" s="311"/>
      <c r="G438" s="312"/>
      <c r="H438" s="312"/>
      <c r="I438" s="313"/>
      <c r="J438" s="431"/>
      <c r="K438" s="313"/>
      <c r="L438" s="313"/>
      <c r="M438" s="313"/>
      <c r="N438" s="315"/>
      <c r="O438" s="313"/>
      <c r="P438" s="313"/>
      <c r="Q438" s="432"/>
      <c r="R438" s="313"/>
      <c r="S438" s="313"/>
      <c r="T438" s="317"/>
      <c r="U438" s="433"/>
      <c r="V438" s="288"/>
      <c r="W438" s="220"/>
      <c r="X438" s="220"/>
      <c r="Y438" s="220"/>
      <c r="Z438" s="220"/>
      <c r="AA438" s="220"/>
      <c r="AB438" s="220"/>
      <c r="AC438" s="220"/>
      <c r="AD438" s="220"/>
      <c r="AE438" s="220"/>
      <c r="AF438" s="220"/>
      <c r="AG438" s="308"/>
      <c r="AH438" s="220"/>
      <c r="AI438" s="220"/>
      <c r="AJ438" s="220"/>
      <c r="AK438" s="220"/>
      <c r="AL438" s="220"/>
      <c r="AM438" s="220"/>
    </row>
    <row r="439">
      <c r="A439" s="430"/>
      <c r="B439" s="311"/>
      <c r="C439" s="311"/>
      <c r="D439" s="312"/>
      <c r="E439" s="311"/>
      <c r="F439" s="311"/>
      <c r="G439" s="312"/>
      <c r="H439" s="312"/>
      <c r="I439" s="313"/>
      <c r="J439" s="431"/>
      <c r="K439" s="313"/>
      <c r="L439" s="313"/>
      <c r="M439" s="313"/>
      <c r="N439" s="315"/>
      <c r="O439" s="313"/>
      <c r="P439" s="313"/>
      <c r="Q439" s="432"/>
      <c r="R439" s="313"/>
      <c r="S439" s="313"/>
      <c r="T439" s="317"/>
      <c r="U439" s="433"/>
      <c r="V439" s="288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308"/>
      <c r="AH439" s="220"/>
      <c r="AI439" s="220"/>
      <c r="AJ439" s="220"/>
      <c r="AK439" s="220"/>
      <c r="AL439" s="220"/>
      <c r="AM439" s="220"/>
    </row>
    <row r="440">
      <c r="A440" s="430"/>
      <c r="B440" s="311"/>
      <c r="C440" s="311"/>
      <c r="D440" s="312"/>
      <c r="E440" s="311"/>
      <c r="F440" s="311"/>
      <c r="G440" s="312"/>
      <c r="H440" s="312"/>
      <c r="I440" s="313"/>
      <c r="J440" s="431"/>
      <c r="K440" s="313"/>
      <c r="L440" s="313"/>
      <c r="M440" s="313"/>
      <c r="N440" s="315"/>
      <c r="O440" s="313"/>
      <c r="P440" s="313"/>
      <c r="Q440" s="432"/>
      <c r="R440" s="313"/>
      <c r="S440" s="313"/>
      <c r="T440" s="317"/>
      <c r="U440" s="433"/>
      <c r="V440" s="288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308"/>
      <c r="AH440" s="220"/>
      <c r="AI440" s="220"/>
      <c r="AJ440" s="220"/>
      <c r="AK440" s="220"/>
      <c r="AL440" s="220"/>
      <c r="AM440" s="220"/>
    </row>
    <row r="441">
      <c r="A441" s="430"/>
      <c r="B441" s="311"/>
      <c r="C441" s="311"/>
      <c r="D441" s="312"/>
      <c r="E441" s="311"/>
      <c r="F441" s="311"/>
      <c r="G441" s="312"/>
      <c r="H441" s="312"/>
      <c r="I441" s="313"/>
      <c r="J441" s="431"/>
      <c r="K441" s="313"/>
      <c r="L441" s="313"/>
      <c r="M441" s="313"/>
      <c r="N441" s="315"/>
      <c r="O441" s="313"/>
      <c r="P441" s="313"/>
      <c r="Q441" s="432"/>
      <c r="R441" s="313"/>
      <c r="S441" s="313"/>
      <c r="T441" s="317"/>
      <c r="U441" s="433"/>
      <c r="V441" s="288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308"/>
      <c r="AH441" s="220"/>
      <c r="AI441" s="220"/>
      <c r="AJ441" s="220"/>
      <c r="AK441" s="220"/>
      <c r="AL441" s="220"/>
      <c r="AM441" s="220"/>
    </row>
    <row r="442">
      <c r="A442" s="430"/>
      <c r="B442" s="311"/>
      <c r="C442" s="311"/>
      <c r="D442" s="312"/>
      <c r="E442" s="311"/>
      <c r="F442" s="311"/>
      <c r="G442" s="312"/>
      <c r="H442" s="312"/>
      <c r="I442" s="313"/>
      <c r="J442" s="431"/>
      <c r="K442" s="313"/>
      <c r="L442" s="313"/>
      <c r="M442" s="313"/>
      <c r="N442" s="315"/>
      <c r="O442" s="313"/>
      <c r="P442" s="313"/>
      <c r="Q442" s="432"/>
      <c r="R442" s="313"/>
      <c r="S442" s="313"/>
      <c r="T442" s="317"/>
      <c r="U442" s="433"/>
      <c r="V442" s="288"/>
      <c r="W442" s="220"/>
      <c r="X442" s="220"/>
      <c r="Y442" s="220"/>
      <c r="Z442" s="220"/>
      <c r="AA442" s="220"/>
      <c r="AB442" s="220"/>
      <c r="AC442" s="220"/>
      <c r="AD442" s="220"/>
      <c r="AE442" s="220"/>
      <c r="AF442" s="220"/>
      <c r="AG442" s="308"/>
      <c r="AH442" s="220"/>
      <c r="AI442" s="220"/>
      <c r="AJ442" s="220"/>
      <c r="AK442" s="220"/>
      <c r="AL442" s="220"/>
      <c r="AM442" s="220"/>
    </row>
    <row r="443">
      <c r="A443" s="430"/>
      <c r="B443" s="311"/>
      <c r="C443" s="311"/>
      <c r="D443" s="312"/>
      <c r="E443" s="311"/>
      <c r="F443" s="311"/>
      <c r="G443" s="312"/>
      <c r="H443" s="312"/>
      <c r="I443" s="313"/>
      <c r="J443" s="431"/>
      <c r="K443" s="313"/>
      <c r="L443" s="313"/>
      <c r="M443" s="313"/>
      <c r="N443" s="315"/>
      <c r="O443" s="313"/>
      <c r="P443" s="313"/>
      <c r="Q443" s="432"/>
      <c r="R443" s="313"/>
      <c r="S443" s="313"/>
      <c r="T443" s="317"/>
      <c r="U443" s="433"/>
      <c r="V443" s="288"/>
      <c r="W443" s="220"/>
      <c r="X443" s="220"/>
      <c r="Y443" s="220"/>
      <c r="Z443" s="220"/>
      <c r="AA443" s="220"/>
      <c r="AB443" s="220"/>
      <c r="AC443" s="220"/>
      <c r="AD443" s="220"/>
      <c r="AE443" s="220"/>
      <c r="AF443" s="220"/>
      <c r="AG443" s="308"/>
      <c r="AH443" s="220"/>
      <c r="AI443" s="220"/>
      <c r="AJ443" s="220"/>
      <c r="AK443" s="220"/>
      <c r="AL443" s="220"/>
      <c r="AM443" s="220"/>
    </row>
    <row r="444">
      <c r="A444" s="430"/>
      <c r="B444" s="311"/>
      <c r="C444" s="311"/>
      <c r="D444" s="312"/>
      <c r="E444" s="311"/>
      <c r="F444" s="311"/>
      <c r="G444" s="312"/>
      <c r="H444" s="312"/>
      <c r="I444" s="313"/>
      <c r="J444" s="431"/>
      <c r="K444" s="313"/>
      <c r="L444" s="313"/>
      <c r="M444" s="313"/>
      <c r="N444" s="315"/>
      <c r="O444" s="313"/>
      <c r="P444" s="313"/>
      <c r="Q444" s="432"/>
      <c r="R444" s="313"/>
      <c r="S444" s="313"/>
      <c r="T444" s="317"/>
      <c r="U444" s="433"/>
      <c r="V444" s="288"/>
      <c r="W444" s="220"/>
      <c r="X444" s="220"/>
      <c r="Y444" s="220"/>
      <c r="Z444" s="220"/>
      <c r="AA444" s="220"/>
      <c r="AB444" s="220"/>
      <c r="AC444" s="220"/>
      <c r="AD444" s="220"/>
      <c r="AE444" s="220"/>
      <c r="AF444" s="220"/>
      <c r="AG444" s="308"/>
      <c r="AH444" s="220"/>
      <c r="AI444" s="220"/>
      <c r="AJ444" s="220"/>
      <c r="AK444" s="220"/>
      <c r="AL444" s="220"/>
      <c r="AM444" s="220"/>
    </row>
    <row r="445">
      <c r="A445" s="430"/>
      <c r="B445" s="311"/>
      <c r="C445" s="311"/>
      <c r="D445" s="312"/>
      <c r="E445" s="311"/>
      <c r="F445" s="311"/>
      <c r="G445" s="312"/>
      <c r="H445" s="312"/>
      <c r="I445" s="313"/>
      <c r="J445" s="431"/>
      <c r="K445" s="313"/>
      <c r="L445" s="313"/>
      <c r="M445" s="313"/>
      <c r="N445" s="315"/>
      <c r="O445" s="313"/>
      <c r="P445" s="313"/>
      <c r="Q445" s="432"/>
      <c r="R445" s="313"/>
      <c r="S445" s="313"/>
      <c r="T445" s="317"/>
      <c r="U445" s="433"/>
      <c r="V445" s="288"/>
      <c r="W445" s="220"/>
      <c r="X445" s="220"/>
      <c r="Y445" s="220"/>
      <c r="Z445" s="220"/>
      <c r="AA445" s="220"/>
      <c r="AB445" s="220"/>
      <c r="AC445" s="220"/>
      <c r="AD445" s="220"/>
      <c r="AE445" s="220"/>
      <c r="AF445" s="220"/>
      <c r="AG445" s="308"/>
      <c r="AH445" s="220"/>
      <c r="AI445" s="220"/>
      <c r="AJ445" s="220"/>
      <c r="AK445" s="220"/>
      <c r="AL445" s="220"/>
      <c r="AM445" s="220"/>
    </row>
    <row r="446">
      <c r="A446" s="430"/>
      <c r="B446" s="311"/>
      <c r="C446" s="311"/>
      <c r="D446" s="312"/>
      <c r="E446" s="311"/>
      <c r="F446" s="311"/>
      <c r="G446" s="312"/>
      <c r="H446" s="312"/>
      <c r="I446" s="313"/>
      <c r="J446" s="431"/>
      <c r="K446" s="313"/>
      <c r="L446" s="313"/>
      <c r="M446" s="313"/>
      <c r="N446" s="315"/>
      <c r="O446" s="313"/>
      <c r="P446" s="313"/>
      <c r="Q446" s="432"/>
      <c r="R446" s="313"/>
      <c r="S446" s="313"/>
      <c r="T446" s="317"/>
      <c r="U446" s="433"/>
      <c r="V446" s="288"/>
      <c r="W446" s="220"/>
      <c r="X446" s="220"/>
      <c r="Y446" s="220"/>
      <c r="Z446" s="220"/>
      <c r="AA446" s="220"/>
      <c r="AB446" s="220"/>
      <c r="AC446" s="220"/>
      <c r="AD446" s="220"/>
      <c r="AE446" s="220"/>
      <c r="AF446" s="220"/>
      <c r="AG446" s="308"/>
      <c r="AH446" s="220"/>
      <c r="AI446" s="220"/>
      <c r="AJ446" s="220"/>
      <c r="AK446" s="220"/>
      <c r="AL446" s="220"/>
      <c r="AM446" s="220"/>
    </row>
    <row r="447">
      <c r="A447" s="430"/>
      <c r="B447" s="311"/>
      <c r="C447" s="311"/>
      <c r="D447" s="312"/>
      <c r="E447" s="311"/>
      <c r="F447" s="311"/>
      <c r="G447" s="312"/>
      <c r="H447" s="312"/>
      <c r="I447" s="313"/>
      <c r="J447" s="431"/>
      <c r="K447" s="313"/>
      <c r="L447" s="313"/>
      <c r="M447" s="313"/>
      <c r="N447" s="315"/>
      <c r="O447" s="313"/>
      <c r="P447" s="313"/>
      <c r="Q447" s="432"/>
      <c r="R447" s="313"/>
      <c r="S447" s="313"/>
      <c r="T447" s="317"/>
      <c r="U447" s="433"/>
      <c r="V447" s="288"/>
      <c r="W447" s="220"/>
      <c r="X447" s="220"/>
      <c r="Y447" s="220"/>
      <c r="Z447" s="220"/>
      <c r="AA447" s="220"/>
      <c r="AB447" s="220"/>
      <c r="AC447" s="220"/>
      <c r="AD447" s="220"/>
      <c r="AE447" s="220"/>
      <c r="AF447" s="220"/>
      <c r="AG447" s="308"/>
      <c r="AH447" s="220"/>
      <c r="AI447" s="220"/>
      <c r="AJ447" s="220"/>
      <c r="AK447" s="220"/>
      <c r="AL447" s="220"/>
      <c r="AM447" s="220"/>
    </row>
    <row r="448">
      <c r="A448" s="430"/>
      <c r="B448" s="311"/>
      <c r="C448" s="311"/>
      <c r="D448" s="312"/>
      <c r="E448" s="311"/>
      <c r="F448" s="311"/>
      <c r="G448" s="312"/>
      <c r="H448" s="312"/>
      <c r="I448" s="313"/>
      <c r="J448" s="431"/>
      <c r="K448" s="313"/>
      <c r="L448" s="313"/>
      <c r="M448" s="313"/>
      <c r="N448" s="315"/>
      <c r="O448" s="313"/>
      <c r="P448" s="313"/>
      <c r="Q448" s="432"/>
      <c r="R448" s="313"/>
      <c r="S448" s="313"/>
      <c r="T448" s="317"/>
      <c r="U448" s="433"/>
      <c r="V448" s="288"/>
      <c r="W448" s="220"/>
      <c r="X448" s="220"/>
      <c r="Y448" s="220"/>
      <c r="Z448" s="220"/>
      <c r="AA448" s="220"/>
      <c r="AB448" s="220"/>
      <c r="AC448" s="220"/>
      <c r="AD448" s="220"/>
      <c r="AE448" s="220"/>
      <c r="AF448" s="220"/>
      <c r="AG448" s="308"/>
      <c r="AH448" s="220"/>
      <c r="AI448" s="220"/>
      <c r="AJ448" s="220"/>
      <c r="AK448" s="220"/>
      <c r="AL448" s="220"/>
      <c r="AM448" s="220"/>
    </row>
    <row r="449">
      <c r="A449" s="430"/>
      <c r="B449" s="311"/>
      <c r="C449" s="311"/>
      <c r="D449" s="312"/>
      <c r="E449" s="311"/>
      <c r="F449" s="311"/>
      <c r="G449" s="312"/>
      <c r="H449" s="312"/>
      <c r="I449" s="313"/>
      <c r="J449" s="431"/>
      <c r="K449" s="313"/>
      <c r="L449" s="313"/>
      <c r="M449" s="313"/>
      <c r="N449" s="315"/>
      <c r="O449" s="313"/>
      <c r="P449" s="313"/>
      <c r="Q449" s="432"/>
      <c r="R449" s="313"/>
      <c r="S449" s="313"/>
      <c r="T449" s="317"/>
      <c r="U449" s="433"/>
      <c r="V449" s="288"/>
      <c r="W449" s="220"/>
      <c r="X449" s="220"/>
      <c r="Y449" s="220"/>
      <c r="Z449" s="220"/>
      <c r="AA449" s="220"/>
      <c r="AB449" s="220"/>
      <c r="AC449" s="220"/>
      <c r="AD449" s="220"/>
      <c r="AE449" s="220"/>
      <c r="AF449" s="220"/>
      <c r="AG449" s="308"/>
      <c r="AH449" s="220"/>
      <c r="AI449" s="220"/>
      <c r="AJ449" s="220"/>
      <c r="AK449" s="220"/>
      <c r="AL449" s="220"/>
      <c r="AM449" s="220"/>
    </row>
    <row r="450">
      <c r="A450" s="430"/>
      <c r="B450" s="311"/>
      <c r="C450" s="311"/>
      <c r="D450" s="312"/>
      <c r="E450" s="311"/>
      <c r="F450" s="311"/>
      <c r="G450" s="312"/>
      <c r="H450" s="312"/>
      <c r="I450" s="313"/>
      <c r="J450" s="431"/>
      <c r="K450" s="313"/>
      <c r="L450" s="313"/>
      <c r="M450" s="313"/>
      <c r="N450" s="315"/>
      <c r="O450" s="313"/>
      <c r="P450" s="313"/>
      <c r="Q450" s="432"/>
      <c r="R450" s="313"/>
      <c r="S450" s="313"/>
      <c r="T450" s="317"/>
      <c r="U450" s="433"/>
      <c r="V450" s="288"/>
      <c r="W450" s="220"/>
      <c r="X450" s="220"/>
      <c r="Y450" s="220"/>
      <c r="Z450" s="220"/>
      <c r="AA450" s="220"/>
      <c r="AB450" s="220"/>
      <c r="AC450" s="220"/>
      <c r="AD450" s="220"/>
      <c r="AE450" s="220"/>
      <c r="AF450" s="220"/>
      <c r="AG450" s="308"/>
      <c r="AH450" s="220"/>
      <c r="AI450" s="220"/>
      <c r="AJ450" s="220"/>
      <c r="AK450" s="220"/>
      <c r="AL450" s="220"/>
      <c r="AM450" s="220"/>
    </row>
    <row r="451">
      <c r="A451" s="430"/>
      <c r="B451" s="311"/>
      <c r="C451" s="311"/>
      <c r="D451" s="312"/>
      <c r="E451" s="311"/>
      <c r="F451" s="311"/>
      <c r="G451" s="312"/>
      <c r="H451" s="312"/>
      <c r="I451" s="313"/>
      <c r="J451" s="431"/>
      <c r="K451" s="313"/>
      <c r="L451" s="313"/>
      <c r="M451" s="313"/>
      <c r="N451" s="315"/>
      <c r="O451" s="313"/>
      <c r="P451" s="313"/>
      <c r="Q451" s="432"/>
      <c r="R451" s="313"/>
      <c r="S451" s="313"/>
      <c r="T451" s="317"/>
      <c r="U451" s="433"/>
      <c r="V451" s="288"/>
      <c r="W451" s="220"/>
      <c r="X451" s="220"/>
      <c r="Y451" s="220"/>
      <c r="Z451" s="220"/>
      <c r="AA451" s="220"/>
      <c r="AB451" s="220"/>
      <c r="AC451" s="220"/>
      <c r="AD451" s="220"/>
      <c r="AE451" s="220"/>
      <c r="AF451" s="220"/>
      <c r="AG451" s="308"/>
      <c r="AH451" s="220"/>
      <c r="AI451" s="220"/>
      <c r="AJ451" s="220"/>
      <c r="AK451" s="220"/>
      <c r="AL451" s="220"/>
      <c r="AM451" s="220"/>
    </row>
    <row r="452">
      <c r="A452" s="430"/>
      <c r="B452" s="311"/>
      <c r="C452" s="311"/>
      <c r="D452" s="312"/>
      <c r="E452" s="311"/>
      <c r="F452" s="311"/>
      <c r="G452" s="312"/>
      <c r="H452" s="312"/>
      <c r="I452" s="313"/>
      <c r="J452" s="431"/>
      <c r="K452" s="313"/>
      <c r="L452" s="313"/>
      <c r="M452" s="313"/>
      <c r="N452" s="315"/>
      <c r="O452" s="313"/>
      <c r="P452" s="313"/>
      <c r="Q452" s="432"/>
      <c r="R452" s="313"/>
      <c r="S452" s="313"/>
      <c r="T452" s="317"/>
      <c r="U452" s="433"/>
      <c r="V452" s="288"/>
      <c r="W452" s="220"/>
      <c r="X452" s="220"/>
      <c r="Y452" s="220"/>
      <c r="Z452" s="220"/>
      <c r="AA452" s="220"/>
      <c r="AB452" s="220"/>
      <c r="AC452" s="220"/>
      <c r="AD452" s="220"/>
      <c r="AE452" s="220"/>
      <c r="AF452" s="220"/>
      <c r="AG452" s="308"/>
      <c r="AH452" s="220"/>
      <c r="AI452" s="220"/>
      <c r="AJ452" s="220"/>
      <c r="AK452" s="220"/>
      <c r="AL452" s="220"/>
      <c r="AM452" s="220"/>
    </row>
    <row r="453">
      <c r="A453" s="430"/>
      <c r="B453" s="311"/>
      <c r="C453" s="311"/>
      <c r="D453" s="312"/>
      <c r="E453" s="311"/>
      <c r="F453" s="311"/>
      <c r="G453" s="312"/>
      <c r="H453" s="312"/>
      <c r="I453" s="313"/>
      <c r="J453" s="431"/>
      <c r="K453" s="313"/>
      <c r="L453" s="313"/>
      <c r="M453" s="313"/>
      <c r="N453" s="315"/>
      <c r="O453" s="313"/>
      <c r="P453" s="313"/>
      <c r="Q453" s="432"/>
      <c r="R453" s="313"/>
      <c r="S453" s="313"/>
      <c r="T453" s="317"/>
      <c r="U453" s="433"/>
      <c r="V453" s="288"/>
      <c r="W453" s="220"/>
      <c r="X453" s="220"/>
      <c r="Y453" s="220"/>
      <c r="Z453" s="220"/>
      <c r="AA453" s="220"/>
      <c r="AB453" s="220"/>
      <c r="AC453" s="220"/>
      <c r="AD453" s="220"/>
      <c r="AE453" s="220"/>
      <c r="AF453" s="220"/>
      <c r="AG453" s="308"/>
      <c r="AH453" s="220"/>
      <c r="AI453" s="220"/>
      <c r="AJ453" s="220"/>
      <c r="AK453" s="220"/>
      <c r="AL453" s="220"/>
      <c r="AM453" s="220"/>
    </row>
    <row r="454">
      <c r="A454" s="430"/>
      <c r="B454" s="311"/>
      <c r="C454" s="311"/>
      <c r="D454" s="312"/>
      <c r="E454" s="311"/>
      <c r="F454" s="311"/>
      <c r="G454" s="312"/>
      <c r="H454" s="312"/>
      <c r="I454" s="313"/>
      <c r="J454" s="431"/>
      <c r="K454" s="313"/>
      <c r="L454" s="313"/>
      <c r="M454" s="313"/>
      <c r="N454" s="315"/>
      <c r="O454" s="313"/>
      <c r="P454" s="313"/>
      <c r="Q454" s="432"/>
      <c r="R454" s="313"/>
      <c r="S454" s="313"/>
      <c r="T454" s="317"/>
      <c r="U454" s="433"/>
      <c r="V454" s="288"/>
      <c r="W454" s="220"/>
      <c r="X454" s="220"/>
      <c r="Y454" s="220"/>
      <c r="Z454" s="220"/>
      <c r="AA454" s="220"/>
      <c r="AB454" s="220"/>
      <c r="AC454" s="220"/>
      <c r="AD454" s="220"/>
      <c r="AE454" s="220"/>
      <c r="AF454" s="220"/>
      <c r="AG454" s="308"/>
      <c r="AH454" s="220"/>
      <c r="AI454" s="220"/>
      <c r="AJ454" s="220"/>
      <c r="AK454" s="220"/>
      <c r="AL454" s="220"/>
      <c r="AM454" s="220"/>
    </row>
    <row r="455">
      <c r="A455" s="430"/>
      <c r="B455" s="311"/>
      <c r="C455" s="311"/>
      <c r="D455" s="312"/>
      <c r="E455" s="311"/>
      <c r="F455" s="311"/>
      <c r="G455" s="312"/>
      <c r="H455" s="312"/>
      <c r="I455" s="313"/>
      <c r="J455" s="431"/>
      <c r="K455" s="313"/>
      <c r="L455" s="313"/>
      <c r="M455" s="313"/>
      <c r="N455" s="315"/>
      <c r="O455" s="313"/>
      <c r="P455" s="313"/>
      <c r="Q455" s="432"/>
      <c r="R455" s="313"/>
      <c r="S455" s="313"/>
      <c r="T455" s="317"/>
      <c r="U455" s="433"/>
      <c r="V455" s="288"/>
      <c r="W455" s="220"/>
      <c r="X455" s="220"/>
      <c r="Y455" s="220"/>
      <c r="Z455" s="220"/>
      <c r="AA455" s="220"/>
      <c r="AB455" s="220"/>
      <c r="AC455" s="220"/>
      <c r="AD455" s="220"/>
      <c r="AE455" s="220"/>
      <c r="AF455" s="220"/>
      <c r="AG455" s="308"/>
      <c r="AH455" s="220"/>
      <c r="AI455" s="220"/>
      <c r="AJ455" s="220"/>
      <c r="AK455" s="220"/>
      <c r="AL455" s="220"/>
      <c r="AM455" s="220"/>
    </row>
    <row r="456">
      <c r="A456" s="430"/>
      <c r="B456" s="311"/>
      <c r="C456" s="311"/>
      <c r="D456" s="312"/>
      <c r="E456" s="311"/>
      <c r="F456" s="311"/>
      <c r="G456" s="312"/>
      <c r="H456" s="312"/>
      <c r="I456" s="313"/>
      <c r="J456" s="431"/>
      <c r="K456" s="313"/>
      <c r="L456" s="313"/>
      <c r="M456" s="313"/>
      <c r="N456" s="315"/>
      <c r="O456" s="313"/>
      <c r="P456" s="313"/>
      <c r="Q456" s="432"/>
      <c r="R456" s="313"/>
      <c r="S456" s="313"/>
      <c r="T456" s="317"/>
      <c r="U456" s="433"/>
      <c r="V456" s="288"/>
      <c r="W456" s="220"/>
      <c r="X456" s="220"/>
      <c r="Y456" s="220"/>
      <c r="Z456" s="220"/>
      <c r="AA456" s="220"/>
      <c r="AB456" s="220"/>
      <c r="AC456" s="220"/>
      <c r="AD456" s="220"/>
      <c r="AE456" s="220"/>
      <c r="AF456" s="220"/>
      <c r="AG456" s="308"/>
      <c r="AH456" s="220"/>
      <c r="AI456" s="220"/>
      <c r="AJ456" s="220"/>
      <c r="AK456" s="220"/>
      <c r="AL456" s="220"/>
      <c r="AM456" s="220"/>
    </row>
    <row r="457">
      <c r="A457" s="430"/>
      <c r="B457" s="311"/>
      <c r="C457" s="311"/>
      <c r="D457" s="312"/>
      <c r="E457" s="311"/>
      <c r="F457" s="311"/>
      <c r="G457" s="312"/>
      <c r="H457" s="312"/>
      <c r="I457" s="313"/>
      <c r="J457" s="431"/>
      <c r="K457" s="313"/>
      <c r="L457" s="313"/>
      <c r="M457" s="313"/>
      <c r="N457" s="315"/>
      <c r="O457" s="313"/>
      <c r="P457" s="313"/>
      <c r="Q457" s="432"/>
      <c r="R457" s="313"/>
      <c r="S457" s="313"/>
      <c r="T457" s="317"/>
      <c r="U457" s="433"/>
      <c r="V457" s="288"/>
      <c r="W457" s="220"/>
      <c r="X457" s="220"/>
      <c r="Y457" s="220"/>
      <c r="Z457" s="220"/>
      <c r="AA457" s="220"/>
      <c r="AB457" s="220"/>
      <c r="AC457" s="220"/>
      <c r="AD457" s="220"/>
      <c r="AE457" s="220"/>
      <c r="AF457" s="220"/>
      <c r="AG457" s="308"/>
      <c r="AH457" s="220"/>
      <c r="AI457" s="220"/>
      <c r="AJ457" s="220"/>
      <c r="AK457" s="220"/>
      <c r="AL457" s="220"/>
      <c r="AM457" s="220"/>
    </row>
    <row r="458">
      <c r="A458" s="430"/>
      <c r="B458" s="311"/>
      <c r="C458" s="311"/>
      <c r="D458" s="312"/>
      <c r="E458" s="311"/>
      <c r="F458" s="311"/>
      <c r="G458" s="312"/>
      <c r="H458" s="312"/>
      <c r="I458" s="313"/>
      <c r="J458" s="431"/>
      <c r="K458" s="313"/>
      <c r="L458" s="313"/>
      <c r="M458" s="313"/>
      <c r="N458" s="315"/>
      <c r="O458" s="313"/>
      <c r="P458" s="313"/>
      <c r="Q458" s="432"/>
      <c r="R458" s="313"/>
      <c r="S458" s="313"/>
      <c r="T458" s="317"/>
      <c r="U458" s="433"/>
      <c r="V458" s="288"/>
      <c r="W458" s="220"/>
      <c r="X458" s="220"/>
      <c r="Y458" s="220"/>
      <c r="Z458" s="220"/>
      <c r="AA458" s="220"/>
      <c r="AB458" s="220"/>
      <c r="AC458" s="220"/>
      <c r="AD458" s="220"/>
      <c r="AE458" s="220"/>
      <c r="AF458" s="220"/>
      <c r="AG458" s="308"/>
      <c r="AH458" s="220"/>
      <c r="AI458" s="220"/>
      <c r="AJ458" s="220"/>
      <c r="AK458" s="220"/>
      <c r="AL458" s="220"/>
      <c r="AM458" s="220"/>
    </row>
    <row r="459">
      <c r="A459" s="430"/>
      <c r="B459" s="311"/>
      <c r="C459" s="311"/>
      <c r="D459" s="312"/>
      <c r="E459" s="311"/>
      <c r="F459" s="311"/>
      <c r="G459" s="312"/>
      <c r="H459" s="312"/>
      <c r="I459" s="313"/>
      <c r="J459" s="431"/>
      <c r="K459" s="313"/>
      <c r="L459" s="313"/>
      <c r="M459" s="313"/>
      <c r="N459" s="315"/>
      <c r="O459" s="313"/>
      <c r="P459" s="313"/>
      <c r="Q459" s="432"/>
      <c r="R459" s="313"/>
      <c r="S459" s="313"/>
      <c r="T459" s="317"/>
      <c r="U459" s="433"/>
      <c r="V459" s="288"/>
      <c r="W459" s="220"/>
      <c r="X459" s="220"/>
      <c r="Y459" s="220"/>
      <c r="Z459" s="220"/>
      <c r="AA459" s="220"/>
      <c r="AB459" s="220"/>
      <c r="AC459" s="220"/>
      <c r="AD459" s="220"/>
      <c r="AE459" s="220"/>
      <c r="AF459" s="220"/>
      <c r="AG459" s="308"/>
      <c r="AH459" s="220"/>
      <c r="AI459" s="220"/>
      <c r="AJ459" s="220"/>
      <c r="AK459" s="220"/>
      <c r="AL459" s="220"/>
      <c r="AM459" s="220"/>
    </row>
    <row r="460">
      <c r="A460" s="430"/>
      <c r="B460" s="311"/>
      <c r="C460" s="311"/>
      <c r="D460" s="312"/>
      <c r="E460" s="311"/>
      <c r="F460" s="311"/>
      <c r="G460" s="312"/>
      <c r="H460" s="312"/>
      <c r="I460" s="313"/>
      <c r="J460" s="431"/>
      <c r="K460" s="313"/>
      <c r="L460" s="313"/>
      <c r="M460" s="313"/>
      <c r="N460" s="315"/>
      <c r="O460" s="313"/>
      <c r="P460" s="313"/>
      <c r="Q460" s="432"/>
      <c r="R460" s="313"/>
      <c r="S460" s="313"/>
      <c r="T460" s="317"/>
      <c r="U460" s="433"/>
      <c r="V460" s="288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308"/>
      <c r="AH460" s="220"/>
      <c r="AI460" s="220"/>
      <c r="AJ460" s="220"/>
      <c r="AK460" s="220"/>
      <c r="AL460" s="220"/>
      <c r="AM460" s="220"/>
    </row>
    <row r="461">
      <c r="A461" s="430"/>
      <c r="B461" s="311"/>
      <c r="C461" s="311"/>
      <c r="D461" s="312"/>
      <c r="E461" s="311"/>
      <c r="F461" s="311"/>
      <c r="G461" s="312"/>
      <c r="H461" s="312"/>
      <c r="I461" s="313"/>
      <c r="J461" s="431"/>
      <c r="K461" s="313"/>
      <c r="L461" s="313"/>
      <c r="M461" s="313"/>
      <c r="N461" s="315"/>
      <c r="O461" s="313"/>
      <c r="P461" s="313"/>
      <c r="Q461" s="432"/>
      <c r="R461" s="313"/>
      <c r="S461" s="313"/>
      <c r="T461" s="317"/>
      <c r="U461" s="433"/>
      <c r="V461" s="288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308"/>
      <c r="AH461" s="220"/>
      <c r="AI461" s="220"/>
      <c r="AJ461" s="220"/>
      <c r="AK461" s="220"/>
      <c r="AL461" s="220"/>
      <c r="AM461" s="220"/>
    </row>
    <row r="462">
      <c r="A462" s="430"/>
      <c r="B462" s="311"/>
      <c r="C462" s="311"/>
      <c r="D462" s="312"/>
      <c r="E462" s="311"/>
      <c r="F462" s="311"/>
      <c r="G462" s="312"/>
      <c r="H462" s="312"/>
      <c r="I462" s="313"/>
      <c r="J462" s="431"/>
      <c r="K462" s="313"/>
      <c r="L462" s="313"/>
      <c r="M462" s="313"/>
      <c r="N462" s="315"/>
      <c r="O462" s="313"/>
      <c r="P462" s="313"/>
      <c r="Q462" s="432"/>
      <c r="R462" s="313"/>
      <c r="S462" s="313"/>
      <c r="T462" s="317"/>
      <c r="U462" s="433"/>
      <c r="V462" s="288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308"/>
      <c r="AH462" s="220"/>
      <c r="AI462" s="220"/>
      <c r="AJ462" s="220"/>
      <c r="AK462" s="220"/>
      <c r="AL462" s="220"/>
      <c r="AM462" s="220"/>
    </row>
    <row r="463">
      <c r="A463" s="430"/>
      <c r="B463" s="311"/>
      <c r="C463" s="311"/>
      <c r="D463" s="312"/>
      <c r="E463" s="311"/>
      <c r="F463" s="311"/>
      <c r="G463" s="312"/>
      <c r="H463" s="312"/>
      <c r="I463" s="313"/>
      <c r="J463" s="431"/>
      <c r="K463" s="313"/>
      <c r="L463" s="313"/>
      <c r="M463" s="313"/>
      <c r="N463" s="315"/>
      <c r="O463" s="313"/>
      <c r="P463" s="313"/>
      <c r="Q463" s="432"/>
      <c r="R463" s="313"/>
      <c r="S463" s="313"/>
      <c r="T463" s="317"/>
      <c r="U463" s="433"/>
      <c r="V463" s="288"/>
      <c r="W463" s="220"/>
      <c r="X463" s="220"/>
      <c r="Y463" s="220"/>
      <c r="Z463" s="220"/>
      <c r="AA463" s="220"/>
      <c r="AB463" s="220"/>
      <c r="AC463" s="220"/>
      <c r="AD463" s="220"/>
      <c r="AE463" s="220"/>
      <c r="AF463" s="220"/>
      <c r="AG463" s="308"/>
      <c r="AH463" s="220"/>
      <c r="AI463" s="220"/>
      <c r="AJ463" s="220"/>
      <c r="AK463" s="220"/>
      <c r="AL463" s="220"/>
      <c r="AM463" s="220"/>
    </row>
    <row r="464">
      <c r="A464" s="430"/>
      <c r="B464" s="311"/>
      <c r="C464" s="311"/>
      <c r="D464" s="312"/>
      <c r="E464" s="311"/>
      <c r="F464" s="311"/>
      <c r="G464" s="312"/>
      <c r="H464" s="312"/>
      <c r="I464" s="313"/>
      <c r="J464" s="431"/>
      <c r="K464" s="313"/>
      <c r="L464" s="313"/>
      <c r="M464" s="313"/>
      <c r="N464" s="315"/>
      <c r="O464" s="313"/>
      <c r="P464" s="313"/>
      <c r="Q464" s="432"/>
      <c r="R464" s="313"/>
      <c r="S464" s="313"/>
      <c r="T464" s="317"/>
      <c r="U464" s="433"/>
      <c r="V464" s="288"/>
      <c r="W464" s="220"/>
      <c r="X464" s="220"/>
      <c r="Y464" s="220"/>
      <c r="Z464" s="220"/>
      <c r="AA464" s="220"/>
      <c r="AB464" s="220"/>
      <c r="AC464" s="220"/>
      <c r="AD464" s="220"/>
      <c r="AE464" s="220"/>
      <c r="AF464" s="220"/>
      <c r="AG464" s="308"/>
      <c r="AH464" s="220"/>
      <c r="AI464" s="220"/>
      <c r="AJ464" s="220"/>
      <c r="AK464" s="220"/>
      <c r="AL464" s="220"/>
      <c r="AM464" s="220"/>
    </row>
    <row r="465">
      <c r="A465" s="430"/>
      <c r="B465" s="311"/>
      <c r="C465" s="311"/>
      <c r="D465" s="312"/>
      <c r="E465" s="311"/>
      <c r="F465" s="311"/>
      <c r="G465" s="312"/>
      <c r="H465" s="312"/>
      <c r="I465" s="313"/>
      <c r="J465" s="431"/>
      <c r="K465" s="313"/>
      <c r="L465" s="313"/>
      <c r="M465" s="313"/>
      <c r="N465" s="315"/>
      <c r="O465" s="313"/>
      <c r="P465" s="313"/>
      <c r="Q465" s="432"/>
      <c r="R465" s="313"/>
      <c r="S465" s="313"/>
      <c r="T465" s="317"/>
      <c r="U465" s="433"/>
      <c r="V465" s="288"/>
      <c r="W465" s="220"/>
      <c r="X465" s="220"/>
      <c r="Y465" s="220"/>
      <c r="Z465" s="220"/>
      <c r="AA465" s="220"/>
      <c r="AB465" s="220"/>
      <c r="AC465" s="220"/>
      <c r="AD465" s="220"/>
      <c r="AE465" s="220"/>
      <c r="AF465" s="220"/>
      <c r="AG465" s="308"/>
      <c r="AH465" s="220"/>
      <c r="AI465" s="220"/>
      <c r="AJ465" s="220"/>
      <c r="AK465" s="220"/>
      <c r="AL465" s="220"/>
      <c r="AM465" s="220"/>
    </row>
    <row r="466">
      <c r="A466" s="430"/>
      <c r="B466" s="311"/>
      <c r="C466" s="311"/>
      <c r="D466" s="312"/>
      <c r="E466" s="311"/>
      <c r="F466" s="311"/>
      <c r="G466" s="312"/>
      <c r="H466" s="312"/>
      <c r="I466" s="313"/>
      <c r="J466" s="431"/>
      <c r="K466" s="313"/>
      <c r="L466" s="313"/>
      <c r="M466" s="313"/>
      <c r="N466" s="315"/>
      <c r="O466" s="313"/>
      <c r="P466" s="313"/>
      <c r="Q466" s="432"/>
      <c r="R466" s="313"/>
      <c r="S466" s="313"/>
      <c r="T466" s="317"/>
      <c r="U466" s="433"/>
      <c r="V466" s="288"/>
      <c r="W466" s="220"/>
      <c r="X466" s="220"/>
      <c r="Y466" s="220"/>
      <c r="Z466" s="220"/>
      <c r="AA466" s="220"/>
      <c r="AB466" s="220"/>
      <c r="AC466" s="220"/>
      <c r="AD466" s="220"/>
      <c r="AE466" s="220"/>
      <c r="AF466" s="220"/>
      <c r="AG466" s="308"/>
      <c r="AH466" s="220"/>
      <c r="AI466" s="220"/>
      <c r="AJ466" s="220"/>
      <c r="AK466" s="220"/>
      <c r="AL466" s="220"/>
      <c r="AM466" s="220"/>
    </row>
    <row r="467">
      <c r="A467" s="430"/>
      <c r="B467" s="311"/>
      <c r="C467" s="311"/>
      <c r="D467" s="312"/>
      <c r="E467" s="311"/>
      <c r="F467" s="311"/>
      <c r="G467" s="312"/>
      <c r="H467" s="312"/>
      <c r="I467" s="313"/>
      <c r="J467" s="431"/>
      <c r="K467" s="313"/>
      <c r="L467" s="313"/>
      <c r="M467" s="313"/>
      <c r="N467" s="315"/>
      <c r="O467" s="313"/>
      <c r="P467" s="313"/>
      <c r="Q467" s="432"/>
      <c r="R467" s="313"/>
      <c r="S467" s="313"/>
      <c r="T467" s="317"/>
      <c r="U467" s="433"/>
      <c r="V467" s="288"/>
      <c r="W467" s="220"/>
      <c r="X467" s="220"/>
      <c r="Y467" s="220"/>
      <c r="Z467" s="220"/>
      <c r="AA467" s="220"/>
      <c r="AB467" s="220"/>
      <c r="AC467" s="220"/>
      <c r="AD467" s="220"/>
      <c r="AE467" s="220"/>
      <c r="AF467" s="220"/>
      <c r="AG467" s="308"/>
      <c r="AH467" s="220"/>
      <c r="AI467" s="220"/>
      <c r="AJ467" s="220"/>
      <c r="AK467" s="220"/>
      <c r="AL467" s="220"/>
      <c r="AM467" s="220"/>
    </row>
    <row r="468">
      <c r="A468" s="430"/>
      <c r="B468" s="311"/>
      <c r="C468" s="311"/>
      <c r="D468" s="312"/>
      <c r="E468" s="311"/>
      <c r="F468" s="311"/>
      <c r="G468" s="312"/>
      <c r="H468" s="312"/>
      <c r="I468" s="313"/>
      <c r="J468" s="431"/>
      <c r="K468" s="313"/>
      <c r="L468" s="313"/>
      <c r="M468" s="313"/>
      <c r="N468" s="315"/>
      <c r="O468" s="313"/>
      <c r="P468" s="313"/>
      <c r="Q468" s="432"/>
      <c r="R468" s="313"/>
      <c r="S468" s="313"/>
      <c r="T468" s="317"/>
      <c r="U468" s="433"/>
      <c r="V468" s="288"/>
      <c r="W468" s="220"/>
      <c r="X468" s="220"/>
      <c r="Y468" s="220"/>
      <c r="Z468" s="220"/>
      <c r="AA468" s="220"/>
      <c r="AB468" s="220"/>
      <c r="AC468" s="220"/>
      <c r="AD468" s="220"/>
      <c r="AE468" s="220"/>
      <c r="AF468" s="220"/>
      <c r="AG468" s="308"/>
      <c r="AH468" s="220"/>
      <c r="AI468" s="220"/>
      <c r="AJ468" s="220"/>
      <c r="AK468" s="220"/>
      <c r="AL468" s="220"/>
      <c r="AM468" s="220"/>
    </row>
    <row r="469">
      <c r="A469" s="430"/>
      <c r="B469" s="311"/>
      <c r="C469" s="311"/>
      <c r="D469" s="312"/>
      <c r="E469" s="311"/>
      <c r="F469" s="311"/>
      <c r="G469" s="312"/>
      <c r="H469" s="312"/>
      <c r="I469" s="313"/>
      <c r="J469" s="431"/>
      <c r="K469" s="313"/>
      <c r="L469" s="313"/>
      <c r="M469" s="313"/>
      <c r="N469" s="315"/>
      <c r="O469" s="313"/>
      <c r="P469" s="313"/>
      <c r="Q469" s="432"/>
      <c r="R469" s="313"/>
      <c r="S469" s="313"/>
      <c r="T469" s="317"/>
      <c r="U469" s="433"/>
      <c r="V469" s="288"/>
      <c r="W469" s="220"/>
      <c r="X469" s="220"/>
      <c r="Y469" s="220"/>
      <c r="Z469" s="220"/>
      <c r="AA469" s="220"/>
      <c r="AB469" s="220"/>
      <c r="AC469" s="220"/>
      <c r="AD469" s="220"/>
      <c r="AE469" s="220"/>
      <c r="AF469" s="220"/>
      <c r="AG469" s="308"/>
      <c r="AH469" s="220"/>
      <c r="AI469" s="220"/>
      <c r="AJ469" s="220"/>
      <c r="AK469" s="220"/>
      <c r="AL469" s="220"/>
      <c r="AM469" s="220"/>
    </row>
    <row r="470">
      <c r="A470" s="430"/>
      <c r="B470" s="311"/>
      <c r="C470" s="311"/>
      <c r="D470" s="312"/>
      <c r="E470" s="311"/>
      <c r="F470" s="311"/>
      <c r="G470" s="312"/>
      <c r="H470" s="312"/>
      <c r="I470" s="313"/>
      <c r="J470" s="431"/>
      <c r="K470" s="313"/>
      <c r="L470" s="313"/>
      <c r="M470" s="313"/>
      <c r="N470" s="315"/>
      <c r="O470" s="313"/>
      <c r="P470" s="313"/>
      <c r="Q470" s="432"/>
      <c r="R470" s="313"/>
      <c r="S470" s="313"/>
      <c r="T470" s="317"/>
      <c r="U470" s="433"/>
      <c r="V470" s="288"/>
      <c r="W470" s="220"/>
      <c r="X470" s="220"/>
      <c r="Y470" s="220"/>
      <c r="Z470" s="220"/>
      <c r="AA470" s="220"/>
      <c r="AB470" s="220"/>
      <c r="AC470" s="220"/>
      <c r="AD470" s="220"/>
      <c r="AE470" s="220"/>
      <c r="AF470" s="220"/>
      <c r="AG470" s="308"/>
      <c r="AH470" s="220"/>
      <c r="AI470" s="220"/>
      <c r="AJ470" s="220"/>
      <c r="AK470" s="220"/>
      <c r="AL470" s="220"/>
      <c r="AM470" s="220"/>
    </row>
    <row r="471">
      <c r="A471" s="430"/>
      <c r="B471" s="311"/>
      <c r="C471" s="311"/>
      <c r="D471" s="312"/>
      <c r="E471" s="311"/>
      <c r="F471" s="311"/>
      <c r="G471" s="312"/>
      <c r="H471" s="312"/>
      <c r="I471" s="313"/>
      <c r="J471" s="431"/>
      <c r="K471" s="313"/>
      <c r="L471" s="313"/>
      <c r="M471" s="313"/>
      <c r="N471" s="315"/>
      <c r="O471" s="313"/>
      <c r="P471" s="313"/>
      <c r="Q471" s="432"/>
      <c r="R471" s="313"/>
      <c r="S471" s="313"/>
      <c r="T471" s="317"/>
      <c r="U471" s="433"/>
      <c r="V471" s="288"/>
      <c r="W471" s="220"/>
      <c r="X471" s="220"/>
      <c r="Y471" s="220"/>
      <c r="Z471" s="220"/>
      <c r="AA471" s="220"/>
      <c r="AB471" s="220"/>
      <c r="AC471" s="220"/>
      <c r="AD471" s="220"/>
      <c r="AE471" s="220"/>
      <c r="AF471" s="220"/>
      <c r="AG471" s="308"/>
      <c r="AH471" s="220"/>
      <c r="AI471" s="220"/>
      <c r="AJ471" s="220"/>
      <c r="AK471" s="220"/>
      <c r="AL471" s="220"/>
      <c r="AM471" s="220"/>
    </row>
    <row r="472">
      <c r="A472" s="430"/>
      <c r="B472" s="311"/>
      <c r="C472" s="311"/>
      <c r="D472" s="312"/>
      <c r="E472" s="311"/>
      <c r="F472" s="311"/>
      <c r="G472" s="312"/>
      <c r="H472" s="312"/>
      <c r="I472" s="313"/>
      <c r="J472" s="431"/>
      <c r="K472" s="313"/>
      <c r="L472" s="313"/>
      <c r="M472" s="313"/>
      <c r="N472" s="315"/>
      <c r="O472" s="313"/>
      <c r="P472" s="313"/>
      <c r="Q472" s="432"/>
      <c r="R472" s="313"/>
      <c r="S472" s="313"/>
      <c r="T472" s="317"/>
      <c r="U472" s="433"/>
      <c r="V472" s="288"/>
      <c r="W472" s="220"/>
      <c r="X472" s="220"/>
      <c r="Y472" s="220"/>
      <c r="Z472" s="220"/>
      <c r="AA472" s="220"/>
      <c r="AB472" s="220"/>
      <c r="AC472" s="220"/>
      <c r="AD472" s="220"/>
      <c r="AE472" s="220"/>
      <c r="AF472" s="220"/>
      <c r="AG472" s="308"/>
      <c r="AH472" s="220"/>
      <c r="AI472" s="220"/>
      <c r="AJ472" s="220"/>
      <c r="AK472" s="220"/>
      <c r="AL472" s="220"/>
      <c r="AM472" s="220"/>
    </row>
    <row r="473">
      <c r="A473" s="430"/>
      <c r="B473" s="311"/>
      <c r="C473" s="311"/>
      <c r="D473" s="312"/>
      <c r="E473" s="311"/>
      <c r="F473" s="311"/>
      <c r="G473" s="312"/>
      <c r="H473" s="312"/>
      <c r="I473" s="313"/>
      <c r="J473" s="431"/>
      <c r="K473" s="313"/>
      <c r="L473" s="313"/>
      <c r="M473" s="313"/>
      <c r="N473" s="315"/>
      <c r="O473" s="313"/>
      <c r="P473" s="313"/>
      <c r="Q473" s="432"/>
      <c r="R473" s="313"/>
      <c r="S473" s="313"/>
      <c r="T473" s="317"/>
      <c r="U473" s="433"/>
      <c r="V473" s="288"/>
      <c r="W473" s="220"/>
      <c r="X473" s="220"/>
      <c r="Y473" s="220"/>
      <c r="Z473" s="220"/>
      <c r="AA473" s="220"/>
      <c r="AB473" s="220"/>
      <c r="AC473" s="220"/>
      <c r="AD473" s="220"/>
      <c r="AE473" s="220"/>
      <c r="AF473" s="220"/>
      <c r="AG473" s="308"/>
      <c r="AH473" s="220"/>
      <c r="AI473" s="220"/>
      <c r="AJ473" s="220"/>
      <c r="AK473" s="220"/>
      <c r="AL473" s="220"/>
      <c r="AM473" s="220"/>
    </row>
    <row r="474">
      <c r="A474" s="430"/>
      <c r="B474" s="311"/>
      <c r="C474" s="311"/>
      <c r="D474" s="312"/>
      <c r="E474" s="311"/>
      <c r="F474" s="311"/>
      <c r="G474" s="312"/>
      <c r="H474" s="312"/>
      <c r="I474" s="313"/>
      <c r="J474" s="431"/>
      <c r="K474" s="313"/>
      <c r="L474" s="313"/>
      <c r="M474" s="313"/>
      <c r="N474" s="315"/>
      <c r="O474" s="313"/>
      <c r="P474" s="313"/>
      <c r="Q474" s="432"/>
      <c r="R474" s="313"/>
      <c r="S474" s="313"/>
      <c r="T474" s="317"/>
      <c r="U474" s="433"/>
      <c r="V474" s="288"/>
      <c r="W474" s="220"/>
      <c r="X474" s="220"/>
      <c r="Y474" s="220"/>
      <c r="Z474" s="220"/>
      <c r="AA474" s="220"/>
      <c r="AB474" s="220"/>
      <c r="AC474" s="220"/>
      <c r="AD474" s="220"/>
      <c r="AE474" s="220"/>
      <c r="AF474" s="220"/>
      <c r="AG474" s="308"/>
      <c r="AH474" s="220"/>
      <c r="AI474" s="220"/>
      <c r="AJ474" s="220"/>
      <c r="AK474" s="220"/>
      <c r="AL474" s="220"/>
      <c r="AM474" s="220"/>
    </row>
    <row r="475">
      <c r="A475" s="430"/>
      <c r="B475" s="311"/>
      <c r="C475" s="311"/>
      <c r="D475" s="312"/>
      <c r="E475" s="311"/>
      <c r="F475" s="311"/>
      <c r="G475" s="312"/>
      <c r="H475" s="312"/>
      <c r="I475" s="313"/>
      <c r="J475" s="431"/>
      <c r="K475" s="313"/>
      <c r="L475" s="313"/>
      <c r="M475" s="313"/>
      <c r="N475" s="315"/>
      <c r="O475" s="313"/>
      <c r="P475" s="313"/>
      <c r="Q475" s="432"/>
      <c r="R475" s="313"/>
      <c r="S475" s="313"/>
      <c r="T475" s="317"/>
      <c r="U475" s="433"/>
      <c r="V475" s="288"/>
      <c r="W475" s="220"/>
      <c r="X475" s="220"/>
      <c r="Y475" s="220"/>
      <c r="Z475" s="220"/>
      <c r="AA475" s="220"/>
      <c r="AB475" s="220"/>
      <c r="AC475" s="220"/>
      <c r="AD475" s="220"/>
      <c r="AE475" s="220"/>
      <c r="AF475" s="220"/>
      <c r="AG475" s="308"/>
      <c r="AH475" s="220"/>
      <c r="AI475" s="220"/>
      <c r="AJ475" s="220"/>
      <c r="AK475" s="220"/>
      <c r="AL475" s="220"/>
      <c r="AM475" s="220"/>
    </row>
    <row r="476">
      <c r="A476" s="430"/>
      <c r="B476" s="311"/>
      <c r="C476" s="311"/>
      <c r="D476" s="312"/>
      <c r="E476" s="311"/>
      <c r="F476" s="311"/>
      <c r="G476" s="312"/>
      <c r="H476" s="312"/>
      <c r="I476" s="313"/>
      <c r="J476" s="431"/>
      <c r="K476" s="313"/>
      <c r="L476" s="313"/>
      <c r="M476" s="313"/>
      <c r="N476" s="315"/>
      <c r="O476" s="313"/>
      <c r="P476" s="313"/>
      <c r="Q476" s="432"/>
      <c r="R476" s="313"/>
      <c r="S476" s="313"/>
      <c r="T476" s="317"/>
      <c r="U476" s="433"/>
      <c r="V476" s="288"/>
      <c r="W476" s="220"/>
      <c r="X476" s="220"/>
      <c r="Y476" s="220"/>
      <c r="Z476" s="220"/>
      <c r="AA476" s="220"/>
      <c r="AB476" s="220"/>
      <c r="AC476" s="220"/>
      <c r="AD476" s="220"/>
      <c r="AE476" s="220"/>
      <c r="AF476" s="220"/>
      <c r="AG476" s="308"/>
      <c r="AH476" s="220"/>
      <c r="AI476" s="220"/>
      <c r="AJ476" s="220"/>
      <c r="AK476" s="220"/>
      <c r="AL476" s="220"/>
      <c r="AM476" s="220"/>
    </row>
    <row r="477">
      <c r="A477" s="430"/>
      <c r="B477" s="311"/>
      <c r="C477" s="311"/>
      <c r="D477" s="312"/>
      <c r="E477" s="311"/>
      <c r="F477" s="311"/>
      <c r="G477" s="312"/>
      <c r="H477" s="312"/>
      <c r="I477" s="313"/>
      <c r="J477" s="431"/>
      <c r="K477" s="313"/>
      <c r="L477" s="313"/>
      <c r="M477" s="313"/>
      <c r="N477" s="315"/>
      <c r="O477" s="313"/>
      <c r="P477" s="313"/>
      <c r="Q477" s="432"/>
      <c r="R477" s="313"/>
      <c r="S477" s="313"/>
      <c r="T477" s="317"/>
      <c r="U477" s="433"/>
      <c r="V477" s="288"/>
      <c r="W477" s="220"/>
      <c r="X477" s="220"/>
      <c r="Y477" s="220"/>
      <c r="Z477" s="220"/>
      <c r="AA477" s="220"/>
      <c r="AB477" s="220"/>
      <c r="AC477" s="220"/>
      <c r="AD477" s="220"/>
      <c r="AE477" s="220"/>
      <c r="AF477" s="220"/>
      <c r="AG477" s="308"/>
      <c r="AH477" s="220"/>
      <c r="AI477" s="220"/>
      <c r="AJ477" s="220"/>
      <c r="AK477" s="220"/>
      <c r="AL477" s="220"/>
      <c r="AM477" s="220"/>
    </row>
    <row r="478">
      <c r="A478" s="430"/>
      <c r="B478" s="311"/>
      <c r="C478" s="311"/>
      <c r="D478" s="312"/>
      <c r="E478" s="311"/>
      <c r="F478" s="311"/>
      <c r="G478" s="312"/>
      <c r="H478" s="312"/>
      <c r="I478" s="313"/>
      <c r="J478" s="431"/>
      <c r="K478" s="313"/>
      <c r="L478" s="313"/>
      <c r="M478" s="313"/>
      <c r="N478" s="315"/>
      <c r="O478" s="313"/>
      <c r="P478" s="313"/>
      <c r="Q478" s="432"/>
      <c r="R478" s="313"/>
      <c r="S478" s="313"/>
      <c r="T478" s="317"/>
      <c r="U478" s="433"/>
      <c r="V478" s="288"/>
      <c r="W478" s="220"/>
      <c r="X478" s="220"/>
      <c r="Y478" s="220"/>
      <c r="Z478" s="220"/>
      <c r="AA478" s="220"/>
      <c r="AB478" s="220"/>
      <c r="AC478" s="220"/>
      <c r="AD478" s="220"/>
      <c r="AE478" s="220"/>
      <c r="AF478" s="220"/>
      <c r="AG478" s="308"/>
      <c r="AH478" s="220"/>
      <c r="AI478" s="220"/>
      <c r="AJ478" s="220"/>
      <c r="AK478" s="220"/>
      <c r="AL478" s="220"/>
      <c r="AM478" s="220"/>
    </row>
    <row r="479">
      <c r="A479" s="430"/>
      <c r="B479" s="311"/>
      <c r="C479" s="311"/>
      <c r="D479" s="312"/>
      <c r="E479" s="311"/>
      <c r="F479" s="311"/>
      <c r="G479" s="312"/>
      <c r="H479" s="312"/>
      <c r="I479" s="313"/>
      <c r="J479" s="431"/>
      <c r="K479" s="313"/>
      <c r="L479" s="313"/>
      <c r="M479" s="313"/>
      <c r="N479" s="315"/>
      <c r="O479" s="313"/>
      <c r="P479" s="313"/>
      <c r="Q479" s="432"/>
      <c r="R479" s="313"/>
      <c r="S479" s="313"/>
      <c r="T479" s="317"/>
      <c r="U479" s="433"/>
      <c r="V479" s="288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308"/>
      <c r="AH479" s="220"/>
      <c r="AI479" s="220"/>
      <c r="AJ479" s="220"/>
      <c r="AK479" s="220"/>
      <c r="AL479" s="220"/>
      <c r="AM479" s="220"/>
    </row>
    <row r="480">
      <c r="A480" s="430"/>
      <c r="B480" s="311"/>
      <c r="C480" s="311"/>
      <c r="D480" s="312"/>
      <c r="E480" s="311"/>
      <c r="F480" s="311"/>
      <c r="G480" s="312"/>
      <c r="H480" s="312"/>
      <c r="I480" s="313"/>
      <c r="J480" s="431"/>
      <c r="K480" s="313"/>
      <c r="L480" s="313"/>
      <c r="M480" s="313"/>
      <c r="N480" s="315"/>
      <c r="O480" s="313"/>
      <c r="P480" s="313"/>
      <c r="Q480" s="432"/>
      <c r="R480" s="313"/>
      <c r="S480" s="313"/>
      <c r="T480" s="317"/>
      <c r="U480" s="433"/>
      <c r="V480" s="288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308"/>
      <c r="AH480" s="220"/>
      <c r="AI480" s="220"/>
      <c r="AJ480" s="220"/>
      <c r="AK480" s="220"/>
      <c r="AL480" s="220"/>
      <c r="AM480" s="220"/>
    </row>
    <row r="481">
      <c r="A481" s="430"/>
      <c r="B481" s="311"/>
      <c r="C481" s="311"/>
      <c r="D481" s="312"/>
      <c r="E481" s="311"/>
      <c r="F481" s="311"/>
      <c r="G481" s="312"/>
      <c r="H481" s="312"/>
      <c r="I481" s="313"/>
      <c r="J481" s="431"/>
      <c r="K481" s="313"/>
      <c r="L481" s="313"/>
      <c r="M481" s="313"/>
      <c r="N481" s="315"/>
      <c r="O481" s="313"/>
      <c r="P481" s="313"/>
      <c r="Q481" s="432"/>
      <c r="R481" s="313"/>
      <c r="S481" s="313"/>
      <c r="T481" s="317"/>
      <c r="U481" s="433"/>
      <c r="V481" s="288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308"/>
      <c r="AH481" s="220"/>
      <c r="AI481" s="220"/>
      <c r="AJ481" s="220"/>
      <c r="AK481" s="220"/>
      <c r="AL481" s="220"/>
      <c r="AM481" s="220"/>
    </row>
    <row r="482">
      <c r="A482" s="430"/>
      <c r="B482" s="311"/>
      <c r="C482" s="311"/>
      <c r="D482" s="312"/>
      <c r="E482" s="311"/>
      <c r="F482" s="311"/>
      <c r="G482" s="312"/>
      <c r="H482" s="312"/>
      <c r="I482" s="313"/>
      <c r="J482" s="431"/>
      <c r="K482" s="313"/>
      <c r="L482" s="313"/>
      <c r="M482" s="313"/>
      <c r="N482" s="315"/>
      <c r="O482" s="313"/>
      <c r="P482" s="313"/>
      <c r="Q482" s="432"/>
      <c r="R482" s="313"/>
      <c r="S482" s="313"/>
      <c r="T482" s="317"/>
      <c r="U482" s="433"/>
      <c r="V482" s="288"/>
      <c r="W482" s="220"/>
      <c r="X482" s="220"/>
      <c r="Y482" s="220"/>
      <c r="Z482" s="220"/>
      <c r="AA482" s="220"/>
      <c r="AB482" s="220"/>
      <c r="AC482" s="220"/>
      <c r="AD482" s="220"/>
      <c r="AE482" s="220"/>
      <c r="AF482" s="220"/>
      <c r="AG482" s="308"/>
      <c r="AH482" s="220"/>
      <c r="AI482" s="220"/>
      <c r="AJ482" s="220"/>
      <c r="AK482" s="220"/>
      <c r="AL482" s="220"/>
      <c r="AM482" s="220"/>
    </row>
    <row r="483">
      <c r="A483" s="430"/>
      <c r="B483" s="311"/>
      <c r="C483" s="311"/>
      <c r="D483" s="312"/>
      <c r="E483" s="311"/>
      <c r="F483" s="311"/>
      <c r="G483" s="312"/>
      <c r="H483" s="312"/>
      <c r="I483" s="313"/>
      <c r="J483" s="431"/>
      <c r="K483" s="313"/>
      <c r="L483" s="313"/>
      <c r="M483" s="313"/>
      <c r="N483" s="315"/>
      <c r="O483" s="313"/>
      <c r="P483" s="313"/>
      <c r="Q483" s="432"/>
      <c r="R483" s="313"/>
      <c r="S483" s="313"/>
      <c r="T483" s="317"/>
      <c r="U483" s="433"/>
      <c r="V483" s="288"/>
      <c r="W483" s="220"/>
      <c r="X483" s="220"/>
      <c r="Y483" s="220"/>
      <c r="Z483" s="220"/>
      <c r="AA483" s="220"/>
      <c r="AB483" s="220"/>
      <c r="AC483" s="220"/>
      <c r="AD483" s="220"/>
      <c r="AE483" s="220"/>
      <c r="AF483" s="220"/>
      <c r="AG483" s="308"/>
      <c r="AH483" s="220"/>
      <c r="AI483" s="220"/>
      <c r="AJ483" s="220"/>
      <c r="AK483" s="220"/>
      <c r="AL483" s="220"/>
      <c r="AM483" s="220"/>
    </row>
    <row r="484">
      <c r="A484" s="430"/>
      <c r="B484" s="311"/>
      <c r="C484" s="311"/>
      <c r="D484" s="312"/>
      <c r="E484" s="311"/>
      <c r="F484" s="311"/>
      <c r="G484" s="312"/>
      <c r="H484" s="312"/>
      <c r="I484" s="313"/>
      <c r="J484" s="431"/>
      <c r="K484" s="313"/>
      <c r="L484" s="313"/>
      <c r="M484" s="313"/>
      <c r="N484" s="315"/>
      <c r="O484" s="313"/>
      <c r="P484" s="313"/>
      <c r="Q484" s="432"/>
      <c r="R484" s="313"/>
      <c r="S484" s="313"/>
      <c r="T484" s="317"/>
      <c r="U484" s="433"/>
      <c r="V484" s="288"/>
      <c r="W484" s="220"/>
      <c r="X484" s="220"/>
      <c r="Y484" s="220"/>
      <c r="Z484" s="220"/>
      <c r="AA484" s="220"/>
      <c r="AB484" s="220"/>
      <c r="AC484" s="220"/>
      <c r="AD484" s="220"/>
      <c r="AE484" s="220"/>
      <c r="AF484" s="220"/>
      <c r="AG484" s="308"/>
      <c r="AH484" s="220"/>
      <c r="AI484" s="220"/>
      <c r="AJ484" s="220"/>
      <c r="AK484" s="220"/>
      <c r="AL484" s="220"/>
      <c r="AM484" s="220"/>
    </row>
    <row r="485">
      <c r="A485" s="430"/>
      <c r="B485" s="311"/>
      <c r="C485" s="311"/>
      <c r="D485" s="312"/>
      <c r="E485" s="311"/>
      <c r="F485" s="311"/>
      <c r="G485" s="312"/>
      <c r="H485" s="312"/>
      <c r="I485" s="313"/>
      <c r="J485" s="431"/>
      <c r="K485" s="313"/>
      <c r="L485" s="313"/>
      <c r="M485" s="313"/>
      <c r="N485" s="315"/>
      <c r="O485" s="313"/>
      <c r="P485" s="313"/>
      <c r="Q485" s="432"/>
      <c r="R485" s="313"/>
      <c r="S485" s="313"/>
      <c r="T485" s="317"/>
      <c r="U485" s="433"/>
      <c r="V485" s="288"/>
      <c r="W485" s="220"/>
      <c r="X485" s="220"/>
      <c r="Y485" s="220"/>
      <c r="Z485" s="220"/>
      <c r="AA485" s="220"/>
      <c r="AB485" s="220"/>
      <c r="AC485" s="220"/>
      <c r="AD485" s="220"/>
      <c r="AE485" s="220"/>
      <c r="AF485" s="220"/>
      <c r="AG485" s="308"/>
      <c r="AH485" s="220"/>
      <c r="AI485" s="220"/>
      <c r="AJ485" s="220"/>
      <c r="AK485" s="220"/>
      <c r="AL485" s="220"/>
      <c r="AM485" s="220"/>
    </row>
    <row r="486">
      <c r="A486" s="430"/>
      <c r="B486" s="311"/>
      <c r="C486" s="311"/>
      <c r="D486" s="312"/>
      <c r="E486" s="311"/>
      <c r="F486" s="311"/>
      <c r="G486" s="312"/>
      <c r="H486" s="312"/>
      <c r="I486" s="313"/>
      <c r="J486" s="431"/>
      <c r="K486" s="313"/>
      <c r="L486" s="313"/>
      <c r="M486" s="313"/>
      <c r="N486" s="315"/>
      <c r="O486" s="313"/>
      <c r="P486" s="313"/>
      <c r="Q486" s="432"/>
      <c r="R486" s="313"/>
      <c r="S486" s="313"/>
      <c r="T486" s="317"/>
      <c r="U486" s="433"/>
      <c r="V486" s="288"/>
      <c r="W486" s="220"/>
      <c r="X486" s="220"/>
      <c r="Y486" s="220"/>
      <c r="Z486" s="220"/>
      <c r="AA486" s="220"/>
      <c r="AB486" s="220"/>
      <c r="AC486" s="220"/>
      <c r="AD486" s="220"/>
      <c r="AE486" s="220"/>
      <c r="AF486" s="220"/>
      <c r="AG486" s="308"/>
      <c r="AH486" s="220"/>
      <c r="AI486" s="220"/>
      <c r="AJ486" s="220"/>
      <c r="AK486" s="220"/>
      <c r="AL486" s="220"/>
      <c r="AM486" s="220"/>
    </row>
    <row r="487">
      <c r="A487" s="430"/>
      <c r="B487" s="311"/>
      <c r="C487" s="311"/>
      <c r="D487" s="312"/>
      <c r="E487" s="311"/>
      <c r="F487" s="311"/>
      <c r="G487" s="312"/>
      <c r="H487" s="312"/>
      <c r="I487" s="313"/>
      <c r="J487" s="431"/>
      <c r="K487" s="313"/>
      <c r="L487" s="313"/>
      <c r="M487" s="313"/>
      <c r="N487" s="315"/>
      <c r="O487" s="313"/>
      <c r="P487" s="313"/>
      <c r="Q487" s="432"/>
      <c r="R487" s="313"/>
      <c r="S487" s="313"/>
      <c r="T487" s="317"/>
      <c r="U487" s="433"/>
      <c r="V487" s="288"/>
      <c r="W487" s="220"/>
      <c r="X487" s="220"/>
      <c r="Y487" s="220"/>
      <c r="Z487" s="220"/>
      <c r="AA487" s="220"/>
      <c r="AB487" s="220"/>
      <c r="AC487" s="220"/>
      <c r="AD487" s="220"/>
      <c r="AE487" s="220"/>
      <c r="AF487" s="220"/>
      <c r="AG487" s="308"/>
      <c r="AH487" s="220"/>
      <c r="AI487" s="220"/>
      <c r="AJ487" s="220"/>
      <c r="AK487" s="220"/>
      <c r="AL487" s="220"/>
      <c r="AM487" s="220"/>
    </row>
    <row r="488">
      <c r="A488" s="430"/>
      <c r="B488" s="311"/>
      <c r="C488" s="311"/>
      <c r="D488" s="312"/>
      <c r="E488" s="311"/>
      <c r="F488" s="311"/>
      <c r="G488" s="312"/>
      <c r="H488" s="312"/>
      <c r="I488" s="313"/>
      <c r="J488" s="431"/>
      <c r="K488" s="313"/>
      <c r="L488" s="313"/>
      <c r="M488" s="313"/>
      <c r="N488" s="315"/>
      <c r="O488" s="313"/>
      <c r="P488" s="313"/>
      <c r="Q488" s="432"/>
      <c r="R488" s="313"/>
      <c r="S488" s="313"/>
      <c r="T488" s="317"/>
      <c r="U488" s="433"/>
      <c r="V488" s="288"/>
      <c r="W488" s="220"/>
      <c r="X488" s="220"/>
      <c r="Y488" s="220"/>
      <c r="Z488" s="220"/>
      <c r="AA488" s="220"/>
      <c r="AB488" s="220"/>
      <c r="AC488" s="220"/>
      <c r="AD488" s="220"/>
      <c r="AE488" s="220"/>
      <c r="AF488" s="220"/>
      <c r="AG488" s="308"/>
      <c r="AH488" s="220"/>
      <c r="AI488" s="220"/>
      <c r="AJ488" s="220"/>
      <c r="AK488" s="220"/>
      <c r="AL488" s="220"/>
      <c r="AM488" s="220"/>
    </row>
    <row r="489">
      <c r="A489" s="430"/>
      <c r="B489" s="311"/>
      <c r="C489" s="311"/>
      <c r="D489" s="312"/>
      <c r="E489" s="311"/>
      <c r="F489" s="311"/>
      <c r="G489" s="312"/>
      <c r="H489" s="312"/>
      <c r="I489" s="313"/>
      <c r="J489" s="431"/>
      <c r="K489" s="313"/>
      <c r="L489" s="313"/>
      <c r="M489" s="313"/>
      <c r="N489" s="315"/>
      <c r="O489" s="313"/>
      <c r="P489" s="313"/>
      <c r="Q489" s="432"/>
      <c r="R489" s="313"/>
      <c r="S489" s="313"/>
      <c r="T489" s="317"/>
      <c r="U489" s="433"/>
      <c r="V489" s="288"/>
      <c r="W489" s="220"/>
      <c r="X489" s="220"/>
      <c r="Y489" s="220"/>
      <c r="Z489" s="220"/>
      <c r="AA489" s="220"/>
      <c r="AB489" s="220"/>
      <c r="AC489" s="220"/>
      <c r="AD489" s="220"/>
      <c r="AE489" s="220"/>
      <c r="AF489" s="220"/>
      <c r="AG489" s="308"/>
      <c r="AH489" s="220"/>
      <c r="AI489" s="220"/>
      <c r="AJ489" s="220"/>
      <c r="AK489" s="220"/>
      <c r="AL489" s="220"/>
      <c r="AM489" s="220"/>
    </row>
    <row r="490">
      <c r="A490" s="430"/>
      <c r="B490" s="311"/>
      <c r="C490" s="311"/>
      <c r="D490" s="312"/>
      <c r="E490" s="311"/>
      <c r="F490" s="311"/>
      <c r="G490" s="312"/>
      <c r="H490" s="312"/>
      <c r="I490" s="313"/>
      <c r="J490" s="431"/>
      <c r="K490" s="313"/>
      <c r="L490" s="313"/>
      <c r="M490" s="313"/>
      <c r="N490" s="315"/>
      <c r="O490" s="313"/>
      <c r="P490" s="313"/>
      <c r="Q490" s="432"/>
      <c r="R490" s="313"/>
      <c r="S490" s="313"/>
      <c r="T490" s="317"/>
      <c r="U490" s="433"/>
      <c r="V490" s="288"/>
      <c r="W490" s="220"/>
      <c r="X490" s="220"/>
      <c r="Y490" s="220"/>
      <c r="Z490" s="220"/>
      <c r="AA490" s="220"/>
      <c r="AB490" s="220"/>
      <c r="AC490" s="220"/>
      <c r="AD490" s="220"/>
      <c r="AE490" s="220"/>
      <c r="AF490" s="220"/>
      <c r="AG490" s="308"/>
      <c r="AH490" s="220"/>
      <c r="AI490" s="220"/>
      <c r="AJ490" s="220"/>
      <c r="AK490" s="220"/>
      <c r="AL490" s="220"/>
      <c r="AM490" s="220"/>
    </row>
    <row r="491">
      <c r="A491" s="430"/>
      <c r="B491" s="311"/>
      <c r="C491" s="311"/>
      <c r="D491" s="312"/>
      <c r="E491" s="311"/>
      <c r="F491" s="311"/>
      <c r="G491" s="312"/>
      <c r="H491" s="312"/>
      <c r="I491" s="313"/>
      <c r="J491" s="431"/>
      <c r="K491" s="313"/>
      <c r="L491" s="313"/>
      <c r="M491" s="313"/>
      <c r="N491" s="315"/>
      <c r="O491" s="313"/>
      <c r="P491" s="313"/>
      <c r="Q491" s="432"/>
      <c r="R491" s="313"/>
      <c r="S491" s="313"/>
      <c r="T491" s="317"/>
      <c r="U491" s="433"/>
      <c r="V491" s="288"/>
      <c r="W491" s="220"/>
      <c r="X491" s="220"/>
      <c r="Y491" s="220"/>
      <c r="Z491" s="220"/>
      <c r="AA491" s="220"/>
      <c r="AB491" s="220"/>
      <c r="AC491" s="220"/>
      <c r="AD491" s="220"/>
      <c r="AE491" s="220"/>
      <c r="AF491" s="220"/>
      <c r="AG491" s="308"/>
      <c r="AH491" s="220"/>
      <c r="AI491" s="220"/>
      <c r="AJ491" s="220"/>
      <c r="AK491" s="220"/>
      <c r="AL491" s="220"/>
      <c r="AM491" s="220"/>
    </row>
    <row r="492">
      <c r="A492" s="430"/>
      <c r="B492" s="311"/>
      <c r="C492" s="311"/>
      <c r="D492" s="312"/>
      <c r="E492" s="311"/>
      <c r="F492" s="311"/>
      <c r="G492" s="312"/>
      <c r="H492" s="312"/>
      <c r="I492" s="313"/>
      <c r="J492" s="431"/>
      <c r="K492" s="313"/>
      <c r="L492" s="313"/>
      <c r="M492" s="313"/>
      <c r="N492" s="315"/>
      <c r="O492" s="313"/>
      <c r="P492" s="313"/>
      <c r="Q492" s="432"/>
      <c r="R492" s="313"/>
      <c r="S492" s="313"/>
      <c r="T492" s="317"/>
      <c r="U492" s="433"/>
      <c r="V492" s="288"/>
      <c r="W492" s="220"/>
      <c r="X492" s="220"/>
      <c r="Y492" s="220"/>
      <c r="Z492" s="220"/>
      <c r="AA492" s="220"/>
      <c r="AB492" s="220"/>
      <c r="AC492" s="220"/>
      <c r="AD492" s="220"/>
      <c r="AE492" s="220"/>
      <c r="AF492" s="220"/>
      <c r="AG492" s="308"/>
      <c r="AH492" s="220"/>
      <c r="AI492" s="220"/>
      <c r="AJ492" s="220"/>
      <c r="AK492" s="220"/>
      <c r="AL492" s="220"/>
      <c r="AM492" s="220"/>
    </row>
    <row r="493">
      <c r="A493" s="430"/>
      <c r="B493" s="311"/>
      <c r="C493" s="311"/>
      <c r="D493" s="312"/>
      <c r="E493" s="311"/>
      <c r="F493" s="311"/>
      <c r="G493" s="312"/>
      <c r="H493" s="312"/>
      <c r="I493" s="313"/>
      <c r="J493" s="431"/>
      <c r="K493" s="313"/>
      <c r="L493" s="313"/>
      <c r="M493" s="313"/>
      <c r="N493" s="315"/>
      <c r="O493" s="313"/>
      <c r="P493" s="313"/>
      <c r="Q493" s="432"/>
      <c r="R493" s="313"/>
      <c r="S493" s="313"/>
      <c r="T493" s="317"/>
      <c r="U493" s="433"/>
      <c r="V493" s="288"/>
      <c r="W493" s="220"/>
      <c r="X493" s="220"/>
      <c r="Y493" s="220"/>
      <c r="Z493" s="220"/>
      <c r="AA493" s="220"/>
      <c r="AB493" s="220"/>
      <c r="AC493" s="220"/>
      <c r="AD493" s="220"/>
      <c r="AE493" s="220"/>
      <c r="AF493" s="220"/>
      <c r="AG493" s="308"/>
      <c r="AH493" s="220"/>
      <c r="AI493" s="220"/>
      <c r="AJ493" s="220"/>
      <c r="AK493" s="220"/>
      <c r="AL493" s="220"/>
      <c r="AM493" s="220"/>
    </row>
    <row r="494">
      <c r="A494" s="430"/>
      <c r="B494" s="311"/>
      <c r="C494" s="311"/>
      <c r="D494" s="312"/>
      <c r="E494" s="311"/>
      <c r="F494" s="311"/>
      <c r="G494" s="312"/>
      <c r="H494" s="312"/>
      <c r="I494" s="313"/>
      <c r="J494" s="431"/>
      <c r="K494" s="313"/>
      <c r="L494" s="313"/>
      <c r="M494" s="313"/>
      <c r="N494" s="315"/>
      <c r="O494" s="313"/>
      <c r="P494" s="313"/>
      <c r="Q494" s="432"/>
      <c r="R494" s="313"/>
      <c r="S494" s="313"/>
      <c r="T494" s="317"/>
      <c r="U494" s="433"/>
      <c r="V494" s="288"/>
      <c r="W494" s="220"/>
      <c r="X494" s="220"/>
      <c r="Y494" s="220"/>
      <c r="Z494" s="220"/>
      <c r="AA494" s="220"/>
      <c r="AB494" s="220"/>
      <c r="AC494" s="220"/>
      <c r="AD494" s="220"/>
      <c r="AE494" s="220"/>
      <c r="AF494" s="220"/>
      <c r="AG494" s="308"/>
      <c r="AH494" s="220"/>
      <c r="AI494" s="220"/>
      <c r="AJ494" s="220"/>
      <c r="AK494" s="220"/>
      <c r="AL494" s="220"/>
      <c r="AM494" s="220"/>
    </row>
    <row r="495">
      <c r="A495" s="430"/>
      <c r="B495" s="311"/>
      <c r="C495" s="311"/>
      <c r="D495" s="312"/>
      <c r="E495" s="311"/>
      <c r="F495" s="311"/>
      <c r="G495" s="312"/>
      <c r="H495" s="312"/>
      <c r="I495" s="313"/>
      <c r="J495" s="431"/>
      <c r="K495" s="313"/>
      <c r="L495" s="313"/>
      <c r="M495" s="313"/>
      <c r="N495" s="315"/>
      <c r="O495" s="313"/>
      <c r="P495" s="313"/>
      <c r="Q495" s="432"/>
      <c r="R495" s="313"/>
      <c r="S495" s="313"/>
      <c r="T495" s="317"/>
      <c r="U495" s="433"/>
      <c r="V495" s="288"/>
      <c r="W495" s="220"/>
      <c r="X495" s="220"/>
      <c r="Y495" s="220"/>
      <c r="Z495" s="220"/>
      <c r="AA495" s="220"/>
      <c r="AB495" s="220"/>
      <c r="AC495" s="220"/>
      <c r="AD495" s="220"/>
      <c r="AE495" s="220"/>
      <c r="AF495" s="220"/>
      <c r="AG495" s="308"/>
      <c r="AH495" s="220"/>
      <c r="AI495" s="220"/>
      <c r="AJ495" s="220"/>
      <c r="AK495" s="220"/>
      <c r="AL495" s="220"/>
      <c r="AM495" s="220"/>
    </row>
    <row r="496">
      <c r="A496" s="430"/>
      <c r="B496" s="311"/>
      <c r="C496" s="311"/>
      <c r="D496" s="312"/>
      <c r="E496" s="311"/>
      <c r="F496" s="311"/>
      <c r="G496" s="312"/>
      <c r="H496" s="312"/>
      <c r="I496" s="313"/>
      <c r="J496" s="431"/>
      <c r="K496" s="313"/>
      <c r="L496" s="313"/>
      <c r="M496" s="313"/>
      <c r="N496" s="315"/>
      <c r="O496" s="313"/>
      <c r="P496" s="313"/>
      <c r="Q496" s="432"/>
      <c r="R496" s="313"/>
      <c r="S496" s="313"/>
      <c r="T496" s="317"/>
      <c r="U496" s="433"/>
      <c r="V496" s="288"/>
      <c r="W496" s="220"/>
      <c r="X496" s="220"/>
      <c r="Y496" s="220"/>
      <c r="Z496" s="220"/>
      <c r="AA496" s="220"/>
      <c r="AB496" s="220"/>
      <c r="AC496" s="220"/>
      <c r="AD496" s="220"/>
      <c r="AE496" s="220"/>
      <c r="AF496" s="220"/>
      <c r="AG496" s="308"/>
      <c r="AH496" s="220"/>
      <c r="AI496" s="220"/>
      <c r="AJ496" s="220"/>
      <c r="AK496" s="220"/>
      <c r="AL496" s="220"/>
      <c r="AM496" s="220"/>
    </row>
    <row r="497">
      <c r="A497" s="430"/>
      <c r="B497" s="311"/>
      <c r="C497" s="311"/>
      <c r="D497" s="312"/>
      <c r="E497" s="311"/>
      <c r="F497" s="311"/>
      <c r="G497" s="312"/>
      <c r="H497" s="312"/>
      <c r="I497" s="313"/>
      <c r="J497" s="431"/>
      <c r="K497" s="313"/>
      <c r="L497" s="313"/>
      <c r="M497" s="313"/>
      <c r="N497" s="315"/>
      <c r="O497" s="313"/>
      <c r="P497" s="313"/>
      <c r="Q497" s="432"/>
      <c r="R497" s="313"/>
      <c r="S497" s="313"/>
      <c r="T497" s="317"/>
      <c r="U497" s="433"/>
      <c r="V497" s="288"/>
      <c r="W497" s="220"/>
      <c r="X497" s="220"/>
      <c r="Y497" s="220"/>
      <c r="Z497" s="220"/>
      <c r="AA497" s="220"/>
      <c r="AB497" s="220"/>
      <c r="AC497" s="220"/>
      <c r="AD497" s="220"/>
      <c r="AE497" s="220"/>
      <c r="AF497" s="220"/>
      <c r="AG497" s="308"/>
      <c r="AH497" s="220"/>
      <c r="AI497" s="220"/>
      <c r="AJ497" s="220"/>
      <c r="AK497" s="220"/>
      <c r="AL497" s="220"/>
      <c r="AM497" s="220"/>
    </row>
    <row r="498">
      <c r="A498" s="430"/>
      <c r="B498" s="311"/>
      <c r="C498" s="311"/>
      <c r="D498" s="312"/>
      <c r="E498" s="311"/>
      <c r="F498" s="311"/>
      <c r="G498" s="312"/>
      <c r="H498" s="312"/>
      <c r="I498" s="313"/>
      <c r="J498" s="431"/>
      <c r="K498" s="313"/>
      <c r="L498" s="313"/>
      <c r="M498" s="313"/>
      <c r="N498" s="315"/>
      <c r="O498" s="313"/>
      <c r="P498" s="313"/>
      <c r="Q498" s="432"/>
      <c r="R498" s="313"/>
      <c r="S498" s="313"/>
      <c r="T498" s="317"/>
      <c r="U498" s="433"/>
      <c r="V498" s="288"/>
      <c r="W498" s="220"/>
      <c r="X498" s="220"/>
      <c r="Y498" s="220"/>
      <c r="Z498" s="220"/>
      <c r="AA498" s="220"/>
      <c r="AB498" s="220"/>
      <c r="AC498" s="220"/>
      <c r="AD498" s="220"/>
      <c r="AE498" s="220"/>
      <c r="AF498" s="220"/>
      <c r="AG498" s="308"/>
      <c r="AH498" s="220"/>
      <c r="AI498" s="220"/>
      <c r="AJ498" s="220"/>
      <c r="AK498" s="220"/>
      <c r="AL498" s="220"/>
      <c r="AM498" s="220"/>
    </row>
    <row r="499">
      <c r="A499" s="430"/>
      <c r="B499" s="311"/>
      <c r="C499" s="311"/>
      <c r="D499" s="312"/>
      <c r="E499" s="311"/>
      <c r="F499" s="311"/>
      <c r="G499" s="312"/>
      <c r="H499" s="312"/>
      <c r="I499" s="313"/>
      <c r="J499" s="431"/>
      <c r="K499" s="313"/>
      <c r="L499" s="313"/>
      <c r="M499" s="313"/>
      <c r="N499" s="315"/>
      <c r="O499" s="313"/>
      <c r="P499" s="313"/>
      <c r="Q499" s="432"/>
      <c r="R499" s="313"/>
      <c r="S499" s="313"/>
      <c r="T499" s="317"/>
      <c r="U499" s="433"/>
      <c r="V499" s="288"/>
      <c r="W499" s="220"/>
      <c r="X499" s="220"/>
      <c r="Y499" s="220"/>
      <c r="Z499" s="220"/>
      <c r="AA499" s="220"/>
      <c r="AB499" s="220"/>
      <c r="AC499" s="220"/>
      <c r="AD499" s="220"/>
      <c r="AE499" s="220"/>
      <c r="AF499" s="220"/>
      <c r="AG499" s="308"/>
      <c r="AH499" s="220"/>
      <c r="AI499" s="220"/>
      <c r="AJ499" s="220"/>
      <c r="AK499" s="220"/>
      <c r="AL499" s="220"/>
      <c r="AM499" s="220"/>
    </row>
    <row r="500">
      <c r="A500" s="430"/>
      <c r="B500" s="311"/>
      <c r="C500" s="311"/>
      <c r="D500" s="312"/>
      <c r="E500" s="311"/>
      <c r="F500" s="311"/>
      <c r="G500" s="312"/>
      <c r="H500" s="312"/>
      <c r="I500" s="313"/>
      <c r="J500" s="431"/>
      <c r="K500" s="313"/>
      <c r="L500" s="313"/>
      <c r="M500" s="313"/>
      <c r="N500" s="315"/>
      <c r="O500" s="313"/>
      <c r="P500" s="313"/>
      <c r="Q500" s="432"/>
      <c r="R500" s="313"/>
      <c r="S500" s="313"/>
      <c r="T500" s="317"/>
      <c r="U500" s="433"/>
      <c r="V500" s="288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308"/>
      <c r="AH500" s="220"/>
      <c r="AI500" s="220"/>
      <c r="AJ500" s="220"/>
      <c r="AK500" s="220"/>
      <c r="AL500" s="220"/>
      <c r="AM500" s="220"/>
    </row>
    <row r="501">
      <c r="A501" s="430"/>
      <c r="B501" s="311"/>
      <c r="C501" s="311"/>
      <c r="D501" s="312"/>
      <c r="E501" s="311"/>
      <c r="F501" s="311"/>
      <c r="G501" s="312"/>
      <c r="H501" s="312"/>
      <c r="I501" s="313"/>
      <c r="J501" s="431"/>
      <c r="K501" s="313"/>
      <c r="L501" s="313"/>
      <c r="M501" s="313"/>
      <c r="N501" s="315"/>
      <c r="O501" s="313"/>
      <c r="P501" s="313"/>
      <c r="Q501" s="432"/>
      <c r="R501" s="313"/>
      <c r="S501" s="313"/>
      <c r="T501" s="317"/>
      <c r="U501" s="433"/>
      <c r="V501" s="288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308"/>
      <c r="AH501" s="220"/>
      <c r="AI501" s="220"/>
      <c r="AJ501" s="220"/>
      <c r="AK501" s="220"/>
      <c r="AL501" s="220"/>
      <c r="AM501" s="220"/>
    </row>
    <row r="502">
      <c r="A502" s="430"/>
      <c r="B502" s="311"/>
      <c r="C502" s="311"/>
      <c r="D502" s="312"/>
      <c r="E502" s="311"/>
      <c r="F502" s="311"/>
      <c r="G502" s="312"/>
      <c r="H502" s="312"/>
      <c r="I502" s="313"/>
      <c r="J502" s="431"/>
      <c r="K502" s="313"/>
      <c r="L502" s="313"/>
      <c r="M502" s="313"/>
      <c r="N502" s="315"/>
      <c r="O502" s="313"/>
      <c r="P502" s="313"/>
      <c r="Q502" s="432"/>
      <c r="R502" s="313"/>
      <c r="S502" s="313"/>
      <c r="T502" s="317"/>
      <c r="U502" s="433"/>
      <c r="V502" s="288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308"/>
      <c r="AH502" s="220"/>
      <c r="AI502" s="220"/>
      <c r="AJ502" s="220"/>
      <c r="AK502" s="220"/>
      <c r="AL502" s="220"/>
      <c r="AM502" s="220"/>
    </row>
    <row r="503">
      <c r="A503" s="430"/>
      <c r="B503" s="311"/>
      <c r="C503" s="311"/>
      <c r="D503" s="312"/>
      <c r="E503" s="311"/>
      <c r="F503" s="311"/>
      <c r="G503" s="312"/>
      <c r="H503" s="312"/>
      <c r="I503" s="313"/>
      <c r="J503" s="431"/>
      <c r="K503" s="313"/>
      <c r="L503" s="313"/>
      <c r="M503" s="313"/>
      <c r="N503" s="315"/>
      <c r="O503" s="313"/>
      <c r="P503" s="313"/>
      <c r="Q503" s="432"/>
      <c r="R503" s="313"/>
      <c r="S503" s="313"/>
      <c r="T503" s="317"/>
      <c r="U503" s="433"/>
      <c r="V503" s="288"/>
      <c r="W503" s="220"/>
      <c r="X503" s="220"/>
      <c r="Y503" s="220"/>
      <c r="Z503" s="220"/>
      <c r="AA503" s="220"/>
      <c r="AB503" s="220"/>
      <c r="AC503" s="220"/>
      <c r="AD503" s="220"/>
      <c r="AE503" s="220"/>
      <c r="AF503" s="220"/>
      <c r="AG503" s="308"/>
      <c r="AH503" s="220"/>
      <c r="AI503" s="220"/>
      <c r="AJ503" s="220"/>
      <c r="AK503" s="220"/>
      <c r="AL503" s="220"/>
      <c r="AM503" s="220"/>
    </row>
    <row r="504">
      <c r="A504" s="430"/>
      <c r="B504" s="311"/>
      <c r="C504" s="311"/>
      <c r="D504" s="312"/>
      <c r="E504" s="311"/>
      <c r="F504" s="311"/>
      <c r="G504" s="312"/>
      <c r="H504" s="312"/>
      <c r="I504" s="313"/>
      <c r="J504" s="431"/>
      <c r="K504" s="313"/>
      <c r="L504" s="313"/>
      <c r="M504" s="313"/>
      <c r="N504" s="315"/>
      <c r="O504" s="313"/>
      <c r="P504" s="313"/>
      <c r="Q504" s="432"/>
      <c r="R504" s="313"/>
      <c r="S504" s="313"/>
      <c r="T504" s="317"/>
      <c r="U504" s="433"/>
      <c r="V504" s="288"/>
      <c r="W504" s="220"/>
      <c r="X504" s="220"/>
      <c r="Y504" s="220"/>
      <c r="Z504" s="220"/>
      <c r="AA504" s="220"/>
      <c r="AB504" s="220"/>
      <c r="AC504" s="220"/>
      <c r="AD504" s="220"/>
      <c r="AE504" s="220"/>
      <c r="AF504" s="220"/>
      <c r="AG504" s="308"/>
      <c r="AH504" s="220"/>
      <c r="AI504" s="220"/>
      <c r="AJ504" s="220"/>
      <c r="AK504" s="220"/>
      <c r="AL504" s="220"/>
      <c r="AM504" s="220"/>
    </row>
    <row r="505">
      <c r="A505" s="430"/>
      <c r="B505" s="311"/>
      <c r="C505" s="311"/>
      <c r="D505" s="312"/>
      <c r="E505" s="311"/>
      <c r="F505" s="311"/>
      <c r="G505" s="312"/>
      <c r="H505" s="312"/>
      <c r="I505" s="313"/>
      <c r="J505" s="431"/>
      <c r="K505" s="313"/>
      <c r="L505" s="313"/>
      <c r="M505" s="313"/>
      <c r="N505" s="315"/>
      <c r="O505" s="313"/>
      <c r="P505" s="313"/>
      <c r="Q505" s="432"/>
      <c r="R505" s="313"/>
      <c r="S505" s="313"/>
      <c r="T505" s="317"/>
      <c r="U505" s="433"/>
      <c r="V505" s="288"/>
      <c r="W505" s="220"/>
      <c r="X505" s="220"/>
      <c r="Y505" s="220"/>
      <c r="Z505" s="220"/>
      <c r="AA505" s="220"/>
      <c r="AB505" s="220"/>
      <c r="AC505" s="220"/>
      <c r="AD505" s="220"/>
      <c r="AE505" s="220"/>
      <c r="AF505" s="220"/>
      <c r="AG505" s="308"/>
      <c r="AH505" s="220"/>
      <c r="AI505" s="220"/>
      <c r="AJ505" s="220"/>
      <c r="AK505" s="220"/>
      <c r="AL505" s="220"/>
      <c r="AM505" s="220"/>
    </row>
    <row r="506">
      <c r="A506" s="430"/>
      <c r="B506" s="311"/>
      <c r="C506" s="311"/>
      <c r="D506" s="312"/>
      <c r="E506" s="311"/>
      <c r="F506" s="311"/>
      <c r="G506" s="312"/>
      <c r="H506" s="312"/>
      <c r="I506" s="313"/>
      <c r="J506" s="431"/>
      <c r="K506" s="313"/>
      <c r="L506" s="313"/>
      <c r="M506" s="313"/>
      <c r="N506" s="315"/>
      <c r="O506" s="313"/>
      <c r="P506" s="313"/>
      <c r="Q506" s="432"/>
      <c r="R506" s="313"/>
      <c r="S506" s="313"/>
      <c r="T506" s="317"/>
      <c r="U506" s="433"/>
      <c r="V506" s="288"/>
      <c r="W506" s="220"/>
      <c r="X506" s="220"/>
      <c r="Y506" s="220"/>
      <c r="Z506" s="220"/>
      <c r="AA506" s="220"/>
      <c r="AB506" s="220"/>
      <c r="AC506" s="220"/>
      <c r="AD506" s="220"/>
      <c r="AE506" s="220"/>
      <c r="AF506" s="220"/>
      <c r="AG506" s="308"/>
      <c r="AH506" s="220"/>
      <c r="AI506" s="220"/>
      <c r="AJ506" s="220"/>
      <c r="AK506" s="220"/>
      <c r="AL506" s="220"/>
      <c r="AM506" s="220"/>
    </row>
    <row r="507">
      <c r="A507" s="430"/>
      <c r="B507" s="311"/>
      <c r="C507" s="311"/>
      <c r="D507" s="312"/>
      <c r="E507" s="311"/>
      <c r="F507" s="311"/>
      <c r="G507" s="312"/>
      <c r="H507" s="312"/>
      <c r="I507" s="313"/>
      <c r="J507" s="431"/>
      <c r="K507" s="313"/>
      <c r="L507" s="313"/>
      <c r="M507" s="313"/>
      <c r="N507" s="315"/>
      <c r="O507" s="313"/>
      <c r="P507" s="313"/>
      <c r="Q507" s="432"/>
      <c r="R507" s="313"/>
      <c r="S507" s="313"/>
      <c r="T507" s="317"/>
      <c r="U507" s="433"/>
      <c r="V507" s="288"/>
      <c r="W507" s="220"/>
      <c r="X507" s="220"/>
      <c r="Y507" s="220"/>
      <c r="Z507" s="220"/>
      <c r="AA507" s="220"/>
      <c r="AB507" s="220"/>
      <c r="AC507" s="220"/>
      <c r="AD507" s="220"/>
      <c r="AE507" s="220"/>
      <c r="AF507" s="220"/>
      <c r="AG507" s="308"/>
      <c r="AH507" s="220"/>
      <c r="AI507" s="220"/>
      <c r="AJ507" s="220"/>
      <c r="AK507" s="220"/>
      <c r="AL507" s="220"/>
      <c r="AM507" s="220"/>
    </row>
    <row r="508">
      <c r="A508" s="430"/>
      <c r="B508" s="311"/>
      <c r="C508" s="311"/>
      <c r="D508" s="312"/>
      <c r="E508" s="311"/>
      <c r="F508" s="311"/>
      <c r="G508" s="312"/>
      <c r="H508" s="312"/>
      <c r="I508" s="313"/>
      <c r="J508" s="431"/>
      <c r="K508" s="313"/>
      <c r="L508" s="313"/>
      <c r="M508" s="313"/>
      <c r="N508" s="315"/>
      <c r="O508" s="313"/>
      <c r="P508" s="313"/>
      <c r="Q508" s="432"/>
      <c r="R508" s="313"/>
      <c r="S508" s="313"/>
      <c r="T508" s="317"/>
      <c r="U508" s="433"/>
      <c r="V508" s="288"/>
      <c r="W508" s="220"/>
      <c r="X508" s="220"/>
      <c r="Y508" s="220"/>
      <c r="Z508" s="220"/>
      <c r="AA508" s="220"/>
      <c r="AB508" s="220"/>
      <c r="AC508" s="220"/>
      <c r="AD508" s="220"/>
      <c r="AE508" s="220"/>
      <c r="AF508" s="220"/>
      <c r="AG508" s="308"/>
      <c r="AH508" s="220"/>
      <c r="AI508" s="220"/>
      <c r="AJ508" s="220"/>
      <c r="AK508" s="220"/>
      <c r="AL508" s="220"/>
      <c r="AM508" s="220"/>
    </row>
    <row r="509">
      <c r="A509" s="430"/>
      <c r="B509" s="311"/>
      <c r="C509" s="311"/>
      <c r="D509" s="312"/>
      <c r="E509" s="311"/>
      <c r="F509" s="311"/>
      <c r="G509" s="312"/>
      <c r="H509" s="312"/>
      <c r="I509" s="313"/>
      <c r="J509" s="431"/>
      <c r="K509" s="313"/>
      <c r="L509" s="313"/>
      <c r="M509" s="313"/>
      <c r="N509" s="315"/>
      <c r="O509" s="313"/>
      <c r="P509" s="313"/>
      <c r="Q509" s="432"/>
      <c r="R509" s="313"/>
      <c r="S509" s="313"/>
      <c r="T509" s="317"/>
      <c r="U509" s="433"/>
      <c r="V509" s="288"/>
      <c r="W509" s="220"/>
      <c r="X509" s="220"/>
      <c r="Y509" s="220"/>
      <c r="Z509" s="220"/>
      <c r="AA509" s="220"/>
      <c r="AB509" s="220"/>
      <c r="AC509" s="220"/>
      <c r="AD509" s="220"/>
      <c r="AE509" s="220"/>
      <c r="AF509" s="220"/>
      <c r="AG509" s="308"/>
      <c r="AH509" s="220"/>
      <c r="AI509" s="220"/>
      <c r="AJ509" s="220"/>
      <c r="AK509" s="220"/>
      <c r="AL509" s="220"/>
      <c r="AM509" s="220"/>
    </row>
    <row r="510">
      <c r="A510" s="430"/>
      <c r="B510" s="311"/>
      <c r="C510" s="311"/>
      <c r="D510" s="312"/>
      <c r="E510" s="311"/>
      <c r="F510" s="311"/>
      <c r="G510" s="312"/>
      <c r="H510" s="312"/>
      <c r="I510" s="313"/>
      <c r="J510" s="431"/>
      <c r="K510" s="313"/>
      <c r="L510" s="313"/>
      <c r="M510" s="313"/>
      <c r="N510" s="315"/>
      <c r="O510" s="313"/>
      <c r="P510" s="313"/>
      <c r="Q510" s="432"/>
      <c r="R510" s="313"/>
      <c r="S510" s="313"/>
      <c r="T510" s="317"/>
      <c r="U510" s="433"/>
      <c r="V510" s="288"/>
      <c r="W510" s="220"/>
      <c r="X510" s="220"/>
      <c r="Y510" s="220"/>
      <c r="Z510" s="220"/>
      <c r="AA510" s="220"/>
      <c r="AB510" s="220"/>
      <c r="AC510" s="220"/>
      <c r="AD510" s="220"/>
      <c r="AE510" s="220"/>
      <c r="AF510" s="220"/>
      <c r="AG510" s="308"/>
      <c r="AH510" s="220"/>
      <c r="AI510" s="220"/>
      <c r="AJ510" s="220"/>
      <c r="AK510" s="220"/>
      <c r="AL510" s="220"/>
      <c r="AM510" s="220"/>
    </row>
    <row r="511">
      <c r="A511" s="430"/>
      <c r="B511" s="311"/>
      <c r="C511" s="311"/>
      <c r="D511" s="312"/>
      <c r="E511" s="311"/>
      <c r="F511" s="311"/>
      <c r="G511" s="312"/>
      <c r="H511" s="312"/>
      <c r="I511" s="313"/>
      <c r="J511" s="431"/>
      <c r="K511" s="313"/>
      <c r="L511" s="313"/>
      <c r="M511" s="313"/>
      <c r="N511" s="315"/>
      <c r="O511" s="313"/>
      <c r="P511" s="313"/>
      <c r="Q511" s="432"/>
      <c r="R511" s="313"/>
      <c r="S511" s="313"/>
      <c r="T511" s="317"/>
      <c r="U511" s="433"/>
      <c r="V511" s="288"/>
      <c r="W511" s="220"/>
      <c r="X511" s="220"/>
      <c r="Y511" s="220"/>
      <c r="Z511" s="220"/>
      <c r="AA511" s="220"/>
      <c r="AB511" s="220"/>
      <c r="AC511" s="220"/>
      <c r="AD511" s="220"/>
      <c r="AE511" s="220"/>
      <c r="AF511" s="220"/>
      <c r="AG511" s="308"/>
      <c r="AH511" s="220"/>
      <c r="AI511" s="220"/>
      <c r="AJ511" s="220"/>
      <c r="AK511" s="220"/>
      <c r="AL511" s="220"/>
      <c r="AM511" s="220"/>
    </row>
    <row r="512">
      <c r="A512" s="430"/>
      <c r="B512" s="311"/>
      <c r="C512" s="311"/>
      <c r="D512" s="312"/>
      <c r="E512" s="311"/>
      <c r="F512" s="311"/>
      <c r="G512" s="312"/>
      <c r="H512" s="312"/>
      <c r="I512" s="313"/>
      <c r="J512" s="431"/>
      <c r="K512" s="313"/>
      <c r="L512" s="313"/>
      <c r="M512" s="313"/>
      <c r="N512" s="315"/>
      <c r="O512" s="313"/>
      <c r="P512" s="313"/>
      <c r="Q512" s="432"/>
      <c r="R512" s="313"/>
      <c r="S512" s="313"/>
      <c r="T512" s="317"/>
      <c r="U512" s="433"/>
      <c r="V512" s="288"/>
      <c r="W512" s="220"/>
      <c r="X512" s="220"/>
      <c r="Y512" s="220"/>
      <c r="Z512" s="220"/>
      <c r="AA512" s="220"/>
      <c r="AB512" s="220"/>
      <c r="AC512" s="220"/>
      <c r="AD512" s="220"/>
      <c r="AE512" s="220"/>
      <c r="AF512" s="220"/>
      <c r="AG512" s="308"/>
      <c r="AH512" s="220"/>
      <c r="AI512" s="220"/>
      <c r="AJ512" s="220"/>
      <c r="AK512" s="220"/>
      <c r="AL512" s="220"/>
      <c r="AM512" s="220"/>
    </row>
    <row r="513">
      <c r="A513" s="430"/>
      <c r="B513" s="311"/>
      <c r="C513" s="311"/>
      <c r="D513" s="312"/>
      <c r="E513" s="311"/>
      <c r="F513" s="311"/>
      <c r="G513" s="312"/>
      <c r="H513" s="312"/>
      <c r="I513" s="313"/>
      <c r="J513" s="431"/>
      <c r="K513" s="313"/>
      <c r="L513" s="313"/>
      <c r="M513" s="313"/>
      <c r="N513" s="315"/>
      <c r="O513" s="313"/>
      <c r="P513" s="313"/>
      <c r="Q513" s="432"/>
      <c r="R513" s="313"/>
      <c r="S513" s="313"/>
      <c r="T513" s="317"/>
      <c r="U513" s="433"/>
      <c r="V513" s="288"/>
      <c r="W513" s="220"/>
      <c r="X513" s="220"/>
      <c r="Y513" s="220"/>
      <c r="Z513" s="220"/>
      <c r="AA513" s="220"/>
      <c r="AB513" s="220"/>
      <c r="AC513" s="220"/>
      <c r="AD513" s="220"/>
      <c r="AE513" s="220"/>
      <c r="AF513" s="220"/>
      <c r="AG513" s="308"/>
      <c r="AH513" s="220"/>
      <c r="AI513" s="220"/>
      <c r="AJ513" s="220"/>
      <c r="AK513" s="220"/>
      <c r="AL513" s="220"/>
      <c r="AM513" s="220"/>
    </row>
    <row r="514">
      <c r="A514" s="430"/>
      <c r="B514" s="311"/>
      <c r="C514" s="311"/>
      <c r="D514" s="312"/>
      <c r="E514" s="311"/>
      <c r="F514" s="311"/>
      <c r="G514" s="312"/>
      <c r="H514" s="312"/>
      <c r="I514" s="313"/>
      <c r="J514" s="431"/>
      <c r="K514" s="313"/>
      <c r="L514" s="313"/>
      <c r="M514" s="313"/>
      <c r="N514" s="315"/>
      <c r="O514" s="313"/>
      <c r="P514" s="313"/>
      <c r="Q514" s="432"/>
      <c r="R514" s="313"/>
      <c r="S514" s="313"/>
      <c r="T514" s="317"/>
      <c r="U514" s="433"/>
      <c r="V514" s="288"/>
      <c r="W514" s="220"/>
      <c r="X514" s="220"/>
      <c r="Y514" s="220"/>
      <c r="Z514" s="220"/>
      <c r="AA514" s="220"/>
      <c r="AB514" s="220"/>
      <c r="AC514" s="220"/>
      <c r="AD514" s="220"/>
      <c r="AE514" s="220"/>
      <c r="AF514" s="220"/>
      <c r="AG514" s="308"/>
      <c r="AH514" s="220"/>
      <c r="AI514" s="220"/>
      <c r="AJ514" s="220"/>
      <c r="AK514" s="220"/>
      <c r="AL514" s="220"/>
      <c r="AM514" s="220"/>
    </row>
    <row r="515">
      <c r="A515" s="430"/>
      <c r="B515" s="311"/>
      <c r="C515" s="311"/>
      <c r="D515" s="312"/>
      <c r="E515" s="311"/>
      <c r="F515" s="311"/>
      <c r="G515" s="312"/>
      <c r="H515" s="312"/>
      <c r="I515" s="313"/>
      <c r="J515" s="431"/>
      <c r="K515" s="313"/>
      <c r="L515" s="313"/>
      <c r="M515" s="313"/>
      <c r="N515" s="315"/>
      <c r="O515" s="313"/>
      <c r="P515" s="313"/>
      <c r="Q515" s="432"/>
      <c r="R515" s="313"/>
      <c r="S515" s="313"/>
      <c r="T515" s="317"/>
      <c r="U515" s="433"/>
      <c r="V515" s="288"/>
      <c r="W515" s="220"/>
      <c r="X515" s="220"/>
      <c r="Y515" s="220"/>
      <c r="Z515" s="220"/>
      <c r="AA515" s="220"/>
      <c r="AB515" s="220"/>
      <c r="AC515" s="220"/>
      <c r="AD515" s="220"/>
      <c r="AE515" s="220"/>
      <c r="AF515" s="220"/>
      <c r="AG515" s="308"/>
      <c r="AH515" s="220"/>
      <c r="AI515" s="220"/>
      <c r="AJ515" s="220"/>
      <c r="AK515" s="220"/>
      <c r="AL515" s="220"/>
      <c r="AM515" s="220"/>
    </row>
    <row r="516">
      <c r="A516" s="430"/>
      <c r="B516" s="311"/>
      <c r="C516" s="311"/>
      <c r="D516" s="312"/>
      <c r="E516" s="311"/>
      <c r="F516" s="311"/>
      <c r="G516" s="312"/>
      <c r="H516" s="312"/>
      <c r="I516" s="313"/>
      <c r="J516" s="431"/>
      <c r="K516" s="313"/>
      <c r="L516" s="313"/>
      <c r="M516" s="313"/>
      <c r="N516" s="315"/>
      <c r="O516" s="313"/>
      <c r="P516" s="313"/>
      <c r="Q516" s="432"/>
      <c r="R516" s="313"/>
      <c r="S516" s="313"/>
      <c r="T516" s="317"/>
      <c r="U516" s="433"/>
      <c r="V516" s="288"/>
      <c r="W516" s="220"/>
      <c r="X516" s="220"/>
      <c r="Y516" s="220"/>
      <c r="Z516" s="220"/>
      <c r="AA516" s="220"/>
      <c r="AB516" s="220"/>
      <c r="AC516" s="220"/>
      <c r="AD516" s="220"/>
      <c r="AE516" s="220"/>
      <c r="AF516" s="220"/>
      <c r="AG516" s="308"/>
      <c r="AH516" s="220"/>
      <c r="AI516" s="220"/>
      <c r="AJ516" s="220"/>
      <c r="AK516" s="220"/>
      <c r="AL516" s="220"/>
      <c r="AM516" s="220"/>
    </row>
    <row r="517">
      <c r="A517" s="430"/>
      <c r="B517" s="311"/>
      <c r="C517" s="311"/>
      <c r="D517" s="312"/>
      <c r="E517" s="311"/>
      <c r="F517" s="311"/>
      <c r="G517" s="312"/>
      <c r="H517" s="312"/>
      <c r="I517" s="313"/>
      <c r="J517" s="431"/>
      <c r="K517" s="313"/>
      <c r="L517" s="313"/>
      <c r="M517" s="313"/>
      <c r="N517" s="315"/>
      <c r="O517" s="313"/>
      <c r="P517" s="313"/>
      <c r="Q517" s="432"/>
      <c r="R517" s="313"/>
      <c r="S517" s="313"/>
      <c r="T517" s="317"/>
      <c r="U517" s="433"/>
      <c r="V517" s="288"/>
      <c r="W517" s="220"/>
      <c r="X517" s="220"/>
      <c r="Y517" s="220"/>
      <c r="Z517" s="220"/>
      <c r="AA517" s="220"/>
      <c r="AB517" s="220"/>
      <c r="AC517" s="220"/>
      <c r="AD517" s="220"/>
      <c r="AE517" s="220"/>
      <c r="AF517" s="220"/>
      <c r="AG517" s="308"/>
      <c r="AH517" s="220"/>
      <c r="AI517" s="220"/>
      <c r="AJ517" s="220"/>
      <c r="AK517" s="220"/>
      <c r="AL517" s="220"/>
      <c r="AM517" s="220"/>
    </row>
    <row r="518">
      <c r="A518" s="430"/>
      <c r="B518" s="311"/>
      <c r="C518" s="311"/>
      <c r="D518" s="312"/>
      <c r="E518" s="311"/>
      <c r="F518" s="311"/>
      <c r="G518" s="312"/>
      <c r="H518" s="312"/>
      <c r="I518" s="313"/>
      <c r="J518" s="431"/>
      <c r="K518" s="313"/>
      <c r="L518" s="313"/>
      <c r="M518" s="313"/>
      <c r="N518" s="315"/>
      <c r="O518" s="313"/>
      <c r="P518" s="313"/>
      <c r="Q518" s="432"/>
      <c r="R518" s="313"/>
      <c r="S518" s="313"/>
      <c r="T518" s="317"/>
      <c r="U518" s="433"/>
      <c r="V518" s="288"/>
      <c r="W518" s="220"/>
      <c r="X518" s="220"/>
      <c r="Y518" s="220"/>
      <c r="Z518" s="220"/>
      <c r="AA518" s="220"/>
      <c r="AB518" s="220"/>
      <c r="AC518" s="220"/>
      <c r="AD518" s="220"/>
      <c r="AE518" s="220"/>
      <c r="AF518" s="220"/>
      <c r="AG518" s="308"/>
      <c r="AH518" s="220"/>
      <c r="AI518" s="220"/>
      <c r="AJ518" s="220"/>
      <c r="AK518" s="220"/>
      <c r="AL518" s="220"/>
      <c r="AM518" s="220"/>
    </row>
    <row r="519">
      <c r="A519" s="430"/>
      <c r="B519" s="311"/>
      <c r="C519" s="311"/>
      <c r="D519" s="312"/>
      <c r="E519" s="311"/>
      <c r="F519" s="311"/>
      <c r="G519" s="312"/>
      <c r="H519" s="312"/>
      <c r="I519" s="313"/>
      <c r="J519" s="431"/>
      <c r="K519" s="313"/>
      <c r="L519" s="313"/>
      <c r="M519" s="313"/>
      <c r="N519" s="315"/>
      <c r="O519" s="313"/>
      <c r="P519" s="313"/>
      <c r="Q519" s="432"/>
      <c r="R519" s="313"/>
      <c r="S519" s="313"/>
      <c r="T519" s="317"/>
      <c r="U519" s="433"/>
      <c r="V519" s="288"/>
      <c r="W519" s="220"/>
      <c r="X519" s="220"/>
      <c r="Y519" s="220"/>
      <c r="Z519" s="220"/>
      <c r="AA519" s="220"/>
      <c r="AB519" s="220"/>
      <c r="AC519" s="220"/>
      <c r="AD519" s="220"/>
      <c r="AE519" s="220"/>
      <c r="AF519" s="220"/>
      <c r="AG519" s="308"/>
      <c r="AH519" s="220"/>
      <c r="AI519" s="220"/>
      <c r="AJ519" s="220"/>
      <c r="AK519" s="220"/>
      <c r="AL519" s="220"/>
      <c r="AM519" s="220"/>
    </row>
    <row r="520">
      <c r="A520" s="430"/>
      <c r="B520" s="311"/>
      <c r="C520" s="311"/>
      <c r="D520" s="312"/>
      <c r="E520" s="311"/>
      <c r="F520" s="311"/>
      <c r="G520" s="312"/>
      <c r="H520" s="312"/>
      <c r="I520" s="313"/>
      <c r="J520" s="431"/>
      <c r="K520" s="313"/>
      <c r="L520" s="313"/>
      <c r="M520" s="313"/>
      <c r="N520" s="315"/>
      <c r="O520" s="313"/>
      <c r="P520" s="313"/>
      <c r="Q520" s="432"/>
      <c r="R520" s="313"/>
      <c r="S520" s="313"/>
      <c r="T520" s="317"/>
      <c r="U520" s="433"/>
      <c r="V520" s="288"/>
      <c r="W520" s="220"/>
      <c r="X520" s="220"/>
      <c r="Y520" s="220"/>
      <c r="Z520" s="220"/>
      <c r="AA520" s="220"/>
      <c r="AB520" s="220"/>
      <c r="AC520" s="220"/>
      <c r="AD520" s="220"/>
      <c r="AE520" s="220"/>
      <c r="AF520" s="220"/>
      <c r="AG520" s="308"/>
      <c r="AH520" s="220"/>
      <c r="AI520" s="220"/>
      <c r="AJ520" s="220"/>
      <c r="AK520" s="220"/>
      <c r="AL520" s="220"/>
      <c r="AM520" s="220"/>
    </row>
    <row r="521">
      <c r="A521" s="430"/>
      <c r="B521" s="311"/>
      <c r="C521" s="311"/>
      <c r="D521" s="312"/>
      <c r="E521" s="311"/>
      <c r="F521" s="311"/>
      <c r="G521" s="312"/>
      <c r="H521" s="312"/>
      <c r="I521" s="313"/>
      <c r="J521" s="431"/>
      <c r="K521" s="313"/>
      <c r="L521" s="313"/>
      <c r="M521" s="313"/>
      <c r="N521" s="315"/>
      <c r="O521" s="313"/>
      <c r="P521" s="313"/>
      <c r="Q521" s="432"/>
      <c r="R521" s="313"/>
      <c r="S521" s="313"/>
      <c r="T521" s="317"/>
      <c r="U521" s="433"/>
      <c r="V521" s="288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308"/>
      <c r="AH521" s="220"/>
      <c r="AI521" s="220"/>
      <c r="AJ521" s="220"/>
      <c r="AK521" s="220"/>
      <c r="AL521" s="220"/>
      <c r="AM521" s="220"/>
    </row>
    <row r="522">
      <c r="A522" s="430"/>
      <c r="B522" s="311"/>
      <c r="C522" s="311"/>
      <c r="D522" s="312"/>
      <c r="E522" s="311"/>
      <c r="F522" s="311"/>
      <c r="G522" s="312"/>
      <c r="H522" s="312"/>
      <c r="I522" s="313"/>
      <c r="J522" s="431"/>
      <c r="K522" s="313"/>
      <c r="L522" s="313"/>
      <c r="M522" s="313"/>
      <c r="N522" s="315"/>
      <c r="O522" s="313"/>
      <c r="P522" s="313"/>
      <c r="Q522" s="432"/>
      <c r="R522" s="313"/>
      <c r="S522" s="313"/>
      <c r="T522" s="317"/>
      <c r="U522" s="433"/>
      <c r="V522" s="288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308"/>
      <c r="AH522" s="220"/>
      <c r="AI522" s="220"/>
      <c r="AJ522" s="220"/>
      <c r="AK522" s="220"/>
      <c r="AL522" s="220"/>
      <c r="AM522" s="220"/>
    </row>
    <row r="523">
      <c r="A523" s="430"/>
      <c r="B523" s="311"/>
      <c r="C523" s="311"/>
      <c r="D523" s="312"/>
      <c r="E523" s="311"/>
      <c r="F523" s="311"/>
      <c r="G523" s="312"/>
      <c r="H523" s="312"/>
      <c r="I523" s="313"/>
      <c r="J523" s="431"/>
      <c r="K523" s="313"/>
      <c r="L523" s="313"/>
      <c r="M523" s="313"/>
      <c r="N523" s="315"/>
      <c r="O523" s="313"/>
      <c r="P523" s="313"/>
      <c r="Q523" s="432"/>
      <c r="R523" s="313"/>
      <c r="S523" s="313"/>
      <c r="T523" s="317"/>
      <c r="U523" s="433"/>
      <c r="V523" s="288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308"/>
      <c r="AH523" s="220"/>
      <c r="AI523" s="220"/>
      <c r="AJ523" s="220"/>
      <c r="AK523" s="220"/>
      <c r="AL523" s="220"/>
      <c r="AM523" s="220"/>
    </row>
    <row r="524">
      <c r="A524" s="430"/>
      <c r="B524" s="311"/>
      <c r="C524" s="311"/>
      <c r="D524" s="312"/>
      <c r="E524" s="311"/>
      <c r="F524" s="311"/>
      <c r="G524" s="312"/>
      <c r="H524" s="312"/>
      <c r="I524" s="313"/>
      <c r="J524" s="431"/>
      <c r="K524" s="313"/>
      <c r="L524" s="313"/>
      <c r="M524" s="313"/>
      <c r="N524" s="315"/>
      <c r="O524" s="313"/>
      <c r="P524" s="313"/>
      <c r="Q524" s="432"/>
      <c r="R524" s="313"/>
      <c r="S524" s="313"/>
      <c r="T524" s="317"/>
      <c r="U524" s="433"/>
      <c r="V524" s="288"/>
      <c r="W524" s="220"/>
      <c r="X524" s="220"/>
      <c r="Y524" s="220"/>
      <c r="Z524" s="220"/>
      <c r="AA524" s="220"/>
      <c r="AB524" s="220"/>
      <c r="AC524" s="220"/>
      <c r="AD524" s="220"/>
      <c r="AE524" s="220"/>
      <c r="AF524" s="220"/>
      <c r="AG524" s="308"/>
      <c r="AH524" s="220"/>
      <c r="AI524" s="220"/>
      <c r="AJ524" s="220"/>
      <c r="AK524" s="220"/>
      <c r="AL524" s="220"/>
      <c r="AM524" s="220"/>
    </row>
    <row r="525">
      <c r="A525" s="430"/>
      <c r="B525" s="311"/>
      <c r="C525" s="311"/>
      <c r="D525" s="312"/>
      <c r="E525" s="311"/>
      <c r="F525" s="311"/>
      <c r="G525" s="312"/>
      <c r="H525" s="312"/>
      <c r="I525" s="313"/>
      <c r="J525" s="431"/>
      <c r="K525" s="313"/>
      <c r="L525" s="313"/>
      <c r="M525" s="313"/>
      <c r="N525" s="315"/>
      <c r="O525" s="313"/>
      <c r="P525" s="313"/>
      <c r="Q525" s="432"/>
      <c r="R525" s="313"/>
      <c r="S525" s="313"/>
      <c r="T525" s="317"/>
      <c r="U525" s="433"/>
      <c r="V525" s="288"/>
      <c r="W525" s="220"/>
      <c r="X525" s="220"/>
      <c r="Y525" s="220"/>
      <c r="Z525" s="220"/>
      <c r="AA525" s="220"/>
      <c r="AB525" s="220"/>
      <c r="AC525" s="220"/>
      <c r="AD525" s="220"/>
      <c r="AE525" s="220"/>
      <c r="AF525" s="220"/>
      <c r="AG525" s="308"/>
      <c r="AH525" s="220"/>
      <c r="AI525" s="220"/>
      <c r="AJ525" s="220"/>
      <c r="AK525" s="220"/>
      <c r="AL525" s="220"/>
      <c r="AM525" s="220"/>
    </row>
    <row r="526">
      <c r="A526" s="430"/>
      <c r="B526" s="311"/>
      <c r="C526" s="311"/>
      <c r="D526" s="312"/>
      <c r="E526" s="311"/>
      <c r="F526" s="311"/>
      <c r="G526" s="312"/>
      <c r="H526" s="312"/>
      <c r="I526" s="313"/>
      <c r="J526" s="431"/>
      <c r="K526" s="313"/>
      <c r="L526" s="313"/>
      <c r="M526" s="313"/>
      <c r="N526" s="315"/>
      <c r="O526" s="313"/>
      <c r="P526" s="313"/>
      <c r="Q526" s="432"/>
      <c r="R526" s="313"/>
      <c r="S526" s="313"/>
      <c r="T526" s="317"/>
      <c r="U526" s="433"/>
      <c r="V526" s="288"/>
      <c r="W526" s="220"/>
      <c r="X526" s="220"/>
      <c r="Y526" s="220"/>
      <c r="Z526" s="220"/>
      <c r="AA526" s="220"/>
      <c r="AB526" s="220"/>
      <c r="AC526" s="220"/>
      <c r="AD526" s="220"/>
      <c r="AE526" s="220"/>
      <c r="AF526" s="220"/>
      <c r="AG526" s="308"/>
      <c r="AH526" s="220"/>
      <c r="AI526" s="220"/>
      <c r="AJ526" s="220"/>
      <c r="AK526" s="220"/>
      <c r="AL526" s="220"/>
      <c r="AM526" s="220"/>
    </row>
    <row r="527">
      <c r="A527" s="430"/>
      <c r="B527" s="311"/>
      <c r="C527" s="311"/>
      <c r="D527" s="312"/>
      <c r="E527" s="311"/>
      <c r="F527" s="311"/>
      <c r="G527" s="312"/>
      <c r="H527" s="312"/>
      <c r="I527" s="313"/>
      <c r="J527" s="431"/>
      <c r="K527" s="313"/>
      <c r="L527" s="313"/>
      <c r="M527" s="313"/>
      <c r="N527" s="315"/>
      <c r="O527" s="313"/>
      <c r="P527" s="313"/>
      <c r="Q527" s="432"/>
      <c r="R527" s="313"/>
      <c r="S527" s="313"/>
      <c r="T527" s="317"/>
      <c r="U527" s="433"/>
      <c r="V527" s="288"/>
      <c r="W527" s="220"/>
      <c r="X527" s="220"/>
      <c r="Y527" s="220"/>
      <c r="Z527" s="220"/>
      <c r="AA527" s="220"/>
      <c r="AB527" s="220"/>
      <c r="AC527" s="220"/>
      <c r="AD527" s="220"/>
      <c r="AE527" s="220"/>
      <c r="AF527" s="220"/>
      <c r="AG527" s="308"/>
      <c r="AH527" s="220"/>
      <c r="AI527" s="220"/>
      <c r="AJ527" s="220"/>
      <c r="AK527" s="220"/>
      <c r="AL527" s="220"/>
      <c r="AM527" s="220"/>
    </row>
    <row r="528">
      <c r="A528" s="430"/>
      <c r="B528" s="311"/>
      <c r="C528" s="311"/>
      <c r="D528" s="312"/>
      <c r="E528" s="311"/>
      <c r="F528" s="311"/>
      <c r="G528" s="312"/>
      <c r="H528" s="312"/>
      <c r="I528" s="313"/>
      <c r="J528" s="431"/>
      <c r="K528" s="313"/>
      <c r="L528" s="313"/>
      <c r="M528" s="313"/>
      <c r="N528" s="315"/>
      <c r="O528" s="313"/>
      <c r="P528" s="313"/>
      <c r="Q528" s="432"/>
      <c r="R528" s="313"/>
      <c r="S528" s="313"/>
      <c r="T528" s="317"/>
      <c r="U528" s="433"/>
      <c r="V528" s="288"/>
      <c r="W528" s="220"/>
      <c r="X528" s="220"/>
      <c r="Y528" s="220"/>
      <c r="Z528" s="220"/>
      <c r="AA528" s="220"/>
      <c r="AB528" s="220"/>
      <c r="AC528" s="220"/>
      <c r="AD528" s="220"/>
      <c r="AE528" s="220"/>
      <c r="AF528" s="220"/>
      <c r="AG528" s="308"/>
      <c r="AH528" s="220"/>
      <c r="AI528" s="220"/>
      <c r="AJ528" s="220"/>
      <c r="AK528" s="220"/>
      <c r="AL528" s="220"/>
      <c r="AM528" s="220"/>
    </row>
    <row r="529">
      <c r="A529" s="430"/>
      <c r="B529" s="311"/>
      <c r="C529" s="311"/>
      <c r="D529" s="312"/>
      <c r="E529" s="311"/>
      <c r="F529" s="311"/>
      <c r="G529" s="312"/>
      <c r="H529" s="312"/>
      <c r="I529" s="313"/>
      <c r="J529" s="431"/>
      <c r="K529" s="313"/>
      <c r="L529" s="313"/>
      <c r="M529" s="313"/>
      <c r="N529" s="315"/>
      <c r="O529" s="313"/>
      <c r="P529" s="313"/>
      <c r="Q529" s="432"/>
      <c r="R529" s="313"/>
      <c r="S529" s="313"/>
      <c r="T529" s="317"/>
      <c r="U529" s="433"/>
      <c r="V529" s="288"/>
      <c r="W529" s="220"/>
      <c r="X529" s="220"/>
      <c r="Y529" s="220"/>
      <c r="Z529" s="220"/>
      <c r="AA529" s="220"/>
      <c r="AB529" s="220"/>
      <c r="AC529" s="220"/>
      <c r="AD529" s="220"/>
      <c r="AE529" s="220"/>
      <c r="AF529" s="220"/>
      <c r="AG529" s="308"/>
      <c r="AH529" s="220"/>
      <c r="AI529" s="220"/>
      <c r="AJ529" s="220"/>
      <c r="AK529" s="220"/>
      <c r="AL529" s="220"/>
      <c r="AM529" s="220"/>
    </row>
    <row r="530">
      <c r="A530" s="430"/>
      <c r="B530" s="311"/>
      <c r="C530" s="311"/>
      <c r="D530" s="312"/>
      <c r="E530" s="311"/>
      <c r="F530" s="311"/>
      <c r="G530" s="312"/>
      <c r="H530" s="312"/>
      <c r="I530" s="313"/>
      <c r="J530" s="431"/>
      <c r="K530" s="313"/>
      <c r="L530" s="313"/>
      <c r="M530" s="313"/>
      <c r="N530" s="315"/>
      <c r="O530" s="313"/>
      <c r="P530" s="313"/>
      <c r="Q530" s="432"/>
      <c r="R530" s="313"/>
      <c r="S530" s="313"/>
      <c r="T530" s="317"/>
      <c r="U530" s="433"/>
      <c r="V530" s="288"/>
      <c r="W530" s="220"/>
      <c r="X530" s="220"/>
      <c r="Y530" s="220"/>
      <c r="Z530" s="220"/>
      <c r="AA530" s="220"/>
      <c r="AB530" s="220"/>
      <c r="AC530" s="220"/>
      <c r="AD530" s="220"/>
      <c r="AE530" s="220"/>
      <c r="AF530" s="220"/>
      <c r="AG530" s="308"/>
      <c r="AH530" s="220"/>
      <c r="AI530" s="220"/>
      <c r="AJ530" s="220"/>
      <c r="AK530" s="220"/>
      <c r="AL530" s="220"/>
      <c r="AM530" s="220"/>
    </row>
    <row r="531">
      <c r="A531" s="430"/>
      <c r="B531" s="311"/>
      <c r="C531" s="311"/>
      <c r="D531" s="312"/>
      <c r="E531" s="311"/>
      <c r="F531" s="311"/>
      <c r="G531" s="312"/>
      <c r="H531" s="312"/>
      <c r="I531" s="313"/>
      <c r="J531" s="431"/>
      <c r="K531" s="313"/>
      <c r="L531" s="313"/>
      <c r="M531" s="313"/>
      <c r="N531" s="315"/>
      <c r="O531" s="313"/>
      <c r="P531" s="313"/>
      <c r="Q531" s="432"/>
      <c r="R531" s="313"/>
      <c r="S531" s="313"/>
      <c r="T531" s="317"/>
      <c r="U531" s="433"/>
      <c r="V531" s="288"/>
      <c r="W531" s="220"/>
      <c r="X531" s="220"/>
      <c r="Y531" s="220"/>
      <c r="Z531" s="220"/>
      <c r="AA531" s="220"/>
      <c r="AB531" s="220"/>
      <c r="AC531" s="220"/>
      <c r="AD531" s="220"/>
      <c r="AE531" s="220"/>
      <c r="AF531" s="220"/>
      <c r="AG531" s="308"/>
      <c r="AH531" s="220"/>
      <c r="AI531" s="220"/>
      <c r="AJ531" s="220"/>
      <c r="AK531" s="220"/>
      <c r="AL531" s="220"/>
      <c r="AM531" s="220"/>
    </row>
    <row r="532">
      <c r="A532" s="430"/>
      <c r="B532" s="311"/>
      <c r="C532" s="311"/>
      <c r="D532" s="312"/>
      <c r="E532" s="311"/>
      <c r="F532" s="311"/>
      <c r="G532" s="312"/>
      <c r="H532" s="312"/>
      <c r="I532" s="313"/>
      <c r="J532" s="431"/>
      <c r="K532" s="313"/>
      <c r="L532" s="313"/>
      <c r="M532" s="313"/>
      <c r="N532" s="315"/>
      <c r="O532" s="313"/>
      <c r="P532" s="313"/>
      <c r="Q532" s="432"/>
      <c r="R532" s="313"/>
      <c r="S532" s="313"/>
      <c r="T532" s="317"/>
      <c r="U532" s="433"/>
      <c r="V532" s="288"/>
      <c r="W532" s="220"/>
      <c r="X532" s="220"/>
      <c r="Y532" s="220"/>
      <c r="Z532" s="220"/>
      <c r="AA532" s="220"/>
      <c r="AB532" s="220"/>
      <c r="AC532" s="220"/>
      <c r="AD532" s="220"/>
      <c r="AE532" s="220"/>
      <c r="AF532" s="220"/>
      <c r="AG532" s="308"/>
      <c r="AH532" s="220"/>
      <c r="AI532" s="220"/>
      <c r="AJ532" s="220"/>
      <c r="AK532" s="220"/>
      <c r="AL532" s="220"/>
      <c r="AM532" s="220"/>
    </row>
    <row r="533">
      <c r="A533" s="430"/>
      <c r="B533" s="311"/>
      <c r="C533" s="311"/>
      <c r="D533" s="312"/>
      <c r="E533" s="311"/>
      <c r="F533" s="311"/>
      <c r="G533" s="312"/>
      <c r="H533" s="312"/>
      <c r="I533" s="313"/>
      <c r="J533" s="431"/>
      <c r="K533" s="313"/>
      <c r="L533" s="313"/>
      <c r="M533" s="313"/>
      <c r="N533" s="315"/>
      <c r="O533" s="313"/>
      <c r="P533" s="313"/>
      <c r="Q533" s="432"/>
      <c r="R533" s="313"/>
      <c r="S533" s="313"/>
      <c r="T533" s="317"/>
      <c r="U533" s="433"/>
      <c r="V533" s="288"/>
      <c r="W533" s="220"/>
      <c r="X533" s="220"/>
      <c r="Y533" s="220"/>
      <c r="Z533" s="220"/>
      <c r="AA533" s="220"/>
      <c r="AB533" s="220"/>
      <c r="AC533" s="220"/>
      <c r="AD533" s="220"/>
      <c r="AE533" s="220"/>
      <c r="AF533" s="220"/>
      <c r="AG533" s="308"/>
      <c r="AH533" s="220"/>
      <c r="AI533" s="220"/>
      <c r="AJ533" s="220"/>
      <c r="AK533" s="220"/>
      <c r="AL533" s="220"/>
      <c r="AM533" s="220"/>
    </row>
    <row r="534">
      <c r="A534" s="430"/>
      <c r="B534" s="311"/>
      <c r="C534" s="311"/>
      <c r="D534" s="312"/>
      <c r="E534" s="311"/>
      <c r="F534" s="311"/>
      <c r="G534" s="312"/>
      <c r="H534" s="312"/>
      <c r="I534" s="313"/>
      <c r="J534" s="431"/>
      <c r="K534" s="313"/>
      <c r="L534" s="313"/>
      <c r="M534" s="313"/>
      <c r="N534" s="315"/>
      <c r="O534" s="313"/>
      <c r="P534" s="313"/>
      <c r="Q534" s="432"/>
      <c r="R534" s="313"/>
      <c r="S534" s="313"/>
      <c r="T534" s="317"/>
      <c r="U534" s="433"/>
      <c r="V534" s="288"/>
      <c r="W534" s="220"/>
      <c r="X534" s="220"/>
      <c r="Y534" s="220"/>
      <c r="Z534" s="220"/>
      <c r="AA534" s="220"/>
      <c r="AB534" s="220"/>
      <c r="AC534" s="220"/>
      <c r="AD534" s="220"/>
      <c r="AE534" s="220"/>
      <c r="AF534" s="220"/>
      <c r="AG534" s="308"/>
      <c r="AH534" s="220"/>
      <c r="AI534" s="220"/>
      <c r="AJ534" s="220"/>
      <c r="AK534" s="220"/>
      <c r="AL534" s="220"/>
      <c r="AM534" s="220"/>
    </row>
    <row r="535">
      <c r="A535" s="430"/>
      <c r="B535" s="311"/>
      <c r="C535" s="311"/>
      <c r="D535" s="312"/>
      <c r="E535" s="311"/>
      <c r="F535" s="311"/>
      <c r="G535" s="312"/>
      <c r="H535" s="312"/>
      <c r="I535" s="313"/>
      <c r="J535" s="431"/>
      <c r="K535" s="313"/>
      <c r="L535" s="313"/>
      <c r="M535" s="313"/>
      <c r="N535" s="315"/>
      <c r="O535" s="313"/>
      <c r="P535" s="313"/>
      <c r="Q535" s="432"/>
      <c r="R535" s="313"/>
      <c r="S535" s="313"/>
      <c r="T535" s="317"/>
      <c r="U535" s="433"/>
      <c r="V535" s="288"/>
      <c r="W535" s="220"/>
      <c r="X535" s="220"/>
      <c r="Y535" s="220"/>
      <c r="Z535" s="220"/>
      <c r="AA535" s="220"/>
      <c r="AB535" s="220"/>
      <c r="AC535" s="220"/>
      <c r="AD535" s="220"/>
      <c r="AE535" s="220"/>
      <c r="AF535" s="220"/>
      <c r="AG535" s="308"/>
      <c r="AH535" s="220"/>
      <c r="AI535" s="220"/>
      <c r="AJ535" s="220"/>
      <c r="AK535" s="220"/>
      <c r="AL535" s="220"/>
      <c r="AM535" s="220"/>
    </row>
    <row r="536">
      <c r="A536" s="430"/>
      <c r="B536" s="311"/>
      <c r="C536" s="311"/>
      <c r="D536" s="312"/>
      <c r="E536" s="311"/>
      <c r="F536" s="311"/>
      <c r="G536" s="312"/>
      <c r="H536" s="312"/>
      <c r="I536" s="313"/>
      <c r="J536" s="431"/>
      <c r="K536" s="313"/>
      <c r="L536" s="313"/>
      <c r="M536" s="313"/>
      <c r="N536" s="315"/>
      <c r="O536" s="313"/>
      <c r="P536" s="313"/>
      <c r="Q536" s="432"/>
      <c r="R536" s="313"/>
      <c r="S536" s="313"/>
      <c r="T536" s="317"/>
      <c r="U536" s="433"/>
      <c r="V536" s="288"/>
      <c r="W536" s="220"/>
      <c r="X536" s="220"/>
      <c r="Y536" s="220"/>
      <c r="Z536" s="220"/>
      <c r="AA536" s="220"/>
      <c r="AB536" s="220"/>
      <c r="AC536" s="220"/>
      <c r="AD536" s="220"/>
      <c r="AE536" s="220"/>
      <c r="AF536" s="220"/>
      <c r="AG536" s="308"/>
      <c r="AH536" s="220"/>
      <c r="AI536" s="220"/>
      <c r="AJ536" s="220"/>
      <c r="AK536" s="220"/>
      <c r="AL536" s="220"/>
      <c r="AM536" s="220"/>
    </row>
    <row r="537">
      <c r="A537" s="430"/>
      <c r="B537" s="311"/>
      <c r="C537" s="311"/>
      <c r="D537" s="312"/>
      <c r="E537" s="311"/>
      <c r="F537" s="311"/>
      <c r="G537" s="312"/>
      <c r="H537" s="312"/>
      <c r="I537" s="313"/>
      <c r="J537" s="431"/>
      <c r="K537" s="313"/>
      <c r="L537" s="313"/>
      <c r="M537" s="313"/>
      <c r="N537" s="315"/>
      <c r="O537" s="313"/>
      <c r="P537" s="313"/>
      <c r="Q537" s="432"/>
      <c r="R537" s="313"/>
      <c r="S537" s="313"/>
      <c r="T537" s="317"/>
      <c r="U537" s="433"/>
      <c r="V537" s="288"/>
      <c r="W537" s="220"/>
      <c r="X537" s="220"/>
      <c r="Y537" s="220"/>
      <c r="Z537" s="220"/>
      <c r="AA537" s="220"/>
      <c r="AB537" s="220"/>
      <c r="AC537" s="220"/>
      <c r="AD537" s="220"/>
      <c r="AE537" s="220"/>
      <c r="AF537" s="220"/>
      <c r="AG537" s="308"/>
      <c r="AH537" s="220"/>
      <c r="AI537" s="220"/>
      <c r="AJ537" s="220"/>
      <c r="AK537" s="220"/>
      <c r="AL537" s="220"/>
      <c r="AM537" s="220"/>
    </row>
    <row r="538">
      <c r="A538" s="430"/>
      <c r="B538" s="311"/>
      <c r="C538" s="311"/>
      <c r="D538" s="312"/>
      <c r="E538" s="311"/>
      <c r="F538" s="311"/>
      <c r="G538" s="312"/>
      <c r="H538" s="312"/>
      <c r="I538" s="313"/>
      <c r="J538" s="431"/>
      <c r="K538" s="313"/>
      <c r="L538" s="313"/>
      <c r="M538" s="313"/>
      <c r="N538" s="315"/>
      <c r="O538" s="313"/>
      <c r="P538" s="313"/>
      <c r="Q538" s="432"/>
      <c r="R538" s="313"/>
      <c r="S538" s="313"/>
      <c r="T538" s="317"/>
      <c r="U538" s="433"/>
      <c r="V538" s="288"/>
      <c r="W538" s="220"/>
      <c r="X538" s="220"/>
      <c r="Y538" s="220"/>
      <c r="Z538" s="220"/>
      <c r="AA538" s="220"/>
      <c r="AB538" s="220"/>
      <c r="AC538" s="220"/>
      <c r="AD538" s="220"/>
      <c r="AE538" s="220"/>
      <c r="AF538" s="220"/>
      <c r="AG538" s="308"/>
      <c r="AH538" s="220"/>
      <c r="AI538" s="220"/>
      <c r="AJ538" s="220"/>
      <c r="AK538" s="220"/>
      <c r="AL538" s="220"/>
      <c r="AM538" s="220"/>
    </row>
    <row r="539">
      <c r="A539" s="430"/>
      <c r="B539" s="311"/>
      <c r="C539" s="311"/>
      <c r="D539" s="312"/>
      <c r="E539" s="311"/>
      <c r="F539" s="311"/>
      <c r="G539" s="312"/>
      <c r="H539" s="312"/>
      <c r="I539" s="313"/>
      <c r="J539" s="431"/>
      <c r="K539" s="313"/>
      <c r="L539" s="313"/>
      <c r="M539" s="313"/>
      <c r="N539" s="315"/>
      <c r="O539" s="313"/>
      <c r="P539" s="313"/>
      <c r="Q539" s="432"/>
      <c r="R539" s="313"/>
      <c r="S539" s="313"/>
      <c r="T539" s="317"/>
      <c r="U539" s="433"/>
      <c r="V539" s="288"/>
      <c r="W539" s="220"/>
      <c r="X539" s="220"/>
      <c r="Y539" s="220"/>
      <c r="Z539" s="220"/>
      <c r="AA539" s="220"/>
      <c r="AB539" s="220"/>
      <c r="AC539" s="220"/>
      <c r="AD539" s="220"/>
      <c r="AE539" s="220"/>
      <c r="AF539" s="220"/>
      <c r="AG539" s="308"/>
      <c r="AH539" s="220"/>
      <c r="AI539" s="220"/>
      <c r="AJ539" s="220"/>
      <c r="AK539" s="220"/>
      <c r="AL539" s="220"/>
      <c r="AM539" s="220"/>
    </row>
    <row r="540">
      <c r="A540" s="430"/>
      <c r="B540" s="311"/>
      <c r="C540" s="311"/>
      <c r="D540" s="312"/>
      <c r="E540" s="311"/>
      <c r="F540" s="311"/>
      <c r="G540" s="312"/>
      <c r="H540" s="312"/>
      <c r="I540" s="313"/>
      <c r="J540" s="431"/>
      <c r="K540" s="313"/>
      <c r="L540" s="313"/>
      <c r="M540" s="313"/>
      <c r="N540" s="315"/>
      <c r="O540" s="313"/>
      <c r="P540" s="313"/>
      <c r="Q540" s="432"/>
      <c r="R540" s="313"/>
      <c r="S540" s="313"/>
      <c r="T540" s="317"/>
      <c r="U540" s="433"/>
      <c r="V540" s="288"/>
      <c r="W540" s="220"/>
      <c r="X540" s="220"/>
      <c r="Y540" s="220"/>
      <c r="Z540" s="220"/>
      <c r="AA540" s="220"/>
      <c r="AB540" s="220"/>
      <c r="AC540" s="220"/>
      <c r="AD540" s="220"/>
      <c r="AE540" s="220"/>
      <c r="AF540" s="220"/>
      <c r="AG540" s="308"/>
      <c r="AH540" s="220"/>
      <c r="AI540" s="220"/>
      <c r="AJ540" s="220"/>
      <c r="AK540" s="220"/>
      <c r="AL540" s="220"/>
      <c r="AM540" s="220"/>
    </row>
    <row r="541">
      <c r="A541" s="430"/>
      <c r="B541" s="311"/>
      <c r="C541" s="311"/>
      <c r="D541" s="312"/>
      <c r="E541" s="311"/>
      <c r="F541" s="311"/>
      <c r="G541" s="312"/>
      <c r="H541" s="312"/>
      <c r="I541" s="313"/>
      <c r="J541" s="431"/>
      <c r="K541" s="313"/>
      <c r="L541" s="313"/>
      <c r="M541" s="313"/>
      <c r="N541" s="315"/>
      <c r="O541" s="313"/>
      <c r="P541" s="313"/>
      <c r="Q541" s="432"/>
      <c r="R541" s="313"/>
      <c r="S541" s="313"/>
      <c r="T541" s="317"/>
      <c r="U541" s="433"/>
      <c r="V541" s="288"/>
      <c r="W541" s="220"/>
      <c r="X541" s="220"/>
      <c r="Y541" s="220"/>
      <c r="Z541" s="220"/>
      <c r="AA541" s="220"/>
      <c r="AB541" s="220"/>
      <c r="AC541" s="220"/>
      <c r="AD541" s="220"/>
      <c r="AE541" s="220"/>
      <c r="AF541" s="220"/>
      <c r="AG541" s="308"/>
      <c r="AH541" s="220"/>
      <c r="AI541" s="220"/>
      <c r="AJ541" s="220"/>
      <c r="AK541" s="220"/>
      <c r="AL541" s="220"/>
      <c r="AM541" s="220"/>
    </row>
    <row r="542">
      <c r="A542" s="430"/>
      <c r="B542" s="311"/>
      <c r="C542" s="311"/>
      <c r="D542" s="312"/>
      <c r="E542" s="311"/>
      <c r="F542" s="311"/>
      <c r="G542" s="312"/>
      <c r="H542" s="312"/>
      <c r="I542" s="313"/>
      <c r="J542" s="431"/>
      <c r="K542" s="313"/>
      <c r="L542" s="313"/>
      <c r="M542" s="313"/>
      <c r="N542" s="315"/>
      <c r="O542" s="313"/>
      <c r="P542" s="313"/>
      <c r="Q542" s="432"/>
      <c r="R542" s="313"/>
      <c r="S542" s="313"/>
      <c r="T542" s="317"/>
      <c r="U542" s="433"/>
      <c r="V542" s="288"/>
      <c r="W542" s="220"/>
      <c r="X542" s="220"/>
      <c r="Y542" s="220"/>
      <c r="Z542" s="220"/>
      <c r="AA542" s="220"/>
      <c r="AB542" s="220"/>
      <c r="AC542" s="220"/>
      <c r="AD542" s="220"/>
      <c r="AE542" s="220"/>
      <c r="AF542" s="220"/>
      <c r="AG542" s="308"/>
      <c r="AH542" s="220"/>
      <c r="AI542" s="220"/>
      <c r="AJ542" s="220"/>
      <c r="AK542" s="220"/>
      <c r="AL542" s="220"/>
      <c r="AM542" s="220"/>
    </row>
    <row r="543">
      <c r="A543" s="430"/>
      <c r="B543" s="311"/>
      <c r="C543" s="311"/>
      <c r="D543" s="312"/>
      <c r="E543" s="311"/>
      <c r="F543" s="311"/>
      <c r="G543" s="312"/>
      <c r="H543" s="312"/>
      <c r="I543" s="313"/>
      <c r="J543" s="431"/>
      <c r="K543" s="313"/>
      <c r="L543" s="313"/>
      <c r="M543" s="313"/>
      <c r="N543" s="315"/>
      <c r="O543" s="313"/>
      <c r="P543" s="313"/>
      <c r="Q543" s="432"/>
      <c r="R543" s="313"/>
      <c r="S543" s="313"/>
      <c r="T543" s="317"/>
      <c r="U543" s="433"/>
      <c r="V543" s="288"/>
      <c r="W543" s="220"/>
      <c r="X543" s="220"/>
      <c r="Y543" s="220"/>
      <c r="Z543" s="220"/>
      <c r="AA543" s="220"/>
      <c r="AB543" s="220"/>
      <c r="AC543" s="220"/>
      <c r="AD543" s="220"/>
      <c r="AE543" s="220"/>
      <c r="AF543" s="220"/>
      <c r="AG543" s="308"/>
      <c r="AH543" s="220"/>
      <c r="AI543" s="220"/>
      <c r="AJ543" s="220"/>
      <c r="AK543" s="220"/>
      <c r="AL543" s="220"/>
      <c r="AM543" s="220"/>
    </row>
    <row r="544">
      <c r="A544" s="430"/>
      <c r="B544" s="311"/>
      <c r="C544" s="311"/>
      <c r="D544" s="312"/>
      <c r="E544" s="311"/>
      <c r="F544" s="311"/>
      <c r="G544" s="312"/>
      <c r="H544" s="312"/>
      <c r="I544" s="313"/>
      <c r="J544" s="431"/>
      <c r="K544" s="313"/>
      <c r="L544" s="313"/>
      <c r="M544" s="313"/>
      <c r="N544" s="315"/>
      <c r="O544" s="313"/>
      <c r="P544" s="313"/>
      <c r="Q544" s="432"/>
      <c r="R544" s="313"/>
      <c r="S544" s="313"/>
      <c r="T544" s="317"/>
      <c r="U544" s="433"/>
      <c r="V544" s="288"/>
      <c r="W544" s="220"/>
      <c r="X544" s="220"/>
      <c r="Y544" s="220"/>
      <c r="Z544" s="220"/>
      <c r="AA544" s="220"/>
      <c r="AB544" s="220"/>
      <c r="AC544" s="220"/>
      <c r="AD544" s="220"/>
      <c r="AE544" s="220"/>
      <c r="AF544" s="220"/>
      <c r="AG544" s="308"/>
      <c r="AH544" s="220"/>
      <c r="AI544" s="220"/>
      <c r="AJ544" s="220"/>
      <c r="AK544" s="220"/>
      <c r="AL544" s="220"/>
      <c r="AM544" s="220"/>
    </row>
    <row r="545">
      <c r="A545" s="430"/>
      <c r="B545" s="311"/>
      <c r="C545" s="311"/>
      <c r="D545" s="312"/>
      <c r="E545" s="311"/>
      <c r="F545" s="311"/>
      <c r="G545" s="312"/>
      <c r="H545" s="312"/>
      <c r="I545" s="313"/>
      <c r="J545" s="431"/>
      <c r="K545" s="313"/>
      <c r="L545" s="313"/>
      <c r="M545" s="313"/>
      <c r="N545" s="315"/>
      <c r="O545" s="313"/>
      <c r="P545" s="313"/>
      <c r="Q545" s="432"/>
      <c r="R545" s="313"/>
      <c r="S545" s="313"/>
      <c r="T545" s="317"/>
      <c r="U545" s="433"/>
      <c r="V545" s="288"/>
      <c r="W545" s="220"/>
      <c r="X545" s="220"/>
      <c r="Y545" s="220"/>
      <c r="Z545" s="220"/>
      <c r="AA545" s="220"/>
      <c r="AB545" s="220"/>
      <c r="AC545" s="220"/>
      <c r="AD545" s="220"/>
      <c r="AE545" s="220"/>
      <c r="AF545" s="220"/>
      <c r="AG545" s="308"/>
      <c r="AH545" s="220"/>
      <c r="AI545" s="220"/>
      <c r="AJ545" s="220"/>
      <c r="AK545" s="220"/>
      <c r="AL545" s="220"/>
      <c r="AM545" s="220"/>
    </row>
    <row r="546">
      <c r="A546" s="430"/>
      <c r="B546" s="311"/>
      <c r="C546" s="311"/>
      <c r="D546" s="312"/>
      <c r="E546" s="311"/>
      <c r="F546" s="311"/>
      <c r="G546" s="312"/>
      <c r="H546" s="312"/>
      <c r="I546" s="313"/>
      <c r="J546" s="431"/>
      <c r="K546" s="313"/>
      <c r="L546" s="313"/>
      <c r="M546" s="313"/>
      <c r="N546" s="315"/>
      <c r="O546" s="313"/>
      <c r="P546" s="313"/>
      <c r="Q546" s="432"/>
      <c r="R546" s="313"/>
      <c r="S546" s="313"/>
      <c r="T546" s="317"/>
      <c r="U546" s="433"/>
      <c r="V546" s="288"/>
      <c r="W546" s="220"/>
      <c r="X546" s="220"/>
      <c r="Y546" s="220"/>
      <c r="Z546" s="220"/>
      <c r="AA546" s="220"/>
      <c r="AB546" s="220"/>
      <c r="AC546" s="220"/>
      <c r="AD546" s="220"/>
      <c r="AE546" s="220"/>
      <c r="AF546" s="220"/>
      <c r="AG546" s="308"/>
      <c r="AH546" s="220"/>
      <c r="AI546" s="220"/>
      <c r="AJ546" s="220"/>
      <c r="AK546" s="220"/>
      <c r="AL546" s="220"/>
      <c r="AM546" s="220"/>
    </row>
    <row r="547">
      <c r="A547" s="430"/>
      <c r="B547" s="311"/>
      <c r="C547" s="311"/>
      <c r="D547" s="312"/>
      <c r="E547" s="311"/>
      <c r="F547" s="311"/>
      <c r="G547" s="312"/>
      <c r="H547" s="312"/>
      <c r="I547" s="313"/>
      <c r="J547" s="431"/>
      <c r="K547" s="313"/>
      <c r="L547" s="313"/>
      <c r="M547" s="313"/>
      <c r="N547" s="315"/>
      <c r="O547" s="313"/>
      <c r="P547" s="313"/>
      <c r="Q547" s="432"/>
      <c r="R547" s="313"/>
      <c r="S547" s="313"/>
      <c r="T547" s="317"/>
      <c r="U547" s="433"/>
      <c r="V547" s="288"/>
      <c r="W547" s="220"/>
      <c r="X547" s="220"/>
      <c r="Y547" s="220"/>
      <c r="Z547" s="220"/>
      <c r="AA547" s="220"/>
      <c r="AB547" s="220"/>
      <c r="AC547" s="220"/>
      <c r="AD547" s="220"/>
      <c r="AE547" s="220"/>
      <c r="AF547" s="220"/>
      <c r="AG547" s="308"/>
      <c r="AH547" s="220"/>
      <c r="AI547" s="220"/>
      <c r="AJ547" s="220"/>
      <c r="AK547" s="220"/>
      <c r="AL547" s="220"/>
      <c r="AM547" s="220"/>
    </row>
    <row r="548">
      <c r="A548" s="430"/>
      <c r="B548" s="311"/>
      <c r="C548" s="311"/>
      <c r="D548" s="312"/>
      <c r="E548" s="311"/>
      <c r="F548" s="311"/>
      <c r="G548" s="312"/>
      <c r="H548" s="312"/>
      <c r="I548" s="313"/>
      <c r="J548" s="431"/>
      <c r="K548" s="313"/>
      <c r="L548" s="313"/>
      <c r="M548" s="313"/>
      <c r="N548" s="315"/>
      <c r="O548" s="313"/>
      <c r="P548" s="313"/>
      <c r="Q548" s="432"/>
      <c r="R548" s="313"/>
      <c r="S548" s="313"/>
      <c r="T548" s="317"/>
      <c r="U548" s="433"/>
      <c r="V548" s="288"/>
      <c r="W548" s="220"/>
      <c r="X548" s="220"/>
      <c r="Y548" s="220"/>
      <c r="Z548" s="220"/>
      <c r="AA548" s="220"/>
      <c r="AB548" s="220"/>
      <c r="AC548" s="220"/>
      <c r="AD548" s="220"/>
      <c r="AE548" s="220"/>
      <c r="AF548" s="220"/>
      <c r="AG548" s="308"/>
      <c r="AH548" s="220"/>
      <c r="AI548" s="220"/>
      <c r="AJ548" s="220"/>
      <c r="AK548" s="220"/>
      <c r="AL548" s="220"/>
      <c r="AM548" s="220"/>
    </row>
    <row r="549">
      <c r="A549" s="430"/>
      <c r="B549" s="311"/>
      <c r="C549" s="311"/>
      <c r="D549" s="312"/>
      <c r="E549" s="311"/>
      <c r="F549" s="311"/>
      <c r="G549" s="312"/>
      <c r="H549" s="312"/>
      <c r="I549" s="313"/>
      <c r="J549" s="431"/>
      <c r="K549" s="313"/>
      <c r="L549" s="313"/>
      <c r="M549" s="313"/>
      <c r="N549" s="315"/>
      <c r="O549" s="313"/>
      <c r="P549" s="313"/>
      <c r="Q549" s="432"/>
      <c r="R549" s="313"/>
      <c r="S549" s="313"/>
      <c r="T549" s="317"/>
      <c r="U549" s="433"/>
      <c r="V549" s="288"/>
      <c r="W549" s="220"/>
      <c r="X549" s="220"/>
      <c r="Y549" s="220"/>
      <c r="Z549" s="220"/>
      <c r="AA549" s="220"/>
      <c r="AB549" s="220"/>
      <c r="AC549" s="220"/>
      <c r="AD549" s="220"/>
      <c r="AE549" s="220"/>
      <c r="AF549" s="220"/>
      <c r="AG549" s="308"/>
      <c r="AH549" s="220"/>
      <c r="AI549" s="220"/>
      <c r="AJ549" s="220"/>
      <c r="AK549" s="220"/>
      <c r="AL549" s="220"/>
      <c r="AM549" s="220"/>
    </row>
    <row r="550">
      <c r="A550" s="430"/>
      <c r="B550" s="311"/>
      <c r="C550" s="311"/>
      <c r="D550" s="312"/>
      <c r="E550" s="311"/>
      <c r="F550" s="311"/>
      <c r="G550" s="312"/>
      <c r="H550" s="312"/>
      <c r="I550" s="313"/>
      <c r="J550" s="431"/>
      <c r="K550" s="313"/>
      <c r="L550" s="313"/>
      <c r="M550" s="313"/>
      <c r="N550" s="315"/>
      <c r="O550" s="313"/>
      <c r="P550" s="313"/>
      <c r="Q550" s="432"/>
      <c r="R550" s="313"/>
      <c r="S550" s="313"/>
      <c r="T550" s="317"/>
      <c r="U550" s="433"/>
      <c r="V550" s="288"/>
      <c r="W550" s="220"/>
      <c r="X550" s="220"/>
      <c r="Y550" s="220"/>
      <c r="Z550" s="220"/>
      <c r="AA550" s="220"/>
      <c r="AB550" s="220"/>
      <c r="AC550" s="220"/>
      <c r="AD550" s="220"/>
      <c r="AE550" s="220"/>
      <c r="AF550" s="220"/>
      <c r="AG550" s="308"/>
      <c r="AH550" s="220"/>
      <c r="AI550" s="220"/>
      <c r="AJ550" s="220"/>
      <c r="AK550" s="220"/>
      <c r="AL550" s="220"/>
      <c r="AM550" s="220"/>
    </row>
    <row r="551">
      <c r="A551" s="430"/>
      <c r="B551" s="311"/>
      <c r="C551" s="311"/>
      <c r="D551" s="312"/>
      <c r="E551" s="311"/>
      <c r="F551" s="311"/>
      <c r="G551" s="312"/>
      <c r="H551" s="312"/>
      <c r="I551" s="313"/>
      <c r="J551" s="431"/>
      <c r="K551" s="313"/>
      <c r="L551" s="313"/>
      <c r="M551" s="313"/>
      <c r="N551" s="315"/>
      <c r="O551" s="313"/>
      <c r="P551" s="313"/>
      <c r="Q551" s="432"/>
      <c r="R551" s="313"/>
      <c r="S551" s="313"/>
      <c r="T551" s="317"/>
      <c r="U551" s="433"/>
      <c r="V551" s="288"/>
      <c r="W551" s="220"/>
      <c r="X551" s="220"/>
      <c r="Y551" s="220"/>
      <c r="Z551" s="220"/>
      <c r="AA551" s="220"/>
      <c r="AB551" s="220"/>
      <c r="AC551" s="220"/>
      <c r="AD551" s="220"/>
      <c r="AE551" s="220"/>
      <c r="AF551" s="220"/>
      <c r="AG551" s="308"/>
      <c r="AH551" s="220"/>
      <c r="AI551" s="220"/>
      <c r="AJ551" s="220"/>
      <c r="AK551" s="220"/>
      <c r="AL551" s="220"/>
      <c r="AM551" s="220"/>
    </row>
    <row r="552">
      <c r="A552" s="430"/>
      <c r="B552" s="311"/>
      <c r="C552" s="311"/>
      <c r="D552" s="312"/>
      <c r="E552" s="311"/>
      <c r="F552" s="311"/>
      <c r="G552" s="312"/>
      <c r="H552" s="312"/>
      <c r="I552" s="313"/>
      <c r="J552" s="431"/>
      <c r="K552" s="313"/>
      <c r="L552" s="313"/>
      <c r="M552" s="313"/>
      <c r="N552" s="315"/>
      <c r="O552" s="313"/>
      <c r="P552" s="313"/>
      <c r="Q552" s="432"/>
      <c r="R552" s="313"/>
      <c r="S552" s="313"/>
      <c r="T552" s="317"/>
      <c r="U552" s="433"/>
      <c r="V552" s="288"/>
      <c r="W552" s="220"/>
      <c r="X552" s="220"/>
      <c r="Y552" s="220"/>
      <c r="Z552" s="220"/>
      <c r="AA552" s="220"/>
      <c r="AB552" s="220"/>
      <c r="AC552" s="220"/>
      <c r="AD552" s="220"/>
      <c r="AE552" s="220"/>
      <c r="AF552" s="220"/>
      <c r="AG552" s="308"/>
      <c r="AH552" s="220"/>
      <c r="AI552" s="220"/>
      <c r="AJ552" s="220"/>
      <c r="AK552" s="220"/>
      <c r="AL552" s="220"/>
      <c r="AM552" s="220"/>
    </row>
    <row r="553">
      <c r="A553" s="430"/>
      <c r="B553" s="311"/>
      <c r="C553" s="311"/>
      <c r="D553" s="312"/>
      <c r="E553" s="311"/>
      <c r="F553" s="311"/>
      <c r="G553" s="312"/>
      <c r="H553" s="312"/>
      <c r="I553" s="313"/>
      <c r="J553" s="431"/>
      <c r="K553" s="313"/>
      <c r="L553" s="313"/>
      <c r="M553" s="313"/>
      <c r="N553" s="315"/>
      <c r="O553" s="313"/>
      <c r="P553" s="313"/>
      <c r="Q553" s="432"/>
      <c r="R553" s="313"/>
      <c r="S553" s="313"/>
      <c r="T553" s="317"/>
      <c r="U553" s="433"/>
      <c r="V553" s="288"/>
      <c r="W553" s="220"/>
      <c r="X553" s="220"/>
      <c r="Y553" s="220"/>
      <c r="Z553" s="220"/>
      <c r="AA553" s="220"/>
      <c r="AB553" s="220"/>
      <c r="AC553" s="220"/>
      <c r="AD553" s="220"/>
      <c r="AE553" s="220"/>
      <c r="AF553" s="220"/>
      <c r="AG553" s="308"/>
      <c r="AH553" s="220"/>
      <c r="AI553" s="220"/>
      <c r="AJ553" s="220"/>
      <c r="AK553" s="220"/>
      <c r="AL553" s="220"/>
      <c r="AM553" s="220"/>
    </row>
    <row r="554">
      <c r="A554" s="430"/>
      <c r="B554" s="311"/>
      <c r="C554" s="311"/>
      <c r="D554" s="312"/>
      <c r="E554" s="311"/>
      <c r="F554" s="311"/>
      <c r="G554" s="312"/>
      <c r="H554" s="312"/>
      <c r="I554" s="313"/>
      <c r="J554" s="431"/>
      <c r="K554" s="313"/>
      <c r="L554" s="313"/>
      <c r="M554" s="313"/>
      <c r="N554" s="315"/>
      <c r="O554" s="313"/>
      <c r="P554" s="313"/>
      <c r="Q554" s="432"/>
      <c r="R554" s="313"/>
      <c r="S554" s="313"/>
      <c r="T554" s="317"/>
      <c r="U554" s="433"/>
      <c r="V554" s="288"/>
      <c r="W554" s="220"/>
      <c r="X554" s="220"/>
      <c r="Y554" s="220"/>
      <c r="Z554" s="220"/>
      <c r="AA554" s="220"/>
      <c r="AB554" s="220"/>
      <c r="AC554" s="220"/>
      <c r="AD554" s="220"/>
      <c r="AE554" s="220"/>
      <c r="AF554" s="220"/>
      <c r="AG554" s="308"/>
      <c r="AH554" s="220"/>
      <c r="AI554" s="220"/>
      <c r="AJ554" s="220"/>
      <c r="AK554" s="220"/>
      <c r="AL554" s="220"/>
      <c r="AM554" s="220"/>
    </row>
    <row r="555">
      <c r="A555" s="430"/>
      <c r="B555" s="311"/>
      <c r="C555" s="311"/>
      <c r="D555" s="312"/>
      <c r="E555" s="311"/>
      <c r="F555" s="311"/>
      <c r="G555" s="312"/>
      <c r="H555" s="312"/>
      <c r="I555" s="313"/>
      <c r="J555" s="431"/>
      <c r="K555" s="313"/>
      <c r="L555" s="313"/>
      <c r="M555" s="313"/>
      <c r="N555" s="315"/>
      <c r="O555" s="313"/>
      <c r="P555" s="313"/>
      <c r="Q555" s="432"/>
      <c r="R555" s="313"/>
      <c r="S555" s="313"/>
      <c r="T555" s="317"/>
      <c r="U555" s="433"/>
      <c r="V555" s="288"/>
      <c r="W555" s="220"/>
      <c r="X555" s="220"/>
      <c r="Y555" s="220"/>
      <c r="Z555" s="220"/>
      <c r="AA555" s="220"/>
      <c r="AB555" s="220"/>
      <c r="AC555" s="220"/>
      <c r="AD555" s="220"/>
      <c r="AE555" s="220"/>
      <c r="AF555" s="220"/>
      <c r="AG555" s="308"/>
      <c r="AH555" s="220"/>
      <c r="AI555" s="220"/>
      <c r="AJ555" s="220"/>
      <c r="AK555" s="220"/>
      <c r="AL555" s="220"/>
      <c r="AM555" s="220"/>
    </row>
    <row r="556">
      <c r="A556" s="430"/>
      <c r="B556" s="311"/>
      <c r="C556" s="311"/>
      <c r="D556" s="312"/>
      <c r="E556" s="311"/>
      <c r="F556" s="311"/>
      <c r="G556" s="312"/>
      <c r="H556" s="312"/>
      <c r="I556" s="313"/>
      <c r="J556" s="431"/>
      <c r="K556" s="313"/>
      <c r="L556" s="313"/>
      <c r="M556" s="313"/>
      <c r="N556" s="315"/>
      <c r="O556" s="313"/>
      <c r="P556" s="313"/>
      <c r="Q556" s="432"/>
      <c r="R556" s="313"/>
      <c r="S556" s="313"/>
      <c r="T556" s="317"/>
      <c r="U556" s="433"/>
      <c r="V556" s="288"/>
      <c r="W556" s="220"/>
      <c r="X556" s="220"/>
      <c r="Y556" s="220"/>
      <c r="Z556" s="220"/>
      <c r="AA556" s="220"/>
      <c r="AB556" s="220"/>
      <c r="AC556" s="220"/>
      <c r="AD556" s="220"/>
      <c r="AE556" s="220"/>
      <c r="AF556" s="220"/>
      <c r="AG556" s="308"/>
      <c r="AH556" s="220"/>
      <c r="AI556" s="220"/>
      <c r="AJ556" s="220"/>
      <c r="AK556" s="220"/>
      <c r="AL556" s="220"/>
      <c r="AM556" s="220"/>
    </row>
    <row r="557">
      <c r="A557" s="430"/>
      <c r="B557" s="311"/>
      <c r="C557" s="311"/>
      <c r="D557" s="312"/>
      <c r="E557" s="311"/>
      <c r="F557" s="311"/>
      <c r="G557" s="312"/>
      <c r="H557" s="312"/>
      <c r="I557" s="313"/>
      <c r="J557" s="431"/>
      <c r="K557" s="313"/>
      <c r="L557" s="313"/>
      <c r="M557" s="313"/>
      <c r="N557" s="315"/>
      <c r="O557" s="313"/>
      <c r="P557" s="313"/>
      <c r="Q557" s="432"/>
      <c r="R557" s="313"/>
      <c r="S557" s="313"/>
      <c r="T557" s="317"/>
      <c r="U557" s="433"/>
      <c r="V557" s="288"/>
      <c r="W557" s="220"/>
      <c r="X557" s="220"/>
      <c r="Y557" s="220"/>
      <c r="Z557" s="220"/>
      <c r="AA557" s="220"/>
      <c r="AB557" s="220"/>
      <c r="AC557" s="220"/>
      <c r="AD557" s="220"/>
      <c r="AE557" s="220"/>
      <c r="AF557" s="220"/>
      <c r="AG557" s="308"/>
      <c r="AH557" s="220"/>
      <c r="AI557" s="220"/>
      <c r="AJ557" s="220"/>
      <c r="AK557" s="220"/>
      <c r="AL557" s="220"/>
      <c r="AM557" s="220"/>
    </row>
    <row r="558">
      <c r="A558" s="430"/>
      <c r="B558" s="311"/>
      <c r="C558" s="311"/>
      <c r="D558" s="312"/>
      <c r="E558" s="311"/>
      <c r="F558" s="311"/>
      <c r="G558" s="312"/>
      <c r="H558" s="312"/>
      <c r="I558" s="313"/>
      <c r="J558" s="431"/>
      <c r="K558" s="313"/>
      <c r="L558" s="313"/>
      <c r="M558" s="313"/>
      <c r="N558" s="315"/>
      <c r="O558" s="313"/>
      <c r="P558" s="313"/>
      <c r="Q558" s="432"/>
      <c r="R558" s="313"/>
      <c r="S558" s="313"/>
      <c r="T558" s="317"/>
      <c r="U558" s="433"/>
      <c r="V558" s="288"/>
      <c r="W558" s="220"/>
      <c r="X558" s="220"/>
      <c r="Y558" s="220"/>
      <c r="Z558" s="220"/>
      <c r="AA558" s="220"/>
      <c r="AB558" s="220"/>
      <c r="AC558" s="220"/>
      <c r="AD558" s="220"/>
      <c r="AE558" s="220"/>
      <c r="AF558" s="220"/>
      <c r="AG558" s="308"/>
      <c r="AH558" s="220"/>
      <c r="AI558" s="220"/>
      <c r="AJ558" s="220"/>
      <c r="AK558" s="220"/>
      <c r="AL558" s="220"/>
      <c r="AM558" s="220"/>
    </row>
    <row r="559">
      <c r="A559" s="430"/>
      <c r="B559" s="311"/>
      <c r="C559" s="311"/>
      <c r="D559" s="312"/>
      <c r="E559" s="311"/>
      <c r="F559" s="311"/>
      <c r="G559" s="312"/>
      <c r="H559" s="312"/>
      <c r="I559" s="313"/>
      <c r="J559" s="431"/>
      <c r="K559" s="313"/>
      <c r="L559" s="313"/>
      <c r="M559" s="313"/>
      <c r="N559" s="315"/>
      <c r="O559" s="313"/>
      <c r="P559" s="313"/>
      <c r="Q559" s="432"/>
      <c r="R559" s="313"/>
      <c r="S559" s="313"/>
      <c r="T559" s="317"/>
      <c r="U559" s="433"/>
      <c r="V559" s="288"/>
      <c r="W559" s="220"/>
      <c r="X559" s="220"/>
      <c r="Y559" s="220"/>
      <c r="Z559" s="220"/>
      <c r="AA559" s="220"/>
      <c r="AB559" s="220"/>
      <c r="AC559" s="220"/>
      <c r="AD559" s="220"/>
      <c r="AE559" s="220"/>
      <c r="AF559" s="220"/>
      <c r="AG559" s="308"/>
      <c r="AH559" s="220"/>
      <c r="AI559" s="220"/>
      <c r="AJ559" s="220"/>
      <c r="AK559" s="220"/>
      <c r="AL559" s="220"/>
      <c r="AM559" s="220"/>
    </row>
    <row r="560">
      <c r="A560" s="430"/>
      <c r="B560" s="311"/>
      <c r="C560" s="311"/>
      <c r="D560" s="312"/>
      <c r="E560" s="311"/>
      <c r="F560" s="311"/>
      <c r="G560" s="312"/>
      <c r="H560" s="312"/>
      <c r="I560" s="313"/>
      <c r="J560" s="431"/>
      <c r="K560" s="313"/>
      <c r="L560" s="313"/>
      <c r="M560" s="313"/>
      <c r="N560" s="315"/>
      <c r="O560" s="313"/>
      <c r="P560" s="313"/>
      <c r="Q560" s="432"/>
      <c r="R560" s="313"/>
      <c r="S560" s="313"/>
      <c r="T560" s="317"/>
      <c r="U560" s="433"/>
      <c r="V560" s="288"/>
      <c r="W560" s="220"/>
      <c r="X560" s="220"/>
      <c r="Y560" s="220"/>
      <c r="Z560" s="220"/>
      <c r="AA560" s="220"/>
      <c r="AB560" s="220"/>
      <c r="AC560" s="220"/>
      <c r="AD560" s="220"/>
      <c r="AE560" s="220"/>
      <c r="AF560" s="220"/>
      <c r="AG560" s="308"/>
      <c r="AH560" s="220"/>
      <c r="AI560" s="220"/>
      <c r="AJ560" s="220"/>
      <c r="AK560" s="220"/>
      <c r="AL560" s="220"/>
      <c r="AM560" s="220"/>
    </row>
    <row r="561">
      <c r="A561" s="430"/>
      <c r="B561" s="311"/>
      <c r="C561" s="311"/>
      <c r="D561" s="312"/>
      <c r="E561" s="311"/>
      <c r="F561" s="311"/>
      <c r="G561" s="312"/>
      <c r="H561" s="312"/>
      <c r="I561" s="313"/>
      <c r="J561" s="431"/>
      <c r="K561" s="313"/>
      <c r="L561" s="313"/>
      <c r="M561" s="313"/>
      <c r="N561" s="315"/>
      <c r="O561" s="313"/>
      <c r="P561" s="313"/>
      <c r="Q561" s="432"/>
      <c r="R561" s="313"/>
      <c r="S561" s="313"/>
      <c r="T561" s="317"/>
      <c r="U561" s="433"/>
      <c r="V561" s="288"/>
      <c r="W561" s="220"/>
      <c r="X561" s="220"/>
      <c r="Y561" s="220"/>
      <c r="Z561" s="220"/>
      <c r="AA561" s="220"/>
      <c r="AB561" s="220"/>
      <c r="AC561" s="220"/>
      <c r="AD561" s="220"/>
      <c r="AE561" s="220"/>
      <c r="AF561" s="220"/>
      <c r="AG561" s="308"/>
      <c r="AH561" s="220"/>
      <c r="AI561" s="220"/>
      <c r="AJ561" s="220"/>
      <c r="AK561" s="220"/>
      <c r="AL561" s="220"/>
      <c r="AM561" s="220"/>
    </row>
    <row r="562">
      <c r="A562" s="430"/>
      <c r="B562" s="311"/>
      <c r="C562" s="311"/>
      <c r="D562" s="312"/>
      <c r="E562" s="311"/>
      <c r="F562" s="311"/>
      <c r="G562" s="312"/>
      <c r="H562" s="312"/>
      <c r="I562" s="313"/>
      <c r="J562" s="431"/>
      <c r="K562" s="313"/>
      <c r="L562" s="313"/>
      <c r="M562" s="313"/>
      <c r="N562" s="315"/>
      <c r="O562" s="313"/>
      <c r="P562" s="313"/>
      <c r="Q562" s="432"/>
      <c r="R562" s="313"/>
      <c r="S562" s="313"/>
      <c r="T562" s="317"/>
      <c r="U562" s="433"/>
      <c r="V562" s="288"/>
      <c r="W562" s="220"/>
      <c r="X562" s="220"/>
      <c r="Y562" s="220"/>
      <c r="Z562" s="220"/>
      <c r="AA562" s="220"/>
      <c r="AB562" s="220"/>
      <c r="AC562" s="220"/>
      <c r="AD562" s="220"/>
      <c r="AE562" s="220"/>
      <c r="AF562" s="220"/>
      <c r="AG562" s="308"/>
      <c r="AH562" s="220"/>
      <c r="AI562" s="220"/>
      <c r="AJ562" s="220"/>
      <c r="AK562" s="220"/>
      <c r="AL562" s="220"/>
      <c r="AM562" s="220"/>
    </row>
    <row r="563">
      <c r="A563" s="430"/>
      <c r="B563" s="311"/>
      <c r="C563" s="311"/>
      <c r="D563" s="312"/>
      <c r="E563" s="311"/>
      <c r="F563" s="311"/>
      <c r="G563" s="312"/>
      <c r="H563" s="312"/>
      <c r="I563" s="313"/>
      <c r="J563" s="431"/>
      <c r="K563" s="313"/>
      <c r="L563" s="313"/>
      <c r="M563" s="313"/>
      <c r="N563" s="315"/>
      <c r="O563" s="313"/>
      <c r="P563" s="313"/>
      <c r="Q563" s="432"/>
      <c r="R563" s="313"/>
      <c r="S563" s="313"/>
      <c r="T563" s="317"/>
      <c r="U563" s="433"/>
      <c r="V563" s="288"/>
      <c r="W563" s="220"/>
      <c r="X563" s="220"/>
      <c r="Y563" s="220"/>
      <c r="Z563" s="220"/>
      <c r="AA563" s="220"/>
      <c r="AB563" s="220"/>
      <c r="AC563" s="220"/>
      <c r="AD563" s="220"/>
      <c r="AE563" s="220"/>
      <c r="AF563" s="220"/>
      <c r="AG563" s="308"/>
      <c r="AH563" s="220"/>
      <c r="AI563" s="220"/>
      <c r="AJ563" s="220"/>
      <c r="AK563" s="220"/>
      <c r="AL563" s="220"/>
      <c r="AM563" s="220"/>
    </row>
    <row r="564">
      <c r="A564" s="430"/>
      <c r="B564" s="311"/>
      <c r="C564" s="311"/>
      <c r="D564" s="312"/>
      <c r="E564" s="311"/>
      <c r="F564" s="311"/>
      <c r="G564" s="312"/>
      <c r="H564" s="312"/>
      <c r="I564" s="313"/>
      <c r="J564" s="431"/>
      <c r="K564" s="313"/>
      <c r="L564" s="313"/>
      <c r="M564" s="313"/>
      <c r="N564" s="315"/>
      <c r="O564" s="313"/>
      <c r="P564" s="313"/>
      <c r="Q564" s="432"/>
      <c r="R564" s="313"/>
      <c r="S564" s="313"/>
      <c r="T564" s="317"/>
      <c r="U564" s="433"/>
      <c r="V564" s="288"/>
      <c r="W564" s="220"/>
      <c r="X564" s="220"/>
      <c r="Y564" s="220"/>
      <c r="Z564" s="220"/>
      <c r="AA564" s="220"/>
      <c r="AB564" s="220"/>
      <c r="AC564" s="220"/>
      <c r="AD564" s="220"/>
      <c r="AE564" s="220"/>
      <c r="AF564" s="220"/>
      <c r="AG564" s="308"/>
      <c r="AH564" s="220"/>
      <c r="AI564" s="220"/>
      <c r="AJ564" s="220"/>
      <c r="AK564" s="220"/>
      <c r="AL564" s="220"/>
      <c r="AM564" s="220"/>
    </row>
    <row r="565">
      <c r="A565" s="430"/>
      <c r="B565" s="311"/>
      <c r="C565" s="311"/>
      <c r="D565" s="312"/>
      <c r="E565" s="311"/>
      <c r="F565" s="311"/>
      <c r="G565" s="312"/>
      <c r="H565" s="312"/>
      <c r="I565" s="313"/>
      <c r="J565" s="431"/>
      <c r="K565" s="313"/>
      <c r="L565" s="313"/>
      <c r="M565" s="313"/>
      <c r="N565" s="315"/>
      <c r="O565" s="313"/>
      <c r="P565" s="313"/>
      <c r="Q565" s="432"/>
      <c r="R565" s="313"/>
      <c r="S565" s="313"/>
      <c r="T565" s="317"/>
      <c r="U565" s="433"/>
      <c r="V565" s="288"/>
      <c r="W565" s="220"/>
      <c r="X565" s="220"/>
      <c r="Y565" s="220"/>
      <c r="Z565" s="220"/>
      <c r="AA565" s="220"/>
      <c r="AB565" s="220"/>
      <c r="AC565" s="220"/>
      <c r="AD565" s="220"/>
      <c r="AE565" s="220"/>
      <c r="AF565" s="220"/>
      <c r="AG565" s="308"/>
      <c r="AH565" s="220"/>
      <c r="AI565" s="220"/>
      <c r="AJ565" s="220"/>
      <c r="AK565" s="220"/>
      <c r="AL565" s="220"/>
      <c r="AM565" s="220"/>
    </row>
    <row r="566">
      <c r="A566" s="430"/>
      <c r="B566" s="311"/>
      <c r="C566" s="311"/>
      <c r="D566" s="312"/>
      <c r="E566" s="311"/>
      <c r="F566" s="311"/>
      <c r="G566" s="312"/>
      <c r="H566" s="312"/>
      <c r="I566" s="313"/>
      <c r="J566" s="431"/>
      <c r="K566" s="313"/>
      <c r="L566" s="313"/>
      <c r="M566" s="313"/>
      <c r="N566" s="315"/>
      <c r="O566" s="313"/>
      <c r="P566" s="313"/>
      <c r="Q566" s="432"/>
      <c r="R566" s="313"/>
      <c r="S566" s="313"/>
      <c r="T566" s="317"/>
      <c r="U566" s="433"/>
      <c r="V566" s="288"/>
      <c r="W566" s="220"/>
      <c r="X566" s="220"/>
      <c r="Y566" s="220"/>
      <c r="Z566" s="220"/>
      <c r="AA566" s="220"/>
      <c r="AB566" s="220"/>
      <c r="AC566" s="220"/>
      <c r="AD566" s="220"/>
      <c r="AE566" s="220"/>
      <c r="AF566" s="220"/>
      <c r="AG566" s="308"/>
      <c r="AH566" s="220"/>
      <c r="AI566" s="220"/>
      <c r="AJ566" s="220"/>
      <c r="AK566" s="220"/>
      <c r="AL566" s="220"/>
      <c r="AM566" s="220"/>
    </row>
    <row r="567">
      <c r="A567" s="430"/>
      <c r="B567" s="311"/>
      <c r="C567" s="311"/>
      <c r="D567" s="312"/>
      <c r="E567" s="311"/>
      <c r="F567" s="311"/>
      <c r="G567" s="312"/>
      <c r="H567" s="312"/>
      <c r="I567" s="313"/>
      <c r="J567" s="431"/>
      <c r="K567" s="313"/>
      <c r="L567" s="313"/>
      <c r="M567" s="313"/>
      <c r="N567" s="315"/>
      <c r="O567" s="313"/>
      <c r="P567" s="313"/>
      <c r="Q567" s="432"/>
      <c r="R567" s="313"/>
      <c r="S567" s="313"/>
      <c r="T567" s="317"/>
      <c r="U567" s="433"/>
      <c r="V567" s="288"/>
      <c r="W567" s="220"/>
      <c r="X567" s="220"/>
      <c r="Y567" s="220"/>
      <c r="Z567" s="220"/>
      <c r="AA567" s="220"/>
      <c r="AB567" s="220"/>
      <c r="AC567" s="220"/>
      <c r="AD567" s="220"/>
      <c r="AE567" s="220"/>
      <c r="AF567" s="220"/>
      <c r="AG567" s="308"/>
      <c r="AH567" s="220"/>
      <c r="AI567" s="220"/>
      <c r="AJ567" s="220"/>
      <c r="AK567" s="220"/>
      <c r="AL567" s="220"/>
      <c r="AM567" s="220"/>
    </row>
    <row r="568">
      <c r="A568" s="430"/>
      <c r="B568" s="311"/>
      <c r="C568" s="311"/>
      <c r="D568" s="312"/>
      <c r="E568" s="311"/>
      <c r="F568" s="311"/>
      <c r="G568" s="312"/>
      <c r="H568" s="312"/>
      <c r="I568" s="313"/>
      <c r="J568" s="431"/>
      <c r="K568" s="313"/>
      <c r="L568" s="313"/>
      <c r="M568" s="313"/>
      <c r="N568" s="315"/>
      <c r="O568" s="313"/>
      <c r="P568" s="313"/>
      <c r="Q568" s="432"/>
      <c r="R568" s="313"/>
      <c r="S568" s="313"/>
      <c r="T568" s="317"/>
      <c r="U568" s="433"/>
      <c r="V568" s="288"/>
      <c r="W568" s="220"/>
      <c r="X568" s="220"/>
      <c r="Y568" s="220"/>
      <c r="Z568" s="220"/>
      <c r="AA568" s="220"/>
      <c r="AB568" s="220"/>
      <c r="AC568" s="220"/>
      <c r="AD568" s="220"/>
      <c r="AE568" s="220"/>
      <c r="AF568" s="220"/>
      <c r="AG568" s="308"/>
      <c r="AH568" s="220"/>
      <c r="AI568" s="220"/>
      <c r="AJ568" s="220"/>
      <c r="AK568" s="220"/>
      <c r="AL568" s="220"/>
      <c r="AM568" s="220"/>
    </row>
    <row r="569">
      <c r="A569" s="430"/>
      <c r="B569" s="311"/>
      <c r="C569" s="311"/>
      <c r="D569" s="312"/>
      <c r="E569" s="311"/>
      <c r="F569" s="311"/>
      <c r="G569" s="312"/>
      <c r="H569" s="312"/>
      <c r="I569" s="313"/>
      <c r="J569" s="431"/>
      <c r="K569" s="313"/>
      <c r="L569" s="313"/>
      <c r="M569" s="313"/>
      <c r="N569" s="315"/>
      <c r="O569" s="313"/>
      <c r="P569" s="313"/>
      <c r="Q569" s="432"/>
      <c r="R569" s="313"/>
      <c r="S569" s="313"/>
      <c r="T569" s="317"/>
      <c r="U569" s="433"/>
      <c r="V569" s="288"/>
      <c r="W569" s="220"/>
      <c r="X569" s="220"/>
      <c r="Y569" s="220"/>
      <c r="Z569" s="220"/>
      <c r="AA569" s="220"/>
      <c r="AB569" s="220"/>
      <c r="AC569" s="220"/>
      <c r="AD569" s="220"/>
      <c r="AE569" s="220"/>
      <c r="AF569" s="220"/>
      <c r="AG569" s="308"/>
      <c r="AH569" s="220"/>
      <c r="AI569" s="220"/>
      <c r="AJ569" s="220"/>
      <c r="AK569" s="220"/>
      <c r="AL569" s="220"/>
      <c r="AM569" s="220"/>
    </row>
    <row r="570">
      <c r="A570" s="430"/>
      <c r="B570" s="311"/>
      <c r="C570" s="311"/>
      <c r="D570" s="312"/>
      <c r="E570" s="311"/>
      <c r="F570" s="311"/>
      <c r="G570" s="312"/>
      <c r="H570" s="312"/>
      <c r="I570" s="313"/>
      <c r="J570" s="431"/>
      <c r="K570" s="313"/>
      <c r="L570" s="313"/>
      <c r="M570" s="313"/>
      <c r="N570" s="315"/>
      <c r="O570" s="313"/>
      <c r="P570" s="313"/>
      <c r="Q570" s="432"/>
      <c r="R570" s="313"/>
      <c r="S570" s="313"/>
      <c r="T570" s="317"/>
      <c r="U570" s="433"/>
      <c r="V570" s="288"/>
      <c r="W570" s="220"/>
      <c r="X570" s="220"/>
      <c r="Y570" s="220"/>
      <c r="Z570" s="220"/>
      <c r="AA570" s="220"/>
      <c r="AB570" s="220"/>
      <c r="AC570" s="220"/>
      <c r="AD570" s="220"/>
      <c r="AE570" s="220"/>
      <c r="AF570" s="220"/>
      <c r="AG570" s="308"/>
      <c r="AH570" s="220"/>
      <c r="AI570" s="220"/>
      <c r="AJ570" s="220"/>
      <c r="AK570" s="220"/>
      <c r="AL570" s="220"/>
      <c r="AM570" s="220"/>
    </row>
    <row r="571">
      <c r="A571" s="430"/>
      <c r="B571" s="311"/>
      <c r="C571" s="311"/>
      <c r="D571" s="312"/>
      <c r="E571" s="311"/>
      <c r="F571" s="311"/>
      <c r="G571" s="312"/>
      <c r="H571" s="312"/>
      <c r="I571" s="313"/>
      <c r="J571" s="431"/>
      <c r="K571" s="313"/>
      <c r="L571" s="313"/>
      <c r="M571" s="313"/>
      <c r="N571" s="315"/>
      <c r="O571" s="313"/>
      <c r="P571" s="313"/>
      <c r="Q571" s="432"/>
      <c r="R571" s="313"/>
      <c r="S571" s="313"/>
      <c r="T571" s="317"/>
      <c r="U571" s="433"/>
      <c r="V571" s="288"/>
      <c r="W571" s="220"/>
      <c r="X571" s="220"/>
      <c r="Y571" s="220"/>
      <c r="Z571" s="220"/>
      <c r="AA571" s="220"/>
      <c r="AB571" s="220"/>
      <c r="AC571" s="220"/>
      <c r="AD571" s="220"/>
      <c r="AE571" s="220"/>
      <c r="AF571" s="220"/>
      <c r="AG571" s="308"/>
      <c r="AH571" s="220"/>
      <c r="AI571" s="220"/>
      <c r="AJ571" s="220"/>
      <c r="AK571" s="220"/>
      <c r="AL571" s="220"/>
      <c r="AM571" s="220"/>
    </row>
    <row r="572">
      <c r="A572" s="430"/>
      <c r="B572" s="311"/>
      <c r="C572" s="311"/>
      <c r="D572" s="312"/>
      <c r="E572" s="311"/>
      <c r="F572" s="311"/>
      <c r="G572" s="312"/>
      <c r="H572" s="312"/>
      <c r="I572" s="313"/>
      <c r="J572" s="431"/>
      <c r="K572" s="313"/>
      <c r="L572" s="313"/>
      <c r="M572" s="313"/>
      <c r="N572" s="315"/>
      <c r="O572" s="313"/>
      <c r="P572" s="313"/>
      <c r="Q572" s="432"/>
      <c r="R572" s="313"/>
      <c r="S572" s="313"/>
      <c r="T572" s="317"/>
      <c r="U572" s="433"/>
      <c r="V572" s="288"/>
      <c r="W572" s="220"/>
      <c r="X572" s="220"/>
      <c r="Y572" s="220"/>
      <c r="Z572" s="220"/>
      <c r="AA572" s="220"/>
      <c r="AB572" s="220"/>
      <c r="AC572" s="220"/>
      <c r="AD572" s="220"/>
      <c r="AE572" s="220"/>
      <c r="AF572" s="220"/>
      <c r="AG572" s="308"/>
      <c r="AH572" s="220"/>
      <c r="AI572" s="220"/>
      <c r="AJ572" s="220"/>
      <c r="AK572" s="220"/>
      <c r="AL572" s="220"/>
      <c r="AM572" s="220"/>
    </row>
    <row r="573">
      <c r="A573" s="430"/>
      <c r="B573" s="311"/>
      <c r="C573" s="311"/>
      <c r="D573" s="312"/>
      <c r="E573" s="311"/>
      <c r="F573" s="311"/>
      <c r="G573" s="312"/>
      <c r="H573" s="312"/>
      <c r="I573" s="313"/>
      <c r="J573" s="431"/>
      <c r="K573" s="313"/>
      <c r="L573" s="313"/>
      <c r="M573" s="313"/>
      <c r="N573" s="315"/>
      <c r="O573" s="313"/>
      <c r="P573" s="313"/>
      <c r="Q573" s="432"/>
      <c r="R573" s="313"/>
      <c r="S573" s="313"/>
      <c r="T573" s="317"/>
      <c r="U573" s="433"/>
      <c r="V573" s="288"/>
      <c r="W573" s="220"/>
      <c r="X573" s="220"/>
      <c r="Y573" s="220"/>
      <c r="Z573" s="220"/>
      <c r="AA573" s="220"/>
      <c r="AB573" s="220"/>
      <c r="AC573" s="220"/>
      <c r="AD573" s="220"/>
      <c r="AE573" s="220"/>
      <c r="AF573" s="220"/>
      <c r="AG573" s="308"/>
      <c r="AH573" s="220"/>
      <c r="AI573" s="220"/>
      <c r="AJ573" s="220"/>
      <c r="AK573" s="220"/>
      <c r="AL573" s="220"/>
      <c r="AM573" s="220"/>
    </row>
    <row r="574">
      <c r="A574" s="430"/>
      <c r="B574" s="311"/>
      <c r="C574" s="311"/>
      <c r="D574" s="312"/>
      <c r="E574" s="311"/>
      <c r="F574" s="311"/>
      <c r="G574" s="312"/>
      <c r="H574" s="312"/>
      <c r="I574" s="313"/>
      <c r="J574" s="431"/>
      <c r="K574" s="313"/>
      <c r="L574" s="313"/>
      <c r="M574" s="313"/>
      <c r="N574" s="315"/>
      <c r="O574" s="313"/>
      <c r="P574" s="313"/>
      <c r="Q574" s="432"/>
      <c r="R574" s="313"/>
      <c r="S574" s="313"/>
      <c r="T574" s="317"/>
      <c r="U574" s="433"/>
      <c r="V574" s="288"/>
      <c r="W574" s="220"/>
      <c r="X574" s="220"/>
      <c r="Y574" s="220"/>
      <c r="Z574" s="220"/>
      <c r="AA574" s="220"/>
      <c r="AB574" s="220"/>
      <c r="AC574" s="220"/>
      <c r="AD574" s="220"/>
      <c r="AE574" s="220"/>
      <c r="AF574" s="220"/>
      <c r="AG574" s="308"/>
      <c r="AH574" s="220"/>
      <c r="AI574" s="220"/>
      <c r="AJ574" s="220"/>
      <c r="AK574" s="220"/>
      <c r="AL574" s="220"/>
      <c r="AM574" s="220"/>
    </row>
    <row r="575">
      <c r="A575" s="430"/>
      <c r="B575" s="311"/>
      <c r="C575" s="311"/>
      <c r="D575" s="312"/>
      <c r="E575" s="311"/>
      <c r="F575" s="311"/>
      <c r="G575" s="312"/>
      <c r="H575" s="312"/>
      <c r="I575" s="313"/>
      <c r="J575" s="431"/>
      <c r="K575" s="313"/>
      <c r="L575" s="313"/>
      <c r="M575" s="313"/>
      <c r="N575" s="315"/>
      <c r="O575" s="313"/>
      <c r="P575" s="313"/>
      <c r="Q575" s="432"/>
      <c r="R575" s="313"/>
      <c r="S575" s="313"/>
      <c r="T575" s="317"/>
      <c r="U575" s="433"/>
      <c r="V575" s="288"/>
      <c r="W575" s="220"/>
      <c r="X575" s="220"/>
      <c r="Y575" s="220"/>
      <c r="Z575" s="220"/>
      <c r="AA575" s="220"/>
      <c r="AB575" s="220"/>
      <c r="AC575" s="220"/>
      <c r="AD575" s="220"/>
      <c r="AE575" s="220"/>
      <c r="AF575" s="220"/>
      <c r="AG575" s="308"/>
      <c r="AH575" s="220"/>
      <c r="AI575" s="220"/>
      <c r="AJ575" s="220"/>
      <c r="AK575" s="220"/>
      <c r="AL575" s="220"/>
      <c r="AM575" s="220"/>
    </row>
    <row r="576">
      <c r="A576" s="430"/>
      <c r="B576" s="311"/>
      <c r="C576" s="311"/>
      <c r="D576" s="312"/>
      <c r="E576" s="311"/>
      <c r="F576" s="311"/>
      <c r="G576" s="312"/>
      <c r="H576" s="312"/>
      <c r="I576" s="313"/>
      <c r="J576" s="431"/>
      <c r="K576" s="313"/>
      <c r="L576" s="313"/>
      <c r="M576" s="313"/>
      <c r="N576" s="315"/>
      <c r="O576" s="313"/>
      <c r="P576" s="313"/>
      <c r="Q576" s="432"/>
      <c r="R576" s="313"/>
      <c r="S576" s="313"/>
      <c r="T576" s="317"/>
      <c r="U576" s="433"/>
      <c r="V576" s="288"/>
      <c r="W576" s="220"/>
      <c r="X576" s="220"/>
      <c r="Y576" s="220"/>
      <c r="Z576" s="220"/>
      <c r="AA576" s="220"/>
      <c r="AB576" s="220"/>
      <c r="AC576" s="220"/>
      <c r="AD576" s="220"/>
      <c r="AE576" s="220"/>
      <c r="AF576" s="220"/>
      <c r="AG576" s="308"/>
      <c r="AH576" s="220"/>
      <c r="AI576" s="220"/>
      <c r="AJ576" s="220"/>
      <c r="AK576" s="220"/>
      <c r="AL576" s="220"/>
      <c r="AM576" s="220"/>
    </row>
    <row r="577">
      <c r="A577" s="430"/>
      <c r="B577" s="311"/>
      <c r="C577" s="311"/>
      <c r="D577" s="312"/>
      <c r="E577" s="311"/>
      <c r="F577" s="311"/>
      <c r="G577" s="312"/>
      <c r="H577" s="312"/>
      <c r="I577" s="313"/>
      <c r="J577" s="431"/>
      <c r="K577" s="313"/>
      <c r="L577" s="313"/>
      <c r="M577" s="313"/>
      <c r="N577" s="315"/>
      <c r="O577" s="313"/>
      <c r="P577" s="313"/>
      <c r="Q577" s="432"/>
      <c r="R577" s="313"/>
      <c r="S577" s="313"/>
      <c r="T577" s="317"/>
      <c r="U577" s="433"/>
      <c r="V577" s="288"/>
      <c r="W577" s="220"/>
      <c r="X577" s="220"/>
      <c r="Y577" s="220"/>
      <c r="Z577" s="220"/>
      <c r="AA577" s="220"/>
      <c r="AB577" s="220"/>
      <c r="AC577" s="220"/>
      <c r="AD577" s="220"/>
      <c r="AE577" s="220"/>
      <c r="AF577" s="220"/>
      <c r="AG577" s="308"/>
      <c r="AH577" s="220"/>
      <c r="AI577" s="220"/>
      <c r="AJ577" s="220"/>
      <c r="AK577" s="220"/>
      <c r="AL577" s="220"/>
      <c r="AM577" s="220"/>
    </row>
    <row r="578">
      <c r="A578" s="430"/>
      <c r="B578" s="311"/>
      <c r="C578" s="311"/>
      <c r="D578" s="312"/>
      <c r="E578" s="311"/>
      <c r="F578" s="311"/>
      <c r="G578" s="312"/>
      <c r="H578" s="312"/>
      <c r="I578" s="313"/>
      <c r="J578" s="431"/>
      <c r="K578" s="313"/>
      <c r="L578" s="313"/>
      <c r="M578" s="313"/>
      <c r="N578" s="315"/>
      <c r="O578" s="313"/>
      <c r="P578" s="313"/>
      <c r="Q578" s="432"/>
      <c r="R578" s="313"/>
      <c r="S578" s="313"/>
      <c r="T578" s="317"/>
      <c r="U578" s="433"/>
      <c r="V578" s="288"/>
      <c r="W578" s="220"/>
      <c r="X578" s="220"/>
      <c r="Y578" s="220"/>
      <c r="Z578" s="220"/>
      <c r="AA578" s="220"/>
      <c r="AB578" s="220"/>
      <c r="AC578" s="220"/>
      <c r="AD578" s="220"/>
      <c r="AE578" s="220"/>
      <c r="AF578" s="220"/>
      <c r="AG578" s="308"/>
      <c r="AH578" s="220"/>
      <c r="AI578" s="220"/>
      <c r="AJ578" s="220"/>
      <c r="AK578" s="220"/>
      <c r="AL578" s="220"/>
      <c r="AM578" s="220"/>
    </row>
    <row r="579">
      <c r="A579" s="430"/>
      <c r="B579" s="311"/>
      <c r="C579" s="311"/>
      <c r="D579" s="312"/>
      <c r="E579" s="311"/>
      <c r="F579" s="311"/>
      <c r="G579" s="312"/>
      <c r="H579" s="312"/>
      <c r="I579" s="313"/>
      <c r="J579" s="431"/>
      <c r="K579" s="313"/>
      <c r="L579" s="313"/>
      <c r="M579" s="313"/>
      <c r="N579" s="315"/>
      <c r="O579" s="313"/>
      <c r="P579" s="313"/>
      <c r="Q579" s="432"/>
      <c r="R579" s="313"/>
      <c r="S579" s="313"/>
      <c r="T579" s="317"/>
      <c r="U579" s="433"/>
      <c r="V579" s="288"/>
      <c r="W579" s="220"/>
      <c r="X579" s="220"/>
      <c r="Y579" s="220"/>
      <c r="Z579" s="220"/>
      <c r="AA579" s="220"/>
      <c r="AB579" s="220"/>
      <c r="AC579" s="220"/>
      <c r="AD579" s="220"/>
      <c r="AE579" s="220"/>
      <c r="AF579" s="220"/>
      <c r="AG579" s="308"/>
      <c r="AH579" s="220"/>
      <c r="AI579" s="220"/>
      <c r="AJ579" s="220"/>
      <c r="AK579" s="220"/>
      <c r="AL579" s="220"/>
      <c r="AM579" s="220"/>
    </row>
    <row r="580">
      <c r="A580" s="430"/>
      <c r="B580" s="311"/>
      <c r="C580" s="311"/>
      <c r="D580" s="312"/>
      <c r="E580" s="311"/>
      <c r="F580" s="311"/>
      <c r="G580" s="312"/>
      <c r="H580" s="312"/>
      <c r="I580" s="313"/>
      <c r="J580" s="431"/>
      <c r="K580" s="313"/>
      <c r="L580" s="313"/>
      <c r="M580" s="313"/>
      <c r="N580" s="315"/>
      <c r="O580" s="313"/>
      <c r="P580" s="313"/>
      <c r="Q580" s="432"/>
      <c r="R580" s="313"/>
      <c r="S580" s="313"/>
      <c r="T580" s="317"/>
      <c r="U580" s="433"/>
      <c r="V580" s="288"/>
      <c r="W580" s="220"/>
      <c r="X580" s="220"/>
      <c r="Y580" s="220"/>
      <c r="Z580" s="220"/>
      <c r="AA580" s="220"/>
      <c r="AB580" s="220"/>
      <c r="AC580" s="220"/>
      <c r="AD580" s="220"/>
      <c r="AE580" s="220"/>
      <c r="AF580" s="220"/>
      <c r="AG580" s="308"/>
      <c r="AH580" s="220"/>
      <c r="AI580" s="220"/>
      <c r="AJ580" s="220"/>
      <c r="AK580" s="220"/>
      <c r="AL580" s="220"/>
      <c r="AM580" s="220"/>
    </row>
    <row r="581">
      <c r="A581" s="430"/>
      <c r="B581" s="311"/>
      <c r="C581" s="311"/>
      <c r="D581" s="312"/>
      <c r="E581" s="311"/>
      <c r="F581" s="311"/>
      <c r="G581" s="312"/>
      <c r="H581" s="312"/>
      <c r="I581" s="313"/>
      <c r="J581" s="431"/>
      <c r="K581" s="313"/>
      <c r="L581" s="313"/>
      <c r="M581" s="313"/>
      <c r="N581" s="315"/>
      <c r="O581" s="313"/>
      <c r="P581" s="313"/>
      <c r="Q581" s="432"/>
      <c r="R581" s="313"/>
      <c r="S581" s="313"/>
      <c r="T581" s="317"/>
      <c r="U581" s="433"/>
      <c r="V581" s="288"/>
      <c r="W581" s="220"/>
      <c r="X581" s="220"/>
      <c r="Y581" s="220"/>
      <c r="Z581" s="220"/>
      <c r="AA581" s="220"/>
      <c r="AB581" s="220"/>
      <c r="AC581" s="220"/>
      <c r="AD581" s="220"/>
      <c r="AE581" s="220"/>
      <c r="AF581" s="220"/>
      <c r="AG581" s="308"/>
      <c r="AH581" s="220"/>
      <c r="AI581" s="220"/>
      <c r="AJ581" s="220"/>
      <c r="AK581" s="220"/>
      <c r="AL581" s="220"/>
      <c r="AM581" s="220"/>
    </row>
    <row r="582">
      <c r="A582" s="430"/>
      <c r="B582" s="311"/>
      <c r="C582" s="311"/>
      <c r="D582" s="312"/>
      <c r="E582" s="311"/>
      <c r="F582" s="311"/>
      <c r="G582" s="312"/>
      <c r="H582" s="312"/>
      <c r="I582" s="313"/>
      <c r="J582" s="431"/>
      <c r="K582" s="313"/>
      <c r="L582" s="313"/>
      <c r="M582" s="313"/>
      <c r="N582" s="315"/>
      <c r="O582" s="313"/>
      <c r="P582" s="313"/>
      <c r="Q582" s="432"/>
      <c r="R582" s="313"/>
      <c r="S582" s="313"/>
      <c r="T582" s="317"/>
      <c r="U582" s="433"/>
      <c r="V582" s="288"/>
      <c r="W582" s="220"/>
      <c r="X582" s="220"/>
      <c r="Y582" s="220"/>
      <c r="Z582" s="220"/>
      <c r="AA582" s="220"/>
      <c r="AB582" s="220"/>
      <c r="AC582" s="220"/>
      <c r="AD582" s="220"/>
      <c r="AE582" s="220"/>
      <c r="AF582" s="220"/>
      <c r="AG582" s="308"/>
      <c r="AH582" s="220"/>
      <c r="AI582" s="220"/>
      <c r="AJ582" s="220"/>
      <c r="AK582" s="220"/>
      <c r="AL582" s="220"/>
      <c r="AM582" s="220"/>
    </row>
    <row r="583">
      <c r="A583" s="430"/>
      <c r="B583" s="311"/>
      <c r="C583" s="311"/>
      <c r="D583" s="312"/>
      <c r="E583" s="311"/>
      <c r="F583" s="311"/>
      <c r="G583" s="312"/>
      <c r="H583" s="312"/>
      <c r="I583" s="313"/>
      <c r="J583" s="431"/>
      <c r="K583" s="313"/>
      <c r="L583" s="313"/>
      <c r="M583" s="313"/>
      <c r="N583" s="315"/>
      <c r="O583" s="313"/>
      <c r="P583" s="313"/>
      <c r="Q583" s="432"/>
      <c r="R583" s="313"/>
      <c r="S583" s="313"/>
      <c r="T583" s="317"/>
      <c r="U583" s="433"/>
      <c r="V583" s="288"/>
      <c r="W583" s="220"/>
      <c r="X583" s="220"/>
      <c r="Y583" s="220"/>
      <c r="Z583" s="220"/>
      <c r="AA583" s="220"/>
      <c r="AB583" s="220"/>
      <c r="AC583" s="220"/>
      <c r="AD583" s="220"/>
      <c r="AE583" s="220"/>
      <c r="AF583" s="220"/>
      <c r="AG583" s="308"/>
      <c r="AH583" s="220"/>
      <c r="AI583" s="220"/>
      <c r="AJ583" s="220"/>
      <c r="AK583" s="220"/>
      <c r="AL583" s="220"/>
      <c r="AM583" s="220"/>
    </row>
    <row r="584">
      <c r="A584" s="430"/>
      <c r="B584" s="311"/>
      <c r="C584" s="311"/>
      <c r="D584" s="312"/>
      <c r="E584" s="311"/>
      <c r="F584" s="311"/>
      <c r="G584" s="312"/>
      <c r="H584" s="312"/>
      <c r="I584" s="313"/>
      <c r="J584" s="431"/>
      <c r="K584" s="313"/>
      <c r="L584" s="313"/>
      <c r="M584" s="313"/>
      <c r="N584" s="315"/>
      <c r="O584" s="313"/>
      <c r="P584" s="313"/>
      <c r="Q584" s="432"/>
      <c r="R584" s="313"/>
      <c r="S584" s="313"/>
      <c r="T584" s="317"/>
      <c r="U584" s="433"/>
      <c r="V584" s="288"/>
      <c r="W584" s="220"/>
      <c r="X584" s="220"/>
      <c r="Y584" s="220"/>
      <c r="Z584" s="220"/>
      <c r="AA584" s="220"/>
      <c r="AB584" s="220"/>
      <c r="AC584" s="220"/>
      <c r="AD584" s="220"/>
      <c r="AE584" s="220"/>
      <c r="AF584" s="220"/>
      <c r="AG584" s="308"/>
      <c r="AH584" s="220"/>
      <c r="AI584" s="220"/>
      <c r="AJ584" s="220"/>
      <c r="AK584" s="220"/>
      <c r="AL584" s="220"/>
      <c r="AM584" s="220"/>
    </row>
    <row r="585">
      <c r="A585" s="430"/>
      <c r="B585" s="311"/>
      <c r="C585" s="311"/>
      <c r="D585" s="312"/>
      <c r="E585" s="311"/>
      <c r="F585" s="311"/>
      <c r="G585" s="312"/>
      <c r="H585" s="312"/>
      <c r="I585" s="313"/>
      <c r="J585" s="431"/>
      <c r="K585" s="313"/>
      <c r="L585" s="313"/>
      <c r="M585" s="313"/>
      <c r="N585" s="315"/>
      <c r="O585" s="313"/>
      <c r="P585" s="313"/>
      <c r="Q585" s="432"/>
      <c r="R585" s="313"/>
      <c r="S585" s="313"/>
      <c r="T585" s="317"/>
      <c r="U585" s="433"/>
      <c r="V585" s="288"/>
      <c r="W585" s="220"/>
      <c r="X585" s="220"/>
      <c r="Y585" s="220"/>
      <c r="Z585" s="220"/>
      <c r="AA585" s="220"/>
      <c r="AB585" s="220"/>
      <c r="AC585" s="220"/>
      <c r="AD585" s="220"/>
      <c r="AE585" s="220"/>
      <c r="AF585" s="220"/>
      <c r="AG585" s="308"/>
      <c r="AH585" s="220"/>
      <c r="AI585" s="220"/>
      <c r="AJ585" s="220"/>
      <c r="AK585" s="220"/>
      <c r="AL585" s="220"/>
      <c r="AM585" s="220"/>
    </row>
    <row r="586">
      <c r="A586" s="430"/>
      <c r="B586" s="311"/>
      <c r="C586" s="311"/>
      <c r="D586" s="312"/>
      <c r="E586" s="311"/>
      <c r="F586" s="311"/>
      <c r="G586" s="312"/>
      <c r="H586" s="312"/>
      <c r="I586" s="313"/>
      <c r="J586" s="431"/>
      <c r="K586" s="313"/>
      <c r="L586" s="313"/>
      <c r="M586" s="313"/>
      <c r="N586" s="315"/>
      <c r="O586" s="313"/>
      <c r="P586" s="313"/>
      <c r="Q586" s="432"/>
      <c r="R586" s="313"/>
      <c r="S586" s="313"/>
      <c r="T586" s="317"/>
      <c r="U586" s="433"/>
      <c r="V586" s="288"/>
      <c r="W586" s="220"/>
      <c r="X586" s="220"/>
      <c r="Y586" s="220"/>
      <c r="Z586" s="220"/>
      <c r="AA586" s="220"/>
      <c r="AB586" s="220"/>
      <c r="AC586" s="220"/>
      <c r="AD586" s="220"/>
      <c r="AE586" s="220"/>
      <c r="AF586" s="220"/>
      <c r="AG586" s="308"/>
      <c r="AH586" s="220"/>
      <c r="AI586" s="220"/>
      <c r="AJ586" s="220"/>
      <c r="AK586" s="220"/>
      <c r="AL586" s="220"/>
      <c r="AM586" s="220"/>
    </row>
    <row r="587">
      <c r="A587" s="430"/>
      <c r="B587" s="311"/>
      <c r="C587" s="311"/>
      <c r="D587" s="312"/>
      <c r="E587" s="311"/>
      <c r="F587" s="311"/>
      <c r="G587" s="312"/>
      <c r="H587" s="312"/>
      <c r="I587" s="313"/>
      <c r="J587" s="431"/>
      <c r="K587" s="313"/>
      <c r="L587" s="313"/>
      <c r="M587" s="313"/>
      <c r="N587" s="315"/>
      <c r="O587" s="313"/>
      <c r="P587" s="313"/>
      <c r="Q587" s="432"/>
      <c r="R587" s="313"/>
      <c r="S587" s="313"/>
      <c r="T587" s="317"/>
      <c r="U587" s="433"/>
      <c r="V587" s="288"/>
      <c r="W587" s="220"/>
      <c r="X587" s="220"/>
      <c r="Y587" s="220"/>
      <c r="Z587" s="220"/>
      <c r="AA587" s="220"/>
      <c r="AB587" s="220"/>
      <c r="AC587" s="220"/>
      <c r="AD587" s="220"/>
      <c r="AE587" s="220"/>
      <c r="AF587" s="220"/>
      <c r="AG587" s="308"/>
      <c r="AH587" s="220"/>
      <c r="AI587" s="220"/>
      <c r="AJ587" s="220"/>
      <c r="AK587" s="220"/>
      <c r="AL587" s="220"/>
      <c r="AM587" s="220"/>
    </row>
    <row r="588">
      <c r="A588" s="430"/>
      <c r="B588" s="311"/>
      <c r="C588" s="311"/>
      <c r="D588" s="312"/>
      <c r="E588" s="311"/>
      <c r="F588" s="311"/>
      <c r="G588" s="312"/>
      <c r="H588" s="312"/>
      <c r="I588" s="313"/>
      <c r="J588" s="431"/>
      <c r="K588" s="313"/>
      <c r="L588" s="313"/>
      <c r="M588" s="313"/>
      <c r="N588" s="315"/>
      <c r="O588" s="313"/>
      <c r="P588" s="313"/>
      <c r="Q588" s="432"/>
      <c r="R588" s="313"/>
      <c r="S588" s="313"/>
      <c r="T588" s="317"/>
      <c r="U588" s="433"/>
      <c r="V588" s="288"/>
      <c r="W588" s="220"/>
      <c r="X588" s="220"/>
      <c r="Y588" s="220"/>
      <c r="Z588" s="220"/>
      <c r="AA588" s="220"/>
      <c r="AB588" s="220"/>
      <c r="AC588" s="220"/>
      <c r="AD588" s="220"/>
      <c r="AE588" s="220"/>
      <c r="AF588" s="220"/>
      <c r="AG588" s="308"/>
      <c r="AH588" s="220"/>
      <c r="AI588" s="220"/>
      <c r="AJ588" s="220"/>
      <c r="AK588" s="220"/>
      <c r="AL588" s="220"/>
      <c r="AM588" s="220"/>
    </row>
    <row r="589">
      <c r="A589" s="430"/>
      <c r="B589" s="311"/>
      <c r="C589" s="311"/>
      <c r="D589" s="312"/>
      <c r="E589" s="311"/>
      <c r="F589" s="311"/>
      <c r="G589" s="312"/>
      <c r="H589" s="312"/>
      <c r="I589" s="313"/>
      <c r="J589" s="431"/>
      <c r="K589" s="313"/>
      <c r="L589" s="313"/>
      <c r="M589" s="313"/>
      <c r="N589" s="315"/>
      <c r="O589" s="313"/>
      <c r="P589" s="313"/>
      <c r="Q589" s="432"/>
      <c r="R589" s="313"/>
      <c r="S589" s="313"/>
      <c r="T589" s="317"/>
      <c r="U589" s="433"/>
      <c r="V589" s="288"/>
      <c r="W589" s="220"/>
      <c r="X589" s="220"/>
      <c r="Y589" s="220"/>
      <c r="Z589" s="220"/>
      <c r="AA589" s="220"/>
      <c r="AB589" s="220"/>
      <c r="AC589" s="220"/>
      <c r="AD589" s="220"/>
      <c r="AE589" s="220"/>
      <c r="AF589" s="220"/>
      <c r="AG589" s="308"/>
      <c r="AH589" s="220"/>
      <c r="AI589" s="220"/>
      <c r="AJ589" s="220"/>
      <c r="AK589" s="220"/>
      <c r="AL589" s="220"/>
      <c r="AM589" s="220"/>
    </row>
    <row r="590">
      <c r="A590" s="430"/>
      <c r="B590" s="311"/>
      <c r="C590" s="311"/>
      <c r="D590" s="312"/>
      <c r="E590" s="311"/>
      <c r="F590" s="311"/>
      <c r="G590" s="312"/>
      <c r="H590" s="312"/>
      <c r="I590" s="313"/>
      <c r="J590" s="431"/>
      <c r="K590" s="313"/>
      <c r="L590" s="313"/>
      <c r="M590" s="313"/>
      <c r="N590" s="315"/>
      <c r="O590" s="313"/>
      <c r="P590" s="313"/>
      <c r="Q590" s="432"/>
      <c r="R590" s="313"/>
      <c r="S590" s="313"/>
      <c r="T590" s="317"/>
      <c r="U590" s="433"/>
      <c r="V590" s="288"/>
      <c r="W590" s="220"/>
      <c r="X590" s="220"/>
      <c r="Y590" s="220"/>
      <c r="Z590" s="220"/>
      <c r="AA590" s="220"/>
      <c r="AB590" s="220"/>
      <c r="AC590" s="220"/>
      <c r="AD590" s="220"/>
      <c r="AE590" s="220"/>
      <c r="AF590" s="220"/>
      <c r="AG590" s="308"/>
      <c r="AH590" s="220"/>
      <c r="AI590" s="220"/>
      <c r="AJ590" s="220"/>
      <c r="AK590" s="220"/>
      <c r="AL590" s="220"/>
      <c r="AM590" s="220"/>
    </row>
    <row r="591">
      <c r="A591" s="430"/>
      <c r="B591" s="311"/>
      <c r="C591" s="311"/>
      <c r="D591" s="312"/>
      <c r="E591" s="311"/>
      <c r="F591" s="311"/>
      <c r="G591" s="312"/>
      <c r="H591" s="312"/>
      <c r="I591" s="313"/>
      <c r="J591" s="431"/>
      <c r="K591" s="313"/>
      <c r="L591" s="313"/>
      <c r="M591" s="313"/>
      <c r="N591" s="315"/>
      <c r="O591" s="313"/>
      <c r="P591" s="313"/>
      <c r="Q591" s="432"/>
      <c r="R591" s="313"/>
      <c r="S591" s="313"/>
      <c r="T591" s="317"/>
      <c r="U591" s="433"/>
      <c r="V591" s="288"/>
      <c r="W591" s="220"/>
      <c r="X591" s="220"/>
      <c r="Y591" s="220"/>
      <c r="Z591" s="220"/>
      <c r="AA591" s="220"/>
      <c r="AB591" s="220"/>
      <c r="AC591" s="220"/>
      <c r="AD591" s="220"/>
      <c r="AE591" s="220"/>
      <c r="AF591" s="220"/>
      <c r="AG591" s="308"/>
      <c r="AH591" s="220"/>
      <c r="AI591" s="220"/>
      <c r="AJ591" s="220"/>
      <c r="AK591" s="220"/>
      <c r="AL591" s="220"/>
      <c r="AM591" s="220"/>
    </row>
    <row r="592">
      <c r="A592" s="430"/>
      <c r="B592" s="311"/>
      <c r="C592" s="311"/>
      <c r="D592" s="312"/>
      <c r="E592" s="311"/>
      <c r="F592" s="311"/>
      <c r="G592" s="312"/>
      <c r="H592" s="312"/>
      <c r="I592" s="313"/>
      <c r="J592" s="431"/>
      <c r="K592" s="313"/>
      <c r="L592" s="313"/>
      <c r="M592" s="313"/>
      <c r="N592" s="315"/>
      <c r="O592" s="313"/>
      <c r="P592" s="313"/>
      <c r="Q592" s="432"/>
      <c r="R592" s="313"/>
      <c r="S592" s="313"/>
      <c r="T592" s="317"/>
      <c r="U592" s="433"/>
      <c r="V592" s="288"/>
      <c r="W592" s="220"/>
      <c r="X592" s="220"/>
      <c r="Y592" s="220"/>
      <c r="Z592" s="220"/>
      <c r="AA592" s="220"/>
      <c r="AB592" s="220"/>
      <c r="AC592" s="220"/>
      <c r="AD592" s="220"/>
      <c r="AE592" s="220"/>
      <c r="AF592" s="220"/>
      <c r="AG592" s="308"/>
      <c r="AH592" s="220"/>
      <c r="AI592" s="220"/>
      <c r="AJ592" s="220"/>
      <c r="AK592" s="220"/>
      <c r="AL592" s="220"/>
      <c r="AM592" s="220"/>
    </row>
    <row r="593">
      <c r="A593" s="430"/>
      <c r="B593" s="311"/>
      <c r="C593" s="311"/>
      <c r="D593" s="312"/>
      <c r="E593" s="311"/>
      <c r="F593" s="311"/>
      <c r="G593" s="312"/>
      <c r="H593" s="312"/>
      <c r="I593" s="313"/>
      <c r="J593" s="431"/>
      <c r="K593" s="313"/>
      <c r="L593" s="313"/>
      <c r="M593" s="313"/>
      <c r="N593" s="315"/>
      <c r="O593" s="313"/>
      <c r="P593" s="313"/>
      <c r="Q593" s="432"/>
      <c r="R593" s="313"/>
      <c r="S593" s="313"/>
      <c r="T593" s="317"/>
      <c r="U593" s="433"/>
      <c r="V593" s="288"/>
      <c r="W593" s="220"/>
      <c r="X593" s="220"/>
      <c r="Y593" s="220"/>
      <c r="Z593" s="220"/>
      <c r="AA593" s="220"/>
      <c r="AB593" s="220"/>
      <c r="AC593" s="220"/>
      <c r="AD593" s="220"/>
      <c r="AE593" s="220"/>
      <c r="AF593" s="220"/>
      <c r="AG593" s="308"/>
      <c r="AH593" s="220"/>
      <c r="AI593" s="220"/>
      <c r="AJ593" s="220"/>
      <c r="AK593" s="220"/>
      <c r="AL593" s="220"/>
      <c r="AM593" s="220"/>
    </row>
    <row r="594">
      <c r="A594" s="430"/>
      <c r="B594" s="311"/>
      <c r="C594" s="311"/>
      <c r="D594" s="312"/>
      <c r="E594" s="311"/>
      <c r="F594" s="311"/>
      <c r="G594" s="312"/>
      <c r="H594" s="312"/>
      <c r="I594" s="313"/>
      <c r="J594" s="431"/>
      <c r="K594" s="313"/>
      <c r="L594" s="313"/>
      <c r="M594" s="313"/>
      <c r="N594" s="315"/>
      <c r="O594" s="313"/>
      <c r="P594" s="313"/>
      <c r="Q594" s="432"/>
      <c r="R594" s="313"/>
      <c r="S594" s="313"/>
      <c r="T594" s="317"/>
      <c r="U594" s="433"/>
      <c r="V594" s="288"/>
      <c r="W594" s="220"/>
      <c r="X594" s="220"/>
      <c r="Y594" s="220"/>
      <c r="Z594" s="220"/>
      <c r="AA594" s="220"/>
      <c r="AB594" s="220"/>
      <c r="AC594" s="220"/>
      <c r="AD594" s="220"/>
      <c r="AE594" s="220"/>
      <c r="AF594" s="220"/>
      <c r="AG594" s="308"/>
      <c r="AH594" s="220"/>
      <c r="AI594" s="220"/>
      <c r="AJ594" s="220"/>
      <c r="AK594" s="220"/>
      <c r="AL594" s="220"/>
      <c r="AM594" s="220"/>
    </row>
    <row r="595">
      <c r="A595" s="430"/>
      <c r="B595" s="311"/>
      <c r="C595" s="311"/>
      <c r="D595" s="312"/>
      <c r="E595" s="311"/>
      <c r="F595" s="311"/>
      <c r="G595" s="312"/>
      <c r="H595" s="312"/>
      <c r="I595" s="313"/>
      <c r="J595" s="431"/>
      <c r="K595" s="313"/>
      <c r="L595" s="313"/>
      <c r="M595" s="313"/>
      <c r="N595" s="315"/>
      <c r="O595" s="313"/>
      <c r="P595" s="313"/>
      <c r="Q595" s="432"/>
      <c r="R595" s="313"/>
      <c r="S595" s="313"/>
      <c r="T595" s="317"/>
      <c r="U595" s="433"/>
      <c r="V595" s="288"/>
      <c r="W595" s="220"/>
      <c r="X595" s="220"/>
      <c r="Y595" s="220"/>
      <c r="Z595" s="220"/>
      <c r="AA595" s="220"/>
      <c r="AB595" s="220"/>
      <c r="AC595" s="220"/>
      <c r="AD595" s="220"/>
      <c r="AE595" s="220"/>
      <c r="AF595" s="220"/>
      <c r="AG595" s="308"/>
      <c r="AH595" s="220"/>
      <c r="AI595" s="220"/>
      <c r="AJ595" s="220"/>
      <c r="AK595" s="220"/>
      <c r="AL595" s="220"/>
      <c r="AM595" s="220"/>
    </row>
    <row r="596">
      <c r="A596" s="430"/>
      <c r="B596" s="311"/>
      <c r="C596" s="311"/>
      <c r="D596" s="312"/>
      <c r="E596" s="311"/>
      <c r="F596" s="311"/>
      <c r="G596" s="312"/>
      <c r="H596" s="312"/>
      <c r="I596" s="313"/>
      <c r="J596" s="431"/>
      <c r="K596" s="313"/>
      <c r="L596" s="313"/>
      <c r="M596" s="313"/>
      <c r="N596" s="315"/>
      <c r="O596" s="313"/>
      <c r="P596" s="313"/>
      <c r="Q596" s="432"/>
      <c r="R596" s="313"/>
      <c r="S596" s="313"/>
      <c r="T596" s="317"/>
      <c r="U596" s="433"/>
      <c r="V596" s="288"/>
      <c r="W596" s="220"/>
      <c r="X596" s="220"/>
      <c r="Y596" s="220"/>
      <c r="Z596" s="220"/>
      <c r="AA596" s="220"/>
      <c r="AB596" s="220"/>
      <c r="AC596" s="220"/>
      <c r="AD596" s="220"/>
      <c r="AE596" s="220"/>
      <c r="AF596" s="220"/>
      <c r="AG596" s="308"/>
      <c r="AH596" s="220"/>
      <c r="AI596" s="220"/>
      <c r="AJ596" s="220"/>
      <c r="AK596" s="220"/>
      <c r="AL596" s="220"/>
      <c r="AM596" s="220"/>
    </row>
    <row r="597">
      <c r="A597" s="430"/>
      <c r="B597" s="311"/>
      <c r="C597" s="311"/>
      <c r="D597" s="312"/>
      <c r="E597" s="311"/>
      <c r="F597" s="311"/>
      <c r="G597" s="312"/>
      <c r="H597" s="312"/>
      <c r="I597" s="313"/>
      <c r="J597" s="431"/>
      <c r="K597" s="313"/>
      <c r="L597" s="313"/>
      <c r="M597" s="313"/>
      <c r="N597" s="315"/>
      <c r="O597" s="313"/>
      <c r="P597" s="313"/>
      <c r="Q597" s="432"/>
      <c r="R597" s="313"/>
      <c r="S597" s="313"/>
      <c r="T597" s="317"/>
      <c r="U597" s="433"/>
      <c r="V597" s="288"/>
      <c r="W597" s="220"/>
      <c r="X597" s="220"/>
      <c r="Y597" s="220"/>
      <c r="Z597" s="220"/>
      <c r="AA597" s="220"/>
      <c r="AB597" s="220"/>
      <c r="AC597" s="220"/>
      <c r="AD597" s="220"/>
      <c r="AE597" s="220"/>
      <c r="AF597" s="220"/>
      <c r="AG597" s="308"/>
      <c r="AH597" s="220"/>
      <c r="AI597" s="220"/>
      <c r="AJ597" s="220"/>
      <c r="AK597" s="220"/>
      <c r="AL597" s="220"/>
      <c r="AM597" s="220"/>
    </row>
    <row r="598">
      <c r="A598" s="430"/>
      <c r="B598" s="311"/>
      <c r="C598" s="311"/>
      <c r="D598" s="312"/>
      <c r="E598" s="311"/>
      <c r="F598" s="311"/>
      <c r="G598" s="312"/>
      <c r="H598" s="312"/>
      <c r="I598" s="313"/>
      <c r="J598" s="431"/>
      <c r="K598" s="313"/>
      <c r="L598" s="313"/>
      <c r="M598" s="313"/>
      <c r="N598" s="315"/>
      <c r="O598" s="313"/>
      <c r="P598" s="313"/>
      <c r="Q598" s="432"/>
      <c r="R598" s="313"/>
      <c r="S598" s="313"/>
      <c r="T598" s="317"/>
      <c r="U598" s="433"/>
      <c r="V598" s="288"/>
      <c r="W598" s="220"/>
      <c r="X598" s="220"/>
      <c r="Y598" s="220"/>
      <c r="Z598" s="220"/>
      <c r="AA598" s="220"/>
      <c r="AB598" s="220"/>
      <c r="AC598" s="220"/>
      <c r="AD598" s="220"/>
      <c r="AE598" s="220"/>
      <c r="AF598" s="220"/>
      <c r="AG598" s="308"/>
      <c r="AH598" s="220"/>
      <c r="AI598" s="220"/>
      <c r="AJ598" s="220"/>
      <c r="AK598" s="220"/>
      <c r="AL598" s="220"/>
      <c r="AM598" s="220"/>
    </row>
    <row r="599">
      <c r="A599" s="430"/>
      <c r="B599" s="311"/>
      <c r="C599" s="311"/>
      <c r="D599" s="312"/>
      <c r="E599" s="311"/>
      <c r="F599" s="311"/>
      <c r="G599" s="312"/>
      <c r="H599" s="312"/>
      <c r="I599" s="313"/>
      <c r="J599" s="431"/>
      <c r="K599" s="313"/>
      <c r="L599" s="313"/>
      <c r="M599" s="313"/>
      <c r="N599" s="315"/>
      <c r="O599" s="313"/>
      <c r="P599" s="313"/>
      <c r="Q599" s="432"/>
      <c r="R599" s="313"/>
      <c r="S599" s="313"/>
      <c r="T599" s="317"/>
      <c r="U599" s="433"/>
      <c r="V599" s="288"/>
      <c r="W599" s="220"/>
      <c r="X599" s="220"/>
      <c r="Y599" s="220"/>
      <c r="Z599" s="220"/>
      <c r="AA599" s="220"/>
      <c r="AB599" s="220"/>
      <c r="AC599" s="220"/>
      <c r="AD599" s="220"/>
      <c r="AE599" s="220"/>
      <c r="AF599" s="220"/>
      <c r="AG599" s="308"/>
      <c r="AH599" s="220"/>
      <c r="AI599" s="220"/>
      <c r="AJ599" s="220"/>
      <c r="AK599" s="220"/>
      <c r="AL599" s="220"/>
      <c r="AM599" s="220"/>
    </row>
    <row r="600">
      <c r="A600" s="430"/>
      <c r="B600" s="311"/>
      <c r="C600" s="311"/>
      <c r="D600" s="312"/>
      <c r="E600" s="311"/>
      <c r="F600" s="311"/>
      <c r="G600" s="312"/>
      <c r="H600" s="312"/>
      <c r="I600" s="313"/>
      <c r="J600" s="431"/>
      <c r="K600" s="313"/>
      <c r="L600" s="313"/>
      <c r="M600" s="313"/>
      <c r="N600" s="315"/>
      <c r="O600" s="313"/>
      <c r="P600" s="313"/>
      <c r="Q600" s="432"/>
      <c r="R600" s="313"/>
      <c r="S600" s="313"/>
      <c r="T600" s="317"/>
      <c r="U600" s="433"/>
      <c r="V600" s="288"/>
      <c r="W600" s="220"/>
      <c r="X600" s="220"/>
      <c r="Y600" s="220"/>
      <c r="Z600" s="220"/>
      <c r="AA600" s="220"/>
      <c r="AB600" s="220"/>
      <c r="AC600" s="220"/>
      <c r="AD600" s="220"/>
      <c r="AE600" s="220"/>
      <c r="AF600" s="220"/>
      <c r="AG600" s="308"/>
      <c r="AH600" s="220"/>
      <c r="AI600" s="220"/>
      <c r="AJ600" s="220"/>
      <c r="AK600" s="220"/>
      <c r="AL600" s="220"/>
      <c r="AM600" s="220"/>
    </row>
    <row r="601">
      <c r="A601" s="430"/>
      <c r="B601" s="311"/>
      <c r="C601" s="311"/>
      <c r="D601" s="312"/>
      <c r="E601" s="311"/>
      <c r="F601" s="311"/>
      <c r="G601" s="312"/>
      <c r="H601" s="312"/>
      <c r="I601" s="313"/>
      <c r="J601" s="431"/>
      <c r="K601" s="313"/>
      <c r="L601" s="313"/>
      <c r="M601" s="313"/>
      <c r="N601" s="315"/>
      <c r="O601" s="313"/>
      <c r="P601" s="313"/>
      <c r="Q601" s="432"/>
      <c r="R601" s="313"/>
      <c r="S601" s="313"/>
      <c r="T601" s="317"/>
      <c r="U601" s="433"/>
      <c r="V601" s="288"/>
      <c r="W601" s="220"/>
      <c r="X601" s="220"/>
      <c r="Y601" s="220"/>
      <c r="Z601" s="220"/>
      <c r="AA601" s="220"/>
      <c r="AB601" s="220"/>
      <c r="AC601" s="220"/>
      <c r="AD601" s="220"/>
      <c r="AE601" s="220"/>
      <c r="AF601" s="220"/>
      <c r="AG601" s="308"/>
      <c r="AH601" s="220"/>
      <c r="AI601" s="220"/>
      <c r="AJ601" s="220"/>
      <c r="AK601" s="220"/>
      <c r="AL601" s="220"/>
      <c r="AM601" s="220"/>
    </row>
    <row r="602">
      <c r="A602" s="430"/>
      <c r="B602" s="311"/>
      <c r="C602" s="311"/>
      <c r="D602" s="312"/>
      <c r="E602" s="311"/>
      <c r="F602" s="311"/>
      <c r="G602" s="312"/>
      <c r="H602" s="312"/>
      <c r="I602" s="313"/>
      <c r="J602" s="431"/>
      <c r="K602" s="313"/>
      <c r="L602" s="313"/>
      <c r="M602" s="313"/>
      <c r="N602" s="315"/>
      <c r="O602" s="313"/>
      <c r="P602" s="313"/>
      <c r="Q602" s="432"/>
      <c r="R602" s="313"/>
      <c r="S602" s="313"/>
      <c r="T602" s="317"/>
      <c r="U602" s="433"/>
      <c r="V602" s="288"/>
      <c r="W602" s="220"/>
      <c r="X602" s="220"/>
      <c r="Y602" s="220"/>
      <c r="Z602" s="220"/>
      <c r="AA602" s="220"/>
      <c r="AB602" s="220"/>
      <c r="AC602" s="220"/>
      <c r="AD602" s="220"/>
      <c r="AE602" s="220"/>
      <c r="AF602" s="220"/>
      <c r="AG602" s="308"/>
      <c r="AH602" s="220"/>
      <c r="AI602" s="220"/>
      <c r="AJ602" s="220"/>
      <c r="AK602" s="220"/>
      <c r="AL602" s="220"/>
      <c r="AM602" s="220"/>
    </row>
    <row r="603">
      <c r="A603" s="430"/>
      <c r="B603" s="311"/>
      <c r="C603" s="311"/>
      <c r="D603" s="312"/>
      <c r="E603" s="311"/>
      <c r="F603" s="311"/>
      <c r="G603" s="312"/>
      <c r="H603" s="312"/>
      <c r="I603" s="313"/>
      <c r="J603" s="431"/>
      <c r="K603" s="313"/>
      <c r="L603" s="313"/>
      <c r="M603" s="313"/>
      <c r="N603" s="315"/>
      <c r="O603" s="313"/>
      <c r="P603" s="313"/>
      <c r="Q603" s="432"/>
      <c r="R603" s="313"/>
      <c r="S603" s="313"/>
      <c r="T603" s="317"/>
      <c r="U603" s="433"/>
      <c r="V603" s="288"/>
      <c r="W603" s="220"/>
      <c r="X603" s="220"/>
      <c r="Y603" s="220"/>
      <c r="Z603" s="220"/>
      <c r="AA603" s="220"/>
      <c r="AB603" s="220"/>
      <c r="AC603" s="220"/>
      <c r="AD603" s="220"/>
      <c r="AE603" s="220"/>
      <c r="AF603" s="220"/>
      <c r="AG603" s="308"/>
      <c r="AH603" s="220"/>
      <c r="AI603" s="220"/>
      <c r="AJ603" s="220"/>
      <c r="AK603" s="220"/>
      <c r="AL603" s="220"/>
      <c r="AM603" s="220"/>
    </row>
    <row r="604">
      <c r="A604" s="430"/>
      <c r="B604" s="311"/>
      <c r="C604" s="311"/>
      <c r="D604" s="312"/>
      <c r="E604" s="311"/>
      <c r="F604" s="311"/>
      <c r="G604" s="312"/>
      <c r="H604" s="312"/>
      <c r="I604" s="313"/>
      <c r="J604" s="431"/>
      <c r="K604" s="313"/>
      <c r="L604" s="313"/>
      <c r="M604" s="313"/>
      <c r="N604" s="315"/>
      <c r="O604" s="313"/>
      <c r="P604" s="313"/>
      <c r="Q604" s="432"/>
      <c r="R604" s="313"/>
      <c r="S604" s="313"/>
      <c r="T604" s="317"/>
      <c r="U604" s="433"/>
      <c r="V604" s="288"/>
      <c r="W604" s="220"/>
      <c r="X604" s="220"/>
      <c r="Y604" s="220"/>
      <c r="Z604" s="220"/>
      <c r="AA604" s="220"/>
      <c r="AB604" s="220"/>
      <c r="AC604" s="220"/>
      <c r="AD604" s="220"/>
      <c r="AE604" s="220"/>
      <c r="AF604" s="220"/>
      <c r="AG604" s="308"/>
      <c r="AH604" s="220"/>
      <c r="AI604" s="220"/>
      <c r="AJ604" s="220"/>
      <c r="AK604" s="220"/>
      <c r="AL604" s="220"/>
      <c r="AM604" s="220"/>
    </row>
    <row r="605">
      <c r="A605" s="430"/>
      <c r="B605" s="311"/>
      <c r="C605" s="311"/>
      <c r="D605" s="312"/>
      <c r="E605" s="311"/>
      <c r="F605" s="311"/>
      <c r="G605" s="312"/>
      <c r="H605" s="312"/>
      <c r="I605" s="313"/>
      <c r="J605" s="431"/>
      <c r="K605" s="313"/>
      <c r="L605" s="313"/>
      <c r="M605" s="313"/>
      <c r="N605" s="315"/>
      <c r="O605" s="313"/>
      <c r="P605" s="313"/>
      <c r="Q605" s="432"/>
      <c r="R605" s="313"/>
      <c r="S605" s="313"/>
      <c r="T605" s="317"/>
      <c r="U605" s="433"/>
      <c r="V605" s="288"/>
      <c r="W605" s="220"/>
      <c r="X605" s="220"/>
      <c r="Y605" s="220"/>
      <c r="Z605" s="220"/>
      <c r="AA605" s="220"/>
      <c r="AB605" s="220"/>
      <c r="AC605" s="220"/>
      <c r="AD605" s="220"/>
      <c r="AE605" s="220"/>
      <c r="AF605" s="220"/>
      <c r="AG605" s="308"/>
      <c r="AH605" s="220"/>
      <c r="AI605" s="220"/>
      <c r="AJ605" s="220"/>
      <c r="AK605" s="220"/>
      <c r="AL605" s="220"/>
      <c r="AM605" s="220"/>
    </row>
    <row r="606">
      <c r="A606" s="430"/>
      <c r="B606" s="311"/>
      <c r="C606" s="311"/>
      <c r="D606" s="312"/>
      <c r="E606" s="311"/>
      <c r="F606" s="311"/>
      <c r="G606" s="312"/>
      <c r="H606" s="312"/>
      <c r="I606" s="313"/>
      <c r="J606" s="431"/>
      <c r="K606" s="313"/>
      <c r="L606" s="313"/>
      <c r="M606" s="313"/>
      <c r="N606" s="315"/>
      <c r="O606" s="313"/>
      <c r="P606" s="313"/>
      <c r="Q606" s="432"/>
      <c r="R606" s="313"/>
      <c r="S606" s="313"/>
      <c r="T606" s="317"/>
      <c r="U606" s="433"/>
      <c r="V606" s="288"/>
      <c r="W606" s="220"/>
      <c r="X606" s="220"/>
      <c r="Y606" s="220"/>
      <c r="Z606" s="220"/>
      <c r="AA606" s="220"/>
      <c r="AB606" s="220"/>
      <c r="AC606" s="220"/>
      <c r="AD606" s="220"/>
      <c r="AE606" s="220"/>
      <c r="AF606" s="220"/>
      <c r="AG606" s="308"/>
      <c r="AH606" s="220"/>
      <c r="AI606" s="220"/>
      <c r="AJ606" s="220"/>
      <c r="AK606" s="220"/>
      <c r="AL606" s="220"/>
      <c r="AM606" s="220"/>
    </row>
    <row r="607">
      <c r="A607" s="430"/>
      <c r="B607" s="311"/>
      <c r="C607" s="311"/>
      <c r="D607" s="312"/>
      <c r="E607" s="311"/>
      <c r="F607" s="311"/>
      <c r="G607" s="312"/>
      <c r="H607" s="312"/>
      <c r="I607" s="313"/>
      <c r="J607" s="431"/>
      <c r="K607" s="313"/>
      <c r="L607" s="313"/>
      <c r="M607" s="313"/>
      <c r="N607" s="315"/>
      <c r="O607" s="313"/>
      <c r="P607" s="313"/>
      <c r="Q607" s="432"/>
      <c r="R607" s="313"/>
      <c r="S607" s="313"/>
      <c r="T607" s="317"/>
      <c r="U607" s="433"/>
      <c r="V607" s="288"/>
      <c r="W607" s="220"/>
      <c r="X607" s="220"/>
      <c r="Y607" s="220"/>
      <c r="Z607" s="220"/>
      <c r="AA607" s="220"/>
      <c r="AB607" s="220"/>
      <c r="AC607" s="220"/>
      <c r="AD607" s="220"/>
      <c r="AE607" s="220"/>
      <c r="AF607" s="220"/>
      <c r="AG607" s="308"/>
      <c r="AH607" s="220"/>
      <c r="AI607" s="220"/>
      <c r="AJ607" s="220"/>
      <c r="AK607" s="220"/>
      <c r="AL607" s="220"/>
      <c r="AM607" s="220"/>
    </row>
    <row r="608">
      <c r="A608" s="430"/>
      <c r="B608" s="311"/>
      <c r="C608" s="311"/>
      <c r="D608" s="312"/>
      <c r="E608" s="311"/>
      <c r="F608" s="311"/>
      <c r="G608" s="312"/>
      <c r="H608" s="312"/>
      <c r="I608" s="313"/>
      <c r="J608" s="431"/>
      <c r="K608" s="313"/>
      <c r="L608" s="313"/>
      <c r="M608" s="313"/>
      <c r="N608" s="315"/>
      <c r="O608" s="313"/>
      <c r="P608" s="313"/>
      <c r="Q608" s="432"/>
      <c r="R608" s="313"/>
      <c r="S608" s="313"/>
      <c r="T608" s="317"/>
      <c r="U608" s="433"/>
      <c r="V608" s="288"/>
      <c r="W608" s="220"/>
      <c r="X608" s="220"/>
      <c r="Y608" s="220"/>
      <c r="Z608" s="220"/>
      <c r="AA608" s="220"/>
      <c r="AB608" s="220"/>
      <c r="AC608" s="220"/>
      <c r="AD608" s="220"/>
      <c r="AE608" s="220"/>
      <c r="AF608" s="220"/>
      <c r="AG608" s="308"/>
      <c r="AH608" s="220"/>
      <c r="AI608" s="220"/>
      <c r="AJ608" s="220"/>
      <c r="AK608" s="220"/>
      <c r="AL608" s="220"/>
      <c r="AM608" s="220"/>
    </row>
    <row r="609">
      <c r="A609" s="430"/>
      <c r="B609" s="311"/>
      <c r="C609" s="311"/>
      <c r="D609" s="312"/>
      <c r="E609" s="311"/>
      <c r="F609" s="311"/>
      <c r="G609" s="312"/>
      <c r="H609" s="312"/>
      <c r="I609" s="313"/>
      <c r="J609" s="431"/>
      <c r="K609" s="313"/>
      <c r="L609" s="313"/>
      <c r="M609" s="313"/>
      <c r="N609" s="315"/>
      <c r="O609" s="313"/>
      <c r="P609" s="313"/>
      <c r="Q609" s="432"/>
      <c r="R609" s="313"/>
      <c r="S609" s="313"/>
      <c r="T609" s="317"/>
      <c r="U609" s="433"/>
      <c r="V609" s="288"/>
      <c r="W609" s="220"/>
      <c r="X609" s="220"/>
      <c r="Y609" s="220"/>
      <c r="Z609" s="220"/>
      <c r="AA609" s="220"/>
      <c r="AB609" s="220"/>
      <c r="AC609" s="220"/>
      <c r="AD609" s="220"/>
      <c r="AE609" s="220"/>
      <c r="AF609" s="220"/>
      <c r="AG609" s="308"/>
      <c r="AH609" s="220"/>
      <c r="AI609" s="220"/>
      <c r="AJ609" s="220"/>
      <c r="AK609" s="220"/>
      <c r="AL609" s="220"/>
      <c r="AM609" s="220"/>
    </row>
    <row r="610">
      <c r="A610" s="430"/>
      <c r="B610" s="311"/>
      <c r="C610" s="311"/>
      <c r="D610" s="312"/>
      <c r="E610" s="311"/>
      <c r="F610" s="311"/>
      <c r="G610" s="312"/>
      <c r="H610" s="312"/>
      <c r="I610" s="313"/>
      <c r="J610" s="431"/>
      <c r="K610" s="313"/>
      <c r="L610" s="313"/>
      <c r="M610" s="313"/>
      <c r="N610" s="315"/>
      <c r="O610" s="313"/>
      <c r="P610" s="313"/>
      <c r="Q610" s="432"/>
      <c r="R610" s="313"/>
      <c r="S610" s="313"/>
      <c r="T610" s="317"/>
      <c r="U610" s="433"/>
      <c r="V610" s="288"/>
      <c r="W610" s="220"/>
      <c r="X610" s="220"/>
      <c r="Y610" s="220"/>
      <c r="Z610" s="220"/>
      <c r="AA610" s="220"/>
      <c r="AB610" s="220"/>
      <c r="AC610" s="220"/>
      <c r="AD610" s="220"/>
      <c r="AE610" s="220"/>
      <c r="AF610" s="220"/>
      <c r="AG610" s="308"/>
      <c r="AH610" s="220"/>
      <c r="AI610" s="220"/>
      <c r="AJ610" s="220"/>
      <c r="AK610" s="220"/>
      <c r="AL610" s="220"/>
      <c r="AM610" s="220"/>
    </row>
    <row r="611">
      <c r="A611" s="430"/>
      <c r="B611" s="311"/>
      <c r="C611" s="311"/>
      <c r="D611" s="312"/>
      <c r="E611" s="311"/>
      <c r="F611" s="311"/>
      <c r="G611" s="312"/>
      <c r="H611" s="312"/>
      <c r="I611" s="313"/>
      <c r="J611" s="431"/>
      <c r="K611" s="313"/>
      <c r="L611" s="313"/>
      <c r="M611" s="313"/>
      <c r="N611" s="315"/>
      <c r="O611" s="313"/>
      <c r="P611" s="313"/>
      <c r="Q611" s="432"/>
      <c r="R611" s="313"/>
      <c r="S611" s="313"/>
      <c r="T611" s="317"/>
      <c r="U611" s="433"/>
      <c r="V611" s="288"/>
      <c r="W611" s="220"/>
      <c r="X611" s="220"/>
      <c r="Y611" s="220"/>
      <c r="Z611" s="220"/>
      <c r="AA611" s="220"/>
      <c r="AB611" s="220"/>
      <c r="AC611" s="220"/>
      <c r="AD611" s="220"/>
      <c r="AE611" s="220"/>
      <c r="AF611" s="220"/>
      <c r="AG611" s="308"/>
      <c r="AH611" s="220"/>
      <c r="AI611" s="220"/>
      <c r="AJ611" s="220"/>
      <c r="AK611" s="220"/>
      <c r="AL611" s="220"/>
      <c r="AM611" s="220"/>
    </row>
    <row r="612">
      <c r="A612" s="430"/>
      <c r="B612" s="311"/>
      <c r="C612" s="311"/>
      <c r="D612" s="312"/>
      <c r="E612" s="311"/>
      <c r="F612" s="311"/>
      <c r="G612" s="312"/>
      <c r="H612" s="312"/>
      <c r="I612" s="313"/>
      <c r="J612" s="431"/>
      <c r="K612" s="313"/>
      <c r="L612" s="313"/>
      <c r="M612" s="313"/>
      <c r="N612" s="315"/>
      <c r="O612" s="313"/>
      <c r="P612" s="313"/>
      <c r="Q612" s="432"/>
      <c r="R612" s="313"/>
      <c r="S612" s="313"/>
      <c r="T612" s="317"/>
      <c r="U612" s="433"/>
      <c r="V612" s="288"/>
      <c r="W612" s="220"/>
      <c r="X612" s="220"/>
      <c r="Y612" s="220"/>
      <c r="Z612" s="220"/>
      <c r="AA612" s="220"/>
      <c r="AB612" s="220"/>
      <c r="AC612" s="220"/>
      <c r="AD612" s="220"/>
      <c r="AE612" s="220"/>
      <c r="AF612" s="220"/>
      <c r="AG612" s="308"/>
      <c r="AH612" s="220"/>
      <c r="AI612" s="220"/>
      <c r="AJ612" s="220"/>
      <c r="AK612" s="220"/>
      <c r="AL612" s="220"/>
      <c r="AM612" s="220"/>
    </row>
    <row r="613">
      <c r="A613" s="430"/>
      <c r="B613" s="311"/>
      <c r="C613" s="311"/>
      <c r="D613" s="312"/>
      <c r="E613" s="311"/>
      <c r="F613" s="311"/>
      <c r="G613" s="312"/>
      <c r="H613" s="312"/>
      <c r="I613" s="313"/>
      <c r="J613" s="431"/>
      <c r="K613" s="313"/>
      <c r="L613" s="313"/>
      <c r="M613" s="313"/>
      <c r="N613" s="315"/>
      <c r="O613" s="313"/>
      <c r="P613" s="313"/>
      <c r="Q613" s="432"/>
      <c r="R613" s="313"/>
      <c r="S613" s="313"/>
      <c r="T613" s="317"/>
      <c r="U613" s="433"/>
      <c r="V613" s="288"/>
      <c r="W613" s="220"/>
      <c r="X613" s="220"/>
      <c r="Y613" s="220"/>
      <c r="Z613" s="220"/>
      <c r="AA613" s="220"/>
      <c r="AB613" s="220"/>
      <c r="AC613" s="220"/>
      <c r="AD613" s="220"/>
      <c r="AE613" s="220"/>
      <c r="AF613" s="220"/>
      <c r="AG613" s="308"/>
      <c r="AH613" s="220"/>
      <c r="AI613" s="220"/>
      <c r="AJ613" s="220"/>
      <c r="AK613" s="220"/>
      <c r="AL613" s="220"/>
      <c r="AM613" s="220"/>
    </row>
    <row r="614">
      <c r="A614" s="430"/>
      <c r="B614" s="311"/>
      <c r="C614" s="311"/>
      <c r="D614" s="312"/>
      <c r="E614" s="311"/>
      <c r="F614" s="311"/>
      <c r="G614" s="312"/>
      <c r="H614" s="312"/>
      <c r="I614" s="313"/>
      <c r="J614" s="431"/>
      <c r="K614" s="313"/>
      <c r="L614" s="313"/>
      <c r="M614" s="313"/>
      <c r="N614" s="315"/>
      <c r="O614" s="313"/>
      <c r="P614" s="313"/>
      <c r="Q614" s="432"/>
      <c r="R614" s="313"/>
      <c r="S614" s="313"/>
      <c r="T614" s="317"/>
      <c r="U614" s="433"/>
      <c r="V614" s="288"/>
      <c r="W614" s="220"/>
      <c r="X614" s="220"/>
      <c r="Y614" s="220"/>
      <c r="Z614" s="220"/>
      <c r="AA614" s="220"/>
      <c r="AB614" s="220"/>
      <c r="AC614" s="220"/>
      <c r="AD614" s="220"/>
      <c r="AE614" s="220"/>
      <c r="AF614" s="220"/>
      <c r="AG614" s="308"/>
      <c r="AH614" s="220"/>
      <c r="AI614" s="220"/>
      <c r="AJ614" s="220"/>
      <c r="AK614" s="220"/>
      <c r="AL614" s="220"/>
      <c r="AM614" s="220"/>
    </row>
    <row r="615">
      <c r="A615" s="430"/>
      <c r="B615" s="311"/>
      <c r="C615" s="311"/>
      <c r="D615" s="312"/>
      <c r="E615" s="311"/>
      <c r="F615" s="311"/>
      <c r="G615" s="312"/>
      <c r="H615" s="312"/>
      <c r="I615" s="313"/>
      <c r="J615" s="431"/>
      <c r="K615" s="313"/>
      <c r="L615" s="313"/>
      <c r="M615" s="313"/>
      <c r="N615" s="315"/>
      <c r="O615" s="313"/>
      <c r="P615" s="313"/>
      <c r="Q615" s="432"/>
      <c r="R615" s="313"/>
      <c r="S615" s="313"/>
      <c r="T615" s="317"/>
      <c r="U615" s="433"/>
      <c r="V615" s="288"/>
      <c r="W615" s="220"/>
      <c r="X615" s="220"/>
      <c r="Y615" s="220"/>
      <c r="Z615" s="220"/>
      <c r="AA615" s="220"/>
      <c r="AB615" s="220"/>
      <c r="AC615" s="220"/>
      <c r="AD615" s="220"/>
      <c r="AE615" s="220"/>
      <c r="AF615" s="220"/>
      <c r="AG615" s="308"/>
      <c r="AH615" s="220"/>
      <c r="AI615" s="220"/>
      <c r="AJ615" s="220"/>
      <c r="AK615" s="220"/>
      <c r="AL615" s="220"/>
      <c r="AM615" s="220"/>
    </row>
    <row r="616">
      <c r="A616" s="430"/>
      <c r="B616" s="311"/>
      <c r="C616" s="311"/>
      <c r="D616" s="312"/>
      <c r="E616" s="311"/>
      <c r="F616" s="311"/>
      <c r="G616" s="312"/>
      <c r="H616" s="312"/>
      <c r="I616" s="313"/>
      <c r="J616" s="431"/>
      <c r="K616" s="313"/>
      <c r="L616" s="313"/>
      <c r="M616" s="313"/>
      <c r="N616" s="315"/>
      <c r="O616" s="313"/>
      <c r="P616" s="313"/>
      <c r="Q616" s="432"/>
      <c r="R616" s="313"/>
      <c r="S616" s="313"/>
      <c r="T616" s="317"/>
      <c r="U616" s="433"/>
      <c r="V616" s="288"/>
      <c r="W616" s="220"/>
      <c r="X616" s="220"/>
      <c r="Y616" s="220"/>
      <c r="Z616" s="220"/>
      <c r="AA616" s="220"/>
      <c r="AB616" s="220"/>
      <c r="AC616" s="220"/>
      <c r="AD616" s="220"/>
      <c r="AE616" s="220"/>
      <c r="AF616" s="220"/>
      <c r="AG616" s="308"/>
      <c r="AH616" s="220"/>
      <c r="AI616" s="220"/>
      <c r="AJ616" s="220"/>
      <c r="AK616" s="220"/>
      <c r="AL616" s="220"/>
      <c r="AM616" s="220"/>
    </row>
    <row r="617">
      <c r="A617" s="430"/>
      <c r="B617" s="311"/>
      <c r="C617" s="311"/>
      <c r="D617" s="312"/>
      <c r="E617" s="311"/>
      <c r="F617" s="311"/>
      <c r="G617" s="312"/>
      <c r="H617" s="312"/>
      <c r="I617" s="313"/>
      <c r="J617" s="431"/>
      <c r="K617" s="313"/>
      <c r="L617" s="313"/>
      <c r="M617" s="313"/>
      <c r="N617" s="315"/>
      <c r="O617" s="313"/>
      <c r="P617" s="313"/>
      <c r="Q617" s="432"/>
      <c r="R617" s="313"/>
      <c r="S617" s="313"/>
      <c r="T617" s="317"/>
      <c r="U617" s="433"/>
      <c r="V617" s="288"/>
      <c r="W617" s="220"/>
      <c r="X617" s="220"/>
      <c r="Y617" s="220"/>
      <c r="Z617" s="220"/>
      <c r="AA617" s="220"/>
      <c r="AB617" s="220"/>
      <c r="AC617" s="220"/>
      <c r="AD617" s="220"/>
      <c r="AE617" s="220"/>
      <c r="AF617" s="220"/>
      <c r="AG617" s="308"/>
      <c r="AH617" s="220"/>
      <c r="AI617" s="220"/>
      <c r="AJ617" s="220"/>
      <c r="AK617" s="220"/>
      <c r="AL617" s="220"/>
      <c r="AM617" s="220"/>
    </row>
    <row r="618">
      <c r="A618" s="430"/>
      <c r="B618" s="311"/>
      <c r="C618" s="311"/>
      <c r="D618" s="312"/>
      <c r="E618" s="311"/>
      <c r="F618" s="311"/>
      <c r="G618" s="312"/>
      <c r="H618" s="312"/>
      <c r="I618" s="313"/>
      <c r="J618" s="431"/>
      <c r="K618" s="313"/>
      <c r="L618" s="313"/>
      <c r="M618" s="313"/>
      <c r="N618" s="315"/>
      <c r="O618" s="313"/>
      <c r="P618" s="313"/>
      <c r="Q618" s="432"/>
      <c r="R618" s="313"/>
      <c r="S618" s="313"/>
      <c r="T618" s="317"/>
      <c r="U618" s="433"/>
      <c r="V618" s="288"/>
      <c r="W618" s="220"/>
      <c r="X618" s="220"/>
      <c r="Y618" s="220"/>
      <c r="Z618" s="220"/>
      <c r="AA618" s="220"/>
      <c r="AB618" s="220"/>
      <c r="AC618" s="220"/>
      <c r="AD618" s="220"/>
      <c r="AE618" s="220"/>
      <c r="AF618" s="220"/>
      <c r="AG618" s="308"/>
      <c r="AH618" s="220"/>
      <c r="AI618" s="220"/>
      <c r="AJ618" s="220"/>
      <c r="AK618" s="220"/>
      <c r="AL618" s="220"/>
      <c r="AM618" s="220"/>
    </row>
    <row r="619">
      <c r="A619" s="430"/>
      <c r="B619" s="311"/>
      <c r="C619" s="311"/>
      <c r="D619" s="312"/>
      <c r="E619" s="311"/>
      <c r="F619" s="311"/>
      <c r="G619" s="312"/>
      <c r="H619" s="312"/>
      <c r="I619" s="313"/>
      <c r="J619" s="431"/>
      <c r="K619" s="313"/>
      <c r="L619" s="313"/>
      <c r="M619" s="313"/>
      <c r="N619" s="315"/>
      <c r="O619" s="313"/>
      <c r="P619" s="313"/>
      <c r="Q619" s="432"/>
      <c r="R619" s="313"/>
      <c r="S619" s="313"/>
      <c r="T619" s="317"/>
      <c r="U619" s="433"/>
      <c r="V619" s="288"/>
      <c r="W619" s="220"/>
      <c r="X619" s="220"/>
      <c r="Y619" s="220"/>
      <c r="Z619" s="220"/>
      <c r="AA619" s="220"/>
      <c r="AB619" s="220"/>
      <c r="AC619" s="220"/>
      <c r="AD619" s="220"/>
      <c r="AE619" s="220"/>
      <c r="AF619" s="220"/>
      <c r="AG619" s="308"/>
      <c r="AH619" s="220"/>
      <c r="AI619" s="220"/>
      <c r="AJ619" s="220"/>
      <c r="AK619" s="220"/>
      <c r="AL619" s="220"/>
      <c r="AM619" s="220"/>
    </row>
    <row r="620">
      <c r="A620" s="430"/>
      <c r="B620" s="311"/>
      <c r="C620" s="311"/>
      <c r="D620" s="312"/>
      <c r="E620" s="311"/>
      <c r="F620" s="311"/>
      <c r="G620" s="312"/>
      <c r="H620" s="312"/>
      <c r="I620" s="313"/>
      <c r="J620" s="431"/>
      <c r="K620" s="313"/>
      <c r="L620" s="313"/>
      <c r="M620" s="313"/>
      <c r="N620" s="315"/>
      <c r="O620" s="313"/>
      <c r="P620" s="313"/>
      <c r="Q620" s="432"/>
      <c r="R620" s="313"/>
      <c r="S620" s="313"/>
      <c r="T620" s="317"/>
      <c r="U620" s="433"/>
      <c r="V620" s="288"/>
      <c r="W620" s="220"/>
      <c r="X620" s="220"/>
      <c r="Y620" s="220"/>
      <c r="Z620" s="220"/>
      <c r="AA620" s="220"/>
      <c r="AB620" s="220"/>
      <c r="AC620" s="220"/>
      <c r="AD620" s="220"/>
      <c r="AE620" s="220"/>
      <c r="AF620" s="220"/>
      <c r="AG620" s="308"/>
      <c r="AH620" s="220"/>
      <c r="AI620" s="220"/>
      <c r="AJ620" s="220"/>
      <c r="AK620" s="220"/>
      <c r="AL620" s="220"/>
      <c r="AM620" s="220"/>
    </row>
    <row r="621">
      <c r="A621" s="430"/>
      <c r="B621" s="311"/>
      <c r="C621" s="311"/>
      <c r="D621" s="312"/>
      <c r="E621" s="311"/>
      <c r="F621" s="311"/>
      <c r="G621" s="312"/>
      <c r="H621" s="312"/>
      <c r="I621" s="313"/>
      <c r="J621" s="431"/>
      <c r="K621" s="313"/>
      <c r="L621" s="313"/>
      <c r="M621" s="313"/>
      <c r="N621" s="315"/>
      <c r="O621" s="313"/>
      <c r="P621" s="313"/>
      <c r="Q621" s="432"/>
      <c r="R621" s="313"/>
      <c r="S621" s="313"/>
      <c r="T621" s="317"/>
      <c r="U621" s="433"/>
      <c r="V621" s="288"/>
      <c r="W621" s="220"/>
      <c r="X621" s="220"/>
      <c r="Y621" s="220"/>
      <c r="Z621" s="220"/>
      <c r="AA621" s="220"/>
      <c r="AB621" s="220"/>
      <c r="AC621" s="220"/>
      <c r="AD621" s="220"/>
      <c r="AE621" s="220"/>
      <c r="AF621" s="220"/>
      <c r="AG621" s="308"/>
      <c r="AH621" s="220"/>
      <c r="AI621" s="220"/>
      <c r="AJ621" s="220"/>
      <c r="AK621" s="220"/>
      <c r="AL621" s="220"/>
      <c r="AM621" s="220"/>
    </row>
    <row r="622">
      <c r="A622" s="430"/>
      <c r="B622" s="311"/>
      <c r="C622" s="311"/>
      <c r="D622" s="312"/>
      <c r="E622" s="311"/>
      <c r="F622" s="311"/>
      <c r="G622" s="312"/>
      <c r="H622" s="312"/>
      <c r="I622" s="313"/>
      <c r="J622" s="431"/>
      <c r="K622" s="313"/>
      <c r="L622" s="313"/>
      <c r="M622" s="313"/>
      <c r="N622" s="315"/>
      <c r="O622" s="313"/>
      <c r="P622" s="313"/>
      <c r="Q622" s="432"/>
      <c r="R622" s="313"/>
      <c r="S622" s="313"/>
      <c r="T622" s="317"/>
      <c r="U622" s="433"/>
      <c r="V622" s="288"/>
      <c r="W622" s="220"/>
      <c r="X622" s="220"/>
      <c r="Y622" s="220"/>
      <c r="Z622" s="220"/>
      <c r="AA622" s="220"/>
      <c r="AB622" s="220"/>
      <c r="AC622" s="220"/>
      <c r="AD622" s="220"/>
      <c r="AE622" s="220"/>
      <c r="AF622" s="220"/>
      <c r="AG622" s="308"/>
      <c r="AH622" s="220"/>
      <c r="AI622" s="220"/>
      <c r="AJ622" s="220"/>
      <c r="AK622" s="220"/>
      <c r="AL622" s="220"/>
      <c r="AM622" s="220"/>
    </row>
    <row r="623">
      <c r="A623" s="430"/>
      <c r="B623" s="311"/>
      <c r="C623" s="311"/>
      <c r="D623" s="312"/>
      <c r="E623" s="311"/>
      <c r="F623" s="311"/>
      <c r="G623" s="312"/>
      <c r="H623" s="312"/>
      <c r="I623" s="313"/>
      <c r="J623" s="431"/>
      <c r="K623" s="313"/>
      <c r="L623" s="313"/>
      <c r="M623" s="313"/>
      <c r="N623" s="315"/>
      <c r="O623" s="313"/>
      <c r="P623" s="313"/>
      <c r="Q623" s="432"/>
      <c r="R623" s="313"/>
      <c r="S623" s="313"/>
      <c r="T623" s="317"/>
      <c r="U623" s="433"/>
      <c r="V623" s="288"/>
      <c r="W623" s="220"/>
      <c r="X623" s="220"/>
      <c r="Y623" s="220"/>
      <c r="Z623" s="220"/>
      <c r="AA623" s="220"/>
      <c r="AB623" s="220"/>
      <c r="AC623" s="220"/>
      <c r="AD623" s="220"/>
      <c r="AE623" s="220"/>
      <c r="AF623" s="220"/>
      <c r="AG623" s="308"/>
      <c r="AH623" s="220"/>
      <c r="AI623" s="220"/>
      <c r="AJ623" s="220"/>
      <c r="AK623" s="220"/>
      <c r="AL623" s="220"/>
      <c r="AM623" s="220"/>
    </row>
    <row r="624">
      <c r="A624" s="430"/>
      <c r="B624" s="311"/>
      <c r="C624" s="311"/>
      <c r="D624" s="312"/>
      <c r="E624" s="311"/>
      <c r="F624" s="311"/>
      <c r="G624" s="312"/>
      <c r="H624" s="312"/>
      <c r="I624" s="313"/>
      <c r="J624" s="431"/>
      <c r="K624" s="313"/>
      <c r="L624" s="313"/>
      <c r="M624" s="313"/>
      <c r="N624" s="315"/>
      <c r="O624" s="313"/>
      <c r="P624" s="313"/>
      <c r="Q624" s="432"/>
      <c r="R624" s="313"/>
      <c r="S624" s="313"/>
      <c r="T624" s="317"/>
      <c r="U624" s="433"/>
      <c r="V624" s="288"/>
      <c r="W624" s="220"/>
      <c r="X624" s="220"/>
      <c r="Y624" s="220"/>
      <c r="Z624" s="220"/>
      <c r="AA624" s="220"/>
      <c r="AB624" s="220"/>
      <c r="AC624" s="220"/>
      <c r="AD624" s="220"/>
      <c r="AE624" s="220"/>
      <c r="AF624" s="220"/>
      <c r="AG624" s="308"/>
      <c r="AH624" s="220"/>
      <c r="AI624" s="220"/>
      <c r="AJ624" s="220"/>
      <c r="AK624" s="220"/>
      <c r="AL624" s="220"/>
      <c r="AM624" s="220"/>
    </row>
    <row r="625">
      <c r="A625" s="430"/>
      <c r="B625" s="311"/>
      <c r="C625" s="311"/>
      <c r="D625" s="312"/>
      <c r="E625" s="311"/>
      <c r="F625" s="311"/>
      <c r="G625" s="312"/>
      <c r="H625" s="312"/>
      <c r="I625" s="313"/>
      <c r="J625" s="431"/>
      <c r="K625" s="313"/>
      <c r="L625" s="313"/>
      <c r="M625" s="313"/>
      <c r="N625" s="315"/>
      <c r="O625" s="313"/>
      <c r="P625" s="313"/>
      <c r="Q625" s="432"/>
      <c r="R625" s="313"/>
      <c r="S625" s="313"/>
      <c r="T625" s="317"/>
      <c r="U625" s="433"/>
      <c r="V625" s="288"/>
      <c r="W625" s="220"/>
      <c r="X625" s="220"/>
      <c r="Y625" s="220"/>
      <c r="Z625" s="220"/>
      <c r="AA625" s="220"/>
      <c r="AB625" s="220"/>
      <c r="AC625" s="220"/>
      <c r="AD625" s="220"/>
      <c r="AE625" s="220"/>
      <c r="AF625" s="220"/>
      <c r="AG625" s="308"/>
      <c r="AH625" s="220"/>
      <c r="AI625" s="220"/>
      <c r="AJ625" s="220"/>
      <c r="AK625" s="220"/>
      <c r="AL625" s="220"/>
      <c r="AM625" s="220"/>
    </row>
    <row r="626">
      <c r="A626" s="430"/>
      <c r="B626" s="311"/>
      <c r="C626" s="311"/>
      <c r="D626" s="312"/>
      <c r="E626" s="311"/>
      <c r="F626" s="311"/>
      <c r="G626" s="312"/>
      <c r="H626" s="312"/>
      <c r="I626" s="313"/>
      <c r="J626" s="431"/>
      <c r="K626" s="313"/>
      <c r="L626" s="313"/>
      <c r="M626" s="313"/>
      <c r="N626" s="315"/>
      <c r="O626" s="313"/>
      <c r="P626" s="313"/>
      <c r="Q626" s="432"/>
      <c r="R626" s="313"/>
      <c r="S626" s="313"/>
      <c r="T626" s="317"/>
      <c r="U626" s="433"/>
      <c r="V626" s="288"/>
      <c r="W626" s="220"/>
      <c r="X626" s="220"/>
      <c r="Y626" s="220"/>
      <c r="Z626" s="220"/>
      <c r="AA626" s="220"/>
      <c r="AB626" s="220"/>
      <c r="AC626" s="220"/>
      <c r="AD626" s="220"/>
      <c r="AE626" s="220"/>
      <c r="AF626" s="220"/>
      <c r="AG626" s="308"/>
      <c r="AH626" s="220"/>
      <c r="AI626" s="220"/>
      <c r="AJ626" s="220"/>
      <c r="AK626" s="220"/>
      <c r="AL626" s="220"/>
      <c r="AM626" s="220"/>
    </row>
    <row r="627">
      <c r="A627" s="430"/>
      <c r="B627" s="311"/>
      <c r="C627" s="311"/>
      <c r="D627" s="312"/>
      <c r="E627" s="311"/>
      <c r="F627" s="311"/>
      <c r="G627" s="312"/>
      <c r="H627" s="312"/>
      <c r="I627" s="313"/>
      <c r="J627" s="431"/>
      <c r="K627" s="313"/>
      <c r="L627" s="313"/>
      <c r="M627" s="313"/>
      <c r="N627" s="315"/>
      <c r="O627" s="313"/>
      <c r="P627" s="313"/>
      <c r="Q627" s="432"/>
      <c r="R627" s="313"/>
      <c r="S627" s="313"/>
      <c r="T627" s="317"/>
      <c r="U627" s="433"/>
      <c r="V627" s="288"/>
      <c r="W627" s="220"/>
      <c r="X627" s="220"/>
      <c r="Y627" s="220"/>
      <c r="Z627" s="220"/>
      <c r="AA627" s="220"/>
      <c r="AB627" s="220"/>
      <c r="AC627" s="220"/>
      <c r="AD627" s="220"/>
      <c r="AE627" s="220"/>
      <c r="AF627" s="220"/>
      <c r="AG627" s="308"/>
      <c r="AH627" s="220"/>
      <c r="AI627" s="220"/>
      <c r="AJ627" s="220"/>
      <c r="AK627" s="220"/>
      <c r="AL627" s="220"/>
      <c r="AM627" s="220"/>
    </row>
    <row r="628">
      <c r="A628" s="430"/>
      <c r="B628" s="311"/>
      <c r="C628" s="311"/>
      <c r="D628" s="312"/>
      <c r="E628" s="311"/>
      <c r="F628" s="311"/>
      <c r="G628" s="312"/>
      <c r="H628" s="312"/>
      <c r="I628" s="313"/>
      <c r="J628" s="431"/>
      <c r="K628" s="313"/>
      <c r="L628" s="313"/>
      <c r="M628" s="313"/>
      <c r="N628" s="315"/>
      <c r="O628" s="313"/>
      <c r="P628" s="313"/>
      <c r="Q628" s="432"/>
      <c r="R628" s="313"/>
      <c r="S628" s="313"/>
      <c r="T628" s="317"/>
      <c r="U628" s="433"/>
      <c r="V628" s="288"/>
      <c r="W628" s="220"/>
      <c r="X628" s="220"/>
      <c r="Y628" s="220"/>
      <c r="Z628" s="220"/>
      <c r="AA628" s="220"/>
      <c r="AB628" s="220"/>
      <c r="AC628" s="220"/>
      <c r="AD628" s="220"/>
      <c r="AE628" s="220"/>
      <c r="AF628" s="220"/>
      <c r="AG628" s="308"/>
      <c r="AH628" s="220"/>
      <c r="AI628" s="220"/>
      <c r="AJ628" s="220"/>
      <c r="AK628" s="220"/>
      <c r="AL628" s="220"/>
      <c r="AM628" s="220"/>
    </row>
    <row r="629">
      <c r="A629" s="430"/>
      <c r="B629" s="311"/>
      <c r="C629" s="311"/>
      <c r="D629" s="312"/>
      <c r="E629" s="311"/>
      <c r="F629" s="311"/>
      <c r="G629" s="312"/>
      <c r="H629" s="312"/>
      <c r="I629" s="313"/>
      <c r="J629" s="431"/>
      <c r="K629" s="313"/>
      <c r="L629" s="313"/>
      <c r="M629" s="313"/>
      <c r="N629" s="315"/>
      <c r="O629" s="313"/>
      <c r="P629" s="313"/>
      <c r="Q629" s="432"/>
      <c r="R629" s="313"/>
      <c r="S629" s="313"/>
      <c r="T629" s="317"/>
      <c r="U629" s="433"/>
      <c r="V629" s="288"/>
      <c r="W629" s="220"/>
      <c r="X629" s="220"/>
      <c r="Y629" s="220"/>
      <c r="Z629" s="220"/>
      <c r="AA629" s="220"/>
      <c r="AB629" s="220"/>
      <c r="AC629" s="220"/>
      <c r="AD629" s="220"/>
      <c r="AE629" s="220"/>
      <c r="AF629" s="220"/>
      <c r="AG629" s="308"/>
      <c r="AH629" s="220"/>
      <c r="AI629" s="220"/>
      <c r="AJ629" s="220"/>
      <c r="AK629" s="220"/>
      <c r="AL629" s="220"/>
      <c r="AM629" s="220"/>
    </row>
    <row r="630">
      <c r="A630" s="430"/>
      <c r="B630" s="311"/>
      <c r="C630" s="311"/>
      <c r="D630" s="312"/>
      <c r="E630" s="311"/>
      <c r="F630" s="311"/>
      <c r="G630" s="312"/>
      <c r="H630" s="312"/>
      <c r="I630" s="313"/>
      <c r="J630" s="431"/>
      <c r="K630" s="313"/>
      <c r="L630" s="313"/>
      <c r="M630" s="313"/>
      <c r="N630" s="315"/>
      <c r="O630" s="313"/>
      <c r="P630" s="313"/>
      <c r="Q630" s="432"/>
      <c r="R630" s="313"/>
      <c r="S630" s="313"/>
      <c r="T630" s="317"/>
      <c r="U630" s="433"/>
      <c r="V630" s="288"/>
      <c r="W630" s="220"/>
      <c r="X630" s="220"/>
      <c r="Y630" s="220"/>
      <c r="Z630" s="220"/>
      <c r="AA630" s="220"/>
      <c r="AB630" s="220"/>
      <c r="AC630" s="220"/>
      <c r="AD630" s="220"/>
      <c r="AE630" s="220"/>
      <c r="AF630" s="220"/>
      <c r="AG630" s="308"/>
      <c r="AH630" s="220"/>
      <c r="AI630" s="220"/>
      <c r="AJ630" s="220"/>
      <c r="AK630" s="220"/>
      <c r="AL630" s="220"/>
      <c r="AM630" s="220"/>
    </row>
    <row r="631">
      <c r="A631" s="430"/>
      <c r="B631" s="311"/>
      <c r="C631" s="311"/>
      <c r="D631" s="312"/>
      <c r="E631" s="311"/>
      <c r="F631" s="311"/>
      <c r="G631" s="312"/>
      <c r="H631" s="312"/>
      <c r="I631" s="313"/>
      <c r="J631" s="431"/>
      <c r="K631" s="313"/>
      <c r="L631" s="313"/>
      <c r="M631" s="313"/>
      <c r="N631" s="315"/>
      <c r="O631" s="313"/>
      <c r="P631" s="313"/>
      <c r="Q631" s="432"/>
      <c r="R631" s="313"/>
      <c r="S631" s="313"/>
      <c r="T631" s="317"/>
      <c r="U631" s="433"/>
      <c r="V631" s="288"/>
      <c r="W631" s="220"/>
      <c r="X631" s="220"/>
      <c r="Y631" s="220"/>
      <c r="Z631" s="220"/>
      <c r="AA631" s="220"/>
      <c r="AB631" s="220"/>
      <c r="AC631" s="220"/>
      <c r="AD631" s="220"/>
      <c r="AE631" s="220"/>
      <c r="AF631" s="220"/>
      <c r="AG631" s="308"/>
      <c r="AH631" s="220"/>
      <c r="AI631" s="220"/>
      <c r="AJ631" s="220"/>
      <c r="AK631" s="220"/>
      <c r="AL631" s="220"/>
      <c r="AM631" s="220"/>
    </row>
    <row r="632">
      <c r="A632" s="430"/>
      <c r="B632" s="311"/>
      <c r="C632" s="311"/>
      <c r="D632" s="312"/>
      <c r="E632" s="311"/>
      <c r="F632" s="311"/>
      <c r="G632" s="312"/>
      <c r="H632" s="312"/>
      <c r="I632" s="313"/>
      <c r="J632" s="431"/>
      <c r="K632" s="313"/>
      <c r="L632" s="313"/>
      <c r="M632" s="313"/>
      <c r="N632" s="315"/>
      <c r="O632" s="313"/>
      <c r="P632" s="313"/>
      <c r="Q632" s="432"/>
      <c r="R632" s="313"/>
      <c r="S632" s="313"/>
      <c r="T632" s="317"/>
      <c r="U632" s="433"/>
      <c r="V632" s="288"/>
      <c r="W632" s="220"/>
      <c r="X632" s="220"/>
      <c r="Y632" s="220"/>
      <c r="Z632" s="220"/>
      <c r="AA632" s="220"/>
      <c r="AB632" s="220"/>
      <c r="AC632" s="220"/>
      <c r="AD632" s="220"/>
      <c r="AE632" s="220"/>
      <c r="AF632" s="220"/>
      <c r="AG632" s="308"/>
      <c r="AH632" s="220"/>
      <c r="AI632" s="220"/>
      <c r="AJ632" s="220"/>
      <c r="AK632" s="220"/>
      <c r="AL632" s="220"/>
      <c r="AM632" s="220"/>
    </row>
    <row r="633">
      <c r="A633" s="430"/>
      <c r="B633" s="311"/>
      <c r="C633" s="311"/>
      <c r="D633" s="312"/>
      <c r="E633" s="311"/>
      <c r="F633" s="311"/>
      <c r="G633" s="312"/>
      <c r="H633" s="312"/>
      <c r="I633" s="313"/>
      <c r="J633" s="431"/>
      <c r="K633" s="313"/>
      <c r="L633" s="313"/>
      <c r="M633" s="313"/>
      <c r="N633" s="315"/>
      <c r="O633" s="313"/>
      <c r="P633" s="313"/>
      <c r="Q633" s="432"/>
      <c r="R633" s="313"/>
      <c r="S633" s="313"/>
      <c r="T633" s="317"/>
      <c r="U633" s="433"/>
      <c r="V633" s="288"/>
      <c r="W633" s="220"/>
      <c r="X633" s="220"/>
      <c r="Y633" s="220"/>
      <c r="Z633" s="220"/>
      <c r="AA633" s="220"/>
      <c r="AB633" s="220"/>
      <c r="AC633" s="220"/>
      <c r="AD633" s="220"/>
      <c r="AE633" s="220"/>
      <c r="AF633" s="220"/>
      <c r="AG633" s="308"/>
      <c r="AH633" s="220"/>
      <c r="AI633" s="220"/>
      <c r="AJ633" s="220"/>
      <c r="AK633" s="220"/>
      <c r="AL633" s="220"/>
      <c r="AM633" s="220"/>
    </row>
    <row r="634">
      <c r="A634" s="430"/>
      <c r="B634" s="311"/>
      <c r="C634" s="311"/>
      <c r="D634" s="312"/>
      <c r="E634" s="311"/>
      <c r="F634" s="311"/>
      <c r="G634" s="312"/>
      <c r="H634" s="312"/>
      <c r="I634" s="313"/>
      <c r="J634" s="431"/>
      <c r="K634" s="313"/>
      <c r="L634" s="313"/>
      <c r="M634" s="313"/>
      <c r="N634" s="315"/>
      <c r="O634" s="313"/>
      <c r="P634" s="313"/>
      <c r="Q634" s="432"/>
      <c r="R634" s="313"/>
      <c r="S634" s="313"/>
      <c r="T634" s="317"/>
      <c r="U634" s="433"/>
      <c r="V634" s="288"/>
      <c r="W634" s="220"/>
      <c r="X634" s="220"/>
      <c r="Y634" s="220"/>
      <c r="Z634" s="220"/>
      <c r="AA634" s="220"/>
      <c r="AB634" s="220"/>
      <c r="AC634" s="220"/>
      <c r="AD634" s="220"/>
      <c r="AE634" s="220"/>
      <c r="AF634" s="220"/>
      <c r="AG634" s="308"/>
      <c r="AH634" s="220"/>
      <c r="AI634" s="220"/>
      <c r="AJ634" s="220"/>
      <c r="AK634" s="220"/>
      <c r="AL634" s="220"/>
      <c r="AM634" s="220"/>
    </row>
    <row r="635">
      <c r="A635" s="430"/>
      <c r="B635" s="311"/>
      <c r="C635" s="311"/>
      <c r="D635" s="312"/>
      <c r="E635" s="311"/>
      <c r="F635" s="311"/>
      <c r="G635" s="312"/>
      <c r="H635" s="312"/>
      <c r="I635" s="313"/>
      <c r="J635" s="431"/>
      <c r="K635" s="313"/>
      <c r="L635" s="313"/>
      <c r="M635" s="313"/>
      <c r="N635" s="315"/>
      <c r="O635" s="313"/>
      <c r="P635" s="313"/>
      <c r="Q635" s="432"/>
      <c r="R635" s="313"/>
      <c r="S635" s="313"/>
      <c r="T635" s="317"/>
      <c r="U635" s="433"/>
      <c r="V635" s="288"/>
      <c r="W635" s="220"/>
      <c r="X635" s="220"/>
      <c r="Y635" s="220"/>
      <c r="Z635" s="220"/>
      <c r="AA635" s="220"/>
      <c r="AB635" s="220"/>
      <c r="AC635" s="220"/>
      <c r="AD635" s="220"/>
      <c r="AE635" s="220"/>
      <c r="AF635" s="220"/>
      <c r="AG635" s="308"/>
      <c r="AH635" s="220"/>
      <c r="AI635" s="220"/>
      <c r="AJ635" s="220"/>
      <c r="AK635" s="220"/>
      <c r="AL635" s="220"/>
      <c r="AM635" s="220"/>
    </row>
    <row r="636">
      <c r="A636" s="430"/>
      <c r="B636" s="311"/>
      <c r="C636" s="311"/>
      <c r="D636" s="312"/>
      <c r="E636" s="311"/>
      <c r="F636" s="311"/>
      <c r="G636" s="312"/>
      <c r="H636" s="312"/>
      <c r="I636" s="313"/>
      <c r="J636" s="431"/>
      <c r="K636" s="313"/>
      <c r="L636" s="313"/>
      <c r="M636" s="313"/>
      <c r="N636" s="315"/>
      <c r="O636" s="313"/>
      <c r="P636" s="313"/>
      <c r="Q636" s="432"/>
      <c r="R636" s="313"/>
      <c r="S636" s="313"/>
      <c r="T636" s="317"/>
      <c r="U636" s="433"/>
      <c r="V636" s="288"/>
      <c r="W636" s="220"/>
      <c r="X636" s="220"/>
      <c r="Y636" s="220"/>
      <c r="Z636" s="220"/>
      <c r="AA636" s="220"/>
      <c r="AB636" s="220"/>
      <c r="AC636" s="220"/>
      <c r="AD636" s="220"/>
      <c r="AE636" s="220"/>
      <c r="AF636" s="220"/>
      <c r="AG636" s="308"/>
      <c r="AH636" s="220"/>
      <c r="AI636" s="220"/>
      <c r="AJ636" s="220"/>
      <c r="AK636" s="220"/>
      <c r="AL636" s="220"/>
      <c r="AM636" s="220"/>
    </row>
    <row r="637">
      <c r="A637" s="430"/>
      <c r="B637" s="311"/>
      <c r="C637" s="311"/>
      <c r="D637" s="312"/>
      <c r="E637" s="311"/>
      <c r="F637" s="311"/>
      <c r="G637" s="312"/>
      <c r="H637" s="312"/>
      <c r="I637" s="313"/>
      <c r="J637" s="431"/>
      <c r="K637" s="313"/>
      <c r="L637" s="313"/>
      <c r="M637" s="313"/>
      <c r="N637" s="315"/>
      <c r="O637" s="313"/>
      <c r="P637" s="313"/>
      <c r="Q637" s="432"/>
      <c r="R637" s="313"/>
      <c r="S637" s="313"/>
      <c r="T637" s="317"/>
      <c r="U637" s="433"/>
      <c r="V637" s="288"/>
      <c r="W637" s="220"/>
      <c r="X637" s="220"/>
      <c r="Y637" s="220"/>
      <c r="Z637" s="220"/>
      <c r="AA637" s="220"/>
      <c r="AB637" s="220"/>
      <c r="AC637" s="220"/>
      <c r="AD637" s="220"/>
      <c r="AE637" s="220"/>
      <c r="AF637" s="220"/>
      <c r="AG637" s="308"/>
      <c r="AH637" s="220"/>
      <c r="AI637" s="220"/>
      <c r="AJ637" s="220"/>
      <c r="AK637" s="220"/>
      <c r="AL637" s="220"/>
      <c r="AM637" s="220"/>
    </row>
    <row r="638">
      <c r="A638" s="430"/>
      <c r="B638" s="311"/>
      <c r="C638" s="311"/>
      <c r="D638" s="312"/>
      <c r="E638" s="311"/>
      <c r="F638" s="311"/>
      <c r="G638" s="312"/>
      <c r="H638" s="312"/>
      <c r="I638" s="313"/>
      <c r="J638" s="431"/>
      <c r="K638" s="313"/>
      <c r="L638" s="313"/>
      <c r="M638" s="313"/>
      <c r="N638" s="315"/>
      <c r="O638" s="313"/>
      <c r="P638" s="313"/>
      <c r="Q638" s="432"/>
      <c r="R638" s="313"/>
      <c r="S638" s="313"/>
      <c r="T638" s="317"/>
      <c r="U638" s="433"/>
      <c r="V638" s="288"/>
      <c r="W638" s="220"/>
      <c r="X638" s="220"/>
      <c r="Y638" s="220"/>
      <c r="Z638" s="220"/>
      <c r="AA638" s="220"/>
      <c r="AB638" s="220"/>
      <c r="AC638" s="220"/>
      <c r="AD638" s="220"/>
      <c r="AE638" s="220"/>
      <c r="AF638" s="220"/>
      <c r="AG638" s="308"/>
      <c r="AH638" s="220"/>
      <c r="AI638" s="220"/>
      <c r="AJ638" s="220"/>
      <c r="AK638" s="220"/>
      <c r="AL638" s="220"/>
      <c r="AM638" s="220"/>
    </row>
    <row r="639">
      <c r="A639" s="430"/>
      <c r="B639" s="311"/>
      <c r="C639" s="311"/>
      <c r="D639" s="312"/>
      <c r="E639" s="311"/>
      <c r="F639" s="311"/>
      <c r="G639" s="312"/>
      <c r="H639" s="312"/>
      <c r="I639" s="313"/>
      <c r="J639" s="431"/>
      <c r="K639" s="313"/>
      <c r="L639" s="313"/>
      <c r="M639" s="313"/>
      <c r="N639" s="315"/>
      <c r="O639" s="313"/>
      <c r="P639" s="313"/>
      <c r="Q639" s="432"/>
      <c r="R639" s="313"/>
      <c r="S639" s="313"/>
      <c r="T639" s="317"/>
      <c r="U639" s="433"/>
      <c r="V639" s="288"/>
      <c r="W639" s="220"/>
      <c r="X639" s="220"/>
      <c r="Y639" s="220"/>
      <c r="Z639" s="220"/>
      <c r="AA639" s="220"/>
      <c r="AB639" s="220"/>
      <c r="AC639" s="220"/>
      <c r="AD639" s="220"/>
      <c r="AE639" s="220"/>
      <c r="AF639" s="220"/>
      <c r="AG639" s="308"/>
      <c r="AH639" s="220"/>
      <c r="AI639" s="220"/>
      <c r="AJ639" s="220"/>
      <c r="AK639" s="220"/>
      <c r="AL639" s="220"/>
      <c r="AM639" s="220"/>
    </row>
    <row r="640">
      <c r="A640" s="430"/>
      <c r="B640" s="311"/>
      <c r="C640" s="311"/>
      <c r="D640" s="312"/>
      <c r="E640" s="311"/>
      <c r="F640" s="311"/>
      <c r="G640" s="312"/>
      <c r="H640" s="312"/>
      <c r="I640" s="313"/>
      <c r="J640" s="431"/>
      <c r="K640" s="313"/>
      <c r="L640" s="313"/>
      <c r="M640" s="313"/>
      <c r="N640" s="315"/>
      <c r="O640" s="313"/>
      <c r="P640" s="313"/>
      <c r="Q640" s="432"/>
      <c r="R640" s="313"/>
      <c r="S640" s="313"/>
      <c r="T640" s="317"/>
      <c r="U640" s="433"/>
      <c r="V640" s="288"/>
      <c r="W640" s="220"/>
      <c r="X640" s="220"/>
      <c r="Y640" s="220"/>
      <c r="Z640" s="220"/>
      <c r="AA640" s="220"/>
      <c r="AB640" s="220"/>
      <c r="AC640" s="220"/>
      <c r="AD640" s="220"/>
      <c r="AE640" s="220"/>
      <c r="AF640" s="220"/>
      <c r="AG640" s="308"/>
      <c r="AH640" s="220"/>
      <c r="AI640" s="220"/>
      <c r="AJ640" s="220"/>
      <c r="AK640" s="220"/>
      <c r="AL640" s="220"/>
      <c r="AM640" s="220"/>
    </row>
    <row r="641">
      <c r="A641" s="430"/>
      <c r="B641" s="311"/>
      <c r="C641" s="311"/>
      <c r="D641" s="312"/>
      <c r="E641" s="311"/>
      <c r="F641" s="311"/>
      <c r="G641" s="312"/>
      <c r="H641" s="312"/>
      <c r="I641" s="313"/>
      <c r="J641" s="431"/>
      <c r="K641" s="313"/>
      <c r="L641" s="313"/>
      <c r="M641" s="313"/>
      <c r="N641" s="315"/>
      <c r="O641" s="313"/>
      <c r="P641" s="313"/>
      <c r="Q641" s="432"/>
      <c r="R641" s="313"/>
      <c r="S641" s="313"/>
      <c r="T641" s="317"/>
      <c r="U641" s="433"/>
      <c r="V641" s="288"/>
      <c r="W641" s="220"/>
      <c r="X641" s="220"/>
      <c r="Y641" s="220"/>
      <c r="Z641" s="220"/>
      <c r="AA641" s="220"/>
      <c r="AB641" s="220"/>
      <c r="AC641" s="220"/>
      <c r="AD641" s="220"/>
      <c r="AE641" s="220"/>
      <c r="AF641" s="220"/>
      <c r="AG641" s="308"/>
      <c r="AH641" s="220"/>
      <c r="AI641" s="220"/>
      <c r="AJ641" s="220"/>
      <c r="AK641" s="220"/>
      <c r="AL641" s="220"/>
      <c r="AM641" s="220"/>
    </row>
    <row r="642">
      <c r="A642" s="430"/>
      <c r="B642" s="311"/>
      <c r="C642" s="311"/>
      <c r="D642" s="312"/>
      <c r="E642" s="311"/>
      <c r="F642" s="311"/>
      <c r="G642" s="312"/>
      <c r="H642" s="312"/>
      <c r="I642" s="313"/>
      <c r="J642" s="431"/>
      <c r="K642" s="313"/>
      <c r="L642" s="313"/>
      <c r="M642" s="313"/>
      <c r="N642" s="315"/>
      <c r="O642" s="313"/>
      <c r="P642" s="313"/>
      <c r="Q642" s="432"/>
      <c r="R642" s="313"/>
      <c r="S642" s="313"/>
      <c r="T642" s="317"/>
      <c r="U642" s="433"/>
      <c r="V642" s="288"/>
      <c r="W642" s="220"/>
      <c r="X642" s="220"/>
      <c r="Y642" s="220"/>
      <c r="Z642" s="220"/>
      <c r="AA642" s="220"/>
      <c r="AB642" s="220"/>
      <c r="AC642" s="220"/>
      <c r="AD642" s="220"/>
      <c r="AE642" s="220"/>
      <c r="AF642" s="220"/>
      <c r="AG642" s="308"/>
      <c r="AH642" s="220"/>
      <c r="AI642" s="220"/>
      <c r="AJ642" s="220"/>
      <c r="AK642" s="220"/>
      <c r="AL642" s="220"/>
      <c r="AM642" s="220"/>
    </row>
    <row r="643">
      <c r="A643" s="430"/>
      <c r="B643" s="311"/>
      <c r="C643" s="311"/>
      <c r="D643" s="312"/>
      <c r="E643" s="311"/>
      <c r="F643" s="311"/>
      <c r="G643" s="312"/>
      <c r="H643" s="312"/>
      <c r="I643" s="313"/>
      <c r="J643" s="431"/>
      <c r="K643" s="313"/>
      <c r="L643" s="313"/>
      <c r="M643" s="313"/>
      <c r="N643" s="315"/>
      <c r="O643" s="313"/>
      <c r="P643" s="313"/>
      <c r="Q643" s="432"/>
      <c r="R643" s="313"/>
      <c r="S643" s="313"/>
      <c r="T643" s="317"/>
      <c r="U643" s="433"/>
      <c r="V643" s="288"/>
      <c r="W643" s="220"/>
      <c r="X643" s="220"/>
      <c r="Y643" s="220"/>
      <c r="Z643" s="220"/>
      <c r="AA643" s="220"/>
      <c r="AB643" s="220"/>
      <c r="AC643" s="220"/>
      <c r="AD643" s="220"/>
      <c r="AE643" s="220"/>
      <c r="AF643" s="220"/>
      <c r="AG643" s="308"/>
      <c r="AH643" s="220"/>
      <c r="AI643" s="220"/>
      <c r="AJ643" s="220"/>
      <c r="AK643" s="220"/>
      <c r="AL643" s="220"/>
      <c r="AM643" s="220"/>
    </row>
    <row r="644">
      <c r="A644" s="430"/>
      <c r="B644" s="311"/>
      <c r="C644" s="311"/>
      <c r="D644" s="312"/>
      <c r="E644" s="311"/>
      <c r="F644" s="311"/>
      <c r="G644" s="312"/>
      <c r="H644" s="312"/>
      <c r="I644" s="313"/>
      <c r="J644" s="431"/>
      <c r="K644" s="313"/>
      <c r="L644" s="313"/>
      <c r="M644" s="313"/>
      <c r="N644" s="315"/>
      <c r="O644" s="313"/>
      <c r="P644" s="313"/>
      <c r="Q644" s="432"/>
      <c r="R644" s="313"/>
      <c r="S644" s="313"/>
      <c r="T644" s="317"/>
      <c r="U644" s="433"/>
      <c r="V644" s="288"/>
      <c r="W644" s="220"/>
      <c r="X644" s="220"/>
      <c r="Y644" s="220"/>
      <c r="Z644" s="220"/>
      <c r="AA644" s="220"/>
      <c r="AB644" s="220"/>
      <c r="AC644" s="220"/>
      <c r="AD644" s="220"/>
      <c r="AE644" s="220"/>
      <c r="AF644" s="220"/>
      <c r="AG644" s="308"/>
      <c r="AH644" s="220"/>
      <c r="AI644" s="220"/>
      <c r="AJ644" s="220"/>
      <c r="AK644" s="220"/>
      <c r="AL644" s="220"/>
      <c r="AM644" s="220"/>
    </row>
    <row r="645">
      <c r="A645" s="430"/>
      <c r="B645" s="311"/>
      <c r="C645" s="311"/>
      <c r="D645" s="312"/>
      <c r="E645" s="311"/>
      <c r="F645" s="311"/>
      <c r="G645" s="312"/>
      <c r="H645" s="312"/>
      <c r="I645" s="313"/>
      <c r="J645" s="431"/>
      <c r="K645" s="313"/>
      <c r="L645" s="313"/>
      <c r="M645" s="313"/>
      <c r="N645" s="315"/>
      <c r="O645" s="313"/>
      <c r="P645" s="313"/>
      <c r="Q645" s="432"/>
      <c r="R645" s="313"/>
      <c r="S645" s="313"/>
      <c r="T645" s="317"/>
      <c r="U645" s="433"/>
      <c r="V645" s="288"/>
      <c r="W645" s="220"/>
      <c r="X645" s="220"/>
      <c r="Y645" s="220"/>
      <c r="Z645" s="220"/>
      <c r="AA645" s="220"/>
      <c r="AB645" s="220"/>
      <c r="AC645" s="220"/>
      <c r="AD645" s="220"/>
      <c r="AE645" s="220"/>
      <c r="AF645" s="220"/>
      <c r="AG645" s="308"/>
      <c r="AH645" s="220"/>
      <c r="AI645" s="220"/>
      <c r="AJ645" s="220"/>
      <c r="AK645" s="220"/>
      <c r="AL645" s="220"/>
      <c r="AM645" s="220"/>
    </row>
    <row r="646">
      <c r="A646" s="430"/>
      <c r="B646" s="311"/>
      <c r="C646" s="311"/>
      <c r="D646" s="312"/>
      <c r="E646" s="311"/>
      <c r="F646" s="311"/>
      <c r="G646" s="312"/>
      <c r="H646" s="312"/>
      <c r="I646" s="313"/>
      <c r="J646" s="431"/>
      <c r="K646" s="313"/>
      <c r="L646" s="313"/>
      <c r="M646" s="313"/>
      <c r="N646" s="315"/>
      <c r="O646" s="313"/>
      <c r="P646" s="313"/>
      <c r="Q646" s="432"/>
      <c r="R646" s="313"/>
      <c r="S646" s="313"/>
      <c r="T646" s="317"/>
      <c r="U646" s="433"/>
      <c r="V646" s="288"/>
      <c r="W646" s="220"/>
      <c r="X646" s="220"/>
      <c r="Y646" s="220"/>
      <c r="Z646" s="220"/>
      <c r="AA646" s="220"/>
      <c r="AB646" s="220"/>
      <c r="AC646" s="220"/>
      <c r="AD646" s="220"/>
      <c r="AE646" s="220"/>
      <c r="AF646" s="220"/>
      <c r="AG646" s="308"/>
      <c r="AH646" s="220"/>
      <c r="AI646" s="220"/>
      <c r="AJ646" s="220"/>
      <c r="AK646" s="220"/>
      <c r="AL646" s="220"/>
      <c r="AM646" s="220"/>
    </row>
    <row r="647">
      <c r="A647" s="430"/>
      <c r="B647" s="311"/>
      <c r="C647" s="311"/>
      <c r="D647" s="312"/>
      <c r="E647" s="311"/>
      <c r="F647" s="311"/>
      <c r="G647" s="312"/>
      <c r="H647" s="312"/>
      <c r="I647" s="313"/>
      <c r="J647" s="431"/>
      <c r="K647" s="313"/>
      <c r="L647" s="313"/>
      <c r="M647" s="313"/>
      <c r="N647" s="315"/>
      <c r="O647" s="313"/>
      <c r="P647" s="313"/>
      <c r="Q647" s="432"/>
      <c r="R647" s="313"/>
      <c r="S647" s="313"/>
      <c r="T647" s="317"/>
      <c r="U647" s="433"/>
      <c r="V647" s="288"/>
      <c r="W647" s="220"/>
      <c r="X647" s="220"/>
      <c r="Y647" s="220"/>
      <c r="Z647" s="220"/>
      <c r="AA647" s="220"/>
      <c r="AB647" s="220"/>
      <c r="AC647" s="220"/>
      <c r="AD647" s="220"/>
      <c r="AE647" s="220"/>
      <c r="AF647" s="220"/>
      <c r="AG647" s="308"/>
      <c r="AH647" s="220"/>
      <c r="AI647" s="220"/>
      <c r="AJ647" s="220"/>
      <c r="AK647" s="220"/>
      <c r="AL647" s="220"/>
      <c r="AM647" s="220"/>
    </row>
    <row r="648">
      <c r="A648" s="430"/>
      <c r="B648" s="311"/>
      <c r="C648" s="311"/>
      <c r="D648" s="312"/>
      <c r="E648" s="311"/>
      <c r="F648" s="311"/>
      <c r="G648" s="312"/>
      <c r="H648" s="312"/>
      <c r="I648" s="313"/>
      <c r="J648" s="431"/>
      <c r="K648" s="313"/>
      <c r="L648" s="313"/>
      <c r="M648" s="313"/>
      <c r="N648" s="315"/>
      <c r="O648" s="313"/>
      <c r="P648" s="313"/>
      <c r="Q648" s="432"/>
      <c r="R648" s="313"/>
      <c r="S648" s="313"/>
      <c r="T648" s="317"/>
      <c r="U648" s="433"/>
      <c r="V648" s="288"/>
      <c r="W648" s="220"/>
      <c r="X648" s="220"/>
      <c r="Y648" s="220"/>
      <c r="Z648" s="220"/>
      <c r="AA648" s="220"/>
      <c r="AB648" s="220"/>
      <c r="AC648" s="220"/>
      <c r="AD648" s="220"/>
      <c r="AE648" s="220"/>
      <c r="AF648" s="220"/>
      <c r="AG648" s="308"/>
      <c r="AH648" s="220"/>
      <c r="AI648" s="220"/>
      <c r="AJ648" s="220"/>
      <c r="AK648" s="220"/>
      <c r="AL648" s="220"/>
      <c r="AM648" s="220"/>
    </row>
    <row r="649">
      <c r="A649" s="430"/>
      <c r="B649" s="311"/>
      <c r="C649" s="311"/>
      <c r="D649" s="312"/>
      <c r="E649" s="311"/>
      <c r="F649" s="311"/>
      <c r="G649" s="312"/>
      <c r="H649" s="312"/>
      <c r="I649" s="313"/>
      <c r="J649" s="431"/>
      <c r="K649" s="313"/>
      <c r="L649" s="313"/>
      <c r="M649" s="313"/>
      <c r="N649" s="315"/>
      <c r="O649" s="313"/>
      <c r="P649" s="313"/>
      <c r="Q649" s="432"/>
      <c r="R649" s="313"/>
      <c r="S649" s="313"/>
      <c r="T649" s="317"/>
      <c r="U649" s="433"/>
      <c r="V649" s="288"/>
      <c r="W649" s="220"/>
      <c r="X649" s="220"/>
      <c r="Y649" s="220"/>
      <c r="Z649" s="220"/>
      <c r="AA649" s="220"/>
      <c r="AB649" s="220"/>
      <c r="AC649" s="220"/>
      <c r="AD649" s="220"/>
      <c r="AE649" s="220"/>
      <c r="AF649" s="220"/>
      <c r="AG649" s="308"/>
      <c r="AH649" s="220"/>
      <c r="AI649" s="220"/>
      <c r="AJ649" s="220"/>
      <c r="AK649" s="220"/>
      <c r="AL649" s="220"/>
      <c r="AM649" s="220"/>
    </row>
    <row r="650">
      <c r="A650" s="430"/>
      <c r="B650" s="311"/>
      <c r="C650" s="311"/>
      <c r="D650" s="312"/>
      <c r="E650" s="311"/>
      <c r="F650" s="311"/>
      <c r="G650" s="312"/>
      <c r="H650" s="312"/>
      <c r="I650" s="313"/>
      <c r="J650" s="431"/>
      <c r="K650" s="313"/>
      <c r="L650" s="313"/>
      <c r="M650" s="313"/>
      <c r="N650" s="315"/>
      <c r="O650" s="313"/>
      <c r="P650" s="313"/>
      <c r="Q650" s="432"/>
      <c r="R650" s="313"/>
      <c r="S650" s="313"/>
      <c r="T650" s="317"/>
      <c r="U650" s="433"/>
      <c r="V650" s="288"/>
      <c r="W650" s="220"/>
      <c r="X650" s="220"/>
      <c r="Y650" s="220"/>
      <c r="Z650" s="220"/>
      <c r="AA650" s="220"/>
      <c r="AB650" s="220"/>
      <c r="AC650" s="220"/>
      <c r="AD650" s="220"/>
      <c r="AE650" s="220"/>
      <c r="AF650" s="220"/>
      <c r="AG650" s="308"/>
      <c r="AH650" s="220"/>
      <c r="AI650" s="220"/>
      <c r="AJ650" s="220"/>
      <c r="AK650" s="220"/>
      <c r="AL650" s="220"/>
      <c r="AM650" s="220"/>
    </row>
    <row r="651">
      <c r="A651" s="430"/>
      <c r="B651" s="311"/>
      <c r="C651" s="311"/>
      <c r="D651" s="312"/>
      <c r="E651" s="311"/>
      <c r="F651" s="311"/>
      <c r="G651" s="312"/>
      <c r="H651" s="312"/>
      <c r="I651" s="313"/>
      <c r="J651" s="431"/>
      <c r="K651" s="313"/>
      <c r="L651" s="313"/>
      <c r="M651" s="313"/>
      <c r="N651" s="315"/>
      <c r="O651" s="313"/>
      <c r="P651" s="313"/>
      <c r="Q651" s="432"/>
      <c r="R651" s="313"/>
      <c r="S651" s="313"/>
      <c r="T651" s="317"/>
      <c r="U651" s="433"/>
      <c r="V651" s="288"/>
      <c r="W651" s="220"/>
      <c r="X651" s="220"/>
      <c r="Y651" s="220"/>
      <c r="Z651" s="220"/>
      <c r="AA651" s="220"/>
      <c r="AB651" s="220"/>
      <c r="AC651" s="220"/>
      <c r="AD651" s="220"/>
      <c r="AE651" s="220"/>
      <c r="AF651" s="220"/>
      <c r="AG651" s="308"/>
      <c r="AH651" s="220"/>
      <c r="AI651" s="220"/>
      <c r="AJ651" s="220"/>
      <c r="AK651" s="220"/>
      <c r="AL651" s="220"/>
      <c r="AM651" s="220"/>
    </row>
    <row r="652">
      <c r="A652" s="430"/>
      <c r="B652" s="311"/>
      <c r="C652" s="311"/>
      <c r="D652" s="312"/>
      <c r="E652" s="311"/>
      <c r="F652" s="311"/>
      <c r="G652" s="312"/>
      <c r="H652" s="312"/>
      <c r="I652" s="313"/>
      <c r="J652" s="431"/>
      <c r="K652" s="313"/>
      <c r="L652" s="313"/>
      <c r="M652" s="313"/>
      <c r="N652" s="315"/>
      <c r="O652" s="313"/>
      <c r="P652" s="313"/>
      <c r="Q652" s="432"/>
      <c r="R652" s="313"/>
      <c r="S652" s="313"/>
      <c r="T652" s="317"/>
      <c r="U652" s="433"/>
      <c r="V652" s="288"/>
      <c r="W652" s="220"/>
      <c r="X652" s="220"/>
      <c r="Y652" s="220"/>
      <c r="Z652" s="220"/>
      <c r="AA652" s="220"/>
      <c r="AB652" s="220"/>
      <c r="AC652" s="220"/>
      <c r="AD652" s="220"/>
      <c r="AE652" s="220"/>
      <c r="AF652" s="220"/>
      <c r="AG652" s="308"/>
      <c r="AH652" s="220"/>
      <c r="AI652" s="220"/>
      <c r="AJ652" s="220"/>
      <c r="AK652" s="220"/>
      <c r="AL652" s="220"/>
      <c r="AM652" s="220"/>
    </row>
    <row r="653">
      <c r="A653" s="430"/>
      <c r="B653" s="311"/>
      <c r="C653" s="311"/>
      <c r="D653" s="312"/>
      <c r="E653" s="311"/>
      <c r="F653" s="311"/>
      <c r="G653" s="312"/>
      <c r="H653" s="312"/>
      <c r="I653" s="313"/>
      <c r="J653" s="431"/>
      <c r="K653" s="313"/>
      <c r="L653" s="313"/>
      <c r="M653" s="313"/>
      <c r="N653" s="315"/>
      <c r="O653" s="313"/>
      <c r="P653" s="313"/>
      <c r="Q653" s="432"/>
      <c r="R653" s="313"/>
      <c r="S653" s="313"/>
      <c r="T653" s="317"/>
      <c r="U653" s="433"/>
      <c r="V653" s="288"/>
      <c r="W653" s="220"/>
      <c r="X653" s="220"/>
      <c r="Y653" s="220"/>
      <c r="Z653" s="220"/>
      <c r="AA653" s="220"/>
      <c r="AB653" s="220"/>
      <c r="AC653" s="220"/>
      <c r="AD653" s="220"/>
      <c r="AE653" s="220"/>
      <c r="AF653" s="220"/>
      <c r="AG653" s="308"/>
      <c r="AH653" s="220"/>
      <c r="AI653" s="220"/>
      <c r="AJ653" s="220"/>
      <c r="AK653" s="220"/>
      <c r="AL653" s="220"/>
      <c r="AM653" s="220"/>
    </row>
    <row r="654">
      <c r="A654" s="430"/>
      <c r="B654" s="311"/>
      <c r="C654" s="311"/>
      <c r="D654" s="312"/>
      <c r="E654" s="311"/>
      <c r="F654" s="311"/>
      <c r="G654" s="312"/>
      <c r="H654" s="312"/>
      <c r="I654" s="313"/>
      <c r="J654" s="431"/>
      <c r="K654" s="313"/>
      <c r="L654" s="313"/>
      <c r="M654" s="313"/>
      <c r="N654" s="315"/>
      <c r="O654" s="313"/>
      <c r="P654" s="313"/>
      <c r="Q654" s="432"/>
      <c r="R654" s="313"/>
      <c r="S654" s="313"/>
      <c r="T654" s="317"/>
      <c r="U654" s="433"/>
      <c r="V654" s="288"/>
      <c r="W654" s="220"/>
      <c r="X654" s="220"/>
      <c r="Y654" s="220"/>
      <c r="Z654" s="220"/>
      <c r="AA654" s="220"/>
      <c r="AB654" s="220"/>
      <c r="AC654" s="220"/>
      <c r="AD654" s="220"/>
      <c r="AE654" s="220"/>
      <c r="AF654" s="220"/>
      <c r="AG654" s="308"/>
      <c r="AH654" s="220"/>
      <c r="AI654" s="220"/>
      <c r="AJ654" s="220"/>
      <c r="AK654" s="220"/>
      <c r="AL654" s="220"/>
      <c r="AM654" s="220"/>
    </row>
    <row r="655">
      <c r="A655" s="430"/>
      <c r="B655" s="311"/>
      <c r="C655" s="311"/>
      <c r="D655" s="312"/>
      <c r="E655" s="311"/>
      <c r="F655" s="311"/>
      <c r="G655" s="312"/>
      <c r="H655" s="312"/>
      <c r="I655" s="313"/>
      <c r="J655" s="431"/>
      <c r="K655" s="313"/>
      <c r="L655" s="313"/>
      <c r="M655" s="313"/>
      <c r="N655" s="315"/>
      <c r="O655" s="313"/>
      <c r="P655" s="313"/>
      <c r="Q655" s="432"/>
      <c r="R655" s="313"/>
      <c r="S655" s="313"/>
      <c r="T655" s="317"/>
      <c r="U655" s="433"/>
      <c r="V655" s="288"/>
      <c r="W655" s="220"/>
      <c r="X655" s="220"/>
      <c r="Y655" s="220"/>
      <c r="Z655" s="220"/>
      <c r="AA655" s="220"/>
      <c r="AB655" s="220"/>
      <c r="AC655" s="220"/>
      <c r="AD655" s="220"/>
      <c r="AE655" s="220"/>
      <c r="AF655" s="220"/>
      <c r="AG655" s="308"/>
      <c r="AH655" s="220"/>
      <c r="AI655" s="220"/>
      <c r="AJ655" s="220"/>
      <c r="AK655" s="220"/>
      <c r="AL655" s="220"/>
      <c r="AM655" s="220"/>
    </row>
    <row r="656">
      <c r="A656" s="430"/>
      <c r="B656" s="311"/>
      <c r="C656" s="311"/>
      <c r="D656" s="312"/>
      <c r="E656" s="311"/>
      <c r="F656" s="311"/>
      <c r="G656" s="312"/>
      <c r="H656" s="312"/>
      <c r="I656" s="313"/>
      <c r="J656" s="431"/>
      <c r="K656" s="313"/>
      <c r="L656" s="313"/>
      <c r="M656" s="313"/>
      <c r="N656" s="315"/>
      <c r="O656" s="313"/>
      <c r="P656" s="313"/>
      <c r="Q656" s="432"/>
      <c r="R656" s="313"/>
      <c r="S656" s="313"/>
      <c r="T656" s="317"/>
      <c r="U656" s="433"/>
      <c r="V656" s="288"/>
      <c r="W656" s="220"/>
      <c r="X656" s="220"/>
      <c r="Y656" s="220"/>
      <c r="Z656" s="220"/>
      <c r="AA656" s="220"/>
      <c r="AB656" s="220"/>
      <c r="AC656" s="220"/>
      <c r="AD656" s="220"/>
      <c r="AE656" s="220"/>
      <c r="AF656" s="220"/>
      <c r="AG656" s="308"/>
      <c r="AH656" s="220"/>
      <c r="AI656" s="220"/>
      <c r="AJ656" s="220"/>
      <c r="AK656" s="220"/>
      <c r="AL656" s="220"/>
      <c r="AM656" s="220"/>
    </row>
    <row r="657">
      <c r="A657" s="430"/>
      <c r="B657" s="311"/>
      <c r="C657" s="311"/>
      <c r="D657" s="312"/>
      <c r="E657" s="311"/>
      <c r="F657" s="311"/>
      <c r="G657" s="312"/>
      <c r="H657" s="312"/>
      <c r="I657" s="313"/>
      <c r="J657" s="431"/>
      <c r="K657" s="313"/>
      <c r="L657" s="313"/>
      <c r="M657" s="313"/>
      <c r="N657" s="315"/>
      <c r="O657" s="313"/>
      <c r="P657" s="313"/>
      <c r="Q657" s="432"/>
      <c r="R657" s="313"/>
      <c r="S657" s="313"/>
      <c r="T657" s="317"/>
      <c r="U657" s="433"/>
      <c r="V657" s="288"/>
      <c r="W657" s="220"/>
      <c r="X657" s="220"/>
      <c r="Y657" s="220"/>
      <c r="Z657" s="220"/>
      <c r="AA657" s="220"/>
      <c r="AB657" s="220"/>
      <c r="AC657" s="220"/>
      <c r="AD657" s="220"/>
      <c r="AE657" s="220"/>
      <c r="AF657" s="220"/>
      <c r="AG657" s="308"/>
      <c r="AH657" s="220"/>
      <c r="AI657" s="220"/>
      <c r="AJ657" s="220"/>
      <c r="AK657" s="220"/>
      <c r="AL657" s="220"/>
      <c r="AM657" s="220"/>
    </row>
    <row r="658">
      <c r="A658" s="430"/>
      <c r="B658" s="311"/>
      <c r="C658" s="311"/>
      <c r="D658" s="312"/>
      <c r="E658" s="311"/>
      <c r="F658" s="311"/>
      <c r="G658" s="312"/>
      <c r="H658" s="312"/>
      <c r="I658" s="313"/>
      <c r="J658" s="431"/>
      <c r="K658" s="313"/>
      <c r="L658" s="313"/>
      <c r="M658" s="313"/>
      <c r="N658" s="315"/>
      <c r="O658" s="313"/>
      <c r="P658" s="313"/>
      <c r="Q658" s="432"/>
      <c r="R658" s="313"/>
      <c r="S658" s="313"/>
      <c r="T658" s="317"/>
      <c r="U658" s="433"/>
      <c r="V658" s="288"/>
      <c r="W658" s="220"/>
      <c r="X658" s="220"/>
      <c r="Y658" s="220"/>
      <c r="Z658" s="220"/>
      <c r="AA658" s="220"/>
      <c r="AB658" s="220"/>
      <c r="AC658" s="220"/>
      <c r="AD658" s="220"/>
      <c r="AE658" s="220"/>
      <c r="AF658" s="220"/>
      <c r="AG658" s="308"/>
      <c r="AH658" s="220"/>
      <c r="AI658" s="220"/>
      <c r="AJ658" s="220"/>
      <c r="AK658" s="220"/>
      <c r="AL658" s="220"/>
      <c r="AM658" s="220"/>
    </row>
    <row r="659">
      <c r="A659" s="430"/>
      <c r="B659" s="311"/>
      <c r="C659" s="311"/>
      <c r="D659" s="312"/>
      <c r="E659" s="311"/>
      <c r="F659" s="311"/>
      <c r="G659" s="312"/>
      <c r="H659" s="312"/>
      <c r="I659" s="313"/>
      <c r="J659" s="431"/>
      <c r="K659" s="313"/>
      <c r="L659" s="313"/>
      <c r="M659" s="313"/>
      <c r="N659" s="315"/>
      <c r="O659" s="313"/>
      <c r="P659" s="313"/>
      <c r="Q659" s="432"/>
      <c r="R659" s="313"/>
      <c r="S659" s="313"/>
      <c r="T659" s="317"/>
      <c r="U659" s="433"/>
      <c r="V659" s="288"/>
      <c r="W659" s="220"/>
      <c r="X659" s="220"/>
      <c r="Y659" s="220"/>
      <c r="Z659" s="220"/>
      <c r="AA659" s="220"/>
      <c r="AB659" s="220"/>
      <c r="AC659" s="220"/>
      <c r="AD659" s="220"/>
      <c r="AE659" s="220"/>
      <c r="AF659" s="220"/>
      <c r="AG659" s="308"/>
      <c r="AH659" s="220"/>
      <c r="AI659" s="220"/>
      <c r="AJ659" s="220"/>
      <c r="AK659" s="220"/>
      <c r="AL659" s="220"/>
      <c r="AM659" s="220"/>
    </row>
    <row r="660">
      <c r="A660" s="430"/>
      <c r="B660" s="311"/>
      <c r="C660" s="311"/>
      <c r="D660" s="312"/>
      <c r="E660" s="311"/>
      <c r="F660" s="311"/>
      <c r="G660" s="312"/>
      <c r="H660" s="312"/>
      <c r="I660" s="313"/>
      <c r="J660" s="431"/>
      <c r="K660" s="313"/>
      <c r="L660" s="313"/>
      <c r="M660" s="313"/>
      <c r="N660" s="315"/>
      <c r="O660" s="313"/>
      <c r="P660" s="313"/>
      <c r="Q660" s="432"/>
      <c r="R660" s="313"/>
      <c r="S660" s="313"/>
      <c r="T660" s="317"/>
      <c r="U660" s="433"/>
      <c r="V660" s="288"/>
      <c r="W660" s="220"/>
      <c r="X660" s="220"/>
      <c r="Y660" s="220"/>
      <c r="Z660" s="220"/>
      <c r="AA660" s="220"/>
      <c r="AB660" s="220"/>
      <c r="AC660" s="220"/>
      <c r="AD660" s="220"/>
      <c r="AE660" s="220"/>
      <c r="AF660" s="220"/>
      <c r="AG660" s="308"/>
      <c r="AH660" s="220"/>
      <c r="AI660" s="220"/>
      <c r="AJ660" s="220"/>
      <c r="AK660" s="220"/>
      <c r="AL660" s="220"/>
      <c r="AM660" s="220"/>
    </row>
    <row r="661">
      <c r="A661" s="430"/>
      <c r="B661" s="311"/>
      <c r="C661" s="311"/>
      <c r="D661" s="312"/>
      <c r="E661" s="311"/>
      <c r="F661" s="311"/>
      <c r="G661" s="312"/>
      <c r="H661" s="312"/>
      <c r="I661" s="313"/>
      <c r="J661" s="431"/>
      <c r="K661" s="313"/>
      <c r="L661" s="313"/>
      <c r="M661" s="313"/>
      <c r="N661" s="315"/>
      <c r="O661" s="313"/>
      <c r="P661" s="313"/>
      <c r="Q661" s="432"/>
      <c r="R661" s="313"/>
      <c r="S661" s="313"/>
      <c r="T661" s="317"/>
      <c r="U661" s="433"/>
      <c r="V661" s="288"/>
      <c r="W661" s="220"/>
      <c r="X661" s="220"/>
      <c r="Y661" s="220"/>
      <c r="Z661" s="220"/>
      <c r="AA661" s="220"/>
      <c r="AB661" s="220"/>
      <c r="AC661" s="220"/>
      <c r="AD661" s="220"/>
      <c r="AE661" s="220"/>
      <c r="AF661" s="220"/>
      <c r="AG661" s="308"/>
      <c r="AH661" s="220"/>
      <c r="AI661" s="220"/>
      <c r="AJ661" s="220"/>
      <c r="AK661" s="220"/>
      <c r="AL661" s="220"/>
      <c r="AM661" s="220"/>
    </row>
    <row r="662">
      <c r="A662" s="430"/>
      <c r="B662" s="311"/>
      <c r="C662" s="311"/>
      <c r="D662" s="312"/>
      <c r="E662" s="311"/>
      <c r="F662" s="311"/>
      <c r="G662" s="312"/>
      <c r="H662" s="312"/>
      <c r="I662" s="313"/>
      <c r="J662" s="431"/>
      <c r="K662" s="313"/>
      <c r="L662" s="313"/>
      <c r="M662" s="313"/>
      <c r="N662" s="315"/>
      <c r="O662" s="313"/>
      <c r="P662" s="313"/>
      <c r="Q662" s="432"/>
      <c r="R662" s="313"/>
      <c r="S662" s="313"/>
      <c r="T662" s="317"/>
      <c r="U662" s="433"/>
      <c r="V662" s="288"/>
      <c r="W662" s="220"/>
      <c r="X662" s="220"/>
      <c r="Y662" s="220"/>
      <c r="Z662" s="220"/>
      <c r="AA662" s="220"/>
      <c r="AB662" s="220"/>
      <c r="AC662" s="220"/>
      <c r="AD662" s="220"/>
      <c r="AE662" s="220"/>
      <c r="AF662" s="220"/>
      <c r="AG662" s="308"/>
      <c r="AH662" s="220"/>
      <c r="AI662" s="220"/>
      <c r="AJ662" s="220"/>
      <c r="AK662" s="220"/>
      <c r="AL662" s="220"/>
      <c r="AM662" s="220"/>
    </row>
    <row r="663">
      <c r="A663" s="430"/>
      <c r="B663" s="311"/>
      <c r="C663" s="311"/>
      <c r="D663" s="312"/>
      <c r="E663" s="311"/>
      <c r="F663" s="311"/>
      <c r="G663" s="312"/>
      <c r="H663" s="312"/>
      <c r="I663" s="313"/>
      <c r="J663" s="431"/>
      <c r="K663" s="313"/>
      <c r="L663" s="313"/>
      <c r="M663" s="313"/>
      <c r="N663" s="315"/>
      <c r="O663" s="313"/>
      <c r="P663" s="313"/>
      <c r="Q663" s="432"/>
      <c r="R663" s="313"/>
      <c r="S663" s="313"/>
      <c r="T663" s="317"/>
      <c r="U663" s="433"/>
      <c r="V663" s="288"/>
      <c r="W663" s="220"/>
      <c r="X663" s="220"/>
      <c r="Y663" s="220"/>
      <c r="Z663" s="220"/>
      <c r="AA663" s="220"/>
      <c r="AB663" s="220"/>
      <c r="AC663" s="220"/>
      <c r="AD663" s="220"/>
      <c r="AE663" s="220"/>
      <c r="AF663" s="220"/>
      <c r="AG663" s="308"/>
      <c r="AH663" s="220"/>
      <c r="AI663" s="220"/>
      <c r="AJ663" s="220"/>
      <c r="AK663" s="220"/>
      <c r="AL663" s="220"/>
      <c r="AM663" s="220"/>
    </row>
    <row r="664">
      <c r="A664" s="430"/>
      <c r="B664" s="311"/>
      <c r="C664" s="311"/>
      <c r="D664" s="312"/>
      <c r="E664" s="311"/>
      <c r="F664" s="311"/>
      <c r="G664" s="312"/>
      <c r="H664" s="312"/>
      <c r="I664" s="313"/>
      <c r="J664" s="431"/>
      <c r="K664" s="313"/>
      <c r="L664" s="313"/>
      <c r="M664" s="313"/>
      <c r="N664" s="315"/>
      <c r="O664" s="313"/>
      <c r="P664" s="313"/>
      <c r="Q664" s="432"/>
      <c r="R664" s="313"/>
      <c r="S664" s="313"/>
      <c r="T664" s="317"/>
      <c r="U664" s="433"/>
      <c r="V664" s="288"/>
      <c r="W664" s="220"/>
      <c r="X664" s="220"/>
      <c r="Y664" s="220"/>
      <c r="Z664" s="220"/>
      <c r="AA664" s="220"/>
      <c r="AB664" s="220"/>
      <c r="AC664" s="220"/>
      <c r="AD664" s="220"/>
      <c r="AE664" s="220"/>
      <c r="AF664" s="220"/>
      <c r="AG664" s="308"/>
      <c r="AH664" s="220"/>
      <c r="AI664" s="220"/>
      <c r="AJ664" s="220"/>
      <c r="AK664" s="220"/>
      <c r="AL664" s="220"/>
      <c r="AM664" s="220"/>
    </row>
    <row r="665">
      <c r="A665" s="430"/>
      <c r="B665" s="311"/>
      <c r="C665" s="311"/>
      <c r="D665" s="312"/>
      <c r="E665" s="311"/>
      <c r="F665" s="311"/>
      <c r="G665" s="312"/>
      <c r="H665" s="312"/>
      <c r="I665" s="313"/>
      <c r="J665" s="431"/>
      <c r="K665" s="313"/>
      <c r="L665" s="313"/>
      <c r="M665" s="313"/>
      <c r="N665" s="315"/>
      <c r="O665" s="313"/>
      <c r="P665" s="313"/>
      <c r="Q665" s="432"/>
      <c r="R665" s="313"/>
      <c r="S665" s="313"/>
      <c r="T665" s="317"/>
      <c r="U665" s="433"/>
      <c r="V665" s="288"/>
      <c r="W665" s="220"/>
      <c r="X665" s="220"/>
      <c r="Y665" s="220"/>
      <c r="Z665" s="220"/>
      <c r="AA665" s="220"/>
      <c r="AB665" s="220"/>
      <c r="AC665" s="220"/>
      <c r="AD665" s="220"/>
      <c r="AE665" s="220"/>
      <c r="AF665" s="220"/>
      <c r="AG665" s="308"/>
      <c r="AH665" s="220"/>
      <c r="AI665" s="220"/>
      <c r="AJ665" s="220"/>
      <c r="AK665" s="220"/>
      <c r="AL665" s="220"/>
      <c r="AM665" s="220"/>
    </row>
    <row r="666">
      <c r="A666" s="430"/>
      <c r="B666" s="311"/>
      <c r="C666" s="311"/>
      <c r="D666" s="312"/>
      <c r="E666" s="311"/>
      <c r="F666" s="311"/>
      <c r="G666" s="312"/>
      <c r="H666" s="312"/>
      <c r="I666" s="313"/>
      <c r="J666" s="431"/>
      <c r="K666" s="313"/>
      <c r="L666" s="313"/>
      <c r="M666" s="313"/>
      <c r="N666" s="315"/>
      <c r="O666" s="313"/>
      <c r="P666" s="313"/>
      <c r="Q666" s="432"/>
      <c r="R666" s="313"/>
      <c r="S666" s="313"/>
      <c r="T666" s="317"/>
      <c r="U666" s="433"/>
      <c r="V666" s="288"/>
      <c r="W666" s="220"/>
      <c r="X666" s="220"/>
      <c r="Y666" s="220"/>
      <c r="Z666" s="220"/>
      <c r="AA666" s="220"/>
      <c r="AB666" s="220"/>
      <c r="AC666" s="220"/>
      <c r="AD666" s="220"/>
      <c r="AE666" s="220"/>
      <c r="AF666" s="220"/>
      <c r="AG666" s="308"/>
      <c r="AH666" s="220"/>
      <c r="AI666" s="220"/>
      <c r="AJ666" s="220"/>
      <c r="AK666" s="220"/>
      <c r="AL666" s="220"/>
      <c r="AM666" s="220"/>
    </row>
    <row r="667">
      <c r="A667" s="430"/>
      <c r="B667" s="311"/>
      <c r="C667" s="311"/>
      <c r="D667" s="312"/>
      <c r="E667" s="311"/>
      <c r="F667" s="311"/>
      <c r="G667" s="312"/>
      <c r="H667" s="312"/>
      <c r="I667" s="313"/>
      <c r="J667" s="431"/>
      <c r="K667" s="313"/>
      <c r="L667" s="313"/>
      <c r="M667" s="313"/>
      <c r="N667" s="315"/>
      <c r="O667" s="313"/>
      <c r="P667" s="313"/>
      <c r="Q667" s="432"/>
      <c r="R667" s="313"/>
      <c r="S667" s="313"/>
      <c r="T667" s="317"/>
      <c r="U667" s="433"/>
      <c r="V667" s="288"/>
      <c r="W667" s="220"/>
      <c r="X667" s="220"/>
      <c r="Y667" s="220"/>
      <c r="Z667" s="220"/>
      <c r="AA667" s="220"/>
      <c r="AB667" s="220"/>
      <c r="AC667" s="220"/>
      <c r="AD667" s="220"/>
      <c r="AE667" s="220"/>
      <c r="AF667" s="220"/>
      <c r="AG667" s="308"/>
      <c r="AH667" s="220"/>
      <c r="AI667" s="220"/>
      <c r="AJ667" s="220"/>
      <c r="AK667" s="220"/>
      <c r="AL667" s="220"/>
      <c r="AM667" s="220"/>
    </row>
    <row r="668">
      <c r="A668" s="430"/>
      <c r="B668" s="311"/>
      <c r="C668" s="311"/>
      <c r="D668" s="312"/>
      <c r="E668" s="311"/>
      <c r="F668" s="311"/>
      <c r="G668" s="312"/>
      <c r="H668" s="312"/>
      <c r="I668" s="313"/>
      <c r="J668" s="431"/>
      <c r="K668" s="313"/>
      <c r="L668" s="313"/>
      <c r="M668" s="313"/>
      <c r="N668" s="315"/>
      <c r="O668" s="313"/>
      <c r="P668" s="313"/>
      <c r="Q668" s="432"/>
      <c r="R668" s="313"/>
      <c r="S668" s="313"/>
      <c r="T668" s="317"/>
      <c r="U668" s="433"/>
      <c r="V668" s="288"/>
      <c r="W668" s="220"/>
      <c r="X668" s="220"/>
      <c r="Y668" s="220"/>
      <c r="Z668" s="220"/>
      <c r="AA668" s="220"/>
      <c r="AB668" s="220"/>
      <c r="AC668" s="220"/>
      <c r="AD668" s="220"/>
      <c r="AE668" s="220"/>
      <c r="AF668" s="220"/>
      <c r="AG668" s="308"/>
      <c r="AH668" s="220"/>
      <c r="AI668" s="220"/>
      <c r="AJ668" s="220"/>
      <c r="AK668" s="220"/>
      <c r="AL668" s="220"/>
      <c r="AM668" s="220"/>
    </row>
    <row r="669">
      <c r="A669" s="430"/>
      <c r="B669" s="311"/>
      <c r="C669" s="311"/>
      <c r="D669" s="312"/>
      <c r="E669" s="311"/>
      <c r="F669" s="311"/>
      <c r="G669" s="312"/>
      <c r="H669" s="312"/>
      <c r="I669" s="313"/>
      <c r="J669" s="431"/>
      <c r="K669" s="313"/>
      <c r="L669" s="313"/>
      <c r="M669" s="313"/>
      <c r="N669" s="315"/>
      <c r="O669" s="313"/>
      <c r="P669" s="313"/>
      <c r="Q669" s="432"/>
      <c r="R669" s="313"/>
      <c r="S669" s="313"/>
      <c r="T669" s="317"/>
      <c r="U669" s="433"/>
      <c r="V669" s="288"/>
      <c r="W669" s="220"/>
      <c r="X669" s="220"/>
      <c r="Y669" s="220"/>
      <c r="Z669" s="220"/>
      <c r="AA669" s="220"/>
      <c r="AB669" s="220"/>
      <c r="AC669" s="220"/>
      <c r="AD669" s="220"/>
      <c r="AE669" s="220"/>
      <c r="AF669" s="220"/>
      <c r="AG669" s="308"/>
      <c r="AH669" s="220"/>
      <c r="AI669" s="220"/>
      <c r="AJ669" s="220"/>
      <c r="AK669" s="220"/>
      <c r="AL669" s="220"/>
      <c r="AM669" s="220"/>
    </row>
    <row r="670">
      <c r="A670" s="430"/>
      <c r="B670" s="311"/>
      <c r="C670" s="311"/>
      <c r="D670" s="312"/>
      <c r="E670" s="311"/>
      <c r="F670" s="311"/>
      <c r="G670" s="312"/>
      <c r="H670" s="312"/>
      <c r="I670" s="313"/>
      <c r="J670" s="431"/>
      <c r="K670" s="313"/>
      <c r="L670" s="313"/>
      <c r="M670" s="313"/>
      <c r="N670" s="315"/>
      <c r="O670" s="313"/>
      <c r="P670" s="313"/>
      <c r="Q670" s="432"/>
      <c r="R670" s="313"/>
      <c r="S670" s="313"/>
      <c r="T670" s="317"/>
      <c r="U670" s="433"/>
      <c r="V670" s="288"/>
      <c r="W670" s="220"/>
      <c r="X670" s="220"/>
      <c r="Y670" s="220"/>
      <c r="Z670" s="220"/>
      <c r="AA670" s="220"/>
      <c r="AB670" s="220"/>
      <c r="AC670" s="220"/>
      <c r="AD670" s="220"/>
      <c r="AE670" s="220"/>
      <c r="AF670" s="220"/>
      <c r="AG670" s="308"/>
      <c r="AH670" s="220"/>
      <c r="AI670" s="220"/>
      <c r="AJ670" s="220"/>
      <c r="AK670" s="220"/>
      <c r="AL670" s="220"/>
      <c r="AM670" s="220"/>
    </row>
    <row r="671">
      <c r="A671" s="430"/>
      <c r="B671" s="311"/>
      <c r="C671" s="311"/>
      <c r="D671" s="312"/>
      <c r="E671" s="311"/>
      <c r="F671" s="311"/>
      <c r="G671" s="312"/>
      <c r="H671" s="312"/>
      <c r="I671" s="313"/>
      <c r="J671" s="431"/>
      <c r="K671" s="313"/>
      <c r="L671" s="313"/>
      <c r="M671" s="313"/>
      <c r="N671" s="315"/>
      <c r="O671" s="313"/>
      <c r="P671" s="313"/>
      <c r="Q671" s="432"/>
      <c r="R671" s="313"/>
      <c r="S671" s="313"/>
      <c r="T671" s="317"/>
      <c r="U671" s="433"/>
      <c r="V671" s="288"/>
      <c r="W671" s="220"/>
      <c r="X671" s="220"/>
      <c r="Y671" s="220"/>
      <c r="Z671" s="220"/>
      <c r="AA671" s="220"/>
      <c r="AB671" s="220"/>
      <c r="AC671" s="220"/>
      <c r="AD671" s="220"/>
      <c r="AE671" s="220"/>
      <c r="AF671" s="220"/>
      <c r="AG671" s="308"/>
      <c r="AH671" s="220"/>
      <c r="AI671" s="220"/>
      <c r="AJ671" s="220"/>
      <c r="AK671" s="220"/>
      <c r="AL671" s="220"/>
      <c r="AM671" s="220"/>
    </row>
    <row r="672">
      <c r="A672" s="430"/>
      <c r="B672" s="311"/>
      <c r="C672" s="311"/>
      <c r="D672" s="312"/>
      <c r="E672" s="311"/>
      <c r="F672" s="311"/>
      <c r="G672" s="312"/>
      <c r="H672" s="312"/>
      <c r="I672" s="313"/>
      <c r="J672" s="431"/>
      <c r="K672" s="313"/>
      <c r="L672" s="313"/>
      <c r="M672" s="313"/>
      <c r="N672" s="315"/>
      <c r="O672" s="313"/>
      <c r="P672" s="313"/>
      <c r="Q672" s="432"/>
      <c r="R672" s="313"/>
      <c r="S672" s="313"/>
      <c r="T672" s="317"/>
      <c r="U672" s="433"/>
      <c r="V672" s="288"/>
      <c r="W672" s="220"/>
      <c r="X672" s="220"/>
      <c r="Y672" s="220"/>
      <c r="Z672" s="220"/>
      <c r="AA672" s="220"/>
      <c r="AB672" s="220"/>
      <c r="AC672" s="220"/>
      <c r="AD672" s="220"/>
      <c r="AE672" s="220"/>
      <c r="AF672" s="220"/>
      <c r="AG672" s="308"/>
      <c r="AH672" s="220"/>
      <c r="AI672" s="220"/>
      <c r="AJ672" s="220"/>
      <c r="AK672" s="220"/>
      <c r="AL672" s="220"/>
      <c r="AM672" s="220"/>
    </row>
    <row r="673">
      <c r="A673" s="430"/>
      <c r="B673" s="311"/>
      <c r="C673" s="311"/>
      <c r="D673" s="312"/>
      <c r="E673" s="311"/>
      <c r="F673" s="311"/>
      <c r="G673" s="312"/>
      <c r="H673" s="312"/>
      <c r="I673" s="313"/>
      <c r="J673" s="431"/>
      <c r="K673" s="313"/>
      <c r="L673" s="313"/>
      <c r="M673" s="313"/>
      <c r="N673" s="315"/>
      <c r="O673" s="313"/>
      <c r="P673" s="313"/>
      <c r="Q673" s="432"/>
      <c r="R673" s="313"/>
      <c r="S673" s="313"/>
      <c r="T673" s="317"/>
      <c r="U673" s="433"/>
      <c r="V673" s="288"/>
      <c r="W673" s="220"/>
      <c r="X673" s="220"/>
      <c r="Y673" s="220"/>
      <c r="Z673" s="220"/>
      <c r="AA673" s="220"/>
      <c r="AB673" s="220"/>
      <c r="AC673" s="220"/>
      <c r="AD673" s="220"/>
      <c r="AE673" s="220"/>
      <c r="AF673" s="220"/>
      <c r="AG673" s="308"/>
      <c r="AH673" s="220"/>
      <c r="AI673" s="220"/>
      <c r="AJ673" s="220"/>
      <c r="AK673" s="220"/>
      <c r="AL673" s="220"/>
      <c r="AM673" s="220"/>
    </row>
    <row r="674">
      <c r="A674" s="430"/>
      <c r="B674" s="311"/>
      <c r="C674" s="311"/>
      <c r="D674" s="312"/>
      <c r="E674" s="311"/>
      <c r="F674" s="311"/>
      <c r="G674" s="312"/>
      <c r="H674" s="312"/>
      <c r="I674" s="313"/>
      <c r="J674" s="431"/>
      <c r="K674" s="313"/>
      <c r="L674" s="313"/>
      <c r="M674" s="313"/>
      <c r="N674" s="315"/>
      <c r="O674" s="313"/>
      <c r="P674" s="313"/>
      <c r="Q674" s="432"/>
      <c r="R674" s="313"/>
      <c r="S674" s="313"/>
      <c r="T674" s="317"/>
      <c r="U674" s="433"/>
      <c r="V674" s="288"/>
      <c r="W674" s="220"/>
      <c r="X674" s="220"/>
      <c r="Y674" s="220"/>
      <c r="Z674" s="220"/>
      <c r="AA674" s="220"/>
      <c r="AB674" s="220"/>
      <c r="AC674" s="220"/>
      <c r="AD674" s="220"/>
      <c r="AE674" s="220"/>
      <c r="AF674" s="220"/>
      <c r="AG674" s="308"/>
      <c r="AH674" s="220"/>
      <c r="AI674" s="220"/>
      <c r="AJ674" s="220"/>
      <c r="AK674" s="220"/>
      <c r="AL674" s="220"/>
      <c r="AM674" s="220"/>
    </row>
    <row r="675">
      <c r="A675" s="430"/>
      <c r="B675" s="311"/>
      <c r="C675" s="311"/>
      <c r="D675" s="312"/>
      <c r="E675" s="311"/>
      <c r="F675" s="311"/>
      <c r="G675" s="312"/>
      <c r="H675" s="312"/>
      <c r="I675" s="313"/>
      <c r="J675" s="431"/>
      <c r="K675" s="313"/>
      <c r="L675" s="313"/>
      <c r="M675" s="313"/>
      <c r="N675" s="315"/>
      <c r="O675" s="313"/>
      <c r="P675" s="313"/>
      <c r="Q675" s="432"/>
      <c r="R675" s="313"/>
      <c r="S675" s="313"/>
      <c r="T675" s="317"/>
      <c r="U675" s="433"/>
      <c r="V675" s="288"/>
      <c r="W675" s="220"/>
      <c r="X675" s="220"/>
      <c r="Y675" s="220"/>
      <c r="Z675" s="220"/>
      <c r="AA675" s="220"/>
      <c r="AB675" s="220"/>
      <c r="AC675" s="220"/>
      <c r="AD675" s="220"/>
      <c r="AE675" s="220"/>
      <c r="AF675" s="220"/>
      <c r="AG675" s="308"/>
      <c r="AH675" s="220"/>
      <c r="AI675" s="220"/>
      <c r="AJ675" s="220"/>
      <c r="AK675" s="220"/>
      <c r="AL675" s="220"/>
      <c r="AM675" s="220"/>
    </row>
    <row r="676">
      <c r="A676" s="430"/>
      <c r="B676" s="311"/>
      <c r="C676" s="311"/>
      <c r="D676" s="312"/>
      <c r="E676" s="311"/>
      <c r="F676" s="311"/>
      <c r="G676" s="312"/>
      <c r="H676" s="312"/>
      <c r="I676" s="313"/>
      <c r="J676" s="431"/>
      <c r="K676" s="313"/>
      <c r="L676" s="313"/>
      <c r="M676" s="313"/>
      <c r="N676" s="315"/>
      <c r="O676" s="313"/>
      <c r="P676" s="313"/>
      <c r="Q676" s="432"/>
      <c r="R676" s="313"/>
      <c r="S676" s="313"/>
      <c r="T676" s="317"/>
      <c r="U676" s="433"/>
      <c r="V676" s="288"/>
      <c r="W676" s="220"/>
      <c r="X676" s="220"/>
      <c r="Y676" s="220"/>
      <c r="Z676" s="220"/>
      <c r="AA676" s="220"/>
      <c r="AB676" s="220"/>
      <c r="AC676" s="220"/>
      <c r="AD676" s="220"/>
      <c r="AE676" s="220"/>
      <c r="AF676" s="220"/>
      <c r="AG676" s="308"/>
      <c r="AH676" s="220"/>
      <c r="AI676" s="220"/>
      <c r="AJ676" s="220"/>
      <c r="AK676" s="220"/>
      <c r="AL676" s="220"/>
      <c r="AM676" s="220"/>
    </row>
    <row r="677">
      <c r="A677" s="430"/>
      <c r="B677" s="311"/>
      <c r="C677" s="311"/>
      <c r="D677" s="312"/>
      <c r="E677" s="311"/>
      <c r="F677" s="311"/>
      <c r="G677" s="312"/>
      <c r="H677" s="312"/>
      <c r="I677" s="313"/>
      <c r="J677" s="431"/>
      <c r="K677" s="313"/>
      <c r="L677" s="313"/>
      <c r="M677" s="313"/>
      <c r="N677" s="315"/>
      <c r="O677" s="313"/>
      <c r="P677" s="313"/>
      <c r="Q677" s="432"/>
      <c r="R677" s="313"/>
      <c r="S677" s="313"/>
      <c r="T677" s="317"/>
      <c r="U677" s="433"/>
      <c r="V677" s="288"/>
      <c r="W677" s="220"/>
      <c r="X677" s="220"/>
      <c r="Y677" s="220"/>
      <c r="Z677" s="220"/>
      <c r="AA677" s="220"/>
      <c r="AB677" s="220"/>
      <c r="AC677" s="220"/>
      <c r="AD677" s="220"/>
      <c r="AE677" s="220"/>
      <c r="AF677" s="220"/>
      <c r="AG677" s="308"/>
      <c r="AH677" s="220"/>
      <c r="AI677" s="220"/>
      <c r="AJ677" s="220"/>
      <c r="AK677" s="220"/>
      <c r="AL677" s="220"/>
      <c r="AM677" s="220"/>
    </row>
    <row r="678">
      <c r="A678" s="430"/>
      <c r="B678" s="311"/>
      <c r="C678" s="311"/>
      <c r="D678" s="312"/>
      <c r="E678" s="311"/>
      <c r="F678" s="311"/>
      <c r="G678" s="312"/>
      <c r="H678" s="312"/>
      <c r="I678" s="313"/>
      <c r="J678" s="431"/>
      <c r="K678" s="313"/>
      <c r="L678" s="313"/>
      <c r="M678" s="313"/>
      <c r="N678" s="315"/>
      <c r="O678" s="313"/>
      <c r="P678" s="313"/>
      <c r="Q678" s="432"/>
      <c r="R678" s="313"/>
      <c r="S678" s="313"/>
      <c r="T678" s="317"/>
      <c r="U678" s="433"/>
      <c r="V678" s="288"/>
      <c r="W678" s="220"/>
      <c r="X678" s="220"/>
      <c r="Y678" s="220"/>
      <c r="Z678" s="220"/>
      <c r="AA678" s="220"/>
      <c r="AB678" s="220"/>
      <c r="AC678" s="220"/>
      <c r="AD678" s="220"/>
      <c r="AE678" s="220"/>
      <c r="AF678" s="220"/>
      <c r="AG678" s="308"/>
      <c r="AH678" s="220"/>
      <c r="AI678" s="220"/>
      <c r="AJ678" s="220"/>
      <c r="AK678" s="220"/>
      <c r="AL678" s="220"/>
      <c r="AM678" s="220"/>
    </row>
    <row r="679">
      <c r="A679" s="430"/>
      <c r="B679" s="311"/>
      <c r="C679" s="311"/>
      <c r="D679" s="312"/>
      <c r="E679" s="311"/>
      <c r="F679" s="311"/>
      <c r="G679" s="312"/>
      <c r="H679" s="312"/>
      <c r="I679" s="313"/>
      <c r="J679" s="431"/>
      <c r="K679" s="313"/>
      <c r="L679" s="313"/>
      <c r="M679" s="313"/>
      <c r="N679" s="315"/>
      <c r="O679" s="313"/>
      <c r="P679" s="313"/>
      <c r="Q679" s="432"/>
      <c r="R679" s="313"/>
      <c r="S679" s="313"/>
      <c r="T679" s="317"/>
      <c r="U679" s="433"/>
      <c r="V679" s="288"/>
      <c r="W679" s="220"/>
      <c r="X679" s="220"/>
      <c r="Y679" s="220"/>
      <c r="Z679" s="220"/>
      <c r="AA679" s="220"/>
      <c r="AB679" s="220"/>
      <c r="AC679" s="220"/>
      <c r="AD679" s="220"/>
      <c r="AE679" s="220"/>
      <c r="AF679" s="220"/>
      <c r="AG679" s="308"/>
      <c r="AH679" s="220"/>
      <c r="AI679" s="220"/>
      <c r="AJ679" s="220"/>
      <c r="AK679" s="220"/>
      <c r="AL679" s="220"/>
      <c r="AM679" s="220"/>
    </row>
    <row r="680">
      <c r="A680" s="430"/>
      <c r="B680" s="311"/>
      <c r="C680" s="311"/>
      <c r="D680" s="312"/>
      <c r="E680" s="311"/>
      <c r="F680" s="311"/>
      <c r="G680" s="312"/>
      <c r="H680" s="312"/>
      <c r="I680" s="313"/>
      <c r="J680" s="431"/>
      <c r="K680" s="313"/>
      <c r="L680" s="313"/>
      <c r="M680" s="313"/>
      <c r="N680" s="315"/>
      <c r="O680" s="313"/>
      <c r="P680" s="313"/>
      <c r="Q680" s="432"/>
      <c r="R680" s="313"/>
      <c r="S680" s="313"/>
      <c r="T680" s="317"/>
      <c r="U680" s="433"/>
      <c r="V680" s="288"/>
      <c r="W680" s="220"/>
      <c r="X680" s="220"/>
      <c r="Y680" s="220"/>
      <c r="Z680" s="220"/>
      <c r="AA680" s="220"/>
      <c r="AB680" s="220"/>
      <c r="AC680" s="220"/>
      <c r="AD680" s="220"/>
      <c r="AE680" s="220"/>
      <c r="AF680" s="220"/>
      <c r="AG680" s="308"/>
      <c r="AH680" s="220"/>
      <c r="AI680" s="220"/>
      <c r="AJ680" s="220"/>
      <c r="AK680" s="220"/>
      <c r="AL680" s="220"/>
      <c r="AM680" s="220"/>
    </row>
    <row r="681">
      <c r="A681" s="430"/>
      <c r="B681" s="311"/>
      <c r="C681" s="311"/>
      <c r="D681" s="312"/>
      <c r="E681" s="311"/>
      <c r="F681" s="311"/>
      <c r="G681" s="312"/>
      <c r="H681" s="312"/>
      <c r="I681" s="313"/>
      <c r="J681" s="431"/>
      <c r="K681" s="313"/>
      <c r="L681" s="313"/>
      <c r="M681" s="313"/>
      <c r="N681" s="315"/>
      <c r="O681" s="313"/>
      <c r="P681" s="313"/>
      <c r="Q681" s="432"/>
      <c r="R681" s="313"/>
      <c r="S681" s="313"/>
      <c r="T681" s="317"/>
      <c r="U681" s="433"/>
      <c r="V681" s="288"/>
      <c r="W681" s="220"/>
      <c r="X681" s="220"/>
      <c r="Y681" s="220"/>
      <c r="Z681" s="220"/>
      <c r="AA681" s="220"/>
      <c r="AB681" s="220"/>
      <c r="AC681" s="220"/>
      <c r="AD681" s="220"/>
      <c r="AE681" s="220"/>
      <c r="AF681" s="220"/>
      <c r="AG681" s="308"/>
      <c r="AH681" s="220"/>
      <c r="AI681" s="220"/>
      <c r="AJ681" s="220"/>
      <c r="AK681" s="220"/>
      <c r="AL681" s="220"/>
      <c r="AM681" s="220"/>
    </row>
    <row r="682">
      <c r="A682" s="430"/>
      <c r="B682" s="311"/>
      <c r="C682" s="311"/>
      <c r="D682" s="312"/>
      <c r="E682" s="311"/>
      <c r="F682" s="311"/>
      <c r="G682" s="312"/>
      <c r="H682" s="312"/>
      <c r="I682" s="313"/>
      <c r="J682" s="431"/>
      <c r="K682" s="313"/>
      <c r="L682" s="313"/>
      <c r="M682" s="313"/>
      <c r="N682" s="315"/>
      <c r="O682" s="313"/>
      <c r="P682" s="313"/>
      <c r="Q682" s="432"/>
      <c r="R682" s="313"/>
      <c r="S682" s="313"/>
      <c r="T682" s="317"/>
      <c r="U682" s="433"/>
      <c r="V682" s="288"/>
      <c r="W682" s="220"/>
      <c r="X682" s="220"/>
      <c r="Y682" s="220"/>
      <c r="Z682" s="220"/>
      <c r="AA682" s="220"/>
      <c r="AB682" s="220"/>
      <c r="AC682" s="220"/>
      <c r="AD682" s="220"/>
      <c r="AE682" s="220"/>
      <c r="AF682" s="220"/>
      <c r="AG682" s="308"/>
      <c r="AH682" s="220"/>
      <c r="AI682" s="220"/>
      <c r="AJ682" s="220"/>
      <c r="AK682" s="220"/>
      <c r="AL682" s="220"/>
      <c r="AM682" s="220"/>
    </row>
    <row r="683">
      <c r="A683" s="430"/>
      <c r="B683" s="311"/>
      <c r="C683" s="311"/>
      <c r="D683" s="312"/>
      <c r="E683" s="311"/>
      <c r="F683" s="311"/>
      <c r="G683" s="312"/>
      <c r="H683" s="312"/>
      <c r="I683" s="313"/>
      <c r="J683" s="431"/>
      <c r="K683" s="313"/>
      <c r="L683" s="313"/>
      <c r="M683" s="313"/>
      <c r="N683" s="315"/>
      <c r="O683" s="313"/>
      <c r="P683" s="313"/>
      <c r="Q683" s="432"/>
      <c r="R683" s="313"/>
      <c r="S683" s="313"/>
      <c r="T683" s="317"/>
      <c r="U683" s="433"/>
      <c r="V683" s="288"/>
      <c r="W683" s="220"/>
      <c r="X683" s="220"/>
      <c r="Y683" s="220"/>
      <c r="Z683" s="220"/>
      <c r="AA683" s="220"/>
      <c r="AB683" s="220"/>
      <c r="AC683" s="220"/>
      <c r="AD683" s="220"/>
      <c r="AE683" s="220"/>
      <c r="AF683" s="220"/>
      <c r="AG683" s="308"/>
      <c r="AH683" s="220"/>
      <c r="AI683" s="220"/>
      <c r="AJ683" s="220"/>
      <c r="AK683" s="220"/>
      <c r="AL683" s="220"/>
      <c r="AM683" s="220"/>
    </row>
    <row r="684">
      <c r="A684" s="430"/>
      <c r="B684" s="311"/>
      <c r="C684" s="311"/>
      <c r="D684" s="312"/>
      <c r="E684" s="311"/>
      <c r="F684" s="311"/>
      <c r="G684" s="312"/>
      <c r="H684" s="312"/>
      <c r="I684" s="313"/>
      <c r="J684" s="431"/>
      <c r="K684" s="313"/>
      <c r="L684" s="313"/>
      <c r="M684" s="313"/>
      <c r="N684" s="315"/>
      <c r="O684" s="313"/>
      <c r="P684" s="313"/>
      <c r="Q684" s="432"/>
      <c r="R684" s="313"/>
      <c r="S684" s="313"/>
      <c r="T684" s="317"/>
      <c r="U684" s="433"/>
      <c r="V684" s="288"/>
      <c r="W684" s="220"/>
      <c r="X684" s="220"/>
      <c r="Y684" s="220"/>
      <c r="Z684" s="220"/>
      <c r="AA684" s="220"/>
      <c r="AB684" s="220"/>
      <c r="AC684" s="220"/>
      <c r="AD684" s="220"/>
      <c r="AE684" s="220"/>
      <c r="AF684" s="220"/>
      <c r="AG684" s="308"/>
      <c r="AH684" s="220"/>
      <c r="AI684" s="220"/>
      <c r="AJ684" s="220"/>
      <c r="AK684" s="220"/>
      <c r="AL684" s="220"/>
      <c r="AM684" s="220"/>
    </row>
    <row r="685">
      <c r="A685" s="430"/>
      <c r="B685" s="311"/>
      <c r="C685" s="311"/>
      <c r="D685" s="312"/>
      <c r="E685" s="311"/>
      <c r="F685" s="311"/>
      <c r="G685" s="312"/>
      <c r="H685" s="312"/>
      <c r="I685" s="313"/>
      <c r="J685" s="431"/>
      <c r="K685" s="313"/>
      <c r="L685" s="313"/>
      <c r="M685" s="313"/>
      <c r="N685" s="315"/>
      <c r="O685" s="313"/>
      <c r="P685" s="313"/>
      <c r="Q685" s="432"/>
      <c r="R685" s="313"/>
      <c r="S685" s="313"/>
      <c r="T685" s="317"/>
      <c r="U685" s="433"/>
      <c r="V685" s="288"/>
      <c r="W685" s="220"/>
      <c r="X685" s="220"/>
      <c r="Y685" s="220"/>
      <c r="Z685" s="220"/>
      <c r="AA685" s="220"/>
      <c r="AB685" s="220"/>
      <c r="AC685" s="220"/>
      <c r="AD685" s="220"/>
      <c r="AE685" s="220"/>
      <c r="AF685" s="220"/>
      <c r="AG685" s="308"/>
      <c r="AH685" s="220"/>
      <c r="AI685" s="220"/>
      <c r="AJ685" s="220"/>
      <c r="AK685" s="220"/>
      <c r="AL685" s="220"/>
      <c r="AM685" s="220"/>
    </row>
    <row r="686">
      <c r="A686" s="430"/>
      <c r="B686" s="311"/>
      <c r="C686" s="311"/>
      <c r="D686" s="312"/>
      <c r="E686" s="311"/>
      <c r="F686" s="311"/>
      <c r="G686" s="312"/>
      <c r="H686" s="312"/>
      <c r="I686" s="313"/>
      <c r="J686" s="431"/>
      <c r="K686" s="313"/>
      <c r="L686" s="313"/>
      <c r="M686" s="313"/>
      <c r="N686" s="315"/>
      <c r="O686" s="313"/>
      <c r="P686" s="313"/>
      <c r="Q686" s="432"/>
      <c r="R686" s="313"/>
      <c r="S686" s="313"/>
      <c r="T686" s="317"/>
      <c r="U686" s="433"/>
      <c r="V686" s="288"/>
      <c r="W686" s="220"/>
      <c r="X686" s="220"/>
      <c r="Y686" s="220"/>
      <c r="Z686" s="220"/>
      <c r="AA686" s="220"/>
      <c r="AB686" s="220"/>
      <c r="AC686" s="220"/>
      <c r="AD686" s="220"/>
      <c r="AE686" s="220"/>
      <c r="AF686" s="220"/>
      <c r="AG686" s="308"/>
      <c r="AH686" s="220"/>
      <c r="AI686" s="220"/>
      <c r="AJ686" s="220"/>
      <c r="AK686" s="220"/>
      <c r="AL686" s="220"/>
      <c r="AM686" s="220"/>
    </row>
    <row r="687">
      <c r="A687" s="430"/>
      <c r="B687" s="311"/>
      <c r="C687" s="311"/>
      <c r="D687" s="312"/>
      <c r="E687" s="311"/>
      <c r="F687" s="311"/>
      <c r="G687" s="312"/>
      <c r="H687" s="312"/>
      <c r="I687" s="313"/>
      <c r="J687" s="431"/>
      <c r="K687" s="313"/>
      <c r="L687" s="313"/>
      <c r="M687" s="313"/>
      <c r="N687" s="315"/>
      <c r="O687" s="313"/>
      <c r="P687" s="313"/>
      <c r="Q687" s="432"/>
      <c r="R687" s="313"/>
      <c r="S687" s="313"/>
      <c r="T687" s="317"/>
      <c r="U687" s="433"/>
      <c r="V687" s="288"/>
      <c r="W687" s="220"/>
      <c r="X687" s="220"/>
      <c r="Y687" s="220"/>
      <c r="Z687" s="220"/>
      <c r="AA687" s="220"/>
      <c r="AB687" s="220"/>
      <c r="AC687" s="220"/>
      <c r="AD687" s="220"/>
      <c r="AE687" s="220"/>
      <c r="AF687" s="220"/>
      <c r="AG687" s="308"/>
      <c r="AH687" s="220"/>
      <c r="AI687" s="220"/>
      <c r="AJ687" s="220"/>
      <c r="AK687" s="220"/>
      <c r="AL687" s="220"/>
      <c r="AM687" s="220"/>
    </row>
    <row r="688">
      <c r="A688" s="430"/>
      <c r="B688" s="311"/>
      <c r="C688" s="311"/>
      <c r="D688" s="312"/>
      <c r="E688" s="311"/>
      <c r="F688" s="311"/>
      <c r="G688" s="312"/>
      <c r="H688" s="312"/>
      <c r="I688" s="313"/>
      <c r="J688" s="431"/>
      <c r="K688" s="313"/>
      <c r="L688" s="313"/>
      <c r="M688" s="313"/>
      <c r="N688" s="315"/>
      <c r="O688" s="313"/>
      <c r="P688" s="313"/>
      <c r="Q688" s="432"/>
      <c r="R688" s="313"/>
      <c r="S688" s="313"/>
      <c r="T688" s="317"/>
      <c r="U688" s="433"/>
      <c r="V688" s="288"/>
      <c r="W688" s="220"/>
      <c r="X688" s="220"/>
      <c r="Y688" s="220"/>
      <c r="Z688" s="220"/>
      <c r="AA688" s="220"/>
      <c r="AB688" s="220"/>
      <c r="AC688" s="220"/>
      <c r="AD688" s="220"/>
      <c r="AE688" s="220"/>
      <c r="AF688" s="220"/>
      <c r="AG688" s="308"/>
      <c r="AH688" s="220"/>
      <c r="AI688" s="220"/>
      <c r="AJ688" s="220"/>
      <c r="AK688" s="220"/>
      <c r="AL688" s="220"/>
      <c r="AM688" s="220"/>
    </row>
    <row r="689">
      <c r="A689" s="430"/>
      <c r="B689" s="311"/>
      <c r="C689" s="311"/>
      <c r="D689" s="312"/>
      <c r="E689" s="311"/>
      <c r="F689" s="311"/>
      <c r="G689" s="312"/>
      <c r="H689" s="312"/>
      <c r="I689" s="313"/>
      <c r="J689" s="431"/>
      <c r="K689" s="313"/>
      <c r="L689" s="313"/>
      <c r="M689" s="313"/>
      <c r="N689" s="315"/>
      <c r="O689" s="313"/>
      <c r="P689" s="313"/>
      <c r="Q689" s="432"/>
      <c r="R689" s="313"/>
      <c r="S689" s="313"/>
      <c r="T689" s="317"/>
      <c r="U689" s="433"/>
      <c r="V689" s="288"/>
      <c r="W689" s="220"/>
      <c r="X689" s="220"/>
      <c r="Y689" s="220"/>
      <c r="Z689" s="220"/>
      <c r="AA689" s="220"/>
      <c r="AB689" s="220"/>
      <c r="AC689" s="220"/>
      <c r="AD689" s="220"/>
      <c r="AE689" s="220"/>
      <c r="AF689" s="220"/>
      <c r="AG689" s="308"/>
      <c r="AH689" s="220"/>
      <c r="AI689" s="220"/>
      <c r="AJ689" s="220"/>
      <c r="AK689" s="220"/>
      <c r="AL689" s="220"/>
      <c r="AM689" s="220"/>
    </row>
    <row r="690">
      <c r="A690" s="430"/>
      <c r="B690" s="311"/>
      <c r="C690" s="311"/>
      <c r="D690" s="312"/>
      <c r="E690" s="311"/>
      <c r="F690" s="311"/>
      <c r="G690" s="312"/>
      <c r="H690" s="312"/>
      <c r="I690" s="313"/>
      <c r="J690" s="431"/>
      <c r="K690" s="313"/>
      <c r="L690" s="313"/>
      <c r="M690" s="313"/>
      <c r="N690" s="315"/>
      <c r="O690" s="313"/>
      <c r="P690" s="313"/>
      <c r="Q690" s="432"/>
      <c r="R690" s="313"/>
      <c r="S690" s="313"/>
      <c r="T690" s="317"/>
      <c r="U690" s="433"/>
      <c r="V690" s="288"/>
      <c r="W690" s="220"/>
      <c r="X690" s="220"/>
      <c r="Y690" s="220"/>
      <c r="Z690" s="220"/>
      <c r="AA690" s="220"/>
      <c r="AB690" s="220"/>
      <c r="AC690" s="220"/>
      <c r="AD690" s="220"/>
      <c r="AE690" s="220"/>
      <c r="AF690" s="220"/>
      <c r="AG690" s="308"/>
      <c r="AH690" s="220"/>
      <c r="AI690" s="220"/>
      <c r="AJ690" s="220"/>
      <c r="AK690" s="220"/>
      <c r="AL690" s="220"/>
      <c r="AM690" s="220"/>
    </row>
    <row r="691">
      <c r="A691" s="430"/>
      <c r="B691" s="311"/>
      <c r="C691" s="311"/>
      <c r="D691" s="312"/>
      <c r="E691" s="311"/>
      <c r="F691" s="311"/>
      <c r="G691" s="312"/>
      <c r="H691" s="312"/>
      <c r="I691" s="313"/>
      <c r="J691" s="431"/>
      <c r="K691" s="313"/>
      <c r="L691" s="313"/>
      <c r="M691" s="313"/>
      <c r="N691" s="315"/>
      <c r="O691" s="313"/>
      <c r="P691" s="313"/>
      <c r="Q691" s="432"/>
      <c r="R691" s="313"/>
      <c r="S691" s="313"/>
      <c r="T691" s="317"/>
      <c r="U691" s="433"/>
      <c r="V691" s="288"/>
      <c r="W691" s="220"/>
      <c r="X691" s="220"/>
      <c r="Y691" s="220"/>
      <c r="Z691" s="220"/>
      <c r="AA691" s="220"/>
      <c r="AB691" s="220"/>
      <c r="AC691" s="220"/>
      <c r="AD691" s="220"/>
      <c r="AE691" s="220"/>
      <c r="AF691" s="220"/>
      <c r="AG691" s="308"/>
      <c r="AH691" s="220"/>
      <c r="AI691" s="220"/>
      <c r="AJ691" s="220"/>
      <c r="AK691" s="220"/>
      <c r="AL691" s="220"/>
      <c r="AM691" s="220"/>
    </row>
    <row r="692">
      <c r="A692" s="430"/>
      <c r="B692" s="311"/>
      <c r="C692" s="311"/>
      <c r="D692" s="312"/>
      <c r="E692" s="311"/>
      <c r="F692" s="311"/>
      <c r="G692" s="312"/>
      <c r="H692" s="312"/>
      <c r="I692" s="313"/>
      <c r="J692" s="431"/>
      <c r="K692" s="313"/>
      <c r="L692" s="313"/>
      <c r="M692" s="313"/>
      <c r="N692" s="315"/>
      <c r="O692" s="313"/>
      <c r="P692" s="313"/>
      <c r="Q692" s="432"/>
      <c r="R692" s="313"/>
      <c r="S692" s="313"/>
      <c r="T692" s="317"/>
      <c r="U692" s="433"/>
      <c r="V692" s="288"/>
      <c r="W692" s="220"/>
      <c r="X692" s="220"/>
      <c r="Y692" s="220"/>
      <c r="Z692" s="220"/>
      <c r="AA692" s="220"/>
      <c r="AB692" s="220"/>
      <c r="AC692" s="220"/>
      <c r="AD692" s="220"/>
      <c r="AE692" s="220"/>
      <c r="AF692" s="220"/>
      <c r="AG692" s="308"/>
      <c r="AH692" s="220"/>
      <c r="AI692" s="220"/>
      <c r="AJ692" s="220"/>
      <c r="AK692" s="220"/>
      <c r="AL692" s="220"/>
      <c r="AM692" s="220"/>
    </row>
    <row r="693">
      <c r="A693" s="430"/>
      <c r="B693" s="311"/>
      <c r="C693" s="311"/>
      <c r="D693" s="312"/>
      <c r="E693" s="311"/>
      <c r="F693" s="311"/>
      <c r="G693" s="312"/>
      <c r="H693" s="312"/>
      <c r="I693" s="313"/>
      <c r="J693" s="431"/>
      <c r="K693" s="313"/>
      <c r="L693" s="313"/>
      <c r="M693" s="313"/>
      <c r="N693" s="315"/>
      <c r="O693" s="313"/>
      <c r="P693" s="313"/>
      <c r="Q693" s="432"/>
      <c r="R693" s="313"/>
      <c r="S693" s="313"/>
      <c r="T693" s="317"/>
      <c r="U693" s="433"/>
      <c r="V693" s="288"/>
      <c r="W693" s="220"/>
      <c r="X693" s="220"/>
      <c r="Y693" s="220"/>
      <c r="Z693" s="220"/>
      <c r="AA693" s="220"/>
      <c r="AB693" s="220"/>
      <c r="AC693" s="220"/>
      <c r="AD693" s="220"/>
      <c r="AE693" s="220"/>
      <c r="AF693" s="220"/>
      <c r="AG693" s="308"/>
      <c r="AH693" s="220"/>
      <c r="AI693" s="220"/>
      <c r="AJ693" s="220"/>
      <c r="AK693" s="220"/>
      <c r="AL693" s="220"/>
      <c r="AM693" s="220"/>
    </row>
    <row r="694">
      <c r="A694" s="430"/>
      <c r="B694" s="311"/>
      <c r="C694" s="311"/>
      <c r="D694" s="312"/>
      <c r="E694" s="311"/>
      <c r="F694" s="311"/>
      <c r="G694" s="312"/>
      <c r="H694" s="312"/>
      <c r="I694" s="313"/>
      <c r="J694" s="431"/>
      <c r="K694" s="313"/>
      <c r="L694" s="313"/>
      <c r="M694" s="313"/>
      <c r="N694" s="315"/>
      <c r="O694" s="313"/>
      <c r="P694" s="313"/>
      <c r="Q694" s="432"/>
      <c r="R694" s="313"/>
      <c r="S694" s="313"/>
      <c r="T694" s="317"/>
      <c r="U694" s="433"/>
      <c r="V694" s="288"/>
      <c r="W694" s="220"/>
      <c r="X694" s="220"/>
      <c r="Y694" s="220"/>
      <c r="Z694" s="220"/>
      <c r="AA694" s="220"/>
      <c r="AB694" s="220"/>
      <c r="AC694" s="220"/>
      <c r="AD694" s="220"/>
      <c r="AE694" s="220"/>
      <c r="AF694" s="220"/>
      <c r="AG694" s="308"/>
      <c r="AH694" s="220"/>
      <c r="AI694" s="220"/>
      <c r="AJ694" s="220"/>
      <c r="AK694" s="220"/>
      <c r="AL694" s="220"/>
      <c r="AM694" s="220"/>
    </row>
    <row r="695">
      <c r="A695" s="430"/>
      <c r="B695" s="311"/>
      <c r="C695" s="311"/>
      <c r="D695" s="312"/>
      <c r="E695" s="311"/>
      <c r="F695" s="311"/>
      <c r="G695" s="312"/>
      <c r="H695" s="312"/>
      <c r="I695" s="313"/>
      <c r="J695" s="431"/>
      <c r="K695" s="313"/>
      <c r="L695" s="313"/>
      <c r="M695" s="313"/>
      <c r="N695" s="315"/>
      <c r="O695" s="313"/>
      <c r="P695" s="313"/>
      <c r="Q695" s="432"/>
      <c r="R695" s="313"/>
      <c r="S695" s="313"/>
      <c r="T695" s="317"/>
      <c r="U695" s="433"/>
      <c r="V695" s="288"/>
      <c r="W695" s="220"/>
      <c r="X695" s="220"/>
      <c r="Y695" s="220"/>
      <c r="Z695" s="220"/>
      <c r="AA695" s="220"/>
      <c r="AB695" s="220"/>
      <c r="AC695" s="220"/>
      <c r="AD695" s="220"/>
      <c r="AE695" s="220"/>
      <c r="AF695" s="220"/>
      <c r="AG695" s="308"/>
      <c r="AH695" s="220"/>
      <c r="AI695" s="220"/>
      <c r="AJ695" s="220"/>
      <c r="AK695" s="220"/>
      <c r="AL695" s="220"/>
      <c r="AM695" s="220"/>
    </row>
    <row r="696">
      <c r="A696" s="430"/>
      <c r="B696" s="311"/>
      <c r="C696" s="311"/>
      <c r="D696" s="312"/>
      <c r="E696" s="311"/>
      <c r="F696" s="311"/>
      <c r="G696" s="312"/>
      <c r="H696" s="312"/>
      <c r="I696" s="313"/>
      <c r="J696" s="431"/>
      <c r="K696" s="313"/>
      <c r="L696" s="313"/>
      <c r="M696" s="313"/>
      <c r="N696" s="315"/>
      <c r="O696" s="313"/>
      <c r="P696" s="313"/>
      <c r="Q696" s="432"/>
      <c r="R696" s="313"/>
      <c r="S696" s="313"/>
      <c r="T696" s="317"/>
      <c r="U696" s="433"/>
      <c r="V696" s="288"/>
      <c r="W696" s="220"/>
      <c r="X696" s="220"/>
      <c r="Y696" s="220"/>
      <c r="Z696" s="220"/>
      <c r="AA696" s="220"/>
      <c r="AB696" s="220"/>
      <c r="AC696" s="220"/>
      <c r="AD696" s="220"/>
      <c r="AE696" s="220"/>
      <c r="AF696" s="220"/>
      <c r="AG696" s="308"/>
      <c r="AH696" s="220"/>
      <c r="AI696" s="220"/>
      <c r="AJ696" s="220"/>
      <c r="AK696" s="220"/>
      <c r="AL696" s="220"/>
      <c r="AM696" s="220"/>
    </row>
    <row r="697">
      <c r="A697" s="430"/>
      <c r="B697" s="311"/>
      <c r="C697" s="311"/>
      <c r="D697" s="312"/>
      <c r="E697" s="311"/>
      <c r="F697" s="311"/>
      <c r="G697" s="312"/>
      <c r="H697" s="312"/>
      <c r="I697" s="313"/>
      <c r="J697" s="431"/>
      <c r="K697" s="313"/>
      <c r="L697" s="313"/>
      <c r="M697" s="313"/>
      <c r="N697" s="315"/>
      <c r="O697" s="313"/>
      <c r="P697" s="313"/>
      <c r="Q697" s="432"/>
      <c r="R697" s="313"/>
      <c r="S697" s="313"/>
      <c r="T697" s="317"/>
      <c r="U697" s="433"/>
      <c r="V697" s="288"/>
      <c r="W697" s="220"/>
      <c r="X697" s="220"/>
      <c r="Y697" s="220"/>
      <c r="Z697" s="220"/>
      <c r="AA697" s="220"/>
      <c r="AB697" s="220"/>
      <c r="AC697" s="220"/>
      <c r="AD697" s="220"/>
      <c r="AE697" s="220"/>
      <c r="AF697" s="220"/>
      <c r="AG697" s="308"/>
      <c r="AH697" s="220"/>
      <c r="AI697" s="220"/>
      <c r="AJ697" s="220"/>
      <c r="AK697" s="220"/>
      <c r="AL697" s="220"/>
      <c r="AM697" s="220"/>
    </row>
    <row r="698">
      <c r="A698" s="430"/>
      <c r="B698" s="311"/>
      <c r="C698" s="311"/>
      <c r="D698" s="312"/>
      <c r="E698" s="311"/>
      <c r="F698" s="311"/>
      <c r="G698" s="312"/>
      <c r="H698" s="312"/>
      <c r="I698" s="313"/>
      <c r="J698" s="431"/>
      <c r="K698" s="313"/>
      <c r="L698" s="313"/>
      <c r="M698" s="313"/>
      <c r="N698" s="315"/>
      <c r="O698" s="313"/>
      <c r="P698" s="313"/>
      <c r="Q698" s="432"/>
      <c r="R698" s="313"/>
      <c r="S698" s="313"/>
      <c r="T698" s="317"/>
      <c r="U698" s="433"/>
      <c r="V698" s="288"/>
      <c r="W698" s="220"/>
      <c r="X698" s="220"/>
      <c r="Y698" s="220"/>
      <c r="Z698" s="220"/>
      <c r="AA698" s="220"/>
      <c r="AB698" s="220"/>
      <c r="AC698" s="220"/>
      <c r="AD698" s="220"/>
      <c r="AE698" s="220"/>
      <c r="AF698" s="220"/>
      <c r="AG698" s="308"/>
      <c r="AH698" s="220"/>
      <c r="AI698" s="220"/>
      <c r="AJ698" s="220"/>
      <c r="AK698" s="220"/>
      <c r="AL698" s="220"/>
      <c r="AM698" s="220"/>
    </row>
    <row r="699">
      <c r="A699" s="430"/>
      <c r="B699" s="311"/>
      <c r="C699" s="311"/>
      <c r="D699" s="312"/>
      <c r="E699" s="311"/>
      <c r="F699" s="311"/>
      <c r="G699" s="312"/>
      <c r="H699" s="312"/>
      <c r="I699" s="313"/>
      <c r="J699" s="431"/>
      <c r="K699" s="313"/>
      <c r="L699" s="313"/>
      <c r="M699" s="313"/>
      <c r="N699" s="315"/>
      <c r="O699" s="313"/>
      <c r="P699" s="313"/>
      <c r="Q699" s="432"/>
      <c r="R699" s="313"/>
      <c r="S699" s="313"/>
      <c r="T699" s="317"/>
      <c r="U699" s="433"/>
      <c r="V699" s="288"/>
      <c r="W699" s="220"/>
      <c r="X699" s="220"/>
      <c r="Y699" s="220"/>
      <c r="Z699" s="220"/>
      <c r="AA699" s="220"/>
      <c r="AB699" s="220"/>
      <c r="AC699" s="220"/>
      <c r="AD699" s="220"/>
      <c r="AE699" s="220"/>
      <c r="AF699" s="220"/>
      <c r="AG699" s="308"/>
      <c r="AH699" s="220"/>
      <c r="AI699" s="220"/>
      <c r="AJ699" s="220"/>
      <c r="AK699" s="220"/>
      <c r="AL699" s="220"/>
      <c r="AM699" s="220"/>
    </row>
    <row r="700">
      <c r="A700" s="430"/>
      <c r="B700" s="311"/>
      <c r="C700" s="311"/>
      <c r="D700" s="312"/>
      <c r="E700" s="311"/>
      <c r="F700" s="311"/>
      <c r="G700" s="312"/>
      <c r="H700" s="312"/>
      <c r="I700" s="313"/>
      <c r="J700" s="431"/>
      <c r="K700" s="313"/>
      <c r="L700" s="313"/>
      <c r="M700" s="313"/>
      <c r="N700" s="315"/>
      <c r="O700" s="313"/>
      <c r="P700" s="313"/>
      <c r="Q700" s="432"/>
      <c r="R700" s="313"/>
      <c r="S700" s="313"/>
      <c r="T700" s="317"/>
      <c r="U700" s="433"/>
      <c r="V700" s="288"/>
      <c r="W700" s="220"/>
      <c r="X700" s="220"/>
      <c r="Y700" s="220"/>
      <c r="Z700" s="220"/>
      <c r="AA700" s="220"/>
      <c r="AB700" s="220"/>
      <c r="AC700" s="220"/>
      <c r="AD700" s="220"/>
      <c r="AE700" s="220"/>
      <c r="AF700" s="220"/>
      <c r="AG700" s="308"/>
      <c r="AH700" s="220"/>
      <c r="AI700" s="220"/>
      <c r="AJ700" s="220"/>
      <c r="AK700" s="220"/>
      <c r="AL700" s="220"/>
      <c r="AM700" s="220"/>
    </row>
    <row r="701">
      <c r="A701" s="430"/>
      <c r="B701" s="311"/>
      <c r="C701" s="311"/>
      <c r="D701" s="312"/>
      <c r="E701" s="311"/>
      <c r="F701" s="311"/>
      <c r="G701" s="312"/>
      <c r="H701" s="312"/>
      <c r="I701" s="313"/>
      <c r="J701" s="431"/>
      <c r="K701" s="313"/>
      <c r="L701" s="313"/>
      <c r="M701" s="313"/>
      <c r="N701" s="315"/>
      <c r="O701" s="313"/>
      <c r="P701" s="313"/>
      <c r="Q701" s="432"/>
      <c r="R701" s="313"/>
      <c r="S701" s="313"/>
      <c r="T701" s="317"/>
      <c r="U701" s="433"/>
      <c r="V701" s="288"/>
      <c r="W701" s="220"/>
      <c r="X701" s="220"/>
      <c r="Y701" s="220"/>
      <c r="Z701" s="220"/>
      <c r="AA701" s="220"/>
      <c r="AB701" s="220"/>
      <c r="AC701" s="220"/>
      <c r="AD701" s="220"/>
      <c r="AE701" s="220"/>
      <c r="AF701" s="220"/>
      <c r="AG701" s="308"/>
      <c r="AH701" s="220"/>
      <c r="AI701" s="220"/>
      <c r="AJ701" s="220"/>
      <c r="AK701" s="220"/>
      <c r="AL701" s="220"/>
      <c r="AM701" s="220"/>
    </row>
    <row r="702">
      <c r="A702" s="430"/>
      <c r="B702" s="311"/>
      <c r="C702" s="311"/>
      <c r="D702" s="312"/>
      <c r="E702" s="311"/>
      <c r="F702" s="311"/>
      <c r="G702" s="312"/>
      <c r="H702" s="312"/>
      <c r="I702" s="313"/>
      <c r="J702" s="431"/>
      <c r="K702" s="313"/>
      <c r="L702" s="313"/>
      <c r="M702" s="313"/>
      <c r="N702" s="315"/>
      <c r="O702" s="313"/>
      <c r="P702" s="313"/>
      <c r="Q702" s="432"/>
      <c r="R702" s="313"/>
      <c r="S702" s="313"/>
      <c r="T702" s="317"/>
      <c r="U702" s="433"/>
      <c r="V702" s="288"/>
      <c r="W702" s="220"/>
      <c r="X702" s="220"/>
      <c r="Y702" s="220"/>
      <c r="Z702" s="220"/>
      <c r="AA702" s="220"/>
      <c r="AB702" s="220"/>
      <c r="AC702" s="220"/>
      <c r="AD702" s="220"/>
      <c r="AE702" s="220"/>
      <c r="AF702" s="220"/>
      <c r="AG702" s="308"/>
      <c r="AH702" s="220"/>
      <c r="AI702" s="220"/>
      <c r="AJ702" s="220"/>
      <c r="AK702" s="220"/>
      <c r="AL702" s="220"/>
      <c r="AM702" s="220"/>
    </row>
    <row r="703">
      <c r="A703" s="430"/>
      <c r="B703" s="311"/>
      <c r="C703" s="311"/>
      <c r="D703" s="312"/>
      <c r="E703" s="311"/>
      <c r="F703" s="311"/>
      <c r="G703" s="312"/>
      <c r="H703" s="312"/>
      <c r="I703" s="313"/>
      <c r="J703" s="431"/>
      <c r="K703" s="313"/>
      <c r="L703" s="313"/>
      <c r="M703" s="313"/>
      <c r="N703" s="315"/>
      <c r="O703" s="313"/>
      <c r="P703" s="313"/>
      <c r="Q703" s="432"/>
      <c r="R703" s="313"/>
      <c r="S703" s="313"/>
      <c r="T703" s="317"/>
      <c r="U703" s="433"/>
      <c r="V703" s="288"/>
      <c r="W703" s="220"/>
      <c r="X703" s="220"/>
      <c r="Y703" s="220"/>
      <c r="Z703" s="220"/>
      <c r="AA703" s="220"/>
      <c r="AB703" s="220"/>
      <c r="AC703" s="220"/>
      <c r="AD703" s="220"/>
      <c r="AE703" s="220"/>
      <c r="AF703" s="220"/>
      <c r="AG703" s="308"/>
      <c r="AH703" s="220"/>
      <c r="AI703" s="220"/>
      <c r="AJ703" s="220"/>
      <c r="AK703" s="220"/>
      <c r="AL703" s="220"/>
      <c r="AM703" s="220"/>
    </row>
    <row r="704">
      <c r="A704" s="430"/>
      <c r="B704" s="311"/>
      <c r="C704" s="311"/>
      <c r="D704" s="312"/>
      <c r="E704" s="311"/>
      <c r="F704" s="311"/>
      <c r="G704" s="312"/>
      <c r="H704" s="312"/>
      <c r="I704" s="313"/>
      <c r="J704" s="431"/>
      <c r="K704" s="313"/>
      <c r="L704" s="313"/>
      <c r="M704" s="313"/>
      <c r="N704" s="315"/>
      <c r="O704" s="313"/>
      <c r="P704" s="313"/>
      <c r="Q704" s="432"/>
      <c r="R704" s="313"/>
      <c r="S704" s="313"/>
      <c r="T704" s="317"/>
      <c r="U704" s="433"/>
      <c r="V704" s="288"/>
      <c r="W704" s="220"/>
      <c r="X704" s="220"/>
      <c r="Y704" s="220"/>
      <c r="Z704" s="220"/>
      <c r="AA704" s="220"/>
      <c r="AB704" s="220"/>
      <c r="AC704" s="220"/>
      <c r="AD704" s="220"/>
      <c r="AE704" s="220"/>
      <c r="AF704" s="220"/>
      <c r="AG704" s="308"/>
      <c r="AH704" s="220"/>
      <c r="AI704" s="220"/>
      <c r="AJ704" s="220"/>
      <c r="AK704" s="220"/>
      <c r="AL704" s="220"/>
      <c r="AM704" s="220"/>
    </row>
    <row r="705">
      <c r="A705" s="430"/>
      <c r="B705" s="311"/>
      <c r="C705" s="311"/>
      <c r="D705" s="312"/>
      <c r="E705" s="311"/>
      <c r="F705" s="311"/>
      <c r="G705" s="312"/>
      <c r="H705" s="312"/>
      <c r="I705" s="313"/>
      <c r="J705" s="431"/>
      <c r="K705" s="313"/>
      <c r="L705" s="313"/>
      <c r="M705" s="313"/>
      <c r="N705" s="315"/>
      <c r="O705" s="313"/>
      <c r="P705" s="313"/>
      <c r="Q705" s="432"/>
      <c r="R705" s="313"/>
      <c r="S705" s="313"/>
      <c r="T705" s="317"/>
      <c r="U705" s="433"/>
      <c r="V705" s="288"/>
      <c r="W705" s="220"/>
      <c r="X705" s="220"/>
      <c r="Y705" s="220"/>
      <c r="Z705" s="220"/>
      <c r="AA705" s="220"/>
      <c r="AB705" s="220"/>
      <c r="AC705" s="220"/>
      <c r="AD705" s="220"/>
      <c r="AE705" s="220"/>
      <c r="AF705" s="220"/>
      <c r="AG705" s="308"/>
      <c r="AH705" s="220"/>
      <c r="AI705" s="220"/>
      <c r="AJ705" s="220"/>
      <c r="AK705" s="220"/>
      <c r="AL705" s="220"/>
      <c r="AM705" s="220"/>
    </row>
    <row r="706">
      <c r="A706" s="430"/>
      <c r="B706" s="311"/>
      <c r="C706" s="311"/>
      <c r="D706" s="312"/>
      <c r="E706" s="311"/>
      <c r="F706" s="311"/>
      <c r="G706" s="312"/>
      <c r="H706" s="312"/>
      <c r="I706" s="313"/>
      <c r="J706" s="431"/>
      <c r="K706" s="313"/>
      <c r="L706" s="313"/>
      <c r="M706" s="313"/>
      <c r="N706" s="315"/>
      <c r="O706" s="313"/>
      <c r="P706" s="313"/>
      <c r="Q706" s="432"/>
      <c r="R706" s="313"/>
      <c r="S706" s="313"/>
      <c r="T706" s="317"/>
      <c r="U706" s="433"/>
      <c r="V706" s="288"/>
      <c r="W706" s="220"/>
      <c r="X706" s="220"/>
      <c r="Y706" s="220"/>
      <c r="Z706" s="220"/>
      <c r="AA706" s="220"/>
      <c r="AB706" s="220"/>
      <c r="AC706" s="220"/>
      <c r="AD706" s="220"/>
      <c r="AE706" s="220"/>
      <c r="AF706" s="220"/>
      <c r="AG706" s="308"/>
      <c r="AH706" s="220"/>
      <c r="AI706" s="220"/>
      <c r="AJ706" s="220"/>
      <c r="AK706" s="220"/>
      <c r="AL706" s="220"/>
      <c r="AM706" s="220"/>
    </row>
    <row r="707">
      <c r="A707" s="430"/>
      <c r="B707" s="311"/>
      <c r="C707" s="311"/>
      <c r="D707" s="312"/>
      <c r="E707" s="311"/>
      <c r="F707" s="311"/>
      <c r="G707" s="312"/>
      <c r="H707" s="312"/>
      <c r="I707" s="313"/>
      <c r="J707" s="431"/>
      <c r="K707" s="313"/>
      <c r="L707" s="313"/>
      <c r="M707" s="313"/>
      <c r="N707" s="315"/>
      <c r="O707" s="313"/>
      <c r="P707" s="313"/>
      <c r="Q707" s="432"/>
      <c r="R707" s="313"/>
      <c r="S707" s="313"/>
      <c r="T707" s="317"/>
      <c r="U707" s="433"/>
      <c r="V707" s="288"/>
      <c r="W707" s="220"/>
      <c r="X707" s="220"/>
      <c r="Y707" s="220"/>
      <c r="Z707" s="220"/>
      <c r="AA707" s="220"/>
      <c r="AB707" s="220"/>
      <c r="AC707" s="220"/>
      <c r="AD707" s="220"/>
      <c r="AE707" s="220"/>
      <c r="AF707" s="220"/>
      <c r="AG707" s="308"/>
      <c r="AH707" s="220"/>
      <c r="AI707" s="220"/>
      <c r="AJ707" s="220"/>
      <c r="AK707" s="220"/>
      <c r="AL707" s="220"/>
      <c r="AM707" s="220"/>
    </row>
    <row r="708">
      <c r="A708" s="430"/>
      <c r="B708" s="311"/>
      <c r="C708" s="311"/>
      <c r="D708" s="312"/>
      <c r="E708" s="311"/>
      <c r="F708" s="311"/>
      <c r="G708" s="312"/>
      <c r="H708" s="312"/>
      <c r="I708" s="313"/>
      <c r="J708" s="431"/>
      <c r="K708" s="313"/>
      <c r="L708" s="313"/>
      <c r="M708" s="313"/>
      <c r="N708" s="315"/>
      <c r="O708" s="313"/>
      <c r="P708" s="313"/>
      <c r="Q708" s="432"/>
      <c r="R708" s="313"/>
      <c r="S708" s="313"/>
      <c r="T708" s="317"/>
      <c r="U708" s="433"/>
      <c r="V708" s="288"/>
      <c r="W708" s="220"/>
      <c r="X708" s="220"/>
      <c r="Y708" s="220"/>
      <c r="Z708" s="220"/>
      <c r="AA708" s="220"/>
      <c r="AB708" s="220"/>
      <c r="AC708" s="220"/>
      <c r="AD708" s="220"/>
      <c r="AE708" s="220"/>
      <c r="AF708" s="220"/>
      <c r="AG708" s="308"/>
      <c r="AH708" s="220"/>
      <c r="AI708" s="220"/>
      <c r="AJ708" s="220"/>
      <c r="AK708" s="220"/>
      <c r="AL708" s="220"/>
      <c r="AM708" s="220"/>
    </row>
    <row r="709">
      <c r="A709" s="430"/>
      <c r="B709" s="311"/>
      <c r="C709" s="311"/>
      <c r="D709" s="312"/>
      <c r="E709" s="311"/>
      <c r="F709" s="311"/>
      <c r="G709" s="312"/>
      <c r="H709" s="312"/>
      <c r="I709" s="313"/>
      <c r="J709" s="431"/>
      <c r="K709" s="313"/>
      <c r="L709" s="313"/>
      <c r="M709" s="313"/>
      <c r="N709" s="315"/>
      <c r="O709" s="313"/>
      <c r="P709" s="313"/>
      <c r="Q709" s="432"/>
      <c r="R709" s="313"/>
      <c r="S709" s="313"/>
      <c r="T709" s="317"/>
      <c r="U709" s="433"/>
      <c r="V709" s="288"/>
      <c r="W709" s="220"/>
      <c r="X709" s="220"/>
      <c r="Y709" s="220"/>
      <c r="Z709" s="220"/>
      <c r="AA709" s="220"/>
      <c r="AB709" s="220"/>
      <c r="AC709" s="220"/>
      <c r="AD709" s="220"/>
      <c r="AE709" s="220"/>
      <c r="AF709" s="220"/>
      <c r="AG709" s="308"/>
      <c r="AH709" s="220"/>
      <c r="AI709" s="220"/>
      <c r="AJ709" s="220"/>
      <c r="AK709" s="220"/>
      <c r="AL709" s="220"/>
      <c r="AM709" s="220"/>
    </row>
    <row r="710">
      <c r="A710" s="430"/>
      <c r="B710" s="311"/>
      <c r="C710" s="311"/>
      <c r="D710" s="312"/>
      <c r="E710" s="311"/>
      <c r="F710" s="311"/>
      <c r="G710" s="312"/>
      <c r="H710" s="312"/>
      <c r="I710" s="313"/>
      <c r="J710" s="431"/>
      <c r="K710" s="313"/>
      <c r="L710" s="313"/>
      <c r="M710" s="313"/>
      <c r="N710" s="315"/>
      <c r="O710" s="313"/>
      <c r="P710" s="313"/>
      <c r="Q710" s="432"/>
      <c r="R710" s="313"/>
      <c r="S710" s="313"/>
      <c r="T710" s="317"/>
      <c r="U710" s="433"/>
      <c r="V710" s="288"/>
      <c r="W710" s="220"/>
      <c r="X710" s="220"/>
      <c r="Y710" s="220"/>
      <c r="Z710" s="220"/>
      <c r="AA710" s="220"/>
      <c r="AB710" s="220"/>
      <c r="AC710" s="220"/>
      <c r="AD710" s="220"/>
      <c r="AE710" s="220"/>
      <c r="AF710" s="220"/>
      <c r="AG710" s="308"/>
      <c r="AH710" s="220"/>
      <c r="AI710" s="220"/>
      <c r="AJ710" s="220"/>
      <c r="AK710" s="220"/>
      <c r="AL710" s="220"/>
      <c r="AM710" s="220"/>
    </row>
    <row r="711">
      <c r="A711" s="430"/>
      <c r="B711" s="311"/>
      <c r="C711" s="311"/>
      <c r="D711" s="312"/>
      <c r="E711" s="311"/>
      <c r="F711" s="311"/>
      <c r="G711" s="312"/>
      <c r="H711" s="312"/>
      <c r="I711" s="313"/>
      <c r="J711" s="431"/>
      <c r="K711" s="313"/>
      <c r="L711" s="313"/>
      <c r="M711" s="313"/>
      <c r="N711" s="315"/>
      <c r="O711" s="313"/>
      <c r="P711" s="313"/>
      <c r="Q711" s="432"/>
      <c r="R711" s="313"/>
      <c r="S711" s="313"/>
      <c r="T711" s="317"/>
      <c r="U711" s="433"/>
      <c r="V711" s="288"/>
      <c r="W711" s="220"/>
      <c r="X711" s="220"/>
      <c r="Y711" s="220"/>
      <c r="Z711" s="220"/>
      <c r="AA711" s="220"/>
      <c r="AB711" s="220"/>
      <c r="AC711" s="220"/>
      <c r="AD711" s="220"/>
      <c r="AE711" s="220"/>
      <c r="AF711" s="220"/>
      <c r="AG711" s="308"/>
      <c r="AH711" s="220"/>
      <c r="AI711" s="220"/>
      <c r="AJ711" s="220"/>
      <c r="AK711" s="220"/>
      <c r="AL711" s="220"/>
      <c r="AM711" s="220"/>
    </row>
    <row r="712">
      <c r="A712" s="430"/>
      <c r="B712" s="311"/>
      <c r="C712" s="311"/>
      <c r="D712" s="312"/>
      <c r="E712" s="311"/>
      <c r="F712" s="311"/>
      <c r="G712" s="312"/>
      <c r="H712" s="312"/>
      <c r="I712" s="313"/>
      <c r="J712" s="431"/>
      <c r="K712" s="313"/>
      <c r="L712" s="313"/>
      <c r="M712" s="313"/>
      <c r="N712" s="315"/>
      <c r="O712" s="313"/>
      <c r="P712" s="313"/>
      <c r="Q712" s="432"/>
      <c r="R712" s="313"/>
      <c r="S712" s="313"/>
      <c r="T712" s="317"/>
      <c r="U712" s="433"/>
      <c r="V712" s="288"/>
      <c r="W712" s="220"/>
      <c r="X712" s="220"/>
      <c r="Y712" s="220"/>
      <c r="Z712" s="220"/>
      <c r="AA712" s="220"/>
      <c r="AB712" s="220"/>
      <c r="AC712" s="220"/>
      <c r="AD712" s="220"/>
      <c r="AE712" s="220"/>
      <c r="AF712" s="220"/>
      <c r="AG712" s="308"/>
      <c r="AH712" s="220"/>
      <c r="AI712" s="220"/>
      <c r="AJ712" s="220"/>
      <c r="AK712" s="220"/>
      <c r="AL712" s="220"/>
      <c r="AM712" s="220"/>
    </row>
    <row r="713">
      <c r="A713" s="430"/>
      <c r="B713" s="311"/>
      <c r="C713" s="311"/>
      <c r="D713" s="312"/>
      <c r="E713" s="311"/>
      <c r="F713" s="311"/>
      <c r="G713" s="312"/>
      <c r="H713" s="312"/>
      <c r="I713" s="313"/>
      <c r="J713" s="431"/>
      <c r="K713" s="313"/>
      <c r="L713" s="313"/>
      <c r="M713" s="313"/>
      <c r="N713" s="315"/>
      <c r="O713" s="313"/>
      <c r="P713" s="313"/>
      <c r="Q713" s="432"/>
      <c r="R713" s="313"/>
      <c r="S713" s="313"/>
      <c r="T713" s="317"/>
      <c r="U713" s="433"/>
      <c r="V713" s="288"/>
      <c r="W713" s="220"/>
      <c r="X713" s="220"/>
      <c r="Y713" s="220"/>
      <c r="Z713" s="220"/>
      <c r="AA713" s="220"/>
      <c r="AB713" s="220"/>
      <c r="AC713" s="220"/>
      <c r="AD713" s="220"/>
      <c r="AE713" s="220"/>
      <c r="AF713" s="220"/>
      <c r="AG713" s="308"/>
      <c r="AH713" s="220"/>
      <c r="AI713" s="220"/>
      <c r="AJ713" s="220"/>
      <c r="AK713" s="220"/>
      <c r="AL713" s="220"/>
      <c r="AM713" s="220"/>
    </row>
    <row r="714">
      <c r="A714" s="430"/>
      <c r="B714" s="311"/>
      <c r="C714" s="311"/>
      <c r="D714" s="312"/>
      <c r="E714" s="311"/>
      <c r="F714" s="311"/>
      <c r="G714" s="312"/>
      <c r="H714" s="312"/>
      <c r="I714" s="313"/>
      <c r="J714" s="431"/>
      <c r="K714" s="313"/>
      <c r="L714" s="313"/>
      <c r="M714" s="313"/>
      <c r="N714" s="315"/>
      <c r="O714" s="313"/>
      <c r="P714" s="313"/>
      <c r="Q714" s="432"/>
      <c r="R714" s="313"/>
      <c r="S714" s="313"/>
      <c r="T714" s="317"/>
      <c r="U714" s="433"/>
      <c r="V714" s="288"/>
      <c r="W714" s="220"/>
      <c r="X714" s="220"/>
      <c r="Y714" s="220"/>
      <c r="Z714" s="220"/>
      <c r="AA714" s="220"/>
      <c r="AB714" s="220"/>
      <c r="AC714" s="220"/>
      <c r="AD714" s="220"/>
      <c r="AE714" s="220"/>
      <c r="AF714" s="220"/>
      <c r="AG714" s="308"/>
      <c r="AH714" s="220"/>
      <c r="AI714" s="220"/>
      <c r="AJ714" s="220"/>
      <c r="AK714" s="220"/>
      <c r="AL714" s="220"/>
      <c r="AM714" s="220"/>
    </row>
    <row r="715">
      <c r="A715" s="430"/>
      <c r="B715" s="311"/>
      <c r="C715" s="311"/>
      <c r="D715" s="312"/>
      <c r="E715" s="311"/>
      <c r="F715" s="311"/>
      <c r="G715" s="312"/>
      <c r="H715" s="312"/>
      <c r="I715" s="313"/>
      <c r="J715" s="431"/>
      <c r="K715" s="313"/>
      <c r="L715" s="313"/>
      <c r="M715" s="313"/>
      <c r="N715" s="315"/>
      <c r="O715" s="313"/>
      <c r="P715" s="313"/>
      <c r="Q715" s="432"/>
      <c r="R715" s="313"/>
      <c r="S715" s="313"/>
      <c r="T715" s="317"/>
      <c r="U715" s="433"/>
      <c r="V715" s="288"/>
      <c r="W715" s="220"/>
      <c r="X715" s="220"/>
      <c r="Y715" s="220"/>
      <c r="Z715" s="220"/>
      <c r="AA715" s="220"/>
      <c r="AB715" s="220"/>
      <c r="AC715" s="220"/>
      <c r="AD715" s="220"/>
      <c r="AE715" s="220"/>
      <c r="AF715" s="220"/>
      <c r="AG715" s="308"/>
      <c r="AH715" s="220"/>
      <c r="AI715" s="220"/>
      <c r="AJ715" s="220"/>
      <c r="AK715" s="220"/>
      <c r="AL715" s="220"/>
      <c r="AM715" s="220"/>
    </row>
    <row r="716">
      <c r="A716" s="430"/>
      <c r="B716" s="311"/>
      <c r="C716" s="311"/>
      <c r="D716" s="312"/>
      <c r="E716" s="311"/>
      <c r="F716" s="311"/>
      <c r="G716" s="312"/>
      <c r="H716" s="312"/>
      <c r="I716" s="313"/>
      <c r="J716" s="431"/>
      <c r="K716" s="313"/>
      <c r="L716" s="313"/>
      <c r="M716" s="313"/>
      <c r="N716" s="315"/>
      <c r="O716" s="313"/>
      <c r="P716" s="313"/>
      <c r="Q716" s="432"/>
      <c r="R716" s="313"/>
      <c r="S716" s="313"/>
      <c r="T716" s="317"/>
      <c r="U716" s="433"/>
      <c r="V716" s="288"/>
      <c r="W716" s="220"/>
      <c r="X716" s="220"/>
      <c r="Y716" s="220"/>
      <c r="Z716" s="220"/>
      <c r="AA716" s="220"/>
      <c r="AB716" s="220"/>
      <c r="AC716" s="220"/>
      <c r="AD716" s="220"/>
      <c r="AE716" s="220"/>
      <c r="AF716" s="220"/>
      <c r="AG716" s="308"/>
      <c r="AH716" s="220"/>
      <c r="AI716" s="220"/>
      <c r="AJ716" s="220"/>
      <c r="AK716" s="220"/>
      <c r="AL716" s="220"/>
      <c r="AM716" s="220"/>
    </row>
    <row r="717">
      <c r="A717" s="430"/>
      <c r="B717" s="311"/>
      <c r="C717" s="311"/>
      <c r="D717" s="312"/>
      <c r="E717" s="311"/>
      <c r="F717" s="311"/>
      <c r="G717" s="312"/>
      <c r="H717" s="312"/>
      <c r="I717" s="313"/>
      <c r="J717" s="431"/>
      <c r="K717" s="313"/>
      <c r="L717" s="313"/>
      <c r="M717" s="313"/>
      <c r="N717" s="315"/>
      <c r="O717" s="313"/>
      <c r="P717" s="313"/>
      <c r="Q717" s="432"/>
      <c r="R717" s="313"/>
      <c r="S717" s="313"/>
      <c r="T717" s="317"/>
      <c r="U717" s="433"/>
      <c r="V717" s="288"/>
      <c r="W717" s="220"/>
      <c r="X717" s="220"/>
      <c r="Y717" s="220"/>
      <c r="Z717" s="220"/>
      <c r="AA717" s="220"/>
      <c r="AB717" s="220"/>
      <c r="AC717" s="220"/>
      <c r="AD717" s="220"/>
      <c r="AE717" s="220"/>
      <c r="AF717" s="220"/>
      <c r="AG717" s="308"/>
      <c r="AH717" s="220"/>
      <c r="AI717" s="220"/>
      <c r="AJ717" s="220"/>
      <c r="AK717" s="220"/>
      <c r="AL717" s="220"/>
      <c r="AM717" s="220"/>
    </row>
    <row r="718">
      <c r="A718" s="430"/>
      <c r="B718" s="311"/>
      <c r="C718" s="311"/>
      <c r="D718" s="312"/>
      <c r="E718" s="311"/>
      <c r="F718" s="311"/>
      <c r="G718" s="312"/>
      <c r="H718" s="312"/>
      <c r="I718" s="313"/>
      <c r="J718" s="431"/>
      <c r="K718" s="313"/>
      <c r="L718" s="313"/>
      <c r="M718" s="313"/>
      <c r="N718" s="315"/>
      <c r="O718" s="313"/>
      <c r="P718" s="313"/>
      <c r="Q718" s="432"/>
      <c r="R718" s="313"/>
      <c r="S718" s="313"/>
      <c r="T718" s="317"/>
      <c r="U718" s="433"/>
      <c r="V718" s="288"/>
      <c r="W718" s="220"/>
      <c r="X718" s="220"/>
      <c r="Y718" s="220"/>
      <c r="Z718" s="220"/>
      <c r="AA718" s="220"/>
      <c r="AB718" s="220"/>
      <c r="AC718" s="220"/>
      <c r="AD718" s="220"/>
      <c r="AE718" s="220"/>
      <c r="AF718" s="220"/>
      <c r="AG718" s="308"/>
      <c r="AH718" s="220"/>
      <c r="AI718" s="220"/>
      <c r="AJ718" s="220"/>
      <c r="AK718" s="220"/>
      <c r="AL718" s="220"/>
      <c r="AM718" s="220"/>
    </row>
    <row r="719">
      <c r="A719" s="430"/>
      <c r="B719" s="311"/>
      <c r="C719" s="311"/>
      <c r="D719" s="312"/>
      <c r="E719" s="311"/>
      <c r="F719" s="311"/>
      <c r="G719" s="312"/>
      <c r="H719" s="312"/>
      <c r="I719" s="313"/>
      <c r="J719" s="431"/>
      <c r="K719" s="313"/>
      <c r="L719" s="313"/>
      <c r="M719" s="313"/>
      <c r="N719" s="315"/>
      <c r="O719" s="313"/>
      <c r="P719" s="313"/>
      <c r="Q719" s="432"/>
      <c r="R719" s="313"/>
      <c r="S719" s="313"/>
      <c r="T719" s="317"/>
      <c r="U719" s="433"/>
      <c r="V719" s="288"/>
      <c r="W719" s="220"/>
      <c r="X719" s="220"/>
      <c r="Y719" s="220"/>
      <c r="Z719" s="220"/>
      <c r="AA719" s="220"/>
      <c r="AB719" s="220"/>
      <c r="AC719" s="220"/>
      <c r="AD719" s="220"/>
      <c r="AE719" s="220"/>
      <c r="AF719" s="220"/>
      <c r="AG719" s="308"/>
      <c r="AH719" s="220"/>
      <c r="AI719" s="220"/>
      <c r="AJ719" s="220"/>
      <c r="AK719" s="220"/>
      <c r="AL719" s="220"/>
      <c r="AM719" s="220"/>
    </row>
    <row r="720">
      <c r="A720" s="430"/>
      <c r="B720" s="311"/>
      <c r="C720" s="311"/>
      <c r="D720" s="312"/>
      <c r="E720" s="311"/>
      <c r="F720" s="311"/>
      <c r="G720" s="312"/>
      <c r="H720" s="312"/>
      <c r="I720" s="313"/>
      <c r="J720" s="431"/>
      <c r="K720" s="313"/>
      <c r="L720" s="313"/>
      <c r="M720" s="313"/>
      <c r="N720" s="315"/>
      <c r="O720" s="313"/>
      <c r="P720" s="313"/>
      <c r="Q720" s="432"/>
      <c r="R720" s="313"/>
      <c r="S720" s="313"/>
      <c r="T720" s="317"/>
      <c r="U720" s="433"/>
      <c r="V720" s="288"/>
      <c r="W720" s="220"/>
      <c r="X720" s="220"/>
      <c r="Y720" s="220"/>
      <c r="Z720" s="220"/>
      <c r="AA720" s="220"/>
      <c r="AB720" s="220"/>
      <c r="AC720" s="220"/>
      <c r="AD720" s="220"/>
      <c r="AE720" s="220"/>
      <c r="AF720" s="220"/>
      <c r="AG720" s="308"/>
      <c r="AH720" s="220"/>
      <c r="AI720" s="220"/>
      <c r="AJ720" s="220"/>
      <c r="AK720" s="220"/>
      <c r="AL720" s="220"/>
      <c r="AM720" s="220"/>
    </row>
    <row r="721">
      <c r="A721" s="430"/>
      <c r="B721" s="311"/>
      <c r="C721" s="311"/>
      <c r="D721" s="312"/>
      <c r="E721" s="311"/>
      <c r="F721" s="311"/>
      <c r="G721" s="312"/>
      <c r="H721" s="312"/>
      <c r="I721" s="313"/>
      <c r="J721" s="431"/>
      <c r="K721" s="313"/>
      <c r="L721" s="313"/>
      <c r="M721" s="313"/>
      <c r="N721" s="315"/>
      <c r="O721" s="313"/>
      <c r="P721" s="313"/>
      <c r="Q721" s="432"/>
      <c r="R721" s="313"/>
      <c r="S721" s="313"/>
      <c r="T721" s="317"/>
      <c r="U721" s="433"/>
      <c r="V721" s="288"/>
      <c r="W721" s="220"/>
      <c r="X721" s="220"/>
      <c r="Y721" s="220"/>
      <c r="Z721" s="220"/>
      <c r="AA721" s="220"/>
      <c r="AB721" s="220"/>
      <c r="AC721" s="220"/>
      <c r="AD721" s="220"/>
      <c r="AE721" s="220"/>
      <c r="AF721" s="220"/>
      <c r="AG721" s="308"/>
      <c r="AH721" s="220"/>
      <c r="AI721" s="220"/>
      <c r="AJ721" s="220"/>
      <c r="AK721" s="220"/>
      <c r="AL721" s="220"/>
      <c r="AM721" s="220"/>
    </row>
    <row r="722">
      <c r="A722" s="430"/>
      <c r="B722" s="311"/>
      <c r="C722" s="311"/>
      <c r="D722" s="312"/>
      <c r="E722" s="311"/>
      <c r="F722" s="311"/>
      <c r="G722" s="312"/>
      <c r="H722" s="312"/>
      <c r="I722" s="313"/>
      <c r="J722" s="431"/>
      <c r="K722" s="313"/>
      <c r="L722" s="313"/>
      <c r="M722" s="313"/>
      <c r="N722" s="315"/>
      <c r="O722" s="313"/>
      <c r="P722" s="313"/>
      <c r="Q722" s="432"/>
      <c r="R722" s="313"/>
      <c r="S722" s="313"/>
      <c r="T722" s="317"/>
      <c r="U722" s="433"/>
      <c r="V722" s="288"/>
      <c r="W722" s="220"/>
      <c r="X722" s="220"/>
      <c r="Y722" s="220"/>
      <c r="Z722" s="220"/>
      <c r="AA722" s="220"/>
      <c r="AB722" s="220"/>
      <c r="AC722" s="220"/>
      <c r="AD722" s="220"/>
      <c r="AE722" s="220"/>
      <c r="AF722" s="220"/>
      <c r="AG722" s="308"/>
      <c r="AH722" s="220"/>
      <c r="AI722" s="220"/>
      <c r="AJ722" s="220"/>
      <c r="AK722" s="220"/>
      <c r="AL722" s="220"/>
      <c r="AM722" s="220"/>
    </row>
    <row r="723">
      <c r="A723" s="430"/>
      <c r="B723" s="311"/>
      <c r="C723" s="311"/>
      <c r="D723" s="312"/>
      <c r="E723" s="311"/>
      <c r="F723" s="311"/>
      <c r="G723" s="312"/>
      <c r="H723" s="312"/>
      <c r="I723" s="313"/>
      <c r="J723" s="431"/>
      <c r="K723" s="313"/>
      <c r="L723" s="313"/>
      <c r="M723" s="313"/>
      <c r="N723" s="315"/>
      <c r="O723" s="313"/>
      <c r="P723" s="313"/>
      <c r="Q723" s="432"/>
      <c r="R723" s="313"/>
      <c r="S723" s="313"/>
      <c r="T723" s="317"/>
      <c r="U723" s="433"/>
      <c r="V723" s="288"/>
      <c r="W723" s="220"/>
      <c r="X723" s="220"/>
      <c r="Y723" s="220"/>
      <c r="Z723" s="220"/>
      <c r="AA723" s="220"/>
      <c r="AB723" s="220"/>
      <c r="AC723" s="220"/>
      <c r="AD723" s="220"/>
      <c r="AE723" s="220"/>
      <c r="AF723" s="220"/>
      <c r="AG723" s="308"/>
      <c r="AH723" s="220"/>
      <c r="AI723" s="220"/>
      <c r="AJ723" s="220"/>
      <c r="AK723" s="220"/>
      <c r="AL723" s="220"/>
      <c r="AM723" s="220"/>
    </row>
    <row r="724">
      <c r="A724" s="430"/>
      <c r="B724" s="311"/>
      <c r="C724" s="311"/>
      <c r="D724" s="312"/>
      <c r="E724" s="311"/>
      <c r="F724" s="311"/>
      <c r="G724" s="312"/>
      <c r="H724" s="312"/>
      <c r="I724" s="313"/>
      <c r="J724" s="431"/>
      <c r="K724" s="313"/>
      <c r="L724" s="313"/>
      <c r="M724" s="313"/>
      <c r="N724" s="315"/>
      <c r="O724" s="313"/>
      <c r="P724" s="313"/>
      <c r="Q724" s="432"/>
      <c r="R724" s="313"/>
      <c r="S724" s="313"/>
      <c r="T724" s="317"/>
      <c r="U724" s="433"/>
      <c r="V724" s="288"/>
      <c r="W724" s="220"/>
      <c r="X724" s="220"/>
      <c r="Y724" s="220"/>
      <c r="Z724" s="220"/>
      <c r="AA724" s="220"/>
      <c r="AB724" s="220"/>
      <c r="AC724" s="220"/>
      <c r="AD724" s="220"/>
      <c r="AE724" s="220"/>
      <c r="AF724" s="220"/>
      <c r="AG724" s="308"/>
      <c r="AH724" s="220"/>
      <c r="AI724" s="220"/>
      <c r="AJ724" s="220"/>
      <c r="AK724" s="220"/>
      <c r="AL724" s="220"/>
      <c r="AM724" s="220"/>
    </row>
    <row r="725">
      <c r="A725" s="430"/>
      <c r="B725" s="311"/>
      <c r="C725" s="311"/>
      <c r="D725" s="312"/>
      <c r="E725" s="311"/>
      <c r="F725" s="311"/>
      <c r="G725" s="312"/>
      <c r="H725" s="312"/>
      <c r="I725" s="313"/>
      <c r="J725" s="431"/>
      <c r="K725" s="313"/>
      <c r="L725" s="313"/>
      <c r="M725" s="313"/>
      <c r="N725" s="315"/>
      <c r="O725" s="313"/>
      <c r="P725" s="313"/>
      <c r="Q725" s="432"/>
      <c r="R725" s="313"/>
      <c r="S725" s="313"/>
      <c r="T725" s="317"/>
      <c r="U725" s="433"/>
      <c r="V725" s="288"/>
      <c r="W725" s="220"/>
      <c r="X725" s="220"/>
      <c r="Y725" s="220"/>
      <c r="Z725" s="220"/>
      <c r="AA725" s="220"/>
      <c r="AB725" s="220"/>
      <c r="AC725" s="220"/>
      <c r="AD725" s="220"/>
      <c r="AE725" s="220"/>
      <c r="AF725" s="220"/>
      <c r="AG725" s="308"/>
      <c r="AH725" s="220"/>
      <c r="AI725" s="220"/>
      <c r="AJ725" s="220"/>
      <c r="AK725" s="220"/>
      <c r="AL725" s="220"/>
      <c r="AM725" s="220"/>
    </row>
    <row r="726">
      <c r="A726" s="430"/>
      <c r="B726" s="311"/>
      <c r="C726" s="311"/>
      <c r="D726" s="312"/>
      <c r="E726" s="311"/>
      <c r="F726" s="311"/>
      <c r="G726" s="312"/>
      <c r="H726" s="312"/>
      <c r="I726" s="313"/>
      <c r="J726" s="431"/>
      <c r="K726" s="313"/>
      <c r="L726" s="313"/>
      <c r="M726" s="313"/>
      <c r="N726" s="315"/>
      <c r="O726" s="313"/>
      <c r="P726" s="313"/>
      <c r="Q726" s="432"/>
      <c r="R726" s="313"/>
      <c r="S726" s="313"/>
      <c r="T726" s="317"/>
      <c r="U726" s="433"/>
      <c r="V726" s="288"/>
      <c r="W726" s="220"/>
      <c r="X726" s="220"/>
      <c r="Y726" s="220"/>
      <c r="Z726" s="220"/>
      <c r="AA726" s="220"/>
      <c r="AB726" s="220"/>
      <c r="AC726" s="220"/>
      <c r="AD726" s="220"/>
      <c r="AE726" s="220"/>
      <c r="AF726" s="220"/>
      <c r="AG726" s="308"/>
      <c r="AH726" s="220"/>
      <c r="AI726" s="220"/>
      <c r="AJ726" s="220"/>
      <c r="AK726" s="220"/>
      <c r="AL726" s="220"/>
      <c r="AM726" s="220"/>
    </row>
    <row r="727">
      <c r="A727" s="430"/>
      <c r="B727" s="311"/>
      <c r="C727" s="311"/>
      <c r="D727" s="312"/>
      <c r="E727" s="311"/>
      <c r="F727" s="311"/>
      <c r="G727" s="312"/>
      <c r="H727" s="312"/>
      <c r="I727" s="313"/>
      <c r="J727" s="431"/>
      <c r="K727" s="313"/>
      <c r="L727" s="313"/>
      <c r="M727" s="313"/>
      <c r="N727" s="315"/>
      <c r="O727" s="313"/>
      <c r="P727" s="313"/>
      <c r="Q727" s="432"/>
      <c r="R727" s="313"/>
      <c r="S727" s="313"/>
      <c r="T727" s="317"/>
      <c r="U727" s="433"/>
      <c r="V727" s="288"/>
      <c r="W727" s="220"/>
      <c r="X727" s="220"/>
      <c r="Y727" s="220"/>
      <c r="Z727" s="220"/>
      <c r="AA727" s="220"/>
      <c r="AB727" s="220"/>
      <c r="AC727" s="220"/>
      <c r="AD727" s="220"/>
      <c r="AE727" s="220"/>
      <c r="AF727" s="220"/>
      <c r="AG727" s="308"/>
      <c r="AH727" s="220"/>
      <c r="AI727" s="220"/>
      <c r="AJ727" s="220"/>
      <c r="AK727" s="220"/>
      <c r="AL727" s="220"/>
      <c r="AM727" s="220"/>
    </row>
    <row r="728">
      <c r="A728" s="430"/>
      <c r="B728" s="311"/>
      <c r="C728" s="311"/>
      <c r="D728" s="312"/>
      <c r="E728" s="311"/>
      <c r="F728" s="311"/>
      <c r="G728" s="312"/>
      <c r="H728" s="312"/>
      <c r="I728" s="313"/>
      <c r="J728" s="431"/>
      <c r="K728" s="313"/>
      <c r="L728" s="313"/>
      <c r="M728" s="313"/>
      <c r="N728" s="315"/>
      <c r="O728" s="313"/>
      <c r="P728" s="313"/>
      <c r="Q728" s="432"/>
      <c r="R728" s="313"/>
      <c r="S728" s="313"/>
      <c r="T728" s="317"/>
      <c r="U728" s="433"/>
      <c r="V728" s="288"/>
      <c r="W728" s="220"/>
      <c r="X728" s="220"/>
      <c r="Y728" s="220"/>
      <c r="Z728" s="220"/>
      <c r="AA728" s="220"/>
      <c r="AB728" s="220"/>
      <c r="AC728" s="220"/>
      <c r="AD728" s="220"/>
      <c r="AE728" s="220"/>
      <c r="AF728" s="220"/>
      <c r="AG728" s="308"/>
      <c r="AH728" s="220"/>
      <c r="AI728" s="220"/>
      <c r="AJ728" s="220"/>
      <c r="AK728" s="220"/>
      <c r="AL728" s="220"/>
      <c r="AM728" s="220"/>
    </row>
    <row r="729">
      <c r="A729" s="430"/>
      <c r="B729" s="311"/>
      <c r="C729" s="311"/>
      <c r="D729" s="312"/>
      <c r="E729" s="311"/>
      <c r="F729" s="311"/>
      <c r="G729" s="312"/>
      <c r="H729" s="312"/>
      <c r="I729" s="313"/>
      <c r="J729" s="431"/>
      <c r="K729" s="313"/>
      <c r="L729" s="313"/>
      <c r="M729" s="313"/>
      <c r="N729" s="315"/>
      <c r="O729" s="313"/>
      <c r="P729" s="313"/>
      <c r="Q729" s="432"/>
      <c r="R729" s="313"/>
      <c r="S729" s="313"/>
      <c r="T729" s="317"/>
      <c r="U729" s="433"/>
      <c r="V729" s="288"/>
      <c r="W729" s="220"/>
      <c r="X729" s="220"/>
      <c r="Y729" s="220"/>
      <c r="Z729" s="220"/>
      <c r="AA729" s="220"/>
      <c r="AB729" s="220"/>
      <c r="AC729" s="220"/>
      <c r="AD729" s="220"/>
      <c r="AE729" s="220"/>
      <c r="AF729" s="220"/>
      <c r="AG729" s="308"/>
      <c r="AH729" s="220"/>
      <c r="AI729" s="220"/>
      <c r="AJ729" s="220"/>
      <c r="AK729" s="220"/>
      <c r="AL729" s="220"/>
      <c r="AM729" s="220"/>
    </row>
    <row r="730">
      <c r="A730" s="430"/>
      <c r="B730" s="311"/>
      <c r="C730" s="311"/>
      <c r="D730" s="312"/>
      <c r="E730" s="311"/>
      <c r="F730" s="311"/>
      <c r="G730" s="312"/>
      <c r="H730" s="312"/>
      <c r="I730" s="313"/>
      <c r="J730" s="431"/>
      <c r="K730" s="313"/>
      <c r="L730" s="313"/>
      <c r="M730" s="313"/>
      <c r="N730" s="315"/>
      <c r="O730" s="313"/>
      <c r="P730" s="313"/>
      <c r="Q730" s="432"/>
      <c r="R730" s="313"/>
      <c r="S730" s="313"/>
      <c r="T730" s="317"/>
      <c r="U730" s="433"/>
      <c r="V730" s="288"/>
      <c r="W730" s="220"/>
      <c r="X730" s="220"/>
      <c r="Y730" s="220"/>
      <c r="Z730" s="220"/>
      <c r="AA730" s="220"/>
      <c r="AB730" s="220"/>
      <c r="AC730" s="220"/>
      <c r="AD730" s="220"/>
      <c r="AE730" s="220"/>
      <c r="AF730" s="220"/>
      <c r="AG730" s="308"/>
      <c r="AH730" s="220"/>
      <c r="AI730" s="220"/>
      <c r="AJ730" s="220"/>
      <c r="AK730" s="220"/>
      <c r="AL730" s="220"/>
      <c r="AM730" s="220"/>
    </row>
    <row r="731">
      <c r="A731" s="430"/>
      <c r="B731" s="311"/>
      <c r="C731" s="311"/>
      <c r="D731" s="312"/>
      <c r="E731" s="311"/>
      <c r="F731" s="311"/>
      <c r="G731" s="312"/>
      <c r="H731" s="312"/>
      <c r="I731" s="313"/>
      <c r="J731" s="431"/>
      <c r="K731" s="313"/>
      <c r="L731" s="313"/>
      <c r="M731" s="313"/>
      <c r="N731" s="315"/>
      <c r="O731" s="313"/>
      <c r="P731" s="313"/>
      <c r="Q731" s="432"/>
      <c r="R731" s="313"/>
      <c r="S731" s="313"/>
      <c r="T731" s="317"/>
      <c r="U731" s="433"/>
      <c r="V731" s="288"/>
      <c r="W731" s="220"/>
      <c r="X731" s="220"/>
      <c r="Y731" s="220"/>
      <c r="Z731" s="220"/>
      <c r="AA731" s="220"/>
      <c r="AB731" s="220"/>
      <c r="AC731" s="220"/>
      <c r="AD731" s="220"/>
      <c r="AE731" s="220"/>
      <c r="AF731" s="220"/>
      <c r="AG731" s="308"/>
      <c r="AH731" s="220"/>
      <c r="AI731" s="220"/>
      <c r="AJ731" s="220"/>
      <c r="AK731" s="220"/>
      <c r="AL731" s="220"/>
      <c r="AM731" s="220"/>
    </row>
    <row r="732">
      <c r="A732" s="430"/>
      <c r="B732" s="311"/>
      <c r="C732" s="311"/>
      <c r="D732" s="312"/>
      <c r="E732" s="311"/>
      <c r="F732" s="311"/>
      <c r="G732" s="312"/>
      <c r="H732" s="312"/>
      <c r="I732" s="313"/>
      <c r="J732" s="431"/>
      <c r="K732" s="313"/>
      <c r="L732" s="313"/>
      <c r="M732" s="313"/>
      <c r="N732" s="315"/>
      <c r="O732" s="313"/>
      <c r="P732" s="313"/>
      <c r="Q732" s="432"/>
      <c r="R732" s="313"/>
      <c r="S732" s="313"/>
      <c r="T732" s="317"/>
      <c r="U732" s="433"/>
      <c r="V732" s="288"/>
      <c r="W732" s="220"/>
      <c r="X732" s="220"/>
      <c r="Y732" s="220"/>
      <c r="Z732" s="220"/>
      <c r="AA732" s="220"/>
      <c r="AB732" s="220"/>
      <c r="AC732" s="220"/>
      <c r="AD732" s="220"/>
      <c r="AE732" s="220"/>
      <c r="AF732" s="220"/>
      <c r="AG732" s="308"/>
      <c r="AH732" s="220"/>
      <c r="AI732" s="220"/>
      <c r="AJ732" s="220"/>
      <c r="AK732" s="220"/>
      <c r="AL732" s="220"/>
      <c r="AM732" s="220"/>
    </row>
    <row r="733">
      <c r="A733" s="430"/>
      <c r="B733" s="311"/>
      <c r="C733" s="311"/>
      <c r="D733" s="312"/>
      <c r="E733" s="311"/>
      <c r="F733" s="311"/>
      <c r="G733" s="312"/>
      <c r="H733" s="312"/>
      <c r="I733" s="313"/>
      <c r="J733" s="431"/>
      <c r="K733" s="313"/>
      <c r="L733" s="313"/>
      <c r="M733" s="313"/>
      <c r="N733" s="315"/>
      <c r="O733" s="313"/>
      <c r="P733" s="313"/>
      <c r="Q733" s="432"/>
      <c r="R733" s="313"/>
      <c r="S733" s="313"/>
      <c r="T733" s="317"/>
      <c r="U733" s="433"/>
      <c r="V733" s="288"/>
      <c r="W733" s="220"/>
      <c r="X733" s="220"/>
      <c r="Y733" s="220"/>
      <c r="Z733" s="220"/>
      <c r="AA733" s="220"/>
      <c r="AB733" s="220"/>
      <c r="AC733" s="220"/>
      <c r="AD733" s="220"/>
      <c r="AE733" s="220"/>
      <c r="AF733" s="220"/>
      <c r="AG733" s="308"/>
      <c r="AH733" s="220"/>
      <c r="AI733" s="220"/>
      <c r="AJ733" s="220"/>
      <c r="AK733" s="220"/>
      <c r="AL733" s="220"/>
      <c r="AM733" s="220"/>
    </row>
    <row r="734">
      <c r="A734" s="430"/>
      <c r="B734" s="311"/>
      <c r="C734" s="311"/>
      <c r="D734" s="312"/>
      <c r="E734" s="311"/>
      <c r="F734" s="311"/>
      <c r="G734" s="312"/>
      <c r="H734" s="312"/>
      <c r="I734" s="313"/>
      <c r="J734" s="431"/>
      <c r="K734" s="313"/>
      <c r="L734" s="313"/>
      <c r="M734" s="313"/>
      <c r="N734" s="315"/>
      <c r="O734" s="313"/>
      <c r="P734" s="313"/>
      <c r="Q734" s="432"/>
      <c r="R734" s="313"/>
      <c r="S734" s="313"/>
      <c r="T734" s="317"/>
      <c r="U734" s="433"/>
      <c r="V734" s="288"/>
      <c r="W734" s="220"/>
      <c r="X734" s="220"/>
      <c r="Y734" s="220"/>
      <c r="Z734" s="220"/>
      <c r="AA734" s="220"/>
      <c r="AB734" s="220"/>
      <c r="AC734" s="220"/>
      <c r="AD734" s="220"/>
      <c r="AE734" s="220"/>
      <c r="AF734" s="220"/>
      <c r="AG734" s="308"/>
      <c r="AH734" s="220"/>
      <c r="AI734" s="220"/>
      <c r="AJ734" s="220"/>
      <c r="AK734" s="220"/>
      <c r="AL734" s="220"/>
      <c r="AM734" s="220"/>
    </row>
    <row r="735">
      <c r="A735" s="430"/>
      <c r="B735" s="311"/>
      <c r="C735" s="311"/>
      <c r="D735" s="312"/>
      <c r="E735" s="311"/>
      <c r="F735" s="311"/>
      <c r="G735" s="312"/>
      <c r="H735" s="312"/>
      <c r="I735" s="313"/>
      <c r="J735" s="431"/>
      <c r="K735" s="313"/>
      <c r="L735" s="313"/>
      <c r="M735" s="313"/>
      <c r="N735" s="315"/>
      <c r="O735" s="313"/>
      <c r="P735" s="313"/>
      <c r="Q735" s="432"/>
      <c r="R735" s="313"/>
      <c r="S735" s="313"/>
      <c r="T735" s="317"/>
      <c r="U735" s="433"/>
      <c r="V735" s="288"/>
      <c r="W735" s="220"/>
      <c r="X735" s="220"/>
      <c r="Y735" s="220"/>
      <c r="Z735" s="220"/>
      <c r="AA735" s="220"/>
      <c r="AB735" s="220"/>
      <c r="AC735" s="220"/>
      <c r="AD735" s="220"/>
      <c r="AE735" s="220"/>
      <c r="AF735" s="220"/>
      <c r="AG735" s="308"/>
      <c r="AH735" s="220"/>
      <c r="AI735" s="220"/>
      <c r="AJ735" s="220"/>
      <c r="AK735" s="220"/>
      <c r="AL735" s="220"/>
      <c r="AM735" s="220"/>
    </row>
    <row r="736">
      <c r="A736" s="430"/>
      <c r="B736" s="311"/>
      <c r="C736" s="311"/>
      <c r="D736" s="312"/>
      <c r="E736" s="311"/>
      <c r="F736" s="311"/>
      <c r="G736" s="312"/>
      <c r="H736" s="312"/>
      <c r="I736" s="313"/>
      <c r="J736" s="431"/>
      <c r="K736" s="313"/>
      <c r="L736" s="313"/>
      <c r="M736" s="313"/>
      <c r="N736" s="315"/>
      <c r="O736" s="313"/>
      <c r="P736" s="313"/>
      <c r="Q736" s="432"/>
      <c r="R736" s="313"/>
      <c r="S736" s="313"/>
      <c r="T736" s="317"/>
      <c r="U736" s="433"/>
      <c r="V736" s="288"/>
      <c r="W736" s="220"/>
      <c r="X736" s="220"/>
      <c r="Y736" s="220"/>
      <c r="Z736" s="220"/>
      <c r="AA736" s="220"/>
      <c r="AB736" s="220"/>
      <c r="AC736" s="220"/>
      <c r="AD736" s="220"/>
      <c r="AE736" s="220"/>
      <c r="AF736" s="220"/>
      <c r="AG736" s="308"/>
      <c r="AH736" s="220"/>
      <c r="AI736" s="220"/>
      <c r="AJ736" s="220"/>
      <c r="AK736" s="220"/>
      <c r="AL736" s="220"/>
      <c r="AM736" s="220"/>
    </row>
    <row r="737">
      <c r="A737" s="430"/>
      <c r="B737" s="311"/>
      <c r="C737" s="311"/>
      <c r="D737" s="312"/>
      <c r="E737" s="311"/>
      <c r="F737" s="311"/>
      <c r="G737" s="312"/>
      <c r="H737" s="312"/>
      <c r="I737" s="313"/>
      <c r="J737" s="431"/>
      <c r="K737" s="313"/>
      <c r="L737" s="313"/>
      <c r="M737" s="313"/>
      <c r="N737" s="315"/>
      <c r="O737" s="313"/>
      <c r="P737" s="313"/>
      <c r="Q737" s="432"/>
      <c r="R737" s="313"/>
      <c r="S737" s="313"/>
      <c r="T737" s="317"/>
      <c r="U737" s="433"/>
      <c r="V737" s="288"/>
      <c r="W737" s="220"/>
      <c r="X737" s="220"/>
      <c r="Y737" s="220"/>
      <c r="Z737" s="220"/>
      <c r="AA737" s="220"/>
      <c r="AB737" s="220"/>
      <c r="AC737" s="220"/>
      <c r="AD737" s="220"/>
      <c r="AE737" s="220"/>
      <c r="AF737" s="220"/>
      <c r="AG737" s="308"/>
      <c r="AH737" s="220"/>
      <c r="AI737" s="220"/>
      <c r="AJ737" s="220"/>
      <c r="AK737" s="220"/>
      <c r="AL737" s="220"/>
      <c r="AM737" s="220"/>
    </row>
    <row r="738">
      <c r="A738" s="430"/>
      <c r="B738" s="311"/>
      <c r="C738" s="311"/>
      <c r="D738" s="312"/>
      <c r="E738" s="311"/>
      <c r="F738" s="311"/>
      <c r="G738" s="312"/>
      <c r="H738" s="312"/>
      <c r="I738" s="313"/>
      <c r="J738" s="431"/>
      <c r="K738" s="313"/>
      <c r="L738" s="313"/>
      <c r="M738" s="313"/>
      <c r="N738" s="315"/>
      <c r="O738" s="313"/>
      <c r="P738" s="313"/>
      <c r="Q738" s="432"/>
      <c r="R738" s="313"/>
      <c r="S738" s="313"/>
      <c r="T738" s="317"/>
      <c r="U738" s="433"/>
      <c r="V738" s="288"/>
      <c r="W738" s="220"/>
      <c r="X738" s="220"/>
      <c r="Y738" s="220"/>
      <c r="Z738" s="220"/>
      <c r="AA738" s="220"/>
      <c r="AB738" s="220"/>
      <c r="AC738" s="220"/>
      <c r="AD738" s="220"/>
      <c r="AE738" s="220"/>
      <c r="AF738" s="220"/>
      <c r="AG738" s="308"/>
      <c r="AH738" s="220"/>
      <c r="AI738" s="220"/>
      <c r="AJ738" s="220"/>
      <c r="AK738" s="220"/>
      <c r="AL738" s="220"/>
      <c r="AM738" s="220"/>
    </row>
    <row r="739">
      <c r="A739" s="430"/>
      <c r="B739" s="311"/>
      <c r="C739" s="311"/>
      <c r="D739" s="312"/>
      <c r="E739" s="311"/>
      <c r="F739" s="311"/>
      <c r="G739" s="312"/>
      <c r="H739" s="312"/>
      <c r="I739" s="313"/>
      <c r="J739" s="431"/>
      <c r="K739" s="313"/>
      <c r="L739" s="313"/>
      <c r="M739" s="313"/>
      <c r="N739" s="315"/>
      <c r="O739" s="313"/>
      <c r="P739" s="313"/>
      <c r="Q739" s="432"/>
      <c r="R739" s="313"/>
      <c r="S739" s="313"/>
      <c r="T739" s="317"/>
      <c r="U739" s="433"/>
      <c r="V739" s="288"/>
      <c r="W739" s="220"/>
      <c r="X739" s="220"/>
      <c r="Y739" s="220"/>
      <c r="Z739" s="220"/>
      <c r="AA739" s="220"/>
      <c r="AB739" s="220"/>
      <c r="AC739" s="220"/>
      <c r="AD739" s="220"/>
      <c r="AE739" s="220"/>
      <c r="AF739" s="220"/>
      <c r="AG739" s="308"/>
      <c r="AH739" s="220"/>
      <c r="AI739" s="220"/>
      <c r="AJ739" s="220"/>
      <c r="AK739" s="220"/>
      <c r="AL739" s="220"/>
      <c r="AM739" s="220"/>
    </row>
    <row r="740">
      <c r="A740" s="430"/>
      <c r="B740" s="311"/>
      <c r="C740" s="311"/>
      <c r="D740" s="312"/>
      <c r="E740" s="311"/>
      <c r="F740" s="311"/>
      <c r="G740" s="312"/>
      <c r="H740" s="312"/>
      <c r="I740" s="313"/>
      <c r="J740" s="431"/>
      <c r="K740" s="313"/>
      <c r="L740" s="313"/>
      <c r="M740" s="313"/>
      <c r="N740" s="315"/>
      <c r="O740" s="313"/>
      <c r="P740" s="313"/>
      <c r="Q740" s="432"/>
      <c r="R740" s="313"/>
      <c r="S740" s="313"/>
      <c r="T740" s="317"/>
      <c r="U740" s="433"/>
      <c r="V740" s="288"/>
      <c r="W740" s="220"/>
      <c r="X740" s="220"/>
      <c r="Y740" s="220"/>
      <c r="Z740" s="220"/>
      <c r="AA740" s="220"/>
      <c r="AB740" s="220"/>
      <c r="AC740" s="220"/>
      <c r="AD740" s="220"/>
      <c r="AE740" s="220"/>
      <c r="AF740" s="220"/>
      <c r="AG740" s="308"/>
      <c r="AH740" s="220"/>
      <c r="AI740" s="220"/>
      <c r="AJ740" s="220"/>
      <c r="AK740" s="220"/>
      <c r="AL740" s="220"/>
      <c r="AM740" s="220"/>
    </row>
    <row r="741">
      <c r="A741" s="430"/>
      <c r="B741" s="311"/>
      <c r="C741" s="311"/>
      <c r="D741" s="312"/>
      <c r="E741" s="311"/>
      <c r="F741" s="311"/>
      <c r="G741" s="312"/>
      <c r="H741" s="312"/>
      <c r="I741" s="313"/>
      <c r="J741" s="431"/>
      <c r="K741" s="313"/>
      <c r="L741" s="313"/>
      <c r="M741" s="313"/>
      <c r="N741" s="315"/>
      <c r="O741" s="313"/>
      <c r="P741" s="313"/>
      <c r="Q741" s="432"/>
      <c r="R741" s="313"/>
      <c r="S741" s="313"/>
      <c r="T741" s="317"/>
      <c r="U741" s="433"/>
      <c r="V741" s="288"/>
      <c r="W741" s="220"/>
      <c r="X741" s="220"/>
      <c r="Y741" s="220"/>
      <c r="Z741" s="220"/>
      <c r="AA741" s="220"/>
      <c r="AB741" s="220"/>
      <c r="AC741" s="220"/>
      <c r="AD741" s="220"/>
      <c r="AE741" s="220"/>
      <c r="AF741" s="220"/>
      <c r="AG741" s="308"/>
      <c r="AH741" s="220"/>
      <c r="AI741" s="220"/>
      <c r="AJ741" s="220"/>
      <c r="AK741" s="220"/>
      <c r="AL741" s="220"/>
      <c r="AM741" s="220"/>
    </row>
    <row r="742">
      <c r="A742" s="430"/>
      <c r="B742" s="311"/>
      <c r="C742" s="311"/>
      <c r="D742" s="312"/>
      <c r="E742" s="311"/>
      <c r="F742" s="311"/>
      <c r="G742" s="312"/>
      <c r="H742" s="312"/>
      <c r="I742" s="313"/>
      <c r="J742" s="431"/>
      <c r="K742" s="313"/>
      <c r="L742" s="313"/>
      <c r="M742" s="313"/>
      <c r="N742" s="315"/>
      <c r="O742" s="313"/>
      <c r="P742" s="313"/>
      <c r="Q742" s="432"/>
      <c r="R742" s="313"/>
      <c r="S742" s="313"/>
      <c r="T742" s="317"/>
      <c r="U742" s="433"/>
      <c r="V742" s="288"/>
      <c r="W742" s="220"/>
      <c r="X742" s="220"/>
      <c r="Y742" s="220"/>
      <c r="Z742" s="220"/>
      <c r="AA742" s="220"/>
      <c r="AB742" s="220"/>
      <c r="AC742" s="220"/>
      <c r="AD742" s="220"/>
      <c r="AE742" s="220"/>
      <c r="AF742" s="220"/>
      <c r="AG742" s="308"/>
      <c r="AH742" s="220"/>
      <c r="AI742" s="220"/>
      <c r="AJ742" s="220"/>
      <c r="AK742" s="220"/>
      <c r="AL742" s="220"/>
      <c r="AM742" s="220"/>
    </row>
    <row r="743">
      <c r="A743" s="430"/>
      <c r="B743" s="311"/>
      <c r="C743" s="311"/>
      <c r="D743" s="312"/>
      <c r="E743" s="311"/>
      <c r="F743" s="311"/>
      <c r="G743" s="312"/>
      <c r="H743" s="312"/>
      <c r="I743" s="313"/>
      <c r="J743" s="431"/>
      <c r="K743" s="313"/>
      <c r="L743" s="313"/>
      <c r="M743" s="313"/>
      <c r="N743" s="315"/>
      <c r="O743" s="313"/>
      <c r="P743" s="313"/>
      <c r="Q743" s="432"/>
      <c r="R743" s="313"/>
      <c r="S743" s="313"/>
      <c r="T743" s="317"/>
      <c r="U743" s="433"/>
      <c r="V743" s="288"/>
      <c r="W743" s="220"/>
      <c r="X743" s="220"/>
      <c r="Y743" s="220"/>
      <c r="Z743" s="220"/>
      <c r="AA743" s="220"/>
      <c r="AB743" s="220"/>
      <c r="AC743" s="220"/>
      <c r="AD743" s="220"/>
      <c r="AE743" s="220"/>
      <c r="AF743" s="220"/>
      <c r="AG743" s="308"/>
      <c r="AH743" s="220"/>
      <c r="AI743" s="220"/>
      <c r="AJ743" s="220"/>
      <c r="AK743" s="220"/>
      <c r="AL743" s="220"/>
      <c r="AM743" s="220"/>
    </row>
    <row r="744">
      <c r="A744" s="430"/>
      <c r="B744" s="311"/>
      <c r="C744" s="311"/>
      <c r="D744" s="312"/>
      <c r="E744" s="311"/>
      <c r="F744" s="311"/>
      <c r="G744" s="312"/>
      <c r="H744" s="312"/>
      <c r="I744" s="313"/>
      <c r="J744" s="431"/>
      <c r="K744" s="313"/>
      <c r="L744" s="313"/>
      <c r="M744" s="313"/>
      <c r="N744" s="315"/>
      <c r="O744" s="313"/>
      <c r="P744" s="313"/>
      <c r="Q744" s="432"/>
      <c r="R744" s="313"/>
      <c r="S744" s="313"/>
      <c r="T744" s="317"/>
      <c r="U744" s="433"/>
      <c r="V744" s="288"/>
      <c r="W744" s="220"/>
      <c r="X744" s="220"/>
      <c r="Y744" s="220"/>
      <c r="Z744" s="220"/>
      <c r="AA744" s="220"/>
      <c r="AB744" s="220"/>
      <c r="AC744" s="220"/>
      <c r="AD744" s="220"/>
      <c r="AE744" s="220"/>
      <c r="AF744" s="220"/>
      <c r="AG744" s="308"/>
      <c r="AH744" s="220"/>
      <c r="AI744" s="220"/>
      <c r="AJ744" s="220"/>
      <c r="AK744" s="220"/>
      <c r="AL744" s="220"/>
      <c r="AM744" s="220"/>
    </row>
    <row r="745">
      <c r="A745" s="430"/>
      <c r="B745" s="311"/>
      <c r="C745" s="311"/>
      <c r="D745" s="312"/>
      <c r="E745" s="311"/>
      <c r="F745" s="311"/>
      <c r="G745" s="312"/>
      <c r="H745" s="312"/>
      <c r="I745" s="313"/>
      <c r="J745" s="431"/>
      <c r="K745" s="313"/>
      <c r="L745" s="313"/>
      <c r="M745" s="313"/>
      <c r="N745" s="315"/>
      <c r="O745" s="313"/>
      <c r="P745" s="313"/>
      <c r="Q745" s="432"/>
      <c r="R745" s="313"/>
      <c r="S745" s="313"/>
      <c r="T745" s="317"/>
      <c r="U745" s="433"/>
      <c r="V745" s="288"/>
      <c r="W745" s="220"/>
      <c r="X745" s="220"/>
      <c r="Y745" s="220"/>
      <c r="Z745" s="220"/>
      <c r="AA745" s="220"/>
      <c r="AB745" s="220"/>
      <c r="AC745" s="220"/>
      <c r="AD745" s="220"/>
      <c r="AE745" s="220"/>
      <c r="AF745" s="220"/>
      <c r="AG745" s="308"/>
      <c r="AH745" s="220"/>
      <c r="AI745" s="220"/>
      <c r="AJ745" s="220"/>
      <c r="AK745" s="220"/>
      <c r="AL745" s="220"/>
      <c r="AM745" s="220"/>
    </row>
    <row r="746">
      <c r="A746" s="430"/>
      <c r="B746" s="311"/>
      <c r="C746" s="311"/>
      <c r="D746" s="312"/>
      <c r="E746" s="311"/>
      <c r="F746" s="311"/>
      <c r="G746" s="312"/>
      <c r="H746" s="312"/>
      <c r="I746" s="313"/>
      <c r="J746" s="431"/>
      <c r="K746" s="313"/>
      <c r="L746" s="313"/>
      <c r="M746" s="313"/>
      <c r="N746" s="315"/>
      <c r="O746" s="313"/>
      <c r="P746" s="313"/>
      <c r="Q746" s="432"/>
      <c r="R746" s="313"/>
      <c r="S746" s="313"/>
      <c r="T746" s="317"/>
      <c r="U746" s="433"/>
      <c r="V746" s="288"/>
      <c r="W746" s="220"/>
      <c r="X746" s="220"/>
      <c r="Y746" s="220"/>
      <c r="Z746" s="220"/>
      <c r="AA746" s="220"/>
      <c r="AB746" s="220"/>
      <c r="AC746" s="220"/>
      <c r="AD746" s="220"/>
      <c r="AE746" s="220"/>
      <c r="AF746" s="220"/>
      <c r="AG746" s="308"/>
      <c r="AH746" s="220"/>
      <c r="AI746" s="220"/>
      <c r="AJ746" s="220"/>
      <c r="AK746" s="220"/>
      <c r="AL746" s="220"/>
      <c r="AM746" s="220"/>
    </row>
    <row r="747">
      <c r="A747" s="430"/>
      <c r="B747" s="311"/>
      <c r="C747" s="311"/>
      <c r="D747" s="312"/>
      <c r="E747" s="311"/>
      <c r="F747" s="311"/>
      <c r="G747" s="312"/>
      <c r="H747" s="312"/>
      <c r="I747" s="313"/>
      <c r="J747" s="431"/>
      <c r="K747" s="313"/>
      <c r="L747" s="313"/>
      <c r="M747" s="313"/>
      <c r="N747" s="315"/>
      <c r="O747" s="313"/>
      <c r="P747" s="313"/>
      <c r="Q747" s="432"/>
      <c r="R747" s="313"/>
      <c r="S747" s="313"/>
      <c r="T747" s="317"/>
      <c r="U747" s="433"/>
      <c r="V747" s="288"/>
      <c r="W747" s="220"/>
      <c r="X747" s="220"/>
      <c r="Y747" s="220"/>
      <c r="Z747" s="220"/>
      <c r="AA747" s="220"/>
      <c r="AB747" s="220"/>
      <c r="AC747" s="220"/>
      <c r="AD747" s="220"/>
      <c r="AE747" s="220"/>
      <c r="AF747" s="220"/>
      <c r="AG747" s="308"/>
      <c r="AH747" s="220"/>
      <c r="AI747" s="220"/>
      <c r="AJ747" s="220"/>
      <c r="AK747" s="220"/>
      <c r="AL747" s="220"/>
      <c r="AM747" s="220"/>
    </row>
    <row r="748">
      <c r="A748" s="430"/>
      <c r="B748" s="311"/>
      <c r="C748" s="311"/>
      <c r="D748" s="312"/>
      <c r="E748" s="311"/>
      <c r="F748" s="311"/>
      <c r="G748" s="312"/>
      <c r="H748" s="312"/>
      <c r="I748" s="313"/>
      <c r="J748" s="431"/>
      <c r="K748" s="313"/>
      <c r="L748" s="313"/>
      <c r="M748" s="313"/>
      <c r="N748" s="315"/>
      <c r="O748" s="313"/>
      <c r="P748" s="313"/>
      <c r="Q748" s="432"/>
      <c r="R748" s="313"/>
      <c r="S748" s="313"/>
      <c r="T748" s="317"/>
      <c r="U748" s="433"/>
      <c r="V748" s="288"/>
      <c r="W748" s="220"/>
      <c r="X748" s="220"/>
      <c r="Y748" s="220"/>
      <c r="Z748" s="220"/>
      <c r="AA748" s="220"/>
      <c r="AB748" s="220"/>
      <c r="AC748" s="220"/>
      <c r="AD748" s="220"/>
      <c r="AE748" s="220"/>
      <c r="AF748" s="220"/>
      <c r="AG748" s="308"/>
      <c r="AH748" s="220"/>
      <c r="AI748" s="220"/>
      <c r="AJ748" s="220"/>
      <c r="AK748" s="220"/>
      <c r="AL748" s="220"/>
      <c r="AM748" s="220"/>
    </row>
    <row r="749">
      <c r="A749" s="430"/>
      <c r="B749" s="311"/>
      <c r="C749" s="311"/>
      <c r="D749" s="312"/>
      <c r="E749" s="311"/>
      <c r="F749" s="311"/>
      <c r="G749" s="312"/>
      <c r="H749" s="312"/>
      <c r="I749" s="313"/>
      <c r="J749" s="431"/>
      <c r="K749" s="313"/>
      <c r="L749" s="313"/>
      <c r="M749" s="313"/>
      <c r="N749" s="315"/>
      <c r="O749" s="313"/>
      <c r="P749" s="313"/>
      <c r="Q749" s="432"/>
      <c r="R749" s="313"/>
      <c r="S749" s="313"/>
      <c r="T749" s="317"/>
      <c r="U749" s="433"/>
      <c r="V749" s="288"/>
      <c r="W749" s="220"/>
      <c r="X749" s="220"/>
      <c r="Y749" s="220"/>
      <c r="Z749" s="220"/>
      <c r="AA749" s="220"/>
      <c r="AB749" s="220"/>
      <c r="AC749" s="220"/>
      <c r="AD749" s="220"/>
      <c r="AE749" s="220"/>
      <c r="AF749" s="220"/>
      <c r="AG749" s="308"/>
      <c r="AH749" s="220"/>
      <c r="AI749" s="220"/>
      <c r="AJ749" s="220"/>
      <c r="AK749" s="220"/>
      <c r="AL749" s="220"/>
      <c r="AM749" s="220"/>
    </row>
    <row r="750">
      <c r="A750" s="430"/>
      <c r="B750" s="311"/>
      <c r="C750" s="311"/>
      <c r="D750" s="312"/>
      <c r="E750" s="311"/>
      <c r="F750" s="311"/>
      <c r="G750" s="312"/>
      <c r="H750" s="312"/>
      <c r="I750" s="313"/>
      <c r="J750" s="431"/>
      <c r="K750" s="313"/>
      <c r="L750" s="313"/>
      <c r="M750" s="313"/>
      <c r="N750" s="315"/>
      <c r="O750" s="313"/>
      <c r="P750" s="313"/>
      <c r="Q750" s="432"/>
      <c r="R750" s="313"/>
      <c r="S750" s="313"/>
      <c r="T750" s="317"/>
      <c r="U750" s="433"/>
      <c r="V750" s="288"/>
      <c r="W750" s="220"/>
      <c r="X750" s="220"/>
      <c r="Y750" s="220"/>
      <c r="Z750" s="220"/>
      <c r="AA750" s="220"/>
      <c r="AB750" s="220"/>
      <c r="AC750" s="220"/>
      <c r="AD750" s="220"/>
      <c r="AE750" s="220"/>
      <c r="AF750" s="220"/>
      <c r="AG750" s="308"/>
      <c r="AH750" s="220"/>
      <c r="AI750" s="220"/>
      <c r="AJ750" s="220"/>
      <c r="AK750" s="220"/>
      <c r="AL750" s="220"/>
      <c r="AM750" s="220"/>
    </row>
    <row r="751">
      <c r="A751" s="430"/>
      <c r="B751" s="311"/>
      <c r="C751" s="311"/>
      <c r="D751" s="312"/>
      <c r="E751" s="311"/>
      <c r="F751" s="311"/>
      <c r="G751" s="312"/>
      <c r="H751" s="312"/>
      <c r="I751" s="313"/>
      <c r="J751" s="431"/>
      <c r="K751" s="313"/>
      <c r="L751" s="313"/>
      <c r="M751" s="313"/>
      <c r="N751" s="315"/>
      <c r="O751" s="313"/>
      <c r="P751" s="313"/>
      <c r="Q751" s="432"/>
      <c r="R751" s="313"/>
      <c r="S751" s="313"/>
      <c r="T751" s="317"/>
      <c r="U751" s="433"/>
      <c r="V751" s="288"/>
      <c r="W751" s="220"/>
      <c r="X751" s="220"/>
      <c r="Y751" s="220"/>
      <c r="Z751" s="220"/>
      <c r="AA751" s="220"/>
      <c r="AB751" s="220"/>
      <c r="AC751" s="220"/>
      <c r="AD751" s="220"/>
      <c r="AE751" s="220"/>
      <c r="AF751" s="220"/>
      <c r="AG751" s="308"/>
      <c r="AH751" s="220"/>
      <c r="AI751" s="220"/>
      <c r="AJ751" s="220"/>
      <c r="AK751" s="220"/>
      <c r="AL751" s="220"/>
      <c r="AM751" s="220"/>
    </row>
    <row r="752">
      <c r="A752" s="430"/>
      <c r="B752" s="311"/>
      <c r="C752" s="311"/>
      <c r="D752" s="312"/>
      <c r="E752" s="311"/>
      <c r="F752" s="311"/>
      <c r="G752" s="312"/>
      <c r="H752" s="312"/>
      <c r="I752" s="313"/>
      <c r="J752" s="431"/>
      <c r="K752" s="313"/>
      <c r="L752" s="313"/>
      <c r="M752" s="313"/>
      <c r="N752" s="315"/>
      <c r="O752" s="313"/>
      <c r="P752" s="313"/>
      <c r="Q752" s="432"/>
      <c r="R752" s="313"/>
      <c r="S752" s="313"/>
      <c r="T752" s="317"/>
      <c r="U752" s="433"/>
      <c r="V752" s="288"/>
      <c r="W752" s="220"/>
      <c r="X752" s="220"/>
      <c r="Y752" s="220"/>
      <c r="Z752" s="220"/>
      <c r="AA752" s="220"/>
      <c r="AB752" s="220"/>
      <c r="AC752" s="220"/>
      <c r="AD752" s="220"/>
      <c r="AE752" s="220"/>
      <c r="AF752" s="220"/>
      <c r="AG752" s="308"/>
      <c r="AH752" s="220"/>
      <c r="AI752" s="220"/>
      <c r="AJ752" s="220"/>
      <c r="AK752" s="220"/>
      <c r="AL752" s="220"/>
      <c r="AM752" s="220"/>
    </row>
    <row r="753">
      <c r="A753" s="430"/>
      <c r="B753" s="311"/>
      <c r="C753" s="311"/>
      <c r="D753" s="312"/>
      <c r="E753" s="311"/>
      <c r="F753" s="311"/>
      <c r="G753" s="312"/>
      <c r="H753" s="312"/>
      <c r="I753" s="313"/>
      <c r="J753" s="431"/>
      <c r="K753" s="313"/>
      <c r="L753" s="313"/>
      <c r="M753" s="313"/>
      <c r="N753" s="315"/>
      <c r="O753" s="313"/>
      <c r="P753" s="313"/>
      <c r="Q753" s="432"/>
      <c r="R753" s="313"/>
      <c r="S753" s="313"/>
      <c r="T753" s="317"/>
      <c r="U753" s="433"/>
      <c r="V753" s="288"/>
      <c r="W753" s="220"/>
      <c r="X753" s="220"/>
      <c r="Y753" s="220"/>
      <c r="Z753" s="220"/>
      <c r="AA753" s="220"/>
      <c r="AB753" s="220"/>
      <c r="AC753" s="220"/>
      <c r="AD753" s="220"/>
      <c r="AE753" s="220"/>
      <c r="AF753" s="220"/>
      <c r="AG753" s="308"/>
      <c r="AH753" s="220"/>
      <c r="AI753" s="220"/>
      <c r="AJ753" s="220"/>
      <c r="AK753" s="220"/>
      <c r="AL753" s="220"/>
      <c r="AM753" s="220"/>
    </row>
    <row r="754">
      <c r="A754" s="430"/>
      <c r="B754" s="311"/>
      <c r="C754" s="311"/>
      <c r="D754" s="312"/>
      <c r="E754" s="311"/>
      <c r="F754" s="311"/>
      <c r="G754" s="312"/>
      <c r="H754" s="312"/>
      <c r="I754" s="313"/>
      <c r="J754" s="431"/>
      <c r="K754" s="313"/>
      <c r="L754" s="313"/>
      <c r="M754" s="313"/>
      <c r="N754" s="315"/>
      <c r="O754" s="313"/>
      <c r="P754" s="313"/>
      <c r="Q754" s="432"/>
      <c r="R754" s="313"/>
      <c r="S754" s="313"/>
      <c r="T754" s="317"/>
      <c r="U754" s="433"/>
      <c r="V754" s="288"/>
      <c r="W754" s="220"/>
      <c r="X754" s="220"/>
      <c r="Y754" s="220"/>
      <c r="Z754" s="220"/>
      <c r="AA754" s="220"/>
      <c r="AB754" s="220"/>
      <c r="AC754" s="220"/>
      <c r="AD754" s="220"/>
      <c r="AE754" s="220"/>
      <c r="AF754" s="220"/>
      <c r="AG754" s="308"/>
      <c r="AH754" s="220"/>
      <c r="AI754" s="220"/>
      <c r="AJ754" s="220"/>
      <c r="AK754" s="220"/>
      <c r="AL754" s="220"/>
      <c r="AM754" s="220"/>
    </row>
    <row r="755">
      <c r="A755" s="430"/>
      <c r="B755" s="311"/>
      <c r="C755" s="311"/>
      <c r="D755" s="312"/>
      <c r="E755" s="311"/>
      <c r="F755" s="311"/>
      <c r="G755" s="312"/>
      <c r="H755" s="312"/>
      <c r="I755" s="313"/>
      <c r="J755" s="431"/>
      <c r="K755" s="313"/>
      <c r="L755" s="313"/>
      <c r="M755" s="313"/>
      <c r="N755" s="315"/>
      <c r="O755" s="313"/>
      <c r="P755" s="313"/>
      <c r="Q755" s="432"/>
      <c r="R755" s="313"/>
      <c r="S755" s="313"/>
      <c r="T755" s="317"/>
      <c r="U755" s="433"/>
      <c r="V755" s="288"/>
      <c r="W755" s="220"/>
      <c r="X755" s="220"/>
      <c r="Y755" s="220"/>
      <c r="Z755" s="220"/>
      <c r="AA755" s="220"/>
      <c r="AB755" s="220"/>
      <c r="AC755" s="220"/>
      <c r="AD755" s="220"/>
      <c r="AE755" s="220"/>
      <c r="AF755" s="220"/>
      <c r="AG755" s="308"/>
      <c r="AH755" s="220"/>
      <c r="AI755" s="220"/>
      <c r="AJ755" s="220"/>
      <c r="AK755" s="220"/>
      <c r="AL755" s="220"/>
      <c r="AM755" s="220"/>
    </row>
    <row r="756">
      <c r="A756" s="430"/>
      <c r="B756" s="311"/>
      <c r="C756" s="311"/>
      <c r="D756" s="312"/>
      <c r="E756" s="311"/>
      <c r="F756" s="311"/>
      <c r="G756" s="312"/>
      <c r="H756" s="312"/>
      <c r="I756" s="313"/>
      <c r="J756" s="431"/>
      <c r="K756" s="313"/>
      <c r="L756" s="313"/>
      <c r="M756" s="313"/>
      <c r="N756" s="315"/>
      <c r="O756" s="313"/>
      <c r="P756" s="313"/>
      <c r="Q756" s="432"/>
      <c r="R756" s="313"/>
      <c r="S756" s="313"/>
      <c r="T756" s="317"/>
      <c r="U756" s="433"/>
      <c r="V756" s="288"/>
      <c r="W756" s="220"/>
      <c r="X756" s="220"/>
      <c r="Y756" s="220"/>
      <c r="Z756" s="220"/>
      <c r="AA756" s="220"/>
      <c r="AB756" s="220"/>
      <c r="AC756" s="220"/>
      <c r="AD756" s="220"/>
      <c r="AE756" s="220"/>
      <c r="AF756" s="220"/>
      <c r="AG756" s="308"/>
      <c r="AH756" s="220"/>
      <c r="AI756" s="220"/>
      <c r="AJ756" s="220"/>
      <c r="AK756" s="220"/>
      <c r="AL756" s="220"/>
      <c r="AM756" s="220"/>
    </row>
    <row r="757">
      <c r="A757" s="430"/>
      <c r="B757" s="311"/>
      <c r="C757" s="311"/>
      <c r="D757" s="312"/>
      <c r="E757" s="311"/>
      <c r="F757" s="311"/>
      <c r="G757" s="312"/>
      <c r="H757" s="312"/>
      <c r="I757" s="313"/>
      <c r="J757" s="431"/>
      <c r="K757" s="313"/>
      <c r="L757" s="313"/>
      <c r="M757" s="313"/>
      <c r="N757" s="315"/>
      <c r="O757" s="313"/>
      <c r="P757" s="313"/>
      <c r="Q757" s="432"/>
      <c r="R757" s="313"/>
      <c r="S757" s="313"/>
      <c r="T757" s="317"/>
      <c r="U757" s="433"/>
      <c r="V757" s="288"/>
      <c r="W757" s="220"/>
      <c r="X757" s="220"/>
      <c r="Y757" s="220"/>
      <c r="Z757" s="220"/>
      <c r="AA757" s="220"/>
      <c r="AB757" s="220"/>
      <c r="AC757" s="220"/>
      <c r="AD757" s="220"/>
      <c r="AE757" s="220"/>
      <c r="AF757" s="220"/>
      <c r="AG757" s="308"/>
      <c r="AH757" s="220"/>
      <c r="AI757" s="220"/>
      <c r="AJ757" s="220"/>
      <c r="AK757" s="220"/>
      <c r="AL757" s="220"/>
      <c r="AM757" s="220"/>
    </row>
    <row r="758">
      <c r="A758" s="430"/>
      <c r="B758" s="311"/>
      <c r="C758" s="311"/>
      <c r="D758" s="312"/>
      <c r="E758" s="311"/>
      <c r="F758" s="311"/>
      <c r="G758" s="312"/>
      <c r="H758" s="312"/>
      <c r="I758" s="313"/>
      <c r="J758" s="431"/>
      <c r="K758" s="313"/>
      <c r="L758" s="313"/>
      <c r="M758" s="313"/>
      <c r="N758" s="315"/>
      <c r="O758" s="313"/>
      <c r="P758" s="313"/>
      <c r="Q758" s="432"/>
      <c r="R758" s="313"/>
      <c r="S758" s="313"/>
      <c r="T758" s="317"/>
      <c r="U758" s="433"/>
      <c r="V758" s="288"/>
      <c r="W758" s="220"/>
      <c r="X758" s="220"/>
      <c r="Y758" s="220"/>
      <c r="Z758" s="220"/>
      <c r="AA758" s="220"/>
      <c r="AB758" s="220"/>
      <c r="AC758" s="220"/>
      <c r="AD758" s="220"/>
      <c r="AE758" s="220"/>
      <c r="AF758" s="220"/>
      <c r="AG758" s="308"/>
      <c r="AH758" s="220"/>
      <c r="AI758" s="220"/>
      <c r="AJ758" s="220"/>
      <c r="AK758" s="220"/>
      <c r="AL758" s="220"/>
      <c r="AM758" s="220"/>
    </row>
    <row r="759">
      <c r="A759" s="430"/>
      <c r="B759" s="311"/>
      <c r="C759" s="311"/>
      <c r="D759" s="312"/>
      <c r="E759" s="311"/>
      <c r="F759" s="311"/>
      <c r="G759" s="312"/>
      <c r="H759" s="312"/>
      <c r="I759" s="313"/>
      <c r="J759" s="431"/>
      <c r="K759" s="313"/>
      <c r="L759" s="313"/>
      <c r="M759" s="313"/>
      <c r="N759" s="315"/>
      <c r="O759" s="313"/>
      <c r="P759" s="313"/>
      <c r="Q759" s="432"/>
      <c r="R759" s="313"/>
      <c r="S759" s="313"/>
      <c r="T759" s="317"/>
      <c r="U759" s="433"/>
      <c r="V759" s="288"/>
      <c r="W759" s="220"/>
      <c r="X759" s="220"/>
      <c r="Y759" s="220"/>
      <c r="Z759" s="220"/>
      <c r="AA759" s="220"/>
      <c r="AB759" s="220"/>
      <c r="AC759" s="220"/>
      <c r="AD759" s="220"/>
      <c r="AE759" s="220"/>
      <c r="AF759" s="220"/>
      <c r="AG759" s="308"/>
      <c r="AH759" s="220"/>
      <c r="AI759" s="220"/>
      <c r="AJ759" s="220"/>
      <c r="AK759" s="220"/>
      <c r="AL759" s="220"/>
      <c r="AM759" s="220"/>
    </row>
    <row r="760">
      <c r="A760" s="430"/>
      <c r="B760" s="311"/>
      <c r="C760" s="311"/>
      <c r="D760" s="312"/>
      <c r="E760" s="311"/>
      <c r="F760" s="311"/>
      <c r="G760" s="312"/>
      <c r="H760" s="312"/>
      <c r="I760" s="313"/>
      <c r="J760" s="431"/>
      <c r="K760" s="313"/>
      <c r="L760" s="313"/>
      <c r="M760" s="313"/>
      <c r="N760" s="315"/>
      <c r="O760" s="313"/>
      <c r="P760" s="313"/>
      <c r="Q760" s="432"/>
      <c r="R760" s="313"/>
      <c r="S760" s="313"/>
      <c r="T760" s="317"/>
      <c r="U760" s="433"/>
      <c r="V760" s="288"/>
      <c r="W760" s="220"/>
      <c r="X760" s="220"/>
      <c r="Y760" s="220"/>
      <c r="Z760" s="220"/>
      <c r="AA760" s="220"/>
      <c r="AB760" s="220"/>
      <c r="AC760" s="220"/>
      <c r="AD760" s="220"/>
      <c r="AE760" s="220"/>
      <c r="AF760" s="220"/>
      <c r="AG760" s="308"/>
      <c r="AH760" s="220"/>
      <c r="AI760" s="220"/>
      <c r="AJ760" s="220"/>
      <c r="AK760" s="220"/>
      <c r="AL760" s="220"/>
      <c r="AM760" s="220"/>
    </row>
    <row r="761">
      <c r="A761" s="430"/>
      <c r="B761" s="311"/>
      <c r="C761" s="311"/>
      <c r="D761" s="312"/>
      <c r="E761" s="311"/>
      <c r="F761" s="311"/>
      <c r="G761" s="312"/>
      <c r="H761" s="312"/>
      <c r="I761" s="313"/>
      <c r="J761" s="431"/>
      <c r="K761" s="313"/>
      <c r="L761" s="313"/>
      <c r="M761" s="313"/>
      <c r="N761" s="315"/>
      <c r="O761" s="313"/>
      <c r="P761" s="313"/>
      <c r="Q761" s="432"/>
      <c r="R761" s="313"/>
      <c r="S761" s="313"/>
      <c r="T761" s="317"/>
      <c r="U761" s="433"/>
      <c r="V761" s="288"/>
      <c r="W761" s="220"/>
      <c r="X761" s="220"/>
      <c r="Y761" s="220"/>
      <c r="Z761" s="220"/>
      <c r="AA761" s="220"/>
      <c r="AB761" s="220"/>
      <c r="AC761" s="220"/>
      <c r="AD761" s="220"/>
      <c r="AE761" s="220"/>
      <c r="AF761" s="220"/>
      <c r="AG761" s="308"/>
      <c r="AH761" s="220"/>
      <c r="AI761" s="220"/>
      <c r="AJ761" s="220"/>
      <c r="AK761" s="220"/>
      <c r="AL761" s="220"/>
      <c r="AM761" s="220"/>
    </row>
    <row r="762">
      <c r="A762" s="430"/>
      <c r="B762" s="311"/>
      <c r="C762" s="311"/>
      <c r="D762" s="312"/>
      <c r="E762" s="311"/>
      <c r="F762" s="311"/>
      <c r="G762" s="312"/>
      <c r="H762" s="312"/>
      <c r="I762" s="313"/>
      <c r="J762" s="431"/>
      <c r="K762" s="313"/>
      <c r="L762" s="313"/>
      <c r="M762" s="313"/>
      <c r="N762" s="315"/>
      <c r="O762" s="313"/>
      <c r="P762" s="313"/>
      <c r="Q762" s="432"/>
      <c r="R762" s="313"/>
      <c r="S762" s="313"/>
      <c r="T762" s="317"/>
      <c r="U762" s="433"/>
      <c r="V762" s="288"/>
      <c r="W762" s="220"/>
      <c r="X762" s="220"/>
      <c r="Y762" s="220"/>
      <c r="Z762" s="220"/>
      <c r="AA762" s="220"/>
      <c r="AB762" s="220"/>
      <c r="AC762" s="220"/>
      <c r="AD762" s="220"/>
      <c r="AE762" s="220"/>
      <c r="AF762" s="220"/>
      <c r="AG762" s="308"/>
      <c r="AH762" s="220"/>
      <c r="AI762" s="220"/>
      <c r="AJ762" s="220"/>
      <c r="AK762" s="220"/>
      <c r="AL762" s="220"/>
      <c r="AM762" s="220"/>
    </row>
    <row r="763">
      <c r="A763" s="430"/>
      <c r="B763" s="311"/>
      <c r="C763" s="311"/>
      <c r="D763" s="312"/>
      <c r="E763" s="311"/>
      <c r="F763" s="311"/>
      <c r="G763" s="312"/>
      <c r="H763" s="312"/>
      <c r="I763" s="313"/>
      <c r="J763" s="431"/>
      <c r="K763" s="313"/>
      <c r="L763" s="313"/>
      <c r="M763" s="313"/>
      <c r="N763" s="315"/>
      <c r="O763" s="313"/>
      <c r="P763" s="313"/>
      <c r="Q763" s="432"/>
      <c r="R763" s="313"/>
      <c r="S763" s="313"/>
      <c r="T763" s="317"/>
      <c r="U763" s="433"/>
      <c r="V763" s="288"/>
      <c r="W763" s="220"/>
      <c r="X763" s="220"/>
      <c r="Y763" s="220"/>
      <c r="Z763" s="220"/>
      <c r="AA763" s="220"/>
      <c r="AB763" s="220"/>
      <c r="AC763" s="220"/>
      <c r="AD763" s="220"/>
      <c r="AE763" s="220"/>
      <c r="AF763" s="220"/>
      <c r="AG763" s="308"/>
      <c r="AH763" s="220"/>
      <c r="AI763" s="220"/>
      <c r="AJ763" s="220"/>
      <c r="AK763" s="220"/>
      <c r="AL763" s="220"/>
      <c r="AM763" s="220"/>
    </row>
    <row r="764">
      <c r="A764" s="430"/>
      <c r="B764" s="311"/>
      <c r="C764" s="311"/>
      <c r="D764" s="312"/>
      <c r="E764" s="311"/>
      <c r="F764" s="311"/>
      <c r="G764" s="312"/>
      <c r="H764" s="312"/>
      <c r="I764" s="313"/>
      <c r="J764" s="431"/>
      <c r="K764" s="313"/>
      <c r="L764" s="313"/>
      <c r="M764" s="313"/>
      <c r="N764" s="315"/>
      <c r="O764" s="313"/>
      <c r="P764" s="313"/>
      <c r="Q764" s="432"/>
      <c r="R764" s="313"/>
      <c r="S764" s="313"/>
      <c r="T764" s="317"/>
      <c r="U764" s="433"/>
      <c r="V764" s="288"/>
      <c r="W764" s="220"/>
      <c r="X764" s="220"/>
      <c r="Y764" s="220"/>
      <c r="Z764" s="220"/>
      <c r="AA764" s="220"/>
      <c r="AB764" s="220"/>
      <c r="AC764" s="220"/>
      <c r="AD764" s="220"/>
      <c r="AE764" s="220"/>
      <c r="AF764" s="220"/>
      <c r="AG764" s="308"/>
      <c r="AH764" s="220"/>
      <c r="AI764" s="220"/>
      <c r="AJ764" s="220"/>
      <c r="AK764" s="220"/>
      <c r="AL764" s="220"/>
      <c r="AM764" s="220"/>
    </row>
    <row r="765">
      <c r="A765" s="430"/>
      <c r="B765" s="311"/>
      <c r="C765" s="311"/>
      <c r="D765" s="312"/>
      <c r="E765" s="311"/>
      <c r="F765" s="311"/>
      <c r="G765" s="312"/>
      <c r="H765" s="312"/>
      <c r="I765" s="313"/>
      <c r="J765" s="431"/>
      <c r="K765" s="313"/>
      <c r="L765" s="313"/>
      <c r="M765" s="313"/>
      <c r="N765" s="315"/>
      <c r="O765" s="313"/>
      <c r="P765" s="313"/>
      <c r="Q765" s="432"/>
      <c r="R765" s="313"/>
      <c r="S765" s="313"/>
      <c r="T765" s="317"/>
      <c r="U765" s="433"/>
      <c r="V765" s="288"/>
      <c r="W765" s="220"/>
      <c r="X765" s="220"/>
      <c r="Y765" s="220"/>
      <c r="Z765" s="220"/>
      <c r="AA765" s="220"/>
      <c r="AB765" s="220"/>
      <c r="AC765" s="220"/>
      <c r="AD765" s="220"/>
      <c r="AE765" s="220"/>
      <c r="AF765" s="220"/>
      <c r="AG765" s="308"/>
      <c r="AH765" s="220"/>
      <c r="AI765" s="220"/>
      <c r="AJ765" s="220"/>
      <c r="AK765" s="220"/>
      <c r="AL765" s="220"/>
      <c r="AM765" s="220"/>
    </row>
    <row r="766">
      <c r="A766" s="430"/>
      <c r="B766" s="311"/>
      <c r="C766" s="311"/>
      <c r="D766" s="312"/>
      <c r="E766" s="311"/>
      <c r="F766" s="311"/>
      <c r="G766" s="312"/>
      <c r="H766" s="312"/>
      <c r="I766" s="313"/>
      <c r="J766" s="431"/>
      <c r="K766" s="313"/>
      <c r="L766" s="313"/>
      <c r="M766" s="313"/>
      <c r="N766" s="315"/>
      <c r="O766" s="313"/>
      <c r="P766" s="313"/>
      <c r="Q766" s="432"/>
      <c r="R766" s="313"/>
      <c r="S766" s="313"/>
      <c r="T766" s="317"/>
      <c r="U766" s="433"/>
      <c r="V766" s="288"/>
      <c r="W766" s="220"/>
      <c r="X766" s="220"/>
      <c r="Y766" s="220"/>
      <c r="Z766" s="220"/>
      <c r="AA766" s="220"/>
      <c r="AB766" s="220"/>
      <c r="AC766" s="220"/>
      <c r="AD766" s="220"/>
      <c r="AE766" s="220"/>
      <c r="AF766" s="220"/>
      <c r="AG766" s="308"/>
      <c r="AH766" s="220"/>
      <c r="AI766" s="220"/>
      <c r="AJ766" s="220"/>
      <c r="AK766" s="220"/>
      <c r="AL766" s="220"/>
      <c r="AM766" s="220"/>
    </row>
    <row r="767">
      <c r="A767" s="430"/>
      <c r="B767" s="311"/>
      <c r="C767" s="311"/>
      <c r="D767" s="312"/>
      <c r="E767" s="311"/>
      <c r="F767" s="311"/>
      <c r="G767" s="312"/>
      <c r="H767" s="312"/>
      <c r="I767" s="313"/>
      <c r="J767" s="431"/>
      <c r="K767" s="313"/>
      <c r="L767" s="313"/>
      <c r="M767" s="313"/>
      <c r="N767" s="315"/>
      <c r="O767" s="313"/>
      <c r="P767" s="313"/>
      <c r="Q767" s="432"/>
      <c r="R767" s="313"/>
      <c r="S767" s="313"/>
      <c r="T767" s="317"/>
      <c r="U767" s="433"/>
      <c r="V767" s="288"/>
      <c r="W767" s="220"/>
      <c r="X767" s="220"/>
      <c r="Y767" s="220"/>
      <c r="Z767" s="220"/>
      <c r="AA767" s="220"/>
      <c r="AB767" s="220"/>
      <c r="AC767" s="220"/>
      <c r="AD767" s="220"/>
      <c r="AE767" s="220"/>
      <c r="AF767" s="220"/>
      <c r="AG767" s="308"/>
      <c r="AH767" s="220"/>
      <c r="AI767" s="220"/>
      <c r="AJ767" s="220"/>
      <c r="AK767" s="220"/>
      <c r="AL767" s="220"/>
      <c r="AM767" s="220"/>
    </row>
    <row r="768">
      <c r="A768" s="430"/>
      <c r="B768" s="311"/>
      <c r="C768" s="311"/>
      <c r="D768" s="312"/>
      <c r="E768" s="311"/>
      <c r="F768" s="311"/>
      <c r="G768" s="312"/>
      <c r="H768" s="312"/>
      <c r="I768" s="313"/>
      <c r="J768" s="431"/>
      <c r="K768" s="313"/>
      <c r="L768" s="313"/>
      <c r="M768" s="313"/>
      <c r="N768" s="315"/>
      <c r="O768" s="313"/>
      <c r="P768" s="313"/>
      <c r="Q768" s="432"/>
      <c r="R768" s="313"/>
      <c r="S768" s="313"/>
      <c r="T768" s="317"/>
      <c r="U768" s="433"/>
      <c r="V768" s="288"/>
      <c r="W768" s="220"/>
      <c r="X768" s="220"/>
      <c r="Y768" s="220"/>
      <c r="Z768" s="220"/>
      <c r="AA768" s="220"/>
      <c r="AB768" s="220"/>
      <c r="AC768" s="220"/>
      <c r="AD768" s="220"/>
      <c r="AE768" s="220"/>
      <c r="AF768" s="220"/>
      <c r="AG768" s="308"/>
      <c r="AH768" s="220"/>
      <c r="AI768" s="220"/>
      <c r="AJ768" s="220"/>
      <c r="AK768" s="220"/>
      <c r="AL768" s="220"/>
      <c r="AM768" s="220"/>
    </row>
    <row r="769">
      <c r="A769" s="430"/>
      <c r="B769" s="311"/>
      <c r="C769" s="311"/>
      <c r="D769" s="312"/>
      <c r="E769" s="311"/>
      <c r="F769" s="311"/>
      <c r="G769" s="312"/>
      <c r="H769" s="312"/>
      <c r="I769" s="313"/>
      <c r="J769" s="431"/>
      <c r="K769" s="313"/>
      <c r="L769" s="313"/>
      <c r="M769" s="313"/>
      <c r="N769" s="315"/>
      <c r="O769" s="313"/>
      <c r="P769" s="313"/>
      <c r="Q769" s="432"/>
      <c r="R769" s="313"/>
      <c r="S769" s="313"/>
      <c r="T769" s="317"/>
      <c r="U769" s="433"/>
      <c r="V769" s="288"/>
      <c r="W769" s="220"/>
      <c r="X769" s="220"/>
      <c r="Y769" s="220"/>
      <c r="Z769" s="220"/>
      <c r="AA769" s="220"/>
      <c r="AB769" s="220"/>
      <c r="AC769" s="220"/>
      <c r="AD769" s="220"/>
      <c r="AE769" s="220"/>
      <c r="AF769" s="220"/>
      <c r="AG769" s="308"/>
      <c r="AH769" s="220"/>
      <c r="AI769" s="220"/>
      <c r="AJ769" s="220"/>
      <c r="AK769" s="220"/>
      <c r="AL769" s="220"/>
      <c r="AM769" s="220"/>
    </row>
    <row r="770">
      <c r="A770" s="430"/>
      <c r="B770" s="311"/>
      <c r="C770" s="311"/>
      <c r="D770" s="312"/>
      <c r="E770" s="311"/>
      <c r="F770" s="311"/>
      <c r="G770" s="312"/>
      <c r="H770" s="312"/>
      <c r="I770" s="313"/>
      <c r="J770" s="431"/>
      <c r="K770" s="313"/>
      <c r="L770" s="313"/>
      <c r="M770" s="313"/>
      <c r="N770" s="315"/>
      <c r="O770" s="313"/>
      <c r="P770" s="313"/>
      <c r="Q770" s="432"/>
      <c r="R770" s="313"/>
      <c r="S770" s="313"/>
      <c r="T770" s="317"/>
      <c r="U770" s="433"/>
      <c r="V770" s="288"/>
      <c r="W770" s="220"/>
      <c r="X770" s="220"/>
      <c r="Y770" s="220"/>
      <c r="Z770" s="220"/>
      <c r="AA770" s="220"/>
      <c r="AB770" s="220"/>
      <c r="AC770" s="220"/>
      <c r="AD770" s="220"/>
      <c r="AE770" s="220"/>
      <c r="AF770" s="220"/>
      <c r="AG770" s="308"/>
      <c r="AH770" s="220"/>
      <c r="AI770" s="220"/>
      <c r="AJ770" s="220"/>
      <c r="AK770" s="220"/>
      <c r="AL770" s="220"/>
      <c r="AM770" s="220"/>
    </row>
    <row r="771">
      <c r="A771" s="430"/>
      <c r="B771" s="311"/>
      <c r="C771" s="311"/>
      <c r="D771" s="312"/>
      <c r="E771" s="311"/>
      <c r="F771" s="311"/>
      <c r="G771" s="312"/>
      <c r="H771" s="312"/>
      <c r="I771" s="313"/>
      <c r="J771" s="431"/>
      <c r="K771" s="313"/>
      <c r="L771" s="313"/>
      <c r="M771" s="313"/>
      <c r="N771" s="315"/>
      <c r="O771" s="313"/>
      <c r="P771" s="313"/>
      <c r="Q771" s="432"/>
      <c r="R771" s="313"/>
      <c r="S771" s="313"/>
      <c r="T771" s="317"/>
      <c r="U771" s="433"/>
      <c r="V771" s="288"/>
      <c r="W771" s="220"/>
      <c r="X771" s="220"/>
      <c r="Y771" s="220"/>
      <c r="Z771" s="220"/>
      <c r="AA771" s="220"/>
      <c r="AB771" s="220"/>
      <c r="AC771" s="220"/>
      <c r="AD771" s="220"/>
      <c r="AE771" s="220"/>
      <c r="AF771" s="220"/>
      <c r="AG771" s="308"/>
      <c r="AH771" s="220"/>
      <c r="AI771" s="220"/>
      <c r="AJ771" s="220"/>
      <c r="AK771" s="220"/>
      <c r="AL771" s="220"/>
      <c r="AM771" s="220"/>
    </row>
    <row r="772">
      <c r="A772" s="430"/>
      <c r="B772" s="311"/>
      <c r="C772" s="311"/>
      <c r="D772" s="312"/>
      <c r="E772" s="311"/>
      <c r="F772" s="311"/>
      <c r="G772" s="312"/>
      <c r="H772" s="312"/>
      <c r="I772" s="313"/>
      <c r="J772" s="431"/>
      <c r="K772" s="313"/>
      <c r="L772" s="313"/>
      <c r="M772" s="313"/>
      <c r="N772" s="315"/>
      <c r="O772" s="313"/>
      <c r="P772" s="313"/>
      <c r="Q772" s="432"/>
      <c r="R772" s="313"/>
      <c r="S772" s="313"/>
      <c r="T772" s="317"/>
      <c r="U772" s="433"/>
      <c r="V772" s="288"/>
      <c r="W772" s="220"/>
      <c r="X772" s="220"/>
      <c r="Y772" s="220"/>
      <c r="Z772" s="220"/>
      <c r="AA772" s="220"/>
      <c r="AB772" s="220"/>
      <c r="AC772" s="220"/>
      <c r="AD772" s="220"/>
      <c r="AE772" s="220"/>
      <c r="AF772" s="220"/>
      <c r="AG772" s="308"/>
      <c r="AH772" s="220"/>
      <c r="AI772" s="220"/>
      <c r="AJ772" s="220"/>
      <c r="AK772" s="220"/>
      <c r="AL772" s="220"/>
      <c r="AM772" s="220"/>
    </row>
    <row r="773">
      <c r="A773" s="430"/>
      <c r="B773" s="311"/>
      <c r="C773" s="311"/>
      <c r="D773" s="312"/>
      <c r="E773" s="311"/>
      <c r="F773" s="311"/>
      <c r="G773" s="312"/>
      <c r="H773" s="312"/>
      <c r="I773" s="313"/>
      <c r="J773" s="431"/>
      <c r="K773" s="313"/>
      <c r="L773" s="313"/>
      <c r="M773" s="313"/>
      <c r="N773" s="315"/>
      <c r="O773" s="313"/>
      <c r="P773" s="313"/>
      <c r="Q773" s="432"/>
      <c r="R773" s="313"/>
      <c r="S773" s="313"/>
      <c r="T773" s="317"/>
      <c r="U773" s="433"/>
      <c r="V773" s="288"/>
      <c r="W773" s="220"/>
      <c r="X773" s="220"/>
      <c r="Y773" s="220"/>
      <c r="Z773" s="220"/>
      <c r="AA773" s="220"/>
      <c r="AB773" s="220"/>
      <c r="AC773" s="220"/>
      <c r="AD773" s="220"/>
      <c r="AE773" s="220"/>
      <c r="AF773" s="220"/>
      <c r="AG773" s="308"/>
      <c r="AH773" s="220"/>
      <c r="AI773" s="220"/>
      <c r="AJ773" s="220"/>
      <c r="AK773" s="220"/>
      <c r="AL773" s="220"/>
      <c r="AM773" s="220"/>
    </row>
    <row r="774">
      <c r="A774" s="430"/>
      <c r="B774" s="311"/>
      <c r="C774" s="311"/>
      <c r="D774" s="312"/>
      <c r="E774" s="311"/>
      <c r="F774" s="311"/>
      <c r="G774" s="312"/>
      <c r="H774" s="312"/>
      <c r="I774" s="313"/>
      <c r="J774" s="431"/>
      <c r="K774" s="313"/>
      <c r="L774" s="313"/>
      <c r="M774" s="313"/>
      <c r="N774" s="315"/>
      <c r="O774" s="313"/>
      <c r="P774" s="313"/>
      <c r="Q774" s="432"/>
      <c r="R774" s="313"/>
      <c r="S774" s="313"/>
      <c r="T774" s="317"/>
      <c r="U774" s="433"/>
      <c r="V774" s="288"/>
      <c r="W774" s="220"/>
      <c r="X774" s="220"/>
      <c r="Y774" s="220"/>
      <c r="Z774" s="220"/>
      <c r="AA774" s="220"/>
      <c r="AB774" s="220"/>
      <c r="AC774" s="220"/>
      <c r="AD774" s="220"/>
      <c r="AE774" s="220"/>
      <c r="AF774" s="220"/>
      <c r="AG774" s="308"/>
      <c r="AH774" s="220"/>
      <c r="AI774" s="220"/>
      <c r="AJ774" s="220"/>
      <c r="AK774" s="220"/>
      <c r="AL774" s="220"/>
      <c r="AM774" s="220"/>
    </row>
    <row r="775">
      <c r="A775" s="430"/>
      <c r="B775" s="311"/>
      <c r="C775" s="311"/>
      <c r="D775" s="312"/>
      <c r="E775" s="311"/>
      <c r="F775" s="311"/>
      <c r="G775" s="312"/>
      <c r="H775" s="312"/>
      <c r="I775" s="313"/>
      <c r="J775" s="431"/>
      <c r="K775" s="313"/>
      <c r="L775" s="313"/>
      <c r="M775" s="313"/>
      <c r="N775" s="315"/>
      <c r="O775" s="313"/>
      <c r="P775" s="313"/>
      <c r="Q775" s="432"/>
      <c r="R775" s="313"/>
      <c r="S775" s="313"/>
      <c r="T775" s="317"/>
      <c r="U775" s="433"/>
      <c r="V775" s="288"/>
      <c r="W775" s="220"/>
      <c r="X775" s="220"/>
      <c r="Y775" s="220"/>
      <c r="Z775" s="220"/>
      <c r="AA775" s="220"/>
      <c r="AB775" s="220"/>
      <c r="AC775" s="220"/>
      <c r="AD775" s="220"/>
      <c r="AE775" s="220"/>
      <c r="AF775" s="220"/>
      <c r="AG775" s="308"/>
      <c r="AH775" s="220"/>
      <c r="AI775" s="220"/>
      <c r="AJ775" s="220"/>
      <c r="AK775" s="220"/>
      <c r="AL775" s="220"/>
      <c r="AM775" s="220"/>
    </row>
    <row r="776">
      <c r="A776" s="430"/>
      <c r="B776" s="311"/>
      <c r="C776" s="311"/>
      <c r="D776" s="312"/>
      <c r="E776" s="311"/>
      <c r="F776" s="311"/>
      <c r="G776" s="312"/>
      <c r="H776" s="312"/>
      <c r="I776" s="313"/>
      <c r="J776" s="431"/>
      <c r="K776" s="313"/>
      <c r="L776" s="313"/>
      <c r="M776" s="313"/>
      <c r="N776" s="315"/>
      <c r="O776" s="313"/>
      <c r="P776" s="313"/>
      <c r="Q776" s="432"/>
      <c r="R776" s="313"/>
      <c r="S776" s="313"/>
      <c r="T776" s="317"/>
      <c r="U776" s="433"/>
      <c r="V776" s="288"/>
      <c r="W776" s="220"/>
      <c r="X776" s="220"/>
      <c r="Y776" s="220"/>
      <c r="Z776" s="220"/>
      <c r="AA776" s="220"/>
      <c r="AB776" s="220"/>
      <c r="AC776" s="220"/>
      <c r="AD776" s="220"/>
      <c r="AE776" s="220"/>
      <c r="AF776" s="220"/>
      <c r="AG776" s="308"/>
      <c r="AH776" s="220"/>
      <c r="AI776" s="220"/>
      <c r="AJ776" s="220"/>
      <c r="AK776" s="220"/>
      <c r="AL776" s="220"/>
      <c r="AM776" s="220"/>
    </row>
    <row r="777">
      <c r="A777" s="430"/>
      <c r="B777" s="311"/>
      <c r="C777" s="311"/>
      <c r="D777" s="312"/>
      <c r="E777" s="311"/>
      <c r="F777" s="311"/>
      <c r="G777" s="312"/>
      <c r="H777" s="312"/>
      <c r="I777" s="313"/>
      <c r="J777" s="431"/>
      <c r="K777" s="313"/>
      <c r="L777" s="313"/>
      <c r="M777" s="313"/>
      <c r="N777" s="315"/>
      <c r="O777" s="313"/>
      <c r="P777" s="313"/>
      <c r="Q777" s="432"/>
      <c r="R777" s="313"/>
      <c r="S777" s="313"/>
      <c r="T777" s="317"/>
      <c r="U777" s="433"/>
      <c r="V777" s="288"/>
      <c r="W777" s="220"/>
      <c r="X777" s="220"/>
      <c r="Y777" s="220"/>
      <c r="Z777" s="220"/>
      <c r="AA777" s="220"/>
      <c r="AB777" s="220"/>
      <c r="AC777" s="220"/>
      <c r="AD777" s="220"/>
      <c r="AE777" s="220"/>
      <c r="AF777" s="220"/>
      <c r="AG777" s="308"/>
      <c r="AH777" s="220"/>
      <c r="AI777" s="220"/>
      <c r="AJ777" s="220"/>
      <c r="AK777" s="220"/>
      <c r="AL777" s="220"/>
      <c r="AM777" s="220"/>
    </row>
    <row r="778">
      <c r="A778" s="430"/>
      <c r="B778" s="311"/>
      <c r="C778" s="311"/>
      <c r="D778" s="312"/>
      <c r="E778" s="311"/>
      <c r="F778" s="311"/>
      <c r="G778" s="312"/>
      <c r="H778" s="312"/>
      <c r="I778" s="313"/>
      <c r="J778" s="431"/>
      <c r="K778" s="313"/>
      <c r="L778" s="313"/>
      <c r="M778" s="313"/>
      <c r="N778" s="315"/>
      <c r="O778" s="313"/>
      <c r="P778" s="313"/>
      <c r="Q778" s="432"/>
      <c r="R778" s="313"/>
      <c r="S778" s="313"/>
      <c r="T778" s="317"/>
      <c r="U778" s="433"/>
      <c r="V778" s="288"/>
      <c r="W778" s="220"/>
      <c r="X778" s="220"/>
      <c r="Y778" s="220"/>
      <c r="Z778" s="220"/>
      <c r="AA778" s="220"/>
      <c r="AB778" s="220"/>
      <c r="AC778" s="220"/>
      <c r="AD778" s="220"/>
      <c r="AE778" s="220"/>
      <c r="AF778" s="220"/>
      <c r="AG778" s="308"/>
      <c r="AH778" s="220"/>
      <c r="AI778" s="220"/>
      <c r="AJ778" s="220"/>
      <c r="AK778" s="220"/>
      <c r="AL778" s="220"/>
      <c r="AM778" s="220"/>
    </row>
    <row r="779">
      <c r="A779" s="430"/>
      <c r="B779" s="311"/>
      <c r="C779" s="311"/>
      <c r="D779" s="312"/>
      <c r="E779" s="311"/>
      <c r="F779" s="311"/>
      <c r="G779" s="312"/>
      <c r="H779" s="312"/>
      <c r="I779" s="313"/>
      <c r="J779" s="431"/>
      <c r="K779" s="313"/>
      <c r="L779" s="313"/>
      <c r="M779" s="313"/>
      <c r="N779" s="315"/>
      <c r="O779" s="313"/>
      <c r="P779" s="313"/>
      <c r="Q779" s="432"/>
      <c r="R779" s="313"/>
      <c r="S779" s="313"/>
      <c r="T779" s="317"/>
      <c r="U779" s="433"/>
      <c r="V779" s="288"/>
      <c r="W779" s="220"/>
      <c r="X779" s="220"/>
      <c r="Y779" s="220"/>
      <c r="Z779" s="220"/>
      <c r="AA779" s="220"/>
      <c r="AB779" s="220"/>
      <c r="AC779" s="220"/>
      <c r="AD779" s="220"/>
      <c r="AE779" s="220"/>
      <c r="AF779" s="220"/>
      <c r="AG779" s="308"/>
      <c r="AH779" s="220"/>
      <c r="AI779" s="220"/>
      <c r="AJ779" s="220"/>
      <c r="AK779" s="220"/>
      <c r="AL779" s="220"/>
      <c r="AM779" s="220"/>
    </row>
    <row r="780">
      <c r="A780" s="430"/>
      <c r="B780" s="311"/>
      <c r="C780" s="311"/>
      <c r="D780" s="312"/>
      <c r="E780" s="311"/>
      <c r="F780" s="311"/>
      <c r="G780" s="312"/>
      <c r="H780" s="312"/>
      <c r="I780" s="313"/>
      <c r="J780" s="431"/>
      <c r="K780" s="313"/>
      <c r="L780" s="313"/>
      <c r="M780" s="313"/>
      <c r="N780" s="315"/>
      <c r="O780" s="313"/>
      <c r="P780" s="313"/>
      <c r="Q780" s="432"/>
      <c r="R780" s="313"/>
      <c r="S780" s="313"/>
      <c r="T780" s="317"/>
      <c r="U780" s="433"/>
      <c r="V780" s="288"/>
      <c r="W780" s="220"/>
      <c r="X780" s="220"/>
      <c r="Y780" s="220"/>
      <c r="Z780" s="220"/>
      <c r="AA780" s="220"/>
      <c r="AB780" s="220"/>
      <c r="AC780" s="220"/>
      <c r="AD780" s="220"/>
      <c r="AE780" s="220"/>
      <c r="AF780" s="220"/>
      <c r="AG780" s="308"/>
      <c r="AH780" s="220"/>
      <c r="AI780" s="220"/>
      <c r="AJ780" s="220"/>
      <c r="AK780" s="220"/>
      <c r="AL780" s="220"/>
      <c r="AM780" s="220"/>
    </row>
    <row r="781">
      <c r="A781" s="430"/>
      <c r="B781" s="311"/>
      <c r="C781" s="311"/>
      <c r="D781" s="312"/>
      <c r="E781" s="311"/>
      <c r="F781" s="311"/>
      <c r="G781" s="312"/>
      <c r="H781" s="312"/>
      <c r="I781" s="313"/>
      <c r="J781" s="431"/>
      <c r="K781" s="313"/>
      <c r="L781" s="313"/>
      <c r="M781" s="313"/>
      <c r="N781" s="315"/>
      <c r="O781" s="313"/>
      <c r="P781" s="313"/>
      <c r="Q781" s="432"/>
      <c r="R781" s="313"/>
      <c r="S781" s="313"/>
      <c r="T781" s="317"/>
      <c r="U781" s="433"/>
      <c r="V781" s="288"/>
      <c r="W781" s="220"/>
      <c r="X781" s="220"/>
      <c r="Y781" s="220"/>
      <c r="Z781" s="220"/>
      <c r="AA781" s="220"/>
      <c r="AB781" s="220"/>
      <c r="AC781" s="220"/>
      <c r="AD781" s="220"/>
      <c r="AE781" s="220"/>
      <c r="AF781" s="220"/>
      <c r="AG781" s="308"/>
      <c r="AH781" s="220"/>
      <c r="AI781" s="220"/>
      <c r="AJ781" s="220"/>
      <c r="AK781" s="220"/>
      <c r="AL781" s="220"/>
      <c r="AM781" s="220"/>
    </row>
    <row r="782">
      <c r="A782" s="430"/>
      <c r="B782" s="311"/>
      <c r="C782" s="311"/>
      <c r="D782" s="312"/>
      <c r="E782" s="311"/>
      <c r="F782" s="311"/>
      <c r="G782" s="312"/>
      <c r="H782" s="312"/>
      <c r="I782" s="313"/>
      <c r="J782" s="431"/>
      <c r="K782" s="313"/>
      <c r="L782" s="313"/>
      <c r="M782" s="313"/>
      <c r="N782" s="315"/>
      <c r="O782" s="313"/>
      <c r="P782" s="313"/>
      <c r="Q782" s="432"/>
      <c r="R782" s="313"/>
      <c r="S782" s="313"/>
      <c r="T782" s="317"/>
      <c r="U782" s="433"/>
      <c r="V782" s="288"/>
      <c r="W782" s="220"/>
      <c r="X782" s="220"/>
      <c r="Y782" s="220"/>
      <c r="Z782" s="220"/>
      <c r="AA782" s="220"/>
      <c r="AB782" s="220"/>
      <c r="AC782" s="220"/>
      <c r="AD782" s="220"/>
      <c r="AE782" s="220"/>
      <c r="AF782" s="220"/>
      <c r="AG782" s="308"/>
      <c r="AH782" s="220"/>
      <c r="AI782" s="220"/>
      <c r="AJ782" s="220"/>
      <c r="AK782" s="220"/>
      <c r="AL782" s="220"/>
      <c r="AM782" s="220"/>
    </row>
    <row r="783">
      <c r="A783" s="430"/>
      <c r="B783" s="311"/>
      <c r="C783" s="311"/>
      <c r="D783" s="312"/>
      <c r="E783" s="311"/>
      <c r="F783" s="311"/>
      <c r="G783" s="312"/>
      <c r="H783" s="312"/>
      <c r="I783" s="313"/>
      <c r="J783" s="431"/>
      <c r="K783" s="313"/>
      <c r="L783" s="313"/>
      <c r="M783" s="313"/>
      <c r="N783" s="315"/>
      <c r="O783" s="313"/>
      <c r="P783" s="313"/>
      <c r="Q783" s="432"/>
      <c r="R783" s="313"/>
      <c r="S783" s="313"/>
      <c r="T783" s="317"/>
      <c r="U783" s="433"/>
      <c r="V783" s="288"/>
      <c r="W783" s="220"/>
      <c r="X783" s="220"/>
      <c r="Y783" s="220"/>
      <c r="Z783" s="220"/>
      <c r="AA783" s="220"/>
      <c r="AB783" s="220"/>
      <c r="AC783" s="220"/>
      <c r="AD783" s="220"/>
      <c r="AE783" s="220"/>
      <c r="AF783" s="220"/>
      <c r="AG783" s="308"/>
      <c r="AH783" s="220"/>
      <c r="AI783" s="220"/>
      <c r="AJ783" s="220"/>
      <c r="AK783" s="220"/>
      <c r="AL783" s="220"/>
      <c r="AM783" s="220"/>
    </row>
    <row r="784">
      <c r="A784" s="430"/>
      <c r="B784" s="311"/>
      <c r="C784" s="311"/>
      <c r="D784" s="312"/>
      <c r="E784" s="311"/>
      <c r="F784" s="311"/>
      <c r="G784" s="312"/>
      <c r="H784" s="312"/>
      <c r="I784" s="313"/>
      <c r="J784" s="431"/>
      <c r="K784" s="313"/>
      <c r="L784" s="313"/>
      <c r="M784" s="313"/>
      <c r="N784" s="315"/>
      <c r="O784" s="313"/>
      <c r="P784" s="313"/>
      <c r="Q784" s="432"/>
      <c r="R784" s="313"/>
      <c r="S784" s="313"/>
      <c r="T784" s="317"/>
      <c r="U784" s="433"/>
      <c r="V784" s="288"/>
      <c r="W784" s="220"/>
      <c r="X784" s="220"/>
      <c r="Y784" s="220"/>
      <c r="Z784" s="220"/>
      <c r="AA784" s="220"/>
      <c r="AB784" s="220"/>
      <c r="AC784" s="220"/>
      <c r="AD784" s="220"/>
      <c r="AE784" s="220"/>
      <c r="AF784" s="220"/>
      <c r="AG784" s="308"/>
      <c r="AH784" s="220"/>
      <c r="AI784" s="220"/>
      <c r="AJ784" s="220"/>
      <c r="AK784" s="220"/>
      <c r="AL784" s="220"/>
      <c r="AM784" s="220"/>
    </row>
    <row r="785">
      <c r="A785" s="430"/>
      <c r="B785" s="311"/>
      <c r="C785" s="311"/>
      <c r="D785" s="312"/>
      <c r="E785" s="311"/>
      <c r="F785" s="311"/>
      <c r="G785" s="312"/>
      <c r="H785" s="312"/>
      <c r="I785" s="313"/>
      <c r="J785" s="431"/>
      <c r="K785" s="313"/>
      <c r="L785" s="313"/>
      <c r="M785" s="313"/>
      <c r="N785" s="315"/>
      <c r="O785" s="313"/>
      <c r="P785" s="313"/>
      <c r="Q785" s="432"/>
      <c r="R785" s="313"/>
      <c r="S785" s="313"/>
      <c r="T785" s="317"/>
      <c r="U785" s="433"/>
      <c r="V785" s="288"/>
      <c r="W785" s="220"/>
      <c r="X785" s="220"/>
      <c r="Y785" s="220"/>
      <c r="Z785" s="220"/>
      <c r="AA785" s="220"/>
      <c r="AB785" s="220"/>
      <c r="AC785" s="220"/>
      <c r="AD785" s="220"/>
      <c r="AE785" s="220"/>
      <c r="AF785" s="220"/>
      <c r="AG785" s="308"/>
      <c r="AH785" s="220"/>
      <c r="AI785" s="220"/>
      <c r="AJ785" s="220"/>
      <c r="AK785" s="220"/>
      <c r="AL785" s="220"/>
      <c r="AM785" s="220"/>
    </row>
    <row r="786">
      <c r="A786" s="430"/>
      <c r="B786" s="311"/>
      <c r="C786" s="311"/>
      <c r="D786" s="312"/>
      <c r="E786" s="311"/>
      <c r="F786" s="311"/>
      <c r="G786" s="312"/>
      <c r="H786" s="312"/>
      <c r="I786" s="313"/>
      <c r="J786" s="431"/>
      <c r="K786" s="313"/>
      <c r="L786" s="313"/>
      <c r="M786" s="313"/>
      <c r="N786" s="315"/>
      <c r="O786" s="313"/>
      <c r="P786" s="313"/>
      <c r="Q786" s="432"/>
      <c r="R786" s="313"/>
      <c r="S786" s="313"/>
      <c r="T786" s="317"/>
      <c r="U786" s="433"/>
      <c r="V786" s="288"/>
      <c r="W786" s="220"/>
      <c r="X786" s="220"/>
      <c r="Y786" s="220"/>
      <c r="Z786" s="220"/>
      <c r="AA786" s="220"/>
      <c r="AB786" s="220"/>
      <c r="AC786" s="220"/>
      <c r="AD786" s="220"/>
      <c r="AE786" s="220"/>
      <c r="AF786" s="220"/>
      <c r="AG786" s="308"/>
      <c r="AH786" s="220"/>
      <c r="AI786" s="220"/>
      <c r="AJ786" s="220"/>
      <c r="AK786" s="220"/>
      <c r="AL786" s="220"/>
      <c r="AM786" s="220"/>
    </row>
    <row r="787">
      <c r="A787" s="430"/>
      <c r="B787" s="311"/>
      <c r="C787" s="311"/>
      <c r="D787" s="312"/>
      <c r="E787" s="311"/>
      <c r="F787" s="311"/>
      <c r="G787" s="312"/>
      <c r="H787" s="312"/>
      <c r="I787" s="313"/>
      <c r="J787" s="431"/>
      <c r="K787" s="313"/>
      <c r="L787" s="313"/>
      <c r="M787" s="313"/>
      <c r="N787" s="315"/>
      <c r="O787" s="313"/>
      <c r="P787" s="313"/>
      <c r="Q787" s="432"/>
      <c r="R787" s="313"/>
      <c r="S787" s="313"/>
      <c r="T787" s="317"/>
      <c r="U787" s="433"/>
      <c r="V787" s="288"/>
      <c r="W787" s="220"/>
      <c r="X787" s="220"/>
      <c r="Y787" s="220"/>
      <c r="Z787" s="220"/>
      <c r="AA787" s="220"/>
      <c r="AB787" s="220"/>
      <c r="AC787" s="220"/>
      <c r="AD787" s="220"/>
      <c r="AE787" s="220"/>
      <c r="AF787" s="220"/>
      <c r="AG787" s="308"/>
      <c r="AH787" s="220"/>
      <c r="AI787" s="220"/>
      <c r="AJ787" s="220"/>
      <c r="AK787" s="220"/>
      <c r="AL787" s="220"/>
      <c r="AM787" s="220"/>
    </row>
    <row r="788">
      <c r="A788" s="430"/>
      <c r="B788" s="311"/>
      <c r="C788" s="311"/>
      <c r="D788" s="312"/>
      <c r="E788" s="311"/>
      <c r="F788" s="311"/>
      <c r="G788" s="312"/>
      <c r="H788" s="312"/>
      <c r="I788" s="313"/>
      <c r="J788" s="431"/>
      <c r="K788" s="313"/>
      <c r="L788" s="313"/>
      <c r="M788" s="313"/>
      <c r="N788" s="315"/>
      <c r="O788" s="313"/>
      <c r="P788" s="313"/>
      <c r="Q788" s="432"/>
      <c r="R788" s="313"/>
      <c r="S788" s="313"/>
      <c r="T788" s="317"/>
      <c r="U788" s="433"/>
      <c r="V788" s="288"/>
      <c r="W788" s="220"/>
      <c r="X788" s="220"/>
      <c r="Y788" s="220"/>
      <c r="Z788" s="220"/>
      <c r="AA788" s="220"/>
      <c r="AB788" s="220"/>
      <c r="AC788" s="220"/>
      <c r="AD788" s="220"/>
      <c r="AE788" s="220"/>
      <c r="AF788" s="220"/>
      <c r="AG788" s="308"/>
      <c r="AH788" s="220"/>
      <c r="AI788" s="220"/>
      <c r="AJ788" s="220"/>
      <c r="AK788" s="220"/>
      <c r="AL788" s="220"/>
      <c r="AM788" s="220"/>
    </row>
    <row r="789">
      <c r="A789" s="430"/>
      <c r="B789" s="311"/>
      <c r="C789" s="311"/>
      <c r="D789" s="312"/>
      <c r="E789" s="311"/>
      <c r="F789" s="311"/>
      <c r="G789" s="312"/>
      <c r="H789" s="312"/>
      <c r="I789" s="313"/>
      <c r="J789" s="431"/>
      <c r="K789" s="313"/>
      <c r="L789" s="313"/>
      <c r="M789" s="313"/>
      <c r="N789" s="315"/>
      <c r="O789" s="313"/>
      <c r="P789" s="313"/>
      <c r="Q789" s="432"/>
      <c r="R789" s="313"/>
      <c r="S789" s="313"/>
      <c r="T789" s="317"/>
      <c r="U789" s="433"/>
      <c r="V789" s="288"/>
      <c r="W789" s="220"/>
      <c r="X789" s="220"/>
      <c r="Y789" s="220"/>
      <c r="Z789" s="220"/>
      <c r="AA789" s="220"/>
      <c r="AB789" s="220"/>
      <c r="AC789" s="220"/>
      <c r="AD789" s="220"/>
      <c r="AE789" s="220"/>
      <c r="AF789" s="220"/>
      <c r="AG789" s="308"/>
      <c r="AH789" s="220"/>
      <c r="AI789" s="220"/>
      <c r="AJ789" s="220"/>
      <c r="AK789" s="220"/>
      <c r="AL789" s="220"/>
      <c r="AM789" s="220"/>
    </row>
    <row r="790">
      <c r="A790" s="430"/>
      <c r="B790" s="311"/>
      <c r="C790" s="311"/>
      <c r="D790" s="312"/>
      <c r="E790" s="311"/>
      <c r="F790" s="311"/>
      <c r="G790" s="312"/>
      <c r="H790" s="312"/>
      <c r="I790" s="313"/>
      <c r="J790" s="431"/>
      <c r="K790" s="313"/>
      <c r="L790" s="313"/>
      <c r="M790" s="313"/>
      <c r="N790" s="315"/>
      <c r="O790" s="313"/>
      <c r="P790" s="313"/>
      <c r="Q790" s="432"/>
      <c r="R790" s="313"/>
      <c r="S790" s="313"/>
      <c r="T790" s="317"/>
      <c r="U790" s="433"/>
      <c r="V790" s="288"/>
      <c r="W790" s="220"/>
      <c r="X790" s="220"/>
      <c r="Y790" s="220"/>
      <c r="Z790" s="220"/>
      <c r="AA790" s="220"/>
      <c r="AB790" s="220"/>
      <c r="AC790" s="220"/>
      <c r="AD790" s="220"/>
      <c r="AE790" s="220"/>
      <c r="AF790" s="220"/>
      <c r="AG790" s="308"/>
      <c r="AH790" s="220"/>
      <c r="AI790" s="220"/>
      <c r="AJ790" s="220"/>
      <c r="AK790" s="220"/>
      <c r="AL790" s="220"/>
      <c r="AM790" s="220"/>
    </row>
    <row r="791">
      <c r="A791" s="430"/>
      <c r="B791" s="311"/>
      <c r="C791" s="311"/>
      <c r="D791" s="312"/>
      <c r="E791" s="311"/>
      <c r="F791" s="311"/>
      <c r="G791" s="312"/>
      <c r="H791" s="312"/>
      <c r="I791" s="313"/>
      <c r="J791" s="431"/>
      <c r="K791" s="313"/>
      <c r="L791" s="313"/>
      <c r="M791" s="313"/>
      <c r="N791" s="315"/>
      <c r="O791" s="313"/>
      <c r="P791" s="313"/>
      <c r="Q791" s="432"/>
      <c r="R791" s="313"/>
      <c r="S791" s="313"/>
      <c r="T791" s="317"/>
      <c r="U791" s="433"/>
      <c r="V791" s="288"/>
      <c r="W791" s="220"/>
      <c r="X791" s="220"/>
      <c r="Y791" s="220"/>
      <c r="Z791" s="220"/>
      <c r="AA791" s="220"/>
      <c r="AB791" s="220"/>
      <c r="AC791" s="220"/>
      <c r="AD791" s="220"/>
      <c r="AE791" s="220"/>
      <c r="AF791" s="220"/>
      <c r="AG791" s="308"/>
      <c r="AH791" s="220"/>
      <c r="AI791" s="220"/>
      <c r="AJ791" s="220"/>
      <c r="AK791" s="220"/>
      <c r="AL791" s="220"/>
      <c r="AM791" s="220"/>
    </row>
    <row r="792">
      <c r="A792" s="430"/>
      <c r="B792" s="311"/>
      <c r="C792" s="311"/>
      <c r="D792" s="312"/>
      <c r="E792" s="311"/>
      <c r="F792" s="311"/>
      <c r="G792" s="312"/>
      <c r="H792" s="312"/>
      <c r="I792" s="313"/>
      <c r="J792" s="431"/>
      <c r="K792" s="313"/>
      <c r="L792" s="313"/>
      <c r="M792" s="313"/>
      <c r="N792" s="315"/>
      <c r="O792" s="313"/>
      <c r="P792" s="313"/>
      <c r="Q792" s="432"/>
      <c r="R792" s="313"/>
      <c r="S792" s="313"/>
      <c r="T792" s="317"/>
      <c r="U792" s="433"/>
      <c r="V792" s="288"/>
      <c r="W792" s="220"/>
      <c r="X792" s="220"/>
      <c r="Y792" s="220"/>
      <c r="Z792" s="220"/>
      <c r="AA792" s="220"/>
      <c r="AB792" s="220"/>
      <c r="AC792" s="220"/>
      <c r="AD792" s="220"/>
      <c r="AE792" s="220"/>
      <c r="AF792" s="220"/>
      <c r="AG792" s="308"/>
      <c r="AH792" s="220"/>
      <c r="AI792" s="220"/>
      <c r="AJ792" s="220"/>
      <c r="AK792" s="220"/>
      <c r="AL792" s="220"/>
      <c r="AM792" s="220"/>
    </row>
    <row r="793">
      <c r="A793" s="430"/>
      <c r="B793" s="311"/>
      <c r="C793" s="311"/>
      <c r="D793" s="312"/>
      <c r="E793" s="311"/>
      <c r="F793" s="311"/>
      <c r="G793" s="312"/>
      <c r="H793" s="312"/>
      <c r="I793" s="313"/>
      <c r="J793" s="431"/>
      <c r="K793" s="313"/>
      <c r="L793" s="313"/>
      <c r="M793" s="313"/>
      <c r="N793" s="315"/>
      <c r="O793" s="313"/>
      <c r="P793" s="313"/>
      <c r="Q793" s="432"/>
      <c r="R793" s="313"/>
      <c r="S793" s="313"/>
      <c r="T793" s="317"/>
      <c r="U793" s="433"/>
      <c r="V793" s="288"/>
      <c r="W793" s="220"/>
      <c r="X793" s="220"/>
      <c r="Y793" s="220"/>
      <c r="Z793" s="220"/>
      <c r="AA793" s="220"/>
      <c r="AB793" s="220"/>
      <c r="AC793" s="220"/>
      <c r="AD793" s="220"/>
      <c r="AE793" s="220"/>
      <c r="AF793" s="220"/>
      <c r="AG793" s="308"/>
      <c r="AH793" s="220"/>
      <c r="AI793" s="220"/>
      <c r="AJ793" s="220"/>
      <c r="AK793" s="220"/>
      <c r="AL793" s="220"/>
      <c r="AM793" s="220"/>
    </row>
    <row r="794">
      <c r="A794" s="430"/>
      <c r="B794" s="311"/>
      <c r="C794" s="311"/>
      <c r="D794" s="312"/>
      <c r="E794" s="311"/>
      <c r="F794" s="311"/>
      <c r="G794" s="312"/>
      <c r="H794" s="312"/>
      <c r="I794" s="313"/>
      <c r="J794" s="431"/>
      <c r="K794" s="313"/>
      <c r="L794" s="313"/>
      <c r="M794" s="313"/>
      <c r="N794" s="315"/>
      <c r="O794" s="313"/>
      <c r="P794" s="313"/>
      <c r="Q794" s="432"/>
      <c r="R794" s="313"/>
      <c r="S794" s="313"/>
      <c r="T794" s="317"/>
      <c r="U794" s="433"/>
      <c r="V794" s="288"/>
      <c r="W794" s="220"/>
      <c r="X794" s="220"/>
      <c r="Y794" s="220"/>
      <c r="Z794" s="220"/>
      <c r="AA794" s="220"/>
      <c r="AB794" s="220"/>
      <c r="AC794" s="220"/>
      <c r="AD794" s="220"/>
      <c r="AE794" s="220"/>
      <c r="AF794" s="220"/>
      <c r="AG794" s="308"/>
      <c r="AH794" s="220"/>
      <c r="AI794" s="220"/>
      <c r="AJ794" s="220"/>
      <c r="AK794" s="220"/>
      <c r="AL794" s="220"/>
      <c r="AM794" s="220"/>
    </row>
    <row r="795">
      <c r="A795" s="430"/>
      <c r="B795" s="311"/>
      <c r="C795" s="311"/>
      <c r="D795" s="312"/>
      <c r="E795" s="311"/>
      <c r="F795" s="311"/>
      <c r="G795" s="312"/>
      <c r="H795" s="312"/>
      <c r="I795" s="313"/>
      <c r="J795" s="431"/>
      <c r="K795" s="313"/>
      <c r="L795" s="313"/>
      <c r="M795" s="313"/>
      <c r="N795" s="315"/>
      <c r="O795" s="313"/>
      <c r="P795" s="313"/>
      <c r="Q795" s="432"/>
      <c r="R795" s="313"/>
      <c r="S795" s="313"/>
      <c r="T795" s="317"/>
      <c r="U795" s="433"/>
      <c r="V795" s="288"/>
      <c r="W795" s="220"/>
      <c r="X795" s="220"/>
      <c r="Y795" s="220"/>
      <c r="Z795" s="220"/>
      <c r="AA795" s="220"/>
      <c r="AB795" s="220"/>
      <c r="AC795" s="220"/>
      <c r="AD795" s="220"/>
      <c r="AE795" s="220"/>
      <c r="AF795" s="220"/>
      <c r="AG795" s="308"/>
      <c r="AH795" s="220"/>
      <c r="AI795" s="220"/>
      <c r="AJ795" s="220"/>
      <c r="AK795" s="220"/>
      <c r="AL795" s="220"/>
      <c r="AM795" s="220"/>
    </row>
    <row r="796">
      <c r="A796" s="430"/>
      <c r="B796" s="311"/>
      <c r="C796" s="311"/>
      <c r="D796" s="312"/>
      <c r="E796" s="311"/>
      <c r="F796" s="311"/>
      <c r="G796" s="312"/>
      <c r="H796" s="312"/>
      <c r="I796" s="313"/>
      <c r="J796" s="431"/>
      <c r="K796" s="313"/>
      <c r="L796" s="313"/>
      <c r="M796" s="313"/>
      <c r="N796" s="315"/>
      <c r="O796" s="313"/>
      <c r="P796" s="313"/>
      <c r="Q796" s="432"/>
      <c r="R796" s="313"/>
      <c r="S796" s="313"/>
      <c r="T796" s="317"/>
      <c r="U796" s="433"/>
      <c r="V796" s="288"/>
      <c r="W796" s="220"/>
      <c r="X796" s="220"/>
      <c r="Y796" s="220"/>
      <c r="Z796" s="220"/>
      <c r="AA796" s="220"/>
      <c r="AB796" s="220"/>
      <c r="AC796" s="220"/>
      <c r="AD796" s="220"/>
      <c r="AE796" s="220"/>
      <c r="AF796" s="220"/>
      <c r="AG796" s="308"/>
      <c r="AH796" s="220"/>
      <c r="AI796" s="220"/>
      <c r="AJ796" s="220"/>
      <c r="AK796" s="220"/>
      <c r="AL796" s="220"/>
      <c r="AM796" s="220"/>
    </row>
    <row r="797">
      <c r="A797" s="430"/>
      <c r="B797" s="311"/>
      <c r="C797" s="311"/>
      <c r="D797" s="312"/>
      <c r="E797" s="311"/>
      <c r="F797" s="311"/>
      <c r="G797" s="312"/>
      <c r="H797" s="312"/>
      <c r="I797" s="313"/>
      <c r="J797" s="431"/>
      <c r="K797" s="313"/>
      <c r="L797" s="313"/>
      <c r="M797" s="313"/>
      <c r="N797" s="315"/>
      <c r="O797" s="313"/>
      <c r="P797" s="313"/>
      <c r="Q797" s="432"/>
      <c r="R797" s="313"/>
      <c r="S797" s="313"/>
      <c r="T797" s="317"/>
      <c r="U797" s="433"/>
      <c r="V797" s="288"/>
      <c r="W797" s="220"/>
      <c r="X797" s="220"/>
      <c r="Y797" s="220"/>
      <c r="Z797" s="220"/>
      <c r="AA797" s="220"/>
      <c r="AB797" s="220"/>
      <c r="AC797" s="220"/>
      <c r="AD797" s="220"/>
      <c r="AE797" s="220"/>
      <c r="AF797" s="220"/>
      <c r="AG797" s="308"/>
      <c r="AH797" s="220"/>
      <c r="AI797" s="220"/>
      <c r="AJ797" s="220"/>
      <c r="AK797" s="220"/>
      <c r="AL797" s="220"/>
      <c r="AM797" s="220"/>
    </row>
    <row r="798">
      <c r="A798" s="430"/>
      <c r="B798" s="311"/>
      <c r="C798" s="311"/>
      <c r="D798" s="312"/>
      <c r="E798" s="311"/>
      <c r="F798" s="311"/>
      <c r="G798" s="312"/>
      <c r="H798" s="312"/>
      <c r="I798" s="313"/>
      <c r="J798" s="431"/>
      <c r="K798" s="313"/>
      <c r="L798" s="313"/>
      <c r="M798" s="313"/>
      <c r="N798" s="315"/>
      <c r="O798" s="313"/>
      <c r="P798" s="313"/>
      <c r="Q798" s="432"/>
      <c r="R798" s="313"/>
      <c r="S798" s="313"/>
      <c r="T798" s="317"/>
      <c r="U798" s="433"/>
      <c r="V798" s="288"/>
      <c r="W798" s="220"/>
      <c r="X798" s="220"/>
      <c r="Y798" s="220"/>
      <c r="Z798" s="220"/>
      <c r="AA798" s="220"/>
      <c r="AB798" s="220"/>
      <c r="AC798" s="220"/>
      <c r="AD798" s="220"/>
      <c r="AE798" s="220"/>
      <c r="AF798" s="220"/>
      <c r="AG798" s="308"/>
      <c r="AH798" s="220"/>
      <c r="AI798" s="220"/>
      <c r="AJ798" s="220"/>
      <c r="AK798" s="220"/>
      <c r="AL798" s="220"/>
      <c r="AM798" s="220"/>
    </row>
    <row r="799">
      <c r="A799" s="430"/>
      <c r="B799" s="311"/>
      <c r="C799" s="311"/>
      <c r="D799" s="312"/>
      <c r="E799" s="311"/>
      <c r="F799" s="311"/>
      <c r="G799" s="312"/>
      <c r="H799" s="312"/>
      <c r="I799" s="313"/>
      <c r="J799" s="431"/>
      <c r="K799" s="313"/>
      <c r="L799" s="313"/>
      <c r="M799" s="313"/>
      <c r="N799" s="315"/>
      <c r="O799" s="313"/>
      <c r="P799" s="313"/>
      <c r="Q799" s="432"/>
      <c r="R799" s="313"/>
      <c r="S799" s="313"/>
      <c r="T799" s="317"/>
      <c r="U799" s="433"/>
      <c r="V799" s="288"/>
      <c r="W799" s="220"/>
      <c r="X799" s="220"/>
      <c r="Y799" s="220"/>
      <c r="Z799" s="220"/>
      <c r="AA799" s="220"/>
      <c r="AB799" s="220"/>
      <c r="AC799" s="220"/>
      <c r="AD799" s="220"/>
      <c r="AE799" s="220"/>
      <c r="AF799" s="220"/>
      <c r="AG799" s="308"/>
      <c r="AH799" s="220"/>
      <c r="AI799" s="220"/>
      <c r="AJ799" s="220"/>
      <c r="AK799" s="220"/>
      <c r="AL799" s="220"/>
      <c r="AM799" s="220"/>
    </row>
    <row r="800">
      <c r="A800" s="430"/>
      <c r="B800" s="311"/>
      <c r="C800" s="311"/>
      <c r="D800" s="312"/>
      <c r="E800" s="311"/>
      <c r="F800" s="311"/>
      <c r="G800" s="312"/>
      <c r="H800" s="312"/>
      <c r="I800" s="313"/>
      <c r="J800" s="431"/>
      <c r="K800" s="313"/>
      <c r="L800" s="313"/>
      <c r="M800" s="313"/>
      <c r="N800" s="315"/>
      <c r="O800" s="313"/>
      <c r="P800" s="313"/>
      <c r="Q800" s="432"/>
      <c r="R800" s="313"/>
      <c r="S800" s="313"/>
      <c r="T800" s="317"/>
      <c r="U800" s="433"/>
      <c r="V800" s="288"/>
      <c r="W800" s="220"/>
      <c r="X800" s="220"/>
      <c r="Y800" s="220"/>
      <c r="Z800" s="220"/>
      <c r="AA800" s="220"/>
      <c r="AB800" s="220"/>
      <c r="AC800" s="220"/>
      <c r="AD800" s="220"/>
      <c r="AE800" s="220"/>
      <c r="AF800" s="220"/>
      <c r="AG800" s="308"/>
      <c r="AH800" s="220"/>
      <c r="AI800" s="220"/>
      <c r="AJ800" s="220"/>
      <c r="AK800" s="220"/>
      <c r="AL800" s="220"/>
      <c r="AM800" s="220"/>
    </row>
    <row r="801">
      <c r="A801" s="430"/>
      <c r="B801" s="311"/>
      <c r="C801" s="311"/>
      <c r="D801" s="312"/>
      <c r="E801" s="311"/>
      <c r="F801" s="311"/>
      <c r="G801" s="312"/>
      <c r="H801" s="312"/>
      <c r="I801" s="313"/>
      <c r="J801" s="431"/>
      <c r="K801" s="313"/>
      <c r="L801" s="313"/>
      <c r="M801" s="313"/>
      <c r="N801" s="315"/>
      <c r="O801" s="313"/>
      <c r="P801" s="313"/>
      <c r="Q801" s="432"/>
      <c r="R801" s="313"/>
      <c r="S801" s="313"/>
      <c r="T801" s="317"/>
      <c r="U801" s="433"/>
      <c r="V801" s="288"/>
      <c r="W801" s="220"/>
      <c r="X801" s="220"/>
      <c r="Y801" s="220"/>
      <c r="Z801" s="220"/>
      <c r="AA801" s="220"/>
      <c r="AB801" s="220"/>
      <c r="AC801" s="220"/>
      <c r="AD801" s="220"/>
      <c r="AE801" s="220"/>
      <c r="AF801" s="220"/>
      <c r="AG801" s="308"/>
      <c r="AH801" s="220"/>
      <c r="AI801" s="220"/>
      <c r="AJ801" s="220"/>
      <c r="AK801" s="220"/>
      <c r="AL801" s="220"/>
      <c r="AM801" s="220"/>
    </row>
    <row r="802">
      <c r="A802" s="430"/>
      <c r="B802" s="311"/>
      <c r="C802" s="311"/>
      <c r="D802" s="312"/>
      <c r="E802" s="311"/>
      <c r="F802" s="311"/>
      <c r="G802" s="312"/>
      <c r="H802" s="312"/>
      <c r="I802" s="313"/>
      <c r="J802" s="431"/>
      <c r="K802" s="313"/>
      <c r="L802" s="313"/>
      <c r="M802" s="313"/>
      <c r="N802" s="315"/>
      <c r="O802" s="313"/>
      <c r="P802" s="313"/>
      <c r="Q802" s="432"/>
      <c r="R802" s="313"/>
      <c r="S802" s="313"/>
      <c r="T802" s="317"/>
      <c r="U802" s="433"/>
      <c r="V802" s="288"/>
      <c r="W802" s="220"/>
      <c r="X802" s="220"/>
      <c r="Y802" s="220"/>
      <c r="Z802" s="220"/>
      <c r="AA802" s="220"/>
      <c r="AB802" s="220"/>
      <c r="AC802" s="220"/>
      <c r="AD802" s="220"/>
      <c r="AE802" s="220"/>
      <c r="AF802" s="220"/>
      <c r="AG802" s="308"/>
      <c r="AH802" s="220"/>
      <c r="AI802" s="220"/>
      <c r="AJ802" s="220"/>
      <c r="AK802" s="220"/>
      <c r="AL802" s="220"/>
      <c r="AM802" s="220"/>
    </row>
    <row r="803">
      <c r="A803" s="430"/>
      <c r="B803" s="311"/>
      <c r="C803" s="311"/>
      <c r="D803" s="312"/>
      <c r="E803" s="311"/>
      <c r="F803" s="311"/>
      <c r="G803" s="312"/>
      <c r="H803" s="312"/>
      <c r="I803" s="313"/>
      <c r="J803" s="431"/>
      <c r="K803" s="313"/>
      <c r="L803" s="313"/>
      <c r="M803" s="313"/>
      <c r="N803" s="315"/>
      <c r="O803" s="313"/>
      <c r="P803" s="313"/>
      <c r="Q803" s="432"/>
      <c r="R803" s="313"/>
      <c r="S803" s="313"/>
      <c r="T803" s="317"/>
      <c r="U803" s="433"/>
      <c r="V803" s="288"/>
      <c r="W803" s="220"/>
      <c r="X803" s="220"/>
      <c r="Y803" s="220"/>
      <c r="Z803" s="220"/>
      <c r="AA803" s="220"/>
      <c r="AB803" s="220"/>
      <c r="AC803" s="220"/>
      <c r="AD803" s="220"/>
      <c r="AE803" s="220"/>
      <c r="AF803" s="220"/>
      <c r="AG803" s="308"/>
      <c r="AH803" s="220"/>
      <c r="AI803" s="220"/>
      <c r="AJ803" s="220"/>
      <c r="AK803" s="220"/>
      <c r="AL803" s="220"/>
      <c r="AM803" s="220"/>
    </row>
    <row r="804">
      <c r="A804" s="430"/>
      <c r="B804" s="311"/>
      <c r="C804" s="311"/>
      <c r="D804" s="312"/>
      <c r="E804" s="311"/>
      <c r="F804" s="311"/>
      <c r="G804" s="312"/>
      <c r="H804" s="312"/>
      <c r="I804" s="313"/>
      <c r="J804" s="431"/>
      <c r="K804" s="313"/>
      <c r="L804" s="313"/>
      <c r="M804" s="313"/>
      <c r="N804" s="315"/>
      <c r="O804" s="313"/>
      <c r="P804" s="313"/>
      <c r="Q804" s="432"/>
      <c r="R804" s="313"/>
      <c r="S804" s="313"/>
      <c r="T804" s="317"/>
      <c r="U804" s="433"/>
      <c r="V804" s="288"/>
      <c r="W804" s="220"/>
      <c r="X804" s="220"/>
      <c r="Y804" s="220"/>
      <c r="Z804" s="220"/>
      <c r="AA804" s="220"/>
      <c r="AB804" s="220"/>
      <c r="AC804" s="220"/>
      <c r="AD804" s="220"/>
      <c r="AE804" s="220"/>
      <c r="AF804" s="220"/>
      <c r="AG804" s="308"/>
      <c r="AH804" s="220"/>
      <c r="AI804" s="220"/>
      <c r="AJ804" s="220"/>
      <c r="AK804" s="220"/>
      <c r="AL804" s="220"/>
      <c r="AM804" s="220"/>
    </row>
    <row r="805">
      <c r="A805" s="430"/>
      <c r="B805" s="311"/>
      <c r="C805" s="311"/>
      <c r="D805" s="312"/>
      <c r="E805" s="311"/>
      <c r="F805" s="311"/>
      <c r="G805" s="312"/>
      <c r="H805" s="312"/>
      <c r="I805" s="313"/>
      <c r="J805" s="431"/>
      <c r="K805" s="313"/>
      <c r="L805" s="313"/>
      <c r="M805" s="313"/>
      <c r="N805" s="315"/>
      <c r="O805" s="313"/>
      <c r="P805" s="313"/>
      <c r="Q805" s="432"/>
      <c r="R805" s="313"/>
      <c r="S805" s="313"/>
      <c r="T805" s="317"/>
      <c r="U805" s="433"/>
      <c r="V805" s="288"/>
      <c r="W805" s="220"/>
      <c r="X805" s="220"/>
      <c r="Y805" s="220"/>
      <c r="Z805" s="220"/>
      <c r="AA805" s="220"/>
      <c r="AB805" s="220"/>
      <c r="AC805" s="220"/>
      <c r="AD805" s="220"/>
      <c r="AE805" s="220"/>
      <c r="AF805" s="220"/>
      <c r="AG805" s="308"/>
      <c r="AH805" s="220"/>
      <c r="AI805" s="220"/>
      <c r="AJ805" s="220"/>
      <c r="AK805" s="220"/>
      <c r="AL805" s="220"/>
      <c r="AM805" s="220"/>
    </row>
    <row r="806">
      <c r="A806" s="430"/>
      <c r="B806" s="311"/>
      <c r="C806" s="311"/>
      <c r="D806" s="312"/>
      <c r="E806" s="311"/>
      <c r="F806" s="311"/>
      <c r="G806" s="312"/>
      <c r="H806" s="312"/>
      <c r="I806" s="313"/>
      <c r="J806" s="431"/>
      <c r="K806" s="313"/>
      <c r="L806" s="313"/>
      <c r="M806" s="313"/>
      <c r="N806" s="315"/>
      <c r="O806" s="313"/>
      <c r="P806" s="313"/>
      <c r="Q806" s="432"/>
      <c r="R806" s="313"/>
      <c r="S806" s="313"/>
      <c r="T806" s="317"/>
      <c r="U806" s="433"/>
      <c r="V806" s="288"/>
      <c r="W806" s="220"/>
      <c r="X806" s="220"/>
      <c r="Y806" s="220"/>
      <c r="Z806" s="220"/>
      <c r="AA806" s="220"/>
      <c r="AB806" s="220"/>
      <c r="AC806" s="220"/>
      <c r="AD806" s="220"/>
      <c r="AE806" s="220"/>
      <c r="AF806" s="220"/>
      <c r="AG806" s="308"/>
      <c r="AH806" s="220"/>
      <c r="AI806" s="220"/>
      <c r="AJ806" s="220"/>
      <c r="AK806" s="220"/>
      <c r="AL806" s="220"/>
      <c r="AM806" s="220"/>
    </row>
    <row r="807">
      <c r="A807" s="430"/>
      <c r="B807" s="311"/>
      <c r="C807" s="311"/>
      <c r="D807" s="312"/>
      <c r="E807" s="311"/>
      <c r="F807" s="311"/>
      <c r="G807" s="312"/>
      <c r="H807" s="312"/>
      <c r="I807" s="313"/>
      <c r="J807" s="431"/>
      <c r="K807" s="313"/>
      <c r="L807" s="313"/>
      <c r="M807" s="313"/>
      <c r="N807" s="315"/>
      <c r="O807" s="313"/>
      <c r="P807" s="313"/>
      <c r="Q807" s="432"/>
      <c r="R807" s="313"/>
      <c r="S807" s="313"/>
      <c r="T807" s="317"/>
      <c r="U807" s="433"/>
      <c r="V807" s="288"/>
      <c r="W807" s="220"/>
      <c r="X807" s="220"/>
      <c r="Y807" s="220"/>
      <c r="Z807" s="220"/>
      <c r="AA807" s="220"/>
      <c r="AB807" s="220"/>
      <c r="AC807" s="220"/>
      <c r="AD807" s="220"/>
      <c r="AE807" s="220"/>
      <c r="AF807" s="220"/>
      <c r="AG807" s="308"/>
      <c r="AH807" s="220"/>
      <c r="AI807" s="220"/>
      <c r="AJ807" s="220"/>
      <c r="AK807" s="220"/>
      <c r="AL807" s="220"/>
      <c r="AM807" s="220"/>
    </row>
    <row r="808">
      <c r="A808" s="430"/>
      <c r="B808" s="311"/>
      <c r="C808" s="311"/>
      <c r="D808" s="312"/>
      <c r="E808" s="311"/>
      <c r="F808" s="311"/>
      <c r="G808" s="312"/>
      <c r="H808" s="312"/>
      <c r="I808" s="313"/>
      <c r="J808" s="431"/>
      <c r="K808" s="313"/>
      <c r="L808" s="313"/>
      <c r="M808" s="313"/>
      <c r="N808" s="315"/>
      <c r="O808" s="313"/>
      <c r="P808" s="313"/>
      <c r="Q808" s="432"/>
      <c r="R808" s="313"/>
      <c r="S808" s="313"/>
      <c r="T808" s="317"/>
      <c r="U808" s="433"/>
      <c r="V808" s="288"/>
      <c r="W808" s="220"/>
      <c r="X808" s="220"/>
      <c r="Y808" s="220"/>
      <c r="Z808" s="220"/>
      <c r="AA808" s="220"/>
      <c r="AB808" s="220"/>
      <c r="AC808" s="220"/>
      <c r="AD808" s="220"/>
      <c r="AE808" s="220"/>
      <c r="AF808" s="220"/>
      <c r="AG808" s="308"/>
      <c r="AH808" s="220"/>
      <c r="AI808" s="220"/>
      <c r="AJ808" s="220"/>
      <c r="AK808" s="220"/>
      <c r="AL808" s="220"/>
      <c r="AM808" s="220"/>
    </row>
    <row r="809">
      <c r="A809" s="430"/>
      <c r="B809" s="311"/>
      <c r="C809" s="311"/>
      <c r="D809" s="312"/>
      <c r="E809" s="311"/>
      <c r="F809" s="311"/>
      <c r="G809" s="312"/>
      <c r="H809" s="312"/>
      <c r="I809" s="313"/>
      <c r="J809" s="431"/>
      <c r="K809" s="313"/>
      <c r="L809" s="313"/>
      <c r="M809" s="313"/>
      <c r="N809" s="315"/>
      <c r="O809" s="313"/>
      <c r="P809" s="313"/>
      <c r="Q809" s="432"/>
      <c r="R809" s="313"/>
      <c r="S809" s="313"/>
      <c r="T809" s="317"/>
      <c r="U809" s="433"/>
      <c r="V809" s="288"/>
      <c r="W809" s="220"/>
      <c r="X809" s="220"/>
      <c r="Y809" s="220"/>
      <c r="Z809" s="220"/>
      <c r="AA809" s="220"/>
      <c r="AB809" s="220"/>
      <c r="AC809" s="220"/>
      <c r="AD809" s="220"/>
      <c r="AE809" s="220"/>
      <c r="AF809" s="220"/>
      <c r="AG809" s="308"/>
      <c r="AH809" s="220"/>
      <c r="AI809" s="220"/>
      <c r="AJ809" s="220"/>
      <c r="AK809" s="220"/>
      <c r="AL809" s="220"/>
      <c r="AM809" s="220"/>
    </row>
    <row r="810">
      <c r="A810" s="430"/>
      <c r="B810" s="311"/>
      <c r="C810" s="311"/>
      <c r="D810" s="312"/>
      <c r="E810" s="311"/>
      <c r="F810" s="311"/>
      <c r="G810" s="312"/>
      <c r="H810" s="312"/>
      <c r="I810" s="313"/>
      <c r="J810" s="431"/>
      <c r="K810" s="313"/>
      <c r="L810" s="313"/>
      <c r="M810" s="313"/>
      <c r="N810" s="315"/>
      <c r="O810" s="313"/>
      <c r="P810" s="313"/>
      <c r="Q810" s="432"/>
      <c r="R810" s="313"/>
      <c r="S810" s="313"/>
      <c r="T810" s="317"/>
      <c r="U810" s="433"/>
      <c r="V810" s="288"/>
      <c r="W810" s="220"/>
      <c r="X810" s="220"/>
      <c r="Y810" s="220"/>
      <c r="Z810" s="220"/>
      <c r="AA810" s="220"/>
      <c r="AB810" s="220"/>
      <c r="AC810" s="220"/>
      <c r="AD810" s="220"/>
      <c r="AE810" s="220"/>
      <c r="AF810" s="220"/>
      <c r="AG810" s="308"/>
      <c r="AH810" s="220"/>
      <c r="AI810" s="220"/>
      <c r="AJ810" s="220"/>
      <c r="AK810" s="220"/>
      <c r="AL810" s="220"/>
      <c r="AM810" s="220"/>
    </row>
    <row r="811">
      <c r="A811" s="430"/>
      <c r="B811" s="311"/>
      <c r="C811" s="311"/>
      <c r="D811" s="312"/>
      <c r="E811" s="311"/>
      <c r="F811" s="311"/>
      <c r="G811" s="312"/>
      <c r="H811" s="312"/>
      <c r="I811" s="313"/>
      <c r="J811" s="431"/>
      <c r="K811" s="313"/>
      <c r="L811" s="313"/>
      <c r="M811" s="313"/>
      <c r="N811" s="315"/>
      <c r="O811" s="313"/>
      <c r="P811" s="313"/>
      <c r="Q811" s="432"/>
      <c r="R811" s="313"/>
      <c r="S811" s="313"/>
      <c r="T811" s="317"/>
      <c r="U811" s="433"/>
      <c r="V811" s="288"/>
      <c r="W811" s="220"/>
      <c r="X811" s="220"/>
      <c r="Y811" s="220"/>
      <c r="Z811" s="220"/>
      <c r="AA811" s="220"/>
      <c r="AB811" s="220"/>
      <c r="AC811" s="220"/>
      <c r="AD811" s="220"/>
      <c r="AE811" s="220"/>
      <c r="AF811" s="220"/>
      <c r="AG811" s="308"/>
      <c r="AH811" s="220"/>
      <c r="AI811" s="220"/>
      <c r="AJ811" s="220"/>
      <c r="AK811" s="220"/>
      <c r="AL811" s="220"/>
      <c r="AM811" s="220"/>
    </row>
    <row r="812">
      <c r="A812" s="430"/>
      <c r="B812" s="311"/>
      <c r="C812" s="311"/>
      <c r="D812" s="312"/>
      <c r="E812" s="311"/>
      <c r="F812" s="311"/>
      <c r="G812" s="312"/>
      <c r="H812" s="312"/>
      <c r="I812" s="313"/>
      <c r="J812" s="431"/>
      <c r="K812" s="313"/>
      <c r="L812" s="313"/>
      <c r="M812" s="313"/>
      <c r="N812" s="315"/>
      <c r="O812" s="313"/>
      <c r="P812" s="313"/>
      <c r="Q812" s="432"/>
      <c r="R812" s="313"/>
      <c r="S812" s="313"/>
      <c r="T812" s="317"/>
      <c r="U812" s="433"/>
      <c r="V812" s="288"/>
      <c r="W812" s="220"/>
      <c r="X812" s="220"/>
      <c r="Y812" s="220"/>
      <c r="Z812" s="220"/>
      <c r="AA812" s="220"/>
      <c r="AB812" s="220"/>
      <c r="AC812" s="220"/>
      <c r="AD812" s="220"/>
      <c r="AE812" s="220"/>
      <c r="AF812" s="220"/>
      <c r="AG812" s="308"/>
      <c r="AH812" s="220"/>
      <c r="AI812" s="220"/>
      <c r="AJ812" s="220"/>
      <c r="AK812" s="220"/>
      <c r="AL812" s="220"/>
      <c r="AM812" s="220"/>
    </row>
    <row r="813">
      <c r="A813" s="430"/>
      <c r="B813" s="311"/>
      <c r="C813" s="311"/>
      <c r="D813" s="312"/>
      <c r="E813" s="311"/>
      <c r="F813" s="311"/>
      <c r="G813" s="312"/>
      <c r="H813" s="312"/>
      <c r="I813" s="313"/>
      <c r="J813" s="431"/>
      <c r="K813" s="313"/>
      <c r="L813" s="313"/>
      <c r="M813" s="313"/>
      <c r="N813" s="315"/>
      <c r="O813" s="313"/>
      <c r="P813" s="313"/>
      <c r="Q813" s="432"/>
      <c r="R813" s="313"/>
      <c r="S813" s="313"/>
      <c r="T813" s="317"/>
      <c r="U813" s="433"/>
      <c r="V813" s="288"/>
      <c r="W813" s="220"/>
      <c r="X813" s="220"/>
      <c r="Y813" s="220"/>
      <c r="Z813" s="220"/>
      <c r="AA813" s="220"/>
      <c r="AB813" s="220"/>
      <c r="AC813" s="220"/>
      <c r="AD813" s="220"/>
      <c r="AE813" s="220"/>
      <c r="AF813" s="220"/>
      <c r="AG813" s="308"/>
      <c r="AH813" s="220"/>
      <c r="AI813" s="220"/>
      <c r="AJ813" s="220"/>
      <c r="AK813" s="220"/>
      <c r="AL813" s="220"/>
      <c r="AM813" s="220"/>
    </row>
    <row r="814">
      <c r="A814" s="430"/>
      <c r="B814" s="311"/>
      <c r="C814" s="311"/>
      <c r="D814" s="312"/>
      <c r="E814" s="311"/>
      <c r="F814" s="311"/>
      <c r="G814" s="312"/>
      <c r="H814" s="312"/>
      <c r="I814" s="313"/>
      <c r="J814" s="431"/>
      <c r="K814" s="313"/>
      <c r="L814" s="313"/>
      <c r="M814" s="313"/>
      <c r="N814" s="315"/>
      <c r="O814" s="313"/>
      <c r="P814" s="313"/>
      <c r="Q814" s="432"/>
      <c r="R814" s="313"/>
      <c r="S814" s="313"/>
      <c r="T814" s="317"/>
      <c r="U814" s="433"/>
      <c r="V814" s="288"/>
      <c r="W814" s="220"/>
      <c r="X814" s="220"/>
      <c r="Y814" s="220"/>
      <c r="Z814" s="220"/>
      <c r="AA814" s="220"/>
      <c r="AB814" s="220"/>
      <c r="AC814" s="220"/>
      <c r="AD814" s="220"/>
      <c r="AE814" s="220"/>
      <c r="AF814" s="220"/>
      <c r="AG814" s="308"/>
      <c r="AH814" s="220"/>
      <c r="AI814" s="220"/>
      <c r="AJ814" s="220"/>
      <c r="AK814" s="220"/>
      <c r="AL814" s="220"/>
      <c r="AM814" s="220"/>
    </row>
    <row r="815">
      <c r="A815" s="430"/>
      <c r="B815" s="311"/>
      <c r="C815" s="311"/>
      <c r="D815" s="312"/>
      <c r="E815" s="311"/>
      <c r="F815" s="311"/>
      <c r="G815" s="312"/>
      <c r="H815" s="312"/>
      <c r="I815" s="313"/>
      <c r="J815" s="431"/>
      <c r="K815" s="313"/>
      <c r="L815" s="313"/>
      <c r="M815" s="313"/>
      <c r="N815" s="315"/>
      <c r="O815" s="313"/>
      <c r="P815" s="313"/>
      <c r="Q815" s="432"/>
      <c r="R815" s="313"/>
      <c r="S815" s="313"/>
      <c r="T815" s="317"/>
      <c r="U815" s="433"/>
      <c r="V815" s="288"/>
      <c r="W815" s="220"/>
      <c r="X815" s="220"/>
      <c r="Y815" s="220"/>
      <c r="Z815" s="220"/>
      <c r="AA815" s="220"/>
      <c r="AB815" s="220"/>
      <c r="AC815" s="220"/>
      <c r="AD815" s="220"/>
      <c r="AE815" s="220"/>
      <c r="AF815" s="220"/>
      <c r="AG815" s="308"/>
      <c r="AH815" s="220"/>
      <c r="AI815" s="220"/>
      <c r="AJ815" s="220"/>
      <c r="AK815" s="220"/>
      <c r="AL815" s="220"/>
      <c r="AM815" s="220"/>
    </row>
    <row r="816">
      <c r="A816" s="430"/>
      <c r="B816" s="311"/>
      <c r="C816" s="311"/>
      <c r="D816" s="312"/>
      <c r="E816" s="311"/>
      <c r="F816" s="311"/>
      <c r="G816" s="312"/>
      <c r="H816" s="312"/>
      <c r="I816" s="313"/>
      <c r="J816" s="431"/>
      <c r="K816" s="313"/>
      <c r="L816" s="313"/>
      <c r="M816" s="313"/>
      <c r="N816" s="315"/>
      <c r="O816" s="313"/>
      <c r="P816" s="313"/>
      <c r="Q816" s="432"/>
      <c r="R816" s="313"/>
      <c r="S816" s="313"/>
      <c r="T816" s="317"/>
      <c r="U816" s="433"/>
      <c r="V816" s="288"/>
      <c r="W816" s="220"/>
      <c r="X816" s="220"/>
      <c r="Y816" s="220"/>
      <c r="Z816" s="220"/>
      <c r="AA816" s="220"/>
      <c r="AB816" s="220"/>
      <c r="AC816" s="220"/>
      <c r="AD816" s="220"/>
      <c r="AE816" s="220"/>
      <c r="AF816" s="220"/>
      <c r="AG816" s="308"/>
      <c r="AH816" s="220"/>
      <c r="AI816" s="220"/>
      <c r="AJ816" s="220"/>
      <c r="AK816" s="220"/>
      <c r="AL816" s="220"/>
      <c r="AM816" s="220"/>
    </row>
    <row r="817">
      <c r="A817" s="430"/>
      <c r="B817" s="311"/>
      <c r="C817" s="311"/>
      <c r="D817" s="312"/>
      <c r="E817" s="311"/>
      <c r="F817" s="311"/>
      <c r="G817" s="312"/>
      <c r="H817" s="312"/>
      <c r="I817" s="313"/>
      <c r="J817" s="431"/>
      <c r="K817" s="313"/>
      <c r="L817" s="313"/>
      <c r="M817" s="313"/>
      <c r="N817" s="315"/>
      <c r="O817" s="313"/>
      <c r="P817" s="313"/>
      <c r="Q817" s="432"/>
      <c r="R817" s="313"/>
      <c r="S817" s="313"/>
      <c r="T817" s="317"/>
      <c r="U817" s="433"/>
      <c r="V817" s="288"/>
      <c r="W817" s="220"/>
      <c r="X817" s="220"/>
      <c r="Y817" s="220"/>
      <c r="Z817" s="220"/>
      <c r="AA817" s="220"/>
      <c r="AB817" s="220"/>
      <c r="AC817" s="220"/>
      <c r="AD817" s="220"/>
      <c r="AE817" s="220"/>
      <c r="AF817" s="220"/>
      <c r="AG817" s="308"/>
      <c r="AH817" s="220"/>
      <c r="AI817" s="220"/>
      <c r="AJ817" s="220"/>
      <c r="AK817" s="220"/>
      <c r="AL817" s="220"/>
      <c r="AM817" s="220"/>
    </row>
    <row r="818">
      <c r="A818" s="430"/>
      <c r="B818" s="311"/>
      <c r="C818" s="311"/>
      <c r="D818" s="312"/>
      <c r="E818" s="311"/>
      <c r="F818" s="311"/>
      <c r="G818" s="312"/>
      <c r="H818" s="312"/>
      <c r="I818" s="313"/>
      <c r="J818" s="431"/>
      <c r="K818" s="313"/>
      <c r="L818" s="313"/>
      <c r="M818" s="313"/>
      <c r="N818" s="315"/>
      <c r="O818" s="313"/>
      <c r="P818" s="313"/>
      <c r="Q818" s="432"/>
      <c r="R818" s="313"/>
      <c r="S818" s="313"/>
      <c r="T818" s="317"/>
      <c r="U818" s="433"/>
      <c r="V818" s="288"/>
      <c r="W818" s="220"/>
      <c r="X818" s="220"/>
      <c r="Y818" s="220"/>
      <c r="Z818" s="220"/>
      <c r="AA818" s="220"/>
      <c r="AB818" s="220"/>
      <c r="AC818" s="220"/>
      <c r="AD818" s="220"/>
      <c r="AE818" s="220"/>
      <c r="AF818" s="220"/>
      <c r="AG818" s="308"/>
      <c r="AH818" s="220"/>
      <c r="AI818" s="220"/>
      <c r="AJ818" s="220"/>
      <c r="AK818" s="220"/>
      <c r="AL818" s="220"/>
      <c r="AM818" s="220"/>
    </row>
    <row r="819">
      <c r="A819" s="430"/>
      <c r="B819" s="311"/>
      <c r="C819" s="311"/>
      <c r="D819" s="312"/>
      <c r="E819" s="311"/>
      <c r="F819" s="311"/>
      <c r="G819" s="312"/>
      <c r="H819" s="312"/>
      <c r="I819" s="313"/>
      <c r="J819" s="431"/>
      <c r="K819" s="313"/>
      <c r="L819" s="313"/>
      <c r="M819" s="313"/>
      <c r="N819" s="315"/>
      <c r="O819" s="313"/>
      <c r="P819" s="313"/>
      <c r="Q819" s="432"/>
      <c r="R819" s="313"/>
      <c r="S819" s="313"/>
      <c r="T819" s="317"/>
      <c r="U819" s="433"/>
      <c r="V819" s="288"/>
      <c r="W819" s="220"/>
      <c r="X819" s="220"/>
      <c r="Y819" s="220"/>
      <c r="Z819" s="220"/>
      <c r="AA819" s="220"/>
      <c r="AB819" s="220"/>
      <c r="AC819" s="220"/>
      <c r="AD819" s="220"/>
      <c r="AE819" s="220"/>
      <c r="AF819" s="220"/>
      <c r="AG819" s="308"/>
      <c r="AH819" s="220"/>
      <c r="AI819" s="220"/>
      <c r="AJ819" s="220"/>
      <c r="AK819" s="220"/>
      <c r="AL819" s="220"/>
      <c r="AM819" s="220"/>
    </row>
    <row r="820">
      <c r="A820" s="430"/>
      <c r="B820" s="311"/>
      <c r="C820" s="311"/>
      <c r="D820" s="312"/>
      <c r="E820" s="311"/>
      <c r="F820" s="311"/>
      <c r="G820" s="312"/>
      <c r="H820" s="312"/>
      <c r="I820" s="313"/>
      <c r="J820" s="431"/>
      <c r="K820" s="313"/>
      <c r="L820" s="313"/>
      <c r="M820" s="313"/>
      <c r="N820" s="315"/>
      <c r="O820" s="313"/>
      <c r="P820" s="313"/>
      <c r="Q820" s="432"/>
      <c r="R820" s="313"/>
      <c r="S820" s="313"/>
      <c r="T820" s="317"/>
      <c r="U820" s="433"/>
      <c r="V820" s="288"/>
      <c r="W820" s="220"/>
      <c r="X820" s="220"/>
      <c r="Y820" s="220"/>
      <c r="Z820" s="220"/>
      <c r="AA820" s="220"/>
      <c r="AB820" s="220"/>
      <c r="AC820" s="220"/>
      <c r="AD820" s="220"/>
      <c r="AE820" s="220"/>
      <c r="AF820" s="220"/>
      <c r="AG820" s="308"/>
      <c r="AH820" s="220"/>
      <c r="AI820" s="220"/>
      <c r="AJ820" s="220"/>
      <c r="AK820" s="220"/>
      <c r="AL820" s="220"/>
      <c r="AM820" s="220"/>
    </row>
    <row r="821">
      <c r="A821" s="430"/>
      <c r="B821" s="311"/>
      <c r="C821" s="311"/>
      <c r="D821" s="312"/>
      <c r="E821" s="311"/>
      <c r="F821" s="311"/>
      <c r="G821" s="312"/>
      <c r="H821" s="312"/>
      <c r="I821" s="313"/>
      <c r="J821" s="431"/>
      <c r="K821" s="313"/>
      <c r="L821" s="313"/>
      <c r="M821" s="313"/>
      <c r="N821" s="315"/>
      <c r="O821" s="313"/>
      <c r="P821" s="313"/>
      <c r="Q821" s="432"/>
      <c r="R821" s="313"/>
      <c r="S821" s="313"/>
      <c r="T821" s="317"/>
      <c r="U821" s="433"/>
      <c r="V821" s="288"/>
      <c r="W821" s="220"/>
      <c r="X821" s="220"/>
      <c r="Y821" s="220"/>
      <c r="Z821" s="220"/>
      <c r="AA821" s="220"/>
      <c r="AB821" s="220"/>
      <c r="AC821" s="220"/>
      <c r="AD821" s="220"/>
      <c r="AE821" s="220"/>
      <c r="AF821" s="220"/>
      <c r="AG821" s="308"/>
      <c r="AH821" s="220"/>
      <c r="AI821" s="220"/>
      <c r="AJ821" s="220"/>
      <c r="AK821" s="220"/>
      <c r="AL821" s="220"/>
      <c r="AM821" s="220"/>
    </row>
    <row r="822">
      <c r="A822" s="430"/>
      <c r="B822" s="311"/>
      <c r="C822" s="311"/>
      <c r="D822" s="312"/>
      <c r="E822" s="311"/>
      <c r="F822" s="311"/>
      <c r="G822" s="312"/>
      <c r="H822" s="312"/>
      <c r="I822" s="313"/>
      <c r="J822" s="431"/>
      <c r="K822" s="313"/>
      <c r="L822" s="313"/>
      <c r="M822" s="313"/>
      <c r="N822" s="315"/>
      <c r="O822" s="313"/>
      <c r="P822" s="313"/>
      <c r="Q822" s="432"/>
      <c r="R822" s="313"/>
      <c r="S822" s="313"/>
      <c r="T822" s="317"/>
      <c r="U822" s="433"/>
      <c r="V822" s="288"/>
      <c r="W822" s="220"/>
      <c r="X822" s="220"/>
      <c r="Y822" s="220"/>
      <c r="Z822" s="220"/>
      <c r="AA822" s="220"/>
      <c r="AB822" s="220"/>
      <c r="AC822" s="220"/>
      <c r="AD822" s="220"/>
      <c r="AE822" s="220"/>
      <c r="AF822" s="220"/>
      <c r="AG822" s="308"/>
      <c r="AH822" s="220"/>
      <c r="AI822" s="220"/>
      <c r="AJ822" s="220"/>
      <c r="AK822" s="220"/>
      <c r="AL822" s="220"/>
      <c r="AM822" s="220"/>
    </row>
    <row r="823">
      <c r="A823" s="430"/>
      <c r="B823" s="311"/>
      <c r="C823" s="311"/>
      <c r="D823" s="312"/>
      <c r="E823" s="311"/>
      <c r="F823" s="311"/>
      <c r="G823" s="312"/>
      <c r="H823" s="312"/>
      <c r="I823" s="313"/>
      <c r="J823" s="431"/>
      <c r="K823" s="313"/>
      <c r="L823" s="313"/>
      <c r="M823" s="313"/>
      <c r="N823" s="315"/>
      <c r="O823" s="313"/>
      <c r="P823" s="313"/>
      <c r="Q823" s="432"/>
      <c r="R823" s="313"/>
      <c r="S823" s="313"/>
      <c r="T823" s="317"/>
      <c r="U823" s="433"/>
      <c r="V823" s="288"/>
      <c r="W823" s="220"/>
      <c r="X823" s="220"/>
      <c r="Y823" s="220"/>
      <c r="Z823" s="220"/>
      <c r="AA823" s="220"/>
      <c r="AB823" s="220"/>
      <c r="AC823" s="220"/>
      <c r="AD823" s="220"/>
      <c r="AE823" s="220"/>
      <c r="AF823" s="220"/>
      <c r="AG823" s="308"/>
      <c r="AH823" s="220"/>
      <c r="AI823" s="220"/>
      <c r="AJ823" s="220"/>
      <c r="AK823" s="220"/>
      <c r="AL823" s="220"/>
      <c r="AM823" s="220"/>
    </row>
    <row r="824">
      <c r="A824" s="430"/>
      <c r="B824" s="311"/>
      <c r="C824" s="311"/>
      <c r="D824" s="312"/>
      <c r="E824" s="311"/>
      <c r="F824" s="311"/>
      <c r="G824" s="312"/>
      <c r="H824" s="312"/>
      <c r="I824" s="313"/>
      <c r="J824" s="431"/>
      <c r="K824" s="313"/>
      <c r="L824" s="313"/>
      <c r="M824" s="313"/>
      <c r="N824" s="315"/>
      <c r="O824" s="313"/>
      <c r="P824" s="313"/>
      <c r="Q824" s="432"/>
      <c r="R824" s="313"/>
      <c r="S824" s="313"/>
      <c r="T824" s="317"/>
      <c r="U824" s="433"/>
      <c r="V824" s="288"/>
      <c r="W824" s="220"/>
      <c r="X824" s="220"/>
      <c r="Y824" s="220"/>
      <c r="Z824" s="220"/>
      <c r="AA824" s="220"/>
      <c r="AB824" s="220"/>
      <c r="AC824" s="220"/>
      <c r="AD824" s="220"/>
      <c r="AE824" s="220"/>
      <c r="AF824" s="220"/>
      <c r="AG824" s="308"/>
      <c r="AH824" s="220"/>
      <c r="AI824" s="220"/>
      <c r="AJ824" s="220"/>
      <c r="AK824" s="220"/>
      <c r="AL824" s="220"/>
      <c r="AM824" s="220"/>
    </row>
    <row r="825">
      <c r="A825" s="430"/>
      <c r="B825" s="311"/>
      <c r="C825" s="311"/>
      <c r="D825" s="312"/>
      <c r="E825" s="311"/>
      <c r="F825" s="311"/>
      <c r="G825" s="312"/>
      <c r="H825" s="312"/>
      <c r="I825" s="313"/>
      <c r="J825" s="431"/>
      <c r="K825" s="313"/>
      <c r="L825" s="313"/>
      <c r="M825" s="313"/>
      <c r="N825" s="315"/>
      <c r="O825" s="313"/>
      <c r="P825" s="313"/>
      <c r="Q825" s="432"/>
      <c r="R825" s="313"/>
      <c r="S825" s="313"/>
      <c r="T825" s="317"/>
      <c r="U825" s="433"/>
      <c r="V825" s="288"/>
      <c r="W825" s="220"/>
      <c r="X825" s="220"/>
      <c r="Y825" s="220"/>
      <c r="Z825" s="220"/>
      <c r="AA825" s="220"/>
      <c r="AB825" s="220"/>
      <c r="AC825" s="220"/>
      <c r="AD825" s="220"/>
      <c r="AE825" s="220"/>
      <c r="AF825" s="220"/>
      <c r="AG825" s="308"/>
      <c r="AH825" s="220"/>
      <c r="AI825" s="220"/>
      <c r="AJ825" s="220"/>
      <c r="AK825" s="220"/>
      <c r="AL825" s="220"/>
      <c r="AM825" s="220"/>
    </row>
    <row r="826">
      <c r="A826" s="430"/>
      <c r="B826" s="311"/>
      <c r="C826" s="311"/>
      <c r="D826" s="312"/>
      <c r="E826" s="311"/>
      <c r="F826" s="311"/>
      <c r="G826" s="312"/>
      <c r="H826" s="312"/>
      <c r="I826" s="313"/>
      <c r="J826" s="431"/>
      <c r="K826" s="313"/>
      <c r="L826" s="313"/>
      <c r="M826" s="313"/>
      <c r="N826" s="315"/>
      <c r="O826" s="313"/>
      <c r="P826" s="313"/>
      <c r="Q826" s="432"/>
      <c r="R826" s="313"/>
      <c r="S826" s="313"/>
      <c r="T826" s="317"/>
      <c r="U826" s="433"/>
      <c r="V826" s="288"/>
      <c r="W826" s="220"/>
      <c r="X826" s="220"/>
      <c r="Y826" s="220"/>
      <c r="Z826" s="220"/>
      <c r="AA826" s="220"/>
      <c r="AB826" s="220"/>
      <c r="AC826" s="220"/>
      <c r="AD826" s="220"/>
      <c r="AE826" s="220"/>
      <c r="AF826" s="220"/>
      <c r="AG826" s="308"/>
      <c r="AH826" s="220"/>
      <c r="AI826" s="220"/>
      <c r="AJ826" s="220"/>
      <c r="AK826" s="220"/>
      <c r="AL826" s="220"/>
      <c r="AM826" s="220"/>
    </row>
    <row r="827">
      <c r="A827" s="430"/>
      <c r="B827" s="311"/>
      <c r="C827" s="311"/>
      <c r="D827" s="312"/>
      <c r="E827" s="311"/>
      <c r="F827" s="311"/>
      <c r="G827" s="312"/>
      <c r="H827" s="312"/>
      <c r="I827" s="313"/>
      <c r="J827" s="431"/>
      <c r="K827" s="313"/>
      <c r="L827" s="313"/>
      <c r="M827" s="313"/>
      <c r="N827" s="315"/>
      <c r="O827" s="313"/>
      <c r="P827" s="313"/>
      <c r="Q827" s="432"/>
      <c r="R827" s="313"/>
      <c r="S827" s="313"/>
      <c r="T827" s="317"/>
      <c r="U827" s="433"/>
      <c r="V827" s="288"/>
      <c r="W827" s="220"/>
      <c r="X827" s="220"/>
      <c r="Y827" s="220"/>
      <c r="Z827" s="220"/>
      <c r="AA827" s="220"/>
      <c r="AB827" s="220"/>
      <c r="AC827" s="220"/>
      <c r="AD827" s="220"/>
      <c r="AE827" s="220"/>
      <c r="AF827" s="220"/>
      <c r="AG827" s="308"/>
      <c r="AH827" s="220"/>
      <c r="AI827" s="220"/>
      <c r="AJ827" s="220"/>
      <c r="AK827" s="220"/>
      <c r="AL827" s="220"/>
      <c r="AM827" s="220"/>
    </row>
    <row r="828">
      <c r="A828" s="430"/>
      <c r="B828" s="311"/>
      <c r="C828" s="311"/>
      <c r="D828" s="312"/>
      <c r="E828" s="311"/>
      <c r="F828" s="311"/>
      <c r="G828" s="312"/>
      <c r="H828" s="312"/>
      <c r="I828" s="313"/>
      <c r="J828" s="431"/>
      <c r="K828" s="313"/>
      <c r="L828" s="313"/>
      <c r="M828" s="313"/>
      <c r="N828" s="315"/>
      <c r="O828" s="313"/>
      <c r="P828" s="313"/>
      <c r="Q828" s="432"/>
      <c r="R828" s="313"/>
      <c r="S828" s="313"/>
      <c r="T828" s="317"/>
      <c r="U828" s="433"/>
      <c r="V828" s="288"/>
      <c r="W828" s="220"/>
      <c r="X828" s="220"/>
      <c r="Y828" s="220"/>
      <c r="Z828" s="220"/>
      <c r="AA828" s="220"/>
      <c r="AB828" s="220"/>
      <c r="AC828" s="220"/>
      <c r="AD828" s="220"/>
      <c r="AE828" s="220"/>
      <c r="AF828" s="220"/>
      <c r="AG828" s="308"/>
      <c r="AH828" s="220"/>
      <c r="AI828" s="220"/>
      <c r="AJ828" s="220"/>
      <c r="AK828" s="220"/>
      <c r="AL828" s="220"/>
      <c r="AM828" s="220"/>
    </row>
    <row r="829">
      <c r="A829" s="430"/>
      <c r="B829" s="311"/>
      <c r="C829" s="311"/>
      <c r="D829" s="312"/>
      <c r="E829" s="311"/>
      <c r="F829" s="311"/>
      <c r="G829" s="312"/>
      <c r="H829" s="312"/>
      <c r="I829" s="313"/>
      <c r="J829" s="431"/>
      <c r="K829" s="313"/>
      <c r="L829" s="313"/>
      <c r="M829" s="313"/>
      <c r="N829" s="315"/>
      <c r="O829" s="313"/>
      <c r="P829" s="313"/>
      <c r="Q829" s="432"/>
      <c r="R829" s="313"/>
      <c r="S829" s="313"/>
      <c r="T829" s="317"/>
      <c r="U829" s="433"/>
      <c r="V829" s="288"/>
      <c r="W829" s="220"/>
      <c r="X829" s="220"/>
      <c r="Y829" s="220"/>
      <c r="Z829" s="220"/>
      <c r="AA829" s="220"/>
      <c r="AB829" s="220"/>
      <c r="AC829" s="220"/>
      <c r="AD829" s="220"/>
      <c r="AE829" s="220"/>
      <c r="AF829" s="220"/>
      <c r="AG829" s="308"/>
      <c r="AH829" s="220"/>
      <c r="AI829" s="220"/>
      <c r="AJ829" s="220"/>
      <c r="AK829" s="220"/>
      <c r="AL829" s="220"/>
      <c r="AM829" s="220"/>
    </row>
    <row r="830">
      <c r="A830" s="430"/>
      <c r="B830" s="311"/>
      <c r="C830" s="311"/>
      <c r="D830" s="312"/>
      <c r="E830" s="311"/>
      <c r="F830" s="311"/>
      <c r="G830" s="312"/>
      <c r="H830" s="312"/>
      <c r="I830" s="313"/>
      <c r="J830" s="431"/>
      <c r="K830" s="313"/>
      <c r="L830" s="313"/>
      <c r="M830" s="313"/>
      <c r="N830" s="315"/>
      <c r="O830" s="313"/>
      <c r="P830" s="313"/>
      <c r="Q830" s="432"/>
      <c r="R830" s="313"/>
      <c r="S830" s="313"/>
      <c r="T830" s="317"/>
      <c r="U830" s="433"/>
      <c r="V830" s="288"/>
      <c r="W830" s="220"/>
      <c r="X830" s="220"/>
      <c r="Y830" s="220"/>
      <c r="Z830" s="220"/>
      <c r="AA830" s="220"/>
      <c r="AB830" s="220"/>
      <c r="AC830" s="220"/>
      <c r="AD830" s="220"/>
      <c r="AE830" s="220"/>
      <c r="AF830" s="220"/>
      <c r="AG830" s="308"/>
      <c r="AH830" s="220"/>
      <c r="AI830" s="220"/>
      <c r="AJ830" s="220"/>
      <c r="AK830" s="220"/>
      <c r="AL830" s="220"/>
      <c r="AM830" s="220"/>
    </row>
    <row r="831">
      <c r="A831" s="430"/>
      <c r="B831" s="311"/>
      <c r="C831" s="311"/>
      <c r="D831" s="312"/>
      <c r="E831" s="311"/>
      <c r="F831" s="311"/>
      <c r="G831" s="312"/>
      <c r="H831" s="312"/>
      <c r="I831" s="313"/>
      <c r="J831" s="431"/>
      <c r="K831" s="313"/>
      <c r="L831" s="313"/>
      <c r="M831" s="313"/>
      <c r="N831" s="315"/>
      <c r="O831" s="313"/>
      <c r="P831" s="313"/>
      <c r="Q831" s="432"/>
      <c r="R831" s="313"/>
      <c r="S831" s="313"/>
      <c r="T831" s="317"/>
      <c r="U831" s="433"/>
      <c r="V831" s="288"/>
      <c r="W831" s="220"/>
      <c r="X831" s="220"/>
      <c r="Y831" s="220"/>
      <c r="Z831" s="220"/>
      <c r="AA831" s="220"/>
      <c r="AB831" s="220"/>
      <c r="AC831" s="220"/>
      <c r="AD831" s="220"/>
      <c r="AE831" s="220"/>
      <c r="AF831" s="220"/>
      <c r="AG831" s="308"/>
      <c r="AH831" s="220"/>
      <c r="AI831" s="220"/>
      <c r="AJ831" s="220"/>
      <c r="AK831" s="220"/>
      <c r="AL831" s="220"/>
      <c r="AM831" s="220"/>
    </row>
    <row r="832">
      <c r="A832" s="430"/>
      <c r="B832" s="311"/>
      <c r="C832" s="311"/>
      <c r="D832" s="312"/>
      <c r="E832" s="311"/>
      <c r="F832" s="311"/>
      <c r="G832" s="312"/>
      <c r="H832" s="312"/>
      <c r="I832" s="313"/>
      <c r="J832" s="431"/>
      <c r="K832" s="313"/>
      <c r="L832" s="313"/>
      <c r="M832" s="313"/>
      <c r="N832" s="315"/>
      <c r="O832" s="313"/>
      <c r="P832" s="313"/>
      <c r="Q832" s="432"/>
      <c r="R832" s="313"/>
      <c r="S832" s="313"/>
      <c r="T832" s="317"/>
      <c r="U832" s="433"/>
      <c r="V832" s="288"/>
      <c r="W832" s="220"/>
      <c r="X832" s="220"/>
      <c r="Y832" s="220"/>
      <c r="Z832" s="220"/>
      <c r="AA832" s="220"/>
      <c r="AB832" s="220"/>
      <c r="AC832" s="220"/>
      <c r="AD832" s="220"/>
      <c r="AE832" s="220"/>
      <c r="AF832" s="220"/>
      <c r="AG832" s="308"/>
      <c r="AH832" s="220"/>
      <c r="AI832" s="220"/>
      <c r="AJ832" s="220"/>
      <c r="AK832" s="220"/>
      <c r="AL832" s="220"/>
      <c r="AM832" s="220"/>
    </row>
    <row r="833">
      <c r="A833" s="430"/>
      <c r="B833" s="311"/>
      <c r="C833" s="311"/>
      <c r="D833" s="312"/>
      <c r="E833" s="311"/>
      <c r="F833" s="311"/>
      <c r="G833" s="312"/>
      <c r="H833" s="312"/>
      <c r="I833" s="313"/>
      <c r="J833" s="431"/>
      <c r="K833" s="313"/>
      <c r="L833" s="313"/>
      <c r="M833" s="313"/>
      <c r="N833" s="315"/>
      <c r="O833" s="313"/>
      <c r="P833" s="313"/>
      <c r="Q833" s="432"/>
      <c r="R833" s="313"/>
      <c r="S833" s="313"/>
      <c r="T833" s="317"/>
      <c r="U833" s="433"/>
      <c r="V833" s="288"/>
      <c r="W833" s="220"/>
      <c r="X833" s="220"/>
      <c r="Y833" s="220"/>
      <c r="Z833" s="220"/>
      <c r="AA833" s="220"/>
      <c r="AB833" s="220"/>
      <c r="AC833" s="220"/>
      <c r="AD833" s="220"/>
      <c r="AE833" s="220"/>
      <c r="AF833" s="220"/>
      <c r="AG833" s="308"/>
      <c r="AH833" s="220"/>
      <c r="AI833" s="220"/>
      <c r="AJ833" s="220"/>
      <c r="AK833" s="220"/>
      <c r="AL833" s="220"/>
      <c r="AM833" s="220"/>
    </row>
    <row r="834">
      <c r="A834" s="430"/>
      <c r="B834" s="311"/>
      <c r="C834" s="311"/>
      <c r="D834" s="312"/>
      <c r="E834" s="311"/>
      <c r="F834" s="311"/>
      <c r="G834" s="312"/>
      <c r="H834" s="312"/>
      <c r="I834" s="313"/>
      <c r="J834" s="431"/>
      <c r="K834" s="313"/>
      <c r="L834" s="313"/>
      <c r="M834" s="313"/>
      <c r="N834" s="315"/>
      <c r="O834" s="313"/>
      <c r="P834" s="313"/>
      <c r="Q834" s="432"/>
      <c r="R834" s="313"/>
      <c r="S834" s="313"/>
      <c r="T834" s="317"/>
      <c r="U834" s="433"/>
      <c r="V834" s="288"/>
      <c r="W834" s="220"/>
      <c r="X834" s="220"/>
      <c r="Y834" s="220"/>
      <c r="Z834" s="220"/>
      <c r="AA834" s="220"/>
      <c r="AB834" s="220"/>
      <c r="AC834" s="220"/>
      <c r="AD834" s="220"/>
      <c r="AE834" s="220"/>
      <c r="AF834" s="220"/>
      <c r="AG834" s="308"/>
      <c r="AH834" s="220"/>
      <c r="AI834" s="220"/>
      <c r="AJ834" s="220"/>
      <c r="AK834" s="220"/>
      <c r="AL834" s="220"/>
      <c r="AM834" s="220"/>
    </row>
    <row r="835">
      <c r="A835" s="430"/>
      <c r="B835" s="311"/>
      <c r="C835" s="311"/>
      <c r="D835" s="312"/>
      <c r="E835" s="311"/>
      <c r="F835" s="311"/>
      <c r="G835" s="312"/>
      <c r="H835" s="312"/>
      <c r="I835" s="313"/>
      <c r="J835" s="431"/>
      <c r="K835" s="313"/>
      <c r="L835" s="313"/>
      <c r="M835" s="313"/>
      <c r="N835" s="315"/>
      <c r="O835" s="313"/>
      <c r="P835" s="313"/>
      <c r="Q835" s="432"/>
      <c r="R835" s="313"/>
      <c r="S835" s="313"/>
      <c r="T835" s="317"/>
      <c r="U835" s="433"/>
      <c r="V835" s="288"/>
      <c r="W835" s="220"/>
      <c r="X835" s="220"/>
      <c r="Y835" s="220"/>
      <c r="Z835" s="220"/>
      <c r="AA835" s="220"/>
      <c r="AB835" s="220"/>
      <c r="AC835" s="220"/>
      <c r="AD835" s="220"/>
      <c r="AE835" s="220"/>
      <c r="AF835" s="220"/>
      <c r="AG835" s="308"/>
      <c r="AH835" s="220"/>
      <c r="AI835" s="220"/>
      <c r="AJ835" s="220"/>
      <c r="AK835" s="220"/>
      <c r="AL835" s="220"/>
      <c r="AM835" s="220"/>
    </row>
    <row r="836">
      <c r="A836" s="430"/>
      <c r="B836" s="311"/>
      <c r="C836" s="311"/>
      <c r="D836" s="312"/>
      <c r="E836" s="311"/>
      <c r="F836" s="311"/>
      <c r="G836" s="312"/>
      <c r="H836" s="312"/>
      <c r="I836" s="313"/>
      <c r="J836" s="431"/>
      <c r="K836" s="313"/>
      <c r="L836" s="313"/>
      <c r="M836" s="313"/>
      <c r="N836" s="315"/>
      <c r="O836" s="313"/>
      <c r="P836" s="313"/>
      <c r="Q836" s="432"/>
      <c r="R836" s="313"/>
      <c r="S836" s="313"/>
      <c r="T836" s="317"/>
      <c r="U836" s="433"/>
      <c r="V836" s="288"/>
      <c r="W836" s="220"/>
      <c r="X836" s="220"/>
      <c r="Y836" s="220"/>
      <c r="Z836" s="220"/>
      <c r="AA836" s="220"/>
      <c r="AB836" s="220"/>
      <c r="AC836" s="220"/>
      <c r="AD836" s="220"/>
      <c r="AE836" s="220"/>
      <c r="AF836" s="220"/>
      <c r="AG836" s="308"/>
      <c r="AH836" s="220"/>
      <c r="AI836" s="220"/>
      <c r="AJ836" s="220"/>
      <c r="AK836" s="220"/>
      <c r="AL836" s="220"/>
      <c r="AM836" s="220"/>
    </row>
    <row r="837">
      <c r="A837" s="430"/>
      <c r="B837" s="311"/>
      <c r="C837" s="311"/>
      <c r="D837" s="312"/>
      <c r="E837" s="311"/>
      <c r="F837" s="311"/>
      <c r="G837" s="312"/>
      <c r="H837" s="312"/>
      <c r="I837" s="313"/>
      <c r="J837" s="431"/>
      <c r="K837" s="313"/>
      <c r="L837" s="313"/>
      <c r="M837" s="313"/>
      <c r="N837" s="315"/>
      <c r="O837" s="313"/>
      <c r="P837" s="313"/>
      <c r="Q837" s="432"/>
      <c r="R837" s="313"/>
      <c r="S837" s="313"/>
      <c r="T837" s="317"/>
      <c r="U837" s="433"/>
      <c r="V837" s="288"/>
      <c r="W837" s="220"/>
      <c r="X837" s="220"/>
      <c r="Y837" s="220"/>
      <c r="Z837" s="220"/>
      <c r="AA837" s="220"/>
      <c r="AB837" s="220"/>
      <c r="AC837" s="220"/>
      <c r="AD837" s="220"/>
      <c r="AE837" s="220"/>
      <c r="AF837" s="220"/>
      <c r="AG837" s="308"/>
      <c r="AH837" s="220"/>
      <c r="AI837" s="220"/>
      <c r="AJ837" s="220"/>
      <c r="AK837" s="220"/>
      <c r="AL837" s="220"/>
      <c r="AM837" s="220"/>
    </row>
    <row r="838">
      <c r="A838" s="430"/>
      <c r="B838" s="311"/>
      <c r="C838" s="311"/>
      <c r="D838" s="312"/>
      <c r="E838" s="311"/>
      <c r="F838" s="311"/>
      <c r="G838" s="312"/>
      <c r="H838" s="312"/>
      <c r="I838" s="313"/>
      <c r="J838" s="431"/>
      <c r="K838" s="313"/>
      <c r="L838" s="313"/>
      <c r="M838" s="313"/>
      <c r="N838" s="315"/>
      <c r="O838" s="313"/>
      <c r="P838" s="313"/>
      <c r="Q838" s="432"/>
      <c r="R838" s="313"/>
      <c r="S838" s="313"/>
      <c r="T838" s="317"/>
      <c r="U838" s="433"/>
      <c r="V838" s="288"/>
      <c r="W838" s="220"/>
      <c r="X838" s="220"/>
      <c r="Y838" s="220"/>
      <c r="Z838" s="220"/>
      <c r="AA838" s="220"/>
      <c r="AB838" s="220"/>
      <c r="AC838" s="220"/>
      <c r="AD838" s="220"/>
      <c r="AE838" s="220"/>
      <c r="AF838" s="220"/>
      <c r="AG838" s="308"/>
      <c r="AH838" s="220"/>
      <c r="AI838" s="220"/>
      <c r="AJ838" s="220"/>
      <c r="AK838" s="220"/>
      <c r="AL838" s="220"/>
      <c r="AM838" s="220"/>
    </row>
    <row r="839">
      <c r="A839" s="430"/>
      <c r="B839" s="311"/>
      <c r="C839" s="311"/>
      <c r="D839" s="312"/>
      <c r="E839" s="311"/>
      <c r="F839" s="311"/>
      <c r="G839" s="312"/>
      <c r="H839" s="312"/>
      <c r="I839" s="313"/>
      <c r="J839" s="431"/>
      <c r="K839" s="313"/>
      <c r="L839" s="313"/>
      <c r="M839" s="313"/>
      <c r="N839" s="315"/>
      <c r="O839" s="313"/>
      <c r="P839" s="313"/>
      <c r="Q839" s="432"/>
      <c r="R839" s="313"/>
      <c r="S839" s="313"/>
      <c r="T839" s="317"/>
      <c r="U839" s="433"/>
      <c r="V839" s="288"/>
      <c r="W839" s="220"/>
      <c r="X839" s="220"/>
      <c r="Y839" s="220"/>
      <c r="Z839" s="220"/>
      <c r="AA839" s="220"/>
      <c r="AB839" s="220"/>
      <c r="AC839" s="220"/>
      <c r="AD839" s="220"/>
      <c r="AE839" s="220"/>
      <c r="AF839" s="220"/>
      <c r="AG839" s="308"/>
      <c r="AH839" s="220"/>
      <c r="AI839" s="220"/>
      <c r="AJ839" s="220"/>
      <c r="AK839" s="220"/>
      <c r="AL839" s="220"/>
      <c r="AM839" s="220"/>
    </row>
    <row r="840">
      <c r="A840" s="430"/>
      <c r="B840" s="311"/>
      <c r="C840" s="311"/>
      <c r="D840" s="312"/>
      <c r="E840" s="311"/>
      <c r="F840" s="311"/>
      <c r="G840" s="312"/>
      <c r="H840" s="312"/>
      <c r="I840" s="313"/>
      <c r="J840" s="431"/>
      <c r="K840" s="313"/>
      <c r="L840" s="313"/>
      <c r="M840" s="313"/>
      <c r="N840" s="315"/>
      <c r="O840" s="313"/>
      <c r="P840" s="313"/>
      <c r="Q840" s="432"/>
      <c r="R840" s="313"/>
      <c r="S840" s="313"/>
      <c r="T840" s="317"/>
      <c r="U840" s="433"/>
      <c r="V840" s="288"/>
      <c r="W840" s="220"/>
      <c r="X840" s="220"/>
      <c r="Y840" s="220"/>
      <c r="Z840" s="220"/>
      <c r="AA840" s="220"/>
      <c r="AB840" s="220"/>
      <c r="AC840" s="220"/>
      <c r="AD840" s="220"/>
      <c r="AE840" s="220"/>
      <c r="AF840" s="220"/>
      <c r="AG840" s="308"/>
      <c r="AH840" s="220"/>
      <c r="AI840" s="220"/>
      <c r="AJ840" s="220"/>
      <c r="AK840" s="220"/>
      <c r="AL840" s="220"/>
      <c r="AM840" s="220"/>
    </row>
    <row r="841">
      <c r="A841" s="430"/>
      <c r="B841" s="311"/>
      <c r="C841" s="311"/>
      <c r="D841" s="312"/>
      <c r="E841" s="311"/>
      <c r="F841" s="311"/>
      <c r="G841" s="312"/>
      <c r="H841" s="312"/>
      <c r="I841" s="313"/>
      <c r="J841" s="431"/>
      <c r="K841" s="313"/>
      <c r="L841" s="313"/>
      <c r="M841" s="313"/>
      <c r="N841" s="315"/>
      <c r="O841" s="313"/>
      <c r="P841" s="313"/>
      <c r="Q841" s="432"/>
      <c r="R841" s="313"/>
      <c r="S841" s="313"/>
      <c r="T841" s="317"/>
      <c r="U841" s="433"/>
      <c r="V841" s="288"/>
      <c r="W841" s="220"/>
      <c r="X841" s="220"/>
      <c r="Y841" s="220"/>
      <c r="Z841" s="220"/>
      <c r="AA841" s="220"/>
      <c r="AB841" s="220"/>
      <c r="AC841" s="220"/>
      <c r="AD841" s="220"/>
      <c r="AE841" s="220"/>
      <c r="AF841" s="220"/>
      <c r="AG841" s="308"/>
      <c r="AH841" s="220"/>
      <c r="AI841" s="220"/>
      <c r="AJ841" s="220"/>
      <c r="AK841" s="220"/>
      <c r="AL841" s="220"/>
      <c r="AM841" s="220"/>
    </row>
    <row r="842">
      <c r="A842" s="430"/>
      <c r="B842" s="311"/>
      <c r="C842" s="311"/>
      <c r="D842" s="312"/>
      <c r="E842" s="311"/>
      <c r="F842" s="311"/>
      <c r="G842" s="312"/>
      <c r="H842" s="312"/>
      <c r="I842" s="313"/>
      <c r="J842" s="431"/>
      <c r="K842" s="313"/>
      <c r="L842" s="313"/>
      <c r="M842" s="313"/>
      <c r="N842" s="315"/>
      <c r="O842" s="313"/>
      <c r="P842" s="313"/>
      <c r="Q842" s="432"/>
      <c r="R842" s="313"/>
      <c r="S842" s="313"/>
      <c r="T842" s="317"/>
      <c r="U842" s="433"/>
      <c r="V842" s="288"/>
      <c r="W842" s="220"/>
      <c r="X842" s="220"/>
      <c r="Y842" s="220"/>
      <c r="Z842" s="220"/>
      <c r="AA842" s="220"/>
      <c r="AB842" s="220"/>
      <c r="AC842" s="220"/>
      <c r="AD842" s="220"/>
      <c r="AE842" s="220"/>
      <c r="AF842" s="220"/>
      <c r="AG842" s="308"/>
      <c r="AH842" s="220"/>
      <c r="AI842" s="220"/>
      <c r="AJ842" s="220"/>
      <c r="AK842" s="220"/>
      <c r="AL842" s="220"/>
      <c r="AM842" s="220"/>
    </row>
    <row r="843">
      <c r="A843" s="430"/>
      <c r="B843" s="311"/>
      <c r="C843" s="311"/>
      <c r="D843" s="312"/>
      <c r="E843" s="311"/>
      <c r="F843" s="311"/>
      <c r="G843" s="312"/>
      <c r="H843" s="312"/>
      <c r="I843" s="313"/>
      <c r="J843" s="431"/>
      <c r="K843" s="313"/>
      <c r="L843" s="313"/>
      <c r="M843" s="313"/>
      <c r="N843" s="315"/>
      <c r="O843" s="313"/>
      <c r="P843" s="313"/>
      <c r="Q843" s="432"/>
      <c r="R843" s="313"/>
      <c r="S843" s="313"/>
      <c r="T843" s="317"/>
      <c r="U843" s="433"/>
      <c r="V843" s="288"/>
      <c r="W843" s="220"/>
      <c r="X843" s="220"/>
      <c r="Y843" s="220"/>
      <c r="Z843" s="220"/>
      <c r="AA843" s="220"/>
      <c r="AB843" s="220"/>
      <c r="AC843" s="220"/>
      <c r="AD843" s="220"/>
      <c r="AE843" s="220"/>
      <c r="AF843" s="220"/>
      <c r="AG843" s="308"/>
      <c r="AH843" s="220"/>
      <c r="AI843" s="220"/>
      <c r="AJ843" s="220"/>
      <c r="AK843" s="220"/>
      <c r="AL843" s="220"/>
      <c r="AM843" s="220"/>
    </row>
    <row r="844">
      <c r="A844" s="430"/>
      <c r="B844" s="311"/>
      <c r="C844" s="311"/>
      <c r="D844" s="312"/>
      <c r="E844" s="311"/>
      <c r="F844" s="311"/>
      <c r="G844" s="312"/>
      <c r="H844" s="312"/>
      <c r="I844" s="313"/>
      <c r="J844" s="431"/>
      <c r="K844" s="313"/>
      <c r="L844" s="313"/>
      <c r="M844" s="313"/>
      <c r="N844" s="315"/>
      <c r="O844" s="313"/>
      <c r="P844" s="313"/>
      <c r="Q844" s="432"/>
      <c r="R844" s="313"/>
      <c r="S844" s="313"/>
      <c r="T844" s="317"/>
      <c r="U844" s="433"/>
      <c r="V844" s="288"/>
      <c r="W844" s="220"/>
      <c r="X844" s="220"/>
      <c r="Y844" s="220"/>
      <c r="Z844" s="220"/>
      <c r="AA844" s="220"/>
      <c r="AB844" s="220"/>
      <c r="AC844" s="220"/>
      <c r="AD844" s="220"/>
      <c r="AE844" s="220"/>
      <c r="AF844" s="220"/>
      <c r="AG844" s="308"/>
      <c r="AH844" s="220"/>
      <c r="AI844" s="220"/>
      <c r="AJ844" s="220"/>
      <c r="AK844" s="220"/>
      <c r="AL844" s="220"/>
      <c r="AM844" s="220"/>
    </row>
    <row r="845">
      <c r="A845" s="430"/>
      <c r="B845" s="311"/>
      <c r="C845" s="311"/>
      <c r="D845" s="312"/>
      <c r="E845" s="311"/>
      <c r="F845" s="311"/>
      <c r="G845" s="312"/>
      <c r="H845" s="312"/>
      <c r="I845" s="313"/>
      <c r="J845" s="431"/>
      <c r="K845" s="313"/>
      <c r="L845" s="313"/>
      <c r="M845" s="313"/>
      <c r="N845" s="315"/>
      <c r="O845" s="313"/>
      <c r="P845" s="313"/>
      <c r="Q845" s="432"/>
      <c r="R845" s="313"/>
      <c r="S845" s="313"/>
      <c r="T845" s="317"/>
      <c r="U845" s="433"/>
      <c r="V845" s="288"/>
      <c r="W845" s="220"/>
      <c r="X845" s="220"/>
      <c r="Y845" s="220"/>
      <c r="Z845" s="220"/>
      <c r="AA845" s="220"/>
      <c r="AB845" s="220"/>
      <c r="AC845" s="220"/>
      <c r="AD845" s="220"/>
      <c r="AE845" s="220"/>
      <c r="AF845" s="220"/>
      <c r="AG845" s="308"/>
      <c r="AH845" s="220"/>
      <c r="AI845" s="220"/>
      <c r="AJ845" s="220"/>
      <c r="AK845" s="220"/>
      <c r="AL845" s="220"/>
      <c r="AM845" s="220"/>
    </row>
    <row r="846">
      <c r="A846" s="430"/>
      <c r="B846" s="311"/>
      <c r="C846" s="311"/>
      <c r="D846" s="312"/>
      <c r="E846" s="311"/>
      <c r="F846" s="311"/>
      <c r="G846" s="312"/>
      <c r="H846" s="312"/>
      <c r="I846" s="313"/>
      <c r="J846" s="431"/>
      <c r="K846" s="313"/>
      <c r="L846" s="313"/>
      <c r="M846" s="313"/>
      <c r="N846" s="315"/>
      <c r="O846" s="313"/>
      <c r="P846" s="313"/>
      <c r="Q846" s="432"/>
      <c r="R846" s="313"/>
      <c r="S846" s="313"/>
      <c r="T846" s="317"/>
      <c r="U846" s="433"/>
      <c r="V846" s="288"/>
      <c r="W846" s="220"/>
      <c r="X846" s="220"/>
      <c r="Y846" s="220"/>
      <c r="Z846" s="220"/>
      <c r="AA846" s="220"/>
      <c r="AB846" s="220"/>
      <c r="AC846" s="220"/>
      <c r="AD846" s="220"/>
      <c r="AE846" s="220"/>
      <c r="AF846" s="220"/>
      <c r="AG846" s="308"/>
      <c r="AH846" s="220"/>
      <c r="AI846" s="220"/>
      <c r="AJ846" s="220"/>
      <c r="AK846" s="220"/>
      <c r="AL846" s="220"/>
      <c r="AM846" s="220"/>
    </row>
    <row r="847">
      <c r="A847" s="430"/>
      <c r="B847" s="311"/>
      <c r="C847" s="311"/>
      <c r="D847" s="312"/>
      <c r="E847" s="311"/>
      <c r="F847" s="311"/>
      <c r="G847" s="312"/>
      <c r="H847" s="312"/>
      <c r="I847" s="313"/>
      <c r="J847" s="431"/>
      <c r="K847" s="313"/>
      <c r="L847" s="313"/>
      <c r="M847" s="313"/>
      <c r="N847" s="315"/>
      <c r="O847" s="313"/>
      <c r="P847" s="313"/>
      <c r="Q847" s="432"/>
      <c r="R847" s="313"/>
      <c r="S847" s="313"/>
      <c r="T847" s="317"/>
      <c r="U847" s="433"/>
      <c r="V847" s="288"/>
      <c r="W847" s="220"/>
      <c r="X847" s="220"/>
      <c r="Y847" s="220"/>
      <c r="Z847" s="220"/>
      <c r="AA847" s="220"/>
      <c r="AB847" s="220"/>
      <c r="AC847" s="220"/>
      <c r="AD847" s="220"/>
      <c r="AE847" s="220"/>
      <c r="AF847" s="220"/>
      <c r="AG847" s="308"/>
      <c r="AH847" s="220"/>
      <c r="AI847" s="220"/>
      <c r="AJ847" s="220"/>
      <c r="AK847" s="220"/>
      <c r="AL847" s="220"/>
      <c r="AM847" s="220"/>
    </row>
    <row r="848">
      <c r="A848" s="430"/>
      <c r="B848" s="311"/>
      <c r="C848" s="311"/>
      <c r="D848" s="312"/>
      <c r="E848" s="311"/>
      <c r="F848" s="311"/>
      <c r="G848" s="312"/>
      <c r="H848" s="312"/>
      <c r="I848" s="313"/>
      <c r="J848" s="431"/>
      <c r="K848" s="313"/>
      <c r="L848" s="313"/>
      <c r="M848" s="313"/>
      <c r="N848" s="315"/>
      <c r="O848" s="313"/>
      <c r="P848" s="313"/>
      <c r="Q848" s="432"/>
      <c r="R848" s="313"/>
      <c r="S848" s="313"/>
      <c r="T848" s="317"/>
      <c r="U848" s="433"/>
      <c r="V848" s="288"/>
      <c r="W848" s="220"/>
      <c r="X848" s="220"/>
      <c r="Y848" s="220"/>
      <c r="Z848" s="220"/>
      <c r="AA848" s="220"/>
      <c r="AB848" s="220"/>
      <c r="AC848" s="220"/>
      <c r="AD848" s="220"/>
      <c r="AE848" s="220"/>
      <c r="AF848" s="220"/>
      <c r="AG848" s="308"/>
      <c r="AH848" s="220"/>
      <c r="AI848" s="220"/>
      <c r="AJ848" s="220"/>
      <c r="AK848" s="220"/>
      <c r="AL848" s="220"/>
      <c r="AM848" s="220"/>
    </row>
    <row r="849">
      <c r="A849" s="430"/>
      <c r="B849" s="311"/>
      <c r="C849" s="311"/>
      <c r="D849" s="312"/>
      <c r="E849" s="311"/>
      <c r="F849" s="311"/>
      <c r="G849" s="312"/>
      <c r="H849" s="312"/>
      <c r="I849" s="313"/>
      <c r="J849" s="431"/>
      <c r="K849" s="313"/>
      <c r="L849" s="313"/>
      <c r="M849" s="313"/>
      <c r="N849" s="315"/>
      <c r="O849" s="313"/>
      <c r="P849" s="313"/>
      <c r="Q849" s="432"/>
      <c r="R849" s="313"/>
      <c r="S849" s="313"/>
      <c r="T849" s="317"/>
      <c r="U849" s="433"/>
      <c r="V849" s="288"/>
      <c r="W849" s="220"/>
      <c r="X849" s="220"/>
      <c r="Y849" s="220"/>
      <c r="Z849" s="220"/>
      <c r="AA849" s="220"/>
      <c r="AB849" s="220"/>
      <c r="AC849" s="220"/>
      <c r="AD849" s="220"/>
      <c r="AE849" s="220"/>
      <c r="AF849" s="220"/>
      <c r="AG849" s="308"/>
      <c r="AH849" s="220"/>
      <c r="AI849" s="220"/>
      <c r="AJ849" s="220"/>
      <c r="AK849" s="220"/>
      <c r="AL849" s="220"/>
      <c r="AM849" s="220"/>
    </row>
    <row r="850">
      <c r="A850" s="430"/>
      <c r="B850" s="311"/>
      <c r="C850" s="311"/>
      <c r="D850" s="312"/>
      <c r="E850" s="311"/>
      <c r="F850" s="311"/>
      <c r="G850" s="312"/>
      <c r="H850" s="312"/>
      <c r="I850" s="313"/>
      <c r="J850" s="431"/>
      <c r="K850" s="313"/>
      <c r="L850" s="313"/>
      <c r="M850" s="313"/>
      <c r="N850" s="315"/>
      <c r="O850" s="313"/>
      <c r="P850" s="313"/>
      <c r="Q850" s="432"/>
      <c r="R850" s="313"/>
      <c r="S850" s="313"/>
      <c r="T850" s="317"/>
      <c r="U850" s="433"/>
      <c r="V850" s="288"/>
      <c r="W850" s="220"/>
      <c r="X850" s="220"/>
      <c r="Y850" s="220"/>
      <c r="Z850" s="220"/>
      <c r="AA850" s="220"/>
      <c r="AB850" s="220"/>
      <c r="AC850" s="220"/>
      <c r="AD850" s="220"/>
      <c r="AE850" s="220"/>
      <c r="AF850" s="220"/>
      <c r="AG850" s="308"/>
      <c r="AH850" s="220"/>
      <c r="AI850" s="220"/>
      <c r="AJ850" s="220"/>
      <c r="AK850" s="220"/>
      <c r="AL850" s="220"/>
      <c r="AM850" s="220"/>
    </row>
    <row r="851">
      <c r="A851" s="430"/>
      <c r="B851" s="311"/>
      <c r="C851" s="311"/>
      <c r="D851" s="312"/>
      <c r="E851" s="311"/>
      <c r="F851" s="311"/>
      <c r="G851" s="312"/>
      <c r="H851" s="312"/>
      <c r="I851" s="313"/>
      <c r="J851" s="431"/>
      <c r="K851" s="313"/>
      <c r="L851" s="313"/>
      <c r="M851" s="313"/>
      <c r="N851" s="315"/>
      <c r="O851" s="313"/>
      <c r="P851" s="313"/>
      <c r="Q851" s="432"/>
      <c r="R851" s="313"/>
      <c r="S851" s="313"/>
      <c r="T851" s="317"/>
      <c r="U851" s="433"/>
      <c r="V851" s="288"/>
      <c r="W851" s="220"/>
      <c r="X851" s="220"/>
      <c r="Y851" s="220"/>
      <c r="Z851" s="220"/>
      <c r="AA851" s="220"/>
      <c r="AB851" s="220"/>
      <c r="AC851" s="220"/>
      <c r="AD851" s="220"/>
      <c r="AE851" s="220"/>
      <c r="AF851" s="220"/>
      <c r="AG851" s="308"/>
      <c r="AH851" s="220"/>
      <c r="AI851" s="220"/>
      <c r="AJ851" s="220"/>
      <c r="AK851" s="220"/>
      <c r="AL851" s="220"/>
      <c r="AM851" s="220"/>
    </row>
    <row r="852">
      <c r="A852" s="430"/>
      <c r="B852" s="311"/>
      <c r="C852" s="311"/>
      <c r="D852" s="312"/>
      <c r="E852" s="311"/>
      <c r="F852" s="311"/>
      <c r="G852" s="312"/>
      <c r="H852" s="312"/>
      <c r="I852" s="313"/>
      <c r="J852" s="431"/>
      <c r="K852" s="313"/>
      <c r="L852" s="313"/>
      <c r="M852" s="313"/>
      <c r="N852" s="315"/>
      <c r="O852" s="313"/>
      <c r="P852" s="313"/>
      <c r="Q852" s="432"/>
      <c r="R852" s="313"/>
      <c r="S852" s="313"/>
      <c r="T852" s="317"/>
      <c r="U852" s="433"/>
      <c r="V852" s="288"/>
      <c r="W852" s="220"/>
      <c r="X852" s="220"/>
      <c r="Y852" s="220"/>
      <c r="Z852" s="220"/>
      <c r="AA852" s="220"/>
      <c r="AB852" s="220"/>
      <c r="AC852" s="220"/>
      <c r="AD852" s="220"/>
      <c r="AE852" s="220"/>
      <c r="AF852" s="220"/>
      <c r="AG852" s="308"/>
      <c r="AH852" s="220"/>
      <c r="AI852" s="220"/>
      <c r="AJ852" s="220"/>
      <c r="AK852" s="220"/>
      <c r="AL852" s="220"/>
      <c r="AM852" s="220"/>
    </row>
    <row r="853">
      <c r="A853" s="430"/>
      <c r="B853" s="311"/>
      <c r="C853" s="311"/>
      <c r="D853" s="312"/>
      <c r="E853" s="311"/>
      <c r="F853" s="311"/>
      <c r="G853" s="312"/>
      <c r="H853" s="312"/>
      <c r="I853" s="313"/>
      <c r="J853" s="431"/>
      <c r="K853" s="313"/>
      <c r="L853" s="313"/>
      <c r="M853" s="313"/>
      <c r="N853" s="315"/>
      <c r="O853" s="313"/>
      <c r="P853" s="313"/>
      <c r="Q853" s="432"/>
      <c r="R853" s="313"/>
      <c r="S853" s="313"/>
      <c r="T853" s="317"/>
      <c r="U853" s="433"/>
      <c r="V853" s="288"/>
      <c r="W853" s="220"/>
      <c r="X853" s="220"/>
      <c r="Y853" s="220"/>
      <c r="Z853" s="220"/>
      <c r="AA853" s="220"/>
      <c r="AB853" s="220"/>
      <c r="AC853" s="220"/>
      <c r="AD853" s="220"/>
      <c r="AE853" s="220"/>
      <c r="AF853" s="220"/>
      <c r="AG853" s="308"/>
      <c r="AH853" s="220"/>
      <c r="AI853" s="220"/>
      <c r="AJ853" s="220"/>
      <c r="AK853" s="220"/>
      <c r="AL853" s="220"/>
      <c r="AM853" s="220"/>
    </row>
    <row r="854">
      <c r="A854" s="430"/>
      <c r="B854" s="311"/>
      <c r="C854" s="311"/>
      <c r="D854" s="312"/>
      <c r="E854" s="311"/>
      <c r="F854" s="311"/>
      <c r="G854" s="312"/>
      <c r="H854" s="312"/>
      <c r="I854" s="313"/>
      <c r="J854" s="431"/>
      <c r="K854" s="313"/>
      <c r="L854" s="313"/>
      <c r="M854" s="313"/>
      <c r="N854" s="315"/>
      <c r="O854" s="313"/>
      <c r="P854" s="313"/>
      <c r="Q854" s="432"/>
      <c r="R854" s="313"/>
      <c r="S854" s="313"/>
      <c r="T854" s="317"/>
      <c r="U854" s="433"/>
      <c r="V854" s="288"/>
      <c r="W854" s="220"/>
      <c r="X854" s="220"/>
      <c r="Y854" s="220"/>
      <c r="Z854" s="220"/>
      <c r="AA854" s="220"/>
      <c r="AB854" s="220"/>
      <c r="AC854" s="220"/>
      <c r="AD854" s="220"/>
      <c r="AE854" s="220"/>
      <c r="AF854" s="220"/>
      <c r="AG854" s="308"/>
      <c r="AH854" s="220"/>
      <c r="AI854" s="220"/>
      <c r="AJ854" s="220"/>
      <c r="AK854" s="220"/>
      <c r="AL854" s="220"/>
      <c r="AM854" s="220"/>
    </row>
    <row r="855">
      <c r="A855" s="430"/>
      <c r="B855" s="311"/>
      <c r="C855" s="311"/>
      <c r="D855" s="312"/>
      <c r="E855" s="311"/>
      <c r="F855" s="311"/>
      <c r="G855" s="312"/>
      <c r="H855" s="312"/>
      <c r="I855" s="313"/>
      <c r="J855" s="431"/>
      <c r="K855" s="313"/>
      <c r="L855" s="313"/>
      <c r="M855" s="313"/>
      <c r="N855" s="315"/>
      <c r="O855" s="313"/>
      <c r="P855" s="313"/>
      <c r="Q855" s="432"/>
      <c r="R855" s="313"/>
      <c r="S855" s="313"/>
      <c r="T855" s="317"/>
      <c r="U855" s="433"/>
      <c r="V855" s="288"/>
      <c r="W855" s="220"/>
      <c r="X855" s="220"/>
      <c r="Y855" s="220"/>
      <c r="Z855" s="220"/>
      <c r="AA855" s="220"/>
      <c r="AB855" s="220"/>
      <c r="AC855" s="220"/>
      <c r="AD855" s="220"/>
      <c r="AE855" s="220"/>
      <c r="AF855" s="220"/>
      <c r="AG855" s="308"/>
      <c r="AH855" s="220"/>
      <c r="AI855" s="220"/>
      <c r="AJ855" s="220"/>
      <c r="AK855" s="220"/>
      <c r="AL855" s="220"/>
      <c r="AM855" s="220"/>
    </row>
    <row r="856">
      <c r="A856" s="430"/>
      <c r="B856" s="311"/>
      <c r="C856" s="311"/>
      <c r="D856" s="312"/>
      <c r="E856" s="311"/>
      <c r="F856" s="311"/>
      <c r="G856" s="312"/>
      <c r="H856" s="312"/>
      <c r="I856" s="313"/>
      <c r="J856" s="431"/>
      <c r="K856" s="313"/>
      <c r="L856" s="313"/>
      <c r="M856" s="313"/>
      <c r="N856" s="315"/>
      <c r="O856" s="313"/>
      <c r="P856" s="313"/>
      <c r="Q856" s="432"/>
      <c r="R856" s="313"/>
      <c r="S856" s="313"/>
      <c r="T856" s="317"/>
      <c r="U856" s="433"/>
      <c r="V856" s="288"/>
      <c r="W856" s="220"/>
      <c r="X856" s="220"/>
      <c r="Y856" s="220"/>
      <c r="Z856" s="220"/>
      <c r="AA856" s="220"/>
      <c r="AB856" s="220"/>
      <c r="AC856" s="220"/>
      <c r="AD856" s="220"/>
      <c r="AE856" s="220"/>
      <c r="AF856" s="220"/>
      <c r="AG856" s="308"/>
      <c r="AH856" s="220"/>
      <c r="AI856" s="220"/>
      <c r="AJ856" s="220"/>
      <c r="AK856" s="220"/>
      <c r="AL856" s="220"/>
      <c r="AM856" s="220"/>
    </row>
    <row r="857">
      <c r="A857" s="430"/>
      <c r="B857" s="311"/>
      <c r="C857" s="311"/>
      <c r="D857" s="312"/>
      <c r="E857" s="311"/>
      <c r="F857" s="311"/>
      <c r="G857" s="312"/>
      <c r="H857" s="312"/>
      <c r="I857" s="313"/>
      <c r="J857" s="431"/>
      <c r="K857" s="313"/>
      <c r="L857" s="313"/>
      <c r="M857" s="313"/>
      <c r="N857" s="315"/>
      <c r="O857" s="313"/>
      <c r="P857" s="313"/>
      <c r="Q857" s="432"/>
      <c r="R857" s="313"/>
      <c r="S857" s="313"/>
      <c r="T857" s="317"/>
      <c r="U857" s="433"/>
      <c r="V857" s="288"/>
      <c r="W857" s="220"/>
      <c r="X857" s="220"/>
      <c r="Y857" s="220"/>
      <c r="Z857" s="220"/>
      <c r="AA857" s="220"/>
      <c r="AB857" s="220"/>
      <c r="AC857" s="220"/>
      <c r="AD857" s="220"/>
      <c r="AE857" s="220"/>
      <c r="AF857" s="220"/>
      <c r="AG857" s="308"/>
      <c r="AH857" s="220"/>
      <c r="AI857" s="220"/>
      <c r="AJ857" s="220"/>
      <c r="AK857" s="220"/>
      <c r="AL857" s="220"/>
      <c r="AM857" s="220"/>
    </row>
    <row r="858">
      <c r="A858" s="430"/>
      <c r="B858" s="311"/>
      <c r="C858" s="311"/>
      <c r="D858" s="312"/>
      <c r="E858" s="311"/>
      <c r="F858" s="311"/>
      <c r="G858" s="312"/>
      <c r="H858" s="312"/>
      <c r="I858" s="313"/>
      <c r="J858" s="431"/>
      <c r="K858" s="313"/>
      <c r="L858" s="313"/>
      <c r="M858" s="313"/>
      <c r="N858" s="315"/>
      <c r="O858" s="313"/>
      <c r="P858" s="313"/>
      <c r="Q858" s="432"/>
      <c r="R858" s="313"/>
      <c r="S858" s="313"/>
      <c r="T858" s="317"/>
      <c r="U858" s="433"/>
      <c r="V858" s="288"/>
      <c r="W858" s="220"/>
      <c r="X858" s="220"/>
      <c r="Y858" s="220"/>
      <c r="Z858" s="220"/>
      <c r="AA858" s="220"/>
      <c r="AB858" s="220"/>
      <c r="AC858" s="220"/>
      <c r="AD858" s="220"/>
      <c r="AE858" s="220"/>
      <c r="AF858" s="220"/>
      <c r="AG858" s="308"/>
      <c r="AH858" s="220"/>
      <c r="AI858" s="220"/>
      <c r="AJ858" s="220"/>
      <c r="AK858" s="220"/>
      <c r="AL858" s="220"/>
      <c r="AM858" s="220"/>
    </row>
    <row r="859">
      <c r="A859" s="430"/>
      <c r="B859" s="311"/>
      <c r="C859" s="311"/>
      <c r="D859" s="312"/>
      <c r="E859" s="311"/>
      <c r="F859" s="311"/>
      <c r="G859" s="312"/>
      <c r="H859" s="312"/>
      <c r="I859" s="313"/>
      <c r="J859" s="431"/>
      <c r="K859" s="313"/>
      <c r="L859" s="313"/>
      <c r="M859" s="313"/>
      <c r="N859" s="315"/>
      <c r="O859" s="313"/>
      <c r="P859" s="313"/>
      <c r="Q859" s="432"/>
      <c r="R859" s="313"/>
      <c r="S859" s="313"/>
      <c r="T859" s="317"/>
      <c r="U859" s="433"/>
      <c r="V859" s="288"/>
      <c r="W859" s="220"/>
      <c r="X859" s="220"/>
      <c r="Y859" s="220"/>
      <c r="Z859" s="220"/>
      <c r="AA859" s="220"/>
      <c r="AB859" s="220"/>
      <c r="AC859" s="220"/>
      <c r="AD859" s="220"/>
      <c r="AE859" s="220"/>
      <c r="AF859" s="220"/>
      <c r="AG859" s="308"/>
      <c r="AH859" s="220"/>
      <c r="AI859" s="220"/>
      <c r="AJ859" s="220"/>
      <c r="AK859" s="220"/>
      <c r="AL859" s="220"/>
      <c r="AM859" s="220"/>
    </row>
    <row r="860">
      <c r="A860" s="430"/>
      <c r="B860" s="311"/>
      <c r="C860" s="311"/>
      <c r="D860" s="312"/>
      <c r="E860" s="311"/>
      <c r="F860" s="311"/>
      <c r="G860" s="312"/>
      <c r="H860" s="312"/>
      <c r="I860" s="313"/>
      <c r="J860" s="431"/>
      <c r="K860" s="313"/>
      <c r="L860" s="313"/>
      <c r="M860" s="313"/>
      <c r="N860" s="315"/>
      <c r="O860" s="313"/>
      <c r="P860" s="313"/>
      <c r="Q860" s="432"/>
      <c r="R860" s="313"/>
      <c r="S860" s="313"/>
      <c r="T860" s="317"/>
      <c r="U860" s="433"/>
      <c r="V860" s="288"/>
      <c r="W860" s="220"/>
      <c r="X860" s="220"/>
      <c r="Y860" s="220"/>
      <c r="Z860" s="220"/>
      <c r="AA860" s="220"/>
      <c r="AB860" s="220"/>
      <c r="AC860" s="220"/>
      <c r="AD860" s="220"/>
      <c r="AE860" s="220"/>
      <c r="AF860" s="220"/>
      <c r="AG860" s="308"/>
      <c r="AH860" s="220"/>
      <c r="AI860" s="220"/>
      <c r="AJ860" s="220"/>
      <c r="AK860" s="220"/>
      <c r="AL860" s="220"/>
      <c r="AM860" s="220"/>
    </row>
    <row r="861">
      <c r="A861" s="430"/>
      <c r="B861" s="311"/>
      <c r="C861" s="311"/>
      <c r="D861" s="312"/>
      <c r="E861" s="311"/>
      <c r="F861" s="311"/>
      <c r="G861" s="312"/>
      <c r="H861" s="312"/>
      <c r="I861" s="313"/>
      <c r="J861" s="431"/>
      <c r="K861" s="313"/>
      <c r="L861" s="313"/>
      <c r="M861" s="313"/>
      <c r="N861" s="315"/>
      <c r="O861" s="313"/>
      <c r="P861" s="313"/>
      <c r="Q861" s="432"/>
      <c r="R861" s="313"/>
      <c r="S861" s="313"/>
      <c r="T861" s="317"/>
      <c r="U861" s="433"/>
      <c r="V861" s="288"/>
      <c r="W861" s="220"/>
      <c r="X861" s="220"/>
      <c r="Y861" s="220"/>
      <c r="Z861" s="220"/>
      <c r="AA861" s="220"/>
      <c r="AB861" s="220"/>
      <c r="AC861" s="220"/>
      <c r="AD861" s="220"/>
      <c r="AE861" s="220"/>
      <c r="AF861" s="220"/>
      <c r="AG861" s="308"/>
      <c r="AH861" s="220"/>
      <c r="AI861" s="220"/>
      <c r="AJ861" s="220"/>
      <c r="AK861" s="220"/>
      <c r="AL861" s="220"/>
      <c r="AM861" s="220"/>
    </row>
    <row r="862">
      <c r="A862" s="430"/>
      <c r="B862" s="311"/>
      <c r="C862" s="311"/>
      <c r="D862" s="312"/>
      <c r="E862" s="311"/>
      <c r="F862" s="311"/>
      <c r="G862" s="312"/>
      <c r="H862" s="312"/>
      <c r="I862" s="313"/>
      <c r="J862" s="431"/>
      <c r="K862" s="313"/>
      <c r="L862" s="313"/>
      <c r="M862" s="313"/>
      <c r="N862" s="315"/>
      <c r="O862" s="313"/>
      <c r="P862" s="313"/>
      <c r="Q862" s="432"/>
      <c r="R862" s="313"/>
      <c r="S862" s="313"/>
      <c r="T862" s="317"/>
      <c r="U862" s="433"/>
      <c r="V862" s="288"/>
      <c r="W862" s="220"/>
      <c r="X862" s="220"/>
      <c r="Y862" s="220"/>
      <c r="Z862" s="220"/>
      <c r="AA862" s="220"/>
      <c r="AB862" s="220"/>
      <c r="AC862" s="220"/>
      <c r="AD862" s="220"/>
      <c r="AE862" s="220"/>
      <c r="AF862" s="220"/>
      <c r="AG862" s="308"/>
      <c r="AH862" s="220"/>
      <c r="AI862" s="220"/>
      <c r="AJ862" s="220"/>
      <c r="AK862" s="220"/>
      <c r="AL862" s="220"/>
      <c r="AM862" s="220"/>
    </row>
    <row r="863">
      <c r="A863" s="430"/>
      <c r="B863" s="311"/>
      <c r="C863" s="311"/>
      <c r="D863" s="312"/>
      <c r="E863" s="311"/>
      <c r="F863" s="311"/>
      <c r="G863" s="312"/>
      <c r="H863" s="312"/>
      <c r="I863" s="313"/>
      <c r="J863" s="431"/>
      <c r="K863" s="313"/>
      <c r="L863" s="313"/>
      <c r="M863" s="313"/>
      <c r="N863" s="315"/>
      <c r="O863" s="313"/>
      <c r="P863" s="313"/>
      <c r="Q863" s="432"/>
      <c r="R863" s="313"/>
      <c r="S863" s="313"/>
      <c r="T863" s="317"/>
      <c r="U863" s="433"/>
      <c r="V863" s="288"/>
      <c r="W863" s="220"/>
      <c r="X863" s="220"/>
      <c r="Y863" s="220"/>
      <c r="Z863" s="220"/>
      <c r="AA863" s="220"/>
      <c r="AB863" s="220"/>
      <c r="AC863" s="220"/>
      <c r="AD863" s="220"/>
      <c r="AE863" s="220"/>
      <c r="AF863" s="220"/>
      <c r="AG863" s="308"/>
      <c r="AH863" s="220"/>
      <c r="AI863" s="220"/>
      <c r="AJ863" s="220"/>
      <c r="AK863" s="220"/>
      <c r="AL863" s="220"/>
      <c r="AM863" s="220"/>
    </row>
    <row r="864">
      <c r="A864" s="430"/>
      <c r="B864" s="311"/>
      <c r="C864" s="311"/>
      <c r="D864" s="312"/>
      <c r="E864" s="311"/>
      <c r="F864" s="311"/>
      <c r="G864" s="312"/>
      <c r="H864" s="312"/>
      <c r="I864" s="313"/>
      <c r="J864" s="431"/>
      <c r="K864" s="313"/>
      <c r="L864" s="313"/>
      <c r="M864" s="313"/>
      <c r="N864" s="315"/>
      <c r="O864" s="313"/>
      <c r="P864" s="313"/>
      <c r="Q864" s="432"/>
      <c r="R864" s="313"/>
      <c r="S864" s="313"/>
      <c r="T864" s="317"/>
      <c r="U864" s="433"/>
      <c r="V864" s="288"/>
      <c r="W864" s="220"/>
      <c r="X864" s="220"/>
      <c r="Y864" s="220"/>
      <c r="Z864" s="220"/>
      <c r="AA864" s="220"/>
      <c r="AB864" s="220"/>
      <c r="AC864" s="220"/>
      <c r="AD864" s="220"/>
      <c r="AE864" s="220"/>
      <c r="AF864" s="220"/>
      <c r="AG864" s="308"/>
      <c r="AH864" s="220"/>
      <c r="AI864" s="220"/>
      <c r="AJ864" s="220"/>
      <c r="AK864" s="220"/>
      <c r="AL864" s="220"/>
      <c r="AM864" s="220"/>
    </row>
    <row r="865">
      <c r="A865" s="430"/>
      <c r="B865" s="311"/>
      <c r="C865" s="311"/>
      <c r="D865" s="312"/>
      <c r="E865" s="311"/>
      <c r="F865" s="311"/>
      <c r="G865" s="312"/>
      <c r="H865" s="312"/>
      <c r="I865" s="313"/>
      <c r="J865" s="431"/>
      <c r="K865" s="313"/>
      <c r="L865" s="313"/>
      <c r="M865" s="313"/>
      <c r="N865" s="315"/>
      <c r="O865" s="313"/>
      <c r="P865" s="313"/>
      <c r="Q865" s="432"/>
      <c r="R865" s="313"/>
      <c r="S865" s="313"/>
      <c r="T865" s="317"/>
      <c r="U865" s="433"/>
      <c r="V865" s="288"/>
      <c r="W865" s="220"/>
      <c r="X865" s="220"/>
      <c r="Y865" s="220"/>
      <c r="Z865" s="220"/>
      <c r="AA865" s="220"/>
      <c r="AB865" s="220"/>
      <c r="AC865" s="220"/>
      <c r="AD865" s="220"/>
      <c r="AE865" s="220"/>
      <c r="AF865" s="220"/>
      <c r="AG865" s="308"/>
      <c r="AH865" s="220"/>
      <c r="AI865" s="220"/>
      <c r="AJ865" s="220"/>
      <c r="AK865" s="220"/>
      <c r="AL865" s="220"/>
      <c r="AM865" s="220"/>
    </row>
    <row r="866">
      <c r="A866" s="430"/>
      <c r="B866" s="311"/>
      <c r="C866" s="311"/>
      <c r="D866" s="312"/>
      <c r="E866" s="311"/>
      <c r="F866" s="311"/>
      <c r="G866" s="312"/>
      <c r="H866" s="312"/>
      <c r="I866" s="313"/>
      <c r="J866" s="431"/>
      <c r="K866" s="313"/>
      <c r="L866" s="313"/>
      <c r="M866" s="313"/>
      <c r="N866" s="315"/>
      <c r="O866" s="313"/>
      <c r="P866" s="313"/>
      <c r="Q866" s="432"/>
      <c r="R866" s="313"/>
      <c r="S866" s="313"/>
      <c r="T866" s="317"/>
      <c r="U866" s="433"/>
      <c r="V866" s="288"/>
      <c r="W866" s="220"/>
      <c r="X866" s="220"/>
      <c r="Y866" s="220"/>
      <c r="Z866" s="220"/>
      <c r="AA866" s="220"/>
      <c r="AB866" s="220"/>
      <c r="AC866" s="220"/>
      <c r="AD866" s="220"/>
      <c r="AE866" s="220"/>
      <c r="AF866" s="220"/>
      <c r="AG866" s="308"/>
      <c r="AH866" s="220"/>
      <c r="AI866" s="220"/>
      <c r="AJ866" s="220"/>
      <c r="AK866" s="220"/>
      <c r="AL866" s="220"/>
      <c r="AM866" s="220"/>
    </row>
    <row r="867">
      <c r="A867" s="430"/>
      <c r="B867" s="311"/>
      <c r="C867" s="311"/>
      <c r="D867" s="312"/>
      <c r="E867" s="311"/>
      <c r="F867" s="311"/>
      <c r="G867" s="312"/>
      <c r="H867" s="312"/>
      <c r="I867" s="313"/>
      <c r="J867" s="431"/>
      <c r="K867" s="313"/>
      <c r="L867" s="313"/>
      <c r="M867" s="313"/>
      <c r="N867" s="315"/>
      <c r="O867" s="313"/>
      <c r="P867" s="313"/>
      <c r="Q867" s="432"/>
      <c r="R867" s="313"/>
      <c r="S867" s="313"/>
      <c r="T867" s="317"/>
      <c r="U867" s="433"/>
      <c r="V867" s="288"/>
      <c r="W867" s="220"/>
      <c r="X867" s="220"/>
      <c r="Y867" s="220"/>
      <c r="Z867" s="220"/>
      <c r="AA867" s="220"/>
      <c r="AB867" s="220"/>
      <c r="AC867" s="220"/>
      <c r="AD867" s="220"/>
      <c r="AE867" s="220"/>
      <c r="AF867" s="220"/>
      <c r="AG867" s="308"/>
      <c r="AH867" s="220"/>
      <c r="AI867" s="220"/>
      <c r="AJ867" s="220"/>
      <c r="AK867" s="220"/>
      <c r="AL867" s="220"/>
      <c r="AM867" s="220"/>
    </row>
    <row r="868">
      <c r="A868" s="430"/>
      <c r="B868" s="311"/>
      <c r="C868" s="311"/>
      <c r="D868" s="312"/>
      <c r="E868" s="311"/>
      <c r="F868" s="311"/>
      <c r="G868" s="312"/>
      <c r="H868" s="312"/>
      <c r="I868" s="313"/>
      <c r="J868" s="431"/>
      <c r="K868" s="313"/>
      <c r="L868" s="313"/>
      <c r="M868" s="313"/>
      <c r="N868" s="315"/>
      <c r="O868" s="313"/>
      <c r="P868" s="313"/>
      <c r="Q868" s="432"/>
      <c r="R868" s="313"/>
      <c r="S868" s="313"/>
      <c r="T868" s="317"/>
      <c r="U868" s="433"/>
      <c r="V868" s="288"/>
      <c r="W868" s="220"/>
      <c r="X868" s="220"/>
      <c r="Y868" s="220"/>
      <c r="Z868" s="220"/>
      <c r="AA868" s="220"/>
      <c r="AB868" s="220"/>
      <c r="AC868" s="220"/>
      <c r="AD868" s="220"/>
      <c r="AE868" s="220"/>
      <c r="AF868" s="220"/>
      <c r="AG868" s="308"/>
      <c r="AH868" s="220"/>
      <c r="AI868" s="220"/>
      <c r="AJ868" s="220"/>
      <c r="AK868" s="220"/>
      <c r="AL868" s="220"/>
      <c r="AM868" s="220"/>
    </row>
    <row r="869">
      <c r="A869" s="430"/>
      <c r="B869" s="311"/>
      <c r="C869" s="311"/>
      <c r="D869" s="312"/>
      <c r="E869" s="311"/>
      <c r="F869" s="311"/>
      <c r="G869" s="312"/>
      <c r="H869" s="312"/>
      <c r="I869" s="313"/>
      <c r="J869" s="431"/>
      <c r="K869" s="313"/>
      <c r="L869" s="313"/>
      <c r="M869" s="313"/>
      <c r="N869" s="315"/>
      <c r="O869" s="313"/>
      <c r="P869" s="313"/>
      <c r="Q869" s="432"/>
      <c r="R869" s="313"/>
      <c r="S869" s="313"/>
      <c r="T869" s="317"/>
      <c r="U869" s="433"/>
      <c r="V869" s="288"/>
      <c r="W869" s="220"/>
      <c r="X869" s="220"/>
      <c r="Y869" s="220"/>
      <c r="Z869" s="220"/>
      <c r="AA869" s="220"/>
      <c r="AB869" s="220"/>
      <c r="AC869" s="220"/>
      <c r="AD869" s="220"/>
      <c r="AE869" s="220"/>
      <c r="AF869" s="220"/>
      <c r="AG869" s="308"/>
      <c r="AH869" s="220"/>
      <c r="AI869" s="220"/>
      <c r="AJ869" s="220"/>
      <c r="AK869" s="220"/>
      <c r="AL869" s="220"/>
      <c r="AM869" s="220"/>
    </row>
    <row r="870">
      <c r="A870" s="430"/>
      <c r="B870" s="311"/>
      <c r="C870" s="311"/>
      <c r="D870" s="312"/>
      <c r="E870" s="311"/>
      <c r="F870" s="311"/>
      <c r="G870" s="312"/>
      <c r="H870" s="312"/>
      <c r="I870" s="313"/>
      <c r="J870" s="431"/>
      <c r="K870" s="313"/>
      <c r="L870" s="313"/>
      <c r="M870" s="313"/>
      <c r="N870" s="315"/>
      <c r="O870" s="313"/>
      <c r="P870" s="313"/>
      <c r="Q870" s="432"/>
      <c r="R870" s="313"/>
      <c r="S870" s="313"/>
      <c r="T870" s="317"/>
      <c r="U870" s="433"/>
      <c r="V870" s="288"/>
      <c r="W870" s="220"/>
      <c r="X870" s="220"/>
      <c r="Y870" s="220"/>
      <c r="Z870" s="220"/>
      <c r="AA870" s="220"/>
      <c r="AB870" s="220"/>
      <c r="AC870" s="220"/>
      <c r="AD870" s="220"/>
      <c r="AE870" s="220"/>
      <c r="AF870" s="220"/>
      <c r="AG870" s="308"/>
      <c r="AH870" s="220"/>
      <c r="AI870" s="220"/>
      <c r="AJ870" s="220"/>
      <c r="AK870" s="220"/>
      <c r="AL870" s="220"/>
      <c r="AM870" s="220"/>
    </row>
    <row r="871">
      <c r="A871" s="430"/>
      <c r="B871" s="311"/>
      <c r="C871" s="311"/>
      <c r="D871" s="312"/>
      <c r="E871" s="311"/>
      <c r="F871" s="311"/>
      <c r="G871" s="312"/>
      <c r="H871" s="312"/>
      <c r="I871" s="313"/>
      <c r="J871" s="431"/>
      <c r="K871" s="313"/>
      <c r="L871" s="313"/>
      <c r="M871" s="313"/>
      <c r="N871" s="315"/>
      <c r="O871" s="313"/>
      <c r="P871" s="313"/>
      <c r="Q871" s="432"/>
      <c r="R871" s="313"/>
      <c r="S871" s="313"/>
      <c r="T871" s="317"/>
      <c r="U871" s="433"/>
      <c r="V871" s="288"/>
      <c r="W871" s="220"/>
      <c r="X871" s="220"/>
      <c r="Y871" s="220"/>
      <c r="Z871" s="220"/>
      <c r="AA871" s="220"/>
      <c r="AB871" s="220"/>
      <c r="AC871" s="220"/>
      <c r="AD871" s="220"/>
      <c r="AE871" s="220"/>
      <c r="AF871" s="220"/>
      <c r="AG871" s="308"/>
      <c r="AH871" s="220"/>
      <c r="AI871" s="220"/>
      <c r="AJ871" s="220"/>
      <c r="AK871" s="220"/>
      <c r="AL871" s="220"/>
      <c r="AM871" s="220"/>
    </row>
    <row r="872">
      <c r="A872" s="430"/>
      <c r="B872" s="311"/>
      <c r="C872" s="311"/>
      <c r="D872" s="312"/>
      <c r="E872" s="311"/>
      <c r="F872" s="311"/>
      <c r="G872" s="312"/>
      <c r="H872" s="312"/>
      <c r="I872" s="313"/>
      <c r="J872" s="431"/>
      <c r="K872" s="313"/>
      <c r="L872" s="313"/>
      <c r="M872" s="313"/>
      <c r="N872" s="315"/>
      <c r="O872" s="313"/>
      <c r="P872" s="313"/>
      <c r="Q872" s="432"/>
      <c r="R872" s="313"/>
      <c r="S872" s="313"/>
      <c r="T872" s="317"/>
      <c r="U872" s="433"/>
      <c r="V872" s="288"/>
      <c r="W872" s="220"/>
      <c r="X872" s="220"/>
      <c r="Y872" s="220"/>
      <c r="Z872" s="220"/>
      <c r="AA872" s="220"/>
      <c r="AB872" s="220"/>
      <c r="AC872" s="220"/>
      <c r="AD872" s="220"/>
      <c r="AE872" s="220"/>
      <c r="AF872" s="220"/>
      <c r="AG872" s="308"/>
      <c r="AH872" s="220"/>
      <c r="AI872" s="220"/>
      <c r="AJ872" s="220"/>
      <c r="AK872" s="220"/>
      <c r="AL872" s="220"/>
      <c r="AM872" s="220"/>
    </row>
    <row r="873">
      <c r="A873" s="430"/>
      <c r="B873" s="311"/>
      <c r="C873" s="311"/>
      <c r="D873" s="312"/>
      <c r="E873" s="311"/>
      <c r="F873" s="311"/>
      <c r="G873" s="312"/>
      <c r="H873" s="312"/>
      <c r="I873" s="313"/>
      <c r="J873" s="431"/>
      <c r="K873" s="313"/>
      <c r="L873" s="313"/>
      <c r="M873" s="313"/>
      <c r="N873" s="315"/>
      <c r="O873" s="313"/>
      <c r="P873" s="313"/>
      <c r="Q873" s="432"/>
      <c r="R873" s="313"/>
      <c r="S873" s="313"/>
      <c r="T873" s="317"/>
      <c r="U873" s="433"/>
      <c r="V873" s="288"/>
      <c r="W873" s="220"/>
      <c r="X873" s="220"/>
      <c r="Y873" s="220"/>
      <c r="Z873" s="220"/>
      <c r="AA873" s="220"/>
      <c r="AB873" s="220"/>
      <c r="AC873" s="220"/>
      <c r="AD873" s="220"/>
      <c r="AE873" s="220"/>
      <c r="AF873" s="220"/>
      <c r="AG873" s="308"/>
      <c r="AH873" s="220"/>
      <c r="AI873" s="220"/>
      <c r="AJ873" s="220"/>
      <c r="AK873" s="220"/>
      <c r="AL873" s="220"/>
      <c r="AM873" s="220"/>
    </row>
    <row r="874">
      <c r="A874" s="430"/>
      <c r="B874" s="311"/>
      <c r="C874" s="311"/>
      <c r="D874" s="312"/>
      <c r="E874" s="311"/>
      <c r="F874" s="311"/>
      <c r="G874" s="312"/>
      <c r="H874" s="312"/>
      <c r="I874" s="313"/>
      <c r="J874" s="431"/>
      <c r="K874" s="313"/>
      <c r="L874" s="313"/>
      <c r="M874" s="313"/>
      <c r="N874" s="315"/>
      <c r="O874" s="313"/>
      <c r="P874" s="313"/>
      <c r="Q874" s="432"/>
      <c r="R874" s="313"/>
      <c r="S874" s="313"/>
      <c r="T874" s="317"/>
      <c r="U874" s="433"/>
      <c r="V874" s="288"/>
      <c r="W874" s="220"/>
      <c r="X874" s="220"/>
      <c r="Y874" s="220"/>
      <c r="Z874" s="220"/>
      <c r="AA874" s="220"/>
      <c r="AB874" s="220"/>
      <c r="AC874" s="220"/>
      <c r="AD874" s="220"/>
      <c r="AE874" s="220"/>
      <c r="AF874" s="220"/>
      <c r="AG874" s="308"/>
      <c r="AH874" s="220"/>
      <c r="AI874" s="220"/>
      <c r="AJ874" s="220"/>
      <c r="AK874" s="220"/>
      <c r="AL874" s="220"/>
      <c r="AM874" s="220"/>
    </row>
    <row r="875">
      <c r="A875" s="430"/>
      <c r="B875" s="311"/>
      <c r="C875" s="311"/>
      <c r="D875" s="312"/>
      <c r="E875" s="311"/>
      <c r="F875" s="311"/>
      <c r="G875" s="312"/>
      <c r="H875" s="312"/>
      <c r="I875" s="313"/>
      <c r="J875" s="431"/>
      <c r="K875" s="313"/>
      <c r="L875" s="313"/>
      <c r="M875" s="313"/>
      <c r="N875" s="315"/>
      <c r="O875" s="313"/>
      <c r="P875" s="313"/>
      <c r="Q875" s="432"/>
      <c r="R875" s="313"/>
      <c r="S875" s="313"/>
      <c r="T875" s="317"/>
      <c r="U875" s="433"/>
      <c r="V875" s="288"/>
      <c r="W875" s="220"/>
      <c r="X875" s="220"/>
      <c r="Y875" s="220"/>
      <c r="Z875" s="220"/>
      <c r="AA875" s="220"/>
      <c r="AB875" s="220"/>
      <c r="AC875" s="220"/>
      <c r="AD875" s="220"/>
      <c r="AE875" s="220"/>
      <c r="AF875" s="220"/>
      <c r="AG875" s="308"/>
      <c r="AH875" s="220"/>
      <c r="AI875" s="220"/>
      <c r="AJ875" s="220"/>
      <c r="AK875" s="220"/>
      <c r="AL875" s="220"/>
      <c r="AM875" s="220"/>
    </row>
    <row r="876">
      <c r="A876" s="430"/>
      <c r="B876" s="311"/>
      <c r="C876" s="311"/>
      <c r="D876" s="312"/>
      <c r="E876" s="311"/>
      <c r="F876" s="311"/>
      <c r="G876" s="312"/>
      <c r="H876" s="312"/>
      <c r="I876" s="313"/>
      <c r="J876" s="431"/>
      <c r="K876" s="313"/>
      <c r="L876" s="313"/>
      <c r="M876" s="313"/>
      <c r="N876" s="315"/>
      <c r="O876" s="313"/>
      <c r="P876" s="313"/>
      <c r="Q876" s="432"/>
      <c r="R876" s="313"/>
      <c r="S876" s="313"/>
      <c r="T876" s="317"/>
      <c r="U876" s="433"/>
      <c r="V876" s="288"/>
      <c r="W876" s="220"/>
      <c r="X876" s="220"/>
      <c r="Y876" s="220"/>
      <c r="Z876" s="220"/>
      <c r="AA876" s="220"/>
      <c r="AB876" s="220"/>
      <c r="AC876" s="220"/>
      <c r="AD876" s="220"/>
      <c r="AE876" s="220"/>
      <c r="AF876" s="220"/>
      <c r="AG876" s="308"/>
      <c r="AH876" s="220"/>
      <c r="AI876" s="220"/>
      <c r="AJ876" s="220"/>
      <c r="AK876" s="220"/>
      <c r="AL876" s="220"/>
      <c r="AM876" s="220"/>
    </row>
    <row r="877">
      <c r="A877" s="430"/>
      <c r="B877" s="311"/>
      <c r="C877" s="311"/>
      <c r="D877" s="312"/>
      <c r="E877" s="311"/>
      <c r="F877" s="311"/>
      <c r="G877" s="312"/>
      <c r="H877" s="312"/>
      <c r="I877" s="313"/>
      <c r="J877" s="431"/>
      <c r="K877" s="313"/>
      <c r="L877" s="313"/>
      <c r="M877" s="313"/>
      <c r="N877" s="315"/>
      <c r="O877" s="313"/>
      <c r="P877" s="313"/>
      <c r="Q877" s="432"/>
      <c r="R877" s="313"/>
      <c r="S877" s="313"/>
      <c r="T877" s="317"/>
      <c r="U877" s="433"/>
      <c r="V877" s="288"/>
      <c r="W877" s="220"/>
      <c r="X877" s="220"/>
      <c r="Y877" s="220"/>
      <c r="Z877" s="220"/>
      <c r="AA877" s="220"/>
      <c r="AB877" s="220"/>
      <c r="AC877" s="220"/>
      <c r="AD877" s="220"/>
      <c r="AE877" s="220"/>
      <c r="AF877" s="220"/>
      <c r="AG877" s="308"/>
      <c r="AH877" s="220"/>
      <c r="AI877" s="220"/>
      <c r="AJ877" s="220"/>
      <c r="AK877" s="220"/>
      <c r="AL877" s="220"/>
      <c r="AM877" s="220"/>
    </row>
    <row r="878">
      <c r="A878" s="430"/>
      <c r="B878" s="311"/>
      <c r="C878" s="311"/>
      <c r="D878" s="312"/>
      <c r="E878" s="311"/>
      <c r="F878" s="311"/>
      <c r="G878" s="312"/>
      <c r="H878" s="312"/>
      <c r="I878" s="313"/>
      <c r="J878" s="431"/>
      <c r="K878" s="313"/>
      <c r="L878" s="313"/>
      <c r="M878" s="313"/>
      <c r="N878" s="315"/>
      <c r="O878" s="313"/>
      <c r="P878" s="313"/>
      <c r="Q878" s="432"/>
      <c r="R878" s="313"/>
      <c r="S878" s="313"/>
      <c r="T878" s="317"/>
      <c r="U878" s="433"/>
      <c r="V878" s="288"/>
      <c r="W878" s="220"/>
      <c r="X878" s="220"/>
      <c r="Y878" s="220"/>
      <c r="Z878" s="220"/>
      <c r="AA878" s="220"/>
      <c r="AB878" s="220"/>
      <c r="AC878" s="220"/>
      <c r="AD878" s="220"/>
      <c r="AE878" s="220"/>
      <c r="AF878" s="220"/>
      <c r="AG878" s="308"/>
      <c r="AH878" s="220"/>
      <c r="AI878" s="220"/>
      <c r="AJ878" s="220"/>
      <c r="AK878" s="220"/>
      <c r="AL878" s="220"/>
      <c r="AM878" s="220"/>
    </row>
    <row r="879">
      <c r="A879" s="430"/>
      <c r="B879" s="311"/>
      <c r="C879" s="311"/>
      <c r="D879" s="312"/>
      <c r="E879" s="311"/>
      <c r="F879" s="311"/>
      <c r="G879" s="312"/>
      <c r="H879" s="312"/>
      <c r="I879" s="313"/>
      <c r="J879" s="431"/>
      <c r="K879" s="313"/>
      <c r="L879" s="313"/>
      <c r="M879" s="313"/>
      <c r="N879" s="315"/>
      <c r="O879" s="313"/>
      <c r="P879" s="313"/>
      <c r="Q879" s="432"/>
      <c r="R879" s="313"/>
      <c r="S879" s="313"/>
      <c r="T879" s="317"/>
      <c r="U879" s="433"/>
      <c r="V879" s="288"/>
      <c r="W879" s="220"/>
      <c r="X879" s="220"/>
      <c r="Y879" s="220"/>
      <c r="Z879" s="220"/>
      <c r="AA879" s="220"/>
      <c r="AB879" s="220"/>
      <c r="AC879" s="220"/>
      <c r="AD879" s="220"/>
      <c r="AE879" s="220"/>
      <c r="AF879" s="220"/>
      <c r="AG879" s="308"/>
      <c r="AH879" s="220"/>
      <c r="AI879" s="220"/>
      <c r="AJ879" s="220"/>
      <c r="AK879" s="220"/>
      <c r="AL879" s="220"/>
      <c r="AM879" s="220"/>
    </row>
    <row r="880">
      <c r="A880" s="430"/>
      <c r="B880" s="311"/>
      <c r="C880" s="311"/>
      <c r="D880" s="312"/>
      <c r="E880" s="311"/>
      <c r="F880" s="311"/>
      <c r="G880" s="312"/>
      <c r="H880" s="312"/>
      <c r="I880" s="313"/>
      <c r="J880" s="431"/>
      <c r="K880" s="313"/>
      <c r="L880" s="313"/>
      <c r="M880" s="313"/>
      <c r="N880" s="315"/>
      <c r="O880" s="313"/>
      <c r="P880" s="313"/>
      <c r="Q880" s="432"/>
      <c r="R880" s="313"/>
      <c r="S880" s="313"/>
      <c r="T880" s="317"/>
      <c r="U880" s="433"/>
      <c r="V880" s="288"/>
      <c r="W880" s="220"/>
      <c r="X880" s="220"/>
      <c r="Y880" s="220"/>
      <c r="Z880" s="220"/>
      <c r="AA880" s="220"/>
      <c r="AB880" s="220"/>
      <c r="AC880" s="220"/>
      <c r="AD880" s="220"/>
      <c r="AE880" s="220"/>
      <c r="AF880" s="220"/>
      <c r="AG880" s="308"/>
      <c r="AH880" s="220"/>
      <c r="AI880" s="220"/>
      <c r="AJ880" s="220"/>
      <c r="AK880" s="220"/>
      <c r="AL880" s="220"/>
      <c r="AM880" s="220"/>
    </row>
    <row r="881">
      <c r="A881" s="430"/>
      <c r="B881" s="311"/>
      <c r="C881" s="311"/>
      <c r="D881" s="312"/>
      <c r="E881" s="311"/>
      <c r="F881" s="311"/>
      <c r="G881" s="312"/>
      <c r="H881" s="312"/>
      <c r="I881" s="313"/>
      <c r="J881" s="431"/>
      <c r="K881" s="313"/>
      <c r="L881" s="313"/>
      <c r="M881" s="313"/>
      <c r="N881" s="315"/>
      <c r="O881" s="313"/>
      <c r="P881" s="313"/>
      <c r="Q881" s="432"/>
      <c r="R881" s="313"/>
      <c r="S881" s="313"/>
      <c r="T881" s="317"/>
      <c r="U881" s="433"/>
      <c r="V881" s="288"/>
      <c r="W881" s="220"/>
      <c r="X881" s="220"/>
      <c r="Y881" s="220"/>
      <c r="Z881" s="220"/>
      <c r="AA881" s="220"/>
      <c r="AB881" s="220"/>
      <c r="AC881" s="220"/>
      <c r="AD881" s="220"/>
      <c r="AE881" s="220"/>
      <c r="AF881" s="220"/>
      <c r="AG881" s="308"/>
      <c r="AH881" s="220"/>
      <c r="AI881" s="220"/>
      <c r="AJ881" s="220"/>
      <c r="AK881" s="220"/>
      <c r="AL881" s="220"/>
      <c r="AM881" s="220"/>
    </row>
    <row r="882">
      <c r="A882" s="430"/>
      <c r="B882" s="311"/>
      <c r="C882" s="311"/>
      <c r="D882" s="312"/>
      <c r="E882" s="311"/>
      <c r="F882" s="311"/>
      <c r="G882" s="312"/>
      <c r="H882" s="312"/>
      <c r="I882" s="313"/>
      <c r="J882" s="431"/>
      <c r="K882" s="313"/>
      <c r="L882" s="313"/>
      <c r="M882" s="313"/>
      <c r="N882" s="315"/>
      <c r="O882" s="313"/>
      <c r="P882" s="313"/>
      <c r="Q882" s="432"/>
      <c r="R882" s="313"/>
      <c r="S882" s="313"/>
      <c r="T882" s="317"/>
      <c r="U882" s="433"/>
      <c r="V882" s="288"/>
      <c r="W882" s="220"/>
      <c r="X882" s="220"/>
      <c r="Y882" s="220"/>
      <c r="Z882" s="220"/>
      <c r="AA882" s="220"/>
      <c r="AB882" s="220"/>
      <c r="AC882" s="220"/>
      <c r="AD882" s="220"/>
      <c r="AE882" s="220"/>
      <c r="AF882" s="220"/>
      <c r="AG882" s="308"/>
      <c r="AH882" s="220"/>
      <c r="AI882" s="220"/>
      <c r="AJ882" s="220"/>
      <c r="AK882" s="220"/>
      <c r="AL882" s="220"/>
      <c r="AM882" s="220"/>
    </row>
    <row r="883">
      <c r="A883" s="430"/>
      <c r="B883" s="311"/>
      <c r="C883" s="311"/>
      <c r="D883" s="312"/>
      <c r="E883" s="311"/>
      <c r="F883" s="311"/>
      <c r="G883" s="312"/>
      <c r="H883" s="312"/>
      <c r="I883" s="313"/>
      <c r="J883" s="431"/>
      <c r="K883" s="313"/>
      <c r="L883" s="313"/>
      <c r="M883" s="313"/>
      <c r="N883" s="315"/>
      <c r="O883" s="313"/>
      <c r="P883" s="313"/>
      <c r="Q883" s="432"/>
      <c r="R883" s="313"/>
      <c r="S883" s="313"/>
      <c r="T883" s="317"/>
      <c r="U883" s="433"/>
      <c r="V883" s="288"/>
      <c r="W883" s="220"/>
      <c r="X883" s="220"/>
      <c r="Y883" s="220"/>
      <c r="Z883" s="220"/>
      <c r="AA883" s="220"/>
      <c r="AB883" s="220"/>
      <c r="AC883" s="220"/>
      <c r="AD883" s="220"/>
      <c r="AE883" s="220"/>
      <c r="AF883" s="220"/>
      <c r="AG883" s="308"/>
      <c r="AH883" s="220"/>
      <c r="AI883" s="220"/>
      <c r="AJ883" s="220"/>
      <c r="AK883" s="220"/>
      <c r="AL883" s="220"/>
      <c r="AM883" s="220"/>
    </row>
    <row r="884">
      <c r="A884" s="430"/>
      <c r="B884" s="311"/>
      <c r="C884" s="311"/>
      <c r="D884" s="312"/>
      <c r="E884" s="311"/>
      <c r="F884" s="311"/>
      <c r="G884" s="312"/>
      <c r="H884" s="312"/>
      <c r="I884" s="313"/>
      <c r="J884" s="431"/>
      <c r="K884" s="313"/>
      <c r="L884" s="313"/>
      <c r="M884" s="313"/>
      <c r="N884" s="315"/>
      <c r="O884" s="313"/>
      <c r="P884" s="313"/>
      <c r="Q884" s="432"/>
      <c r="R884" s="313"/>
      <c r="S884" s="313"/>
      <c r="T884" s="317"/>
      <c r="U884" s="433"/>
      <c r="V884" s="288"/>
      <c r="W884" s="220"/>
      <c r="X884" s="220"/>
      <c r="Y884" s="220"/>
      <c r="Z884" s="220"/>
      <c r="AA884" s="220"/>
      <c r="AB884" s="220"/>
      <c r="AC884" s="220"/>
      <c r="AD884" s="220"/>
      <c r="AE884" s="220"/>
      <c r="AF884" s="220"/>
      <c r="AG884" s="308"/>
      <c r="AH884" s="220"/>
      <c r="AI884" s="220"/>
      <c r="AJ884" s="220"/>
      <c r="AK884" s="220"/>
      <c r="AL884" s="220"/>
      <c r="AM884" s="220"/>
    </row>
    <row r="885">
      <c r="A885" s="430"/>
      <c r="B885" s="311"/>
      <c r="C885" s="311"/>
      <c r="D885" s="312"/>
      <c r="E885" s="311"/>
      <c r="F885" s="311"/>
      <c r="G885" s="312"/>
      <c r="H885" s="312"/>
      <c r="I885" s="313"/>
      <c r="J885" s="431"/>
      <c r="K885" s="313"/>
      <c r="L885" s="313"/>
      <c r="M885" s="313"/>
      <c r="N885" s="315"/>
      <c r="O885" s="313"/>
      <c r="P885" s="313"/>
      <c r="Q885" s="432"/>
      <c r="R885" s="313"/>
      <c r="S885" s="313"/>
      <c r="T885" s="317"/>
      <c r="U885" s="433"/>
      <c r="V885" s="288"/>
      <c r="W885" s="220"/>
      <c r="X885" s="220"/>
      <c r="Y885" s="220"/>
      <c r="Z885" s="220"/>
      <c r="AA885" s="220"/>
      <c r="AB885" s="220"/>
      <c r="AC885" s="220"/>
      <c r="AD885" s="220"/>
      <c r="AE885" s="220"/>
      <c r="AF885" s="220"/>
      <c r="AG885" s="308"/>
      <c r="AH885" s="220"/>
      <c r="AI885" s="220"/>
      <c r="AJ885" s="220"/>
      <c r="AK885" s="220"/>
      <c r="AL885" s="220"/>
      <c r="AM885" s="220"/>
    </row>
    <row r="886">
      <c r="A886" s="430"/>
      <c r="B886" s="311"/>
      <c r="C886" s="311"/>
      <c r="D886" s="312"/>
      <c r="E886" s="311"/>
      <c r="F886" s="311"/>
      <c r="G886" s="312"/>
      <c r="H886" s="312"/>
      <c r="I886" s="313"/>
      <c r="J886" s="431"/>
      <c r="K886" s="313"/>
      <c r="L886" s="313"/>
      <c r="M886" s="313"/>
      <c r="N886" s="315"/>
      <c r="O886" s="313"/>
      <c r="P886" s="313"/>
      <c r="Q886" s="432"/>
      <c r="R886" s="313"/>
      <c r="S886" s="313"/>
      <c r="T886" s="317"/>
      <c r="U886" s="433"/>
      <c r="V886" s="288"/>
      <c r="W886" s="220"/>
      <c r="X886" s="220"/>
      <c r="Y886" s="220"/>
      <c r="Z886" s="220"/>
      <c r="AA886" s="220"/>
      <c r="AB886" s="220"/>
      <c r="AC886" s="220"/>
      <c r="AD886" s="220"/>
      <c r="AE886" s="220"/>
      <c r="AF886" s="220"/>
      <c r="AG886" s="308"/>
      <c r="AH886" s="220"/>
      <c r="AI886" s="220"/>
      <c r="AJ886" s="220"/>
      <c r="AK886" s="220"/>
      <c r="AL886" s="220"/>
      <c r="AM886" s="220"/>
    </row>
    <row r="887">
      <c r="A887" s="430"/>
      <c r="B887" s="311"/>
      <c r="C887" s="311"/>
      <c r="D887" s="312"/>
      <c r="E887" s="311"/>
      <c r="F887" s="311"/>
      <c r="G887" s="312"/>
      <c r="H887" s="312"/>
      <c r="I887" s="313"/>
      <c r="J887" s="431"/>
      <c r="K887" s="313"/>
      <c r="L887" s="313"/>
      <c r="M887" s="313"/>
      <c r="N887" s="315"/>
      <c r="O887" s="313"/>
      <c r="P887" s="313"/>
      <c r="Q887" s="432"/>
      <c r="R887" s="313"/>
      <c r="S887" s="313"/>
      <c r="T887" s="317"/>
      <c r="U887" s="433"/>
      <c r="V887" s="288"/>
      <c r="W887" s="220"/>
      <c r="X887" s="220"/>
      <c r="Y887" s="220"/>
      <c r="Z887" s="220"/>
      <c r="AA887" s="220"/>
      <c r="AB887" s="220"/>
      <c r="AC887" s="220"/>
      <c r="AD887" s="220"/>
      <c r="AE887" s="220"/>
      <c r="AF887" s="220"/>
      <c r="AG887" s="308"/>
      <c r="AH887" s="220"/>
      <c r="AI887" s="220"/>
      <c r="AJ887" s="220"/>
      <c r="AK887" s="220"/>
      <c r="AL887" s="220"/>
      <c r="AM887" s="220"/>
    </row>
    <row r="888">
      <c r="A888" s="430"/>
      <c r="B888" s="311"/>
      <c r="C888" s="311"/>
      <c r="D888" s="312"/>
      <c r="E888" s="311"/>
      <c r="F888" s="311"/>
      <c r="G888" s="312"/>
      <c r="H888" s="312"/>
      <c r="I888" s="313"/>
      <c r="J888" s="431"/>
      <c r="K888" s="313"/>
      <c r="L888" s="313"/>
      <c r="M888" s="313"/>
      <c r="N888" s="315"/>
      <c r="O888" s="313"/>
      <c r="P888" s="313"/>
      <c r="Q888" s="432"/>
      <c r="R888" s="313"/>
      <c r="S888" s="313"/>
      <c r="T888" s="317"/>
      <c r="U888" s="433"/>
      <c r="V888" s="288"/>
      <c r="W888" s="220"/>
      <c r="X888" s="220"/>
      <c r="Y888" s="220"/>
      <c r="Z888" s="220"/>
      <c r="AA888" s="220"/>
      <c r="AB888" s="220"/>
      <c r="AC888" s="220"/>
      <c r="AD888" s="220"/>
      <c r="AE888" s="220"/>
      <c r="AF888" s="220"/>
      <c r="AG888" s="308"/>
      <c r="AH888" s="220"/>
      <c r="AI888" s="220"/>
      <c r="AJ888" s="220"/>
      <c r="AK888" s="220"/>
      <c r="AL888" s="220"/>
      <c r="AM888" s="220"/>
    </row>
    <row r="889">
      <c r="A889" s="430"/>
      <c r="B889" s="311"/>
      <c r="C889" s="311"/>
      <c r="D889" s="312"/>
      <c r="E889" s="311"/>
      <c r="F889" s="311"/>
      <c r="G889" s="312"/>
      <c r="H889" s="312"/>
      <c r="I889" s="313"/>
      <c r="J889" s="431"/>
      <c r="K889" s="313"/>
      <c r="L889" s="313"/>
      <c r="M889" s="313"/>
      <c r="N889" s="315"/>
      <c r="O889" s="313"/>
      <c r="P889" s="313"/>
      <c r="Q889" s="432"/>
      <c r="R889" s="313"/>
      <c r="S889" s="313"/>
      <c r="T889" s="317"/>
      <c r="U889" s="433"/>
      <c r="V889" s="288"/>
      <c r="W889" s="220"/>
      <c r="X889" s="220"/>
      <c r="Y889" s="220"/>
      <c r="Z889" s="220"/>
      <c r="AA889" s="220"/>
      <c r="AB889" s="220"/>
      <c r="AC889" s="220"/>
      <c r="AD889" s="220"/>
      <c r="AE889" s="220"/>
      <c r="AF889" s="220"/>
      <c r="AG889" s="308"/>
      <c r="AH889" s="220"/>
      <c r="AI889" s="220"/>
      <c r="AJ889" s="220"/>
      <c r="AK889" s="220"/>
      <c r="AL889" s="220"/>
      <c r="AM889" s="220"/>
    </row>
    <row r="890">
      <c r="A890" s="430"/>
      <c r="B890" s="311"/>
      <c r="C890" s="311"/>
      <c r="D890" s="312"/>
      <c r="E890" s="311"/>
      <c r="F890" s="311"/>
      <c r="G890" s="312"/>
      <c r="H890" s="312"/>
      <c r="I890" s="313"/>
      <c r="J890" s="431"/>
      <c r="K890" s="313"/>
      <c r="L890" s="313"/>
      <c r="M890" s="313"/>
      <c r="N890" s="315"/>
      <c r="O890" s="313"/>
      <c r="P890" s="313"/>
      <c r="Q890" s="432"/>
      <c r="R890" s="313"/>
      <c r="S890" s="313"/>
      <c r="T890" s="317"/>
      <c r="U890" s="433"/>
      <c r="V890" s="288"/>
      <c r="W890" s="220"/>
      <c r="X890" s="220"/>
      <c r="Y890" s="220"/>
      <c r="Z890" s="220"/>
      <c r="AA890" s="220"/>
      <c r="AB890" s="220"/>
      <c r="AC890" s="220"/>
      <c r="AD890" s="220"/>
      <c r="AE890" s="220"/>
      <c r="AF890" s="220"/>
      <c r="AG890" s="308"/>
      <c r="AH890" s="220"/>
      <c r="AI890" s="220"/>
      <c r="AJ890" s="220"/>
      <c r="AK890" s="220"/>
      <c r="AL890" s="220"/>
      <c r="AM890" s="220"/>
    </row>
    <row r="891">
      <c r="A891" s="430"/>
      <c r="B891" s="311"/>
      <c r="C891" s="311"/>
      <c r="D891" s="312"/>
      <c r="E891" s="311"/>
      <c r="F891" s="311"/>
      <c r="G891" s="312"/>
      <c r="H891" s="312"/>
      <c r="I891" s="313"/>
      <c r="J891" s="431"/>
      <c r="K891" s="313"/>
      <c r="L891" s="313"/>
      <c r="M891" s="313"/>
      <c r="N891" s="315"/>
      <c r="O891" s="313"/>
      <c r="P891" s="313"/>
      <c r="Q891" s="432"/>
      <c r="R891" s="313"/>
      <c r="S891" s="313"/>
      <c r="T891" s="317"/>
      <c r="U891" s="433"/>
      <c r="V891" s="288"/>
      <c r="W891" s="220"/>
      <c r="X891" s="220"/>
      <c r="Y891" s="220"/>
      <c r="Z891" s="220"/>
      <c r="AA891" s="220"/>
      <c r="AB891" s="220"/>
      <c r="AC891" s="220"/>
      <c r="AD891" s="220"/>
      <c r="AE891" s="220"/>
      <c r="AF891" s="220"/>
      <c r="AG891" s="308"/>
      <c r="AH891" s="220"/>
      <c r="AI891" s="220"/>
      <c r="AJ891" s="220"/>
      <c r="AK891" s="220"/>
      <c r="AL891" s="220"/>
      <c r="AM891" s="220"/>
    </row>
    <row r="892">
      <c r="A892" s="430"/>
      <c r="B892" s="311"/>
      <c r="C892" s="311"/>
      <c r="D892" s="312"/>
      <c r="E892" s="311"/>
      <c r="F892" s="311"/>
      <c r="G892" s="312"/>
      <c r="H892" s="312"/>
      <c r="I892" s="313"/>
      <c r="J892" s="431"/>
      <c r="K892" s="313"/>
      <c r="L892" s="313"/>
      <c r="M892" s="313"/>
      <c r="N892" s="315"/>
      <c r="O892" s="313"/>
      <c r="P892" s="313"/>
      <c r="Q892" s="432"/>
      <c r="R892" s="313"/>
      <c r="S892" s="313"/>
      <c r="T892" s="317"/>
      <c r="U892" s="433"/>
      <c r="V892" s="288"/>
      <c r="W892" s="220"/>
      <c r="X892" s="220"/>
      <c r="Y892" s="220"/>
      <c r="Z892" s="220"/>
      <c r="AA892" s="220"/>
      <c r="AB892" s="220"/>
      <c r="AC892" s="220"/>
      <c r="AD892" s="220"/>
      <c r="AE892" s="220"/>
      <c r="AF892" s="220"/>
      <c r="AG892" s="308"/>
      <c r="AH892" s="220"/>
      <c r="AI892" s="220"/>
      <c r="AJ892" s="220"/>
      <c r="AK892" s="220"/>
      <c r="AL892" s="220"/>
      <c r="AM892" s="220"/>
    </row>
    <row r="893">
      <c r="A893" s="430"/>
      <c r="B893" s="311"/>
      <c r="C893" s="311"/>
      <c r="D893" s="312"/>
      <c r="E893" s="311"/>
      <c r="F893" s="311"/>
      <c r="G893" s="312"/>
      <c r="H893" s="312"/>
      <c r="I893" s="313"/>
      <c r="J893" s="431"/>
      <c r="K893" s="313"/>
      <c r="L893" s="313"/>
      <c r="M893" s="313"/>
      <c r="N893" s="315"/>
      <c r="O893" s="313"/>
      <c r="P893" s="313"/>
      <c r="Q893" s="432"/>
      <c r="R893" s="313"/>
      <c r="S893" s="313"/>
      <c r="T893" s="317"/>
      <c r="U893" s="433"/>
      <c r="V893" s="288"/>
      <c r="W893" s="220"/>
      <c r="X893" s="220"/>
      <c r="Y893" s="220"/>
      <c r="Z893" s="220"/>
      <c r="AA893" s="220"/>
      <c r="AB893" s="220"/>
      <c r="AC893" s="220"/>
      <c r="AD893" s="220"/>
      <c r="AE893" s="220"/>
      <c r="AF893" s="220"/>
      <c r="AG893" s="308"/>
      <c r="AH893" s="220"/>
      <c r="AI893" s="220"/>
      <c r="AJ893" s="220"/>
      <c r="AK893" s="220"/>
      <c r="AL893" s="220"/>
      <c r="AM893" s="220"/>
    </row>
    <row r="894">
      <c r="A894" s="430"/>
      <c r="B894" s="311"/>
      <c r="C894" s="311"/>
      <c r="D894" s="312"/>
      <c r="E894" s="311"/>
      <c r="F894" s="311"/>
      <c r="G894" s="312"/>
      <c r="H894" s="312"/>
      <c r="I894" s="313"/>
      <c r="J894" s="431"/>
      <c r="K894" s="313"/>
      <c r="L894" s="313"/>
      <c r="M894" s="313"/>
      <c r="N894" s="315"/>
      <c r="O894" s="313"/>
      <c r="P894" s="313"/>
      <c r="Q894" s="432"/>
      <c r="R894" s="313"/>
      <c r="S894" s="313"/>
      <c r="T894" s="317"/>
      <c r="U894" s="433"/>
      <c r="V894" s="288"/>
      <c r="W894" s="220"/>
      <c r="X894" s="220"/>
      <c r="Y894" s="220"/>
      <c r="Z894" s="220"/>
      <c r="AA894" s="220"/>
      <c r="AB894" s="220"/>
      <c r="AC894" s="220"/>
      <c r="AD894" s="220"/>
      <c r="AE894" s="220"/>
      <c r="AF894" s="220"/>
      <c r="AG894" s="308"/>
      <c r="AH894" s="220"/>
      <c r="AI894" s="220"/>
      <c r="AJ894" s="220"/>
      <c r="AK894" s="220"/>
      <c r="AL894" s="220"/>
      <c r="AM894" s="220"/>
    </row>
    <row r="895">
      <c r="A895" s="430"/>
      <c r="B895" s="311"/>
      <c r="C895" s="311"/>
      <c r="D895" s="312"/>
      <c r="E895" s="311"/>
      <c r="F895" s="311"/>
      <c r="G895" s="312"/>
      <c r="H895" s="312"/>
      <c r="I895" s="313"/>
      <c r="J895" s="431"/>
      <c r="K895" s="313"/>
      <c r="L895" s="313"/>
      <c r="M895" s="313"/>
      <c r="N895" s="315"/>
      <c r="O895" s="313"/>
      <c r="P895" s="313"/>
      <c r="Q895" s="432"/>
      <c r="R895" s="313"/>
      <c r="S895" s="313"/>
      <c r="T895" s="317"/>
      <c r="U895" s="433"/>
      <c r="V895" s="288"/>
      <c r="W895" s="220"/>
      <c r="X895" s="220"/>
      <c r="Y895" s="220"/>
      <c r="Z895" s="220"/>
      <c r="AA895" s="220"/>
      <c r="AB895" s="220"/>
      <c r="AC895" s="220"/>
      <c r="AD895" s="220"/>
      <c r="AE895" s="220"/>
      <c r="AF895" s="220"/>
      <c r="AG895" s="308"/>
      <c r="AH895" s="220"/>
      <c r="AI895" s="220"/>
      <c r="AJ895" s="220"/>
      <c r="AK895" s="220"/>
      <c r="AL895" s="220"/>
      <c r="AM895" s="220"/>
    </row>
    <row r="896">
      <c r="A896" s="430"/>
      <c r="B896" s="311"/>
      <c r="C896" s="311"/>
      <c r="D896" s="312"/>
      <c r="E896" s="311"/>
      <c r="F896" s="311"/>
      <c r="G896" s="312"/>
      <c r="H896" s="312"/>
      <c r="I896" s="313"/>
      <c r="J896" s="431"/>
      <c r="K896" s="313"/>
      <c r="L896" s="313"/>
      <c r="M896" s="313"/>
      <c r="N896" s="315"/>
      <c r="O896" s="313"/>
      <c r="P896" s="313"/>
      <c r="Q896" s="432"/>
      <c r="R896" s="313"/>
      <c r="S896" s="313"/>
      <c r="T896" s="317"/>
      <c r="U896" s="433"/>
      <c r="V896" s="288"/>
      <c r="W896" s="220"/>
      <c r="X896" s="220"/>
      <c r="Y896" s="220"/>
      <c r="Z896" s="220"/>
      <c r="AA896" s="220"/>
      <c r="AB896" s="220"/>
      <c r="AC896" s="220"/>
      <c r="AD896" s="220"/>
      <c r="AE896" s="220"/>
      <c r="AF896" s="220"/>
      <c r="AG896" s="308"/>
      <c r="AH896" s="220"/>
      <c r="AI896" s="220"/>
      <c r="AJ896" s="220"/>
      <c r="AK896" s="220"/>
      <c r="AL896" s="220"/>
      <c r="AM896" s="220"/>
    </row>
    <row r="897">
      <c r="A897" s="430"/>
      <c r="B897" s="311"/>
      <c r="C897" s="311"/>
      <c r="D897" s="312"/>
      <c r="E897" s="311"/>
      <c r="F897" s="311"/>
      <c r="G897" s="312"/>
      <c r="H897" s="312"/>
      <c r="I897" s="313"/>
      <c r="J897" s="431"/>
      <c r="K897" s="313"/>
      <c r="L897" s="313"/>
      <c r="M897" s="313"/>
      <c r="N897" s="315"/>
      <c r="O897" s="313"/>
      <c r="P897" s="313"/>
      <c r="Q897" s="432"/>
      <c r="R897" s="313"/>
      <c r="S897" s="313"/>
      <c r="T897" s="317"/>
      <c r="U897" s="433"/>
      <c r="V897" s="288"/>
      <c r="W897" s="220"/>
      <c r="X897" s="220"/>
      <c r="Y897" s="220"/>
      <c r="Z897" s="220"/>
      <c r="AA897" s="220"/>
      <c r="AB897" s="220"/>
      <c r="AC897" s="220"/>
      <c r="AD897" s="220"/>
      <c r="AE897" s="220"/>
      <c r="AF897" s="220"/>
      <c r="AG897" s="308"/>
      <c r="AH897" s="220"/>
      <c r="AI897" s="220"/>
      <c r="AJ897" s="220"/>
      <c r="AK897" s="220"/>
      <c r="AL897" s="220"/>
      <c r="AM897" s="220"/>
    </row>
    <row r="898">
      <c r="A898" s="430"/>
      <c r="B898" s="311"/>
      <c r="C898" s="311"/>
      <c r="D898" s="312"/>
      <c r="E898" s="311"/>
      <c r="F898" s="311"/>
      <c r="G898" s="312"/>
      <c r="H898" s="312"/>
      <c r="I898" s="313"/>
      <c r="J898" s="431"/>
      <c r="K898" s="313"/>
      <c r="L898" s="313"/>
      <c r="M898" s="313"/>
      <c r="N898" s="315"/>
      <c r="O898" s="313"/>
      <c r="P898" s="313"/>
      <c r="Q898" s="432"/>
      <c r="R898" s="313"/>
      <c r="S898" s="313"/>
      <c r="T898" s="317"/>
      <c r="U898" s="433"/>
      <c r="V898" s="288"/>
      <c r="W898" s="220"/>
      <c r="X898" s="220"/>
      <c r="Y898" s="220"/>
      <c r="Z898" s="220"/>
      <c r="AA898" s="220"/>
      <c r="AB898" s="220"/>
      <c r="AC898" s="220"/>
      <c r="AD898" s="220"/>
      <c r="AE898" s="220"/>
      <c r="AF898" s="220"/>
      <c r="AG898" s="308"/>
      <c r="AH898" s="220"/>
      <c r="AI898" s="220"/>
      <c r="AJ898" s="220"/>
      <c r="AK898" s="220"/>
      <c r="AL898" s="220"/>
      <c r="AM898" s="220"/>
    </row>
    <row r="899">
      <c r="A899" s="430"/>
      <c r="B899" s="311"/>
      <c r="C899" s="311"/>
      <c r="D899" s="312"/>
      <c r="E899" s="311"/>
      <c r="F899" s="311"/>
      <c r="G899" s="312"/>
      <c r="H899" s="312"/>
      <c r="I899" s="313"/>
      <c r="J899" s="431"/>
      <c r="K899" s="313"/>
      <c r="L899" s="313"/>
      <c r="M899" s="313"/>
      <c r="N899" s="315"/>
      <c r="O899" s="313"/>
      <c r="P899" s="313"/>
      <c r="Q899" s="432"/>
      <c r="R899" s="313"/>
      <c r="S899" s="313"/>
      <c r="T899" s="317"/>
      <c r="U899" s="433"/>
      <c r="V899" s="288"/>
      <c r="W899" s="220"/>
      <c r="X899" s="220"/>
      <c r="Y899" s="220"/>
      <c r="Z899" s="220"/>
      <c r="AA899" s="220"/>
      <c r="AB899" s="220"/>
      <c r="AC899" s="220"/>
      <c r="AD899" s="220"/>
      <c r="AE899" s="220"/>
      <c r="AF899" s="220"/>
      <c r="AG899" s="308"/>
      <c r="AH899" s="220"/>
      <c r="AI899" s="220"/>
      <c r="AJ899" s="220"/>
      <c r="AK899" s="220"/>
      <c r="AL899" s="220"/>
      <c r="AM899" s="220"/>
    </row>
    <row r="900">
      <c r="A900" s="430"/>
      <c r="B900" s="311"/>
      <c r="C900" s="311"/>
      <c r="D900" s="312"/>
      <c r="E900" s="311"/>
      <c r="F900" s="311"/>
      <c r="G900" s="312"/>
      <c r="H900" s="312"/>
      <c r="I900" s="313"/>
      <c r="J900" s="431"/>
      <c r="K900" s="313"/>
      <c r="L900" s="313"/>
      <c r="M900" s="313"/>
      <c r="N900" s="315"/>
      <c r="O900" s="313"/>
      <c r="P900" s="313"/>
      <c r="Q900" s="432"/>
      <c r="R900" s="313"/>
      <c r="S900" s="313"/>
      <c r="T900" s="317"/>
      <c r="U900" s="433"/>
      <c r="V900" s="288"/>
      <c r="W900" s="220"/>
      <c r="X900" s="220"/>
      <c r="Y900" s="220"/>
      <c r="Z900" s="220"/>
      <c r="AA900" s="220"/>
      <c r="AB900" s="220"/>
      <c r="AC900" s="220"/>
      <c r="AD900" s="220"/>
      <c r="AE900" s="220"/>
      <c r="AF900" s="220"/>
      <c r="AG900" s="308"/>
      <c r="AH900" s="220"/>
      <c r="AI900" s="220"/>
      <c r="AJ900" s="220"/>
      <c r="AK900" s="220"/>
      <c r="AL900" s="220"/>
      <c r="AM900" s="220"/>
    </row>
    <row r="901">
      <c r="A901" s="430"/>
      <c r="B901" s="311"/>
      <c r="C901" s="311"/>
      <c r="D901" s="312"/>
      <c r="E901" s="311"/>
      <c r="F901" s="311"/>
      <c r="G901" s="312"/>
      <c r="H901" s="312"/>
      <c r="I901" s="313"/>
      <c r="J901" s="431"/>
      <c r="K901" s="313"/>
      <c r="L901" s="313"/>
      <c r="M901" s="313"/>
      <c r="N901" s="315"/>
      <c r="O901" s="313"/>
      <c r="P901" s="313"/>
      <c r="Q901" s="432"/>
      <c r="R901" s="313"/>
      <c r="S901" s="313"/>
      <c r="T901" s="317"/>
      <c r="U901" s="433"/>
      <c r="V901" s="288"/>
      <c r="W901" s="220"/>
      <c r="X901" s="220"/>
      <c r="Y901" s="220"/>
      <c r="Z901" s="220"/>
      <c r="AA901" s="220"/>
      <c r="AB901" s="220"/>
      <c r="AC901" s="220"/>
      <c r="AD901" s="220"/>
      <c r="AE901" s="220"/>
      <c r="AF901" s="220"/>
      <c r="AG901" s="308"/>
      <c r="AH901" s="220"/>
      <c r="AI901" s="220"/>
      <c r="AJ901" s="220"/>
      <c r="AK901" s="220"/>
      <c r="AL901" s="220"/>
      <c r="AM901" s="220"/>
    </row>
    <row r="902">
      <c r="A902" s="430"/>
      <c r="B902" s="311"/>
      <c r="C902" s="311"/>
      <c r="D902" s="312"/>
      <c r="E902" s="311"/>
      <c r="F902" s="311"/>
      <c r="G902" s="312"/>
      <c r="H902" s="312"/>
      <c r="I902" s="313"/>
      <c r="J902" s="431"/>
      <c r="K902" s="313"/>
      <c r="L902" s="313"/>
      <c r="M902" s="313"/>
      <c r="N902" s="315"/>
      <c r="O902" s="313"/>
      <c r="P902" s="313"/>
      <c r="Q902" s="432"/>
      <c r="R902" s="313"/>
      <c r="S902" s="313"/>
      <c r="T902" s="317"/>
      <c r="U902" s="433"/>
      <c r="V902" s="288"/>
      <c r="W902" s="220"/>
      <c r="X902" s="220"/>
      <c r="Y902" s="220"/>
      <c r="Z902" s="220"/>
      <c r="AA902" s="220"/>
      <c r="AB902" s="220"/>
      <c r="AC902" s="220"/>
      <c r="AD902" s="220"/>
      <c r="AE902" s="220"/>
      <c r="AF902" s="220"/>
      <c r="AG902" s="308"/>
      <c r="AH902" s="220"/>
      <c r="AI902" s="220"/>
      <c r="AJ902" s="220"/>
      <c r="AK902" s="220"/>
      <c r="AL902" s="220"/>
      <c r="AM902" s="220"/>
    </row>
    <row r="903">
      <c r="A903" s="430"/>
      <c r="B903" s="311"/>
      <c r="C903" s="311"/>
      <c r="D903" s="312"/>
      <c r="E903" s="311"/>
      <c r="F903" s="311"/>
      <c r="G903" s="312"/>
      <c r="H903" s="312"/>
      <c r="I903" s="313"/>
      <c r="J903" s="431"/>
      <c r="K903" s="313"/>
      <c r="L903" s="313"/>
      <c r="M903" s="313"/>
      <c r="N903" s="315"/>
      <c r="O903" s="313"/>
      <c r="P903" s="313"/>
      <c r="Q903" s="432"/>
      <c r="R903" s="313"/>
      <c r="S903" s="313"/>
      <c r="T903" s="317"/>
      <c r="U903" s="433"/>
      <c r="V903" s="288"/>
      <c r="W903" s="220"/>
      <c r="X903" s="220"/>
      <c r="Y903" s="220"/>
      <c r="Z903" s="220"/>
      <c r="AA903" s="220"/>
      <c r="AB903" s="220"/>
      <c r="AC903" s="220"/>
      <c r="AD903" s="220"/>
      <c r="AE903" s="220"/>
      <c r="AF903" s="220"/>
      <c r="AG903" s="308"/>
      <c r="AH903" s="220"/>
      <c r="AI903" s="220"/>
      <c r="AJ903" s="220"/>
      <c r="AK903" s="220"/>
      <c r="AL903" s="220"/>
      <c r="AM903" s="220"/>
    </row>
    <row r="904">
      <c r="A904" s="430"/>
      <c r="B904" s="311"/>
      <c r="C904" s="311"/>
      <c r="D904" s="312"/>
      <c r="E904" s="311"/>
      <c r="F904" s="311"/>
      <c r="G904" s="312"/>
      <c r="H904" s="312"/>
      <c r="I904" s="313"/>
      <c r="J904" s="431"/>
      <c r="K904" s="313"/>
      <c r="L904" s="313"/>
      <c r="M904" s="313"/>
      <c r="N904" s="315"/>
      <c r="O904" s="313"/>
      <c r="P904" s="313"/>
      <c r="Q904" s="432"/>
      <c r="R904" s="313"/>
      <c r="S904" s="313"/>
      <c r="T904" s="317"/>
      <c r="U904" s="433"/>
      <c r="V904" s="288"/>
      <c r="W904" s="220"/>
      <c r="X904" s="220"/>
      <c r="Y904" s="220"/>
      <c r="Z904" s="220"/>
      <c r="AA904" s="220"/>
      <c r="AB904" s="220"/>
      <c r="AC904" s="220"/>
      <c r="AD904" s="220"/>
      <c r="AE904" s="220"/>
      <c r="AF904" s="220"/>
      <c r="AG904" s="308"/>
      <c r="AH904" s="220"/>
      <c r="AI904" s="220"/>
      <c r="AJ904" s="220"/>
      <c r="AK904" s="220"/>
      <c r="AL904" s="220"/>
      <c r="AM904" s="220"/>
    </row>
    <row r="905">
      <c r="A905" s="430"/>
      <c r="B905" s="311"/>
      <c r="C905" s="311"/>
      <c r="D905" s="312"/>
      <c r="E905" s="311"/>
      <c r="F905" s="311"/>
      <c r="G905" s="312"/>
      <c r="H905" s="312"/>
      <c r="I905" s="313"/>
      <c r="J905" s="431"/>
      <c r="K905" s="313"/>
      <c r="L905" s="313"/>
      <c r="M905" s="313"/>
      <c r="N905" s="315"/>
      <c r="O905" s="313"/>
      <c r="P905" s="313"/>
      <c r="Q905" s="432"/>
      <c r="R905" s="313"/>
      <c r="S905" s="313"/>
      <c r="T905" s="317"/>
      <c r="U905" s="433"/>
      <c r="V905" s="288"/>
      <c r="W905" s="220"/>
      <c r="X905" s="220"/>
      <c r="Y905" s="220"/>
      <c r="Z905" s="220"/>
      <c r="AA905" s="220"/>
      <c r="AB905" s="220"/>
      <c r="AC905" s="220"/>
      <c r="AD905" s="220"/>
      <c r="AE905" s="220"/>
      <c r="AF905" s="220"/>
      <c r="AG905" s="308"/>
      <c r="AH905" s="220"/>
      <c r="AI905" s="220"/>
      <c r="AJ905" s="220"/>
      <c r="AK905" s="220"/>
      <c r="AL905" s="220"/>
      <c r="AM905" s="220"/>
    </row>
    <row r="906">
      <c r="A906" s="430"/>
      <c r="B906" s="311"/>
      <c r="C906" s="311"/>
      <c r="D906" s="312"/>
      <c r="E906" s="311"/>
      <c r="F906" s="311"/>
      <c r="G906" s="312"/>
      <c r="H906" s="312"/>
      <c r="I906" s="313"/>
      <c r="J906" s="431"/>
      <c r="K906" s="313"/>
      <c r="L906" s="313"/>
      <c r="M906" s="313"/>
      <c r="N906" s="315"/>
      <c r="O906" s="313"/>
      <c r="P906" s="313"/>
      <c r="Q906" s="432"/>
      <c r="R906" s="313"/>
      <c r="S906" s="313"/>
      <c r="T906" s="317"/>
      <c r="U906" s="433"/>
      <c r="V906" s="288"/>
      <c r="W906" s="220"/>
      <c r="X906" s="220"/>
      <c r="Y906" s="220"/>
      <c r="Z906" s="220"/>
      <c r="AA906" s="220"/>
      <c r="AB906" s="220"/>
      <c r="AC906" s="220"/>
      <c r="AD906" s="220"/>
      <c r="AE906" s="220"/>
      <c r="AF906" s="220"/>
      <c r="AG906" s="308"/>
      <c r="AH906" s="220"/>
      <c r="AI906" s="220"/>
      <c r="AJ906" s="220"/>
      <c r="AK906" s="220"/>
      <c r="AL906" s="220"/>
      <c r="AM906" s="220"/>
    </row>
    <row r="907">
      <c r="A907" s="430"/>
      <c r="B907" s="311"/>
      <c r="C907" s="311"/>
      <c r="D907" s="312"/>
      <c r="E907" s="311"/>
      <c r="F907" s="311"/>
      <c r="G907" s="312"/>
      <c r="H907" s="312"/>
      <c r="I907" s="313"/>
      <c r="J907" s="431"/>
      <c r="K907" s="313"/>
      <c r="L907" s="313"/>
      <c r="M907" s="313"/>
      <c r="N907" s="315"/>
      <c r="O907" s="313"/>
      <c r="P907" s="313"/>
      <c r="Q907" s="432"/>
      <c r="R907" s="313"/>
      <c r="S907" s="313"/>
      <c r="T907" s="317"/>
      <c r="U907" s="433"/>
      <c r="V907" s="288"/>
      <c r="W907" s="220"/>
      <c r="X907" s="220"/>
      <c r="Y907" s="220"/>
      <c r="Z907" s="220"/>
      <c r="AA907" s="220"/>
      <c r="AB907" s="220"/>
      <c r="AC907" s="220"/>
      <c r="AD907" s="220"/>
      <c r="AE907" s="220"/>
      <c r="AF907" s="220"/>
      <c r="AG907" s="308"/>
      <c r="AH907" s="220"/>
      <c r="AI907" s="220"/>
      <c r="AJ907" s="220"/>
      <c r="AK907" s="220"/>
      <c r="AL907" s="220"/>
      <c r="AM907" s="220"/>
    </row>
    <row r="908">
      <c r="A908" s="430"/>
      <c r="B908" s="311"/>
      <c r="C908" s="311"/>
      <c r="D908" s="312"/>
      <c r="E908" s="311"/>
      <c r="F908" s="311"/>
      <c r="G908" s="312"/>
      <c r="H908" s="312"/>
      <c r="I908" s="313"/>
      <c r="J908" s="431"/>
      <c r="K908" s="313"/>
      <c r="L908" s="313"/>
      <c r="M908" s="313"/>
      <c r="N908" s="315"/>
      <c r="O908" s="313"/>
      <c r="P908" s="313"/>
      <c r="Q908" s="432"/>
      <c r="R908" s="313"/>
      <c r="S908" s="313"/>
      <c r="T908" s="317"/>
      <c r="U908" s="433"/>
      <c r="V908" s="288"/>
      <c r="W908" s="220"/>
      <c r="X908" s="220"/>
      <c r="Y908" s="220"/>
      <c r="Z908" s="220"/>
      <c r="AA908" s="220"/>
      <c r="AB908" s="220"/>
      <c r="AC908" s="220"/>
      <c r="AD908" s="220"/>
      <c r="AE908" s="220"/>
      <c r="AF908" s="220"/>
      <c r="AG908" s="308"/>
      <c r="AH908" s="220"/>
      <c r="AI908" s="220"/>
      <c r="AJ908" s="220"/>
      <c r="AK908" s="220"/>
      <c r="AL908" s="220"/>
      <c r="AM908" s="220"/>
    </row>
    <row r="909">
      <c r="A909" s="430"/>
      <c r="B909" s="311"/>
      <c r="C909" s="311"/>
      <c r="D909" s="312"/>
      <c r="E909" s="311"/>
      <c r="F909" s="311"/>
      <c r="G909" s="312"/>
      <c r="H909" s="312"/>
      <c r="I909" s="313"/>
      <c r="J909" s="431"/>
      <c r="K909" s="313"/>
      <c r="L909" s="313"/>
      <c r="M909" s="313"/>
      <c r="N909" s="315"/>
      <c r="O909" s="313"/>
      <c r="P909" s="313"/>
      <c r="Q909" s="432"/>
      <c r="R909" s="313"/>
      <c r="S909" s="313"/>
      <c r="T909" s="317"/>
      <c r="U909" s="433"/>
      <c r="V909" s="288"/>
      <c r="W909" s="220"/>
      <c r="X909" s="220"/>
      <c r="Y909" s="220"/>
      <c r="Z909" s="220"/>
      <c r="AA909" s="220"/>
      <c r="AB909" s="220"/>
      <c r="AC909" s="220"/>
      <c r="AD909" s="220"/>
      <c r="AE909" s="220"/>
      <c r="AF909" s="220"/>
      <c r="AG909" s="308"/>
      <c r="AH909" s="220"/>
      <c r="AI909" s="220"/>
      <c r="AJ909" s="220"/>
      <c r="AK909" s="220"/>
      <c r="AL909" s="220"/>
      <c r="AM909" s="220"/>
    </row>
    <row r="910">
      <c r="A910" s="430"/>
      <c r="B910" s="311"/>
      <c r="C910" s="311"/>
      <c r="D910" s="312"/>
      <c r="E910" s="311"/>
      <c r="F910" s="311"/>
      <c r="G910" s="312"/>
      <c r="H910" s="312"/>
      <c r="I910" s="313"/>
      <c r="J910" s="431"/>
      <c r="K910" s="313"/>
      <c r="L910" s="313"/>
      <c r="M910" s="313"/>
      <c r="N910" s="315"/>
      <c r="O910" s="313"/>
      <c r="P910" s="313"/>
      <c r="Q910" s="432"/>
      <c r="R910" s="313"/>
      <c r="S910" s="313"/>
      <c r="T910" s="317"/>
      <c r="U910" s="433"/>
      <c r="V910" s="288"/>
      <c r="W910" s="220"/>
      <c r="X910" s="220"/>
      <c r="Y910" s="220"/>
      <c r="Z910" s="220"/>
      <c r="AA910" s="220"/>
      <c r="AB910" s="220"/>
      <c r="AC910" s="220"/>
      <c r="AD910" s="220"/>
      <c r="AE910" s="220"/>
      <c r="AF910" s="220"/>
      <c r="AG910" s="308"/>
      <c r="AH910" s="220"/>
      <c r="AI910" s="220"/>
      <c r="AJ910" s="220"/>
      <c r="AK910" s="220"/>
      <c r="AL910" s="220"/>
      <c r="AM910" s="220"/>
    </row>
    <row r="911">
      <c r="A911" s="430"/>
      <c r="B911" s="311"/>
      <c r="C911" s="311"/>
      <c r="D911" s="312"/>
      <c r="E911" s="311"/>
      <c r="F911" s="311"/>
      <c r="G911" s="312"/>
      <c r="H911" s="312"/>
      <c r="I911" s="313"/>
      <c r="J911" s="431"/>
      <c r="K911" s="313"/>
      <c r="L911" s="313"/>
      <c r="M911" s="313"/>
      <c r="N911" s="315"/>
      <c r="O911" s="313"/>
      <c r="P911" s="313"/>
      <c r="Q911" s="432"/>
      <c r="R911" s="313"/>
      <c r="S911" s="313"/>
      <c r="T911" s="317"/>
      <c r="U911" s="433"/>
      <c r="V911" s="288"/>
      <c r="W911" s="220"/>
      <c r="X911" s="220"/>
      <c r="Y911" s="220"/>
      <c r="Z911" s="220"/>
      <c r="AA911" s="220"/>
      <c r="AB911" s="220"/>
      <c r="AC911" s="220"/>
      <c r="AD911" s="220"/>
      <c r="AE911" s="220"/>
      <c r="AF911" s="220"/>
      <c r="AG911" s="308"/>
      <c r="AH911" s="220"/>
      <c r="AI911" s="220"/>
      <c r="AJ911" s="220"/>
      <c r="AK911" s="220"/>
      <c r="AL911" s="220"/>
      <c r="AM911" s="220"/>
    </row>
    <row r="912">
      <c r="A912" s="430"/>
      <c r="B912" s="311"/>
      <c r="C912" s="311"/>
      <c r="D912" s="312"/>
      <c r="E912" s="311"/>
      <c r="F912" s="311"/>
      <c r="G912" s="312"/>
      <c r="H912" s="312"/>
      <c r="I912" s="313"/>
      <c r="J912" s="431"/>
      <c r="K912" s="313"/>
      <c r="L912" s="313"/>
      <c r="M912" s="313"/>
      <c r="N912" s="315"/>
      <c r="O912" s="313"/>
      <c r="P912" s="313"/>
      <c r="Q912" s="432"/>
      <c r="R912" s="313"/>
      <c r="S912" s="313"/>
      <c r="T912" s="317"/>
      <c r="U912" s="433"/>
      <c r="V912" s="288"/>
      <c r="W912" s="220"/>
      <c r="X912" s="220"/>
      <c r="Y912" s="220"/>
      <c r="Z912" s="220"/>
      <c r="AA912" s="220"/>
      <c r="AB912" s="220"/>
      <c r="AC912" s="220"/>
      <c r="AD912" s="220"/>
      <c r="AE912" s="220"/>
      <c r="AF912" s="220"/>
      <c r="AG912" s="308"/>
      <c r="AH912" s="220"/>
      <c r="AI912" s="220"/>
      <c r="AJ912" s="220"/>
      <c r="AK912" s="220"/>
      <c r="AL912" s="220"/>
      <c r="AM912" s="220"/>
    </row>
    <row r="913">
      <c r="A913" s="430"/>
      <c r="B913" s="311"/>
      <c r="C913" s="311"/>
      <c r="D913" s="312"/>
      <c r="E913" s="311"/>
      <c r="F913" s="311"/>
      <c r="G913" s="312"/>
      <c r="H913" s="312"/>
      <c r="I913" s="313"/>
      <c r="J913" s="431"/>
      <c r="K913" s="313"/>
      <c r="L913" s="313"/>
      <c r="M913" s="313"/>
      <c r="N913" s="315"/>
      <c r="O913" s="313"/>
      <c r="P913" s="313"/>
      <c r="Q913" s="432"/>
      <c r="R913" s="313"/>
      <c r="S913" s="313"/>
      <c r="T913" s="317"/>
      <c r="U913" s="433"/>
      <c r="V913" s="288"/>
      <c r="W913" s="220"/>
      <c r="X913" s="220"/>
      <c r="Y913" s="220"/>
      <c r="Z913" s="220"/>
      <c r="AA913" s="220"/>
      <c r="AB913" s="220"/>
      <c r="AC913" s="220"/>
      <c r="AD913" s="220"/>
      <c r="AE913" s="220"/>
      <c r="AF913" s="220"/>
      <c r="AG913" s="308"/>
      <c r="AH913" s="220"/>
      <c r="AI913" s="220"/>
      <c r="AJ913" s="220"/>
      <c r="AK913" s="220"/>
      <c r="AL913" s="220"/>
      <c r="AM913" s="220"/>
    </row>
    <row r="914">
      <c r="A914" s="430"/>
      <c r="B914" s="311"/>
      <c r="C914" s="311"/>
      <c r="D914" s="312"/>
      <c r="E914" s="311"/>
      <c r="F914" s="311"/>
      <c r="G914" s="312"/>
      <c r="H914" s="312"/>
      <c r="I914" s="313"/>
      <c r="J914" s="431"/>
      <c r="K914" s="313"/>
      <c r="L914" s="313"/>
      <c r="M914" s="313"/>
      <c r="N914" s="315"/>
      <c r="O914" s="313"/>
      <c r="P914" s="313"/>
      <c r="Q914" s="432"/>
      <c r="R914" s="313"/>
      <c r="S914" s="313"/>
      <c r="T914" s="317"/>
      <c r="U914" s="433"/>
      <c r="V914" s="288"/>
      <c r="W914" s="220"/>
      <c r="X914" s="220"/>
      <c r="Y914" s="220"/>
      <c r="Z914" s="220"/>
      <c r="AA914" s="220"/>
      <c r="AB914" s="220"/>
      <c r="AC914" s="220"/>
      <c r="AD914" s="220"/>
      <c r="AE914" s="220"/>
      <c r="AF914" s="220"/>
      <c r="AG914" s="308"/>
      <c r="AH914" s="220"/>
      <c r="AI914" s="220"/>
      <c r="AJ914" s="220"/>
      <c r="AK914" s="220"/>
      <c r="AL914" s="220"/>
      <c r="AM914" s="220"/>
    </row>
    <row r="915">
      <c r="A915" s="430"/>
      <c r="B915" s="311"/>
      <c r="C915" s="311"/>
      <c r="D915" s="312"/>
      <c r="E915" s="311"/>
      <c r="F915" s="311"/>
      <c r="G915" s="312"/>
      <c r="H915" s="312"/>
      <c r="I915" s="313"/>
      <c r="J915" s="431"/>
      <c r="K915" s="313"/>
      <c r="L915" s="313"/>
      <c r="M915" s="313"/>
      <c r="N915" s="315"/>
      <c r="O915" s="313"/>
      <c r="P915" s="313"/>
      <c r="Q915" s="432"/>
      <c r="R915" s="313"/>
      <c r="S915" s="313"/>
      <c r="T915" s="317"/>
      <c r="U915" s="433"/>
      <c r="V915" s="288"/>
      <c r="W915" s="220"/>
      <c r="X915" s="220"/>
      <c r="Y915" s="220"/>
      <c r="Z915" s="220"/>
      <c r="AA915" s="220"/>
      <c r="AB915" s="220"/>
      <c r="AC915" s="220"/>
      <c r="AD915" s="220"/>
      <c r="AE915" s="220"/>
      <c r="AF915" s="220"/>
      <c r="AG915" s="308"/>
      <c r="AH915" s="220"/>
      <c r="AI915" s="220"/>
      <c r="AJ915" s="220"/>
      <c r="AK915" s="220"/>
      <c r="AL915" s="220"/>
      <c r="AM915" s="220"/>
    </row>
    <row r="916">
      <c r="A916" s="430"/>
      <c r="B916" s="311"/>
      <c r="C916" s="311"/>
      <c r="D916" s="312"/>
      <c r="E916" s="311"/>
      <c r="F916" s="311"/>
      <c r="G916" s="312"/>
      <c r="H916" s="312"/>
      <c r="I916" s="313"/>
      <c r="J916" s="431"/>
      <c r="K916" s="313"/>
      <c r="L916" s="313"/>
      <c r="M916" s="313"/>
      <c r="N916" s="315"/>
      <c r="O916" s="313"/>
      <c r="P916" s="313"/>
      <c r="Q916" s="432"/>
      <c r="R916" s="313"/>
      <c r="S916" s="313"/>
      <c r="T916" s="317"/>
      <c r="U916" s="433"/>
      <c r="V916" s="288"/>
      <c r="W916" s="220"/>
      <c r="X916" s="220"/>
      <c r="Y916" s="220"/>
      <c r="Z916" s="220"/>
      <c r="AA916" s="220"/>
      <c r="AB916" s="220"/>
      <c r="AC916" s="220"/>
      <c r="AD916" s="220"/>
      <c r="AE916" s="220"/>
      <c r="AF916" s="220"/>
      <c r="AG916" s="308"/>
      <c r="AH916" s="220"/>
      <c r="AI916" s="220"/>
      <c r="AJ916" s="220"/>
      <c r="AK916" s="220"/>
      <c r="AL916" s="220"/>
      <c r="AM916" s="220"/>
    </row>
    <row r="917">
      <c r="A917" s="430"/>
      <c r="B917" s="311"/>
      <c r="C917" s="311"/>
      <c r="D917" s="312"/>
      <c r="E917" s="311"/>
      <c r="F917" s="311"/>
      <c r="G917" s="312"/>
      <c r="H917" s="312"/>
      <c r="I917" s="313"/>
      <c r="J917" s="431"/>
      <c r="K917" s="313"/>
      <c r="L917" s="313"/>
      <c r="M917" s="313"/>
      <c r="N917" s="315"/>
      <c r="O917" s="313"/>
      <c r="P917" s="313"/>
      <c r="Q917" s="432"/>
      <c r="R917" s="313"/>
      <c r="S917" s="313"/>
      <c r="T917" s="317"/>
      <c r="U917" s="433"/>
      <c r="V917" s="288"/>
      <c r="W917" s="220"/>
      <c r="X917" s="220"/>
      <c r="Y917" s="220"/>
      <c r="Z917" s="220"/>
      <c r="AA917" s="220"/>
      <c r="AB917" s="220"/>
      <c r="AC917" s="220"/>
      <c r="AD917" s="220"/>
      <c r="AE917" s="220"/>
      <c r="AF917" s="220"/>
      <c r="AG917" s="308"/>
      <c r="AH917" s="220"/>
      <c r="AI917" s="220"/>
      <c r="AJ917" s="220"/>
      <c r="AK917" s="220"/>
      <c r="AL917" s="220"/>
      <c r="AM917" s="220"/>
    </row>
    <row r="918">
      <c r="A918" s="430"/>
      <c r="B918" s="311"/>
      <c r="C918" s="311"/>
      <c r="D918" s="312"/>
      <c r="E918" s="311"/>
      <c r="F918" s="311"/>
      <c r="G918" s="312"/>
      <c r="H918" s="312"/>
      <c r="I918" s="313"/>
      <c r="J918" s="431"/>
      <c r="K918" s="313"/>
      <c r="L918" s="313"/>
      <c r="M918" s="313"/>
      <c r="N918" s="315"/>
      <c r="O918" s="313"/>
      <c r="P918" s="313"/>
      <c r="Q918" s="432"/>
      <c r="R918" s="313"/>
      <c r="S918" s="313"/>
      <c r="T918" s="317"/>
      <c r="U918" s="433"/>
      <c r="V918" s="288"/>
      <c r="W918" s="220"/>
      <c r="X918" s="220"/>
      <c r="Y918" s="220"/>
      <c r="Z918" s="220"/>
      <c r="AA918" s="220"/>
      <c r="AB918" s="220"/>
      <c r="AC918" s="220"/>
      <c r="AD918" s="220"/>
      <c r="AE918" s="220"/>
      <c r="AF918" s="220"/>
      <c r="AG918" s="308"/>
      <c r="AH918" s="220"/>
      <c r="AI918" s="220"/>
      <c r="AJ918" s="220"/>
      <c r="AK918" s="220"/>
      <c r="AL918" s="220"/>
      <c r="AM918" s="220"/>
    </row>
    <row r="919">
      <c r="A919" s="430"/>
      <c r="B919" s="311"/>
      <c r="C919" s="311"/>
      <c r="D919" s="312"/>
      <c r="E919" s="311"/>
      <c r="F919" s="311"/>
      <c r="G919" s="312"/>
      <c r="H919" s="312"/>
      <c r="I919" s="313"/>
      <c r="J919" s="431"/>
      <c r="K919" s="313"/>
      <c r="L919" s="313"/>
      <c r="M919" s="313"/>
      <c r="N919" s="315"/>
      <c r="O919" s="313"/>
      <c r="P919" s="313"/>
      <c r="Q919" s="432"/>
      <c r="R919" s="313"/>
      <c r="S919" s="313"/>
      <c r="T919" s="317"/>
      <c r="U919" s="433"/>
      <c r="V919" s="288"/>
      <c r="W919" s="220"/>
      <c r="X919" s="220"/>
      <c r="Y919" s="220"/>
      <c r="Z919" s="220"/>
      <c r="AA919" s="220"/>
      <c r="AB919" s="220"/>
      <c r="AC919" s="220"/>
      <c r="AD919" s="220"/>
      <c r="AE919" s="220"/>
      <c r="AF919" s="220"/>
      <c r="AG919" s="308"/>
      <c r="AH919" s="220"/>
      <c r="AI919" s="220"/>
      <c r="AJ919" s="220"/>
      <c r="AK919" s="220"/>
      <c r="AL919" s="220"/>
      <c r="AM919" s="220"/>
    </row>
    <row r="920">
      <c r="A920" s="430"/>
      <c r="B920" s="311"/>
      <c r="C920" s="311"/>
      <c r="D920" s="312"/>
      <c r="E920" s="311"/>
      <c r="F920" s="311"/>
      <c r="G920" s="312"/>
      <c r="H920" s="312"/>
      <c r="I920" s="313"/>
      <c r="J920" s="431"/>
      <c r="K920" s="313"/>
      <c r="L920" s="313"/>
      <c r="M920" s="313"/>
      <c r="N920" s="315"/>
      <c r="O920" s="313"/>
      <c r="P920" s="313"/>
      <c r="Q920" s="432"/>
      <c r="R920" s="313"/>
      <c r="S920" s="313"/>
      <c r="T920" s="317"/>
      <c r="U920" s="433"/>
      <c r="V920" s="288"/>
      <c r="W920" s="220"/>
      <c r="X920" s="220"/>
      <c r="Y920" s="220"/>
      <c r="Z920" s="220"/>
      <c r="AA920" s="220"/>
      <c r="AB920" s="220"/>
      <c r="AC920" s="220"/>
      <c r="AD920" s="220"/>
      <c r="AE920" s="220"/>
      <c r="AF920" s="220"/>
      <c r="AG920" s="308"/>
      <c r="AH920" s="220"/>
      <c r="AI920" s="220"/>
      <c r="AJ920" s="220"/>
      <c r="AK920" s="220"/>
      <c r="AL920" s="220"/>
      <c r="AM920" s="220"/>
    </row>
    <row r="921">
      <c r="A921" s="430"/>
      <c r="B921" s="311"/>
      <c r="C921" s="311"/>
      <c r="D921" s="312"/>
      <c r="E921" s="311"/>
      <c r="F921" s="311"/>
      <c r="G921" s="312"/>
      <c r="H921" s="312"/>
      <c r="I921" s="313"/>
      <c r="J921" s="431"/>
      <c r="K921" s="313"/>
      <c r="L921" s="313"/>
      <c r="M921" s="313"/>
      <c r="N921" s="315"/>
      <c r="O921" s="313"/>
      <c r="P921" s="313"/>
      <c r="Q921" s="432"/>
      <c r="R921" s="313"/>
      <c r="S921" s="313"/>
      <c r="T921" s="317"/>
      <c r="U921" s="433"/>
      <c r="V921" s="288"/>
      <c r="W921" s="220"/>
      <c r="X921" s="220"/>
      <c r="Y921" s="220"/>
      <c r="Z921" s="220"/>
      <c r="AA921" s="220"/>
      <c r="AB921" s="220"/>
      <c r="AC921" s="220"/>
      <c r="AD921" s="220"/>
      <c r="AE921" s="220"/>
      <c r="AF921" s="220"/>
      <c r="AG921" s="308"/>
      <c r="AH921" s="220"/>
      <c r="AI921" s="220"/>
      <c r="AJ921" s="220"/>
      <c r="AK921" s="220"/>
      <c r="AL921" s="220"/>
      <c r="AM921" s="220"/>
    </row>
    <row r="922">
      <c r="A922" s="430"/>
      <c r="B922" s="311"/>
      <c r="C922" s="311"/>
      <c r="D922" s="312"/>
      <c r="E922" s="311"/>
      <c r="F922" s="311"/>
      <c r="G922" s="312"/>
      <c r="H922" s="312"/>
      <c r="I922" s="313"/>
      <c r="J922" s="431"/>
      <c r="K922" s="313"/>
      <c r="L922" s="313"/>
      <c r="M922" s="313"/>
      <c r="N922" s="315"/>
      <c r="O922" s="313"/>
      <c r="P922" s="313"/>
      <c r="Q922" s="432"/>
      <c r="R922" s="313"/>
      <c r="S922" s="313"/>
      <c r="T922" s="317"/>
      <c r="U922" s="433"/>
      <c r="V922" s="288"/>
      <c r="W922" s="220"/>
      <c r="X922" s="220"/>
      <c r="Y922" s="220"/>
      <c r="Z922" s="220"/>
      <c r="AA922" s="220"/>
      <c r="AB922" s="220"/>
      <c r="AC922" s="220"/>
      <c r="AD922" s="220"/>
      <c r="AE922" s="220"/>
      <c r="AF922" s="220"/>
      <c r="AG922" s="308"/>
      <c r="AH922" s="220"/>
      <c r="AI922" s="220"/>
      <c r="AJ922" s="220"/>
      <c r="AK922" s="220"/>
      <c r="AL922" s="220"/>
      <c r="AM922" s="220"/>
    </row>
    <row r="923">
      <c r="A923" s="430"/>
      <c r="B923" s="311"/>
      <c r="C923" s="311"/>
      <c r="D923" s="312"/>
      <c r="E923" s="311"/>
      <c r="F923" s="311"/>
      <c r="G923" s="312"/>
      <c r="H923" s="312"/>
      <c r="I923" s="313"/>
      <c r="J923" s="431"/>
      <c r="K923" s="313"/>
      <c r="L923" s="313"/>
      <c r="M923" s="313"/>
      <c r="N923" s="315"/>
      <c r="O923" s="313"/>
      <c r="P923" s="313"/>
      <c r="Q923" s="432"/>
      <c r="R923" s="313"/>
      <c r="S923" s="313"/>
      <c r="T923" s="317"/>
      <c r="U923" s="433"/>
      <c r="V923" s="288"/>
      <c r="W923" s="220"/>
      <c r="X923" s="220"/>
      <c r="Y923" s="220"/>
      <c r="Z923" s="220"/>
      <c r="AA923" s="220"/>
      <c r="AB923" s="220"/>
      <c r="AC923" s="220"/>
      <c r="AD923" s="220"/>
      <c r="AE923" s="220"/>
      <c r="AF923" s="220"/>
      <c r="AG923" s="308"/>
      <c r="AH923" s="220"/>
      <c r="AI923" s="220"/>
      <c r="AJ923" s="220"/>
      <c r="AK923" s="220"/>
      <c r="AL923" s="220"/>
      <c r="AM923" s="220"/>
    </row>
    <row r="924">
      <c r="A924" s="430"/>
      <c r="B924" s="311"/>
      <c r="C924" s="311"/>
      <c r="D924" s="312"/>
      <c r="E924" s="311"/>
      <c r="F924" s="311"/>
      <c r="G924" s="312"/>
      <c r="H924" s="312"/>
      <c r="I924" s="313"/>
      <c r="J924" s="431"/>
      <c r="K924" s="313"/>
      <c r="L924" s="313"/>
      <c r="M924" s="313"/>
      <c r="N924" s="315"/>
      <c r="O924" s="313"/>
      <c r="P924" s="313"/>
      <c r="Q924" s="432"/>
      <c r="R924" s="313"/>
      <c r="S924" s="313"/>
      <c r="T924" s="317"/>
      <c r="U924" s="433"/>
      <c r="V924" s="288"/>
      <c r="W924" s="220"/>
      <c r="X924" s="220"/>
      <c r="Y924" s="220"/>
      <c r="Z924" s="220"/>
      <c r="AA924" s="220"/>
      <c r="AB924" s="220"/>
      <c r="AC924" s="220"/>
      <c r="AD924" s="220"/>
      <c r="AE924" s="220"/>
      <c r="AF924" s="220"/>
      <c r="AG924" s="308"/>
      <c r="AH924" s="220"/>
      <c r="AI924" s="220"/>
      <c r="AJ924" s="220"/>
      <c r="AK924" s="220"/>
      <c r="AL924" s="220"/>
      <c r="AM924" s="220"/>
    </row>
    <row r="925">
      <c r="A925" s="430"/>
      <c r="B925" s="311"/>
      <c r="C925" s="311"/>
      <c r="D925" s="312"/>
      <c r="E925" s="311"/>
      <c r="F925" s="311"/>
      <c r="G925" s="312"/>
      <c r="H925" s="312"/>
      <c r="I925" s="313"/>
      <c r="J925" s="431"/>
      <c r="K925" s="313"/>
      <c r="L925" s="313"/>
      <c r="M925" s="313"/>
      <c r="N925" s="315"/>
      <c r="O925" s="313"/>
      <c r="P925" s="313"/>
      <c r="Q925" s="432"/>
      <c r="R925" s="313"/>
      <c r="S925" s="313"/>
      <c r="T925" s="317"/>
      <c r="U925" s="433"/>
      <c r="V925" s="288"/>
      <c r="W925" s="220"/>
      <c r="X925" s="220"/>
      <c r="Y925" s="220"/>
      <c r="Z925" s="220"/>
      <c r="AA925" s="220"/>
      <c r="AB925" s="220"/>
      <c r="AC925" s="220"/>
      <c r="AD925" s="220"/>
      <c r="AE925" s="220"/>
      <c r="AF925" s="220"/>
      <c r="AG925" s="308"/>
      <c r="AH925" s="220"/>
      <c r="AI925" s="220"/>
      <c r="AJ925" s="220"/>
      <c r="AK925" s="220"/>
      <c r="AL925" s="220"/>
      <c r="AM925" s="220"/>
    </row>
    <row r="926">
      <c r="A926" s="430"/>
      <c r="B926" s="311"/>
      <c r="C926" s="311"/>
      <c r="D926" s="312"/>
      <c r="E926" s="311"/>
      <c r="F926" s="311"/>
      <c r="G926" s="312"/>
      <c r="H926" s="312"/>
      <c r="I926" s="313"/>
      <c r="J926" s="431"/>
      <c r="K926" s="313"/>
      <c r="L926" s="313"/>
      <c r="M926" s="313"/>
      <c r="N926" s="315"/>
      <c r="O926" s="313"/>
      <c r="P926" s="313"/>
      <c r="Q926" s="432"/>
      <c r="R926" s="313"/>
      <c r="S926" s="313"/>
      <c r="T926" s="317"/>
      <c r="U926" s="433"/>
      <c r="V926" s="288"/>
      <c r="W926" s="220"/>
      <c r="X926" s="220"/>
      <c r="Y926" s="220"/>
      <c r="Z926" s="220"/>
      <c r="AA926" s="220"/>
      <c r="AB926" s="220"/>
      <c r="AC926" s="220"/>
      <c r="AD926" s="220"/>
      <c r="AE926" s="220"/>
      <c r="AF926" s="220"/>
      <c r="AG926" s="308"/>
      <c r="AH926" s="220"/>
      <c r="AI926" s="220"/>
      <c r="AJ926" s="220"/>
      <c r="AK926" s="220"/>
      <c r="AL926" s="220"/>
      <c r="AM926" s="220"/>
    </row>
    <row r="927">
      <c r="A927" s="430"/>
      <c r="B927" s="311"/>
      <c r="C927" s="311"/>
      <c r="D927" s="312"/>
      <c r="E927" s="311"/>
      <c r="F927" s="311"/>
      <c r="G927" s="312"/>
      <c r="H927" s="312"/>
      <c r="I927" s="313"/>
      <c r="J927" s="431"/>
      <c r="K927" s="313"/>
      <c r="L927" s="313"/>
      <c r="M927" s="313"/>
      <c r="N927" s="315"/>
      <c r="O927" s="313"/>
      <c r="P927" s="313"/>
      <c r="Q927" s="432"/>
      <c r="R927" s="313"/>
      <c r="S927" s="313"/>
      <c r="T927" s="317"/>
      <c r="U927" s="433"/>
      <c r="V927" s="288"/>
      <c r="W927" s="220"/>
      <c r="X927" s="220"/>
      <c r="Y927" s="220"/>
      <c r="Z927" s="220"/>
      <c r="AA927" s="220"/>
      <c r="AB927" s="220"/>
      <c r="AC927" s="220"/>
      <c r="AD927" s="220"/>
      <c r="AE927" s="220"/>
      <c r="AF927" s="220"/>
      <c r="AG927" s="308"/>
      <c r="AH927" s="220"/>
      <c r="AI927" s="220"/>
      <c r="AJ927" s="220"/>
      <c r="AK927" s="220"/>
      <c r="AL927" s="220"/>
      <c r="AM927" s="220"/>
    </row>
    <row r="928">
      <c r="A928" s="430"/>
      <c r="B928" s="311"/>
      <c r="C928" s="311"/>
      <c r="D928" s="312"/>
      <c r="E928" s="311"/>
      <c r="F928" s="311"/>
      <c r="G928" s="312"/>
      <c r="H928" s="312"/>
      <c r="I928" s="313"/>
      <c r="J928" s="431"/>
      <c r="K928" s="313"/>
      <c r="L928" s="313"/>
      <c r="M928" s="313"/>
      <c r="N928" s="315"/>
      <c r="O928" s="313"/>
      <c r="P928" s="313"/>
      <c r="Q928" s="432"/>
      <c r="R928" s="313"/>
      <c r="S928" s="313"/>
      <c r="T928" s="317"/>
      <c r="U928" s="433"/>
      <c r="V928" s="288"/>
      <c r="W928" s="220"/>
      <c r="X928" s="220"/>
      <c r="Y928" s="220"/>
      <c r="Z928" s="220"/>
      <c r="AA928" s="220"/>
      <c r="AB928" s="220"/>
      <c r="AC928" s="220"/>
      <c r="AD928" s="220"/>
      <c r="AE928" s="220"/>
      <c r="AF928" s="220"/>
      <c r="AG928" s="308"/>
      <c r="AH928" s="220"/>
      <c r="AI928" s="220"/>
      <c r="AJ928" s="220"/>
      <c r="AK928" s="220"/>
      <c r="AL928" s="220"/>
      <c r="AM928" s="220"/>
    </row>
    <row r="929">
      <c r="A929" s="430"/>
      <c r="B929" s="311"/>
      <c r="C929" s="311"/>
      <c r="D929" s="312"/>
      <c r="E929" s="311"/>
      <c r="F929" s="311"/>
      <c r="G929" s="312"/>
      <c r="H929" s="312"/>
      <c r="I929" s="313"/>
      <c r="J929" s="431"/>
      <c r="K929" s="313"/>
      <c r="L929" s="313"/>
      <c r="M929" s="313"/>
      <c r="N929" s="315"/>
      <c r="O929" s="313"/>
      <c r="P929" s="313"/>
      <c r="Q929" s="432"/>
      <c r="R929" s="313"/>
      <c r="S929" s="313"/>
      <c r="T929" s="317"/>
      <c r="U929" s="433"/>
      <c r="V929" s="288"/>
      <c r="W929" s="220"/>
      <c r="X929" s="220"/>
      <c r="Y929" s="220"/>
      <c r="Z929" s="220"/>
      <c r="AA929" s="220"/>
      <c r="AB929" s="220"/>
      <c r="AC929" s="220"/>
      <c r="AD929" s="220"/>
      <c r="AE929" s="220"/>
      <c r="AF929" s="220"/>
      <c r="AG929" s="308"/>
      <c r="AH929" s="220"/>
      <c r="AI929" s="220"/>
      <c r="AJ929" s="220"/>
      <c r="AK929" s="220"/>
      <c r="AL929" s="220"/>
      <c r="AM929" s="220"/>
    </row>
    <row r="930">
      <c r="A930" s="430"/>
      <c r="B930" s="311"/>
      <c r="C930" s="311"/>
      <c r="D930" s="312"/>
      <c r="E930" s="311"/>
      <c r="F930" s="311"/>
      <c r="G930" s="312"/>
      <c r="H930" s="312"/>
      <c r="I930" s="313"/>
      <c r="J930" s="431"/>
      <c r="K930" s="313"/>
      <c r="L930" s="313"/>
      <c r="M930" s="313"/>
      <c r="N930" s="315"/>
      <c r="O930" s="313"/>
      <c r="P930" s="313"/>
      <c r="Q930" s="432"/>
      <c r="R930" s="313"/>
      <c r="S930" s="313"/>
      <c r="T930" s="317"/>
      <c r="U930" s="433"/>
      <c r="V930" s="288"/>
      <c r="W930" s="220"/>
      <c r="X930" s="220"/>
      <c r="Y930" s="220"/>
      <c r="Z930" s="220"/>
      <c r="AA930" s="220"/>
      <c r="AB930" s="220"/>
      <c r="AC930" s="220"/>
      <c r="AD930" s="220"/>
      <c r="AE930" s="220"/>
      <c r="AF930" s="220"/>
      <c r="AG930" s="308"/>
      <c r="AH930" s="220"/>
      <c r="AI930" s="220"/>
      <c r="AJ930" s="220"/>
      <c r="AK930" s="220"/>
      <c r="AL930" s="220"/>
      <c r="AM930" s="220"/>
    </row>
    <row r="931">
      <c r="A931" s="430"/>
      <c r="B931" s="311"/>
      <c r="C931" s="311"/>
      <c r="D931" s="312"/>
      <c r="E931" s="311"/>
      <c r="F931" s="311"/>
      <c r="G931" s="312"/>
      <c r="H931" s="312"/>
      <c r="I931" s="313"/>
      <c r="J931" s="431"/>
      <c r="K931" s="313"/>
      <c r="L931" s="313"/>
      <c r="M931" s="313"/>
      <c r="N931" s="315"/>
      <c r="O931" s="313"/>
      <c r="P931" s="313"/>
      <c r="Q931" s="432"/>
      <c r="R931" s="313"/>
      <c r="S931" s="313"/>
      <c r="T931" s="317"/>
      <c r="U931" s="433"/>
      <c r="V931" s="288"/>
      <c r="W931" s="220"/>
      <c r="X931" s="220"/>
      <c r="Y931" s="220"/>
      <c r="Z931" s="220"/>
      <c r="AA931" s="220"/>
      <c r="AB931" s="220"/>
      <c r="AC931" s="220"/>
      <c r="AD931" s="220"/>
      <c r="AE931" s="220"/>
      <c r="AF931" s="220"/>
      <c r="AG931" s="308"/>
      <c r="AH931" s="220"/>
      <c r="AI931" s="220"/>
      <c r="AJ931" s="220"/>
      <c r="AK931" s="220"/>
      <c r="AL931" s="220"/>
      <c r="AM931" s="220"/>
    </row>
    <row r="932">
      <c r="A932" s="430"/>
      <c r="B932" s="311"/>
      <c r="C932" s="311"/>
      <c r="D932" s="312"/>
      <c r="E932" s="311"/>
      <c r="F932" s="311"/>
      <c r="G932" s="312"/>
      <c r="H932" s="312"/>
      <c r="I932" s="313"/>
      <c r="J932" s="431"/>
      <c r="K932" s="313"/>
      <c r="L932" s="313"/>
      <c r="M932" s="313"/>
      <c r="N932" s="315"/>
      <c r="O932" s="313"/>
      <c r="P932" s="313"/>
      <c r="Q932" s="432"/>
      <c r="R932" s="313"/>
      <c r="S932" s="313"/>
      <c r="T932" s="317"/>
      <c r="U932" s="433"/>
      <c r="V932" s="288"/>
      <c r="W932" s="220"/>
      <c r="X932" s="220"/>
      <c r="Y932" s="220"/>
      <c r="Z932" s="220"/>
      <c r="AA932" s="220"/>
      <c r="AB932" s="220"/>
      <c r="AC932" s="220"/>
      <c r="AD932" s="220"/>
      <c r="AE932" s="220"/>
      <c r="AF932" s="220"/>
      <c r="AG932" s="308"/>
      <c r="AH932" s="220"/>
      <c r="AI932" s="220"/>
      <c r="AJ932" s="220"/>
      <c r="AK932" s="220"/>
      <c r="AL932" s="220"/>
      <c r="AM932" s="220"/>
    </row>
    <row r="933">
      <c r="A933" s="430"/>
      <c r="B933" s="311"/>
      <c r="C933" s="311"/>
      <c r="D933" s="312"/>
      <c r="E933" s="311"/>
      <c r="F933" s="311"/>
      <c r="G933" s="312"/>
      <c r="H933" s="312"/>
      <c r="I933" s="313"/>
      <c r="J933" s="431"/>
      <c r="K933" s="313"/>
      <c r="L933" s="313"/>
      <c r="M933" s="313"/>
      <c r="N933" s="315"/>
      <c r="O933" s="313"/>
      <c r="P933" s="313"/>
      <c r="Q933" s="432"/>
      <c r="R933" s="313"/>
      <c r="S933" s="313"/>
      <c r="T933" s="317"/>
      <c r="U933" s="433"/>
      <c r="V933" s="288"/>
      <c r="W933" s="220"/>
      <c r="X933" s="220"/>
      <c r="Y933" s="220"/>
      <c r="Z933" s="220"/>
      <c r="AA933" s="220"/>
      <c r="AB933" s="220"/>
      <c r="AC933" s="220"/>
      <c r="AD933" s="220"/>
      <c r="AE933" s="220"/>
      <c r="AF933" s="220"/>
      <c r="AG933" s="308"/>
      <c r="AH933" s="220"/>
      <c r="AI933" s="220"/>
      <c r="AJ933" s="220"/>
      <c r="AK933" s="220"/>
      <c r="AL933" s="220"/>
      <c r="AM933" s="220"/>
    </row>
    <row r="934">
      <c r="A934" s="430"/>
      <c r="B934" s="311"/>
      <c r="C934" s="311"/>
      <c r="D934" s="312"/>
      <c r="E934" s="311"/>
      <c r="F934" s="311"/>
      <c r="G934" s="312"/>
      <c r="H934" s="312"/>
      <c r="I934" s="313"/>
      <c r="J934" s="431"/>
      <c r="K934" s="313"/>
      <c r="L934" s="313"/>
      <c r="M934" s="313"/>
      <c r="N934" s="315"/>
      <c r="O934" s="313"/>
      <c r="P934" s="313"/>
      <c r="Q934" s="432"/>
      <c r="R934" s="313"/>
      <c r="S934" s="313"/>
      <c r="T934" s="317"/>
      <c r="U934" s="433"/>
      <c r="V934" s="288"/>
      <c r="W934" s="220"/>
      <c r="X934" s="220"/>
      <c r="Y934" s="220"/>
      <c r="Z934" s="220"/>
      <c r="AA934" s="220"/>
      <c r="AB934" s="220"/>
      <c r="AC934" s="220"/>
      <c r="AD934" s="220"/>
      <c r="AE934" s="220"/>
      <c r="AF934" s="220"/>
      <c r="AG934" s="308"/>
      <c r="AH934" s="220"/>
      <c r="AI934" s="220"/>
      <c r="AJ934" s="220"/>
      <c r="AK934" s="220"/>
      <c r="AL934" s="220"/>
      <c r="AM934" s="220"/>
    </row>
    <row r="935">
      <c r="A935" s="430"/>
      <c r="B935" s="311"/>
      <c r="C935" s="311"/>
      <c r="D935" s="312"/>
      <c r="E935" s="311"/>
      <c r="F935" s="311"/>
      <c r="G935" s="312"/>
      <c r="H935" s="312"/>
      <c r="I935" s="313"/>
      <c r="J935" s="431"/>
      <c r="K935" s="313"/>
      <c r="L935" s="313"/>
      <c r="M935" s="313"/>
      <c r="N935" s="315"/>
      <c r="O935" s="313"/>
      <c r="P935" s="313"/>
      <c r="Q935" s="432"/>
      <c r="R935" s="313"/>
      <c r="S935" s="313"/>
      <c r="T935" s="317"/>
      <c r="U935" s="433"/>
      <c r="V935" s="288"/>
      <c r="W935" s="220"/>
      <c r="X935" s="220"/>
      <c r="Y935" s="220"/>
      <c r="Z935" s="220"/>
      <c r="AA935" s="220"/>
      <c r="AB935" s="220"/>
      <c r="AC935" s="220"/>
      <c r="AD935" s="220"/>
      <c r="AE935" s="220"/>
      <c r="AF935" s="220"/>
      <c r="AG935" s="308"/>
      <c r="AH935" s="220"/>
      <c r="AI935" s="220"/>
      <c r="AJ935" s="220"/>
      <c r="AK935" s="220"/>
      <c r="AL935" s="220"/>
      <c r="AM935" s="220"/>
    </row>
    <row r="936">
      <c r="A936" s="430"/>
      <c r="B936" s="311"/>
      <c r="C936" s="311"/>
      <c r="D936" s="312"/>
      <c r="E936" s="311"/>
      <c r="F936" s="311"/>
      <c r="G936" s="312"/>
      <c r="H936" s="312"/>
      <c r="I936" s="313"/>
      <c r="J936" s="431"/>
      <c r="K936" s="313"/>
      <c r="L936" s="313"/>
      <c r="M936" s="313"/>
      <c r="N936" s="315"/>
      <c r="O936" s="313"/>
      <c r="P936" s="313"/>
      <c r="Q936" s="432"/>
      <c r="R936" s="313"/>
      <c r="S936" s="313"/>
      <c r="T936" s="317"/>
      <c r="U936" s="433"/>
      <c r="V936" s="288"/>
      <c r="W936" s="220"/>
      <c r="X936" s="220"/>
      <c r="Y936" s="220"/>
      <c r="Z936" s="220"/>
      <c r="AA936" s="220"/>
      <c r="AB936" s="220"/>
      <c r="AC936" s="220"/>
      <c r="AD936" s="220"/>
      <c r="AE936" s="220"/>
      <c r="AF936" s="220"/>
      <c r="AG936" s="308"/>
      <c r="AH936" s="220"/>
      <c r="AI936" s="220"/>
      <c r="AJ936" s="220"/>
      <c r="AK936" s="220"/>
      <c r="AL936" s="220"/>
      <c r="AM936" s="220"/>
    </row>
    <row r="937">
      <c r="A937" s="430"/>
      <c r="B937" s="311"/>
      <c r="C937" s="311"/>
      <c r="D937" s="312"/>
      <c r="E937" s="311"/>
      <c r="F937" s="311"/>
      <c r="G937" s="312"/>
      <c r="H937" s="312"/>
      <c r="I937" s="313"/>
      <c r="J937" s="431"/>
      <c r="K937" s="313"/>
      <c r="L937" s="313"/>
      <c r="M937" s="313"/>
      <c r="N937" s="315"/>
      <c r="O937" s="313"/>
      <c r="P937" s="313"/>
      <c r="Q937" s="432"/>
      <c r="R937" s="313"/>
      <c r="S937" s="313"/>
      <c r="T937" s="317"/>
      <c r="U937" s="433"/>
      <c r="V937" s="288"/>
      <c r="W937" s="220"/>
      <c r="X937" s="220"/>
      <c r="Y937" s="220"/>
      <c r="Z937" s="220"/>
      <c r="AA937" s="220"/>
      <c r="AB937" s="220"/>
      <c r="AC937" s="220"/>
      <c r="AD937" s="220"/>
      <c r="AE937" s="220"/>
      <c r="AF937" s="220"/>
      <c r="AG937" s="308"/>
      <c r="AH937" s="220"/>
      <c r="AI937" s="220"/>
      <c r="AJ937" s="220"/>
      <c r="AK937" s="220"/>
      <c r="AL937" s="220"/>
      <c r="AM937" s="220"/>
    </row>
    <row r="938">
      <c r="A938" s="430"/>
      <c r="B938" s="311"/>
      <c r="C938" s="311"/>
      <c r="D938" s="312"/>
      <c r="E938" s="311"/>
      <c r="F938" s="311"/>
      <c r="G938" s="312"/>
      <c r="H938" s="312"/>
      <c r="I938" s="313"/>
      <c r="J938" s="431"/>
      <c r="K938" s="313"/>
      <c r="L938" s="313"/>
      <c r="M938" s="313"/>
      <c r="N938" s="315"/>
      <c r="O938" s="313"/>
      <c r="P938" s="313"/>
      <c r="Q938" s="432"/>
      <c r="R938" s="313"/>
      <c r="S938" s="313"/>
      <c r="T938" s="317"/>
      <c r="U938" s="433"/>
      <c r="V938" s="288"/>
      <c r="W938" s="220"/>
      <c r="X938" s="220"/>
      <c r="Y938" s="220"/>
      <c r="Z938" s="220"/>
      <c r="AA938" s="220"/>
      <c r="AB938" s="220"/>
      <c r="AC938" s="220"/>
      <c r="AD938" s="220"/>
      <c r="AE938" s="220"/>
      <c r="AF938" s="220"/>
      <c r="AG938" s="308"/>
      <c r="AH938" s="220"/>
      <c r="AI938" s="220"/>
      <c r="AJ938" s="220"/>
      <c r="AK938" s="220"/>
      <c r="AL938" s="220"/>
      <c r="AM938" s="220"/>
    </row>
    <row r="939">
      <c r="A939" s="430"/>
      <c r="B939" s="311"/>
      <c r="C939" s="311"/>
      <c r="D939" s="312"/>
      <c r="E939" s="311"/>
      <c r="F939" s="311"/>
      <c r="G939" s="312"/>
      <c r="H939" s="312"/>
      <c r="I939" s="313"/>
      <c r="J939" s="431"/>
      <c r="K939" s="313"/>
      <c r="L939" s="313"/>
      <c r="M939" s="313"/>
      <c r="N939" s="315"/>
      <c r="O939" s="313"/>
      <c r="P939" s="313"/>
      <c r="Q939" s="432"/>
      <c r="R939" s="313"/>
      <c r="S939" s="313"/>
      <c r="T939" s="317"/>
      <c r="U939" s="433"/>
      <c r="V939" s="288"/>
      <c r="W939" s="220"/>
      <c r="X939" s="220"/>
      <c r="Y939" s="220"/>
      <c r="Z939" s="220"/>
      <c r="AA939" s="220"/>
      <c r="AB939" s="220"/>
      <c r="AC939" s="220"/>
      <c r="AD939" s="220"/>
      <c r="AE939" s="220"/>
      <c r="AF939" s="220"/>
      <c r="AG939" s="308"/>
      <c r="AH939" s="220"/>
      <c r="AI939" s="220"/>
      <c r="AJ939" s="220"/>
      <c r="AK939" s="220"/>
      <c r="AL939" s="220"/>
      <c r="AM939" s="220"/>
    </row>
    <row r="940">
      <c r="A940" s="430"/>
      <c r="B940" s="311"/>
      <c r="C940" s="311"/>
      <c r="D940" s="312"/>
      <c r="E940" s="311"/>
      <c r="F940" s="311"/>
      <c r="G940" s="312"/>
      <c r="H940" s="312"/>
      <c r="I940" s="313"/>
      <c r="J940" s="431"/>
      <c r="K940" s="313"/>
      <c r="L940" s="313"/>
      <c r="M940" s="313"/>
      <c r="N940" s="315"/>
      <c r="O940" s="313"/>
      <c r="P940" s="313"/>
      <c r="Q940" s="432"/>
      <c r="R940" s="313"/>
      <c r="S940" s="313"/>
      <c r="T940" s="317"/>
      <c r="U940" s="433"/>
      <c r="V940" s="288"/>
      <c r="W940" s="220"/>
      <c r="X940" s="220"/>
      <c r="Y940" s="220"/>
      <c r="Z940" s="220"/>
      <c r="AA940" s="220"/>
      <c r="AB940" s="220"/>
      <c r="AC940" s="220"/>
      <c r="AD940" s="220"/>
      <c r="AE940" s="220"/>
      <c r="AF940" s="220"/>
      <c r="AG940" s="308"/>
      <c r="AH940" s="220"/>
      <c r="AI940" s="220"/>
      <c r="AJ940" s="220"/>
      <c r="AK940" s="220"/>
      <c r="AL940" s="220"/>
      <c r="AM940" s="220"/>
    </row>
    <row r="941">
      <c r="A941" s="430"/>
      <c r="B941" s="311"/>
      <c r="C941" s="311"/>
      <c r="D941" s="312"/>
      <c r="E941" s="311"/>
      <c r="F941" s="311"/>
      <c r="G941" s="312"/>
      <c r="H941" s="312"/>
      <c r="I941" s="313"/>
      <c r="J941" s="431"/>
      <c r="K941" s="313"/>
      <c r="L941" s="313"/>
      <c r="M941" s="313"/>
      <c r="N941" s="315"/>
      <c r="O941" s="313"/>
      <c r="P941" s="313"/>
      <c r="Q941" s="432"/>
      <c r="R941" s="313"/>
      <c r="S941" s="313"/>
      <c r="T941" s="317"/>
      <c r="U941" s="433"/>
      <c r="V941" s="288"/>
      <c r="W941" s="220"/>
      <c r="X941" s="220"/>
      <c r="Y941" s="220"/>
      <c r="Z941" s="220"/>
      <c r="AA941" s="220"/>
      <c r="AB941" s="220"/>
      <c r="AC941" s="220"/>
      <c r="AD941" s="220"/>
      <c r="AE941" s="220"/>
      <c r="AF941" s="220"/>
      <c r="AG941" s="308"/>
      <c r="AH941" s="220"/>
      <c r="AI941" s="220"/>
      <c r="AJ941" s="220"/>
      <c r="AK941" s="220"/>
      <c r="AL941" s="220"/>
      <c r="AM941" s="220"/>
    </row>
    <row r="942">
      <c r="A942" s="430"/>
      <c r="B942" s="311"/>
      <c r="C942" s="311"/>
      <c r="D942" s="312"/>
      <c r="E942" s="311"/>
      <c r="F942" s="311"/>
      <c r="G942" s="312"/>
      <c r="H942" s="312"/>
      <c r="I942" s="313"/>
      <c r="J942" s="431"/>
      <c r="K942" s="313"/>
      <c r="L942" s="313"/>
      <c r="M942" s="313"/>
      <c r="N942" s="315"/>
      <c r="O942" s="313"/>
      <c r="P942" s="313"/>
      <c r="Q942" s="432"/>
      <c r="R942" s="313"/>
      <c r="S942" s="313"/>
      <c r="T942" s="317"/>
      <c r="U942" s="433"/>
      <c r="V942" s="288"/>
      <c r="W942" s="220"/>
      <c r="X942" s="220"/>
      <c r="Y942" s="220"/>
      <c r="Z942" s="220"/>
      <c r="AA942" s="220"/>
      <c r="AB942" s="220"/>
      <c r="AC942" s="220"/>
      <c r="AD942" s="220"/>
      <c r="AE942" s="220"/>
      <c r="AF942" s="220"/>
      <c r="AG942" s="308"/>
      <c r="AH942" s="220"/>
      <c r="AI942" s="220"/>
      <c r="AJ942" s="220"/>
      <c r="AK942" s="220"/>
      <c r="AL942" s="220"/>
      <c r="AM942" s="220"/>
    </row>
    <row r="943">
      <c r="A943" s="430"/>
      <c r="B943" s="311"/>
      <c r="C943" s="311"/>
      <c r="D943" s="312"/>
      <c r="E943" s="311"/>
      <c r="F943" s="311"/>
      <c r="G943" s="312"/>
      <c r="H943" s="312"/>
      <c r="I943" s="313"/>
      <c r="J943" s="431"/>
      <c r="K943" s="313"/>
      <c r="L943" s="313"/>
      <c r="M943" s="313"/>
      <c r="N943" s="315"/>
      <c r="O943" s="313"/>
      <c r="P943" s="313"/>
      <c r="Q943" s="432"/>
      <c r="R943" s="313"/>
      <c r="S943" s="313"/>
      <c r="T943" s="317"/>
      <c r="U943" s="433"/>
      <c r="V943" s="288"/>
      <c r="W943" s="220"/>
      <c r="X943" s="220"/>
      <c r="Y943" s="220"/>
      <c r="Z943" s="220"/>
      <c r="AA943" s="220"/>
      <c r="AB943" s="220"/>
      <c r="AC943" s="220"/>
      <c r="AD943" s="220"/>
      <c r="AE943" s="220"/>
      <c r="AF943" s="220"/>
      <c r="AG943" s="308"/>
      <c r="AH943" s="220"/>
      <c r="AI943" s="220"/>
      <c r="AJ943" s="220"/>
      <c r="AK943" s="220"/>
      <c r="AL943" s="220"/>
      <c r="AM943" s="220"/>
    </row>
    <row r="944">
      <c r="A944" s="430"/>
      <c r="B944" s="311"/>
      <c r="C944" s="311"/>
      <c r="D944" s="312"/>
      <c r="E944" s="311"/>
      <c r="F944" s="311"/>
      <c r="G944" s="312"/>
      <c r="H944" s="312"/>
      <c r="I944" s="313"/>
      <c r="J944" s="431"/>
      <c r="K944" s="313"/>
      <c r="L944" s="313"/>
      <c r="M944" s="313"/>
      <c r="N944" s="315"/>
      <c r="O944" s="313"/>
      <c r="P944" s="313"/>
      <c r="Q944" s="432"/>
      <c r="R944" s="313"/>
      <c r="S944" s="313"/>
      <c r="T944" s="317"/>
      <c r="U944" s="433"/>
      <c r="V944" s="288"/>
      <c r="W944" s="220"/>
      <c r="X944" s="220"/>
      <c r="Y944" s="220"/>
      <c r="Z944" s="220"/>
      <c r="AA944" s="220"/>
      <c r="AB944" s="220"/>
      <c r="AC944" s="220"/>
      <c r="AD944" s="220"/>
      <c r="AE944" s="220"/>
      <c r="AF944" s="220"/>
      <c r="AG944" s="308"/>
      <c r="AH944" s="220"/>
      <c r="AI944" s="220"/>
      <c r="AJ944" s="220"/>
      <c r="AK944" s="220"/>
      <c r="AL944" s="220"/>
      <c r="AM944" s="220"/>
    </row>
    <row r="945">
      <c r="A945" s="430"/>
      <c r="B945" s="311"/>
      <c r="C945" s="311"/>
      <c r="D945" s="312"/>
      <c r="E945" s="311"/>
      <c r="F945" s="311"/>
      <c r="G945" s="312"/>
      <c r="H945" s="312"/>
      <c r="I945" s="313"/>
      <c r="J945" s="431"/>
      <c r="K945" s="313"/>
      <c r="L945" s="313"/>
      <c r="M945" s="313"/>
      <c r="N945" s="315"/>
      <c r="O945" s="313"/>
      <c r="P945" s="313"/>
      <c r="Q945" s="432"/>
      <c r="R945" s="313"/>
      <c r="S945" s="313"/>
      <c r="T945" s="317"/>
      <c r="U945" s="433"/>
      <c r="V945" s="288"/>
      <c r="W945" s="220"/>
      <c r="X945" s="220"/>
      <c r="Y945" s="220"/>
      <c r="Z945" s="220"/>
      <c r="AA945" s="220"/>
      <c r="AB945" s="220"/>
      <c r="AC945" s="220"/>
      <c r="AD945" s="220"/>
      <c r="AE945" s="220"/>
      <c r="AF945" s="220"/>
      <c r="AG945" s="308"/>
      <c r="AH945" s="220"/>
      <c r="AI945" s="220"/>
      <c r="AJ945" s="220"/>
      <c r="AK945" s="220"/>
      <c r="AL945" s="220"/>
      <c r="AM945" s="220"/>
    </row>
    <row r="946">
      <c r="A946" s="430"/>
      <c r="B946" s="311"/>
      <c r="C946" s="311"/>
      <c r="D946" s="312"/>
      <c r="E946" s="311"/>
      <c r="F946" s="311"/>
      <c r="G946" s="312"/>
      <c r="H946" s="312"/>
      <c r="I946" s="313"/>
      <c r="J946" s="431"/>
      <c r="K946" s="313"/>
      <c r="L946" s="313"/>
      <c r="M946" s="313"/>
      <c r="N946" s="315"/>
      <c r="O946" s="313"/>
      <c r="P946" s="313"/>
      <c r="Q946" s="432"/>
      <c r="R946" s="313"/>
      <c r="S946" s="313"/>
      <c r="T946" s="317"/>
      <c r="U946" s="433"/>
      <c r="V946" s="288"/>
      <c r="W946" s="220"/>
      <c r="X946" s="220"/>
      <c r="Y946" s="220"/>
      <c r="Z946" s="220"/>
      <c r="AA946" s="220"/>
      <c r="AB946" s="220"/>
      <c r="AC946" s="220"/>
      <c r="AD946" s="220"/>
      <c r="AE946" s="220"/>
      <c r="AF946" s="220"/>
      <c r="AG946" s="308"/>
      <c r="AH946" s="220"/>
      <c r="AI946" s="220"/>
      <c r="AJ946" s="220"/>
      <c r="AK946" s="220"/>
      <c r="AL946" s="220"/>
      <c r="AM946" s="220"/>
    </row>
    <row r="947">
      <c r="A947" s="430"/>
      <c r="B947" s="311"/>
      <c r="C947" s="311"/>
      <c r="D947" s="312"/>
      <c r="E947" s="311"/>
      <c r="F947" s="311"/>
      <c r="G947" s="312"/>
      <c r="H947" s="312"/>
      <c r="I947" s="313"/>
      <c r="J947" s="431"/>
      <c r="K947" s="313"/>
      <c r="L947" s="313"/>
      <c r="M947" s="313"/>
      <c r="N947" s="315"/>
      <c r="O947" s="313"/>
      <c r="P947" s="313"/>
      <c r="Q947" s="432"/>
      <c r="R947" s="313"/>
      <c r="S947" s="313"/>
      <c r="T947" s="317"/>
      <c r="U947" s="433"/>
      <c r="V947" s="288"/>
      <c r="W947" s="220"/>
      <c r="X947" s="220"/>
      <c r="Y947" s="220"/>
      <c r="Z947" s="220"/>
      <c r="AA947" s="220"/>
      <c r="AB947" s="220"/>
      <c r="AC947" s="220"/>
      <c r="AD947" s="220"/>
      <c r="AE947" s="220"/>
      <c r="AF947" s="220"/>
      <c r="AG947" s="308"/>
      <c r="AH947" s="220"/>
      <c r="AI947" s="220"/>
      <c r="AJ947" s="220"/>
      <c r="AK947" s="220"/>
      <c r="AL947" s="220"/>
      <c r="AM947" s="220"/>
    </row>
    <row r="948">
      <c r="A948" s="430"/>
      <c r="B948" s="311"/>
      <c r="C948" s="311"/>
      <c r="D948" s="312"/>
      <c r="E948" s="311"/>
      <c r="F948" s="311"/>
      <c r="G948" s="312"/>
      <c r="H948" s="312"/>
      <c r="I948" s="313"/>
      <c r="J948" s="431"/>
      <c r="K948" s="313"/>
      <c r="L948" s="313"/>
      <c r="M948" s="313"/>
      <c r="N948" s="315"/>
      <c r="O948" s="313"/>
      <c r="P948" s="313"/>
      <c r="Q948" s="432"/>
      <c r="R948" s="313"/>
      <c r="S948" s="313"/>
      <c r="T948" s="317"/>
      <c r="U948" s="433"/>
      <c r="V948" s="288"/>
      <c r="W948" s="220"/>
      <c r="X948" s="220"/>
      <c r="Y948" s="220"/>
      <c r="Z948" s="220"/>
      <c r="AA948" s="220"/>
      <c r="AB948" s="220"/>
      <c r="AC948" s="220"/>
      <c r="AD948" s="220"/>
      <c r="AE948" s="220"/>
      <c r="AF948" s="220"/>
      <c r="AG948" s="308"/>
      <c r="AH948" s="220"/>
      <c r="AI948" s="220"/>
      <c r="AJ948" s="220"/>
      <c r="AK948" s="220"/>
      <c r="AL948" s="220"/>
      <c r="AM948" s="220"/>
    </row>
    <row r="949">
      <c r="A949" s="430"/>
      <c r="B949" s="311"/>
      <c r="C949" s="311"/>
      <c r="D949" s="312"/>
      <c r="E949" s="311"/>
      <c r="F949" s="311"/>
      <c r="G949" s="312"/>
      <c r="H949" s="312"/>
      <c r="I949" s="313"/>
      <c r="J949" s="431"/>
      <c r="K949" s="313"/>
      <c r="L949" s="313"/>
      <c r="M949" s="313"/>
      <c r="N949" s="315"/>
      <c r="O949" s="313"/>
      <c r="P949" s="313"/>
      <c r="Q949" s="432"/>
      <c r="R949" s="313"/>
      <c r="S949" s="313"/>
      <c r="T949" s="317"/>
      <c r="U949" s="433"/>
      <c r="V949" s="288"/>
      <c r="W949" s="220"/>
      <c r="X949" s="220"/>
      <c r="Y949" s="220"/>
      <c r="Z949" s="220"/>
      <c r="AA949" s="220"/>
      <c r="AB949" s="220"/>
      <c r="AC949" s="220"/>
      <c r="AD949" s="220"/>
      <c r="AE949" s="220"/>
      <c r="AF949" s="220"/>
      <c r="AG949" s="308"/>
      <c r="AH949" s="220"/>
      <c r="AI949" s="220"/>
      <c r="AJ949" s="220"/>
      <c r="AK949" s="220"/>
      <c r="AL949" s="220"/>
      <c r="AM949" s="220"/>
    </row>
    <row r="950">
      <c r="A950" s="430"/>
      <c r="B950" s="311"/>
      <c r="C950" s="311"/>
      <c r="D950" s="312"/>
      <c r="E950" s="311"/>
      <c r="F950" s="311"/>
      <c r="G950" s="312"/>
      <c r="H950" s="312"/>
      <c r="I950" s="313"/>
      <c r="J950" s="431"/>
      <c r="K950" s="313"/>
      <c r="L950" s="313"/>
      <c r="M950" s="313"/>
      <c r="N950" s="315"/>
      <c r="O950" s="313"/>
      <c r="P950" s="313"/>
      <c r="Q950" s="432"/>
      <c r="R950" s="313"/>
      <c r="S950" s="313"/>
      <c r="T950" s="317"/>
      <c r="U950" s="433"/>
      <c r="V950" s="288"/>
      <c r="W950" s="220"/>
      <c r="X950" s="220"/>
      <c r="Y950" s="220"/>
      <c r="Z950" s="220"/>
      <c r="AA950" s="220"/>
      <c r="AB950" s="220"/>
      <c r="AC950" s="220"/>
      <c r="AD950" s="220"/>
      <c r="AE950" s="220"/>
      <c r="AF950" s="220"/>
      <c r="AG950" s="308"/>
      <c r="AH950" s="220"/>
      <c r="AI950" s="220"/>
      <c r="AJ950" s="220"/>
      <c r="AK950" s="220"/>
      <c r="AL950" s="220"/>
      <c r="AM950" s="220"/>
    </row>
    <row r="951">
      <c r="A951" s="430"/>
      <c r="B951" s="311"/>
      <c r="C951" s="311"/>
      <c r="D951" s="312"/>
      <c r="E951" s="311"/>
      <c r="F951" s="311"/>
      <c r="G951" s="312"/>
      <c r="H951" s="312"/>
      <c r="I951" s="313"/>
      <c r="J951" s="431"/>
      <c r="K951" s="313"/>
      <c r="L951" s="313"/>
      <c r="M951" s="313"/>
      <c r="N951" s="315"/>
      <c r="O951" s="313"/>
      <c r="P951" s="313"/>
      <c r="Q951" s="432"/>
      <c r="R951" s="313"/>
      <c r="S951" s="313"/>
      <c r="T951" s="317"/>
      <c r="U951" s="433"/>
      <c r="V951" s="288"/>
      <c r="W951" s="220"/>
      <c r="X951" s="220"/>
      <c r="Y951" s="220"/>
      <c r="Z951" s="220"/>
      <c r="AA951" s="220"/>
      <c r="AB951" s="220"/>
      <c r="AC951" s="220"/>
      <c r="AD951" s="220"/>
      <c r="AE951" s="220"/>
      <c r="AF951" s="220"/>
      <c r="AG951" s="308"/>
      <c r="AH951" s="220"/>
      <c r="AI951" s="220"/>
      <c r="AJ951" s="220"/>
      <c r="AK951" s="220"/>
      <c r="AL951" s="220"/>
      <c r="AM951" s="220"/>
    </row>
    <row r="952">
      <c r="A952" s="430"/>
      <c r="B952" s="311"/>
      <c r="C952" s="311"/>
      <c r="D952" s="312"/>
      <c r="E952" s="311"/>
      <c r="F952" s="311"/>
      <c r="G952" s="312"/>
      <c r="H952" s="312"/>
      <c r="I952" s="313"/>
      <c r="J952" s="431"/>
      <c r="K952" s="313"/>
      <c r="L952" s="313"/>
      <c r="M952" s="313"/>
      <c r="N952" s="315"/>
      <c r="O952" s="313"/>
      <c r="P952" s="313"/>
      <c r="Q952" s="432"/>
      <c r="R952" s="313"/>
      <c r="S952" s="313"/>
      <c r="T952" s="317"/>
      <c r="U952" s="433"/>
      <c r="V952" s="288"/>
      <c r="W952" s="220"/>
      <c r="X952" s="220"/>
      <c r="Y952" s="220"/>
      <c r="Z952" s="220"/>
      <c r="AA952" s="220"/>
      <c r="AB952" s="220"/>
      <c r="AC952" s="220"/>
      <c r="AD952" s="220"/>
      <c r="AE952" s="220"/>
      <c r="AF952" s="220"/>
      <c r="AG952" s="308"/>
      <c r="AH952" s="220"/>
      <c r="AI952" s="220"/>
      <c r="AJ952" s="220"/>
      <c r="AK952" s="220"/>
      <c r="AL952" s="220"/>
      <c r="AM952" s="220"/>
    </row>
    <row r="953">
      <c r="A953" s="430"/>
      <c r="B953" s="311"/>
      <c r="C953" s="311"/>
      <c r="D953" s="312"/>
      <c r="E953" s="311"/>
      <c r="F953" s="311"/>
      <c r="G953" s="312"/>
      <c r="H953" s="312"/>
      <c r="I953" s="313"/>
      <c r="J953" s="431"/>
      <c r="K953" s="313"/>
      <c r="L953" s="313"/>
      <c r="M953" s="313"/>
      <c r="N953" s="315"/>
      <c r="O953" s="313"/>
      <c r="P953" s="313"/>
      <c r="Q953" s="432"/>
      <c r="R953" s="313"/>
      <c r="S953" s="313"/>
      <c r="T953" s="317"/>
      <c r="U953" s="433"/>
      <c r="V953" s="288"/>
      <c r="W953" s="220"/>
      <c r="X953" s="220"/>
      <c r="Y953" s="220"/>
      <c r="Z953" s="220"/>
      <c r="AA953" s="220"/>
      <c r="AB953" s="220"/>
      <c r="AC953" s="220"/>
      <c r="AD953" s="220"/>
      <c r="AE953" s="220"/>
      <c r="AF953" s="220"/>
      <c r="AG953" s="308"/>
      <c r="AH953" s="220"/>
      <c r="AI953" s="220"/>
      <c r="AJ953" s="220"/>
      <c r="AK953" s="220"/>
      <c r="AL953" s="220"/>
      <c r="AM953" s="220"/>
    </row>
    <row r="954">
      <c r="A954" s="430"/>
      <c r="B954" s="311"/>
      <c r="C954" s="311"/>
      <c r="D954" s="312"/>
      <c r="E954" s="311"/>
      <c r="F954" s="311"/>
      <c r="G954" s="312"/>
      <c r="H954" s="312"/>
      <c r="I954" s="313"/>
      <c r="J954" s="431"/>
      <c r="K954" s="313"/>
      <c r="L954" s="313"/>
      <c r="M954" s="313"/>
      <c r="N954" s="315"/>
      <c r="O954" s="313"/>
      <c r="P954" s="313"/>
      <c r="Q954" s="432"/>
      <c r="R954" s="313"/>
      <c r="S954" s="313"/>
      <c r="T954" s="317"/>
      <c r="U954" s="433"/>
      <c r="V954" s="288"/>
      <c r="W954" s="220"/>
      <c r="X954" s="220"/>
      <c r="Y954" s="220"/>
      <c r="Z954" s="220"/>
      <c r="AA954" s="220"/>
      <c r="AB954" s="220"/>
      <c r="AC954" s="220"/>
      <c r="AD954" s="220"/>
      <c r="AE954" s="220"/>
      <c r="AF954" s="220"/>
      <c r="AG954" s="308"/>
      <c r="AH954" s="220"/>
      <c r="AI954" s="220"/>
      <c r="AJ954" s="220"/>
      <c r="AK954" s="220"/>
      <c r="AL954" s="220"/>
      <c r="AM954" s="220"/>
    </row>
    <row r="955">
      <c r="A955" s="430"/>
      <c r="B955" s="311"/>
      <c r="C955" s="311"/>
      <c r="D955" s="312"/>
      <c r="E955" s="311"/>
      <c r="F955" s="311"/>
      <c r="G955" s="312"/>
      <c r="H955" s="312"/>
      <c r="I955" s="313"/>
      <c r="J955" s="431"/>
      <c r="K955" s="313"/>
      <c r="L955" s="313"/>
      <c r="M955" s="313"/>
      <c r="N955" s="315"/>
      <c r="O955" s="313"/>
      <c r="P955" s="313"/>
      <c r="Q955" s="432"/>
      <c r="R955" s="313"/>
      <c r="S955" s="313"/>
      <c r="T955" s="317"/>
      <c r="U955" s="433"/>
      <c r="V955" s="288"/>
      <c r="W955" s="220"/>
      <c r="X955" s="220"/>
      <c r="Y955" s="220"/>
      <c r="Z955" s="220"/>
      <c r="AA955" s="220"/>
      <c r="AB955" s="220"/>
      <c r="AC955" s="220"/>
      <c r="AD955" s="220"/>
      <c r="AE955" s="220"/>
      <c r="AF955" s="220"/>
      <c r="AG955" s="308"/>
      <c r="AH955" s="220"/>
      <c r="AI955" s="220"/>
      <c r="AJ955" s="220"/>
      <c r="AK955" s="220"/>
      <c r="AL955" s="220"/>
      <c r="AM955" s="220"/>
    </row>
    <row r="956">
      <c r="A956" s="430"/>
      <c r="B956" s="311"/>
      <c r="C956" s="311"/>
      <c r="D956" s="312"/>
      <c r="E956" s="311"/>
      <c r="F956" s="311"/>
      <c r="G956" s="312"/>
      <c r="H956" s="312"/>
      <c r="I956" s="313"/>
      <c r="J956" s="431"/>
      <c r="K956" s="313"/>
      <c r="L956" s="313"/>
      <c r="M956" s="313"/>
      <c r="N956" s="315"/>
      <c r="O956" s="313"/>
      <c r="P956" s="313"/>
      <c r="Q956" s="432"/>
      <c r="R956" s="313"/>
      <c r="S956" s="313"/>
      <c r="T956" s="317"/>
      <c r="U956" s="433"/>
      <c r="V956" s="288"/>
      <c r="W956" s="220"/>
      <c r="X956" s="220"/>
      <c r="Y956" s="220"/>
      <c r="Z956" s="220"/>
      <c r="AA956" s="220"/>
      <c r="AB956" s="220"/>
      <c r="AC956" s="220"/>
      <c r="AD956" s="220"/>
      <c r="AE956" s="220"/>
      <c r="AF956" s="220"/>
      <c r="AG956" s="308"/>
      <c r="AH956" s="220"/>
      <c r="AI956" s="220"/>
      <c r="AJ956" s="220"/>
      <c r="AK956" s="220"/>
      <c r="AL956" s="220"/>
      <c r="AM956" s="220"/>
    </row>
    <row r="957">
      <c r="A957" s="430"/>
      <c r="B957" s="311"/>
      <c r="C957" s="311"/>
      <c r="D957" s="312"/>
      <c r="E957" s="311"/>
      <c r="F957" s="311"/>
      <c r="G957" s="312"/>
      <c r="H957" s="312"/>
      <c r="I957" s="313"/>
      <c r="J957" s="431"/>
      <c r="K957" s="313"/>
      <c r="L957" s="313"/>
      <c r="M957" s="313"/>
      <c r="N957" s="315"/>
      <c r="O957" s="313"/>
      <c r="P957" s="313"/>
      <c r="Q957" s="432"/>
      <c r="R957" s="313"/>
      <c r="S957" s="313"/>
      <c r="T957" s="317"/>
      <c r="U957" s="433"/>
      <c r="V957" s="288"/>
      <c r="W957" s="220"/>
      <c r="X957" s="220"/>
      <c r="Y957" s="220"/>
      <c r="Z957" s="220"/>
      <c r="AA957" s="220"/>
      <c r="AB957" s="220"/>
      <c r="AC957" s="220"/>
      <c r="AD957" s="220"/>
      <c r="AE957" s="220"/>
      <c r="AF957" s="220"/>
      <c r="AG957" s="308"/>
      <c r="AH957" s="220"/>
      <c r="AI957" s="220"/>
      <c r="AJ957" s="220"/>
      <c r="AK957" s="220"/>
      <c r="AL957" s="220"/>
      <c r="AM957" s="220"/>
    </row>
    <row r="958">
      <c r="A958" s="430"/>
      <c r="B958" s="311"/>
      <c r="C958" s="311"/>
      <c r="D958" s="312"/>
      <c r="E958" s="311"/>
      <c r="F958" s="311"/>
      <c r="G958" s="312"/>
      <c r="H958" s="312"/>
      <c r="I958" s="313"/>
      <c r="J958" s="431"/>
      <c r="K958" s="313"/>
      <c r="L958" s="313"/>
      <c r="M958" s="313"/>
      <c r="N958" s="315"/>
      <c r="O958" s="313"/>
      <c r="P958" s="313"/>
      <c r="Q958" s="432"/>
      <c r="R958" s="313"/>
      <c r="S958" s="313"/>
      <c r="T958" s="317"/>
      <c r="U958" s="433"/>
      <c r="V958" s="288"/>
      <c r="W958" s="220"/>
      <c r="X958" s="220"/>
      <c r="Y958" s="220"/>
      <c r="Z958" s="220"/>
      <c r="AA958" s="220"/>
      <c r="AB958" s="220"/>
      <c r="AC958" s="220"/>
      <c r="AD958" s="220"/>
      <c r="AE958" s="220"/>
      <c r="AF958" s="220"/>
      <c r="AG958" s="308"/>
      <c r="AH958" s="220"/>
      <c r="AI958" s="220"/>
      <c r="AJ958" s="220"/>
      <c r="AK958" s="220"/>
      <c r="AL958" s="220"/>
      <c r="AM958" s="220"/>
    </row>
    <row r="959">
      <c r="A959" s="430"/>
      <c r="B959" s="311"/>
      <c r="C959" s="311"/>
      <c r="D959" s="312"/>
      <c r="E959" s="311"/>
      <c r="F959" s="311"/>
      <c r="G959" s="312"/>
      <c r="H959" s="312"/>
      <c r="I959" s="313"/>
      <c r="J959" s="431"/>
      <c r="K959" s="313"/>
      <c r="L959" s="313"/>
      <c r="M959" s="313"/>
      <c r="N959" s="315"/>
      <c r="O959" s="313"/>
      <c r="P959" s="313"/>
      <c r="Q959" s="432"/>
      <c r="R959" s="313"/>
      <c r="S959" s="313"/>
      <c r="T959" s="317"/>
      <c r="U959" s="433"/>
      <c r="V959" s="288"/>
      <c r="W959" s="220"/>
      <c r="X959" s="220"/>
      <c r="Y959" s="220"/>
      <c r="Z959" s="220"/>
      <c r="AA959" s="220"/>
      <c r="AB959" s="220"/>
      <c r="AC959" s="220"/>
      <c r="AD959" s="220"/>
      <c r="AE959" s="220"/>
      <c r="AF959" s="220"/>
      <c r="AG959" s="308"/>
      <c r="AH959" s="220"/>
      <c r="AI959" s="220"/>
      <c r="AJ959" s="220"/>
      <c r="AK959" s="220"/>
      <c r="AL959" s="220"/>
      <c r="AM959" s="220"/>
    </row>
    <row r="960">
      <c r="A960" s="430"/>
      <c r="B960" s="311"/>
      <c r="C960" s="311"/>
      <c r="D960" s="312"/>
      <c r="E960" s="311"/>
      <c r="F960" s="311"/>
      <c r="G960" s="312"/>
      <c r="H960" s="312"/>
      <c r="I960" s="313"/>
      <c r="J960" s="431"/>
      <c r="K960" s="313"/>
      <c r="L960" s="313"/>
      <c r="M960" s="313"/>
      <c r="N960" s="315"/>
      <c r="O960" s="313"/>
      <c r="P960" s="313"/>
      <c r="Q960" s="432"/>
      <c r="R960" s="313"/>
      <c r="S960" s="313"/>
      <c r="T960" s="317"/>
      <c r="U960" s="433"/>
      <c r="V960" s="288"/>
      <c r="W960" s="220"/>
      <c r="X960" s="220"/>
      <c r="Y960" s="220"/>
      <c r="Z960" s="220"/>
      <c r="AA960" s="220"/>
      <c r="AB960" s="220"/>
      <c r="AC960" s="220"/>
      <c r="AD960" s="220"/>
      <c r="AE960" s="220"/>
      <c r="AF960" s="220"/>
      <c r="AG960" s="308"/>
      <c r="AH960" s="220"/>
      <c r="AI960" s="220"/>
      <c r="AJ960" s="220"/>
      <c r="AK960" s="220"/>
      <c r="AL960" s="220"/>
      <c r="AM960" s="220"/>
    </row>
    <row r="961">
      <c r="A961" s="430"/>
      <c r="B961" s="311"/>
      <c r="C961" s="311"/>
      <c r="D961" s="312"/>
      <c r="E961" s="311"/>
      <c r="F961" s="311"/>
      <c r="G961" s="312"/>
      <c r="H961" s="312"/>
      <c r="I961" s="313"/>
      <c r="J961" s="431"/>
      <c r="K961" s="313"/>
      <c r="L961" s="313"/>
      <c r="M961" s="313"/>
      <c r="N961" s="315"/>
      <c r="O961" s="313"/>
      <c r="P961" s="313"/>
      <c r="Q961" s="432"/>
      <c r="R961" s="313"/>
      <c r="S961" s="313"/>
      <c r="T961" s="317"/>
      <c r="U961" s="433"/>
      <c r="V961" s="288"/>
      <c r="W961" s="220"/>
      <c r="X961" s="220"/>
      <c r="Y961" s="220"/>
      <c r="Z961" s="220"/>
      <c r="AA961" s="220"/>
      <c r="AB961" s="220"/>
      <c r="AC961" s="220"/>
      <c r="AD961" s="220"/>
      <c r="AE961" s="220"/>
      <c r="AF961" s="220"/>
      <c r="AG961" s="308"/>
      <c r="AH961" s="220"/>
      <c r="AI961" s="220"/>
      <c r="AJ961" s="220"/>
      <c r="AK961" s="220"/>
      <c r="AL961" s="220"/>
      <c r="AM961" s="220"/>
    </row>
    <row r="962">
      <c r="A962" s="430"/>
      <c r="B962" s="311"/>
      <c r="C962" s="311"/>
      <c r="D962" s="312"/>
      <c r="E962" s="311"/>
      <c r="F962" s="311"/>
      <c r="G962" s="312"/>
      <c r="H962" s="312"/>
      <c r="I962" s="313"/>
      <c r="J962" s="431"/>
      <c r="K962" s="313"/>
      <c r="L962" s="313"/>
      <c r="M962" s="313"/>
      <c r="N962" s="315"/>
      <c r="O962" s="313"/>
      <c r="P962" s="313"/>
      <c r="Q962" s="432"/>
      <c r="R962" s="313"/>
      <c r="S962" s="313"/>
      <c r="T962" s="317"/>
      <c r="U962" s="433"/>
      <c r="V962" s="288"/>
      <c r="W962" s="220"/>
      <c r="X962" s="220"/>
      <c r="Y962" s="220"/>
      <c r="Z962" s="220"/>
      <c r="AA962" s="220"/>
      <c r="AB962" s="220"/>
      <c r="AC962" s="220"/>
      <c r="AD962" s="220"/>
      <c r="AE962" s="220"/>
      <c r="AF962" s="220"/>
      <c r="AG962" s="308"/>
      <c r="AH962" s="220"/>
      <c r="AI962" s="220"/>
      <c r="AJ962" s="220"/>
      <c r="AK962" s="220"/>
      <c r="AL962" s="220"/>
      <c r="AM962" s="220"/>
    </row>
    <row r="963">
      <c r="A963" s="430"/>
      <c r="B963" s="311"/>
      <c r="C963" s="311"/>
      <c r="D963" s="312"/>
      <c r="E963" s="311"/>
      <c r="F963" s="311"/>
      <c r="G963" s="312"/>
      <c r="H963" s="312"/>
      <c r="I963" s="313"/>
      <c r="J963" s="431"/>
      <c r="K963" s="313"/>
      <c r="L963" s="313"/>
      <c r="M963" s="313"/>
      <c r="N963" s="315"/>
      <c r="O963" s="313"/>
      <c r="P963" s="313"/>
      <c r="Q963" s="432"/>
      <c r="R963" s="313"/>
      <c r="S963" s="313"/>
      <c r="T963" s="317"/>
      <c r="U963" s="433"/>
      <c r="V963" s="288"/>
      <c r="W963" s="220"/>
      <c r="X963" s="220"/>
      <c r="Y963" s="220"/>
      <c r="Z963" s="220"/>
      <c r="AA963" s="220"/>
      <c r="AB963" s="220"/>
      <c r="AC963" s="220"/>
      <c r="AD963" s="220"/>
      <c r="AE963" s="220"/>
      <c r="AF963" s="220"/>
      <c r="AG963" s="308"/>
      <c r="AH963" s="220"/>
      <c r="AI963" s="220"/>
      <c r="AJ963" s="220"/>
      <c r="AK963" s="220"/>
      <c r="AL963" s="220"/>
      <c r="AM963" s="220"/>
    </row>
    <row r="964">
      <c r="A964" s="430"/>
      <c r="B964" s="311"/>
      <c r="C964" s="311"/>
      <c r="D964" s="312"/>
      <c r="E964" s="311"/>
      <c r="F964" s="311"/>
      <c r="G964" s="312"/>
      <c r="H964" s="312"/>
      <c r="I964" s="313"/>
      <c r="J964" s="431"/>
      <c r="K964" s="313"/>
      <c r="L964" s="313"/>
      <c r="M964" s="313"/>
      <c r="N964" s="315"/>
      <c r="O964" s="313"/>
      <c r="P964" s="313"/>
      <c r="Q964" s="432"/>
      <c r="R964" s="313"/>
      <c r="S964" s="313"/>
      <c r="T964" s="317"/>
      <c r="U964" s="433"/>
      <c r="V964" s="288"/>
      <c r="W964" s="220"/>
      <c r="X964" s="220"/>
      <c r="Y964" s="220"/>
      <c r="Z964" s="220"/>
      <c r="AA964" s="220"/>
      <c r="AB964" s="220"/>
      <c r="AC964" s="220"/>
      <c r="AD964" s="220"/>
      <c r="AE964" s="220"/>
      <c r="AF964" s="220"/>
      <c r="AG964" s="308"/>
      <c r="AH964" s="220"/>
      <c r="AI964" s="220"/>
      <c r="AJ964" s="220"/>
      <c r="AK964" s="220"/>
      <c r="AL964" s="220"/>
      <c r="AM964" s="220"/>
    </row>
    <row r="965">
      <c r="A965" s="430"/>
      <c r="B965" s="311"/>
      <c r="C965" s="311"/>
      <c r="D965" s="312"/>
      <c r="E965" s="311"/>
      <c r="F965" s="311"/>
      <c r="G965" s="312"/>
      <c r="H965" s="312"/>
      <c r="I965" s="313"/>
      <c r="J965" s="431"/>
      <c r="K965" s="313"/>
      <c r="L965" s="313"/>
      <c r="M965" s="313"/>
      <c r="N965" s="315"/>
      <c r="O965" s="313"/>
      <c r="P965" s="313"/>
      <c r="Q965" s="432"/>
      <c r="R965" s="313"/>
      <c r="S965" s="313"/>
      <c r="T965" s="317"/>
      <c r="U965" s="433"/>
      <c r="V965" s="288"/>
      <c r="W965" s="220"/>
      <c r="X965" s="220"/>
      <c r="Y965" s="220"/>
      <c r="Z965" s="220"/>
      <c r="AA965" s="220"/>
      <c r="AB965" s="220"/>
      <c r="AC965" s="220"/>
      <c r="AD965" s="220"/>
      <c r="AE965" s="220"/>
      <c r="AF965" s="220"/>
      <c r="AG965" s="308"/>
      <c r="AH965" s="220"/>
      <c r="AI965" s="220"/>
      <c r="AJ965" s="220"/>
      <c r="AK965" s="220"/>
      <c r="AL965" s="220"/>
      <c r="AM965" s="220"/>
    </row>
    <row r="966">
      <c r="A966" s="430"/>
      <c r="B966" s="311"/>
      <c r="C966" s="311"/>
      <c r="D966" s="312"/>
      <c r="E966" s="311"/>
      <c r="F966" s="311"/>
      <c r="G966" s="312"/>
      <c r="H966" s="312"/>
      <c r="I966" s="313"/>
      <c r="J966" s="431"/>
      <c r="K966" s="313"/>
      <c r="L966" s="313"/>
      <c r="M966" s="313"/>
      <c r="N966" s="315"/>
      <c r="O966" s="313"/>
      <c r="P966" s="313"/>
      <c r="Q966" s="432"/>
      <c r="R966" s="313"/>
      <c r="S966" s="313"/>
      <c r="T966" s="317"/>
      <c r="U966" s="433"/>
      <c r="V966" s="288"/>
      <c r="W966" s="220"/>
      <c r="X966" s="220"/>
      <c r="Y966" s="220"/>
      <c r="Z966" s="220"/>
      <c r="AA966" s="220"/>
      <c r="AB966" s="220"/>
      <c r="AC966" s="220"/>
      <c r="AD966" s="220"/>
      <c r="AE966" s="220"/>
      <c r="AF966" s="220"/>
      <c r="AG966" s="308"/>
      <c r="AH966" s="220"/>
      <c r="AI966" s="220"/>
      <c r="AJ966" s="220"/>
      <c r="AK966" s="220"/>
      <c r="AL966" s="220"/>
      <c r="AM966" s="220"/>
    </row>
    <row r="967">
      <c r="A967" s="430"/>
      <c r="B967" s="311"/>
      <c r="C967" s="311"/>
      <c r="D967" s="312"/>
      <c r="E967" s="311"/>
      <c r="F967" s="311"/>
      <c r="G967" s="312"/>
      <c r="H967" s="312"/>
      <c r="I967" s="313"/>
      <c r="J967" s="431"/>
      <c r="K967" s="313"/>
      <c r="L967" s="313"/>
      <c r="M967" s="313"/>
      <c r="N967" s="315"/>
      <c r="O967" s="313"/>
      <c r="P967" s="313"/>
      <c r="Q967" s="432"/>
      <c r="R967" s="313"/>
      <c r="S967" s="313"/>
      <c r="T967" s="317"/>
      <c r="U967" s="433"/>
      <c r="V967" s="288"/>
      <c r="W967" s="220"/>
      <c r="X967" s="220"/>
      <c r="Y967" s="220"/>
      <c r="Z967" s="220"/>
      <c r="AA967" s="220"/>
      <c r="AB967" s="220"/>
      <c r="AC967" s="220"/>
      <c r="AD967" s="220"/>
      <c r="AE967" s="220"/>
      <c r="AF967" s="220"/>
      <c r="AG967" s="308"/>
      <c r="AH967" s="220"/>
      <c r="AI967" s="220"/>
      <c r="AJ967" s="220"/>
      <c r="AK967" s="220"/>
      <c r="AL967" s="220"/>
      <c r="AM967" s="220"/>
    </row>
    <row r="968">
      <c r="A968" s="430"/>
      <c r="B968" s="311"/>
      <c r="C968" s="311"/>
      <c r="D968" s="312"/>
      <c r="E968" s="311"/>
      <c r="F968" s="311"/>
      <c r="G968" s="312"/>
      <c r="H968" s="312"/>
      <c r="I968" s="313"/>
      <c r="J968" s="431"/>
      <c r="K968" s="313"/>
      <c r="L968" s="313"/>
      <c r="M968" s="313"/>
      <c r="N968" s="315"/>
      <c r="O968" s="313"/>
      <c r="P968" s="313"/>
      <c r="Q968" s="432"/>
      <c r="R968" s="313"/>
      <c r="S968" s="313"/>
      <c r="T968" s="317"/>
      <c r="U968" s="433"/>
      <c r="V968" s="288"/>
      <c r="W968" s="220"/>
      <c r="X968" s="220"/>
      <c r="Y968" s="220"/>
      <c r="Z968" s="220"/>
      <c r="AA968" s="220"/>
      <c r="AB968" s="220"/>
      <c r="AC968" s="220"/>
      <c r="AD968" s="220"/>
      <c r="AE968" s="220"/>
      <c r="AF968" s="220"/>
      <c r="AG968" s="308"/>
      <c r="AH968" s="220"/>
      <c r="AI968" s="220"/>
      <c r="AJ968" s="220"/>
      <c r="AK968" s="220"/>
      <c r="AL968" s="220"/>
      <c r="AM968" s="220"/>
    </row>
    <row r="969">
      <c r="A969" s="430"/>
      <c r="B969" s="311"/>
      <c r="C969" s="311"/>
      <c r="D969" s="312"/>
      <c r="E969" s="311"/>
      <c r="F969" s="311"/>
      <c r="G969" s="312"/>
      <c r="H969" s="312"/>
      <c r="I969" s="313"/>
      <c r="J969" s="431"/>
      <c r="K969" s="313"/>
      <c r="L969" s="313"/>
      <c r="M969" s="313"/>
      <c r="N969" s="315"/>
      <c r="O969" s="313"/>
      <c r="P969" s="313"/>
      <c r="Q969" s="432"/>
      <c r="R969" s="313"/>
      <c r="S969" s="313"/>
      <c r="T969" s="317"/>
      <c r="U969" s="433"/>
      <c r="V969" s="288"/>
      <c r="W969" s="220"/>
      <c r="X969" s="220"/>
      <c r="Y969" s="220"/>
      <c r="Z969" s="220"/>
      <c r="AA969" s="220"/>
      <c r="AB969" s="220"/>
      <c r="AC969" s="220"/>
      <c r="AD969" s="220"/>
      <c r="AE969" s="220"/>
      <c r="AF969" s="220"/>
      <c r="AG969" s="308"/>
      <c r="AH969" s="220"/>
      <c r="AI969" s="220"/>
      <c r="AJ969" s="220"/>
      <c r="AK969" s="220"/>
      <c r="AL969" s="220"/>
      <c r="AM969" s="220"/>
    </row>
    <row r="970">
      <c r="A970" s="430"/>
      <c r="B970" s="311"/>
      <c r="C970" s="311"/>
      <c r="D970" s="312"/>
      <c r="E970" s="311"/>
      <c r="F970" s="311"/>
      <c r="G970" s="312"/>
      <c r="H970" s="312"/>
      <c r="I970" s="313"/>
      <c r="J970" s="431"/>
      <c r="K970" s="313"/>
      <c r="L970" s="313"/>
      <c r="M970" s="313"/>
      <c r="N970" s="315"/>
      <c r="O970" s="313"/>
      <c r="P970" s="313"/>
      <c r="Q970" s="432"/>
      <c r="R970" s="313"/>
      <c r="S970" s="313"/>
      <c r="T970" s="317"/>
      <c r="U970" s="433"/>
      <c r="V970" s="288"/>
      <c r="W970" s="220"/>
      <c r="X970" s="220"/>
      <c r="Y970" s="220"/>
      <c r="Z970" s="220"/>
      <c r="AA970" s="220"/>
      <c r="AB970" s="220"/>
      <c r="AC970" s="220"/>
      <c r="AD970" s="220"/>
      <c r="AE970" s="220"/>
      <c r="AF970" s="220"/>
      <c r="AG970" s="308"/>
      <c r="AH970" s="220"/>
      <c r="AI970" s="220"/>
      <c r="AJ970" s="220"/>
      <c r="AK970" s="220"/>
      <c r="AL970" s="220"/>
      <c r="AM970" s="220"/>
    </row>
    <row r="971">
      <c r="A971" s="430"/>
      <c r="B971" s="311"/>
      <c r="C971" s="311"/>
      <c r="D971" s="312"/>
      <c r="E971" s="311"/>
      <c r="F971" s="311"/>
      <c r="G971" s="312"/>
      <c r="H971" s="312"/>
      <c r="I971" s="313"/>
      <c r="J971" s="431"/>
      <c r="K971" s="313"/>
      <c r="L971" s="313"/>
      <c r="M971" s="313"/>
      <c r="N971" s="315"/>
      <c r="O971" s="313"/>
      <c r="P971" s="313"/>
      <c r="Q971" s="432"/>
      <c r="R971" s="313"/>
      <c r="S971" s="313"/>
      <c r="T971" s="317"/>
      <c r="U971" s="433"/>
      <c r="V971" s="288"/>
      <c r="W971" s="220"/>
      <c r="X971" s="220"/>
      <c r="Y971" s="220"/>
      <c r="Z971" s="220"/>
      <c r="AA971" s="220"/>
      <c r="AB971" s="220"/>
      <c r="AC971" s="220"/>
      <c r="AD971" s="220"/>
      <c r="AE971" s="220"/>
      <c r="AF971" s="220"/>
      <c r="AG971" s="308"/>
      <c r="AH971" s="220"/>
      <c r="AI971" s="220"/>
      <c r="AJ971" s="220"/>
      <c r="AK971" s="220"/>
      <c r="AL971" s="220"/>
      <c r="AM971" s="220"/>
    </row>
    <row r="972">
      <c r="A972" s="430"/>
      <c r="B972" s="311"/>
      <c r="C972" s="311"/>
      <c r="D972" s="312"/>
      <c r="E972" s="311"/>
      <c r="F972" s="311"/>
      <c r="G972" s="312"/>
      <c r="H972" s="312"/>
      <c r="I972" s="313"/>
      <c r="J972" s="431"/>
      <c r="K972" s="313"/>
      <c r="L972" s="313"/>
      <c r="M972" s="313"/>
      <c r="N972" s="315"/>
      <c r="O972" s="313"/>
      <c r="P972" s="313"/>
      <c r="Q972" s="432"/>
      <c r="R972" s="313"/>
      <c r="S972" s="313"/>
      <c r="T972" s="317"/>
      <c r="U972" s="433"/>
      <c r="V972" s="288"/>
      <c r="W972" s="220"/>
      <c r="X972" s="220"/>
      <c r="Y972" s="220"/>
      <c r="Z972" s="220"/>
      <c r="AA972" s="220"/>
      <c r="AB972" s="220"/>
      <c r="AC972" s="220"/>
      <c r="AD972" s="220"/>
      <c r="AE972" s="220"/>
      <c r="AF972" s="220"/>
      <c r="AG972" s="308"/>
      <c r="AH972" s="220"/>
      <c r="AI972" s="220"/>
      <c r="AJ972" s="220"/>
      <c r="AK972" s="220"/>
      <c r="AL972" s="220"/>
      <c r="AM972" s="220"/>
    </row>
    <row r="973">
      <c r="A973" s="430"/>
      <c r="B973" s="311"/>
      <c r="C973" s="311"/>
      <c r="D973" s="312"/>
      <c r="E973" s="311"/>
      <c r="F973" s="311"/>
      <c r="G973" s="312"/>
      <c r="H973" s="312"/>
      <c r="I973" s="313"/>
      <c r="J973" s="431"/>
      <c r="K973" s="313"/>
      <c r="L973" s="313"/>
      <c r="M973" s="313"/>
      <c r="N973" s="315"/>
      <c r="O973" s="313"/>
      <c r="P973" s="313"/>
      <c r="Q973" s="432"/>
      <c r="R973" s="313"/>
      <c r="S973" s="313"/>
      <c r="T973" s="317"/>
      <c r="U973" s="433"/>
      <c r="V973" s="288"/>
      <c r="W973" s="220"/>
      <c r="X973" s="220"/>
      <c r="Y973" s="220"/>
      <c r="Z973" s="220"/>
      <c r="AA973" s="220"/>
      <c r="AB973" s="220"/>
      <c r="AC973" s="220"/>
      <c r="AD973" s="220"/>
      <c r="AE973" s="220"/>
      <c r="AF973" s="220"/>
      <c r="AG973" s="308"/>
      <c r="AH973" s="220"/>
      <c r="AI973" s="220"/>
      <c r="AJ973" s="220"/>
      <c r="AK973" s="220"/>
      <c r="AL973" s="220"/>
      <c r="AM973" s="220"/>
    </row>
    <row r="974">
      <c r="A974" s="430"/>
      <c r="B974" s="311"/>
      <c r="C974" s="311"/>
      <c r="D974" s="312"/>
      <c r="E974" s="311"/>
      <c r="F974" s="311"/>
      <c r="G974" s="312"/>
      <c r="H974" s="312"/>
      <c r="I974" s="313"/>
      <c r="J974" s="431"/>
      <c r="K974" s="313"/>
      <c r="L974" s="313"/>
      <c r="M974" s="313"/>
      <c r="N974" s="315"/>
      <c r="O974" s="313"/>
      <c r="P974" s="313"/>
      <c r="Q974" s="432"/>
      <c r="R974" s="313"/>
      <c r="S974" s="313"/>
      <c r="T974" s="317"/>
      <c r="U974" s="433"/>
      <c r="V974" s="288"/>
      <c r="W974" s="220"/>
      <c r="X974" s="220"/>
      <c r="Y974" s="220"/>
      <c r="Z974" s="220"/>
      <c r="AA974" s="220"/>
      <c r="AB974" s="220"/>
      <c r="AC974" s="220"/>
      <c r="AD974" s="220"/>
      <c r="AE974" s="220"/>
      <c r="AF974" s="220"/>
      <c r="AG974" s="308"/>
      <c r="AH974" s="220"/>
      <c r="AI974" s="220"/>
      <c r="AJ974" s="220"/>
      <c r="AK974" s="220"/>
      <c r="AL974" s="220"/>
      <c r="AM974" s="220"/>
    </row>
    <row r="975">
      <c r="A975" s="430"/>
      <c r="B975" s="311"/>
      <c r="C975" s="311"/>
      <c r="D975" s="312"/>
      <c r="E975" s="311"/>
      <c r="F975" s="311"/>
      <c r="G975" s="312"/>
      <c r="H975" s="312"/>
      <c r="I975" s="313"/>
      <c r="J975" s="431"/>
      <c r="K975" s="313"/>
      <c r="L975" s="313"/>
      <c r="M975" s="313"/>
      <c r="N975" s="315"/>
      <c r="O975" s="313"/>
      <c r="P975" s="313"/>
      <c r="Q975" s="432"/>
      <c r="R975" s="313"/>
      <c r="S975" s="313"/>
      <c r="T975" s="317"/>
      <c r="U975" s="433"/>
      <c r="V975" s="288"/>
      <c r="W975" s="220"/>
      <c r="X975" s="220"/>
      <c r="Y975" s="220"/>
      <c r="Z975" s="220"/>
      <c r="AA975" s="220"/>
      <c r="AB975" s="220"/>
      <c r="AC975" s="220"/>
      <c r="AD975" s="220"/>
      <c r="AE975" s="220"/>
      <c r="AF975" s="220"/>
      <c r="AG975" s="308"/>
      <c r="AH975" s="220"/>
      <c r="AI975" s="220"/>
      <c r="AJ975" s="220"/>
      <c r="AK975" s="220"/>
      <c r="AL975" s="220"/>
      <c r="AM975" s="220"/>
    </row>
    <row r="976">
      <c r="A976" s="430"/>
      <c r="B976" s="311"/>
      <c r="C976" s="311"/>
      <c r="D976" s="312"/>
      <c r="E976" s="311"/>
      <c r="F976" s="311"/>
      <c r="G976" s="312"/>
      <c r="H976" s="312"/>
      <c r="I976" s="313"/>
      <c r="J976" s="431"/>
      <c r="K976" s="313"/>
      <c r="L976" s="313"/>
      <c r="M976" s="313"/>
      <c r="N976" s="315"/>
      <c r="O976" s="313"/>
      <c r="P976" s="313"/>
      <c r="Q976" s="432"/>
      <c r="R976" s="313"/>
      <c r="S976" s="313"/>
      <c r="T976" s="317"/>
      <c r="U976" s="433"/>
      <c r="V976" s="288"/>
      <c r="W976" s="220"/>
      <c r="X976" s="220"/>
      <c r="Y976" s="220"/>
      <c r="Z976" s="220"/>
      <c r="AA976" s="220"/>
      <c r="AB976" s="220"/>
      <c r="AC976" s="220"/>
      <c r="AD976" s="220"/>
      <c r="AE976" s="220"/>
      <c r="AF976" s="220"/>
      <c r="AG976" s="308"/>
      <c r="AH976" s="220"/>
      <c r="AI976" s="220"/>
      <c r="AJ976" s="220"/>
      <c r="AK976" s="220"/>
      <c r="AL976" s="220"/>
      <c r="AM976" s="220"/>
    </row>
    <row r="977">
      <c r="A977" s="430"/>
      <c r="B977" s="311"/>
      <c r="C977" s="311"/>
      <c r="D977" s="312"/>
      <c r="E977" s="311"/>
      <c r="F977" s="311"/>
      <c r="G977" s="312"/>
      <c r="H977" s="312"/>
      <c r="I977" s="313"/>
      <c r="J977" s="431"/>
      <c r="K977" s="313"/>
      <c r="L977" s="313"/>
      <c r="M977" s="313"/>
      <c r="N977" s="315"/>
      <c r="O977" s="313"/>
      <c r="P977" s="313"/>
      <c r="Q977" s="432"/>
      <c r="R977" s="313"/>
      <c r="S977" s="313"/>
      <c r="T977" s="317"/>
      <c r="U977" s="433"/>
      <c r="V977" s="288"/>
      <c r="W977" s="220"/>
      <c r="X977" s="220"/>
      <c r="Y977" s="220"/>
      <c r="Z977" s="220"/>
      <c r="AA977" s="220"/>
      <c r="AB977" s="220"/>
      <c r="AC977" s="220"/>
      <c r="AD977" s="220"/>
      <c r="AE977" s="220"/>
      <c r="AF977" s="220"/>
      <c r="AG977" s="308"/>
      <c r="AH977" s="220"/>
      <c r="AI977" s="220"/>
      <c r="AJ977" s="220"/>
      <c r="AK977" s="220"/>
      <c r="AL977" s="220"/>
      <c r="AM977" s="220"/>
    </row>
    <row r="978">
      <c r="A978" s="430"/>
      <c r="B978" s="311"/>
      <c r="C978" s="311"/>
      <c r="D978" s="312"/>
      <c r="E978" s="311"/>
      <c r="F978" s="311"/>
      <c r="G978" s="312"/>
      <c r="H978" s="312"/>
      <c r="I978" s="313"/>
      <c r="J978" s="431"/>
      <c r="K978" s="313"/>
      <c r="L978" s="313"/>
      <c r="M978" s="313"/>
      <c r="N978" s="315"/>
      <c r="O978" s="313"/>
      <c r="P978" s="313"/>
      <c r="Q978" s="432"/>
      <c r="R978" s="313"/>
      <c r="S978" s="313"/>
      <c r="T978" s="317"/>
      <c r="U978" s="433"/>
      <c r="V978" s="288"/>
      <c r="W978" s="220"/>
      <c r="X978" s="220"/>
      <c r="Y978" s="220"/>
      <c r="Z978" s="220"/>
      <c r="AA978" s="220"/>
      <c r="AB978" s="220"/>
      <c r="AC978" s="220"/>
      <c r="AD978" s="220"/>
      <c r="AE978" s="220"/>
      <c r="AF978" s="220"/>
      <c r="AG978" s="308"/>
      <c r="AH978" s="220"/>
      <c r="AI978" s="220"/>
      <c r="AJ978" s="220"/>
      <c r="AK978" s="220"/>
      <c r="AL978" s="220"/>
      <c r="AM978" s="220"/>
    </row>
    <row r="979">
      <c r="A979" s="430"/>
      <c r="B979" s="311"/>
      <c r="C979" s="311"/>
      <c r="D979" s="312"/>
      <c r="E979" s="311"/>
      <c r="F979" s="311"/>
      <c r="G979" s="312"/>
      <c r="H979" s="312"/>
      <c r="I979" s="313"/>
      <c r="J979" s="431"/>
      <c r="K979" s="313"/>
      <c r="L979" s="313"/>
      <c r="M979" s="313"/>
      <c r="N979" s="315"/>
      <c r="O979" s="313"/>
      <c r="P979" s="313"/>
      <c r="Q979" s="432"/>
      <c r="R979" s="313"/>
      <c r="S979" s="313"/>
      <c r="T979" s="317"/>
      <c r="U979" s="433"/>
      <c r="V979" s="288"/>
      <c r="W979" s="220"/>
      <c r="X979" s="220"/>
      <c r="Y979" s="220"/>
      <c r="Z979" s="220"/>
      <c r="AA979" s="220"/>
      <c r="AB979" s="220"/>
      <c r="AC979" s="220"/>
      <c r="AD979" s="220"/>
      <c r="AE979" s="220"/>
      <c r="AF979" s="220"/>
      <c r="AG979" s="308"/>
      <c r="AH979" s="220"/>
      <c r="AI979" s="220"/>
      <c r="AJ979" s="220"/>
      <c r="AK979" s="220"/>
      <c r="AL979" s="220"/>
      <c r="AM979" s="220"/>
    </row>
    <row r="980">
      <c r="A980" s="430"/>
      <c r="B980" s="311"/>
      <c r="C980" s="311"/>
      <c r="D980" s="312"/>
      <c r="E980" s="311"/>
      <c r="F980" s="311"/>
      <c r="G980" s="312"/>
      <c r="H980" s="312"/>
      <c r="I980" s="313"/>
      <c r="J980" s="431"/>
      <c r="K980" s="313"/>
      <c r="L980" s="313"/>
      <c r="M980" s="313"/>
      <c r="N980" s="315"/>
      <c r="O980" s="313"/>
      <c r="P980" s="313"/>
      <c r="Q980" s="432"/>
      <c r="R980" s="313"/>
      <c r="S980" s="313"/>
      <c r="T980" s="317"/>
      <c r="U980" s="433"/>
      <c r="V980" s="288"/>
      <c r="W980" s="220"/>
      <c r="X980" s="220"/>
      <c r="Y980" s="220"/>
      <c r="Z980" s="220"/>
      <c r="AA980" s="220"/>
      <c r="AB980" s="220"/>
      <c r="AC980" s="220"/>
      <c r="AD980" s="220"/>
      <c r="AE980" s="220"/>
      <c r="AF980" s="220"/>
      <c r="AG980" s="308"/>
      <c r="AH980" s="220"/>
      <c r="AI980" s="220"/>
      <c r="AJ980" s="220"/>
      <c r="AK980" s="220"/>
      <c r="AL980" s="220"/>
      <c r="AM980" s="220"/>
    </row>
    <row r="981">
      <c r="A981" s="430"/>
      <c r="B981" s="311"/>
      <c r="C981" s="311"/>
      <c r="D981" s="312"/>
      <c r="E981" s="311"/>
      <c r="F981" s="311"/>
      <c r="G981" s="312"/>
      <c r="H981" s="312"/>
      <c r="I981" s="313"/>
      <c r="J981" s="431"/>
      <c r="K981" s="313"/>
      <c r="L981" s="313"/>
      <c r="M981" s="313"/>
      <c r="N981" s="315"/>
      <c r="O981" s="313"/>
      <c r="P981" s="313"/>
      <c r="Q981" s="432"/>
      <c r="R981" s="313"/>
      <c r="S981" s="313"/>
      <c r="T981" s="317"/>
      <c r="U981" s="433"/>
      <c r="V981" s="288"/>
      <c r="W981" s="220"/>
      <c r="X981" s="220"/>
      <c r="Y981" s="220"/>
      <c r="Z981" s="220"/>
      <c r="AA981" s="220"/>
      <c r="AB981" s="220"/>
      <c r="AC981" s="220"/>
      <c r="AD981" s="220"/>
      <c r="AE981" s="220"/>
      <c r="AF981" s="220"/>
      <c r="AG981" s="308"/>
      <c r="AH981" s="220"/>
      <c r="AI981" s="220"/>
      <c r="AJ981" s="220"/>
      <c r="AK981" s="220"/>
      <c r="AL981" s="220"/>
      <c r="AM981" s="220"/>
    </row>
    <row r="982">
      <c r="A982" s="430"/>
      <c r="B982" s="311"/>
      <c r="C982" s="311"/>
      <c r="D982" s="312"/>
      <c r="E982" s="311"/>
      <c r="F982" s="311"/>
      <c r="G982" s="312"/>
      <c r="H982" s="312"/>
      <c r="I982" s="313"/>
      <c r="J982" s="431"/>
      <c r="K982" s="313"/>
      <c r="L982" s="313"/>
      <c r="M982" s="313"/>
      <c r="N982" s="315"/>
      <c r="O982" s="313"/>
      <c r="P982" s="313"/>
      <c r="Q982" s="432"/>
      <c r="R982" s="313"/>
      <c r="S982" s="313"/>
      <c r="T982" s="317"/>
      <c r="U982" s="433"/>
      <c r="V982" s="288"/>
      <c r="W982" s="220"/>
      <c r="X982" s="220"/>
      <c r="Y982" s="220"/>
      <c r="Z982" s="220"/>
      <c r="AA982" s="220"/>
      <c r="AB982" s="220"/>
      <c r="AC982" s="220"/>
      <c r="AD982" s="220"/>
      <c r="AE982" s="220"/>
      <c r="AF982" s="220"/>
      <c r="AG982" s="308"/>
      <c r="AH982" s="220"/>
      <c r="AI982" s="220"/>
      <c r="AJ982" s="220"/>
      <c r="AK982" s="220"/>
      <c r="AL982" s="220"/>
      <c r="AM982" s="220"/>
    </row>
    <row r="983">
      <c r="A983" s="430"/>
      <c r="B983" s="311"/>
      <c r="C983" s="311"/>
      <c r="D983" s="312"/>
      <c r="E983" s="311"/>
      <c r="F983" s="311"/>
      <c r="G983" s="312"/>
      <c r="H983" s="312"/>
      <c r="I983" s="313"/>
      <c r="J983" s="431"/>
      <c r="K983" s="313"/>
      <c r="L983" s="313"/>
      <c r="M983" s="313"/>
      <c r="N983" s="315"/>
      <c r="O983" s="313"/>
      <c r="P983" s="313"/>
      <c r="Q983" s="432"/>
      <c r="R983" s="313"/>
      <c r="S983" s="313"/>
      <c r="T983" s="317"/>
      <c r="U983" s="433"/>
      <c r="V983" s="288"/>
      <c r="W983" s="220"/>
      <c r="X983" s="220"/>
      <c r="Y983" s="220"/>
      <c r="Z983" s="220"/>
      <c r="AA983" s="220"/>
      <c r="AB983" s="220"/>
      <c r="AC983" s="220"/>
      <c r="AD983" s="220"/>
      <c r="AE983" s="220"/>
      <c r="AF983" s="220"/>
      <c r="AG983" s="308"/>
      <c r="AH983" s="220"/>
      <c r="AI983" s="220"/>
      <c r="AJ983" s="220"/>
      <c r="AK983" s="220"/>
      <c r="AL983" s="220"/>
      <c r="AM983" s="220"/>
    </row>
    <row r="984">
      <c r="A984" s="430"/>
      <c r="B984" s="311"/>
      <c r="C984" s="311"/>
      <c r="D984" s="312"/>
      <c r="E984" s="311"/>
      <c r="F984" s="311"/>
      <c r="G984" s="312"/>
      <c r="H984" s="312"/>
      <c r="I984" s="313"/>
      <c r="J984" s="431"/>
      <c r="K984" s="313"/>
      <c r="L984" s="313"/>
      <c r="M984" s="313"/>
      <c r="N984" s="315"/>
      <c r="O984" s="313"/>
      <c r="P984" s="313"/>
      <c r="Q984" s="432"/>
      <c r="R984" s="313"/>
      <c r="S984" s="313"/>
      <c r="T984" s="317"/>
      <c r="U984" s="433"/>
      <c r="V984" s="288"/>
      <c r="W984" s="220"/>
      <c r="X984" s="220"/>
      <c r="Y984" s="220"/>
      <c r="Z984" s="220"/>
      <c r="AA984" s="220"/>
      <c r="AB984" s="220"/>
      <c r="AC984" s="220"/>
      <c r="AD984" s="220"/>
      <c r="AE984" s="220"/>
      <c r="AF984" s="220"/>
      <c r="AG984" s="308"/>
      <c r="AH984" s="220"/>
      <c r="AI984" s="220"/>
      <c r="AJ984" s="220"/>
      <c r="AK984" s="220"/>
      <c r="AL984" s="220"/>
      <c r="AM984" s="220"/>
    </row>
    <row r="985">
      <c r="A985" s="430"/>
      <c r="B985" s="311"/>
      <c r="C985" s="311"/>
      <c r="D985" s="312"/>
      <c r="E985" s="311"/>
      <c r="F985" s="311"/>
      <c r="G985" s="312"/>
      <c r="H985" s="312"/>
      <c r="I985" s="313"/>
      <c r="J985" s="431"/>
      <c r="K985" s="313"/>
      <c r="L985" s="313"/>
      <c r="M985" s="313"/>
      <c r="N985" s="315"/>
      <c r="O985" s="313"/>
      <c r="P985" s="313"/>
      <c r="Q985" s="432"/>
      <c r="R985" s="313"/>
      <c r="S985" s="313"/>
      <c r="T985" s="317"/>
      <c r="U985" s="433"/>
      <c r="V985" s="288"/>
      <c r="W985" s="220"/>
      <c r="X985" s="220"/>
      <c r="Y985" s="220"/>
      <c r="Z985" s="220"/>
      <c r="AA985" s="220"/>
      <c r="AB985" s="220"/>
      <c r="AC985" s="220"/>
      <c r="AD985" s="220"/>
      <c r="AE985" s="220"/>
      <c r="AF985" s="220"/>
      <c r="AG985" s="308"/>
      <c r="AH985" s="220"/>
      <c r="AI985" s="220"/>
      <c r="AJ985" s="220"/>
      <c r="AK985" s="220"/>
      <c r="AL985" s="220"/>
      <c r="AM985" s="220"/>
    </row>
    <row r="986">
      <c r="A986" s="430"/>
      <c r="B986" s="311"/>
      <c r="C986" s="311"/>
      <c r="D986" s="312"/>
      <c r="E986" s="311"/>
      <c r="F986" s="311"/>
      <c r="G986" s="312"/>
      <c r="H986" s="312"/>
      <c r="I986" s="313"/>
      <c r="J986" s="431"/>
      <c r="K986" s="313"/>
      <c r="L986" s="313"/>
      <c r="M986" s="313"/>
      <c r="N986" s="315"/>
      <c r="O986" s="313"/>
      <c r="P986" s="313"/>
      <c r="Q986" s="432"/>
      <c r="R986" s="313"/>
      <c r="S986" s="313"/>
      <c r="T986" s="317"/>
      <c r="U986" s="433"/>
      <c r="V986" s="288"/>
      <c r="W986" s="220"/>
      <c r="X986" s="220"/>
      <c r="Y986" s="220"/>
      <c r="Z986" s="220"/>
      <c r="AA986" s="220"/>
      <c r="AB986" s="220"/>
      <c r="AC986" s="220"/>
      <c r="AD986" s="220"/>
      <c r="AE986" s="220"/>
      <c r="AF986" s="220"/>
      <c r="AG986" s="308"/>
      <c r="AH986" s="220"/>
      <c r="AI986" s="220"/>
      <c r="AJ986" s="220"/>
      <c r="AK986" s="220"/>
      <c r="AL986" s="220"/>
      <c r="AM986" s="220"/>
    </row>
    <row r="987">
      <c r="A987" s="430"/>
      <c r="B987" s="311"/>
      <c r="C987" s="311"/>
      <c r="D987" s="312"/>
      <c r="E987" s="311"/>
      <c r="F987" s="311"/>
      <c r="G987" s="312"/>
      <c r="H987" s="312"/>
      <c r="I987" s="313"/>
      <c r="J987" s="431"/>
      <c r="K987" s="313"/>
      <c r="L987" s="313"/>
      <c r="M987" s="313"/>
      <c r="N987" s="315"/>
      <c r="O987" s="313"/>
      <c r="P987" s="313"/>
      <c r="Q987" s="432"/>
      <c r="R987" s="313"/>
      <c r="S987" s="313"/>
      <c r="T987" s="317"/>
      <c r="U987" s="433"/>
      <c r="V987" s="288"/>
      <c r="W987" s="220"/>
      <c r="X987" s="220"/>
      <c r="Y987" s="220"/>
      <c r="Z987" s="220"/>
      <c r="AA987" s="220"/>
      <c r="AB987" s="220"/>
      <c r="AC987" s="220"/>
      <c r="AD987" s="220"/>
      <c r="AE987" s="220"/>
      <c r="AF987" s="220"/>
      <c r="AG987" s="308"/>
      <c r="AH987" s="220"/>
      <c r="AI987" s="220"/>
      <c r="AJ987" s="220"/>
      <c r="AK987" s="220"/>
      <c r="AL987" s="220"/>
      <c r="AM987" s="220"/>
    </row>
    <row r="988">
      <c r="A988" s="430"/>
      <c r="B988" s="311"/>
      <c r="C988" s="311"/>
      <c r="D988" s="312"/>
      <c r="E988" s="311"/>
      <c r="F988" s="311"/>
      <c r="G988" s="312"/>
      <c r="H988" s="312"/>
      <c r="I988" s="313"/>
      <c r="J988" s="431"/>
      <c r="K988" s="313"/>
      <c r="L988" s="313"/>
      <c r="M988" s="313"/>
      <c r="N988" s="315"/>
      <c r="O988" s="313"/>
      <c r="P988" s="313"/>
      <c r="Q988" s="432"/>
      <c r="R988" s="313"/>
      <c r="S988" s="313"/>
      <c r="T988" s="317"/>
      <c r="U988" s="433"/>
      <c r="V988" s="288"/>
      <c r="W988" s="220"/>
      <c r="X988" s="220"/>
      <c r="Y988" s="220"/>
      <c r="Z988" s="220"/>
      <c r="AA988" s="220"/>
      <c r="AB988" s="220"/>
      <c r="AC988" s="220"/>
      <c r="AD988" s="220"/>
      <c r="AE988" s="220"/>
      <c r="AF988" s="220"/>
      <c r="AG988" s="308"/>
      <c r="AH988" s="220"/>
      <c r="AI988" s="220"/>
      <c r="AJ988" s="220"/>
      <c r="AK988" s="220"/>
      <c r="AL988" s="220"/>
      <c r="AM988" s="220"/>
    </row>
    <row r="989">
      <c r="A989" s="430"/>
      <c r="B989" s="311"/>
      <c r="C989" s="311"/>
      <c r="D989" s="312"/>
      <c r="E989" s="311"/>
      <c r="F989" s="311"/>
      <c r="G989" s="312"/>
      <c r="H989" s="312"/>
      <c r="I989" s="313"/>
      <c r="J989" s="431"/>
      <c r="K989" s="313"/>
      <c r="L989" s="313"/>
      <c r="M989" s="313"/>
      <c r="N989" s="315"/>
      <c r="O989" s="313"/>
      <c r="P989" s="313"/>
      <c r="Q989" s="432"/>
      <c r="R989" s="313"/>
      <c r="S989" s="313"/>
      <c r="T989" s="317"/>
      <c r="U989" s="433"/>
      <c r="V989" s="288"/>
      <c r="W989" s="220"/>
      <c r="X989" s="220"/>
      <c r="Y989" s="220"/>
      <c r="Z989" s="220"/>
      <c r="AA989" s="220"/>
      <c r="AB989" s="220"/>
      <c r="AC989" s="220"/>
      <c r="AD989" s="220"/>
      <c r="AE989" s="220"/>
      <c r="AF989" s="220"/>
      <c r="AG989" s="308"/>
      <c r="AH989" s="220"/>
      <c r="AI989" s="220"/>
      <c r="AJ989" s="220"/>
      <c r="AK989" s="220"/>
      <c r="AL989" s="220"/>
      <c r="AM989" s="220"/>
    </row>
    <row r="990">
      <c r="A990" s="430"/>
      <c r="B990" s="311"/>
      <c r="C990" s="311"/>
      <c r="D990" s="312"/>
      <c r="E990" s="311"/>
      <c r="F990" s="311"/>
      <c r="G990" s="312"/>
      <c r="H990" s="312"/>
      <c r="I990" s="313"/>
      <c r="J990" s="431"/>
      <c r="K990" s="313"/>
      <c r="L990" s="313"/>
      <c r="M990" s="313"/>
      <c r="N990" s="315"/>
      <c r="O990" s="313"/>
      <c r="P990" s="313"/>
      <c r="Q990" s="432"/>
      <c r="R990" s="313"/>
      <c r="S990" s="313"/>
      <c r="T990" s="317"/>
      <c r="U990" s="433"/>
      <c r="V990" s="288"/>
      <c r="W990" s="220"/>
      <c r="X990" s="220"/>
      <c r="Y990" s="220"/>
      <c r="Z990" s="220"/>
      <c r="AA990" s="220"/>
      <c r="AB990" s="220"/>
      <c r="AC990" s="220"/>
      <c r="AD990" s="220"/>
      <c r="AE990" s="220"/>
      <c r="AF990" s="220"/>
      <c r="AG990" s="308"/>
      <c r="AH990" s="220"/>
      <c r="AI990" s="220"/>
      <c r="AJ990" s="220"/>
      <c r="AK990" s="220"/>
      <c r="AL990" s="220"/>
      <c r="AM990" s="220"/>
    </row>
    <row r="991">
      <c r="A991" s="430"/>
      <c r="B991" s="311"/>
      <c r="C991" s="311"/>
      <c r="D991" s="312"/>
      <c r="E991" s="311"/>
      <c r="F991" s="311"/>
      <c r="G991" s="312"/>
      <c r="H991" s="312"/>
      <c r="I991" s="313"/>
      <c r="J991" s="431"/>
      <c r="K991" s="313"/>
      <c r="L991" s="313"/>
      <c r="M991" s="313"/>
      <c r="N991" s="315"/>
      <c r="O991" s="313"/>
      <c r="P991" s="313"/>
      <c r="Q991" s="432"/>
      <c r="R991" s="313"/>
      <c r="S991" s="313"/>
      <c r="T991" s="317"/>
      <c r="U991" s="433"/>
      <c r="V991" s="288"/>
      <c r="W991" s="220"/>
      <c r="X991" s="220"/>
      <c r="Y991" s="220"/>
      <c r="Z991" s="220"/>
      <c r="AA991" s="220"/>
      <c r="AB991" s="220"/>
      <c r="AC991" s="220"/>
      <c r="AD991" s="220"/>
      <c r="AE991" s="220"/>
      <c r="AF991" s="220"/>
      <c r="AG991" s="308"/>
      <c r="AH991" s="220"/>
      <c r="AI991" s="220"/>
      <c r="AJ991" s="220"/>
      <c r="AK991" s="220"/>
      <c r="AL991" s="220"/>
      <c r="AM991" s="220"/>
    </row>
    <row r="992">
      <c r="A992" s="430"/>
      <c r="B992" s="311"/>
      <c r="C992" s="311"/>
      <c r="D992" s="312"/>
      <c r="E992" s="311"/>
      <c r="F992" s="311"/>
      <c r="G992" s="312"/>
      <c r="H992" s="312"/>
      <c r="I992" s="313"/>
      <c r="J992" s="431"/>
      <c r="K992" s="313"/>
      <c r="L992" s="313"/>
      <c r="M992" s="313"/>
      <c r="N992" s="315"/>
      <c r="O992" s="313"/>
      <c r="P992" s="313"/>
      <c r="Q992" s="432"/>
      <c r="R992" s="313"/>
      <c r="S992" s="313"/>
      <c r="T992" s="317"/>
      <c r="U992" s="433"/>
      <c r="V992" s="288"/>
      <c r="W992" s="220"/>
      <c r="X992" s="220"/>
      <c r="Y992" s="220"/>
      <c r="Z992" s="220"/>
      <c r="AA992" s="220"/>
      <c r="AB992" s="220"/>
      <c r="AC992" s="220"/>
      <c r="AD992" s="220"/>
      <c r="AE992" s="220"/>
      <c r="AF992" s="220"/>
      <c r="AG992" s="308"/>
      <c r="AH992" s="220"/>
      <c r="AI992" s="220"/>
      <c r="AJ992" s="220"/>
      <c r="AK992" s="220"/>
      <c r="AL992" s="220"/>
      <c r="AM992" s="220"/>
    </row>
    <row r="993">
      <c r="A993" s="430"/>
      <c r="B993" s="311"/>
      <c r="C993" s="311"/>
      <c r="D993" s="312"/>
      <c r="E993" s="311"/>
      <c r="F993" s="311"/>
      <c r="G993" s="312"/>
      <c r="H993" s="312"/>
      <c r="I993" s="313"/>
      <c r="J993" s="431"/>
      <c r="K993" s="313"/>
      <c r="L993" s="313"/>
      <c r="M993" s="313"/>
      <c r="N993" s="315"/>
      <c r="O993" s="313"/>
      <c r="P993" s="313"/>
      <c r="Q993" s="432"/>
      <c r="R993" s="313"/>
      <c r="S993" s="313"/>
      <c r="T993" s="317"/>
      <c r="U993" s="433"/>
      <c r="V993" s="288"/>
      <c r="W993" s="220"/>
      <c r="X993" s="220"/>
      <c r="Y993" s="220"/>
      <c r="Z993" s="220"/>
      <c r="AA993" s="220"/>
      <c r="AB993" s="220"/>
      <c r="AC993" s="220"/>
      <c r="AD993" s="220"/>
      <c r="AE993" s="220"/>
      <c r="AF993" s="220"/>
      <c r="AG993" s="308"/>
      <c r="AH993" s="220"/>
      <c r="AI993" s="220"/>
      <c r="AJ993" s="220"/>
      <c r="AK993" s="220"/>
      <c r="AL993" s="220"/>
      <c r="AM993" s="220"/>
    </row>
    <row r="994">
      <c r="A994" s="430"/>
      <c r="B994" s="311"/>
      <c r="C994" s="311"/>
      <c r="D994" s="312"/>
      <c r="E994" s="311"/>
      <c r="F994" s="311"/>
      <c r="G994" s="312"/>
      <c r="H994" s="312"/>
      <c r="I994" s="313"/>
      <c r="J994" s="431"/>
      <c r="K994" s="313"/>
      <c r="L994" s="313"/>
      <c r="M994" s="313"/>
      <c r="N994" s="315"/>
      <c r="O994" s="313"/>
      <c r="P994" s="313"/>
      <c r="Q994" s="432"/>
      <c r="R994" s="313"/>
      <c r="S994" s="313"/>
      <c r="T994" s="317"/>
      <c r="U994" s="433"/>
      <c r="V994" s="288"/>
      <c r="W994" s="220"/>
      <c r="X994" s="220"/>
      <c r="Y994" s="220"/>
      <c r="Z994" s="220"/>
      <c r="AA994" s="220"/>
      <c r="AB994" s="220"/>
      <c r="AC994" s="220"/>
      <c r="AD994" s="220"/>
      <c r="AE994" s="220"/>
      <c r="AF994" s="220"/>
      <c r="AG994" s="308"/>
      <c r="AH994" s="220"/>
      <c r="AI994" s="220"/>
      <c r="AJ994" s="220"/>
      <c r="AK994" s="220"/>
      <c r="AL994" s="220"/>
      <c r="AM994" s="220"/>
    </row>
    <row r="995">
      <c r="A995" s="430"/>
      <c r="B995" s="311"/>
      <c r="C995" s="311"/>
      <c r="D995" s="312"/>
      <c r="E995" s="311"/>
      <c r="F995" s="311"/>
      <c r="G995" s="312"/>
      <c r="H995" s="312"/>
      <c r="I995" s="313"/>
      <c r="J995" s="431"/>
      <c r="K995" s="313"/>
      <c r="L995" s="313"/>
      <c r="M995" s="313"/>
      <c r="N995" s="315"/>
      <c r="O995" s="313"/>
      <c r="P995" s="313"/>
      <c r="Q995" s="432"/>
      <c r="R995" s="313"/>
      <c r="S995" s="313"/>
      <c r="T995" s="317"/>
      <c r="U995" s="433"/>
      <c r="V995" s="288"/>
      <c r="W995" s="220"/>
      <c r="X995" s="220"/>
      <c r="Y995" s="220"/>
      <c r="Z995" s="220"/>
      <c r="AA995" s="220"/>
      <c r="AB995" s="220"/>
      <c r="AC995" s="220"/>
      <c r="AD995" s="220"/>
      <c r="AE995" s="220"/>
      <c r="AF995" s="220"/>
      <c r="AG995" s="308"/>
      <c r="AH995" s="220"/>
      <c r="AI995" s="220"/>
      <c r="AJ995" s="220"/>
      <c r="AK995" s="220"/>
      <c r="AL995" s="220"/>
      <c r="AM995" s="220"/>
    </row>
    <row r="996">
      <c r="A996" s="430"/>
      <c r="B996" s="311"/>
      <c r="C996" s="311"/>
      <c r="D996" s="312"/>
      <c r="E996" s="311"/>
      <c r="F996" s="311"/>
      <c r="G996" s="312"/>
      <c r="H996" s="312"/>
      <c r="I996" s="313"/>
      <c r="J996" s="431"/>
      <c r="K996" s="313"/>
      <c r="L996" s="313"/>
      <c r="M996" s="313"/>
      <c r="N996" s="315"/>
      <c r="O996" s="313"/>
      <c r="P996" s="313"/>
      <c r="Q996" s="432"/>
      <c r="R996" s="313"/>
      <c r="S996" s="313"/>
      <c r="T996" s="317"/>
      <c r="U996" s="433"/>
      <c r="V996" s="288"/>
      <c r="W996" s="220"/>
      <c r="X996" s="220"/>
      <c r="Y996" s="220"/>
      <c r="Z996" s="220"/>
      <c r="AA996" s="220"/>
      <c r="AB996" s="220"/>
      <c r="AC996" s="220"/>
      <c r="AD996" s="220"/>
      <c r="AE996" s="220"/>
      <c r="AF996" s="220"/>
      <c r="AG996" s="308"/>
      <c r="AH996" s="220"/>
      <c r="AI996" s="220"/>
      <c r="AJ996" s="220"/>
      <c r="AK996" s="220"/>
      <c r="AL996" s="220"/>
      <c r="AM996" s="220"/>
    </row>
    <row r="997">
      <c r="A997" s="430"/>
      <c r="B997" s="311"/>
      <c r="C997" s="311"/>
      <c r="D997" s="312"/>
      <c r="E997" s="311"/>
      <c r="F997" s="311"/>
      <c r="G997" s="312"/>
      <c r="H997" s="312"/>
      <c r="I997" s="313"/>
      <c r="J997" s="431"/>
      <c r="K997" s="313"/>
      <c r="L997" s="313"/>
      <c r="M997" s="313"/>
      <c r="N997" s="315"/>
      <c r="O997" s="313"/>
      <c r="P997" s="313"/>
      <c r="Q997" s="432"/>
      <c r="R997" s="313"/>
      <c r="S997" s="313"/>
      <c r="T997" s="317"/>
      <c r="U997" s="433"/>
      <c r="V997" s="288"/>
      <c r="W997" s="220"/>
      <c r="X997" s="220"/>
      <c r="Y997" s="220"/>
      <c r="Z997" s="220"/>
      <c r="AA997" s="220"/>
      <c r="AB997" s="220"/>
      <c r="AC997" s="220"/>
      <c r="AD997" s="220"/>
      <c r="AE997" s="220"/>
      <c r="AF997" s="220"/>
      <c r="AG997" s="308"/>
      <c r="AH997" s="220"/>
      <c r="AI997" s="220"/>
      <c r="AJ997" s="220"/>
      <c r="AK997" s="220"/>
      <c r="AL997" s="220"/>
      <c r="AM997" s="220"/>
    </row>
    <row r="998">
      <c r="A998" s="430"/>
      <c r="B998" s="311"/>
      <c r="C998" s="311"/>
      <c r="D998" s="312"/>
      <c r="E998" s="311"/>
      <c r="F998" s="311"/>
      <c r="G998" s="312"/>
      <c r="H998" s="312"/>
      <c r="I998" s="313"/>
      <c r="J998" s="431"/>
      <c r="K998" s="313"/>
      <c r="L998" s="313"/>
      <c r="M998" s="313"/>
      <c r="N998" s="315"/>
      <c r="O998" s="313"/>
      <c r="P998" s="313"/>
      <c r="Q998" s="432"/>
      <c r="R998" s="313"/>
      <c r="S998" s="313"/>
      <c r="T998" s="317"/>
      <c r="U998" s="433"/>
      <c r="V998" s="288"/>
      <c r="W998" s="220"/>
      <c r="X998" s="220"/>
      <c r="Y998" s="220"/>
      <c r="Z998" s="220"/>
      <c r="AA998" s="220"/>
      <c r="AB998" s="220"/>
      <c r="AC998" s="220"/>
      <c r="AD998" s="220"/>
      <c r="AE998" s="220"/>
      <c r="AF998" s="220"/>
      <c r="AG998" s="308"/>
      <c r="AH998" s="220"/>
      <c r="AI998" s="220"/>
      <c r="AJ998" s="220"/>
      <c r="AK998" s="220"/>
      <c r="AL998" s="220"/>
      <c r="AM998" s="220"/>
    </row>
  </sheetData>
  <mergeCells count="1">
    <mergeCell ref="B1:O1"/>
  </mergeCells>
  <conditionalFormatting sqref="P2:S2 S103:S268">
    <cfRule type="containsBlanks" dxfId="0" priority="1">
      <formula>LEN(TRIM(P2))=0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6.25"/>
  </cols>
  <sheetData>
    <row r="1" ht="35.25" customHeight="1">
      <c r="A1" s="434"/>
      <c r="B1" s="435" t="s">
        <v>139</v>
      </c>
      <c r="Q1" s="434"/>
      <c r="R1" s="434"/>
      <c r="S1" s="434"/>
      <c r="T1" s="434"/>
      <c r="U1" s="434"/>
      <c r="V1" s="434"/>
      <c r="W1" s="434"/>
      <c r="X1" s="434"/>
      <c r="Y1" s="434"/>
      <c r="Z1" s="434"/>
      <c r="AA1" s="434"/>
      <c r="AB1" s="434"/>
      <c r="AC1" s="434"/>
      <c r="AD1" s="434"/>
    </row>
    <row r="2">
      <c r="A2" s="434"/>
      <c r="B2" s="436" t="s">
        <v>25</v>
      </c>
      <c r="C2" s="437" t="s">
        <v>140</v>
      </c>
      <c r="D2" s="437" t="s">
        <v>141</v>
      </c>
      <c r="E2" s="437" t="s">
        <v>142</v>
      </c>
      <c r="F2" s="437" t="s">
        <v>143</v>
      </c>
      <c r="G2" s="437" t="s">
        <v>144</v>
      </c>
      <c r="H2" s="438" t="s">
        <v>145</v>
      </c>
      <c r="I2" s="439" t="s">
        <v>146</v>
      </c>
      <c r="J2" s="437" t="s">
        <v>140</v>
      </c>
      <c r="K2" s="437" t="s">
        <v>147</v>
      </c>
      <c r="L2" s="437" t="s">
        <v>142</v>
      </c>
      <c r="M2" s="437" t="s">
        <v>143</v>
      </c>
      <c r="N2" s="437" t="s">
        <v>144</v>
      </c>
      <c r="O2" s="438" t="s">
        <v>145</v>
      </c>
      <c r="P2" s="440" t="s">
        <v>33</v>
      </c>
      <c r="Q2" s="434"/>
      <c r="R2" s="434"/>
      <c r="S2" s="434"/>
      <c r="T2" s="434"/>
      <c r="U2" s="434"/>
      <c r="V2" s="434"/>
      <c r="W2" s="434"/>
      <c r="X2" s="434"/>
      <c r="Y2" s="434"/>
      <c r="Z2" s="434"/>
      <c r="AA2" s="434"/>
      <c r="AB2" s="434"/>
      <c r="AC2" s="434"/>
      <c r="AD2" s="434"/>
    </row>
    <row r="3">
      <c r="A3" s="434"/>
      <c r="C3" s="441">
        <f>RECAP!C3</f>
        <v>24971.31697</v>
      </c>
      <c r="D3" s="441">
        <f>RECAP!C6</f>
        <v>67500</v>
      </c>
      <c r="E3" s="442">
        <f>S10</f>
        <v>0</v>
      </c>
      <c r="F3" s="443">
        <v>0.0</v>
      </c>
      <c r="G3" s="444">
        <v>1.0</v>
      </c>
      <c r="H3" s="443">
        <f>F3</f>
        <v>0</v>
      </c>
      <c r="I3" s="445" t="s">
        <v>62</v>
      </c>
      <c r="J3" s="441">
        <f>RECAP!F3</f>
        <v>0</v>
      </c>
      <c r="K3" s="441">
        <f>RECAP!F6</f>
        <v>83</v>
      </c>
      <c r="L3" s="444">
        <f t="shared" ref="L3:L10" si="1">E3</f>
        <v>0</v>
      </c>
      <c r="M3" s="443">
        <v>0.0</v>
      </c>
      <c r="N3" s="444">
        <v>1.0</v>
      </c>
      <c r="O3" s="443">
        <f>M3</f>
        <v>0</v>
      </c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</row>
    <row r="4">
      <c r="A4" s="434"/>
      <c r="C4" s="441">
        <f t="shared" ref="C4:C10" si="2">((C3-F3)*D4/D3)</f>
        <v>36994.54366</v>
      </c>
      <c r="D4" s="441">
        <v>100000.0</v>
      </c>
      <c r="E4" s="444">
        <f>T10</f>
        <v>0</v>
      </c>
      <c r="F4" s="443">
        <f>E4*C4</f>
        <v>0</v>
      </c>
      <c r="G4" s="444">
        <v>1.0</v>
      </c>
      <c r="H4" s="443">
        <f>F4+C5</f>
        <v>55491.81548</v>
      </c>
      <c r="I4" s="445" t="s">
        <v>148</v>
      </c>
      <c r="J4" s="441">
        <f t="shared" ref="J4:J10" si="3">((J3-M3)*K4/K3)</f>
        <v>0</v>
      </c>
      <c r="K4" s="446">
        <v>250.0</v>
      </c>
      <c r="L4" s="444">
        <f t="shared" si="1"/>
        <v>0</v>
      </c>
      <c r="M4" s="443">
        <f>L4*J4</f>
        <v>0</v>
      </c>
      <c r="N4" s="444">
        <v>1.0</v>
      </c>
      <c r="O4" s="443">
        <f>M4+J5</f>
        <v>0</v>
      </c>
      <c r="Q4" s="434"/>
      <c r="R4" s="434"/>
      <c r="S4" s="434"/>
      <c r="T4" s="434"/>
      <c r="U4" s="434"/>
      <c r="V4" s="434"/>
      <c r="W4" s="434"/>
      <c r="X4" s="434"/>
      <c r="Y4" s="434"/>
      <c r="Z4" s="434"/>
      <c r="AA4" s="434"/>
      <c r="AB4" s="434"/>
      <c r="AC4" s="434"/>
      <c r="AD4" s="434"/>
    </row>
    <row r="5">
      <c r="A5" s="434"/>
      <c r="C5" s="441">
        <f t="shared" si="2"/>
        <v>55491.81548</v>
      </c>
      <c r="D5" s="441">
        <v>150000.0</v>
      </c>
      <c r="E5" s="444">
        <f>U10</f>
        <v>0.25</v>
      </c>
      <c r="F5" s="443">
        <f t="shared" ref="F5:F10" si="4">C5*E5</f>
        <v>13872.95387</v>
      </c>
      <c r="G5" s="447">
        <v>0.93</v>
      </c>
      <c r="H5" s="448">
        <f>F4+F5+C6</f>
        <v>69364.76935</v>
      </c>
      <c r="I5" s="445" t="s">
        <v>149</v>
      </c>
      <c r="J5" s="441">
        <f t="shared" si="3"/>
        <v>0</v>
      </c>
      <c r="K5" s="446">
        <v>303.0</v>
      </c>
      <c r="L5" s="444">
        <f t="shared" si="1"/>
        <v>0.25</v>
      </c>
      <c r="M5" s="443">
        <f t="shared" ref="M5:M10" si="5">J5*L5</f>
        <v>0</v>
      </c>
      <c r="N5" s="447">
        <v>0.93</v>
      </c>
      <c r="O5" s="448">
        <f>M4+M5+J6</f>
        <v>0</v>
      </c>
      <c r="Q5" s="434"/>
      <c r="R5" s="434"/>
      <c r="S5" s="434"/>
      <c r="T5" s="434"/>
      <c r="U5" s="434"/>
      <c r="V5" s="434"/>
      <c r="W5" s="434"/>
      <c r="X5" s="434"/>
      <c r="Y5" s="434"/>
      <c r="Z5" s="434"/>
      <c r="AA5" s="434"/>
      <c r="AB5" s="434"/>
      <c r="AC5" s="434"/>
      <c r="AD5" s="434"/>
    </row>
    <row r="6">
      <c r="A6" s="434"/>
      <c r="C6" s="441">
        <f t="shared" si="2"/>
        <v>55491.81548</v>
      </c>
      <c r="D6" s="441">
        <v>200000.0</v>
      </c>
      <c r="E6" s="444">
        <f>V10</f>
        <v>0.7</v>
      </c>
      <c r="F6" s="443">
        <f t="shared" si="4"/>
        <v>38844.27084</v>
      </c>
      <c r="G6" s="447">
        <v>0.8</v>
      </c>
      <c r="H6" s="448">
        <f>F4+F5+F6+C7</f>
        <v>71861.90105</v>
      </c>
      <c r="I6" s="445" t="s">
        <v>150</v>
      </c>
      <c r="J6" s="441">
        <f t="shared" si="3"/>
        <v>0</v>
      </c>
      <c r="K6" s="446">
        <v>358.0</v>
      </c>
      <c r="L6" s="444">
        <f t="shared" si="1"/>
        <v>0.7</v>
      </c>
      <c r="M6" s="443">
        <f t="shared" si="5"/>
        <v>0</v>
      </c>
      <c r="N6" s="447">
        <v>0.8</v>
      </c>
      <c r="O6" s="448">
        <f>M4+M5+M6+J7</f>
        <v>0</v>
      </c>
      <c r="Q6" s="434"/>
      <c r="R6" s="449" t="s">
        <v>151</v>
      </c>
      <c r="S6" s="362"/>
      <c r="T6" s="362"/>
      <c r="U6" s="362"/>
      <c r="V6" s="362"/>
      <c r="W6" s="362"/>
      <c r="X6" s="362"/>
      <c r="Y6" s="362"/>
      <c r="Z6" s="362"/>
      <c r="AA6" s="434"/>
      <c r="AB6" s="434"/>
      <c r="AC6" s="434"/>
      <c r="AD6" s="434"/>
    </row>
    <row r="7">
      <c r="A7" s="434"/>
      <c r="C7" s="450">
        <f t="shared" si="2"/>
        <v>19144.67634</v>
      </c>
      <c r="D7" s="450">
        <v>230000.0</v>
      </c>
      <c r="E7" s="451">
        <f>W10</f>
        <v>0.6</v>
      </c>
      <c r="F7" s="452">
        <f t="shared" si="4"/>
        <v>11486.8058</v>
      </c>
      <c r="G7" s="453">
        <v>0.65</v>
      </c>
      <c r="H7" s="454">
        <f>F4+F5+F6+F7+C8</f>
        <v>72527.80284</v>
      </c>
      <c r="I7" s="445" t="s">
        <v>152</v>
      </c>
      <c r="J7" s="450">
        <f t="shared" si="3"/>
        <v>0</v>
      </c>
      <c r="K7" s="455">
        <v>426.0</v>
      </c>
      <c r="L7" s="451">
        <f t="shared" si="1"/>
        <v>0.6</v>
      </c>
      <c r="M7" s="452">
        <f t="shared" si="5"/>
        <v>0</v>
      </c>
      <c r="N7" s="453">
        <v>0.65</v>
      </c>
      <c r="O7" s="454">
        <f>M4+M5+M6+M7+J8</f>
        <v>0</v>
      </c>
      <c r="Q7" s="434"/>
      <c r="R7" s="456"/>
      <c r="AA7" s="434"/>
      <c r="AB7" s="434"/>
      <c r="AC7" s="434"/>
      <c r="AD7" s="434"/>
    </row>
    <row r="8">
      <c r="A8" s="434"/>
      <c r="C8" s="450">
        <f t="shared" si="2"/>
        <v>8323.772322</v>
      </c>
      <c r="D8" s="450">
        <v>250000.0</v>
      </c>
      <c r="E8" s="451">
        <f>X10</f>
        <v>0.8</v>
      </c>
      <c r="F8" s="452">
        <f t="shared" si="4"/>
        <v>6659.017858</v>
      </c>
      <c r="G8" s="453">
        <v>0.5</v>
      </c>
      <c r="H8" s="454">
        <f>F4+F5+F6+F7+F8+C9</f>
        <v>72860.75373</v>
      </c>
      <c r="I8" s="445" t="s">
        <v>153</v>
      </c>
      <c r="J8" s="450">
        <f t="shared" si="3"/>
        <v>0</v>
      </c>
      <c r="K8" s="455">
        <v>500.0</v>
      </c>
      <c r="L8" s="451">
        <f t="shared" si="1"/>
        <v>0.8</v>
      </c>
      <c r="M8" s="452">
        <f t="shared" si="5"/>
        <v>0</v>
      </c>
      <c r="N8" s="453">
        <v>0.5</v>
      </c>
      <c r="O8" s="454">
        <f>M4+M5+M6+M7+M8+J9</f>
        <v>0</v>
      </c>
      <c r="Q8" s="434"/>
      <c r="R8" s="457" t="s">
        <v>154</v>
      </c>
      <c r="S8" s="458">
        <f>C3+J3+J12+C12+C21+J21+C30+J30+C39+J39</f>
        <v>28488.95728</v>
      </c>
      <c r="T8" s="459">
        <f>C4+J4+J13+C13+C22+J22+J31+C31+J40+C40</f>
        <v>44210.21996</v>
      </c>
      <c r="U8" s="459">
        <f>C5+J5+J14+C14+C23+J23+C32+J32+J41+C41</f>
        <v>63880.0294</v>
      </c>
      <c r="V8" s="459">
        <f>(U8-U11)*V9/U9</f>
        <v>63880.0294</v>
      </c>
      <c r="W8" s="460">
        <f>C7+J7+J16+C16+C25+J25+J34+C34+C43+J43</f>
        <v>22107.60933</v>
      </c>
      <c r="X8" s="460">
        <f>C8+J8+C17+J17+J26+C26+C35+J35+C44+J44</f>
        <v>9703.768099</v>
      </c>
      <c r="Y8" s="461">
        <f>C9+J9+J18+C18+C27+J27+J36+C36+C45+J45</f>
        <v>2322.410268</v>
      </c>
      <c r="Z8" s="462">
        <f>C10+J10+J19+C19+C28+J28+C37+J37+C46+J46</f>
        <v>714.607543</v>
      </c>
      <c r="AA8" s="434"/>
      <c r="AB8" s="434"/>
      <c r="AC8" s="434"/>
      <c r="AD8" s="434"/>
    </row>
    <row r="9">
      <c r="A9" s="434"/>
      <c r="C9" s="463">
        <f t="shared" si="2"/>
        <v>1997.705357</v>
      </c>
      <c r="D9" s="463">
        <v>300000.0</v>
      </c>
      <c r="E9" s="464">
        <f>Y10</f>
        <v>0.9</v>
      </c>
      <c r="F9" s="465">
        <f t="shared" si="4"/>
        <v>1797.934822</v>
      </c>
      <c r="G9" s="466">
        <v>0.3</v>
      </c>
      <c r="H9" s="467">
        <f>F4+F5+F6+F7+F8+F9+C10</f>
        <v>73326.88498</v>
      </c>
      <c r="I9" s="445" t="s">
        <v>155</v>
      </c>
      <c r="J9" s="463">
        <f t="shared" si="3"/>
        <v>0</v>
      </c>
      <c r="K9" s="468">
        <v>580.0</v>
      </c>
      <c r="L9" s="464">
        <f t="shared" si="1"/>
        <v>0.9</v>
      </c>
      <c r="M9" s="465">
        <f t="shared" si="5"/>
        <v>0</v>
      </c>
      <c r="N9" s="466">
        <v>0.3</v>
      </c>
      <c r="O9" s="467">
        <f>M4+M5+M6+M7+M8+M9+J10</f>
        <v>0</v>
      </c>
      <c r="Q9" s="434"/>
      <c r="R9" s="469" t="s">
        <v>156</v>
      </c>
      <c r="S9" s="459">
        <v>58000.0</v>
      </c>
      <c r="T9" s="459">
        <v>100000.0</v>
      </c>
      <c r="U9" s="459">
        <v>150000.0</v>
      </c>
      <c r="V9" s="459">
        <v>200000.0</v>
      </c>
      <c r="W9" s="460">
        <v>230000.0</v>
      </c>
      <c r="X9" s="460">
        <v>250000.0</v>
      </c>
      <c r="Y9" s="461">
        <v>300000.0</v>
      </c>
      <c r="Z9" s="462">
        <v>1000000.0</v>
      </c>
      <c r="AA9" s="434"/>
      <c r="AB9" s="434"/>
      <c r="AC9" s="434"/>
      <c r="AD9" s="434"/>
    </row>
    <row r="10">
      <c r="A10" s="434"/>
      <c r="C10" s="463">
        <f t="shared" si="2"/>
        <v>665.9017858</v>
      </c>
      <c r="D10" s="463">
        <v>1000000.0</v>
      </c>
      <c r="E10" s="464">
        <f>Z10</f>
        <v>1</v>
      </c>
      <c r="F10" s="465">
        <f t="shared" si="4"/>
        <v>665.9017858</v>
      </c>
      <c r="G10" s="466">
        <v>0.01</v>
      </c>
      <c r="H10" s="467" t="s">
        <v>30</v>
      </c>
      <c r="I10" s="445" t="s">
        <v>157</v>
      </c>
      <c r="J10" s="463">
        <f t="shared" si="3"/>
        <v>0</v>
      </c>
      <c r="K10" s="468">
        <v>650.0</v>
      </c>
      <c r="L10" s="464">
        <f t="shared" si="1"/>
        <v>1</v>
      </c>
      <c r="M10" s="465">
        <f t="shared" si="5"/>
        <v>0</v>
      </c>
      <c r="N10" s="466">
        <v>0.01</v>
      </c>
      <c r="O10" s="467" t="s">
        <v>30</v>
      </c>
      <c r="Q10" s="434"/>
      <c r="R10" s="469" t="s">
        <v>142</v>
      </c>
      <c r="S10" s="470">
        <v>0.0</v>
      </c>
      <c r="T10" s="471">
        <v>0.0</v>
      </c>
      <c r="U10" s="472">
        <v>0.25</v>
      </c>
      <c r="V10" s="472">
        <v>0.7</v>
      </c>
      <c r="W10" s="473">
        <v>0.6</v>
      </c>
      <c r="X10" s="474">
        <v>0.8</v>
      </c>
      <c r="Y10" s="475">
        <v>0.9</v>
      </c>
      <c r="Z10" s="476">
        <v>1.0</v>
      </c>
      <c r="AA10" s="434"/>
      <c r="AB10" s="434"/>
      <c r="AC10" s="434"/>
      <c r="AD10" s="434"/>
    </row>
    <row r="11">
      <c r="A11" s="434"/>
      <c r="B11" s="477" t="s">
        <v>6</v>
      </c>
      <c r="C11" s="437" t="s">
        <v>140</v>
      </c>
      <c r="D11" s="437" t="s">
        <v>147</v>
      </c>
      <c r="E11" s="437" t="s">
        <v>142</v>
      </c>
      <c r="F11" s="437" t="s">
        <v>143</v>
      </c>
      <c r="G11" s="437" t="s">
        <v>144</v>
      </c>
      <c r="H11" s="438" t="s">
        <v>145</v>
      </c>
      <c r="I11" s="439" t="s">
        <v>146</v>
      </c>
      <c r="J11" s="437" t="s">
        <v>140</v>
      </c>
      <c r="K11" s="478" t="s">
        <v>147</v>
      </c>
      <c r="L11" s="437" t="s">
        <v>142</v>
      </c>
      <c r="M11" s="437" t="s">
        <v>143</v>
      </c>
      <c r="N11" s="437" t="s">
        <v>144</v>
      </c>
      <c r="O11" s="438" t="s">
        <v>145</v>
      </c>
      <c r="P11" s="479" t="s">
        <v>36</v>
      </c>
      <c r="Q11" s="434"/>
      <c r="R11" s="469" t="s">
        <v>143</v>
      </c>
      <c r="S11" s="480">
        <v>0.0</v>
      </c>
      <c r="T11" s="480">
        <f>F4+M4+M13+F13+F22+M22+F31+M31+F40+M40+S11</f>
        <v>0</v>
      </c>
      <c r="U11" s="480">
        <f>F5+M5+M14+F14+F23+M23+F32+M32+M41+F41+T11</f>
        <v>15970.00735</v>
      </c>
      <c r="V11" s="480">
        <f>F6+M6+F15+M15+F24+M24+M33+F33+F42+M42+U11</f>
        <v>60686.0283</v>
      </c>
      <c r="W11" s="481">
        <f>F7+M7+M16+F16+F25+M25+M34+F34+F43+M43+V11</f>
        <v>73950.5939</v>
      </c>
      <c r="X11" s="481">
        <f>F8+M8+M17+F17+F26+M26+M35+F35+F44+M44+W11</f>
        <v>81713.60838</v>
      </c>
      <c r="Y11" s="482">
        <f>F9+M9+M18+F18+F27+M27+M36+F36+F45+M45+X11</f>
        <v>83803.77762</v>
      </c>
      <c r="Z11" s="483">
        <f>F10+M10+M19+F19+F28+M28+M37+F37+F46+M46+Y11</f>
        <v>84518.38516</v>
      </c>
      <c r="AA11" s="434"/>
      <c r="AB11" s="434"/>
      <c r="AC11" s="434"/>
      <c r="AD11" s="434"/>
    </row>
    <row r="12">
      <c r="A12" s="434"/>
      <c r="C12" s="441">
        <f>RECAP!D3</f>
        <v>3517.642481</v>
      </c>
      <c r="D12" s="441">
        <f>RECAP!D6</f>
        <v>1950</v>
      </c>
      <c r="E12" s="484">
        <f t="shared" ref="E12:E19" si="6">E3</f>
        <v>0</v>
      </c>
      <c r="F12" s="443">
        <v>0.0</v>
      </c>
      <c r="G12" s="444">
        <v>1.0</v>
      </c>
      <c r="H12" s="443">
        <f>F12</f>
        <v>0</v>
      </c>
      <c r="I12" s="445" t="s">
        <v>62</v>
      </c>
      <c r="J12" s="441">
        <f>RECAP!G3</f>
        <v>0</v>
      </c>
      <c r="K12" s="441">
        <f>RECAP!G6</f>
        <v>190</v>
      </c>
      <c r="L12" s="444">
        <f t="shared" ref="L12:L19" si="7">E12</f>
        <v>0</v>
      </c>
      <c r="M12" s="443">
        <v>0.0</v>
      </c>
      <c r="N12" s="444">
        <v>1.0</v>
      </c>
      <c r="O12" s="443">
        <f>M12</f>
        <v>0</v>
      </c>
      <c r="Q12" s="434"/>
      <c r="R12" s="469" t="s">
        <v>144</v>
      </c>
      <c r="S12" s="485">
        <v>1.0</v>
      </c>
      <c r="T12" s="485">
        <v>1.0</v>
      </c>
      <c r="U12" s="486">
        <v>0.93</v>
      </c>
      <c r="V12" s="486">
        <v>0.8</v>
      </c>
      <c r="W12" s="487">
        <v>0.65</v>
      </c>
      <c r="X12" s="487">
        <v>0.5</v>
      </c>
      <c r="Y12" s="488">
        <v>0.3</v>
      </c>
      <c r="Z12" s="489">
        <v>0.01</v>
      </c>
      <c r="AA12" s="490"/>
      <c r="AB12" s="490"/>
      <c r="AC12" s="490"/>
      <c r="AD12" s="490"/>
    </row>
    <row r="13">
      <c r="A13" s="434"/>
      <c r="C13" s="441">
        <f t="shared" ref="C13:C19" si="8">((C12-F12)*D13/D12)</f>
        <v>7215.676884</v>
      </c>
      <c r="D13" s="446">
        <v>4000.0</v>
      </c>
      <c r="E13" s="444">
        <f t="shared" si="6"/>
        <v>0</v>
      </c>
      <c r="F13" s="443">
        <f>E13*C13</f>
        <v>0</v>
      </c>
      <c r="G13" s="444">
        <v>1.0</v>
      </c>
      <c r="H13" s="443">
        <f>F13+C14</f>
        <v>8388.224378</v>
      </c>
      <c r="I13" s="445" t="s">
        <v>148</v>
      </c>
      <c r="J13" s="441">
        <f t="shared" ref="J13:J19" si="9">((J12-M12)*K13/K12)</f>
        <v>0</v>
      </c>
      <c r="K13" s="491">
        <v>680.0</v>
      </c>
      <c r="L13" s="444">
        <f t="shared" si="7"/>
        <v>0</v>
      </c>
      <c r="M13" s="443">
        <f>L13*J13</f>
        <v>0</v>
      </c>
      <c r="N13" s="444">
        <v>1.0</v>
      </c>
      <c r="O13" s="443">
        <f>M13+J14</f>
        <v>0</v>
      </c>
      <c r="Q13" s="434"/>
      <c r="R13" s="492" t="s">
        <v>146</v>
      </c>
      <c r="S13" s="493" t="s">
        <v>62</v>
      </c>
      <c r="T13" s="493" t="s">
        <v>148</v>
      </c>
      <c r="U13" s="493" t="s">
        <v>149</v>
      </c>
      <c r="V13" s="493" t="s">
        <v>150</v>
      </c>
      <c r="W13" s="493" t="s">
        <v>152</v>
      </c>
      <c r="X13" s="493" t="s">
        <v>153</v>
      </c>
      <c r="Y13" s="493" t="s">
        <v>155</v>
      </c>
      <c r="Z13" s="494" t="s">
        <v>157</v>
      </c>
      <c r="AA13" s="434"/>
      <c r="AB13" s="434"/>
      <c r="AC13" s="434"/>
      <c r="AD13" s="434"/>
    </row>
    <row r="14">
      <c r="A14" s="434"/>
      <c r="C14" s="441">
        <f t="shared" si="8"/>
        <v>8388.224378</v>
      </c>
      <c r="D14" s="446">
        <v>4650.0</v>
      </c>
      <c r="E14" s="444">
        <f t="shared" si="6"/>
        <v>0.25</v>
      </c>
      <c r="F14" s="443">
        <f t="shared" ref="F14:F19" si="10">C14*E14</f>
        <v>2097.056095</v>
      </c>
      <c r="G14" s="447">
        <v>0.93</v>
      </c>
      <c r="H14" s="448">
        <f>F13+F14+C15</f>
        <v>10485.28047</v>
      </c>
      <c r="I14" s="445" t="s">
        <v>149</v>
      </c>
      <c r="J14" s="441">
        <f t="shared" si="9"/>
        <v>0</v>
      </c>
      <c r="K14" s="491">
        <v>800.0</v>
      </c>
      <c r="L14" s="444">
        <f t="shared" si="7"/>
        <v>0.25</v>
      </c>
      <c r="M14" s="443">
        <f t="shared" ref="M14:M19" si="11">J14*L14</f>
        <v>0</v>
      </c>
      <c r="N14" s="447">
        <v>0.93</v>
      </c>
      <c r="O14" s="448">
        <f>M13+M14+J15</f>
        <v>0</v>
      </c>
      <c r="Q14" s="434"/>
      <c r="R14" s="495"/>
      <c r="S14" s="496"/>
      <c r="T14" s="496"/>
      <c r="U14" s="496"/>
      <c r="V14" s="496"/>
      <c r="W14" s="496"/>
      <c r="X14" s="496"/>
      <c r="Y14" s="496"/>
      <c r="Z14" s="497"/>
      <c r="AA14" s="434"/>
      <c r="AB14" s="434"/>
      <c r="AC14" s="434"/>
      <c r="AD14" s="434"/>
    </row>
    <row r="15">
      <c r="A15" s="434"/>
      <c r="C15" s="441">
        <f t="shared" si="8"/>
        <v>8388.224378</v>
      </c>
      <c r="D15" s="446">
        <v>6200.0</v>
      </c>
      <c r="E15" s="444">
        <f t="shared" si="6"/>
        <v>0.7</v>
      </c>
      <c r="F15" s="443">
        <f t="shared" si="10"/>
        <v>5871.757065</v>
      </c>
      <c r="G15" s="447">
        <v>0.8</v>
      </c>
      <c r="H15" s="448">
        <f>F13+F14+F15+C16</f>
        <v>10931.75048</v>
      </c>
      <c r="I15" s="445" t="s">
        <v>150</v>
      </c>
      <c r="J15" s="441">
        <f t="shared" si="9"/>
        <v>0</v>
      </c>
      <c r="K15" s="491">
        <v>1000.0</v>
      </c>
      <c r="L15" s="444">
        <f t="shared" si="7"/>
        <v>0.7</v>
      </c>
      <c r="M15" s="443">
        <f t="shared" si="11"/>
        <v>0</v>
      </c>
      <c r="N15" s="447">
        <v>0.8</v>
      </c>
      <c r="O15" s="448">
        <f>M13+M14+M15+J16</f>
        <v>0</v>
      </c>
      <c r="Q15" s="434"/>
      <c r="R15" s="434"/>
      <c r="S15" s="434"/>
      <c r="T15" s="434"/>
      <c r="U15" s="434"/>
      <c r="V15" s="434"/>
      <c r="W15" s="434"/>
      <c r="X15" s="434"/>
      <c r="Y15" s="434"/>
      <c r="Z15" s="434"/>
      <c r="AA15" s="434"/>
      <c r="AB15" s="434"/>
      <c r="AC15" s="434"/>
      <c r="AD15" s="434"/>
    </row>
    <row r="16">
      <c r="A16" s="434"/>
      <c r="C16" s="450">
        <f t="shared" si="8"/>
        <v>2962.937321</v>
      </c>
      <c r="D16" s="455">
        <v>7300.0</v>
      </c>
      <c r="E16" s="451">
        <f t="shared" si="6"/>
        <v>0.6</v>
      </c>
      <c r="F16" s="452">
        <f t="shared" si="10"/>
        <v>1777.762392</v>
      </c>
      <c r="G16" s="453">
        <v>0.65</v>
      </c>
      <c r="H16" s="454">
        <f>F13+F14+F15+F16+C17</f>
        <v>11126.57376</v>
      </c>
      <c r="I16" s="445" t="s">
        <v>152</v>
      </c>
      <c r="J16" s="450">
        <f t="shared" si="9"/>
        <v>0</v>
      </c>
      <c r="K16" s="498">
        <v>1250.0</v>
      </c>
      <c r="L16" s="451">
        <f t="shared" si="7"/>
        <v>0.6</v>
      </c>
      <c r="M16" s="452">
        <f t="shared" si="11"/>
        <v>0</v>
      </c>
      <c r="N16" s="453">
        <v>0.65</v>
      </c>
      <c r="O16" s="454">
        <f>M13+M14+M15+M16+J17</f>
        <v>0</v>
      </c>
      <c r="Q16" s="434"/>
      <c r="R16" s="434"/>
      <c r="S16" s="434"/>
      <c r="T16" s="434"/>
      <c r="U16" s="434"/>
      <c r="V16" s="434"/>
      <c r="W16" s="434"/>
      <c r="X16" s="434"/>
      <c r="Y16" s="434"/>
      <c r="Z16" s="434"/>
      <c r="AA16" s="434"/>
      <c r="AB16" s="434"/>
      <c r="AC16" s="434"/>
      <c r="AD16" s="434"/>
    </row>
    <row r="17">
      <c r="A17" s="434"/>
      <c r="C17" s="450">
        <f t="shared" si="8"/>
        <v>1379.998204</v>
      </c>
      <c r="D17" s="455">
        <v>8500.0</v>
      </c>
      <c r="E17" s="451">
        <f t="shared" si="6"/>
        <v>0.8</v>
      </c>
      <c r="F17" s="452">
        <f t="shared" si="10"/>
        <v>1103.998563</v>
      </c>
      <c r="G17" s="453">
        <v>0.5</v>
      </c>
      <c r="H17" s="454">
        <f>F13+F14+F15+F16+F17+C18</f>
        <v>11175.27957</v>
      </c>
      <c r="I17" s="445" t="s">
        <v>153</v>
      </c>
      <c r="J17" s="450">
        <f t="shared" si="9"/>
        <v>0</v>
      </c>
      <c r="K17" s="498">
        <v>1460.0</v>
      </c>
      <c r="L17" s="451">
        <f t="shared" si="7"/>
        <v>0.8</v>
      </c>
      <c r="M17" s="452">
        <f t="shared" si="11"/>
        <v>0</v>
      </c>
      <c r="N17" s="453">
        <v>0.5</v>
      </c>
      <c r="O17" s="454">
        <f>M13+M14+M15+M16+M17+J18</f>
        <v>0</v>
      </c>
      <c r="Q17" s="434"/>
      <c r="R17" s="434"/>
      <c r="S17" s="434"/>
      <c r="T17" s="434"/>
      <c r="U17" s="434"/>
      <c r="V17" s="434"/>
      <c r="W17" s="434"/>
      <c r="X17" s="434"/>
      <c r="Y17" s="434"/>
      <c r="Z17" s="434"/>
      <c r="AA17" s="434"/>
      <c r="AB17" s="434"/>
      <c r="AC17" s="434"/>
      <c r="AD17" s="434"/>
    </row>
    <row r="18">
      <c r="A18" s="434"/>
      <c r="C18" s="463">
        <f t="shared" si="8"/>
        <v>324.7054598</v>
      </c>
      <c r="D18" s="468">
        <v>10000.0</v>
      </c>
      <c r="E18" s="464">
        <f t="shared" si="6"/>
        <v>0.9</v>
      </c>
      <c r="F18" s="465">
        <f t="shared" si="10"/>
        <v>292.2349138</v>
      </c>
      <c r="G18" s="466">
        <v>0.3</v>
      </c>
      <c r="H18" s="467">
        <f>F13+F14+F15+F16+F17+F18+C19</f>
        <v>11191.51485</v>
      </c>
      <c r="I18" s="445" t="s">
        <v>155</v>
      </c>
      <c r="J18" s="463">
        <f t="shared" si="9"/>
        <v>0</v>
      </c>
      <c r="K18" s="499">
        <v>1815.0</v>
      </c>
      <c r="L18" s="464">
        <f t="shared" si="7"/>
        <v>0.9</v>
      </c>
      <c r="M18" s="465">
        <f t="shared" si="11"/>
        <v>0</v>
      </c>
      <c r="N18" s="466">
        <v>0.3</v>
      </c>
      <c r="O18" s="467">
        <f>M13+M14+M15+M16+M17+M18+J19</f>
        <v>0</v>
      </c>
      <c r="Q18" s="434"/>
      <c r="R18" s="434"/>
      <c r="S18" s="434"/>
      <c r="T18" s="434"/>
      <c r="U18" s="434"/>
      <c r="V18" s="434"/>
      <c r="W18" s="434"/>
      <c r="X18" s="434"/>
      <c r="Y18" s="434"/>
      <c r="Z18" s="434"/>
      <c r="AA18" s="434"/>
      <c r="AB18" s="434"/>
      <c r="AC18" s="434"/>
      <c r="AD18" s="434"/>
    </row>
    <row r="19">
      <c r="A19" s="434"/>
      <c r="C19" s="463">
        <f t="shared" si="8"/>
        <v>48.70581897</v>
      </c>
      <c r="D19" s="468">
        <v>15000.0</v>
      </c>
      <c r="E19" s="464">
        <f t="shared" si="6"/>
        <v>1</v>
      </c>
      <c r="F19" s="465">
        <f t="shared" si="10"/>
        <v>48.70581897</v>
      </c>
      <c r="G19" s="466">
        <v>0.01</v>
      </c>
      <c r="H19" s="467" t="s">
        <v>30</v>
      </c>
      <c r="I19" s="445" t="s">
        <v>157</v>
      </c>
      <c r="J19" s="463">
        <f t="shared" si="9"/>
        <v>0</v>
      </c>
      <c r="K19" s="499">
        <v>2000.0</v>
      </c>
      <c r="L19" s="464">
        <f t="shared" si="7"/>
        <v>1</v>
      </c>
      <c r="M19" s="465">
        <f t="shared" si="11"/>
        <v>0</v>
      </c>
      <c r="N19" s="466">
        <v>0.01</v>
      </c>
      <c r="O19" s="467" t="s">
        <v>30</v>
      </c>
      <c r="Q19" s="434"/>
      <c r="R19" s="434"/>
      <c r="S19" s="434"/>
      <c r="T19" s="434"/>
      <c r="U19" s="434"/>
      <c r="V19" s="434"/>
      <c r="W19" s="434"/>
      <c r="X19" s="434"/>
      <c r="Y19" s="434"/>
      <c r="Z19" s="434"/>
      <c r="AA19" s="434"/>
      <c r="AB19" s="434"/>
      <c r="AC19" s="434"/>
      <c r="AD19" s="434"/>
    </row>
    <row r="20">
      <c r="A20" s="434"/>
      <c r="B20" s="500" t="s">
        <v>13</v>
      </c>
      <c r="C20" s="437" t="s">
        <v>140</v>
      </c>
      <c r="D20" s="437" t="s">
        <v>147</v>
      </c>
      <c r="E20" s="437" t="s">
        <v>142</v>
      </c>
      <c r="F20" s="437" t="s">
        <v>143</v>
      </c>
      <c r="G20" s="437" t="s">
        <v>144</v>
      </c>
      <c r="H20" s="438" t="s">
        <v>145</v>
      </c>
      <c r="I20" s="439" t="s">
        <v>146</v>
      </c>
      <c r="J20" s="437" t="s">
        <v>140</v>
      </c>
      <c r="K20" s="437" t="s">
        <v>141</v>
      </c>
      <c r="L20" s="437" t="s">
        <v>142</v>
      </c>
      <c r="M20" s="437" t="s">
        <v>143</v>
      </c>
      <c r="N20" s="437" t="s">
        <v>144</v>
      </c>
      <c r="O20" s="438" t="s">
        <v>145</v>
      </c>
      <c r="P20" s="501" t="s">
        <v>7</v>
      </c>
      <c r="Q20" s="434"/>
      <c r="R20" s="434"/>
      <c r="S20" s="434"/>
      <c r="T20" s="434"/>
      <c r="U20" s="434"/>
      <c r="V20" s="434"/>
      <c r="W20" s="434"/>
      <c r="X20" s="434"/>
      <c r="Y20" s="434"/>
      <c r="Z20" s="434"/>
      <c r="AA20" s="434"/>
      <c r="AB20" s="434"/>
      <c r="AC20" s="434"/>
      <c r="AD20" s="434"/>
    </row>
    <row r="21">
      <c r="A21" s="434"/>
      <c r="C21" s="441">
        <f>RECAP!Q3</f>
        <v>0</v>
      </c>
      <c r="D21" s="502">
        <f>RECAP!Q6</f>
        <v>8.7</v>
      </c>
      <c r="E21" s="484">
        <f t="shared" ref="E21:E28" si="12">E12</f>
        <v>0</v>
      </c>
      <c r="F21" s="443">
        <v>0.0</v>
      </c>
      <c r="G21" s="444">
        <v>1.0</v>
      </c>
      <c r="H21" s="443">
        <f>F21</f>
        <v>0</v>
      </c>
      <c r="I21" s="445" t="s">
        <v>62</v>
      </c>
      <c r="J21" s="441">
        <f>RECAP!E3</f>
        <v>0.00200198761</v>
      </c>
      <c r="K21" s="502">
        <f>RECAP!E6</f>
        <v>1.44</v>
      </c>
      <c r="L21" s="484">
        <f t="shared" ref="L21:L28" si="13">L12</f>
        <v>0</v>
      </c>
      <c r="M21" s="443">
        <v>0.0</v>
      </c>
      <c r="N21" s="444">
        <v>1.0</v>
      </c>
      <c r="O21" s="443">
        <f>M21</f>
        <v>0</v>
      </c>
      <c r="Q21" s="434"/>
      <c r="R21" s="434"/>
      <c r="S21" s="434"/>
      <c r="T21" s="434"/>
      <c r="U21" s="434"/>
      <c r="V21" s="434"/>
      <c r="W21" s="434"/>
      <c r="X21" s="434"/>
      <c r="Y21" s="434"/>
      <c r="Z21" s="434"/>
      <c r="AA21" s="434"/>
      <c r="AB21" s="434"/>
      <c r="AC21" s="434"/>
      <c r="AD21" s="434"/>
    </row>
    <row r="22">
      <c r="A22" s="434"/>
      <c r="C22" s="441">
        <f t="shared" ref="C22:C28" si="14">((C21-F21)*D22/D21)</f>
        <v>0</v>
      </c>
      <c r="D22" s="503">
        <v>24.0</v>
      </c>
      <c r="E22" s="444">
        <f t="shared" si="12"/>
        <v>0</v>
      </c>
      <c r="F22" s="443">
        <f>E22*C22</f>
        <v>0</v>
      </c>
      <c r="G22" s="444">
        <v>1.0</v>
      </c>
      <c r="H22" s="443">
        <f>F22+C23</f>
        <v>0</v>
      </c>
      <c r="I22" s="445" t="s">
        <v>148</v>
      </c>
      <c r="J22" s="441">
        <f t="shared" ref="J22:J28" si="15">((J21-M21)*K22/K21)</f>
        <v>0.0136246379</v>
      </c>
      <c r="K22" s="503">
        <v>9.8</v>
      </c>
      <c r="L22" s="444">
        <f t="shared" si="13"/>
        <v>0</v>
      </c>
      <c r="M22" s="443">
        <f>L22*J22</f>
        <v>0</v>
      </c>
      <c r="N22" s="444">
        <v>1.0</v>
      </c>
      <c r="O22" s="443">
        <f>M22+J23</f>
        <v>0.01626614933</v>
      </c>
      <c r="Q22" s="434"/>
      <c r="R22" s="434"/>
      <c r="S22" s="434"/>
      <c r="T22" s="434"/>
      <c r="U22" s="434"/>
      <c r="V22" s="434"/>
      <c r="W22" s="434"/>
      <c r="X22" s="434"/>
      <c r="Y22" s="434"/>
      <c r="Z22" s="434"/>
      <c r="AA22" s="434"/>
      <c r="AB22" s="434"/>
      <c r="AC22" s="434"/>
      <c r="AD22" s="434"/>
    </row>
    <row r="23">
      <c r="A23" s="434"/>
      <c r="C23" s="441">
        <f t="shared" si="14"/>
        <v>0</v>
      </c>
      <c r="D23" s="503">
        <v>35.0</v>
      </c>
      <c r="E23" s="444">
        <f t="shared" si="12"/>
        <v>0.25</v>
      </c>
      <c r="F23" s="443">
        <f t="shared" ref="F23:F28" si="16">C23*E23</f>
        <v>0</v>
      </c>
      <c r="G23" s="447">
        <v>0.93</v>
      </c>
      <c r="H23" s="448">
        <f>F22+F23+C24</f>
        <v>0</v>
      </c>
      <c r="I23" s="445" t="s">
        <v>149</v>
      </c>
      <c r="J23" s="441">
        <f t="shared" si="15"/>
        <v>0.01626614933</v>
      </c>
      <c r="K23" s="503">
        <v>11.7</v>
      </c>
      <c r="L23" s="444">
        <f t="shared" si="13"/>
        <v>0.25</v>
      </c>
      <c r="M23" s="443">
        <f t="shared" ref="M23:M28" si="17">J23*L23</f>
        <v>0.004066537333</v>
      </c>
      <c r="N23" s="447">
        <v>0.93</v>
      </c>
      <c r="O23" s="448">
        <f>M22+M23+J24</f>
        <v>0.0191857146</v>
      </c>
      <c r="Q23" s="434"/>
      <c r="R23" s="504"/>
      <c r="S23" s="504"/>
      <c r="T23" s="504"/>
      <c r="U23" s="504"/>
      <c r="V23" s="504"/>
      <c r="W23" s="434"/>
      <c r="X23" s="434"/>
      <c r="Y23" s="434"/>
      <c r="Z23" s="434"/>
      <c r="AA23" s="434"/>
      <c r="AB23" s="434"/>
      <c r="AC23" s="434"/>
      <c r="AD23" s="434"/>
    </row>
    <row r="24">
      <c r="A24" s="434"/>
      <c r="C24" s="441">
        <f t="shared" si="14"/>
        <v>0</v>
      </c>
      <c r="D24" s="503">
        <v>45.0</v>
      </c>
      <c r="E24" s="444">
        <f t="shared" si="12"/>
        <v>0.7</v>
      </c>
      <c r="F24" s="443">
        <f t="shared" si="16"/>
        <v>0</v>
      </c>
      <c r="G24" s="447">
        <v>0.8</v>
      </c>
      <c r="H24" s="448">
        <f>F22+F23+F24+C25</f>
        <v>0</v>
      </c>
      <c r="I24" s="445" t="s">
        <v>150</v>
      </c>
      <c r="J24" s="441">
        <f t="shared" si="15"/>
        <v>0.01511917726</v>
      </c>
      <c r="K24" s="503">
        <v>14.5</v>
      </c>
      <c r="L24" s="444">
        <f t="shared" si="13"/>
        <v>0.7</v>
      </c>
      <c r="M24" s="443">
        <f t="shared" si="17"/>
        <v>0.01058342408</v>
      </c>
      <c r="N24" s="447">
        <v>0.8</v>
      </c>
      <c r="O24" s="448">
        <f>M22+M23+M24+J25</f>
        <v>0.01971749256</v>
      </c>
      <c r="Q24" s="434"/>
      <c r="R24" s="505"/>
      <c r="S24" s="505"/>
      <c r="T24" s="505"/>
      <c r="U24" s="505"/>
      <c r="V24" s="505"/>
      <c r="W24" s="434"/>
      <c r="X24" s="434"/>
      <c r="Y24" s="434"/>
      <c r="Z24" s="434"/>
      <c r="AA24" s="434"/>
      <c r="AB24" s="434"/>
      <c r="AC24" s="434"/>
      <c r="AD24" s="434"/>
    </row>
    <row r="25">
      <c r="A25" s="434"/>
      <c r="C25" s="450">
        <f t="shared" si="14"/>
        <v>0</v>
      </c>
      <c r="D25" s="506">
        <v>50.0</v>
      </c>
      <c r="E25" s="451">
        <f t="shared" si="12"/>
        <v>0.6</v>
      </c>
      <c r="F25" s="452">
        <f t="shared" si="16"/>
        <v>0</v>
      </c>
      <c r="G25" s="453">
        <v>0.65</v>
      </c>
      <c r="H25" s="454">
        <f>F22+F23+F24+F25+C26</f>
        <v>0</v>
      </c>
      <c r="I25" s="445" t="s">
        <v>152</v>
      </c>
      <c r="J25" s="450">
        <f t="shared" si="15"/>
        <v>0.005067531138</v>
      </c>
      <c r="K25" s="506">
        <v>16.2</v>
      </c>
      <c r="L25" s="451">
        <f t="shared" si="13"/>
        <v>0.6</v>
      </c>
      <c r="M25" s="452">
        <f t="shared" si="17"/>
        <v>0.003040518683</v>
      </c>
      <c r="N25" s="453">
        <v>0.65</v>
      </c>
      <c r="O25" s="454">
        <f>M22+M23+M24+M25+J26</f>
        <v>0.01994271616</v>
      </c>
      <c r="Q25" s="434"/>
      <c r="R25" s="507"/>
      <c r="S25" s="508"/>
      <c r="T25" s="508"/>
      <c r="U25" s="508"/>
      <c r="V25" s="509"/>
      <c r="W25" s="434"/>
      <c r="X25" s="434"/>
      <c r="Y25" s="434"/>
      <c r="Z25" s="434"/>
      <c r="AA25" s="434"/>
      <c r="AB25" s="434"/>
      <c r="AC25" s="434"/>
      <c r="AD25" s="434"/>
    </row>
    <row r="26">
      <c r="A26" s="434"/>
      <c r="C26" s="450">
        <f t="shared" si="14"/>
        <v>0</v>
      </c>
      <c r="D26" s="506">
        <v>63.0</v>
      </c>
      <c r="E26" s="451">
        <f t="shared" si="12"/>
        <v>0.8</v>
      </c>
      <c r="F26" s="452">
        <f t="shared" si="16"/>
        <v>0</v>
      </c>
      <c r="G26" s="453">
        <v>0.5</v>
      </c>
      <c r="H26" s="454">
        <f>F22+F23+F24+F25+F26+C27</f>
        <v>0</v>
      </c>
      <c r="I26" s="445" t="s">
        <v>153</v>
      </c>
      <c r="J26" s="450">
        <f t="shared" si="15"/>
        <v>0.002252236061</v>
      </c>
      <c r="K26" s="506">
        <v>18.0</v>
      </c>
      <c r="L26" s="451">
        <f t="shared" si="13"/>
        <v>0.8</v>
      </c>
      <c r="M26" s="452">
        <f t="shared" si="17"/>
        <v>0.001801788849</v>
      </c>
      <c r="N26" s="453">
        <v>0.5</v>
      </c>
      <c r="O26" s="454">
        <f>M22+M23+M24+M25+M26+J27</f>
        <v>0.02009286523</v>
      </c>
      <c r="Q26" s="434"/>
      <c r="R26" s="507"/>
      <c r="S26" s="508"/>
      <c r="T26" s="508"/>
      <c r="U26" s="508"/>
      <c r="V26" s="509"/>
      <c r="W26" s="434"/>
      <c r="X26" s="434"/>
      <c r="Y26" s="434"/>
      <c r="Z26" s="434"/>
      <c r="AA26" s="434"/>
      <c r="AB26" s="434"/>
      <c r="AC26" s="434"/>
      <c r="AD26" s="434"/>
    </row>
    <row r="27">
      <c r="A27" s="434"/>
      <c r="C27" s="463">
        <f t="shared" si="14"/>
        <v>0</v>
      </c>
      <c r="D27" s="510">
        <v>88.0</v>
      </c>
      <c r="E27" s="464">
        <f t="shared" si="12"/>
        <v>0.9</v>
      </c>
      <c r="F27" s="465">
        <f t="shared" si="16"/>
        <v>0</v>
      </c>
      <c r="G27" s="466">
        <v>0.3</v>
      </c>
      <c r="H27" s="467">
        <f>F22+F23+F24+F25+F26+F27+C28</f>
        <v>0</v>
      </c>
      <c r="I27" s="445" t="s">
        <v>155</v>
      </c>
      <c r="J27" s="463">
        <f t="shared" si="15"/>
        <v>0.000600596283</v>
      </c>
      <c r="K27" s="510">
        <v>24.0</v>
      </c>
      <c r="L27" s="464">
        <f t="shared" si="13"/>
        <v>0.9</v>
      </c>
      <c r="M27" s="465">
        <f t="shared" si="17"/>
        <v>0.0005405366547</v>
      </c>
      <c r="N27" s="466">
        <v>0.3</v>
      </c>
      <c r="O27" s="467">
        <f>M22+M23+M24+M25+M26+M27+J28</f>
        <v>0.02010788014</v>
      </c>
      <c r="Q27" s="434"/>
      <c r="R27" s="511"/>
      <c r="S27" s="511"/>
      <c r="T27" s="511"/>
      <c r="U27" s="511"/>
      <c r="V27" s="511"/>
      <c r="W27" s="434"/>
      <c r="X27" s="434"/>
      <c r="Y27" s="434"/>
      <c r="Z27" s="434"/>
      <c r="AA27" s="434"/>
      <c r="AB27" s="434"/>
      <c r="AC27" s="434"/>
      <c r="AD27" s="434"/>
    </row>
    <row r="28">
      <c r="A28" s="434"/>
      <c r="C28" s="463">
        <f t="shared" si="14"/>
        <v>0</v>
      </c>
      <c r="D28" s="510">
        <v>108.0</v>
      </c>
      <c r="E28" s="464">
        <f t="shared" si="12"/>
        <v>1</v>
      </c>
      <c r="F28" s="465">
        <f t="shared" si="16"/>
        <v>0</v>
      </c>
      <c r="G28" s="466">
        <v>0.01</v>
      </c>
      <c r="H28" s="467" t="s">
        <v>30</v>
      </c>
      <c r="I28" s="445" t="s">
        <v>157</v>
      </c>
      <c r="J28" s="463">
        <f t="shared" si="15"/>
        <v>0.00007507453538</v>
      </c>
      <c r="K28" s="510">
        <v>30.0</v>
      </c>
      <c r="L28" s="464">
        <f t="shared" si="13"/>
        <v>1</v>
      </c>
      <c r="M28" s="465">
        <f t="shared" si="17"/>
        <v>0.00007507453538</v>
      </c>
      <c r="N28" s="466">
        <v>0.01</v>
      </c>
      <c r="O28" s="467" t="s">
        <v>30</v>
      </c>
      <c r="Q28" s="434"/>
      <c r="R28" s="434"/>
      <c r="S28" s="434"/>
      <c r="T28" s="434"/>
      <c r="U28" s="434"/>
      <c r="V28" s="434"/>
      <c r="W28" s="434"/>
      <c r="X28" s="434"/>
      <c r="Y28" s="434"/>
      <c r="Z28" s="434"/>
      <c r="AA28" s="434"/>
      <c r="AB28" s="434"/>
      <c r="AC28" s="434"/>
      <c r="AD28" s="434"/>
    </row>
    <row r="29">
      <c r="A29" s="434"/>
      <c r="B29" s="512" t="s">
        <v>12</v>
      </c>
      <c r="C29" s="437" t="s">
        <v>140</v>
      </c>
      <c r="D29" s="437" t="s">
        <v>147</v>
      </c>
      <c r="E29" s="437" t="s">
        <v>142</v>
      </c>
      <c r="F29" s="437" t="s">
        <v>143</v>
      </c>
      <c r="G29" s="437" t="s">
        <v>144</v>
      </c>
      <c r="H29" s="438" t="s">
        <v>145</v>
      </c>
      <c r="I29" s="439" t="s">
        <v>146</v>
      </c>
      <c r="J29" s="437" t="s">
        <v>140</v>
      </c>
      <c r="K29" s="437" t="s">
        <v>147</v>
      </c>
      <c r="L29" s="437" t="s">
        <v>142</v>
      </c>
      <c r="M29" s="437" t="s">
        <v>143</v>
      </c>
      <c r="N29" s="437" t="s">
        <v>144</v>
      </c>
      <c r="O29" s="438" t="s">
        <v>145</v>
      </c>
      <c r="P29" s="513" t="s">
        <v>15</v>
      </c>
      <c r="Q29" s="434"/>
      <c r="R29" s="434"/>
      <c r="S29" s="434"/>
      <c r="T29" s="434"/>
      <c r="U29" s="434"/>
      <c r="V29" s="434"/>
      <c r="W29" s="434"/>
      <c r="X29" s="434"/>
      <c r="Y29" s="434"/>
      <c r="Z29" s="434"/>
      <c r="AA29" s="434"/>
      <c r="AB29" s="434"/>
      <c r="AC29" s="434"/>
      <c r="AD29" s="434"/>
    </row>
    <row r="30">
      <c r="A30" s="434"/>
      <c r="C30" s="441">
        <f>RECAP!P3</f>
        <v>0</v>
      </c>
      <c r="D30" s="443">
        <f>RECAP!P6</f>
        <v>0.096</v>
      </c>
      <c r="E30" s="484">
        <f t="shared" ref="E30:E37" si="18">E21</f>
        <v>0</v>
      </c>
      <c r="F30" s="443">
        <v>0.0</v>
      </c>
      <c r="G30" s="444">
        <v>1.0</v>
      </c>
      <c r="H30" s="443">
        <f>F30</f>
        <v>0</v>
      </c>
      <c r="I30" s="445" t="s">
        <v>62</v>
      </c>
      <c r="J30" s="441">
        <f>RECAP!S3</f>
        <v>-0.0000001264418334</v>
      </c>
      <c r="K30" s="514">
        <f>RECAP!S6</f>
        <v>0.0000065</v>
      </c>
      <c r="L30" s="484">
        <f t="shared" ref="L30:L37" si="19">L21</f>
        <v>0</v>
      </c>
      <c r="M30" s="443">
        <v>0.0</v>
      </c>
      <c r="N30" s="444">
        <v>1.0</v>
      </c>
      <c r="O30" s="443">
        <f>M30</f>
        <v>0</v>
      </c>
      <c r="Q30" s="434"/>
      <c r="R30" s="434"/>
      <c r="S30" s="434"/>
      <c r="T30" s="434"/>
      <c r="U30" s="434"/>
      <c r="V30" s="434"/>
      <c r="W30" s="434"/>
      <c r="X30" s="434"/>
      <c r="Y30" s="434"/>
      <c r="Z30" s="434"/>
      <c r="AA30" s="434"/>
      <c r="AB30" s="434"/>
      <c r="AC30" s="434"/>
      <c r="AD30" s="434"/>
    </row>
    <row r="31">
      <c r="A31" s="434"/>
      <c r="C31" s="441">
        <f t="shared" ref="C31:C37" si="20">((C30-F30)*D31/D30)</f>
        <v>0</v>
      </c>
      <c r="D31" s="515">
        <v>2.25</v>
      </c>
      <c r="E31" s="444">
        <f t="shared" si="18"/>
        <v>0</v>
      </c>
      <c r="F31" s="443">
        <f>E31*C31</f>
        <v>0</v>
      </c>
      <c r="G31" s="444">
        <v>1.0</v>
      </c>
      <c r="H31" s="443">
        <f>F31+C32</f>
        <v>0</v>
      </c>
      <c r="I31" s="445" t="s">
        <v>148</v>
      </c>
      <c r="J31" s="441">
        <f t="shared" ref="J31:J37" si="21">((J30-M30)*K31/K30)</f>
        <v>-0.0000009531768978</v>
      </c>
      <c r="K31" s="516">
        <v>4.9E-5</v>
      </c>
      <c r="L31" s="444">
        <f t="shared" si="19"/>
        <v>0</v>
      </c>
      <c r="M31" s="443">
        <f>L31*J31</f>
        <v>0</v>
      </c>
      <c r="N31" s="444">
        <v>1.0</v>
      </c>
      <c r="O31" s="443">
        <f>M31+J32</f>
        <v>-0.000001128250206</v>
      </c>
      <c r="Q31" s="434"/>
      <c r="R31" s="434"/>
      <c r="S31" s="434"/>
      <c r="T31" s="434"/>
      <c r="U31" s="434"/>
      <c r="V31" s="434"/>
      <c r="W31" s="434"/>
      <c r="X31" s="434"/>
      <c r="Y31" s="434"/>
      <c r="Z31" s="434"/>
      <c r="AA31" s="434"/>
      <c r="AB31" s="434"/>
      <c r="AC31" s="434"/>
      <c r="AD31" s="434"/>
    </row>
    <row r="32">
      <c r="A32" s="434"/>
      <c r="C32" s="441">
        <f t="shared" si="20"/>
        <v>0</v>
      </c>
      <c r="D32" s="515">
        <v>4.0</v>
      </c>
      <c r="E32" s="444">
        <f t="shared" si="18"/>
        <v>0.25</v>
      </c>
      <c r="F32" s="443">
        <f t="shared" ref="F32:F37" si="22">C32*E32</f>
        <v>0</v>
      </c>
      <c r="G32" s="447">
        <v>0.93</v>
      </c>
      <c r="H32" s="448">
        <f>F31+F32+C33</f>
        <v>0</v>
      </c>
      <c r="I32" s="445" t="s">
        <v>149</v>
      </c>
      <c r="J32" s="441">
        <f t="shared" si="21"/>
        <v>-0.000001128250206</v>
      </c>
      <c r="K32" s="516">
        <v>5.8E-5</v>
      </c>
      <c r="L32" s="444">
        <f t="shared" si="19"/>
        <v>0.25</v>
      </c>
      <c r="M32" s="443">
        <f t="shared" ref="M32:M37" si="23">J32*L32</f>
        <v>-0.0000002820625514</v>
      </c>
      <c r="N32" s="447">
        <v>0.93</v>
      </c>
      <c r="O32" s="448">
        <f>M31+M32+J33</f>
        <v>-0.00000159511236</v>
      </c>
      <c r="Q32" s="434"/>
      <c r="R32" s="434"/>
      <c r="S32" s="434"/>
      <c r="T32" s="434"/>
      <c r="U32" s="434"/>
      <c r="V32" s="434"/>
      <c r="W32" s="434"/>
      <c r="X32" s="434"/>
      <c r="Y32" s="434"/>
      <c r="Z32" s="434"/>
      <c r="AA32" s="434"/>
      <c r="AB32" s="434"/>
      <c r="AC32" s="434"/>
      <c r="AD32" s="434"/>
    </row>
    <row r="33">
      <c r="A33" s="434"/>
      <c r="C33" s="441">
        <f t="shared" si="20"/>
        <v>0</v>
      </c>
      <c r="D33" s="515">
        <v>5.8</v>
      </c>
      <c r="E33" s="444">
        <f t="shared" si="18"/>
        <v>0.7</v>
      </c>
      <c r="F33" s="443">
        <f t="shared" si="22"/>
        <v>0</v>
      </c>
      <c r="G33" s="447">
        <v>0.8</v>
      </c>
      <c r="H33" s="448">
        <f>F31+F32+F33+C34</f>
        <v>0</v>
      </c>
      <c r="I33" s="445" t="s">
        <v>150</v>
      </c>
      <c r="J33" s="441">
        <f t="shared" si="21"/>
        <v>-0.000001313049808</v>
      </c>
      <c r="K33" s="516">
        <v>9.0E-5</v>
      </c>
      <c r="L33" s="444">
        <f t="shared" si="19"/>
        <v>0.7</v>
      </c>
      <c r="M33" s="443">
        <f t="shared" si="23"/>
        <v>-0.0000009191348657</v>
      </c>
      <c r="N33" s="447">
        <v>0.8</v>
      </c>
      <c r="O33" s="448">
        <f>M31+M32+M33+J34</f>
        <v>-0.000001691402679</v>
      </c>
      <c r="Q33" s="517"/>
      <c r="R33" s="490"/>
      <c r="S33" s="490"/>
      <c r="T33" s="490"/>
      <c r="U33" s="490"/>
      <c r="V33" s="490"/>
      <c r="W33" s="490"/>
      <c r="X33" s="490"/>
      <c r="Y33" s="490"/>
      <c r="Z33" s="434"/>
      <c r="AA33" s="434"/>
      <c r="AB33" s="434"/>
      <c r="AC33" s="434"/>
      <c r="AD33" s="434"/>
    </row>
    <row r="34">
      <c r="A34" s="434"/>
      <c r="C34" s="450">
        <f t="shared" si="20"/>
        <v>0</v>
      </c>
      <c r="D34" s="518">
        <v>6.6</v>
      </c>
      <c r="E34" s="451">
        <f t="shared" si="18"/>
        <v>0.6</v>
      </c>
      <c r="F34" s="452">
        <f t="shared" si="22"/>
        <v>0</v>
      </c>
      <c r="G34" s="453">
        <v>0.65</v>
      </c>
      <c r="H34" s="454">
        <f>F31+F32+F33+F34+C35</f>
        <v>0</v>
      </c>
      <c r="I34" s="445" t="s">
        <v>152</v>
      </c>
      <c r="J34" s="450">
        <f t="shared" si="21"/>
        <v>-0.0000004902052617</v>
      </c>
      <c r="K34" s="519">
        <v>1.12E-4</v>
      </c>
      <c r="L34" s="451">
        <f t="shared" si="19"/>
        <v>0.6</v>
      </c>
      <c r="M34" s="452">
        <f t="shared" si="23"/>
        <v>-0.000000294123157</v>
      </c>
      <c r="N34" s="453">
        <v>0.65</v>
      </c>
      <c r="O34" s="454">
        <f>M31+M32+M33+M34+J35</f>
        <v>-0.000001740423205</v>
      </c>
      <c r="Q34" s="434"/>
      <c r="R34" s="434"/>
      <c r="S34" s="434"/>
      <c r="T34" s="434"/>
      <c r="U34" s="434"/>
      <c r="V34" s="434"/>
      <c r="W34" s="434"/>
      <c r="X34" s="434"/>
      <c r="Y34" s="434"/>
      <c r="Z34" s="434"/>
      <c r="AA34" s="434"/>
      <c r="AB34" s="434"/>
      <c r="AC34" s="434"/>
      <c r="AD34" s="434"/>
    </row>
    <row r="35">
      <c r="A35" s="434"/>
      <c r="C35" s="450">
        <f t="shared" si="20"/>
        <v>0</v>
      </c>
      <c r="D35" s="518">
        <v>8.0</v>
      </c>
      <c r="E35" s="451">
        <f t="shared" si="18"/>
        <v>0.8</v>
      </c>
      <c r="F35" s="452">
        <f t="shared" si="22"/>
        <v>0</v>
      </c>
      <c r="G35" s="453">
        <v>0.5</v>
      </c>
      <c r="H35" s="454">
        <f>F31+F32+F33+F34+F35+C36</f>
        <v>0</v>
      </c>
      <c r="I35" s="445" t="s">
        <v>153</v>
      </c>
      <c r="J35" s="450">
        <f t="shared" si="21"/>
        <v>-0.0000002451026309</v>
      </c>
      <c r="K35" s="519">
        <v>1.4E-4</v>
      </c>
      <c r="L35" s="451">
        <f t="shared" si="19"/>
        <v>0.8</v>
      </c>
      <c r="M35" s="452">
        <f t="shared" si="23"/>
        <v>-0.0000001960821047</v>
      </c>
      <c r="N35" s="453">
        <v>0.5</v>
      </c>
      <c r="O35" s="454">
        <f>M31+M32+M33+M34+M35+J36</f>
        <v>-0.000001750927603</v>
      </c>
      <c r="Q35" s="434"/>
      <c r="R35" s="434"/>
      <c r="S35" s="434"/>
      <c r="T35" s="434"/>
      <c r="U35" s="434"/>
      <c r="V35" s="434"/>
      <c r="W35" s="434"/>
      <c r="X35" s="434"/>
      <c r="Y35" s="434"/>
      <c r="Z35" s="434"/>
      <c r="AA35" s="434"/>
      <c r="AB35" s="434"/>
      <c r="AC35" s="434"/>
      <c r="AD35" s="434"/>
    </row>
    <row r="36">
      <c r="A36" s="434"/>
      <c r="C36" s="463">
        <f t="shared" si="20"/>
        <v>0</v>
      </c>
      <c r="D36" s="520">
        <v>9.4</v>
      </c>
      <c r="E36" s="464">
        <f t="shared" si="18"/>
        <v>0.9</v>
      </c>
      <c r="F36" s="465">
        <f t="shared" si="22"/>
        <v>0</v>
      </c>
      <c r="G36" s="466">
        <v>0.3</v>
      </c>
      <c r="H36" s="467">
        <f>F31+F32+F33+F34+F35+F36+C37</f>
        <v>0</v>
      </c>
      <c r="I36" s="445" t="s">
        <v>155</v>
      </c>
      <c r="J36" s="463">
        <f t="shared" si="21"/>
        <v>-0.00000005952492464</v>
      </c>
      <c r="K36" s="521">
        <v>1.7E-4</v>
      </c>
      <c r="L36" s="464">
        <f t="shared" si="19"/>
        <v>0.9</v>
      </c>
      <c r="M36" s="465">
        <f t="shared" si="23"/>
        <v>-0.00000005357243217</v>
      </c>
      <c r="N36" s="466">
        <v>0.3</v>
      </c>
      <c r="O36" s="467">
        <f>M31+M32+M33+M34+M35+M36+J37</f>
        <v>-0.000001752748366</v>
      </c>
      <c r="Q36" s="434"/>
      <c r="R36" s="434"/>
      <c r="S36" s="434"/>
      <c r="T36" s="434"/>
      <c r="U36" s="434"/>
      <c r="V36" s="434"/>
      <c r="W36" s="434"/>
      <c r="X36" s="434"/>
      <c r="Y36" s="434"/>
      <c r="Z36" s="434"/>
      <c r="AA36" s="434"/>
      <c r="AB36" s="434"/>
      <c r="AC36" s="434"/>
      <c r="AD36" s="434"/>
    </row>
    <row r="37">
      <c r="A37" s="434"/>
      <c r="C37" s="463">
        <f t="shared" si="20"/>
        <v>0</v>
      </c>
      <c r="D37" s="520">
        <v>11.5</v>
      </c>
      <c r="E37" s="464">
        <f t="shared" si="18"/>
        <v>1</v>
      </c>
      <c r="F37" s="465">
        <f t="shared" si="22"/>
        <v>0</v>
      </c>
      <c r="G37" s="466">
        <v>0.01</v>
      </c>
      <c r="H37" s="467" t="s">
        <v>30</v>
      </c>
      <c r="I37" s="445" t="s">
        <v>157</v>
      </c>
      <c r="J37" s="463">
        <f t="shared" si="21"/>
        <v>-0.000000007773254864</v>
      </c>
      <c r="K37" s="521">
        <v>2.22E-4</v>
      </c>
      <c r="L37" s="464">
        <f t="shared" si="19"/>
        <v>1</v>
      </c>
      <c r="M37" s="465">
        <f t="shared" si="23"/>
        <v>-0.000000007773254864</v>
      </c>
      <c r="N37" s="466">
        <v>0.01</v>
      </c>
      <c r="O37" s="467" t="s">
        <v>30</v>
      </c>
      <c r="Q37" s="434"/>
      <c r="R37" s="434"/>
      <c r="S37" s="434"/>
      <c r="T37" s="434"/>
      <c r="U37" s="434"/>
      <c r="V37" s="434"/>
      <c r="W37" s="434"/>
      <c r="X37" s="434"/>
      <c r="Y37" s="434"/>
      <c r="Z37" s="434"/>
      <c r="AA37" s="434"/>
      <c r="AB37" s="434"/>
      <c r="AC37" s="434"/>
      <c r="AD37" s="434"/>
    </row>
    <row r="38">
      <c r="A38" s="434"/>
      <c r="B38" s="522" t="s">
        <v>14</v>
      </c>
      <c r="C38" s="437" t="s">
        <v>140</v>
      </c>
      <c r="D38" s="437" t="s">
        <v>147</v>
      </c>
      <c r="E38" s="437" t="s">
        <v>142</v>
      </c>
      <c r="F38" s="437" t="s">
        <v>143</v>
      </c>
      <c r="G38" s="437" t="s">
        <v>144</v>
      </c>
      <c r="H38" s="438" t="s">
        <v>145</v>
      </c>
      <c r="I38" s="439" t="s">
        <v>146</v>
      </c>
      <c r="J38" s="437" t="s">
        <v>140</v>
      </c>
      <c r="K38" s="437" t="s">
        <v>147</v>
      </c>
      <c r="L38" s="437" t="s">
        <v>142</v>
      </c>
      <c r="M38" s="437" t="s">
        <v>143</v>
      </c>
      <c r="N38" s="437" t="s">
        <v>144</v>
      </c>
      <c r="O38" s="438" t="s">
        <v>145</v>
      </c>
      <c r="P38" s="523" t="s">
        <v>16</v>
      </c>
      <c r="Q38" s="434"/>
      <c r="R38" s="434"/>
      <c r="S38" s="434"/>
      <c r="T38" s="434"/>
      <c r="U38" s="434"/>
      <c r="V38" s="434"/>
      <c r="W38" s="434"/>
      <c r="X38" s="434"/>
      <c r="Y38" s="434"/>
      <c r="Z38" s="434"/>
      <c r="AA38" s="434"/>
      <c r="AB38" s="434"/>
      <c r="AC38" s="434"/>
      <c r="AD38" s="434"/>
    </row>
    <row r="39">
      <c r="A39" s="434"/>
      <c r="C39" s="441">
        <f>RECAP!R3</f>
        <v>-0.004171868391</v>
      </c>
      <c r="D39" s="524">
        <f>RECAP!R6</f>
        <v>0.0999</v>
      </c>
      <c r="E39" s="484">
        <f t="shared" ref="E39:E46" si="24">E30</f>
        <v>0</v>
      </c>
      <c r="F39" s="443">
        <v>0.0</v>
      </c>
      <c r="G39" s="444">
        <v>1.0</v>
      </c>
      <c r="H39" s="443">
        <f>F39</f>
        <v>0</v>
      </c>
      <c r="I39" s="445" t="s">
        <v>62</v>
      </c>
      <c r="J39" s="441">
        <f>RECAP!T3</f>
        <v>0</v>
      </c>
      <c r="K39" s="514">
        <f>RECAP!T6</f>
        <v>1.3</v>
      </c>
      <c r="L39" s="484">
        <f t="shared" ref="L39:L46" si="25">L30</f>
        <v>0</v>
      </c>
      <c r="M39" s="443">
        <v>0.0</v>
      </c>
      <c r="N39" s="444">
        <v>1.0</v>
      </c>
      <c r="O39" s="443">
        <f>M39</f>
        <v>0</v>
      </c>
      <c r="Q39" s="434"/>
      <c r="R39" s="434"/>
      <c r="S39" s="434"/>
      <c r="T39" s="434"/>
      <c r="U39" s="434"/>
      <c r="V39" s="434"/>
      <c r="W39" s="434"/>
      <c r="X39" s="434"/>
      <c r="Y39" s="434"/>
      <c r="Z39" s="434"/>
      <c r="AA39" s="434"/>
      <c r="AB39" s="434"/>
      <c r="AC39" s="434"/>
      <c r="AD39" s="434"/>
    </row>
    <row r="40">
      <c r="A40" s="434"/>
      <c r="C40" s="441">
        <f t="shared" ref="C40:C46" si="26">((C39-F39)*D40/D39)</f>
        <v>-0.01419855108</v>
      </c>
      <c r="D40" s="525">
        <v>0.34</v>
      </c>
      <c r="E40" s="444">
        <f t="shared" si="24"/>
        <v>0</v>
      </c>
      <c r="F40" s="443">
        <f>E40*C40</f>
        <v>0</v>
      </c>
      <c r="G40" s="444">
        <v>1.0</v>
      </c>
      <c r="H40" s="443">
        <f>F40+C41</f>
        <v>-0.02672668439</v>
      </c>
      <c r="I40" s="445" t="s">
        <v>148</v>
      </c>
      <c r="J40" s="441">
        <f t="shared" ref="J40:J46" si="27">((J39-M39)*K40/K39)</f>
        <v>0</v>
      </c>
      <c r="K40" s="516">
        <v>2.65</v>
      </c>
      <c r="L40" s="444">
        <f t="shared" si="25"/>
        <v>0</v>
      </c>
      <c r="M40" s="443">
        <f>L40*J40</f>
        <v>0</v>
      </c>
      <c r="N40" s="444">
        <v>1.0</v>
      </c>
      <c r="O40" s="443">
        <f>M40+J41</f>
        <v>0</v>
      </c>
      <c r="Q40" s="434"/>
      <c r="R40" s="434"/>
      <c r="S40" s="434"/>
      <c r="T40" s="434"/>
      <c r="U40" s="434"/>
      <c r="V40" s="434"/>
      <c r="W40" s="434"/>
      <c r="X40" s="434"/>
      <c r="Y40" s="434"/>
      <c r="Z40" s="434"/>
      <c r="AA40" s="434"/>
      <c r="AB40" s="434"/>
      <c r="AC40" s="434"/>
      <c r="AD40" s="434"/>
    </row>
    <row r="41">
      <c r="A41" s="434"/>
      <c r="C41" s="441">
        <f t="shared" si="26"/>
        <v>-0.02672668439</v>
      </c>
      <c r="D41" s="525">
        <v>0.64</v>
      </c>
      <c r="E41" s="444">
        <f t="shared" si="24"/>
        <v>0.25</v>
      </c>
      <c r="F41" s="443">
        <f t="shared" ref="F41:F46" si="28">C41*E41</f>
        <v>-0.006681671097</v>
      </c>
      <c r="G41" s="447">
        <v>0.93</v>
      </c>
      <c r="H41" s="448">
        <f>F40+F41+C42</f>
        <v>-0.03173793771</v>
      </c>
      <c r="I41" s="445" t="s">
        <v>149</v>
      </c>
      <c r="J41" s="441">
        <f t="shared" si="27"/>
        <v>0</v>
      </c>
      <c r="K41" s="516">
        <v>4.55</v>
      </c>
      <c r="L41" s="444">
        <f t="shared" si="25"/>
        <v>0.25</v>
      </c>
      <c r="M41" s="443">
        <f t="shared" ref="M41:M46" si="29">J41*L41</f>
        <v>0</v>
      </c>
      <c r="N41" s="447">
        <v>0.93</v>
      </c>
      <c r="O41" s="448">
        <f>M40+M41+J42</f>
        <v>0</v>
      </c>
      <c r="Q41" s="434"/>
      <c r="R41" s="434"/>
      <c r="S41" s="434"/>
      <c r="T41" s="434"/>
      <c r="U41" s="434"/>
      <c r="V41" s="434"/>
      <c r="W41" s="434"/>
      <c r="X41" s="434"/>
      <c r="Y41" s="434"/>
      <c r="Z41" s="434"/>
      <c r="AA41" s="434"/>
      <c r="AB41" s="434"/>
      <c r="AC41" s="434"/>
      <c r="AD41" s="434"/>
    </row>
    <row r="42">
      <c r="A42" s="434"/>
      <c r="C42" s="441">
        <f t="shared" si="26"/>
        <v>-0.02505626661</v>
      </c>
      <c r="D42" s="525">
        <v>0.8</v>
      </c>
      <c r="E42" s="444">
        <f t="shared" si="24"/>
        <v>0.7</v>
      </c>
      <c r="F42" s="443">
        <f t="shared" si="28"/>
        <v>-0.01753938663</v>
      </c>
      <c r="G42" s="447">
        <v>0.8</v>
      </c>
      <c r="H42" s="448">
        <f>F40+F41+F42+C43</f>
        <v>-0.03361715771</v>
      </c>
      <c r="I42" s="445" t="s">
        <v>150</v>
      </c>
      <c r="J42" s="441">
        <f t="shared" si="27"/>
        <v>0</v>
      </c>
      <c r="K42" s="516">
        <v>7.5</v>
      </c>
      <c r="L42" s="444">
        <f t="shared" si="25"/>
        <v>0.7</v>
      </c>
      <c r="M42" s="443">
        <f t="shared" si="29"/>
        <v>0</v>
      </c>
      <c r="N42" s="447">
        <v>0.8</v>
      </c>
      <c r="O42" s="448">
        <f>M40+M41+M42+J43</f>
        <v>0</v>
      </c>
      <c r="Q42" s="434"/>
      <c r="R42" s="434"/>
      <c r="S42" s="434"/>
      <c r="T42" s="434"/>
      <c r="U42" s="434"/>
      <c r="V42" s="434"/>
      <c r="W42" s="434"/>
      <c r="X42" s="434"/>
      <c r="Y42" s="434"/>
      <c r="Z42" s="434"/>
      <c r="AA42" s="434"/>
      <c r="AB42" s="434"/>
      <c r="AC42" s="434"/>
      <c r="AD42" s="434"/>
    </row>
    <row r="43">
      <c r="A43" s="434"/>
      <c r="C43" s="450">
        <f t="shared" si="26"/>
        <v>-0.00939609998</v>
      </c>
      <c r="D43" s="526">
        <v>1.0</v>
      </c>
      <c r="E43" s="451">
        <f t="shared" si="24"/>
        <v>0.6</v>
      </c>
      <c r="F43" s="452">
        <f t="shared" si="28"/>
        <v>-0.005637659988</v>
      </c>
      <c r="G43" s="453">
        <v>0.65</v>
      </c>
      <c r="H43" s="454">
        <f>F40+F41+F42+F43+C44</f>
        <v>-0.03453797551</v>
      </c>
      <c r="I43" s="445" t="s">
        <v>152</v>
      </c>
      <c r="J43" s="450">
        <f t="shared" si="27"/>
        <v>0</v>
      </c>
      <c r="K43" s="519">
        <v>10.8</v>
      </c>
      <c r="L43" s="451">
        <f t="shared" si="25"/>
        <v>0.6</v>
      </c>
      <c r="M43" s="452">
        <f t="shared" si="29"/>
        <v>0</v>
      </c>
      <c r="N43" s="453">
        <v>0.65</v>
      </c>
      <c r="O43" s="454">
        <f>M40+M41+M42+M43+J44</f>
        <v>0</v>
      </c>
      <c r="Q43" s="434"/>
      <c r="R43" s="434"/>
      <c r="S43" s="434"/>
      <c r="T43" s="434"/>
      <c r="U43" s="434"/>
      <c r="V43" s="434"/>
      <c r="W43" s="434"/>
      <c r="X43" s="434"/>
      <c r="Y43" s="434"/>
      <c r="Z43" s="434"/>
      <c r="AA43" s="434"/>
      <c r="AB43" s="434"/>
      <c r="AC43" s="434"/>
      <c r="AD43" s="434"/>
    </row>
    <row r="44">
      <c r="A44" s="434"/>
      <c r="C44" s="450">
        <f t="shared" si="26"/>
        <v>-0.00467925779</v>
      </c>
      <c r="D44" s="526">
        <v>1.245</v>
      </c>
      <c r="E44" s="451">
        <f t="shared" si="24"/>
        <v>0.8</v>
      </c>
      <c r="F44" s="452">
        <f t="shared" si="28"/>
        <v>-0.003743406232</v>
      </c>
      <c r="G44" s="453">
        <v>0.5</v>
      </c>
      <c r="H44" s="454">
        <f>F40+F41+F42+F43+F44+C45</f>
        <v>-0.03475220659</v>
      </c>
      <c r="I44" s="445" t="s">
        <v>153</v>
      </c>
      <c r="J44" s="450">
        <f t="shared" si="27"/>
        <v>0</v>
      </c>
      <c r="K44" s="519">
        <v>17.5</v>
      </c>
      <c r="L44" s="451">
        <f t="shared" si="25"/>
        <v>0.8</v>
      </c>
      <c r="M44" s="452">
        <f t="shared" si="29"/>
        <v>0</v>
      </c>
      <c r="N44" s="453">
        <v>0.5</v>
      </c>
      <c r="O44" s="454">
        <f>M40+M41+M42+M43+M44+J45</f>
        <v>0</v>
      </c>
      <c r="Q44" s="434"/>
      <c r="R44" s="434"/>
      <c r="S44" s="434"/>
      <c r="T44" s="434"/>
      <c r="U44" s="434"/>
      <c r="V44" s="434"/>
      <c r="W44" s="434"/>
      <c r="X44" s="434"/>
      <c r="Y44" s="434"/>
      <c r="Z44" s="434"/>
      <c r="AA44" s="434"/>
      <c r="AB44" s="434"/>
      <c r="AC44" s="434"/>
      <c r="AD44" s="434"/>
    </row>
    <row r="45">
      <c r="A45" s="434"/>
      <c r="C45" s="463">
        <f t="shared" si="26"/>
        <v>-0.001150082638</v>
      </c>
      <c r="D45" s="527">
        <v>1.53</v>
      </c>
      <c r="E45" s="464">
        <f t="shared" si="24"/>
        <v>0.9</v>
      </c>
      <c r="F45" s="465">
        <f t="shared" si="28"/>
        <v>-0.001035074374</v>
      </c>
      <c r="G45" s="466">
        <v>0.3</v>
      </c>
      <c r="H45" s="467">
        <f>F40+F41+F42+F43+F44+F45+C46</f>
        <v>-0.03477400554</v>
      </c>
      <c r="I45" s="445" t="s">
        <v>155</v>
      </c>
      <c r="J45" s="463">
        <f t="shared" si="27"/>
        <v>0</v>
      </c>
      <c r="K45" s="521">
        <v>22.13</v>
      </c>
      <c r="L45" s="464">
        <f t="shared" si="25"/>
        <v>0.9</v>
      </c>
      <c r="M45" s="465">
        <f t="shared" si="29"/>
        <v>0</v>
      </c>
      <c r="N45" s="466">
        <v>0.3</v>
      </c>
      <c r="O45" s="467">
        <f>M40+M41+M42+M43+M44+M45+J46</f>
        <v>0</v>
      </c>
      <c r="Q45" s="434"/>
      <c r="R45" s="434"/>
      <c r="S45" s="434"/>
      <c r="T45" s="434"/>
      <c r="U45" s="434"/>
      <c r="V45" s="434"/>
      <c r="W45" s="434"/>
      <c r="X45" s="434"/>
      <c r="Y45" s="434"/>
      <c r="Z45" s="434"/>
      <c r="AA45" s="434"/>
      <c r="AB45" s="434"/>
      <c r="AC45" s="434"/>
      <c r="AD45" s="434"/>
    </row>
    <row r="46">
      <c r="A46" s="434"/>
      <c r="C46" s="463">
        <f t="shared" si="26"/>
        <v>-0.0001368072157</v>
      </c>
      <c r="D46" s="527">
        <v>1.82</v>
      </c>
      <c r="E46" s="464">
        <f t="shared" si="24"/>
        <v>1</v>
      </c>
      <c r="F46" s="465">
        <f t="shared" si="28"/>
        <v>-0.0001368072157</v>
      </c>
      <c r="G46" s="466">
        <v>0.01</v>
      </c>
      <c r="H46" s="467" t="s">
        <v>30</v>
      </c>
      <c r="I46" s="445" t="s">
        <v>157</v>
      </c>
      <c r="J46" s="463">
        <f t="shared" si="27"/>
        <v>0</v>
      </c>
      <c r="K46" s="521">
        <v>27.0</v>
      </c>
      <c r="L46" s="464">
        <f t="shared" si="25"/>
        <v>1</v>
      </c>
      <c r="M46" s="465">
        <f t="shared" si="29"/>
        <v>0</v>
      </c>
      <c r="N46" s="466">
        <v>0.01</v>
      </c>
      <c r="O46" s="467" t="s">
        <v>30</v>
      </c>
      <c r="Q46" s="434"/>
      <c r="R46" s="434"/>
      <c r="S46" s="434"/>
      <c r="T46" s="434"/>
      <c r="U46" s="434"/>
      <c r="V46" s="434"/>
      <c r="W46" s="434"/>
      <c r="X46" s="434"/>
      <c r="Y46" s="434"/>
      <c r="Z46" s="434"/>
      <c r="AA46" s="434"/>
      <c r="AB46" s="434"/>
      <c r="AC46" s="434"/>
      <c r="AD46" s="434"/>
    </row>
    <row r="47">
      <c r="A47" s="434"/>
      <c r="B47" s="528"/>
      <c r="C47" s="528"/>
      <c r="D47" s="528"/>
      <c r="E47" s="528"/>
      <c r="F47" s="528"/>
      <c r="G47" s="511"/>
      <c r="H47" s="511"/>
      <c r="I47" s="511"/>
      <c r="J47" s="511"/>
      <c r="K47" s="511"/>
      <c r="L47" s="528"/>
      <c r="M47" s="528"/>
      <c r="N47" s="528"/>
      <c r="O47" s="528"/>
      <c r="P47" s="528"/>
      <c r="Q47" s="434"/>
      <c r="R47" s="434"/>
      <c r="S47" s="434"/>
      <c r="T47" s="434"/>
      <c r="U47" s="434"/>
      <c r="V47" s="434"/>
      <c r="W47" s="434"/>
      <c r="X47" s="434"/>
      <c r="Y47" s="434"/>
      <c r="Z47" s="434"/>
      <c r="AA47" s="434"/>
      <c r="AB47" s="434"/>
      <c r="AC47" s="434"/>
      <c r="AD47" s="434"/>
    </row>
    <row r="48">
      <c r="A48" s="434"/>
      <c r="B48" s="528"/>
      <c r="C48" s="528"/>
      <c r="D48" s="528"/>
      <c r="E48" s="528"/>
      <c r="F48" s="528"/>
      <c r="G48" s="511"/>
      <c r="H48" s="511"/>
      <c r="I48" s="511"/>
      <c r="J48" s="511"/>
      <c r="K48" s="511"/>
      <c r="L48" s="528"/>
      <c r="M48" s="528"/>
      <c r="N48" s="528"/>
      <c r="O48" s="528"/>
      <c r="P48" s="528"/>
      <c r="Q48" s="434"/>
      <c r="R48" s="434"/>
      <c r="S48" s="434"/>
      <c r="T48" s="434"/>
      <c r="U48" s="434"/>
      <c r="V48" s="434"/>
      <c r="W48" s="434"/>
      <c r="X48" s="434"/>
      <c r="Y48" s="434"/>
      <c r="Z48" s="434"/>
      <c r="AA48" s="434"/>
      <c r="AB48" s="434"/>
      <c r="AC48" s="434"/>
      <c r="AD48" s="434"/>
    </row>
    <row r="49">
      <c r="A49" s="434"/>
      <c r="B49" s="528"/>
      <c r="C49" s="528"/>
      <c r="D49" s="528"/>
      <c r="E49" s="528"/>
      <c r="F49" s="528"/>
      <c r="G49" s="511"/>
      <c r="H49" s="511"/>
      <c r="I49" s="511"/>
      <c r="J49" s="511"/>
      <c r="K49" s="511"/>
      <c r="L49" s="528"/>
      <c r="M49" s="528"/>
      <c r="N49" s="528"/>
      <c r="O49" s="528"/>
      <c r="P49" s="528"/>
      <c r="Q49" s="434"/>
      <c r="R49" s="434"/>
      <c r="S49" s="434"/>
      <c r="T49" s="434"/>
      <c r="U49" s="434"/>
      <c r="V49" s="434"/>
      <c r="W49" s="434"/>
      <c r="X49" s="434"/>
      <c r="Y49" s="434"/>
      <c r="Z49" s="434"/>
      <c r="AA49" s="434"/>
      <c r="AB49" s="434"/>
      <c r="AC49" s="434"/>
      <c r="AD49" s="434"/>
    </row>
    <row r="50">
      <c r="A50" s="434"/>
      <c r="B50" s="528"/>
      <c r="C50" s="528"/>
      <c r="D50" s="528"/>
      <c r="E50" s="528"/>
      <c r="F50" s="528"/>
      <c r="G50" s="511"/>
      <c r="H50" s="511"/>
      <c r="I50" s="511"/>
      <c r="J50" s="511"/>
      <c r="K50" s="511"/>
      <c r="L50" s="528"/>
      <c r="M50" s="528"/>
      <c r="N50" s="528"/>
      <c r="O50" s="528"/>
      <c r="P50" s="528"/>
      <c r="Q50" s="434"/>
      <c r="R50" s="434"/>
      <c r="S50" s="434"/>
      <c r="T50" s="434"/>
      <c r="U50" s="434"/>
      <c r="V50" s="434"/>
      <c r="W50" s="434"/>
      <c r="X50" s="434"/>
      <c r="Y50" s="434"/>
      <c r="Z50" s="434"/>
      <c r="AA50" s="434"/>
      <c r="AB50" s="434"/>
      <c r="AC50" s="434"/>
      <c r="AD50" s="434"/>
    </row>
    <row r="51">
      <c r="A51" s="434"/>
      <c r="B51" s="528"/>
      <c r="C51" s="528"/>
      <c r="D51" s="528"/>
      <c r="E51" s="528"/>
      <c r="F51" s="528"/>
      <c r="G51" s="511"/>
      <c r="H51" s="511"/>
      <c r="I51" s="511"/>
      <c r="J51" s="511"/>
      <c r="K51" s="511"/>
      <c r="L51" s="528"/>
      <c r="M51" s="528"/>
      <c r="N51" s="528"/>
      <c r="O51" s="528"/>
      <c r="P51" s="528"/>
      <c r="Q51" s="434"/>
      <c r="R51" s="434"/>
      <c r="S51" s="434"/>
      <c r="T51" s="434"/>
      <c r="U51" s="434"/>
      <c r="V51" s="434"/>
      <c r="W51" s="434"/>
      <c r="X51" s="434"/>
      <c r="Y51" s="434"/>
      <c r="Z51" s="434"/>
      <c r="AA51" s="434"/>
      <c r="AB51" s="434"/>
      <c r="AC51" s="434"/>
      <c r="AD51" s="434"/>
    </row>
    <row r="52">
      <c r="A52" s="434"/>
      <c r="B52" s="528"/>
      <c r="C52" s="528"/>
      <c r="D52" s="528"/>
      <c r="E52" s="528"/>
      <c r="F52" s="528"/>
      <c r="G52" s="511"/>
      <c r="H52" s="511"/>
      <c r="I52" s="511"/>
      <c r="J52" s="511"/>
      <c r="K52" s="511"/>
      <c r="L52" s="528"/>
      <c r="M52" s="528"/>
      <c r="N52" s="528"/>
      <c r="O52" s="528"/>
      <c r="P52" s="528"/>
      <c r="Q52" s="434"/>
      <c r="R52" s="434"/>
      <c r="S52" s="434"/>
      <c r="T52" s="434"/>
      <c r="U52" s="434"/>
      <c r="V52" s="434"/>
      <c r="W52" s="434"/>
      <c r="X52" s="434"/>
      <c r="Y52" s="434"/>
      <c r="Z52" s="434"/>
      <c r="AA52" s="434"/>
      <c r="AB52" s="434"/>
      <c r="AC52" s="434"/>
      <c r="AD52" s="434"/>
    </row>
    <row r="53">
      <c r="A53" s="434"/>
      <c r="B53" s="528"/>
      <c r="C53" s="528"/>
      <c r="D53" s="528"/>
      <c r="E53" s="528"/>
      <c r="F53" s="528"/>
      <c r="G53" s="511"/>
      <c r="H53" s="511"/>
      <c r="I53" s="511"/>
      <c r="J53" s="511"/>
      <c r="K53" s="511"/>
      <c r="L53" s="528"/>
      <c r="M53" s="528"/>
      <c r="N53" s="528"/>
      <c r="O53" s="528"/>
      <c r="P53" s="528"/>
      <c r="Q53" s="434"/>
      <c r="R53" s="434"/>
      <c r="S53" s="434"/>
      <c r="T53" s="434"/>
      <c r="U53" s="434"/>
      <c r="V53" s="434"/>
      <c r="W53" s="434"/>
      <c r="X53" s="434"/>
      <c r="Y53" s="434"/>
      <c r="Z53" s="434"/>
      <c r="AA53" s="434"/>
      <c r="AB53" s="434"/>
      <c r="AC53" s="434"/>
      <c r="AD53" s="434"/>
    </row>
    <row r="54">
      <c r="A54" s="434"/>
      <c r="B54" s="528"/>
      <c r="C54" s="528"/>
      <c r="D54" s="528"/>
      <c r="E54" s="528"/>
      <c r="F54" s="528"/>
      <c r="G54" s="511"/>
      <c r="H54" s="511"/>
      <c r="I54" s="511"/>
      <c r="J54" s="511"/>
      <c r="K54" s="511"/>
      <c r="L54" s="528"/>
      <c r="M54" s="528"/>
      <c r="N54" s="528"/>
      <c r="O54" s="528"/>
      <c r="P54" s="528"/>
      <c r="Q54" s="434"/>
      <c r="R54" s="434"/>
      <c r="S54" s="434"/>
      <c r="T54" s="434"/>
      <c r="U54" s="434"/>
      <c r="V54" s="434"/>
      <c r="W54" s="434"/>
      <c r="X54" s="434"/>
      <c r="Y54" s="434"/>
      <c r="Z54" s="434"/>
      <c r="AA54" s="434"/>
      <c r="AB54" s="434"/>
      <c r="AC54" s="434"/>
      <c r="AD54" s="434"/>
    </row>
    <row r="55">
      <c r="A55" s="434"/>
      <c r="B55" s="528"/>
      <c r="C55" s="528"/>
      <c r="D55" s="528"/>
      <c r="E55" s="528"/>
      <c r="F55" s="528"/>
      <c r="G55" s="511"/>
      <c r="H55" s="511"/>
      <c r="I55" s="511"/>
      <c r="J55" s="511"/>
      <c r="K55" s="511"/>
      <c r="L55" s="528"/>
      <c r="M55" s="528"/>
      <c r="N55" s="528"/>
      <c r="O55" s="528"/>
      <c r="P55" s="528"/>
      <c r="Q55" s="434"/>
      <c r="R55" s="434"/>
      <c r="S55" s="434"/>
      <c r="T55" s="434"/>
      <c r="U55" s="434"/>
      <c r="V55" s="434"/>
      <c r="W55" s="434"/>
      <c r="X55" s="434"/>
      <c r="Y55" s="434"/>
      <c r="Z55" s="434"/>
      <c r="AA55" s="434"/>
      <c r="AB55" s="434"/>
      <c r="AC55" s="434"/>
      <c r="AD55" s="434"/>
    </row>
    <row r="56">
      <c r="A56" s="434"/>
      <c r="B56" s="528"/>
      <c r="C56" s="528"/>
      <c r="D56" s="528"/>
      <c r="E56" s="528"/>
      <c r="F56" s="528"/>
      <c r="G56" s="511"/>
      <c r="H56" s="511"/>
      <c r="I56" s="511"/>
      <c r="J56" s="511"/>
      <c r="K56" s="511"/>
      <c r="L56" s="528"/>
      <c r="M56" s="528"/>
      <c r="N56" s="528"/>
      <c r="O56" s="528"/>
      <c r="P56" s="528"/>
      <c r="Q56" s="434"/>
      <c r="R56" s="434"/>
      <c r="S56" s="434"/>
      <c r="T56" s="434"/>
      <c r="U56" s="434"/>
      <c r="V56" s="434"/>
      <c r="W56" s="434"/>
      <c r="X56" s="434"/>
      <c r="Y56" s="434"/>
      <c r="Z56" s="434"/>
      <c r="AA56" s="434"/>
      <c r="AB56" s="434"/>
      <c r="AC56" s="434"/>
      <c r="AD56" s="434"/>
    </row>
    <row r="57">
      <c r="A57" s="434"/>
      <c r="B57" s="528"/>
      <c r="C57" s="528"/>
      <c r="D57" s="528"/>
      <c r="E57" s="528"/>
      <c r="F57" s="528"/>
      <c r="G57" s="511"/>
      <c r="H57" s="511"/>
      <c r="I57" s="511"/>
      <c r="J57" s="511"/>
      <c r="K57" s="511"/>
      <c r="L57" s="528"/>
      <c r="M57" s="528"/>
      <c r="N57" s="528"/>
      <c r="O57" s="528"/>
      <c r="P57" s="528"/>
      <c r="Q57" s="434"/>
      <c r="R57" s="434"/>
      <c r="S57" s="434"/>
      <c r="T57" s="434"/>
      <c r="U57" s="434"/>
      <c r="V57" s="434"/>
      <c r="W57" s="434"/>
      <c r="X57" s="434"/>
      <c r="Y57" s="434"/>
      <c r="Z57" s="434"/>
      <c r="AA57" s="434"/>
      <c r="AB57" s="434"/>
      <c r="AC57" s="434"/>
      <c r="AD57" s="434"/>
    </row>
    <row r="58">
      <c r="A58" s="434"/>
      <c r="B58" s="528"/>
      <c r="C58" s="528"/>
      <c r="D58" s="528"/>
      <c r="E58" s="528"/>
      <c r="F58" s="528"/>
      <c r="G58" s="511"/>
      <c r="H58" s="511"/>
      <c r="I58" s="511"/>
      <c r="J58" s="511"/>
      <c r="K58" s="511"/>
      <c r="L58" s="528"/>
      <c r="M58" s="528"/>
      <c r="N58" s="528"/>
      <c r="O58" s="528"/>
      <c r="P58" s="528"/>
      <c r="Q58" s="434"/>
      <c r="R58" s="434"/>
      <c r="S58" s="434"/>
      <c r="T58" s="434"/>
      <c r="U58" s="434"/>
      <c r="V58" s="434"/>
      <c r="W58" s="434"/>
      <c r="X58" s="434"/>
      <c r="Y58" s="434"/>
      <c r="Z58" s="434"/>
      <c r="AA58" s="434"/>
      <c r="AB58" s="434"/>
      <c r="AC58" s="434"/>
      <c r="AD58" s="434"/>
    </row>
    <row r="59">
      <c r="A59" s="434"/>
      <c r="B59" s="528"/>
      <c r="C59" s="528"/>
      <c r="D59" s="528"/>
      <c r="E59" s="528"/>
      <c r="F59" s="528"/>
      <c r="G59" s="511"/>
      <c r="H59" s="511"/>
      <c r="I59" s="511"/>
      <c r="J59" s="511"/>
      <c r="K59" s="511"/>
      <c r="L59" s="528"/>
      <c r="M59" s="528"/>
      <c r="N59" s="528"/>
      <c r="O59" s="528"/>
      <c r="P59" s="528"/>
      <c r="Q59" s="434"/>
      <c r="R59" s="434"/>
      <c r="S59" s="434"/>
      <c r="T59" s="434"/>
      <c r="U59" s="434"/>
      <c r="V59" s="434"/>
      <c r="W59" s="434"/>
      <c r="X59" s="434"/>
      <c r="Y59" s="434"/>
      <c r="Z59" s="434"/>
      <c r="AA59" s="434"/>
      <c r="AB59" s="434"/>
      <c r="AC59" s="434"/>
      <c r="AD59" s="434"/>
    </row>
    <row r="60">
      <c r="A60" s="434"/>
      <c r="B60" s="528"/>
      <c r="C60" s="528"/>
      <c r="D60" s="528"/>
      <c r="E60" s="528"/>
      <c r="F60" s="528"/>
      <c r="G60" s="511"/>
      <c r="H60" s="511"/>
      <c r="I60" s="511"/>
      <c r="J60" s="511"/>
      <c r="K60" s="511"/>
      <c r="L60" s="528"/>
      <c r="M60" s="528"/>
      <c r="N60" s="528"/>
      <c r="O60" s="528"/>
      <c r="P60" s="528"/>
      <c r="Q60" s="434"/>
      <c r="R60" s="434"/>
      <c r="S60" s="434"/>
      <c r="T60" s="434"/>
      <c r="U60" s="434"/>
      <c r="V60" s="434"/>
      <c r="W60" s="434"/>
      <c r="X60" s="434"/>
      <c r="Y60" s="434"/>
      <c r="Z60" s="434"/>
      <c r="AA60" s="434"/>
      <c r="AB60" s="434"/>
      <c r="AC60" s="434"/>
      <c r="AD60" s="434"/>
    </row>
    <row r="61">
      <c r="A61" s="434"/>
      <c r="B61" s="528"/>
      <c r="C61" s="528"/>
      <c r="D61" s="528"/>
      <c r="E61" s="528"/>
      <c r="F61" s="528"/>
      <c r="G61" s="511"/>
      <c r="H61" s="511"/>
      <c r="I61" s="511"/>
      <c r="J61" s="511"/>
      <c r="K61" s="511"/>
      <c r="L61" s="528"/>
      <c r="M61" s="528"/>
      <c r="N61" s="528"/>
      <c r="O61" s="528"/>
      <c r="P61" s="528"/>
      <c r="Q61" s="434"/>
      <c r="R61" s="434"/>
      <c r="S61" s="434"/>
      <c r="T61" s="434"/>
      <c r="U61" s="434"/>
      <c r="V61" s="434"/>
      <c r="W61" s="434"/>
      <c r="X61" s="434"/>
      <c r="Y61" s="434"/>
      <c r="Z61" s="434"/>
      <c r="AA61" s="434"/>
      <c r="AB61" s="434"/>
      <c r="AC61" s="434"/>
      <c r="AD61" s="434"/>
    </row>
    <row r="62">
      <c r="A62" s="434"/>
      <c r="B62" s="528"/>
      <c r="C62" s="528"/>
      <c r="D62" s="528"/>
      <c r="E62" s="528"/>
      <c r="F62" s="528"/>
      <c r="G62" s="511"/>
      <c r="H62" s="511"/>
      <c r="I62" s="511"/>
      <c r="J62" s="511"/>
      <c r="K62" s="511"/>
      <c r="L62" s="528"/>
      <c r="M62" s="528"/>
      <c r="N62" s="528"/>
      <c r="O62" s="528"/>
      <c r="P62" s="528"/>
      <c r="Q62" s="434"/>
      <c r="R62" s="434"/>
      <c r="S62" s="434"/>
      <c r="T62" s="434"/>
      <c r="U62" s="434"/>
      <c r="V62" s="434"/>
      <c r="W62" s="434"/>
      <c r="X62" s="434"/>
      <c r="Y62" s="434"/>
      <c r="Z62" s="434"/>
      <c r="AA62" s="434"/>
      <c r="AB62" s="434"/>
      <c r="AC62" s="434"/>
      <c r="AD62" s="434"/>
    </row>
    <row r="63">
      <c r="A63" s="434"/>
      <c r="B63" s="528"/>
      <c r="C63" s="528"/>
      <c r="D63" s="528"/>
      <c r="E63" s="528"/>
      <c r="F63" s="528"/>
      <c r="G63" s="511"/>
      <c r="H63" s="511"/>
      <c r="I63" s="511"/>
      <c r="J63" s="511"/>
      <c r="K63" s="511"/>
      <c r="L63" s="528"/>
      <c r="M63" s="528"/>
      <c r="N63" s="528"/>
      <c r="O63" s="528"/>
      <c r="P63" s="528"/>
      <c r="Q63" s="434"/>
      <c r="R63" s="434"/>
      <c r="S63" s="434"/>
      <c r="T63" s="434"/>
      <c r="U63" s="434"/>
      <c r="V63" s="434"/>
      <c r="W63" s="434"/>
      <c r="X63" s="434"/>
      <c r="Y63" s="434"/>
      <c r="Z63" s="434"/>
      <c r="AA63" s="434"/>
      <c r="AB63" s="434"/>
      <c r="AC63" s="434"/>
      <c r="AD63" s="434"/>
    </row>
    <row r="64">
      <c r="A64" s="434"/>
      <c r="B64" s="528"/>
      <c r="C64" s="528"/>
      <c r="D64" s="528"/>
      <c r="E64" s="528"/>
      <c r="F64" s="528"/>
      <c r="G64" s="511"/>
      <c r="H64" s="511"/>
      <c r="I64" s="511"/>
      <c r="J64" s="511"/>
      <c r="K64" s="511"/>
      <c r="L64" s="528"/>
      <c r="M64" s="528"/>
      <c r="N64" s="528"/>
      <c r="O64" s="528"/>
      <c r="P64" s="528"/>
      <c r="Q64" s="434"/>
      <c r="R64" s="434"/>
      <c r="S64" s="434"/>
      <c r="T64" s="434"/>
      <c r="U64" s="434"/>
      <c r="V64" s="434"/>
      <c r="W64" s="434"/>
      <c r="X64" s="434"/>
      <c r="Y64" s="434"/>
      <c r="Z64" s="434"/>
      <c r="AA64" s="434"/>
      <c r="AB64" s="434"/>
      <c r="AC64" s="434"/>
      <c r="AD64" s="434"/>
    </row>
    <row r="65">
      <c r="A65" s="434"/>
      <c r="B65" s="528"/>
      <c r="C65" s="528"/>
      <c r="D65" s="528"/>
      <c r="E65" s="528"/>
      <c r="F65" s="528"/>
      <c r="G65" s="511"/>
      <c r="H65" s="511"/>
      <c r="I65" s="511"/>
      <c r="J65" s="511"/>
      <c r="K65" s="511"/>
      <c r="L65" s="528"/>
      <c r="M65" s="528"/>
      <c r="N65" s="528"/>
      <c r="O65" s="528"/>
      <c r="P65" s="528"/>
      <c r="Q65" s="434"/>
      <c r="R65" s="434"/>
      <c r="S65" s="434"/>
      <c r="T65" s="434"/>
      <c r="U65" s="434"/>
      <c r="V65" s="434"/>
      <c r="W65" s="434"/>
      <c r="X65" s="434"/>
      <c r="Y65" s="434"/>
      <c r="Z65" s="434"/>
      <c r="AA65" s="434"/>
      <c r="AB65" s="434"/>
      <c r="AC65" s="434"/>
      <c r="AD65" s="434"/>
    </row>
    <row r="66">
      <c r="A66" s="434"/>
      <c r="B66" s="528"/>
      <c r="C66" s="528"/>
      <c r="D66" s="528"/>
      <c r="E66" s="528"/>
      <c r="F66" s="528"/>
      <c r="G66" s="511"/>
      <c r="H66" s="511"/>
      <c r="I66" s="511"/>
      <c r="J66" s="511"/>
      <c r="K66" s="511"/>
      <c r="L66" s="528"/>
      <c r="M66" s="528"/>
      <c r="N66" s="528"/>
      <c r="O66" s="528"/>
      <c r="P66" s="528"/>
      <c r="Q66" s="434"/>
      <c r="R66" s="434"/>
      <c r="S66" s="434"/>
      <c r="T66" s="434"/>
      <c r="U66" s="434"/>
      <c r="V66" s="434"/>
      <c r="W66" s="434"/>
      <c r="X66" s="434"/>
      <c r="Y66" s="434"/>
      <c r="Z66" s="434"/>
      <c r="AA66" s="434"/>
      <c r="AB66" s="434"/>
      <c r="AC66" s="434"/>
      <c r="AD66" s="434"/>
    </row>
    <row r="67">
      <c r="A67" s="434"/>
      <c r="B67" s="528"/>
      <c r="C67" s="528"/>
      <c r="D67" s="528"/>
      <c r="E67" s="528"/>
      <c r="F67" s="528"/>
      <c r="G67" s="511"/>
      <c r="H67" s="511"/>
      <c r="I67" s="511"/>
      <c r="J67" s="511"/>
      <c r="K67" s="511"/>
      <c r="L67" s="528"/>
      <c r="M67" s="528"/>
      <c r="N67" s="528"/>
      <c r="O67" s="528"/>
      <c r="P67" s="528"/>
      <c r="Q67" s="434"/>
      <c r="R67" s="434"/>
      <c r="S67" s="434"/>
      <c r="T67" s="434"/>
      <c r="U67" s="434"/>
      <c r="V67" s="434"/>
      <c r="W67" s="434"/>
      <c r="X67" s="434"/>
      <c r="Y67" s="434"/>
      <c r="Z67" s="434"/>
      <c r="AA67" s="434"/>
      <c r="AB67" s="434"/>
      <c r="AC67" s="434"/>
      <c r="AD67" s="434"/>
    </row>
    <row r="68">
      <c r="A68" s="434"/>
      <c r="B68" s="528"/>
      <c r="C68" s="528"/>
      <c r="D68" s="528"/>
      <c r="E68" s="528"/>
      <c r="F68" s="528"/>
      <c r="G68" s="511"/>
      <c r="H68" s="511"/>
      <c r="I68" s="511"/>
      <c r="J68" s="511"/>
      <c r="K68" s="511"/>
      <c r="L68" s="528"/>
      <c r="M68" s="528"/>
      <c r="N68" s="528"/>
      <c r="O68" s="528"/>
      <c r="P68" s="528"/>
      <c r="Q68" s="434"/>
      <c r="R68" s="434"/>
      <c r="S68" s="434"/>
      <c r="T68" s="434"/>
      <c r="U68" s="434"/>
      <c r="V68" s="434"/>
      <c r="W68" s="434"/>
      <c r="X68" s="434"/>
      <c r="Y68" s="434"/>
      <c r="Z68" s="434"/>
      <c r="AA68" s="434"/>
      <c r="AB68" s="434"/>
      <c r="AC68" s="434"/>
      <c r="AD68" s="434"/>
    </row>
    <row r="69">
      <c r="A69" s="434"/>
      <c r="B69" s="528"/>
      <c r="C69" s="528"/>
      <c r="D69" s="528"/>
      <c r="E69" s="528"/>
      <c r="F69" s="528"/>
      <c r="G69" s="511"/>
      <c r="H69" s="511"/>
      <c r="I69" s="511"/>
      <c r="J69" s="511"/>
      <c r="K69" s="511"/>
      <c r="L69" s="528"/>
      <c r="M69" s="528"/>
      <c r="N69" s="528"/>
      <c r="O69" s="528"/>
      <c r="P69" s="528"/>
      <c r="Q69" s="434"/>
      <c r="R69" s="434"/>
      <c r="S69" s="434"/>
      <c r="T69" s="434"/>
      <c r="U69" s="434"/>
      <c r="V69" s="434"/>
      <c r="W69" s="434"/>
      <c r="X69" s="434"/>
      <c r="Y69" s="434"/>
      <c r="Z69" s="434"/>
      <c r="AA69" s="434"/>
      <c r="AB69" s="434"/>
      <c r="AC69" s="434"/>
      <c r="AD69" s="434"/>
    </row>
    <row r="70">
      <c r="A70" s="434"/>
      <c r="B70" s="528"/>
      <c r="C70" s="528"/>
      <c r="D70" s="528"/>
      <c r="E70" s="528"/>
      <c r="F70" s="528"/>
      <c r="G70" s="511"/>
      <c r="H70" s="511"/>
      <c r="I70" s="511"/>
      <c r="J70" s="511"/>
      <c r="K70" s="511"/>
      <c r="L70" s="528"/>
      <c r="M70" s="528"/>
      <c r="N70" s="528"/>
      <c r="O70" s="528"/>
      <c r="P70" s="528"/>
      <c r="Q70" s="434"/>
      <c r="R70" s="434"/>
      <c r="S70" s="434"/>
      <c r="T70" s="434"/>
      <c r="U70" s="434"/>
      <c r="V70" s="434"/>
      <c r="W70" s="434"/>
      <c r="X70" s="434"/>
      <c r="Y70" s="434"/>
      <c r="Z70" s="434"/>
      <c r="AA70" s="434"/>
      <c r="AB70" s="434"/>
      <c r="AC70" s="434"/>
      <c r="AD70" s="434"/>
    </row>
    <row r="71">
      <c r="A71" s="434"/>
      <c r="B71" s="528"/>
      <c r="C71" s="528"/>
      <c r="D71" s="528"/>
      <c r="E71" s="528"/>
      <c r="F71" s="528"/>
      <c r="G71" s="511"/>
      <c r="H71" s="511"/>
      <c r="I71" s="511"/>
      <c r="J71" s="511"/>
      <c r="K71" s="511"/>
      <c r="L71" s="528"/>
      <c r="M71" s="528"/>
      <c r="N71" s="528"/>
      <c r="O71" s="528"/>
      <c r="P71" s="528"/>
      <c r="Q71" s="434"/>
      <c r="R71" s="434"/>
      <c r="S71" s="434"/>
      <c r="T71" s="434"/>
      <c r="U71" s="434"/>
      <c r="V71" s="434"/>
      <c r="W71" s="434"/>
      <c r="X71" s="434"/>
      <c r="Y71" s="434"/>
      <c r="Z71" s="434"/>
      <c r="AA71" s="434"/>
      <c r="AB71" s="434"/>
      <c r="AC71" s="434"/>
      <c r="AD71" s="434"/>
    </row>
    <row r="72">
      <c r="A72" s="434"/>
      <c r="B72" s="528"/>
      <c r="C72" s="528"/>
      <c r="D72" s="528"/>
      <c r="E72" s="528"/>
      <c r="F72" s="528"/>
      <c r="G72" s="511"/>
      <c r="H72" s="511"/>
      <c r="I72" s="511"/>
      <c r="J72" s="511"/>
      <c r="K72" s="511"/>
      <c r="L72" s="528"/>
      <c r="M72" s="528"/>
      <c r="N72" s="528"/>
      <c r="O72" s="528"/>
      <c r="P72" s="528"/>
      <c r="Q72" s="434"/>
      <c r="R72" s="434"/>
      <c r="S72" s="434"/>
      <c r="T72" s="434"/>
      <c r="U72" s="434"/>
      <c r="V72" s="434"/>
      <c r="W72" s="434"/>
      <c r="X72" s="434"/>
      <c r="Y72" s="434"/>
      <c r="Z72" s="434"/>
      <c r="AA72" s="434"/>
      <c r="AB72" s="434"/>
      <c r="AC72" s="434"/>
      <c r="AD72" s="434"/>
    </row>
    <row r="73">
      <c r="A73" s="434"/>
      <c r="B73" s="528"/>
      <c r="C73" s="528"/>
      <c r="D73" s="528"/>
      <c r="E73" s="528"/>
      <c r="F73" s="528"/>
      <c r="G73" s="511"/>
      <c r="H73" s="511"/>
      <c r="I73" s="511"/>
      <c r="J73" s="511"/>
      <c r="K73" s="511"/>
      <c r="L73" s="528"/>
      <c r="M73" s="528"/>
      <c r="N73" s="528"/>
      <c r="O73" s="528"/>
      <c r="P73" s="528"/>
      <c r="Q73" s="434"/>
      <c r="R73" s="434"/>
      <c r="S73" s="434"/>
      <c r="T73" s="434"/>
      <c r="U73" s="434"/>
      <c r="V73" s="434"/>
      <c r="W73" s="434"/>
      <c r="X73" s="434"/>
      <c r="Y73" s="434"/>
      <c r="Z73" s="434"/>
      <c r="AA73" s="434"/>
      <c r="AB73" s="434"/>
      <c r="AC73" s="434"/>
      <c r="AD73" s="434"/>
    </row>
    <row r="74">
      <c r="A74" s="434"/>
      <c r="B74" s="528"/>
      <c r="C74" s="528"/>
      <c r="D74" s="528"/>
      <c r="E74" s="528"/>
      <c r="F74" s="528"/>
      <c r="G74" s="511"/>
      <c r="H74" s="511"/>
      <c r="I74" s="511"/>
      <c r="J74" s="511"/>
      <c r="K74" s="511"/>
      <c r="L74" s="528"/>
      <c r="M74" s="528"/>
      <c r="N74" s="528"/>
      <c r="O74" s="528"/>
      <c r="P74" s="528"/>
      <c r="Q74" s="434"/>
      <c r="R74" s="434"/>
      <c r="S74" s="434"/>
      <c r="T74" s="434"/>
      <c r="U74" s="434"/>
      <c r="V74" s="434"/>
      <c r="W74" s="434"/>
      <c r="X74" s="434"/>
      <c r="Y74" s="434"/>
      <c r="Z74" s="434"/>
      <c r="AA74" s="434"/>
      <c r="AB74" s="434"/>
      <c r="AC74" s="434"/>
      <c r="AD74" s="434"/>
    </row>
    <row r="75">
      <c r="A75" s="434"/>
      <c r="B75" s="528"/>
      <c r="C75" s="528"/>
      <c r="D75" s="528"/>
      <c r="E75" s="528"/>
      <c r="F75" s="528"/>
      <c r="G75" s="511"/>
      <c r="H75" s="511"/>
      <c r="I75" s="511"/>
      <c r="J75" s="511"/>
      <c r="K75" s="511"/>
      <c r="L75" s="528"/>
      <c r="M75" s="528"/>
      <c r="N75" s="528"/>
      <c r="O75" s="528"/>
      <c r="P75" s="528"/>
      <c r="Q75" s="434"/>
      <c r="R75" s="434"/>
      <c r="S75" s="434"/>
      <c r="T75" s="434"/>
      <c r="U75" s="434"/>
      <c r="V75" s="434"/>
      <c r="W75" s="434"/>
      <c r="X75" s="434"/>
      <c r="Y75" s="434"/>
      <c r="Z75" s="434"/>
      <c r="AA75" s="434"/>
      <c r="AB75" s="434"/>
      <c r="AC75" s="434"/>
      <c r="AD75" s="434"/>
    </row>
    <row r="76">
      <c r="A76" s="434"/>
      <c r="B76" s="528"/>
      <c r="C76" s="528"/>
      <c r="D76" s="528"/>
      <c r="E76" s="528"/>
      <c r="F76" s="528"/>
      <c r="G76" s="511"/>
      <c r="H76" s="511"/>
      <c r="I76" s="511"/>
      <c r="J76" s="511"/>
      <c r="K76" s="511"/>
      <c r="L76" s="528"/>
      <c r="M76" s="528"/>
      <c r="N76" s="528"/>
      <c r="O76" s="528"/>
      <c r="P76" s="528"/>
      <c r="Q76" s="434"/>
      <c r="R76" s="434"/>
      <c r="S76" s="434"/>
      <c r="T76" s="434"/>
      <c r="U76" s="434"/>
      <c r="V76" s="434"/>
      <c r="W76" s="434"/>
      <c r="X76" s="434"/>
      <c r="Y76" s="434"/>
      <c r="Z76" s="434"/>
      <c r="AA76" s="434"/>
      <c r="AB76" s="434"/>
      <c r="AC76" s="434"/>
      <c r="AD76" s="434"/>
    </row>
    <row r="77">
      <c r="A77" s="434"/>
      <c r="B77" s="528"/>
      <c r="C77" s="528"/>
      <c r="D77" s="528"/>
      <c r="E77" s="528"/>
      <c r="F77" s="528"/>
      <c r="G77" s="511"/>
      <c r="H77" s="511"/>
      <c r="I77" s="511"/>
      <c r="J77" s="511"/>
      <c r="K77" s="511"/>
      <c r="L77" s="528"/>
      <c r="M77" s="528"/>
      <c r="N77" s="528"/>
      <c r="O77" s="528"/>
      <c r="P77" s="528"/>
      <c r="Q77" s="434"/>
      <c r="R77" s="434"/>
      <c r="S77" s="434"/>
      <c r="T77" s="434"/>
      <c r="U77" s="434"/>
      <c r="V77" s="434"/>
      <c r="W77" s="434"/>
      <c r="X77" s="434"/>
      <c r="Y77" s="434"/>
      <c r="Z77" s="434"/>
      <c r="AA77" s="434"/>
      <c r="AB77" s="434"/>
      <c r="AC77" s="434"/>
      <c r="AD77" s="434"/>
    </row>
    <row r="78">
      <c r="A78" s="434"/>
      <c r="B78" s="528"/>
      <c r="C78" s="528"/>
      <c r="D78" s="528"/>
      <c r="E78" s="528"/>
      <c r="F78" s="528"/>
      <c r="G78" s="511"/>
      <c r="H78" s="511"/>
      <c r="I78" s="511"/>
      <c r="J78" s="511"/>
      <c r="K78" s="511"/>
      <c r="L78" s="528"/>
      <c r="M78" s="528"/>
      <c r="N78" s="528"/>
      <c r="O78" s="528"/>
      <c r="P78" s="528"/>
      <c r="Q78" s="434"/>
      <c r="R78" s="434"/>
      <c r="S78" s="434"/>
      <c r="T78" s="434"/>
      <c r="U78" s="434"/>
      <c r="V78" s="434"/>
      <c r="W78" s="434"/>
      <c r="X78" s="434"/>
      <c r="Y78" s="434"/>
      <c r="Z78" s="434"/>
      <c r="AA78" s="434"/>
      <c r="AB78" s="434"/>
      <c r="AC78" s="434"/>
      <c r="AD78" s="434"/>
    </row>
    <row r="79">
      <c r="A79" s="434"/>
      <c r="B79" s="528"/>
      <c r="C79" s="528"/>
      <c r="D79" s="528"/>
      <c r="E79" s="528"/>
      <c r="F79" s="528"/>
      <c r="G79" s="511"/>
      <c r="H79" s="511"/>
      <c r="I79" s="511"/>
      <c r="J79" s="511"/>
      <c r="K79" s="511"/>
      <c r="L79" s="528"/>
      <c r="M79" s="528"/>
      <c r="N79" s="528"/>
      <c r="O79" s="528"/>
      <c r="P79" s="528"/>
      <c r="Q79" s="434"/>
      <c r="R79" s="434"/>
      <c r="S79" s="434"/>
      <c r="T79" s="434"/>
      <c r="U79" s="434"/>
      <c r="V79" s="434"/>
      <c r="W79" s="434"/>
      <c r="X79" s="434"/>
      <c r="Y79" s="434"/>
      <c r="Z79" s="434"/>
      <c r="AA79" s="434"/>
      <c r="AB79" s="434"/>
      <c r="AC79" s="434"/>
      <c r="AD79" s="434"/>
    </row>
    <row r="80">
      <c r="A80" s="434"/>
      <c r="B80" s="528"/>
      <c r="C80" s="528"/>
      <c r="D80" s="528"/>
      <c r="E80" s="528"/>
      <c r="F80" s="528"/>
      <c r="G80" s="511"/>
      <c r="H80" s="511"/>
      <c r="I80" s="511"/>
      <c r="J80" s="511"/>
      <c r="K80" s="511"/>
      <c r="L80" s="528"/>
      <c r="M80" s="528"/>
      <c r="N80" s="528"/>
      <c r="O80" s="528"/>
      <c r="P80" s="528"/>
      <c r="Q80" s="434"/>
      <c r="R80" s="434"/>
      <c r="S80" s="434"/>
      <c r="T80" s="434"/>
      <c r="U80" s="434"/>
      <c r="V80" s="434"/>
      <c r="W80" s="434"/>
      <c r="X80" s="434"/>
      <c r="Y80" s="434"/>
      <c r="Z80" s="434"/>
      <c r="AA80" s="434"/>
      <c r="AB80" s="434"/>
      <c r="AC80" s="434"/>
      <c r="AD80" s="434"/>
    </row>
    <row r="81">
      <c r="A81" s="434"/>
      <c r="B81" s="528"/>
      <c r="C81" s="528"/>
      <c r="D81" s="528"/>
      <c r="E81" s="528"/>
      <c r="F81" s="528"/>
      <c r="G81" s="511"/>
      <c r="H81" s="511"/>
      <c r="I81" s="511"/>
      <c r="J81" s="511"/>
      <c r="K81" s="511"/>
      <c r="L81" s="528"/>
      <c r="M81" s="528"/>
      <c r="N81" s="528"/>
      <c r="O81" s="528"/>
      <c r="P81" s="528"/>
      <c r="Q81" s="434"/>
      <c r="R81" s="434"/>
      <c r="S81" s="434"/>
      <c r="T81" s="434"/>
      <c r="U81" s="434"/>
      <c r="V81" s="434"/>
      <c r="W81" s="434"/>
      <c r="X81" s="434"/>
      <c r="Y81" s="434"/>
      <c r="Z81" s="434"/>
      <c r="AA81" s="434"/>
      <c r="AB81" s="434"/>
      <c r="AC81" s="434"/>
      <c r="AD81" s="434"/>
    </row>
    <row r="82">
      <c r="A82" s="434"/>
      <c r="B82" s="528"/>
      <c r="C82" s="528"/>
      <c r="D82" s="528"/>
      <c r="E82" s="528"/>
      <c r="F82" s="528"/>
      <c r="G82" s="511"/>
      <c r="H82" s="511"/>
      <c r="I82" s="511"/>
      <c r="J82" s="511"/>
      <c r="K82" s="511"/>
      <c r="L82" s="528"/>
      <c r="M82" s="528"/>
      <c r="N82" s="528"/>
      <c r="O82" s="528"/>
      <c r="P82" s="528"/>
      <c r="Q82" s="434"/>
      <c r="R82" s="434"/>
      <c r="S82" s="434"/>
      <c r="T82" s="434"/>
      <c r="U82" s="434"/>
      <c r="V82" s="434"/>
      <c r="W82" s="434"/>
      <c r="X82" s="434"/>
      <c r="Y82" s="434"/>
      <c r="Z82" s="434"/>
      <c r="AA82" s="434"/>
      <c r="AB82" s="434"/>
      <c r="AC82" s="434"/>
      <c r="AD82" s="434"/>
    </row>
    <row r="83">
      <c r="A83" s="434"/>
      <c r="B83" s="528"/>
      <c r="C83" s="528"/>
      <c r="D83" s="528"/>
      <c r="E83" s="528"/>
      <c r="F83" s="528"/>
      <c r="G83" s="511"/>
      <c r="H83" s="511"/>
      <c r="I83" s="511"/>
      <c r="J83" s="511"/>
      <c r="K83" s="511"/>
      <c r="L83" s="528"/>
      <c r="M83" s="528"/>
      <c r="N83" s="528"/>
      <c r="O83" s="528"/>
      <c r="P83" s="528"/>
      <c r="Q83" s="434"/>
      <c r="R83" s="434"/>
      <c r="S83" s="434"/>
      <c r="T83" s="434"/>
      <c r="U83" s="434"/>
      <c r="V83" s="434"/>
      <c r="W83" s="434"/>
      <c r="X83" s="434"/>
      <c r="Y83" s="434"/>
      <c r="Z83" s="434"/>
      <c r="AA83" s="434"/>
      <c r="AB83" s="434"/>
      <c r="AC83" s="434"/>
      <c r="AD83" s="434"/>
    </row>
    <row r="84">
      <c r="A84" s="434"/>
      <c r="B84" s="528"/>
      <c r="C84" s="528"/>
      <c r="D84" s="528"/>
      <c r="E84" s="528"/>
      <c r="F84" s="528"/>
      <c r="G84" s="511"/>
      <c r="H84" s="511"/>
      <c r="I84" s="511"/>
      <c r="J84" s="511"/>
      <c r="K84" s="511"/>
      <c r="L84" s="528"/>
      <c r="M84" s="528"/>
      <c r="N84" s="528"/>
      <c r="O84" s="528"/>
      <c r="P84" s="528"/>
      <c r="Q84" s="434"/>
      <c r="R84" s="434"/>
      <c r="S84" s="434"/>
      <c r="T84" s="434"/>
      <c r="U84" s="434"/>
      <c r="V84" s="434"/>
      <c r="W84" s="434"/>
      <c r="X84" s="434"/>
      <c r="Y84" s="434"/>
      <c r="Z84" s="434"/>
      <c r="AA84" s="434"/>
      <c r="AB84" s="434"/>
      <c r="AC84" s="434"/>
      <c r="AD84" s="434"/>
    </row>
    <row r="85">
      <c r="A85" s="434"/>
      <c r="B85" s="528"/>
      <c r="C85" s="528"/>
      <c r="D85" s="528"/>
      <c r="E85" s="528"/>
      <c r="F85" s="528"/>
      <c r="G85" s="511"/>
      <c r="H85" s="511"/>
      <c r="I85" s="511"/>
      <c r="J85" s="511"/>
      <c r="K85" s="511"/>
      <c r="L85" s="528"/>
      <c r="M85" s="528"/>
      <c r="N85" s="528"/>
      <c r="O85" s="528"/>
      <c r="P85" s="528"/>
      <c r="Q85" s="434"/>
      <c r="R85" s="434"/>
      <c r="S85" s="434"/>
      <c r="T85" s="434"/>
      <c r="U85" s="434"/>
      <c r="V85" s="434"/>
      <c r="W85" s="434"/>
      <c r="X85" s="434"/>
      <c r="Y85" s="434"/>
      <c r="Z85" s="434"/>
      <c r="AA85" s="434"/>
      <c r="AB85" s="434"/>
      <c r="AC85" s="434"/>
      <c r="AD85" s="434"/>
    </row>
    <row r="86">
      <c r="A86" s="434"/>
      <c r="B86" s="528"/>
      <c r="C86" s="528"/>
      <c r="D86" s="528"/>
      <c r="E86" s="528"/>
      <c r="F86" s="528"/>
      <c r="G86" s="511"/>
      <c r="H86" s="511"/>
      <c r="I86" s="511"/>
      <c r="J86" s="511"/>
      <c r="K86" s="511"/>
      <c r="L86" s="528"/>
      <c r="M86" s="528"/>
      <c r="N86" s="528"/>
      <c r="O86" s="528"/>
      <c r="P86" s="528"/>
      <c r="Q86" s="434"/>
      <c r="R86" s="434"/>
      <c r="S86" s="434"/>
      <c r="T86" s="434"/>
      <c r="U86" s="434"/>
      <c r="V86" s="434"/>
      <c r="W86" s="434"/>
      <c r="X86" s="434"/>
      <c r="Y86" s="434"/>
      <c r="Z86" s="434"/>
      <c r="AA86" s="434"/>
      <c r="AB86" s="434"/>
      <c r="AC86" s="434"/>
      <c r="AD86" s="434"/>
    </row>
    <row r="87">
      <c r="A87" s="434"/>
      <c r="B87" s="528"/>
      <c r="C87" s="528"/>
      <c r="D87" s="528"/>
      <c r="E87" s="528"/>
      <c r="F87" s="528"/>
      <c r="G87" s="511"/>
      <c r="H87" s="511"/>
      <c r="I87" s="511"/>
      <c r="J87" s="511"/>
      <c r="K87" s="511"/>
      <c r="L87" s="528"/>
      <c r="M87" s="528"/>
      <c r="N87" s="528"/>
      <c r="O87" s="528"/>
      <c r="P87" s="528"/>
      <c r="Q87" s="434"/>
      <c r="R87" s="434"/>
      <c r="S87" s="434"/>
      <c r="T87" s="434"/>
      <c r="U87" s="434"/>
      <c r="V87" s="434"/>
      <c r="W87" s="434"/>
      <c r="X87" s="434"/>
      <c r="Y87" s="434"/>
      <c r="Z87" s="434"/>
      <c r="AA87" s="434"/>
      <c r="AB87" s="434"/>
      <c r="AC87" s="434"/>
      <c r="AD87" s="434"/>
    </row>
    <row r="88">
      <c r="A88" s="434"/>
      <c r="B88" s="528"/>
      <c r="C88" s="528"/>
      <c r="D88" s="528"/>
      <c r="E88" s="528"/>
      <c r="F88" s="528"/>
      <c r="G88" s="511"/>
      <c r="H88" s="511"/>
      <c r="I88" s="511"/>
      <c r="J88" s="511"/>
      <c r="K88" s="511"/>
      <c r="L88" s="528"/>
      <c r="M88" s="528"/>
      <c r="N88" s="528"/>
      <c r="O88" s="528"/>
      <c r="P88" s="528"/>
      <c r="Q88" s="434"/>
      <c r="R88" s="434"/>
      <c r="S88" s="434"/>
      <c r="T88" s="434"/>
      <c r="U88" s="434"/>
      <c r="V88" s="434"/>
      <c r="W88" s="434"/>
      <c r="X88" s="434"/>
      <c r="Y88" s="434"/>
      <c r="Z88" s="434"/>
      <c r="AA88" s="434"/>
      <c r="AB88" s="434"/>
      <c r="AC88" s="434"/>
      <c r="AD88" s="434"/>
    </row>
    <row r="89">
      <c r="A89" s="434"/>
      <c r="B89" s="528"/>
      <c r="C89" s="528"/>
      <c r="D89" s="528"/>
      <c r="E89" s="528"/>
      <c r="F89" s="528"/>
      <c r="G89" s="511"/>
      <c r="H89" s="511"/>
      <c r="I89" s="511"/>
      <c r="J89" s="511"/>
      <c r="K89" s="511"/>
      <c r="L89" s="528"/>
      <c r="M89" s="528"/>
      <c r="N89" s="528"/>
      <c r="O89" s="528"/>
      <c r="P89" s="528"/>
      <c r="Q89" s="434"/>
      <c r="R89" s="434"/>
      <c r="S89" s="434"/>
      <c r="T89" s="434"/>
      <c r="U89" s="434"/>
      <c r="V89" s="434"/>
      <c r="W89" s="434"/>
      <c r="X89" s="434"/>
      <c r="Y89" s="434"/>
      <c r="Z89" s="434"/>
      <c r="AA89" s="434"/>
      <c r="AB89" s="434"/>
      <c r="AC89" s="434"/>
      <c r="AD89" s="434"/>
    </row>
    <row r="90">
      <c r="A90" s="434"/>
      <c r="B90" s="528"/>
      <c r="C90" s="528"/>
      <c r="D90" s="528"/>
      <c r="E90" s="528"/>
      <c r="F90" s="528"/>
      <c r="G90" s="511"/>
      <c r="H90" s="511"/>
      <c r="I90" s="511"/>
      <c r="J90" s="511"/>
      <c r="K90" s="511"/>
      <c r="L90" s="528"/>
      <c r="M90" s="528"/>
      <c r="N90" s="528"/>
      <c r="O90" s="528"/>
      <c r="P90" s="528"/>
      <c r="Q90" s="434"/>
      <c r="R90" s="434"/>
      <c r="S90" s="434"/>
      <c r="T90" s="434"/>
      <c r="U90" s="434"/>
      <c r="V90" s="434"/>
      <c r="W90" s="434"/>
      <c r="X90" s="434"/>
      <c r="Y90" s="434"/>
      <c r="Z90" s="434"/>
      <c r="AA90" s="434"/>
      <c r="AB90" s="434"/>
      <c r="AC90" s="434"/>
      <c r="AD90" s="434"/>
    </row>
    <row r="91">
      <c r="A91" s="434"/>
      <c r="B91" s="528"/>
      <c r="C91" s="528"/>
      <c r="D91" s="528"/>
      <c r="E91" s="528"/>
      <c r="F91" s="528"/>
      <c r="G91" s="511"/>
      <c r="H91" s="511"/>
      <c r="I91" s="511"/>
      <c r="J91" s="511"/>
      <c r="K91" s="511"/>
      <c r="L91" s="528"/>
      <c r="M91" s="528"/>
      <c r="N91" s="528"/>
      <c r="O91" s="528"/>
      <c r="P91" s="528"/>
      <c r="Q91" s="434"/>
      <c r="R91" s="434"/>
      <c r="S91" s="434"/>
      <c r="T91" s="434"/>
      <c r="U91" s="434"/>
      <c r="V91" s="434"/>
      <c r="W91" s="434"/>
      <c r="X91" s="434"/>
      <c r="Y91" s="434"/>
      <c r="Z91" s="434"/>
      <c r="AA91" s="434"/>
      <c r="AB91" s="434"/>
      <c r="AC91" s="434"/>
      <c r="AD91" s="434"/>
    </row>
    <row r="92">
      <c r="A92" s="434"/>
      <c r="B92" s="528"/>
      <c r="C92" s="528"/>
      <c r="D92" s="528"/>
      <c r="E92" s="528"/>
      <c r="F92" s="528"/>
      <c r="G92" s="511"/>
      <c r="H92" s="511"/>
      <c r="I92" s="511"/>
      <c r="J92" s="511"/>
      <c r="K92" s="511"/>
      <c r="L92" s="528"/>
      <c r="M92" s="528"/>
      <c r="N92" s="528"/>
      <c r="O92" s="528"/>
      <c r="P92" s="528"/>
      <c r="Q92" s="434"/>
      <c r="R92" s="434"/>
      <c r="S92" s="434"/>
      <c r="T92" s="434"/>
      <c r="U92" s="434"/>
      <c r="V92" s="434"/>
      <c r="W92" s="434"/>
      <c r="X92" s="434"/>
      <c r="Y92" s="434"/>
      <c r="Z92" s="434"/>
      <c r="AA92" s="434"/>
      <c r="AB92" s="434"/>
      <c r="AC92" s="434"/>
      <c r="AD92" s="434"/>
    </row>
    <row r="93">
      <c r="A93" s="434"/>
      <c r="B93" s="528"/>
      <c r="C93" s="528"/>
      <c r="D93" s="528"/>
      <c r="E93" s="528"/>
      <c r="F93" s="528"/>
      <c r="G93" s="511"/>
      <c r="H93" s="511"/>
      <c r="I93" s="511"/>
      <c r="J93" s="511"/>
      <c r="K93" s="511"/>
      <c r="L93" s="528"/>
      <c r="M93" s="528"/>
      <c r="N93" s="528"/>
      <c r="O93" s="528"/>
      <c r="P93" s="528"/>
      <c r="Q93" s="434"/>
      <c r="R93" s="434"/>
      <c r="S93" s="434"/>
      <c r="T93" s="434"/>
      <c r="U93" s="434"/>
      <c r="V93" s="434"/>
      <c r="W93" s="434"/>
      <c r="X93" s="434"/>
      <c r="Y93" s="434"/>
      <c r="Z93" s="434"/>
      <c r="AA93" s="434"/>
      <c r="AB93" s="434"/>
      <c r="AC93" s="434"/>
      <c r="AD93" s="434"/>
    </row>
    <row r="94">
      <c r="A94" s="434"/>
      <c r="B94" s="528"/>
      <c r="C94" s="528"/>
      <c r="D94" s="528"/>
      <c r="E94" s="528"/>
      <c r="F94" s="528"/>
      <c r="G94" s="511"/>
      <c r="H94" s="511"/>
      <c r="I94" s="511"/>
      <c r="J94" s="511"/>
      <c r="K94" s="511"/>
      <c r="L94" s="528"/>
      <c r="M94" s="528"/>
      <c r="N94" s="528"/>
      <c r="O94" s="528"/>
      <c r="P94" s="528"/>
      <c r="Q94" s="434"/>
      <c r="R94" s="434"/>
      <c r="S94" s="434"/>
      <c r="T94" s="434"/>
      <c r="U94" s="434"/>
      <c r="V94" s="434"/>
      <c r="W94" s="434"/>
      <c r="X94" s="434"/>
      <c r="Y94" s="434"/>
      <c r="Z94" s="434"/>
      <c r="AA94" s="434"/>
      <c r="AB94" s="434"/>
      <c r="AC94" s="434"/>
      <c r="AD94" s="434"/>
    </row>
    <row r="95">
      <c r="A95" s="434"/>
      <c r="B95" s="528"/>
      <c r="C95" s="528"/>
      <c r="D95" s="528"/>
      <c r="E95" s="528"/>
      <c r="F95" s="528"/>
      <c r="G95" s="511"/>
      <c r="H95" s="511"/>
      <c r="I95" s="511"/>
      <c r="J95" s="511"/>
      <c r="K95" s="511"/>
      <c r="L95" s="528"/>
      <c r="M95" s="528"/>
      <c r="N95" s="528"/>
      <c r="O95" s="528"/>
      <c r="P95" s="528"/>
      <c r="Q95" s="434"/>
      <c r="R95" s="434"/>
      <c r="S95" s="434"/>
      <c r="T95" s="434"/>
      <c r="U95" s="434"/>
      <c r="V95" s="434"/>
      <c r="W95" s="434"/>
      <c r="X95" s="434"/>
      <c r="Y95" s="434"/>
      <c r="Z95" s="434"/>
      <c r="AA95" s="434"/>
      <c r="AB95" s="434"/>
      <c r="AC95" s="434"/>
      <c r="AD95" s="434"/>
    </row>
    <row r="96">
      <c r="A96" s="434"/>
      <c r="B96" s="528"/>
      <c r="C96" s="528"/>
      <c r="D96" s="528"/>
      <c r="E96" s="528"/>
      <c r="F96" s="528"/>
      <c r="G96" s="511"/>
      <c r="H96" s="511"/>
      <c r="I96" s="511"/>
      <c r="J96" s="511"/>
      <c r="K96" s="511"/>
      <c r="L96" s="528"/>
      <c r="M96" s="528"/>
      <c r="N96" s="528"/>
      <c r="O96" s="528"/>
      <c r="P96" s="528"/>
      <c r="Q96" s="434"/>
      <c r="R96" s="434"/>
      <c r="S96" s="434"/>
      <c r="T96" s="434"/>
      <c r="U96" s="434"/>
      <c r="V96" s="434"/>
      <c r="W96" s="434"/>
      <c r="X96" s="434"/>
      <c r="Y96" s="434"/>
      <c r="Z96" s="434"/>
      <c r="AA96" s="434"/>
      <c r="AB96" s="434"/>
      <c r="AC96" s="434"/>
      <c r="AD96" s="434"/>
    </row>
    <row r="97">
      <c r="A97" s="434"/>
      <c r="B97" s="528"/>
      <c r="C97" s="528"/>
      <c r="D97" s="528"/>
      <c r="E97" s="528"/>
      <c r="F97" s="528"/>
      <c r="G97" s="511"/>
      <c r="H97" s="511"/>
      <c r="I97" s="511"/>
      <c r="J97" s="511"/>
      <c r="K97" s="511"/>
      <c r="L97" s="528"/>
      <c r="M97" s="528"/>
      <c r="N97" s="528"/>
      <c r="O97" s="528"/>
      <c r="P97" s="528"/>
      <c r="Q97" s="434"/>
      <c r="R97" s="434"/>
      <c r="S97" s="434"/>
      <c r="T97" s="434"/>
      <c r="U97" s="434"/>
      <c r="V97" s="434"/>
      <c r="W97" s="434"/>
      <c r="X97" s="434"/>
      <c r="Y97" s="434"/>
      <c r="Z97" s="434"/>
      <c r="AA97" s="434"/>
      <c r="AB97" s="434"/>
      <c r="AC97" s="434"/>
      <c r="AD97" s="434"/>
    </row>
    <row r="98">
      <c r="A98" s="434"/>
      <c r="B98" s="528"/>
      <c r="C98" s="528"/>
      <c r="D98" s="528"/>
      <c r="E98" s="528"/>
      <c r="F98" s="528"/>
      <c r="G98" s="511"/>
      <c r="H98" s="511"/>
      <c r="I98" s="511"/>
      <c r="J98" s="511"/>
      <c r="K98" s="511"/>
      <c r="L98" s="528"/>
      <c r="M98" s="528"/>
      <c r="N98" s="528"/>
      <c r="O98" s="528"/>
      <c r="P98" s="528"/>
      <c r="Q98" s="434"/>
      <c r="R98" s="434"/>
      <c r="S98" s="434"/>
      <c r="T98" s="434"/>
      <c r="U98" s="434"/>
      <c r="V98" s="434"/>
      <c r="W98" s="434"/>
      <c r="X98" s="434"/>
      <c r="Y98" s="434"/>
      <c r="Z98" s="434"/>
      <c r="AA98" s="434"/>
      <c r="AB98" s="434"/>
      <c r="AC98" s="434"/>
      <c r="AD98" s="434"/>
    </row>
    <row r="99">
      <c r="A99" s="434"/>
      <c r="B99" s="528"/>
      <c r="C99" s="528"/>
      <c r="D99" s="528"/>
      <c r="E99" s="528"/>
      <c r="F99" s="528"/>
      <c r="G99" s="511"/>
      <c r="H99" s="511"/>
      <c r="I99" s="511"/>
      <c r="J99" s="511"/>
      <c r="K99" s="511"/>
      <c r="L99" s="528"/>
      <c r="M99" s="528"/>
      <c r="N99" s="528"/>
      <c r="O99" s="528"/>
      <c r="P99" s="528"/>
      <c r="Q99" s="434"/>
      <c r="R99" s="434"/>
      <c r="S99" s="434"/>
      <c r="T99" s="434"/>
      <c r="U99" s="434"/>
      <c r="V99" s="434"/>
      <c r="W99" s="434"/>
      <c r="X99" s="434"/>
      <c r="Y99" s="434"/>
      <c r="Z99" s="434"/>
      <c r="AA99" s="434"/>
      <c r="AB99" s="434"/>
      <c r="AC99" s="434"/>
      <c r="AD99" s="434"/>
    </row>
    <row r="100">
      <c r="A100" s="434"/>
      <c r="B100" s="528"/>
      <c r="C100" s="528"/>
      <c r="D100" s="528"/>
      <c r="E100" s="528"/>
      <c r="F100" s="528"/>
      <c r="G100" s="511"/>
      <c r="H100" s="511"/>
      <c r="I100" s="511"/>
      <c r="J100" s="511"/>
      <c r="K100" s="511"/>
      <c r="L100" s="528"/>
      <c r="M100" s="528"/>
      <c r="N100" s="528"/>
      <c r="O100" s="528"/>
      <c r="P100" s="528"/>
      <c r="Q100" s="434"/>
      <c r="R100" s="434"/>
      <c r="S100" s="434"/>
      <c r="T100" s="434"/>
      <c r="U100" s="434"/>
      <c r="V100" s="434"/>
      <c r="W100" s="434"/>
      <c r="X100" s="434"/>
      <c r="Y100" s="434"/>
      <c r="Z100" s="434"/>
      <c r="AA100" s="434"/>
      <c r="AB100" s="434"/>
      <c r="AC100" s="434"/>
      <c r="AD100" s="434"/>
    </row>
    <row r="101">
      <c r="A101" s="434"/>
      <c r="B101" s="528"/>
      <c r="C101" s="528"/>
      <c r="D101" s="528"/>
      <c r="E101" s="528"/>
      <c r="F101" s="528"/>
      <c r="G101" s="511"/>
      <c r="H101" s="511"/>
      <c r="I101" s="511"/>
      <c r="J101" s="511"/>
      <c r="K101" s="511"/>
      <c r="L101" s="528"/>
      <c r="M101" s="528"/>
      <c r="N101" s="528"/>
      <c r="O101" s="528"/>
      <c r="P101" s="528"/>
      <c r="Q101" s="434"/>
      <c r="R101" s="434"/>
      <c r="S101" s="434"/>
      <c r="T101" s="434"/>
      <c r="U101" s="434"/>
      <c r="V101" s="434"/>
      <c r="W101" s="434"/>
      <c r="X101" s="434"/>
      <c r="Y101" s="434"/>
      <c r="Z101" s="434"/>
      <c r="AA101" s="434"/>
      <c r="AB101" s="434"/>
      <c r="AC101" s="434"/>
      <c r="AD101" s="434"/>
    </row>
    <row r="102">
      <c r="A102" s="434"/>
      <c r="B102" s="528"/>
      <c r="C102" s="528"/>
      <c r="D102" s="528"/>
      <c r="E102" s="528"/>
      <c r="F102" s="528"/>
      <c r="G102" s="511"/>
      <c r="H102" s="511"/>
      <c r="I102" s="511"/>
      <c r="J102" s="511"/>
      <c r="K102" s="511"/>
      <c r="L102" s="528"/>
      <c r="M102" s="528"/>
      <c r="N102" s="528"/>
      <c r="O102" s="528"/>
      <c r="P102" s="528"/>
      <c r="Q102" s="434"/>
      <c r="R102" s="434"/>
      <c r="S102" s="434"/>
      <c r="T102" s="434"/>
      <c r="U102" s="434"/>
      <c r="V102" s="434"/>
      <c r="W102" s="434"/>
      <c r="X102" s="434"/>
      <c r="Y102" s="434"/>
      <c r="Z102" s="434"/>
      <c r="AA102" s="434"/>
      <c r="AB102" s="434"/>
      <c r="AC102" s="434"/>
      <c r="AD102" s="434"/>
    </row>
    <row r="103">
      <c r="A103" s="434"/>
      <c r="B103" s="528"/>
      <c r="C103" s="528"/>
      <c r="D103" s="528"/>
      <c r="E103" s="528"/>
      <c r="F103" s="528"/>
      <c r="G103" s="511"/>
      <c r="H103" s="511"/>
      <c r="I103" s="511"/>
      <c r="J103" s="511"/>
      <c r="K103" s="511"/>
      <c r="L103" s="528"/>
      <c r="M103" s="528"/>
      <c r="N103" s="528"/>
      <c r="O103" s="528"/>
      <c r="P103" s="528"/>
      <c r="Q103" s="434"/>
      <c r="R103" s="434"/>
      <c r="S103" s="434"/>
      <c r="T103" s="434"/>
      <c r="U103" s="434"/>
      <c r="V103" s="434"/>
      <c r="W103" s="434"/>
      <c r="X103" s="434"/>
      <c r="Y103" s="434"/>
      <c r="Z103" s="434"/>
      <c r="AA103" s="434"/>
      <c r="AB103" s="434"/>
      <c r="AC103" s="434"/>
      <c r="AD103" s="434"/>
    </row>
    <row r="104">
      <c r="A104" s="434"/>
      <c r="B104" s="528"/>
      <c r="C104" s="528"/>
      <c r="D104" s="528"/>
      <c r="E104" s="528"/>
      <c r="F104" s="528"/>
      <c r="G104" s="511"/>
      <c r="H104" s="511"/>
      <c r="I104" s="511"/>
      <c r="J104" s="511"/>
      <c r="K104" s="511"/>
      <c r="L104" s="528"/>
      <c r="M104" s="528"/>
      <c r="N104" s="528"/>
      <c r="O104" s="528"/>
      <c r="P104" s="528"/>
      <c r="Q104" s="434"/>
      <c r="R104" s="434"/>
      <c r="S104" s="434"/>
      <c r="T104" s="434"/>
      <c r="U104" s="434"/>
      <c r="V104" s="434"/>
      <c r="W104" s="434"/>
      <c r="X104" s="434"/>
      <c r="Y104" s="434"/>
      <c r="Z104" s="434"/>
      <c r="AA104" s="434"/>
      <c r="AB104" s="434"/>
      <c r="AC104" s="434"/>
      <c r="AD104" s="434"/>
    </row>
    <row r="105">
      <c r="A105" s="434"/>
      <c r="B105" s="528"/>
      <c r="C105" s="528"/>
      <c r="D105" s="528"/>
      <c r="E105" s="528"/>
      <c r="F105" s="528"/>
      <c r="G105" s="511"/>
      <c r="H105" s="511"/>
      <c r="I105" s="511"/>
      <c r="J105" s="511"/>
      <c r="K105" s="511"/>
      <c r="L105" s="528"/>
      <c r="M105" s="528"/>
      <c r="N105" s="528"/>
      <c r="O105" s="528"/>
      <c r="P105" s="528"/>
      <c r="Q105" s="434"/>
      <c r="R105" s="434"/>
      <c r="S105" s="434"/>
      <c r="T105" s="434"/>
      <c r="U105" s="434"/>
      <c r="V105" s="434"/>
      <c r="W105" s="434"/>
      <c r="X105" s="434"/>
      <c r="Y105" s="434"/>
      <c r="Z105" s="434"/>
      <c r="AA105" s="434"/>
      <c r="AB105" s="434"/>
      <c r="AC105" s="434"/>
      <c r="AD105" s="434"/>
    </row>
    <row r="106">
      <c r="A106" s="434"/>
      <c r="B106" s="528"/>
      <c r="C106" s="528"/>
      <c r="D106" s="528"/>
      <c r="E106" s="528"/>
      <c r="F106" s="528"/>
      <c r="G106" s="511"/>
      <c r="H106" s="511"/>
      <c r="I106" s="511"/>
      <c r="J106" s="511"/>
      <c r="K106" s="511"/>
      <c r="L106" s="528"/>
      <c r="M106" s="528"/>
      <c r="N106" s="528"/>
      <c r="O106" s="528"/>
      <c r="P106" s="528"/>
      <c r="Q106" s="434"/>
      <c r="R106" s="434"/>
      <c r="S106" s="434"/>
      <c r="T106" s="434"/>
      <c r="U106" s="434"/>
      <c r="V106" s="434"/>
      <c r="W106" s="434"/>
      <c r="X106" s="434"/>
      <c r="Y106" s="434"/>
      <c r="Z106" s="434"/>
      <c r="AA106" s="434"/>
      <c r="AB106" s="434"/>
      <c r="AC106" s="434"/>
      <c r="AD106" s="434"/>
    </row>
    <row r="107">
      <c r="A107" s="434"/>
      <c r="B107" s="528"/>
      <c r="C107" s="528"/>
      <c r="D107" s="528"/>
      <c r="E107" s="528"/>
      <c r="F107" s="528"/>
      <c r="G107" s="511"/>
      <c r="H107" s="511"/>
      <c r="I107" s="511"/>
      <c r="J107" s="511"/>
      <c r="K107" s="511"/>
      <c r="L107" s="528"/>
      <c r="M107" s="528"/>
      <c r="N107" s="528"/>
      <c r="O107" s="528"/>
      <c r="P107" s="528"/>
      <c r="Q107" s="434"/>
      <c r="R107" s="434"/>
      <c r="S107" s="434"/>
      <c r="T107" s="434"/>
      <c r="U107" s="434"/>
      <c r="V107" s="434"/>
      <c r="W107" s="434"/>
      <c r="X107" s="434"/>
      <c r="Y107" s="434"/>
      <c r="Z107" s="434"/>
      <c r="AA107" s="434"/>
      <c r="AB107" s="434"/>
      <c r="AC107" s="434"/>
      <c r="AD107" s="434"/>
    </row>
    <row r="108">
      <c r="A108" s="434"/>
      <c r="B108" s="528"/>
      <c r="C108" s="528"/>
      <c r="D108" s="528"/>
      <c r="E108" s="528"/>
      <c r="F108" s="528"/>
      <c r="G108" s="511"/>
      <c r="H108" s="511"/>
      <c r="I108" s="511"/>
      <c r="J108" s="511"/>
      <c r="K108" s="511"/>
      <c r="L108" s="528"/>
      <c r="M108" s="528"/>
      <c r="N108" s="528"/>
      <c r="O108" s="528"/>
      <c r="P108" s="528"/>
      <c r="Q108" s="434"/>
      <c r="R108" s="434"/>
      <c r="S108" s="434"/>
      <c r="T108" s="434"/>
      <c r="U108" s="434"/>
      <c r="V108" s="434"/>
      <c r="W108" s="434"/>
      <c r="X108" s="434"/>
      <c r="Y108" s="434"/>
      <c r="Z108" s="434"/>
      <c r="AA108" s="434"/>
      <c r="AB108" s="434"/>
      <c r="AC108" s="434"/>
      <c r="AD108" s="434"/>
    </row>
    <row r="109">
      <c r="A109" s="434"/>
      <c r="B109" s="528"/>
      <c r="C109" s="528"/>
      <c r="D109" s="528"/>
      <c r="E109" s="528"/>
      <c r="F109" s="528"/>
      <c r="G109" s="511"/>
      <c r="H109" s="511"/>
      <c r="I109" s="511"/>
      <c r="J109" s="511"/>
      <c r="K109" s="511"/>
      <c r="L109" s="528"/>
      <c r="M109" s="528"/>
      <c r="N109" s="528"/>
      <c r="O109" s="528"/>
      <c r="P109" s="528"/>
      <c r="Q109" s="434"/>
      <c r="R109" s="434"/>
      <c r="S109" s="434"/>
      <c r="T109" s="434"/>
      <c r="U109" s="434"/>
      <c r="V109" s="434"/>
      <c r="W109" s="434"/>
      <c r="X109" s="434"/>
      <c r="Y109" s="434"/>
      <c r="Z109" s="434"/>
      <c r="AA109" s="434"/>
      <c r="AB109" s="434"/>
      <c r="AC109" s="434"/>
      <c r="AD109" s="434"/>
    </row>
    <row r="110">
      <c r="A110" s="434"/>
      <c r="B110" s="528"/>
      <c r="C110" s="528"/>
      <c r="D110" s="528"/>
      <c r="E110" s="528"/>
      <c r="F110" s="528"/>
      <c r="G110" s="511"/>
      <c r="H110" s="511"/>
      <c r="I110" s="511"/>
      <c r="J110" s="511"/>
      <c r="K110" s="511"/>
      <c r="L110" s="528"/>
      <c r="M110" s="528"/>
      <c r="N110" s="528"/>
      <c r="O110" s="528"/>
      <c r="P110" s="528"/>
      <c r="Q110" s="434"/>
      <c r="R110" s="434"/>
      <c r="S110" s="434"/>
      <c r="T110" s="434"/>
      <c r="U110" s="434"/>
      <c r="V110" s="434"/>
      <c r="W110" s="434"/>
      <c r="X110" s="434"/>
      <c r="Y110" s="434"/>
      <c r="Z110" s="434"/>
      <c r="AA110" s="434"/>
      <c r="AB110" s="434"/>
      <c r="AC110" s="434"/>
      <c r="AD110" s="434"/>
    </row>
    <row r="111">
      <c r="A111" s="434"/>
      <c r="B111" s="528"/>
      <c r="C111" s="528"/>
      <c r="D111" s="528"/>
      <c r="E111" s="528"/>
      <c r="F111" s="528"/>
      <c r="G111" s="511"/>
      <c r="H111" s="511"/>
      <c r="I111" s="511"/>
      <c r="J111" s="511"/>
      <c r="K111" s="511"/>
      <c r="L111" s="528"/>
      <c r="M111" s="528"/>
      <c r="N111" s="528"/>
      <c r="O111" s="528"/>
      <c r="P111" s="528"/>
      <c r="Q111" s="434"/>
      <c r="R111" s="434"/>
      <c r="S111" s="434"/>
      <c r="T111" s="434"/>
      <c r="U111" s="434"/>
      <c r="V111" s="434"/>
      <c r="W111" s="434"/>
      <c r="X111" s="434"/>
      <c r="Y111" s="434"/>
      <c r="Z111" s="434"/>
      <c r="AA111" s="434"/>
      <c r="AB111" s="434"/>
      <c r="AC111" s="434"/>
      <c r="AD111" s="434"/>
    </row>
    <row r="112">
      <c r="A112" s="434"/>
      <c r="B112" s="528"/>
      <c r="C112" s="528"/>
      <c r="D112" s="528"/>
      <c r="E112" s="528"/>
      <c r="F112" s="528"/>
      <c r="G112" s="511"/>
      <c r="H112" s="511"/>
      <c r="I112" s="511"/>
      <c r="J112" s="511"/>
      <c r="K112" s="511"/>
      <c r="L112" s="528"/>
      <c r="M112" s="528"/>
      <c r="N112" s="528"/>
      <c r="O112" s="528"/>
      <c r="P112" s="528"/>
      <c r="Q112" s="434"/>
      <c r="R112" s="434"/>
      <c r="S112" s="434"/>
      <c r="T112" s="434"/>
      <c r="U112" s="434"/>
      <c r="V112" s="434"/>
      <c r="W112" s="434"/>
      <c r="X112" s="434"/>
      <c r="Y112" s="434"/>
      <c r="Z112" s="434"/>
      <c r="AA112" s="434"/>
      <c r="AB112" s="434"/>
      <c r="AC112" s="434"/>
      <c r="AD112" s="434"/>
    </row>
    <row r="113">
      <c r="A113" s="434"/>
      <c r="B113" s="528"/>
      <c r="C113" s="528"/>
      <c r="D113" s="528"/>
      <c r="E113" s="528"/>
      <c r="F113" s="528"/>
      <c r="G113" s="511"/>
      <c r="H113" s="511"/>
      <c r="I113" s="511"/>
      <c r="J113" s="511"/>
      <c r="K113" s="511"/>
      <c r="L113" s="528"/>
      <c r="M113" s="528"/>
      <c r="N113" s="528"/>
      <c r="O113" s="528"/>
      <c r="P113" s="528"/>
      <c r="Q113" s="434"/>
      <c r="R113" s="434"/>
      <c r="S113" s="434"/>
      <c r="T113" s="434"/>
      <c r="U113" s="434"/>
      <c r="V113" s="434"/>
      <c r="W113" s="434"/>
      <c r="X113" s="434"/>
      <c r="Y113" s="434"/>
      <c r="Z113" s="434"/>
      <c r="AA113" s="434"/>
      <c r="AB113" s="434"/>
      <c r="AC113" s="434"/>
      <c r="AD113" s="434"/>
    </row>
    <row r="114">
      <c r="A114" s="434"/>
      <c r="B114" s="528"/>
      <c r="C114" s="528"/>
      <c r="D114" s="528"/>
      <c r="E114" s="528"/>
      <c r="F114" s="528"/>
      <c r="G114" s="511"/>
      <c r="H114" s="511"/>
      <c r="I114" s="511"/>
      <c r="J114" s="511"/>
      <c r="K114" s="511"/>
      <c r="L114" s="528"/>
      <c r="M114" s="528"/>
      <c r="N114" s="528"/>
      <c r="O114" s="528"/>
      <c r="P114" s="528"/>
      <c r="Q114" s="434"/>
      <c r="R114" s="434"/>
      <c r="S114" s="434"/>
      <c r="T114" s="434"/>
      <c r="U114" s="434"/>
      <c r="V114" s="434"/>
      <c r="W114" s="434"/>
      <c r="X114" s="434"/>
      <c r="Y114" s="434"/>
      <c r="Z114" s="434"/>
      <c r="AA114" s="434"/>
      <c r="AB114" s="434"/>
      <c r="AC114" s="434"/>
      <c r="AD114" s="434"/>
    </row>
    <row r="115">
      <c r="A115" s="434"/>
      <c r="B115" s="528"/>
      <c r="C115" s="528"/>
      <c r="D115" s="528"/>
      <c r="E115" s="528"/>
      <c r="F115" s="528"/>
      <c r="G115" s="511"/>
      <c r="H115" s="511"/>
      <c r="I115" s="511"/>
      <c r="J115" s="511"/>
      <c r="K115" s="511"/>
      <c r="L115" s="528"/>
      <c r="M115" s="528"/>
      <c r="N115" s="528"/>
      <c r="O115" s="528"/>
      <c r="P115" s="528"/>
      <c r="Q115" s="434"/>
      <c r="R115" s="434"/>
      <c r="S115" s="434"/>
      <c r="T115" s="434"/>
      <c r="U115" s="434"/>
      <c r="V115" s="434"/>
      <c r="W115" s="434"/>
      <c r="X115" s="434"/>
      <c r="Y115" s="434"/>
      <c r="Z115" s="434"/>
      <c r="AA115" s="434"/>
      <c r="AB115" s="434"/>
      <c r="AC115" s="434"/>
      <c r="AD115" s="434"/>
    </row>
    <row r="116">
      <c r="A116" s="434"/>
      <c r="B116" s="528"/>
      <c r="C116" s="528"/>
      <c r="D116" s="528"/>
      <c r="E116" s="528"/>
      <c r="F116" s="528"/>
      <c r="G116" s="511"/>
      <c r="H116" s="511"/>
      <c r="I116" s="511"/>
      <c r="J116" s="511"/>
      <c r="K116" s="511"/>
      <c r="L116" s="528"/>
      <c r="M116" s="528"/>
      <c r="N116" s="528"/>
      <c r="O116" s="528"/>
      <c r="P116" s="528"/>
      <c r="Q116" s="434"/>
      <c r="R116" s="434"/>
      <c r="S116" s="434"/>
      <c r="T116" s="434"/>
      <c r="U116" s="434"/>
      <c r="V116" s="434"/>
      <c r="W116" s="434"/>
      <c r="X116" s="434"/>
      <c r="Y116" s="434"/>
      <c r="Z116" s="434"/>
      <c r="AA116" s="434"/>
      <c r="AB116" s="434"/>
      <c r="AC116" s="434"/>
      <c r="AD116" s="434"/>
    </row>
    <row r="117">
      <c r="A117" s="434"/>
      <c r="B117" s="528"/>
      <c r="C117" s="528"/>
      <c r="D117" s="528"/>
      <c r="E117" s="528"/>
      <c r="F117" s="528"/>
      <c r="G117" s="511"/>
      <c r="H117" s="511"/>
      <c r="I117" s="511"/>
      <c r="J117" s="511"/>
      <c r="K117" s="511"/>
      <c r="L117" s="528"/>
      <c r="M117" s="528"/>
      <c r="N117" s="528"/>
      <c r="O117" s="528"/>
      <c r="P117" s="528"/>
      <c r="Q117" s="434"/>
      <c r="R117" s="434"/>
      <c r="S117" s="434"/>
      <c r="T117" s="434"/>
      <c r="U117" s="434"/>
      <c r="V117" s="434"/>
      <c r="W117" s="434"/>
      <c r="X117" s="434"/>
      <c r="Y117" s="434"/>
      <c r="Z117" s="434"/>
      <c r="AA117" s="434"/>
      <c r="AB117" s="434"/>
      <c r="AC117" s="434"/>
      <c r="AD117" s="434"/>
    </row>
    <row r="118">
      <c r="A118" s="434"/>
      <c r="B118" s="528"/>
      <c r="C118" s="528"/>
      <c r="D118" s="528"/>
      <c r="E118" s="528"/>
      <c r="F118" s="528"/>
      <c r="G118" s="511"/>
      <c r="H118" s="511"/>
      <c r="I118" s="511"/>
      <c r="J118" s="511"/>
      <c r="K118" s="511"/>
      <c r="L118" s="528"/>
      <c r="M118" s="528"/>
      <c r="N118" s="528"/>
      <c r="O118" s="528"/>
      <c r="P118" s="528"/>
      <c r="Q118" s="434"/>
      <c r="R118" s="434"/>
      <c r="S118" s="434"/>
      <c r="T118" s="434"/>
      <c r="U118" s="434"/>
      <c r="V118" s="434"/>
      <c r="W118" s="434"/>
      <c r="X118" s="434"/>
      <c r="Y118" s="434"/>
      <c r="Z118" s="434"/>
      <c r="AA118" s="434"/>
      <c r="AB118" s="434"/>
      <c r="AC118" s="434"/>
      <c r="AD118" s="434"/>
    </row>
    <row r="119">
      <c r="A119" s="434"/>
      <c r="B119" s="528"/>
      <c r="C119" s="528"/>
      <c r="D119" s="528"/>
      <c r="E119" s="528"/>
      <c r="F119" s="528"/>
      <c r="G119" s="511"/>
      <c r="H119" s="511"/>
      <c r="I119" s="511"/>
      <c r="J119" s="511"/>
      <c r="K119" s="511"/>
      <c r="L119" s="528"/>
      <c r="M119" s="528"/>
      <c r="N119" s="528"/>
      <c r="O119" s="528"/>
      <c r="P119" s="528"/>
      <c r="Q119" s="434"/>
      <c r="R119" s="434"/>
      <c r="S119" s="434"/>
      <c r="T119" s="434"/>
      <c r="U119" s="434"/>
      <c r="V119" s="434"/>
      <c r="W119" s="434"/>
      <c r="X119" s="434"/>
      <c r="Y119" s="434"/>
      <c r="Z119" s="434"/>
      <c r="AA119" s="434"/>
      <c r="AB119" s="434"/>
      <c r="AC119" s="434"/>
      <c r="AD119" s="434"/>
    </row>
    <row r="120">
      <c r="A120" s="434"/>
      <c r="B120" s="528"/>
      <c r="C120" s="528"/>
      <c r="D120" s="528"/>
      <c r="E120" s="528"/>
      <c r="F120" s="528"/>
      <c r="G120" s="511"/>
      <c r="H120" s="511"/>
      <c r="I120" s="511"/>
      <c r="J120" s="511"/>
      <c r="K120" s="511"/>
      <c r="L120" s="528"/>
      <c r="M120" s="528"/>
      <c r="N120" s="528"/>
      <c r="O120" s="528"/>
      <c r="P120" s="528"/>
      <c r="Q120" s="434"/>
      <c r="R120" s="434"/>
      <c r="S120" s="434"/>
      <c r="T120" s="434"/>
      <c r="U120" s="434"/>
      <c r="V120" s="434"/>
      <c r="W120" s="434"/>
      <c r="X120" s="434"/>
      <c r="Y120" s="434"/>
      <c r="Z120" s="434"/>
      <c r="AA120" s="434"/>
      <c r="AB120" s="434"/>
      <c r="AC120" s="434"/>
      <c r="AD120" s="434"/>
    </row>
    <row r="121">
      <c r="A121" s="434"/>
      <c r="B121" s="528"/>
      <c r="C121" s="528"/>
      <c r="D121" s="528"/>
      <c r="E121" s="528"/>
      <c r="F121" s="528"/>
      <c r="G121" s="511"/>
      <c r="H121" s="511"/>
      <c r="I121" s="511"/>
      <c r="J121" s="511"/>
      <c r="K121" s="511"/>
      <c r="L121" s="528"/>
      <c r="M121" s="528"/>
      <c r="N121" s="528"/>
      <c r="O121" s="528"/>
      <c r="P121" s="528"/>
      <c r="Q121" s="434"/>
      <c r="R121" s="434"/>
      <c r="S121" s="434"/>
      <c r="T121" s="434"/>
      <c r="U121" s="434"/>
      <c r="V121" s="434"/>
      <c r="W121" s="434"/>
      <c r="X121" s="434"/>
      <c r="Y121" s="434"/>
      <c r="Z121" s="434"/>
      <c r="AA121" s="434"/>
      <c r="AB121" s="434"/>
      <c r="AC121" s="434"/>
      <c r="AD121" s="434"/>
    </row>
    <row r="122">
      <c r="A122" s="434"/>
      <c r="B122" s="528"/>
      <c r="C122" s="528"/>
      <c r="D122" s="528"/>
      <c r="E122" s="528"/>
      <c r="F122" s="528"/>
      <c r="G122" s="511"/>
      <c r="H122" s="511"/>
      <c r="I122" s="511"/>
      <c r="J122" s="511"/>
      <c r="K122" s="511"/>
      <c r="L122" s="528"/>
      <c r="M122" s="528"/>
      <c r="N122" s="528"/>
      <c r="O122" s="528"/>
      <c r="P122" s="528"/>
      <c r="Q122" s="434"/>
      <c r="R122" s="434"/>
      <c r="S122" s="434"/>
      <c r="T122" s="434"/>
      <c r="U122" s="434"/>
      <c r="V122" s="434"/>
      <c r="W122" s="434"/>
      <c r="X122" s="434"/>
      <c r="Y122" s="434"/>
      <c r="Z122" s="434"/>
      <c r="AA122" s="434"/>
      <c r="AB122" s="434"/>
      <c r="AC122" s="434"/>
      <c r="AD122" s="434"/>
    </row>
    <row r="123">
      <c r="A123" s="434"/>
      <c r="B123" s="528"/>
      <c r="C123" s="528"/>
      <c r="D123" s="528"/>
      <c r="E123" s="528"/>
      <c r="F123" s="528"/>
      <c r="G123" s="511"/>
      <c r="H123" s="511"/>
      <c r="I123" s="511"/>
      <c r="J123" s="511"/>
      <c r="K123" s="511"/>
      <c r="L123" s="528"/>
      <c r="M123" s="528"/>
      <c r="N123" s="528"/>
      <c r="O123" s="528"/>
      <c r="P123" s="528"/>
      <c r="Q123" s="434"/>
      <c r="R123" s="434"/>
      <c r="S123" s="434"/>
      <c r="T123" s="434"/>
      <c r="U123" s="434"/>
      <c r="V123" s="434"/>
      <c r="W123" s="434"/>
      <c r="X123" s="434"/>
      <c r="Y123" s="434"/>
      <c r="Z123" s="434"/>
      <c r="AA123" s="434"/>
      <c r="AB123" s="434"/>
      <c r="AC123" s="434"/>
      <c r="AD123" s="434"/>
    </row>
    <row r="124">
      <c r="A124" s="434"/>
      <c r="B124" s="528"/>
      <c r="C124" s="528"/>
      <c r="D124" s="528"/>
      <c r="E124" s="528"/>
      <c r="F124" s="528"/>
      <c r="G124" s="511"/>
      <c r="H124" s="511"/>
      <c r="I124" s="511"/>
      <c r="J124" s="511"/>
      <c r="K124" s="511"/>
      <c r="L124" s="528"/>
      <c r="M124" s="528"/>
      <c r="N124" s="528"/>
      <c r="O124" s="528"/>
      <c r="P124" s="528"/>
      <c r="Q124" s="434"/>
      <c r="R124" s="434"/>
      <c r="S124" s="434"/>
      <c r="T124" s="434"/>
      <c r="U124" s="434"/>
      <c r="V124" s="434"/>
      <c r="W124" s="434"/>
      <c r="X124" s="434"/>
      <c r="Y124" s="434"/>
      <c r="Z124" s="434"/>
      <c r="AA124" s="434"/>
      <c r="AB124" s="434"/>
      <c r="AC124" s="434"/>
      <c r="AD124" s="434"/>
    </row>
    <row r="125">
      <c r="A125" s="434"/>
      <c r="B125" s="528"/>
      <c r="C125" s="528"/>
      <c r="D125" s="528"/>
      <c r="E125" s="528"/>
      <c r="F125" s="528"/>
      <c r="G125" s="511"/>
      <c r="H125" s="511"/>
      <c r="I125" s="511"/>
      <c r="J125" s="511"/>
      <c r="K125" s="511"/>
      <c r="L125" s="528"/>
      <c r="M125" s="528"/>
      <c r="N125" s="528"/>
      <c r="O125" s="528"/>
      <c r="P125" s="528"/>
      <c r="Q125" s="434"/>
      <c r="R125" s="434"/>
      <c r="S125" s="434"/>
      <c r="T125" s="434"/>
      <c r="U125" s="434"/>
      <c r="V125" s="434"/>
      <c r="W125" s="434"/>
      <c r="X125" s="434"/>
      <c r="Y125" s="434"/>
      <c r="Z125" s="434"/>
      <c r="AA125" s="434"/>
      <c r="AB125" s="434"/>
      <c r="AC125" s="434"/>
      <c r="AD125" s="434"/>
    </row>
    <row r="126">
      <c r="A126" s="434"/>
      <c r="B126" s="528"/>
      <c r="C126" s="528"/>
      <c r="D126" s="528"/>
      <c r="E126" s="528"/>
      <c r="F126" s="528"/>
      <c r="G126" s="511"/>
      <c r="H126" s="511"/>
      <c r="I126" s="511"/>
      <c r="J126" s="511"/>
      <c r="K126" s="511"/>
      <c r="L126" s="528"/>
      <c r="M126" s="528"/>
      <c r="N126" s="528"/>
      <c r="O126" s="528"/>
      <c r="P126" s="528"/>
      <c r="Q126" s="434"/>
      <c r="R126" s="434"/>
      <c r="S126" s="434"/>
      <c r="T126" s="434"/>
      <c r="U126" s="434"/>
      <c r="V126" s="434"/>
      <c r="W126" s="434"/>
      <c r="X126" s="434"/>
      <c r="Y126" s="434"/>
      <c r="Z126" s="434"/>
      <c r="AA126" s="434"/>
      <c r="AB126" s="434"/>
      <c r="AC126" s="434"/>
      <c r="AD126" s="434"/>
    </row>
    <row r="127">
      <c r="A127" s="434"/>
      <c r="B127" s="528"/>
      <c r="C127" s="528"/>
      <c r="D127" s="528"/>
      <c r="E127" s="528"/>
      <c r="F127" s="528"/>
      <c r="G127" s="511"/>
      <c r="H127" s="511"/>
      <c r="I127" s="511"/>
      <c r="J127" s="511"/>
      <c r="K127" s="511"/>
      <c r="L127" s="528"/>
      <c r="M127" s="528"/>
      <c r="N127" s="528"/>
      <c r="O127" s="528"/>
      <c r="P127" s="528"/>
      <c r="Q127" s="434"/>
      <c r="R127" s="434"/>
      <c r="S127" s="434"/>
      <c r="T127" s="434"/>
      <c r="U127" s="434"/>
      <c r="V127" s="434"/>
      <c r="W127" s="434"/>
      <c r="X127" s="434"/>
      <c r="Y127" s="434"/>
      <c r="Z127" s="434"/>
      <c r="AA127" s="434"/>
      <c r="AB127" s="434"/>
      <c r="AC127" s="434"/>
      <c r="AD127" s="434"/>
    </row>
    <row r="128">
      <c r="A128" s="434"/>
      <c r="B128" s="528"/>
      <c r="C128" s="528"/>
      <c r="D128" s="528"/>
      <c r="E128" s="528"/>
      <c r="F128" s="528"/>
      <c r="G128" s="511"/>
      <c r="H128" s="511"/>
      <c r="I128" s="511"/>
      <c r="J128" s="511"/>
      <c r="K128" s="511"/>
      <c r="L128" s="528"/>
      <c r="M128" s="528"/>
      <c r="N128" s="528"/>
      <c r="O128" s="528"/>
      <c r="P128" s="528"/>
      <c r="Q128" s="434"/>
      <c r="R128" s="434"/>
      <c r="S128" s="434"/>
      <c r="T128" s="434"/>
      <c r="U128" s="434"/>
      <c r="V128" s="434"/>
      <c r="W128" s="434"/>
      <c r="X128" s="434"/>
      <c r="Y128" s="434"/>
      <c r="Z128" s="434"/>
      <c r="AA128" s="434"/>
      <c r="AB128" s="434"/>
      <c r="AC128" s="434"/>
      <c r="AD128" s="434"/>
    </row>
    <row r="129">
      <c r="A129" s="434"/>
      <c r="B129" s="528"/>
      <c r="C129" s="528"/>
      <c r="D129" s="528"/>
      <c r="E129" s="528"/>
      <c r="F129" s="528"/>
      <c r="G129" s="511"/>
      <c r="H129" s="511"/>
      <c r="I129" s="511"/>
      <c r="J129" s="511"/>
      <c r="K129" s="511"/>
      <c r="L129" s="528"/>
      <c r="M129" s="528"/>
      <c r="N129" s="528"/>
      <c r="O129" s="528"/>
      <c r="P129" s="528"/>
      <c r="Q129" s="434"/>
      <c r="R129" s="434"/>
      <c r="S129" s="434"/>
      <c r="T129" s="434"/>
      <c r="U129" s="434"/>
      <c r="V129" s="434"/>
      <c r="W129" s="434"/>
      <c r="X129" s="434"/>
      <c r="Y129" s="434"/>
      <c r="Z129" s="434"/>
      <c r="AA129" s="434"/>
      <c r="AB129" s="434"/>
      <c r="AC129" s="434"/>
      <c r="AD129" s="434"/>
    </row>
    <row r="130">
      <c r="A130" s="434"/>
      <c r="B130" s="528"/>
      <c r="C130" s="528"/>
      <c r="D130" s="528"/>
      <c r="E130" s="528"/>
      <c r="F130" s="528"/>
      <c r="G130" s="511"/>
      <c r="H130" s="511"/>
      <c r="I130" s="511"/>
      <c r="J130" s="511"/>
      <c r="K130" s="511"/>
      <c r="L130" s="528"/>
      <c r="M130" s="528"/>
      <c r="N130" s="528"/>
      <c r="O130" s="528"/>
      <c r="P130" s="528"/>
      <c r="Q130" s="434"/>
      <c r="R130" s="434"/>
      <c r="S130" s="434"/>
      <c r="T130" s="434"/>
      <c r="U130" s="434"/>
      <c r="V130" s="434"/>
      <c r="W130" s="434"/>
      <c r="X130" s="434"/>
      <c r="Y130" s="434"/>
      <c r="Z130" s="434"/>
      <c r="AA130" s="434"/>
      <c r="AB130" s="434"/>
      <c r="AC130" s="434"/>
      <c r="AD130" s="434"/>
    </row>
    <row r="131">
      <c r="A131" s="434"/>
      <c r="B131" s="528"/>
      <c r="C131" s="528"/>
      <c r="D131" s="528"/>
      <c r="E131" s="528"/>
      <c r="F131" s="528"/>
      <c r="G131" s="511"/>
      <c r="H131" s="511"/>
      <c r="I131" s="511"/>
      <c r="J131" s="511"/>
      <c r="K131" s="511"/>
      <c r="L131" s="528"/>
      <c r="M131" s="528"/>
      <c r="N131" s="528"/>
      <c r="O131" s="528"/>
      <c r="P131" s="528"/>
      <c r="Q131" s="434"/>
      <c r="R131" s="434"/>
      <c r="S131" s="434"/>
      <c r="T131" s="434"/>
      <c r="U131" s="434"/>
      <c r="V131" s="434"/>
      <c r="W131" s="434"/>
      <c r="X131" s="434"/>
      <c r="Y131" s="434"/>
      <c r="Z131" s="434"/>
      <c r="AA131" s="434"/>
      <c r="AB131" s="434"/>
      <c r="AC131" s="434"/>
      <c r="AD131" s="434"/>
    </row>
    <row r="132">
      <c r="A132" s="434"/>
      <c r="B132" s="528"/>
      <c r="C132" s="528"/>
      <c r="D132" s="528"/>
      <c r="E132" s="528"/>
      <c r="F132" s="528"/>
      <c r="G132" s="511"/>
      <c r="H132" s="511"/>
      <c r="I132" s="511"/>
      <c r="J132" s="511"/>
      <c r="K132" s="511"/>
      <c r="L132" s="528"/>
      <c r="M132" s="528"/>
      <c r="N132" s="528"/>
      <c r="O132" s="528"/>
      <c r="P132" s="528"/>
      <c r="Q132" s="434"/>
      <c r="R132" s="434"/>
      <c r="S132" s="434"/>
      <c r="T132" s="434"/>
      <c r="U132" s="434"/>
      <c r="V132" s="434"/>
      <c r="W132" s="434"/>
      <c r="X132" s="434"/>
      <c r="Y132" s="434"/>
      <c r="Z132" s="434"/>
      <c r="AA132" s="434"/>
      <c r="AB132" s="434"/>
      <c r="AC132" s="434"/>
      <c r="AD132" s="434"/>
    </row>
    <row r="133">
      <c r="A133" s="434"/>
      <c r="B133" s="528"/>
      <c r="C133" s="528"/>
      <c r="D133" s="528"/>
      <c r="E133" s="528"/>
      <c r="F133" s="528"/>
      <c r="G133" s="511"/>
      <c r="H133" s="511"/>
      <c r="I133" s="511"/>
      <c r="J133" s="511"/>
      <c r="K133" s="511"/>
      <c r="L133" s="528"/>
      <c r="M133" s="528"/>
      <c r="N133" s="528"/>
      <c r="O133" s="528"/>
      <c r="P133" s="528"/>
      <c r="Q133" s="434"/>
      <c r="R133" s="434"/>
      <c r="S133" s="434"/>
      <c r="T133" s="434"/>
      <c r="U133" s="434"/>
      <c r="V133" s="434"/>
      <c r="W133" s="434"/>
      <c r="X133" s="434"/>
      <c r="Y133" s="434"/>
      <c r="Z133" s="434"/>
      <c r="AA133" s="434"/>
      <c r="AB133" s="434"/>
      <c r="AC133" s="434"/>
      <c r="AD133" s="434"/>
    </row>
    <row r="134">
      <c r="A134" s="434"/>
      <c r="B134" s="528"/>
      <c r="C134" s="528"/>
      <c r="D134" s="528"/>
      <c r="E134" s="528"/>
      <c r="F134" s="528"/>
      <c r="G134" s="511"/>
      <c r="H134" s="511"/>
      <c r="I134" s="511"/>
      <c r="J134" s="511"/>
      <c r="K134" s="511"/>
      <c r="L134" s="528"/>
      <c r="M134" s="528"/>
      <c r="N134" s="528"/>
      <c r="O134" s="528"/>
      <c r="P134" s="528"/>
      <c r="Q134" s="434"/>
      <c r="R134" s="434"/>
      <c r="S134" s="434"/>
      <c r="T134" s="434"/>
      <c r="U134" s="434"/>
      <c r="V134" s="434"/>
      <c r="W134" s="434"/>
      <c r="X134" s="434"/>
      <c r="Y134" s="434"/>
      <c r="Z134" s="434"/>
      <c r="AA134" s="434"/>
      <c r="AB134" s="434"/>
      <c r="AC134" s="434"/>
      <c r="AD134" s="434"/>
    </row>
    <row r="135">
      <c r="A135" s="434"/>
      <c r="B135" s="528"/>
      <c r="C135" s="528"/>
      <c r="D135" s="528"/>
      <c r="E135" s="528"/>
      <c r="F135" s="528"/>
      <c r="G135" s="511"/>
      <c r="H135" s="511"/>
      <c r="I135" s="511"/>
      <c r="J135" s="511"/>
      <c r="K135" s="511"/>
      <c r="L135" s="528"/>
      <c r="M135" s="528"/>
      <c r="N135" s="528"/>
      <c r="O135" s="528"/>
      <c r="P135" s="528"/>
      <c r="Q135" s="434"/>
      <c r="R135" s="434"/>
      <c r="S135" s="434"/>
      <c r="T135" s="434"/>
      <c r="U135" s="434"/>
      <c r="V135" s="434"/>
      <c r="W135" s="434"/>
      <c r="X135" s="434"/>
      <c r="Y135" s="434"/>
      <c r="Z135" s="434"/>
      <c r="AA135" s="434"/>
      <c r="AB135" s="434"/>
      <c r="AC135" s="434"/>
      <c r="AD135" s="434"/>
    </row>
    <row r="136">
      <c r="A136" s="434"/>
      <c r="B136" s="528"/>
      <c r="C136" s="528"/>
      <c r="D136" s="528"/>
      <c r="E136" s="528"/>
      <c r="F136" s="528"/>
      <c r="G136" s="511"/>
      <c r="H136" s="511"/>
      <c r="I136" s="511"/>
      <c r="J136" s="511"/>
      <c r="K136" s="511"/>
      <c r="L136" s="528"/>
      <c r="M136" s="528"/>
      <c r="N136" s="528"/>
      <c r="O136" s="528"/>
      <c r="P136" s="528"/>
      <c r="Q136" s="434"/>
      <c r="R136" s="434"/>
      <c r="S136" s="434"/>
      <c r="T136" s="434"/>
      <c r="U136" s="434"/>
      <c r="V136" s="434"/>
      <c r="W136" s="434"/>
      <c r="X136" s="434"/>
      <c r="Y136" s="434"/>
      <c r="Z136" s="434"/>
      <c r="AA136" s="434"/>
      <c r="AB136" s="434"/>
      <c r="AC136" s="434"/>
      <c r="AD136" s="434"/>
    </row>
    <row r="137">
      <c r="A137" s="434"/>
      <c r="B137" s="528"/>
      <c r="C137" s="528"/>
      <c r="D137" s="528"/>
      <c r="E137" s="528"/>
      <c r="F137" s="528"/>
      <c r="G137" s="511"/>
      <c r="H137" s="511"/>
      <c r="I137" s="511"/>
      <c r="J137" s="511"/>
      <c r="K137" s="511"/>
      <c r="L137" s="528"/>
      <c r="M137" s="528"/>
      <c r="N137" s="528"/>
      <c r="O137" s="528"/>
      <c r="P137" s="528"/>
      <c r="Q137" s="434"/>
      <c r="R137" s="434"/>
      <c r="S137" s="434"/>
      <c r="T137" s="434"/>
      <c r="U137" s="434"/>
      <c r="V137" s="434"/>
      <c r="W137" s="434"/>
      <c r="X137" s="434"/>
      <c r="Y137" s="434"/>
      <c r="Z137" s="434"/>
      <c r="AA137" s="434"/>
      <c r="AB137" s="434"/>
      <c r="AC137" s="434"/>
      <c r="AD137" s="434"/>
    </row>
    <row r="138">
      <c r="A138" s="434"/>
      <c r="B138" s="528"/>
      <c r="C138" s="528"/>
      <c r="D138" s="528"/>
      <c r="E138" s="528"/>
      <c r="F138" s="528"/>
      <c r="G138" s="511"/>
      <c r="H138" s="511"/>
      <c r="I138" s="511"/>
      <c r="J138" s="511"/>
      <c r="K138" s="511"/>
      <c r="L138" s="528"/>
      <c r="M138" s="528"/>
      <c r="N138" s="528"/>
      <c r="O138" s="528"/>
      <c r="P138" s="528"/>
      <c r="Q138" s="434"/>
      <c r="R138" s="434"/>
      <c r="S138" s="434"/>
      <c r="T138" s="434"/>
      <c r="U138" s="434"/>
      <c r="V138" s="434"/>
      <c r="W138" s="434"/>
      <c r="X138" s="434"/>
      <c r="Y138" s="434"/>
      <c r="Z138" s="434"/>
      <c r="AA138" s="434"/>
      <c r="AB138" s="434"/>
      <c r="AC138" s="434"/>
      <c r="AD138" s="434"/>
    </row>
    <row r="139">
      <c r="A139" s="434"/>
      <c r="B139" s="528"/>
      <c r="C139" s="528"/>
      <c r="D139" s="528"/>
      <c r="E139" s="528"/>
      <c r="F139" s="528"/>
      <c r="G139" s="511"/>
      <c r="H139" s="511"/>
      <c r="I139" s="511"/>
      <c r="J139" s="511"/>
      <c r="K139" s="511"/>
      <c r="L139" s="528"/>
      <c r="M139" s="528"/>
      <c r="N139" s="528"/>
      <c r="O139" s="528"/>
      <c r="P139" s="528"/>
      <c r="Q139" s="434"/>
      <c r="R139" s="434"/>
      <c r="S139" s="434"/>
      <c r="T139" s="434"/>
      <c r="U139" s="434"/>
      <c r="V139" s="434"/>
      <c r="W139" s="434"/>
      <c r="X139" s="434"/>
      <c r="Y139" s="434"/>
      <c r="Z139" s="434"/>
      <c r="AA139" s="434"/>
      <c r="AB139" s="434"/>
      <c r="AC139" s="434"/>
      <c r="AD139" s="434"/>
    </row>
    <row r="140">
      <c r="A140" s="434"/>
      <c r="B140" s="528"/>
      <c r="C140" s="528"/>
      <c r="D140" s="528"/>
      <c r="E140" s="528"/>
      <c r="F140" s="528"/>
      <c r="G140" s="511"/>
      <c r="H140" s="511"/>
      <c r="I140" s="511"/>
      <c r="J140" s="511"/>
      <c r="K140" s="511"/>
      <c r="L140" s="528"/>
      <c r="M140" s="528"/>
      <c r="N140" s="528"/>
      <c r="O140" s="528"/>
      <c r="P140" s="528"/>
      <c r="Q140" s="434"/>
      <c r="R140" s="434"/>
      <c r="S140" s="434"/>
      <c r="T140" s="434"/>
      <c r="U140" s="434"/>
      <c r="V140" s="434"/>
      <c r="W140" s="434"/>
      <c r="X140" s="434"/>
      <c r="Y140" s="434"/>
      <c r="Z140" s="434"/>
      <c r="AA140" s="434"/>
      <c r="AB140" s="434"/>
      <c r="AC140" s="434"/>
      <c r="AD140" s="434"/>
    </row>
    <row r="141">
      <c r="A141" s="434"/>
      <c r="B141" s="528"/>
      <c r="C141" s="528"/>
      <c r="D141" s="528"/>
      <c r="E141" s="528"/>
      <c r="F141" s="528"/>
      <c r="G141" s="511"/>
      <c r="H141" s="511"/>
      <c r="I141" s="511"/>
      <c r="J141" s="511"/>
      <c r="K141" s="511"/>
      <c r="L141" s="528"/>
      <c r="M141" s="528"/>
      <c r="N141" s="528"/>
      <c r="O141" s="528"/>
      <c r="P141" s="528"/>
      <c r="Q141" s="434"/>
      <c r="R141" s="434"/>
      <c r="S141" s="434"/>
      <c r="T141" s="434"/>
      <c r="U141" s="434"/>
      <c r="V141" s="434"/>
      <c r="W141" s="434"/>
      <c r="X141" s="434"/>
      <c r="Y141" s="434"/>
      <c r="Z141" s="434"/>
      <c r="AA141" s="434"/>
      <c r="AB141" s="434"/>
      <c r="AC141" s="434"/>
      <c r="AD141" s="434"/>
    </row>
    <row r="142">
      <c r="A142" s="434"/>
      <c r="B142" s="528"/>
      <c r="C142" s="528"/>
      <c r="D142" s="528"/>
      <c r="E142" s="528"/>
      <c r="F142" s="528"/>
      <c r="G142" s="511"/>
      <c r="H142" s="511"/>
      <c r="I142" s="511"/>
      <c r="J142" s="511"/>
      <c r="K142" s="511"/>
      <c r="L142" s="528"/>
      <c r="M142" s="528"/>
      <c r="N142" s="528"/>
      <c r="O142" s="528"/>
      <c r="P142" s="528"/>
      <c r="Q142" s="434"/>
      <c r="R142" s="434"/>
      <c r="S142" s="434"/>
      <c r="T142" s="434"/>
      <c r="U142" s="434"/>
      <c r="V142" s="434"/>
      <c r="W142" s="434"/>
      <c r="X142" s="434"/>
      <c r="Y142" s="434"/>
      <c r="Z142" s="434"/>
      <c r="AA142" s="434"/>
      <c r="AB142" s="434"/>
      <c r="AC142" s="434"/>
      <c r="AD142" s="434"/>
    </row>
    <row r="143">
      <c r="A143" s="434"/>
      <c r="B143" s="528"/>
      <c r="C143" s="528"/>
      <c r="D143" s="528"/>
      <c r="E143" s="528"/>
      <c r="F143" s="528"/>
      <c r="G143" s="511"/>
      <c r="H143" s="511"/>
      <c r="I143" s="511"/>
      <c r="J143" s="511"/>
      <c r="K143" s="511"/>
      <c r="L143" s="528"/>
      <c r="M143" s="528"/>
      <c r="N143" s="528"/>
      <c r="O143" s="528"/>
      <c r="P143" s="528"/>
      <c r="Q143" s="434"/>
      <c r="R143" s="434"/>
      <c r="S143" s="434"/>
      <c r="T143" s="434"/>
      <c r="U143" s="434"/>
      <c r="V143" s="434"/>
      <c r="W143" s="434"/>
      <c r="X143" s="434"/>
      <c r="Y143" s="434"/>
      <c r="Z143" s="434"/>
      <c r="AA143" s="434"/>
      <c r="AB143" s="434"/>
      <c r="AC143" s="434"/>
      <c r="AD143" s="434"/>
    </row>
    <row r="144">
      <c r="A144" s="434"/>
      <c r="B144" s="528"/>
      <c r="C144" s="528"/>
      <c r="D144" s="528"/>
      <c r="E144" s="528"/>
      <c r="F144" s="528"/>
      <c r="G144" s="511"/>
      <c r="H144" s="511"/>
      <c r="I144" s="511"/>
      <c r="J144" s="511"/>
      <c r="K144" s="511"/>
      <c r="L144" s="528"/>
      <c r="M144" s="528"/>
      <c r="N144" s="528"/>
      <c r="O144" s="528"/>
      <c r="P144" s="528"/>
      <c r="Q144" s="434"/>
      <c r="R144" s="434"/>
      <c r="S144" s="434"/>
      <c r="T144" s="434"/>
      <c r="U144" s="434"/>
      <c r="V144" s="434"/>
      <c r="W144" s="434"/>
      <c r="X144" s="434"/>
      <c r="Y144" s="434"/>
      <c r="Z144" s="434"/>
      <c r="AA144" s="434"/>
      <c r="AB144" s="434"/>
      <c r="AC144" s="434"/>
      <c r="AD144" s="434"/>
    </row>
    <row r="145">
      <c r="A145" s="434"/>
      <c r="B145" s="528"/>
      <c r="C145" s="528"/>
      <c r="D145" s="528"/>
      <c r="E145" s="528"/>
      <c r="F145" s="528"/>
      <c r="G145" s="511"/>
      <c r="H145" s="511"/>
      <c r="I145" s="511"/>
      <c r="J145" s="511"/>
      <c r="K145" s="511"/>
      <c r="L145" s="528"/>
      <c r="M145" s="528"/>
      <c r="N145" s="528"/>
      <c r="O145" s="528"/>
      <c r="P145" s="528"/>
      <c r="Q145" s="434"/>
      <c r="R145" s="434"/>
      <c r="S145" s="434"/>
      <c r="T145" s="434"/>
      <c r="U145" s="434"/>
      <c r="V145" s="434"/>
      <c r="W145" s="434"/>
      <c r="X145" s="434"/>
      <c r="Y145" s="434"/>
      <c r="Z145" s="434"/>
      <c r="AA145" s="434"/>
      <c r="AB145" s="434"/>
      <c r="AC145" s="434"/>
      <c r="AD145" s="434"/>
    </row>
    <row r="146">
      <c r="A146" s="434"/>
      <c r="B146" s="528"/>
      <c r="C146" s="528"/>
      <c r="D146" s="528"/>
      <c r="E146" s="528"/>
      <c r="F146" s="528"/>
      <c r="G146" s="511"/>
      <c r="H146" s="511"/>
      <c r="I146" s="511"/>
      <c r="J146" s="511"/>
      <c r="K146" s="511"/>
      <c r="L146" s="528"/>
      <c r="M146" s="528"/>
      <c r="N146" s="528"/>
      <c r="O146" s="528"/>
      <c r="P146" s="528"/>
      <c r="Q146" s="434"/>
      <c r="R146" s="434"/>
      <c r="S146" s="434"/>
      <c r="T146" s="434"/>
      <c r="U146" s="434"/>
      <c r="V146" s="434"/>
      <c r="W146" s="434"/>
      <c r="X146" s="434"/>
      <c r="Y146" s="434"/>
      <c r="Z146" s="434"/>
      <c r="AA146" s="434"/>
      <c r="AB146" s="434"/>
      <c r="AC146" s="434"/>
      <c r="AD146" s="434"/>
    </row>
    <row r="147">
      <c r="A147" s="434"/>
      <c r="B147" s="528"/>
      <c r="C147" s="528"/>
      <c r="D147" s="528"/>
      <c r="E147" s="528"/>
      <c r="F147" s="528"/>
      <c r="G147" s="511"/>
      <c r="H147" s="511"/>
      <c r="I147" s="511"/>
      <c r="J147" s="511"/>
      <c r="K147" s="511"/>
      <c r="L147" s="528"/>
      <c r="M147" s="528"/>
      <c r="N147" s="528"/>
      <c r="O147" s="528"/>
      <c r="P147" s="528"/>
      <c r="Q147" s="434"/>
      <c r="R147" s="434"/>
      <c r="S147" s="434"/>
      <c r="T147" s="434"/>
      <c r="U147" s="434"/>
      <c r="V147" s="434"/>
      <c r="W147" s="434"/>
      <c r="X147" s="434"/>
      <c r="Y147" s="434"/>
      <c r="Z147" s="434"/>
      <c r="AA147" s="434"/>
      <c r="AB147" s="434"/>
      <c r="AC147" s="434"/>
      <c r="AD147" s="434"/>
    </row>
    <row r="148">
      <c r="A148" s="434"/>
      <c r="B148" s="528"/>
      <c r="C148" s="528"/>
      <c r="D148" s="528"/>
      <c r="E148" s="528"/>
      <c r="F148" s="528"/>
      <c r="G148" s="511"/>
      <c r="H148" s="511"/>
      <c r="I148" s="511"/>
      <c r="J148" s="511"/>
      <c r="K148" s="511"/>
      <c r="L148" s="528"/>
      <c r="M148" s="528"/>
      <c r="N148" s="528"/>
      <c r="O148" s="528"/>
      <c r="P148" s="528"/>
      <c r="Q148" s="434"/>
      <c r="R148" s="434"/>
      <c r="S148" s="434"/>
      <c r="T148" s="434"/>
      <c r="U148" s="434"/>
      <c r="V148" s="434"/>
      <c r="W148" s="434"/>
      <c r="X148" s="434"/>
      <c r="Y148" s="434"/>
      <c r="Z148" s="434"/>
      <c r="AA148" s="434"/>
      <c r="AB148" s="434"/>
      <c r="AC148" s="434"/>
      <c r="AD148" s="434"/>
    </row>
    <row r="149">
      <c r="A149" s="434"/>
      <c r="B149" s="528"/>
      <c r="C149" s="528"/>
      <c r="D149" s="528"/>
      <c r="E149" s="528"/>
      <c r="F149" s="528"/>
      <c r="G149" s="511"/>
      <c r="H149" s="511"/>
      <c r="I149" s="511"/>
      <c r="J149" s="511"/>
      <c r="K149" s="511"/>
      <c r="L149" s="528"/>
      <c r="M149" s="528"/>
      <c r="N149" s="528"/>
      <c r="O149" s="528"/>
      <c r="P149" s="528"/>
      <c r="Q149" s="434"/>
      <c r="R149" s="434"/>
      <c r="S149" s="434"/>
      <c r="T149" s="434"/>
      <c r="U149" s="434"/>
      <c r="V149" s="434"/>
      <c r="W149" s="434"/>
      <c r="X149" s="434"/>
      <c r="Y149" s="434"/>
      <c r="Z149" s="434"/>
      <c r="AA149" s="434"/>
      <c r="AB149" s="434"/>
      <c r="AC149" s="434"/>
      <c r="AD149" s="434"/>
    </row>
    <row r="150">
      <c r="A150" s="434"/>
      <c r="B150" s="528"/>
      <c r="C150" s="528"/>
      <c r="D150" s="528"/>
      <c r="E150" s="528"/>
      <c r="F150" s="528"/>
      <c r="G150" s="511"/>
      <c r="H150" s="511"/>
      <c r="I150" s="511"/>
      <c r="J150" s="511"/>
      <c r="K150" s="511"/>
      <c r="L150" s="528"/>
      <c r="M150" s="528"/>
      <c r="N150" s="528"/>
      <c r="O150" s="528"/>
      <c r="P150" s="528"/>
      <c r="Q150" s="434"/>
      <c r="R150" s="434"/>
      <c r="S150" s="434"/>
      <c r="T150" s="434"/>
      <c r="U150" s="434"/>
      <c r="V150" s="434"/>
      <c r="W150" s="434"/>
      <c r="X150" s="434"/>
      <c r="Y150" s="434"/>
      <c r="Z150" s="434"/>
      <c r="AA150" s="434"/>
      <c r="AB150" s="434"/>
      <c r="AC150" s="434"/>
      <c r="AD150" s="434"/>
    </row>
    <row r="151">
      <c r="A151" s="434"/>
      <c r="B151" s="528"/>
      <c r="C151" s="528"/>
      <c r="D151" s="528"/>
      <c r="E151" s="528"/>
      <c r="F151" s="528"/>
      <c r="G151" s="511"/>
      <c r="H151" s="511"/>
      <c r="I151" s="511"/>
      <c r="J151" s="511"/>
      <c r="K151" s="511"/>
      <c r="L151" s="528"/>
      <c r="M151" s="528"/>
      <c r="N151" s="528"/>
      <c r="O151" s="528"/>
      <c r="P151" s="528"/>
      <c r="Q151" s="434"/>
      <c r="R151" s="434"/>
      <c r="S151" s="434"/>
      <c r="T151" s="434"/>
      <c r="U151" s="434"/>
      <c r="V151" s="434"/>
      <c r="W151" s="434"/>
      <c r="X151" s="434"/>
      <c r="Y151" s="434"/>
      <c r="Z151" s="434"/>
      <c r="AA151" s="434"/>
      <c r="AB151" s="434"/>
      <c r="AC151" s="434"/>
      <c r="AD151" s="434"/>
    </row>
    <row r="152">
      <c r="A152" s="434"/>
      <c r="B152" s="528"/>
      <c r="C152" s="528"/>
      <c r="D152" s="528"/>
      <c r="E152" s="528"/>
      <c r="F152" s="528"/>
      <c r="G152" s="511"/>
      <c r="H152" s="511"/>
      <c r="I152" s="511"/>
      <c r="J152" s="511"/>
      <c r="K152" s="511"/>
      <c r="L152" s="528"/>
      <c r="M152" s="528"/>
      <c r="N152" s="528"/>
      <c r="O152" s="528"/>
      <c r="P152" s="528"/>
      <c r="Q152" s="434"/>
      <c r="R152" s="434"/>
      <c r="S152" s="434"/>
      <c r="T152" s="434"/>
      <c r="U152" s="434"/>
      <c r="V152" s="434"/>
      <c r="W152" s="434"/>
      <c r="X152" s="434"/>
      <c r="Y152" s="434"/>
      <c r="Z152" s="434"/>
      <c r="AA152" s="434"/>
      <c r="AB152" s="434"/>
      <c r="AC152" s="434"/>
      <c r="AD152" s="434"/>
    </row>
    <row r="153">
      <c r="A153" s="434"/>
      <c r="B153" s="528"/>
      <c r="C153" s="528"/>
      <c r="D153" s="528"/>
      <c r="E153" s="528"/>
      <c r="F153" s="528"/>
      <c r="G153" s="511"/>
      <c r="H153" s="511"/>
      <c r="I153" s="511"/>
      <c r="J153" s="511"/>
      <c r="K153" s="511"/>
      <c r="L153" s="528"/>
      <c r="M153" s="528"/>
      <c r="N153" s="528"/>
      <c r="O153" s="528"/>
      <c r="P153" s="528"/>
      <c r="Q153" s="434"/>
      <c r="R153" s="434"/>
      <c r="S153" s="434"/>
      <c r="T153" s="434"/>
      <c r="U153" s="434"/>
      <c r="V153" s="434"/>
      <c r="W153" s="434"/>
      <c r="X153" s="434"/>
      <c r="Y153" s="434"/>
      <c r="Z153" s="434"/>
      <c r="AA153" s="434"/>
      <c r="AB153" s="434"/>
      <c r="AC153" s="434"/>
      <c r="AD153" s="434"/>
    </row>
    <row r="154">
      <c r="A154" s="434"/>
      <c r="B154" s="528"/>
      <c r="C154" s="528"/>
      <c r="D154" s="528"/>
      <c r="E154" s="528"/>
      <c r="F154" s="528"/>
      <c r="G154" s="511"/>
      <c r="H154" s="511"/>
      <c r="I154" s="511"/>
      <c r="J154" s="511"/>
      <c r="K154" s="511"/>
      <c r="L154" s="528"/>
      <c r="M154" s="528"/>
      <c r="N154" s="528"/>
      <c r="O154" s="528"/>
      <c r="P154" s="528"/>
      <c r="Q154" s="434"/>
      <c r="R154" s="434"/>
      <c r="S154" s="434"/>
      <c r="T154" s="434"/>
      <c r="U154" s="434"/>
      <c r="V154" s="434"/>
      <c r="W154" s="434"/>
      <c r="X154" s="434"/>
      <c r="Y154" s="434"/>
      <c r="Z154" s="434"/>
      <c r="AA154" s="434"/>
      <c r="AB154" s="434"/>
      <c r="AC154" s="434"/>
      <c r="AD154" s="434"/>
    </row>
    <row r="155">
      <c r="A155" s="434"/>
      <c r="B155" s="528"/>
      <c r="C155" s="528"/>
      <c r="D155" s="528"/>
      <c r="E155" s="528"/>
      <c r="F155" s="528"/>
      <c r="G155" s="511"/>
      <c r="H155" s="511"/>
      <c r="I155" s="511"/>
      <c r="J155" s="511"/>
      <c r="K155" s="511"/>
      <c r="L155" s="528"/>
      <c r="M155" s="528"/>
      <c r="N155" s="528"/>
      <c r="O155" s="528"/>
      <c r="P155" s="528"/>
      <c r="Q155" s="434"/>
      <c r="R155" s="434"/>
      <c r="S155" s="434"/>
      <c r="T155" s="434"/>
      <c r="U155" s="434"/>
      <c r="V155" s="434"/>
      <c r="W155" s="434"/>
      <c r="X155" s="434"/>
      <c r="Y155" s="434"/>
      <c r="Z155" s="434"/>
      <c r="AA155" s="434"/>
      <c r="AB155" s="434"/>
      <c r="AC155" s="434"/>
      <c r="AD155" s="434"/>
    </row>
    <row r="156">
      <c r="A156" s="434"/>
      <c r="B156" s="528"/>
      <c r="C156" s="528"/>
      <c r="D156" s="528"/>
      <c r="E156" s="528"/>
      <c r="F156" s="528"/>
      <c r="G156" s="511"/>
      <c r="H156" s="511"/>
      <c r="I156" s="511"/>
      <c r="J156" s="511"/>
      <c r="K156" s="511"/>
      <c r="L156" s="528"/>
      <c r="M156" s="528"/>
      <c r="N156" s="528"/>
      <c r="O156" s="528"/>
      <c r="P156" s="528"/>
      <c r="Q156" s="434"/>
      <c r="R156" s="434"/>
      <c r="S156" s="434"/>
      <c r="T156" s="434"/>
      <c r="U156" s="434"/>
      <c r="V156" s="434"/>
      <c r="W156" s="434"/>
      <c r="X156" s="434"/>
      <c r="Y156" s="434"/>
      <c r="Z156" s="434"/>
      <c r="AA156" s="434"/>
      <c r="AB156" s="434"/>
      <c r="AC156" s="434"/>
      <c r="AD156" s="434"/>
    </row>
    <row r="157">
      <c r="A157" s="434"/>
      <c r="B157" s="528"/>
      <c r="C157" s="528"/>
      <c r="D157" s="528"/>
      <c r="E157" s="528"/>
      <c r="F157" s="528"/>
      <c r="G157" s="511"/>
      <c r="H157" s="511"/>
      <c r="I157" s="511"/>
      <c r="J157" s="511"/>
      <c r="K157" s="511"/>
      <c r="L157" s="528"/>
      <c r="M157" s="528"/>
      <c r="N157" s="528"/>
      <c r="O157" s="528"/>
      <c r="P157" s="528"/>
      <c r="Q157" s="434"/>
      <c r="R157" s="434"/>
      <c r="S157" s="434"/>
      <c r="T157" s="434"/>
      <c r="U157" s="434"/>
      <c r="V157" s="434"/>
      <c r="W157" s="434"/>
      <c r="X157" s="434"/>
      <c r="Y157" s="434"/>
      <c r="Z157" s="434"/>
      <c r="AA157" s="434"/>
      <c r="AB157" s="434"/>
      <c r="AC157" s="434"/>
      <c r="AD157" s="434"/>
    </row>
    <row r="158">
      <c r="A158" s="434"/>
      <c r="B158" s="528"/>
      <c r="C158" s="528"/>
      <c r="D158" s="528"/>
      <c r="E158" s="528"/>
      <c r="F158" s="528"/>
      <c r="G158" s="511"/>
      <c r="H158" s="511"/>
      <c r="I158" s="511"/>
      <c r="J158" s="511"/>
      <c r="K158" s="511"/>
      <c r="L158" s="528"/>
      <c r="M158" s="528"/>
      <c r="N158" s="528"/>
      <c r="O158" s="528"/>
      <c r="P158" s="528"/>
      <c r="Q158" s="434"/>
      <c r="R158" s="434"/>
      <c r="S158" s="434"/>
      <c r="T158" s="434"/>
      <c r="U158" s="434"/>
      <c r="V158" s="434"/>
      <c r="W158" s="434"/>
      <c r="X158" s="434"/>
      <c r="Y158" s="434"/>
      <c r="Z158" s="434"/>
      <c r="AA158" s="434"/>
      <c r="AB158" s="434"/>
      <c r="AC158" s="434"/>
      <c r="AD158" s="434"/>
    </row>
    <row r="159">
      <c r="A159" s="434"/>
      <c r="B159" s="528"/>
      <c r="C159" s="528"/>
      <c r="D159" s="528"/>
      <c r="E159" s="528"/>
      <c r="F159" s="528"/>
      <c r="G159" s="511"/>
      <c r="H159" s="511"/>
      <c r="I159" s="511"/>
      <c r="J159" s="511"/>
      <c r="K159" s="511"/>
      <c r="L159" s="528"/>
      <c r="M159" s="528"/>
      <c r="N159" s="528"/>
      <c r="O159" s="528"/>
      <c r="P159" s="528"/>
      <c r="Q159" s="434"/>
      <c r="R159" s="434"/>
      <c r="S159" s="434"/>
      <c r="T159" s="434"/>
      <c r="U159" s="434"/>
      <c r="V159" s="434"/>
      <c r="W159" s="434"/>
      <c r="X159" s="434"/>
      <c r="Y159" s="434"/>
      <c r="Z159" s="434"/>
      <c r="AA159" s="434"/>
      <c r="AB159" s="434"/>
      <c r="AC159" s="434"/>
      <c r="AD159" s="434"/>
    </row>
    <row r="160">
      <c r="A160" s="434"/>
      <c r="B160" s="528"/>
      <c r="C160" s="528"/>
      <c r="D160" s="528"/>
      <c r="E160" s="528"/>
      <c r="F160" s="528"/>
      <c r="G160" s="511"/>
      <c r="H160" s="511"/>
      <c r="I160" s="511"/>
      <c r="J160" s="511"/>
      <c r="K160" s="511"/>
      <c r="L160" s="528"/>
      <c r="M160" s="528"/>
      <c r="N160" s="528"/>
      <c r="O160" s="528"/>
      <c r="P160" s="528"/>
      <c r="Q160" s="434"/>
      <c r="R160" s="434"/>
      <c r="S160" s="434"/>
      <c r="T160" s="434"/>
      <c r="U160" s="434"/>
      <c r="V160" s="434"/>
      <c r="W160" s="434"/>
      <c r="X160" s="434"/>
      <c r="Y160" s="434"/>
      <c r="Z160" s="434"/>
      <c r="AA160" s="434"/>
      <c r="AB160" s="434"/>
      <c r="AC160" s="434"/>
      <c r="AD160" s="434"/>
    </row>
    <row r="161">
      <c r="A161" s="434"/>
      <c r="B161" s="528"/>
      <c r="C161" s="528"/>
      <c r="D161" s="528"/>
      <c r="E161" s="528"/>
      <c r="F161" s="528"/>
      <c r="G161" s="511"/>
      <c r="H161" s="511"/>
      <c r="I161" s="511"/>
      <c r="J161" s="511"/>
      <c r="K161" s="511"/>
      <c r="L161" s="528"/>
      <c r="M161" s="528"/>
      <c r="N161" s="528"/>
      <c r="O161" s="528"/>
      <c r="P161" s="528"/>
      <c r="Q161" s="434"/>
      <c r="R161" s="434"/>
      <c r="S161" s="434"/>
      <c r="T161" s="434"/>
      <c r="U161" s="434"/>
      <c r="V161" s="434"/>
      <c r="W161" s="434"/>
      <c r="X161" s="434"/>
      <c r="Y161" s="434"/>
      <c r="Z161" s="434"/>
      <c r="AA161" s="434"/>
      <c r="AB161" s="434"/>
      <c r="AC161" s="434"/>
      <c r="AD161" s="434"/>
    </row>
    <row r="162">
      <c r="A162" s="434"/>
      <c r="B162" s="528"/>
      <c r="C162" s="528"/>
      <c r="D162" s="528"/>
      <c r="E162" s="528"/>
      <c r="F162" s="528"/>
      <c r="G162" s="511"/>
      <c r="H162" s="511"/>
      <c r="I162" s="511"/>
      <c r="J162" s="511"/>
      <c r="K162" s="511"/>
      <c r="L162" s="528"/>
      <c r="M162" s="528"/>
      <c r="N162" s="528"/>
      <c r="O162" s="528"/>
      <c r="P162" s="528"/>
      <c r="Q162" s="434"/>
      <c r="R162" s="434"/>
      <c r="S162" s="434"/>
      <c r="T162" s="434"/>
      <c r="U162" s="434"/>
      <c r="V162" s="434"/>
      <c r="W162" s="434"/>
      <c r="X162" s="434"/>
      <c r="Y162" s="434"/>
      <c r="Z162" s="434"/>
      <c r="AA162" s="434"/>
      <c r="AB162" s="434"/>
      <c r="AC162" s="434"/>
      <c r="AD162" s="434"/>
    </row>
    <row r="163">
      <c r="A163" s="434"/>
      <c r="B163" s="528"/>
      <c r="C163" s="528"/>
      <c r="D163" s="528"/>
      <c r="E163" s="528"/>
      <c r="F163" s="528"/>
      <c r="G163" s="511"/>
      <c r="H163" s="511"/>
      <c r="I163" s="511"/>
      <c r="J163" s="511"/>
      <c r="K163" s="511"/>
      <c r="L163" s="528"/>
      <c r="M163" s="528"/>
      <c r="N163" s="528"/>
      <c r="O163" s="528"/>
      <c r="P163" s="528"/>
      <c r="Q163" s="434"/>
      <c r="R163" s="434"/>
      <c r="S163" s="434"/>
      <c r="T163" s="434"/>
      <c r="U163" s="434"/>
      <c r="V163" s="434"/>
      <c r="W163" s="434"/>
      <c r="X163" s="434"/>
      <c r="Y163" s="434"/>
      <c r="Z163" s="434"/>
      <c r="AA163" s="434"/>
      <c r="AB163" s="434"/>
      <c r="AC163" s="434"/>
      <c r="AD163" s="434"/>
    </row>
    <row r="164">
      <c r="A164" s="434"/>
      <c r="B164" s="528"/>
      <c r="C164" s="528"/>
      <c r="D164" s="528"/>
      <c r="E164" s="528"/>
      <c r="F164" s="528"/>
      <c r="G164" s="511"/>
      <c r="H164" s="511"/>
      <c r="I164" s="511"/>
      <c r="J164" s="511"/>
      <c r="K164" s="511"/>
      <c r="L164" s="528"/>
      <c r="M164" s="528"/>
      <c r="N164" s="528"/>
      <c r="O164" s="528"/>
      <c r="P164" s="528"/>
      <c r="Q164" s="434"/>
      <c r="R164" s="434"/>
      <c r="S164" s="434"/>
      <c r="T164" s="434"/>
      <c r="U164" s="434"/>
      <c r="V164" s="434"/>
      <c r="W164" s="434"/>
      <c r="X164" s="434"/>
      <c r="Y164" s="434"/>
      <c r="Z164" s="434"/>
      <c r="AA164" s="434"/>
      <c r="AB164" s="434"/>
      <c r="AC164" s="434"/>
      <c r="AD164" s="434"/>
    </row>
    <row r="165">
      <c r="A165" s="434"/>
      <c r="B165" s="528"/>
      <c r="C165" s="528"/>
      <c r="D165" s="528"/>
      <c r="E165" s="528"/>
      <c r="F165" s="528"/>
      <c r="G165" s="511"/>
      <c r="H165" s="511"/>
      <c r="I165" s="511"/>
      <c r="J165" s="511"/>
      <c r="K165" s="511"/>
      <c r="L165" s="528"/>
      <c r="M165" s="528"/>
      <c r="N165" s="528"/>
      <c r="O165" s="528"/>
      <c r="P165" s="528"/>
      <c r="Q165" s="434"/>
      <c r="R165" s="434"/>
      <c r="S165" s="434"/>
      <c r="T165" s="434"/>
      <c r="U165" s="434"/>
      <c r="V165" s="434"/>
      <c r="W165" s="434"/>
      <c r="X165" s="434"/>
      <c r="Y165" s="434"/>
      <c r="Z165" s="434"/>
      <c r="AA165" s="434"/>
      <c r="AB165" s="434"/>
      <c r="AC165" s="434"/>
      <c r="AD165" s="434"/>
    </row>
    <row r="166">
      <c r="A166" s="434"/>
      <c r="B166" s="528"/>
      <c r="C166" s="528"/>
      <c r="D166" s="528"/>
      <c r="E166" s="528"/>
      <c r="F166" s="528"/>
      <c r="G166" s="511"/>
      <c r="H166" s="511"/>
      <c r="I166" s="511"/>
      <c r="J166" s="511"/>
      <c r="K166" s="511"/>
      <c r="L166" s="528"/>
      <c r="M166" s="528"/>
      <c r="N166" s="528"/>
      <c r="O166" s="528"/>
      <c r="P166" s="528"/>
      <c r="Q166" s="434"/>
      <c r="R166" s="434"/>
      <c r="S166" s="434"/>
      <c r="T166" s="434"/>
      <c r="U166" s="434"/>
      <c r="V166" s="434"/>
      <c r="W166" s="434"/>
      <c r="X166" s="434"/>
      <c r="Y166" s="434"/>
      <c r="Z166" s="434"/>
      <c r="AA166" s="434"/>
      <c r="AB166" s="434"/>
      <c r="AC166" s="434"/>
      <c r="AD166" s="434"/>
    </row>
    <row r="167">
      <c r="A167" s="434"/>
      <c r="B167" s="528"/>
      <c r="C167" s="528"/>
      <c r="D167" s="528"/>
      <c r="E167" s="528"/>
      <c r="F167" s="528"/>
      <c r="G167" s="511"/>
      <c r="H167" s="511"/>
      <c r="I167" s="511"/>
      <c r="J167" s="511"/>
      <c r="K167" s="511"/>
      <c r="L167" s="528"/>
      <c r="M167" s="528"/>
      <c r="N167" s="528"/>
      <c r="O167" s="528"/>
      <c r="P167" s="528"/>
      <c r="Q167" s="434"/>
      <c r="R167" s="434"/>
      <c r="S167" s="434"/>
      <c r="T167" s="434"/>
      <c r="U167" s="434"/>
      <c r="V167" s="434"/>
      <c r="W167" s="434"/>
      <c r="X167" s="434"/>
      <c r="Y167" s="434"/>
      <c r="Z167" s="434"/>
      <c r="AA167" s="434"/>
      <c r="AB167" s="434"/>
      <c r="AC167" s="434"/>
      <c r="AD167" s="434"/>
    </row>
    <row r="168">
      <c r="A168" s="434"/>
      <c r="B168" s="528"/>
      <c r="C168" s="528"/>
      <c r="D168" s="528"/>
      <c r="E168" s="528"/>
      <c r="F168" s="528"/>
      <c r="G168" s="511"/>
      <c r="H168" s="511"/>
      <c r="I168" s="511"/>
      <c r="J168" s="511"/>
      <c r="K168" s="511"/>
      <c r="L168" s="528"/>
      <c r="M168" s="528"/>
      <c r="N168" s="528"/>
      <c r="O168" s="528"/>
      <c r="P168" s="528"/>
      <c r="Q168" s="434"/>
      <c r="R168" s="434"/>
      <c r="S168" s="434"/>
      <c r="T168" s="434"/>
      <c r="U168" s="434"/>
      <c r="V168" s="434"/>
      <c r="W168" s="434"/>
      <c r="X168" s="434"/>
      <c r="Y168" s="434"/>
      <c r="Z168" s="434"/>
      <c r="AA168" s="434"/>
      <c r="AB168" s="434"/>
      <c r="AC168" s="434"/>
      <c r="AD168" s="434"/>
    </row>
    <row r="169">
      <c r="A169" s="434"/>
      <c r="B169" s="528"/>
      <c r="C169" s="528"/>
      <c r="D169" s="528"/>
      <c r="E169" s="528"/>
      <c r="F169" s="528"/>
      <c r="G169" s="511"/>
      <c r="H169" s="511"/>
      <c r="I169" s="511"/>
      <c r="J169" s="511"/>
      <c r="K169" s="511"/>
      <c r="L169" s="528"/>
      <c r="M169" s="528"/>
      <c r="N169" s="528"/>
      <c r="O169" s="528"/>
      <c r="P169" s="528"/>
      <c r="Q169" s="434"/>
      <c r="R169" s="434"/>
      <c r="S169" s="434"/>
      <c r="T169" s="434"/>
      <c r="U169" s="434"/>
      <c r="V169" s="434"/>
      <c r="W169" s="434"/>
      <c r="X169" s="434"/>
      <c r="Y169" s="434"/>
      <c r="Z169" s="434"/>
      <c r="AA169" s="434"/>
      <c r="AB169" s="434"/>
      <c r="AC169" s="434"/>
      <c r="AD169" s="434"/>
    </row>
    <row r="170">
      <c r="A170" s="434"/>
      <c r="B170" s="528"/>
      <c r="C170" s="528"/>
      <c r="D170" s="528"/>
      <c r="E170" s="528"/>
      <c r="F170" s="528"/>
      <c r="G170" s="511"/>
      <c r="H170" s="511"/>
      <c r="I170" s="511"/>
      <c r="J170" s="511"/>
      <c r="K170" s="511"/>
      <c r="L170" s="528"/>
      <c r="M170" s="528"/>
      <c r="N170" s="528"/>
      <c r="O170" s="528"/>
      <c r="P170" s="528"/>
      <c r="Q170" s="434"/>
      <c r="R170" s="434"/>
      <c r="S170" s="434"/>
      <c r="T170" s="434"/>
      <c r="U170" s="434"/>
      <c r="V170" s="434"/>
      <c r="W170" s="434"/>
      <c r="X170" s="434"/>
      <c r="Y170" s="434"/>
      <c r="Z170" s="434"/>
      <c r="AA170" s="434"/>
      <c r="AB170" s="434"/>
      <c r="AC170" s="434"/>
      <c r="AD170" s="434"/>
    </row>
    <row r="171">
      <c r="A171" s="434"/>
      <c r="B171" s="528"/>
      <c r="C171" s="528"/>
      <c r="D171" s="528"/>
      <c r="E171" s="528"/>
      <c r="F171" s="528"/>
      <c r="G171" s="511"/>
      <c r="H171" s="511"/>
      <c r="I171" s="511"/>
      <c r="J171" s="511"/>
      <c r="K171" s="511"/>
      <c r="L171" s="528"/>
      <c r="M171" s="528"/>
      <c r="N171" s="528"/>
      <c r="O171" s="528"/>
      <c r="P171" s="528"/>
      <c r="Q171" s="434"/>
      <c r="R171" s="434"/>
      <c r="S171" s="434"/>
      <c r="T171" s="434"/>
      <c r="U171" s="434"/>
      <c r="V171" s="434"/>
      <c r="W171" s="434"/>
      <c r="X171" s="434"/>
      <c r="Y171" s="434"/>
      <c r="Z171" s="434"/>
      <c r="AA171" s="434"/>
      <c r="AB171" s="434"/>
      <c r="AC171" s="434"/>
      <c r="AD171" s="434"/>
    </row>
    <row r="172">
      <c r="A172" s="434"/>
      <c r="B172" s="528"/>
      <c r="C172" s="528"/>
      <c r="D172" s="528"/>
      <c r="E172" s="528"/>
      <c r="F172" s="528"/>
      <c r="G172" s="511"/>
      <c r="H172" s="511"/>
      <c r="I172" s="511"/>
      <c r="J172" s="511"/>
      <c r="K172" s="511"/>
      <c r="L172" s="528"/>
      <c r="M172" s="528"/>
      <c r="N172" s="528"/>
      <c r="O172" s="528"/>
      <c r="P172" s="528"/>
      <c r="Q172" s="434"/>
      <c r="R172" s="434"/>
      <c r="S172" s="434"/>
      <c r="T172" s="434"/>
      <c r="U172" s="434"/>
      <c r="V172" s="434"/>
      <c r="W172" s="434"/>
      <c r="X172" s="434"/>
      <c r="Y172" s="434"/>
      <c r="Z172" s="434"/>
      <c r="AA172" s="434"/>
      <c r="AB172" s="434"/>
      <c r="AC172" s="434"/>
      <c r="AD172" s="434"/>
    </row>
    <row r="173">
      <c r="A173" s="434"/>
      <c r="B173" s="528"/>
      <c r="C173" s="528"/>
      <c r="D173" s="528"/>
      <c r="E173" s="528"/>
      <c r="F173" s="528"/>
      <c r="G173" s="511"/>
      <c r="H173" s="511"/>
      <c r="I173" s="511"/>
      <c r="J173" s="511"/>
      <c r="K173" s="511"/>
      <c r="L173" s="528"/>
      <c r="M173" s="528"/>
      <c r="N173" s="528"/>
      <c r="O173" s="528"/>
      <c r="P173" s="528"/>
      <c r="Q173" s="434"/>
      <c r="R173" s="434"/>
      <c r="S173" s="434"/>
      <c r="T173" s="434"/>
      <c r="U173" s="434"/>
      <c r="V173" s="434"/>
      <c r="W173" s="434"/>
      <c r="X173" s="434"/>
      <c r="Y173" s="434"/>
      <c r="Z173" s="434"/>
      <c r="AA173" s="434"/>
      <c r="AB173" s="434"/>
      <c r="AC173" s="434"/>
      <c r="AD173" s="434"/>
    </row>
    <row r="174">
      <c r="A174" s="434"/>
      <c r="B174" s="528"/>
      <c r="C174" s="528"/>
      <c r="D174" s="528"/>
      <c r="E174" s="528"/>
      <c r="F174" s="528"/>
      <c r="G174" s="511"/>
      <c r="H174" s="511"/>
      <c r="I174" s="511"/>
      <c r="J174" s="511"/>
      <c r="K174" s="511"/>
      <c r="L174" s="528"/>
      <c r="M174" s="528"/>
      <c r="N174" s="528"/>
      <c r="O174" s="528"/>
      <c r="P174" s="528"/>
      <c r="Q174" s="434"/>
      <c r="R174" s="434"/>
      <c r="S174" s="434"/>
      <c r="T174" s="434"/>
      <c r="U174" s="434"/>
      <c r="V174" s="434"/>
      <c r="W174" s="434"/>
      <c r="X174" s="434"/>
      <c r="Y174" s="434"/>
      <c r="Z174" s="434"/>
      <c r="AA174" s="434"/>
      <c r="AB174" s="434"/>
      <c r="AC174" s="434"/>
      <c r="AD174" s="434"/>
    </row>
    <row r="175">
      <c r="A175" s="434"/>
      <c r="B175" s="528"/>
      <c r="C175" s="528"/>
      <c r="D175" s="528"/>
      <c r="E175" s="528"/>
      <c r="F175" s="528"/>
      <c r="G175" s="511"/>
      <c r="H175" s="511"/>
      <c r="I175" s="511"/>
      <c r="J175" s="511"/>
      <c r="K175" s="511"/>
      <c r="L175" s="528"/>
      <c r="M175" s="528"/>
      <c r="N175" s="528"/>
      <c r="O175" s="528"/>
      <c r="P175" s="528"/>
      <c r="Q175" s="434"/>
      <c r="R175" s="434"/>
      <c r="S175" s="434"/>
      <c r="T175" s="434"/>
      <c r="U175" s="434"/>
      <c r="V175" s="434"/>
      <c r="W175" s="434"/>
      <c r="X175" s="434"/>
      <c r="Y175" s="434"/>
      <c r="Z175" s="434"/>
      <c r="AA175" s="434"/>
      <c r="AB175" s="434"/>
      <c r="AC175" s="434"/>
      <c r="AD175" s="434"/>
    </row>
    <row r="176">
      <c r="A176" s="434"/>
      <c r="B176" s="528"/>
      <c r="C176" s="528"/>
      <c r="D176" s="528"/>
      <c r="E176" s="528"/>
      <c r="F176" s="528"/>
      <c r="G176" s="511"/>
      <c r="H176" s="511"/>
      <c r="I176" s="511"/>
      <c r="J176" s="511"/>
      <c r="K176" s="511"/>
      <c r="L176" s="528"/>
      <c r="M176" s="528"/>
      <c r="N176" s="528"/>
      <c r="O176" s="528"/>
      <c r="P176" s="528"/>
      <c r="Q176" s="434"/>
      <c r="R176" s="434"/>
      <c r="S176" s="434"/>
      <c r="T176" s="434"/>
      <c r="U176" s="434"/>
      <c r="V176" s="434"/>
      <c r="W176" s="434"/>
      <c r="X176" s="434"/>
      <c r="Y176" s="434"/>
      <c r="Z176" s="434"/>
      <c r="AA176" s="434"/>
      <c r="AB176" s="434"/>
      <c r="AC176" s="434"/>
      <c r="AD176" s="434"/>
    </row>
    <row r="177">
      <c r="A177" s="434"/>
      <c r="B177" s="528"/>
      <c r="C177" s="528"/>
      <c r="D177" s="528"/>
      <c r="E177" s="528"/>
      <c r="F177" s="528"/>
      <c r="G177" s="511"/>
      <c r="H177" s="511"/>
      <c r="I177" s="511"/>
      <c r="J177" s="511"/>
      <c r="K177" s="511"/>
      <c r="L177" s="528"/>
      <c r="M177" s="528"/>
      <c r="N177" s="528"/>
      <c r="O177" s="528"/>
      <c r="P177" s="528"/>
      <c r="Q177" s="434"/>
      <c r="R177" s="434"/>
      <c r="S177" s="434"/>
      <c r="T177" s="434"/>
      <c r="U177" s="434"/>
      <c r="V177" s="434"/>
      <c r="W177" s="434"/>
      <c r="X177" s="434"/>
      <c r="Y177" s="434"/>
      <c r="Z177" s="434"/>
      <c r="AA177" s="434"/>
      <c r="AB177" s="434"/>
      <c r="AC177" s="434"/>
      <c r="AD177" s="434"/>
    </row>
    <row r="178">
      <c r="A178" s="434"/>
      <c r="B178" s="528"/>
      <c r="C178" s="528"/>
      <c r="D178" s="528"/>
      <c r="E178" s="528"/>
      <c r="F178" s="528"/>
      <c r="G178" s="511"/>
      <c r="H178" s="511"/>
      <c r="I178" s="511"/>
      <c r="J178" s="511"/>
      <c r="K178" s="511"/>
      <c r="L178" s="528"/>
      <c r="M178" s="528"/>
      <c r="N178" s="528"/>
      <c r="O178" s="528"/>
      <c r="P178" s="528"/>
      <c r="Q178" s="434"/>
      <c r="R178" s="434"/>
      <c r="S178" s="434"/>
      <c r="T178" s="434"/>
      <c r="U178" s="434"/>
      <c r="V178" s="434"/>
      <c r="W178" s="434"/>
      <c r="X178" s="434"/>
      <c r="Y178" s="434"/>
      <c r="Z178" s="434"/>
      <c r="AA178" s="434"/>
      <c r="AB178" s="434"/>
      <c r="AC178" s="434"/>
      <c r="AD178" s="434"/>
    </row>
    <row r="179">
      <c r="A179" s="434"/>
      <c r="B179" s="528"/>
      <c r="C179" s="528"/>
      <c r="D179" s="528"/>
      <c r="E179" s="528"/>
      <c r="F179" s="528"/>
      <c r="G179" s="511"/>
      <c r="H179" s="511"/>
      <c r="I179" s="511"/>
      <c r="J179" s="511"/>
      <c r="K179" s="511"/>
      <c r="L179" s="528"/>
      <c r="M179" s="528"/>
      <c r="N179" s="528"/>
      <c r="O179" s="528"/>
      <c r="P179" s="528"/>
      <c r="Q179" s="434"/>
      <c r="R179" s="434"/>
      <c r="S179" s="434"/>
      <c r="T179" s="434"/>
      <c r="U179" s="434"/>
      <c r="V179" s="434"/>
      <c r="W179" s="434"/>
      <c r="X179" s="434"/>
      <c r="Y179" s="434"/>
      <c r="Z179" s="434"/>
      <c r="AA179" s="434"/>
      <c r="AB179" s="434"/>
      <c r="AC179" s="434"/>
      <c r="AD179" s="434"/>
    </row>
    <row r="180">
      <c r="A180" s="434"/>
      <c r="B180" s="528"/>
      <c r="C180" s="528"/>
      <c r="D180" s="528"/>
      <c r="E180" s="528"/>
      <c r="F180" s="528"/>
      <c r="G180" s="511"/>
      <c r="H180" s="511"/>
      <c r="I180" s="511"/>
      <c r="J180" s="511"/>
      <c r="K180" s="511"/>
      <c r="L180" s="528"/>
      <c r="M180" s="528"/>
      <c r="N180" s="528"/>
      <c r="O180" s="528"/>
      <c r="P180" s="528"/>
      <c r="Q180" s="434"/>
      <c r="R180" s="434"/>
      <c r="S180" s="434"/>
      <c r="T180" s="434"/>
      <c r="U180" s="434"/>
      <c r="V180" s="434"/>
      <c r="W180" s="434"/>
      <c r="X180" s="434"/>
      <c r="Y180" s="434"/>
      <c r="Z180" s="434"/>
      <c r="AA180" s="434"/>
      <c r="AB180" s="434"/>
      <c r="AC180" s="434"/>
      <c r="AD180" s="434"/>
    </row>
    <row r="181">
      <c r="A181" s="434"/>
      <c r="B181" s="528"/>
      <c r="C181" s="528"/>
      <c r="D181" s="528"/>
      <c r="E181" s="528"/>
      <c r="F181" s="528"/>
      <c r="G181" s="511"/>
      <c r="H181" s="511"/>
      <c r="I181" s="511"/>
      <c r="J181" s="511"/>
      <c r="K181" s="511"/>
      <c r="L181" s="528"/>
      <c r="M181" s="528"/>
      <c r="N181" s="528"/>
      <c r="O181" s="528"/>
      <c r="P181" s="528"/>
      <c r="Q181" s="434"/>
      <c r="R181" s="434"/>
      <c r="S181" s="434"/>
      <c r="T181" s="434"/>
      <c r="U181" s="434"/>
      <c r="V181" s="434"/>
      <c r="W181" s="434"/>
      <c r="X181" s="434"/>
      <c r="Y181" s="434"/>
      <c r="Z181" s="434"/>
      <c r="AA181" s="434"/>
      <c r="AB181" s="434"/>
      <c r="AC181" s="434"/>
      <c r="AD181" s="434"/>
    </row>
    <row r="182">
      <c r="A182" s="434"/>
      <c r="B182" s="528"/>
      <c r="C182" s="528"/>
      <c r="D182" s="528"/>
      <c r="E182" s="528"/>
      <c r="F182" s="528"/>
      <c r="G182" s="511"/>
      <c r="H182" s="511"/>
      <c r="I182" s="511"/>
      <c r="J182" s="511"/>
      <c r="K182" s="511"/>
      <c r="L182" s="528"/>
      <c r="M182" s="528"/>
      <c r="N182" s="528"/>
      <c r="O182" s="528"/>
      <c r="P182" s="528"/>
      <c r="Q182" s="434"/>
      <c r="R182" s="434"/>
      <c r="S182" s="434"/>
      <c r="T182" s="434"/>
      <c r="U182" s="434"/>
      <c r="V182" s="434"/>
      <c r="W182" s="434"/>
      <c r="X182" s="434"/>
      <c r="Y182" s="434"/>
      <c r="Z182" s="434"/>
      <c r="AA182" s="434"/>
      <c r="AB182" s="434"/>
      <c r="AC182" s="434"/>
      <c r="AD182" s="434"/>
    </row>
    <row r="183">
      <c r="A183" s="434"/>
      <c r="B183" s="528"/>
      <c r="C183" s="528"/>
      <c r="D183" s="528"/>
      <c r="E183" s="528"/>
      <c r="F183" s="528"/>
      <c r="G183" s="511"/>
      <c r="H183" s="511"/>
      <c r="I183" s="511"/>
      <c r="J183" s="511"/>
      <c r="K183" s="511"/>
      <c r="L183" s="528"/>
      <c r="M183" s="528"/>
      <c r="N183" s="528"/>
      <c r="O183" s="528"/>
      <c r="P183" s="528"/>
      <c r="Q183" s="434"/>
      <c r="R183" s="434"/>
      <c r="S183" s="434"/>
      <c r="T183" s="434"/>
      <c r="U183" s="434"/>
      <c r="V183" s="434"/>
      <c r="W183" s="434"/>
      <c r="X183" s="434"/>
      <c r="Y183" s="434"/>
      <c r="Z183" s="434"/>
      <c r="AA183" s="434"/>
      <c r="AB183" s="434"/>
      <c r="AC183" s="434"/>
      <c r="AD183" s="434"/>
    </row>
    <row r="184">
      <c r="A184" s="434"/>
      <c r="B184" s="528"/>
      <c r="C184" s="528"/>
      <c r="D184" s="528"/>
      <c r="E184" s="528"/>
      <c r="F184" s="528"/>
      <c r="G184" s="511"/>
      <c r="H184" s="511"/>
      <c r="I184" s="511"/>
      <c r="J184" s="511"/>
      <c r="K184" s="511"/>
      <c r="L184" s="528"/>
      <c r="M184" s="528"/>
      <c r="N184" s="528"/>
      <c r="O184" s="528"/>
      <c r="P184" s="528"/>
      <c r="Q184" s="434"/>
      <c r="R184" s="434"/>
      <c r="S184" s="434"/>
      <c r="T184" s="434"/>
      <c r="U184" s="434"/>
      <c r="V184" s="434"/>
      <c r="W184" s="434"/>
      <c r="X184" s="434"/>
      <c r="Y184" s="434"/>
      <c r="Z184" s="434"/>
      <c r="AA184" s="434"/>
      <c r="AB184" s="434"/>
      <c r="AC184" s="434"/>
      <c r="AD184" s="434"/>
    </row>
    <row r="185">
      <c r="A185" s="434"/>
      <c r="B185" s="528"/>
      <c r="C185" s="528"/>
      <c r="D185" s="528"/>
      <c r="E185" s="528"/>
      <c r="F185" s="528"/>
      <c r="G185" s="511"/>
      <c r="H185" s="511"/>
      <c r="I185" s="511"/>
      <c r="J185" s="511"/>
      <c r="K185" s="511"/>
      <c r="L185" s="528"/>
      <c r="M185" s="528"/>
      <c r="N185" s="528"/>
      <c r="O185" s="528"/>
      <c r="P185" s="528"/>
      <c r="Q185" s="434"/>
      <c r="R185" s="434"/>
      <c r="S185" s="434"/>
      <c r="T185" s="434"/>
      <c r="U185" s="434"/>
      <c r="V185" s="434"/>
      <c r="W185" s="434"/>
      <c r="X185" s="434"/>
      <c r="Y185" s="434"/>
      <c r="Z185" s="434"/>
      <c r="AA185" s="434"/>
      <c r="AB185" s="434"/>
      <c r="AC185" s="434"/>
      <c r="AD185" s="434"/>
    </row>
    <row r="186">
      <c r="A186" s="434"/>
      <c r="B186" s="528"/>
      <c r="C186" s="528"/>
      <c r="D186" s="528"/>
      <c r="E186" s="528"/>
      <c r="F186" s="528"/>
      <c r="G186" s="511"/>
      <c r="H186" s="511"/>
      <c r="I186" s="511"/>
      <c r="J186" s="511"/>
      <c r="K186" s="511"/>
      <c r="L186" s="528"/>
      <c r="M186" s="528"/>
      <c r="N186" s="528"/>
      <c r="O186" s="528"/>
      <c r="P186" s="528"/>
      <c r="Q186" s="434"/>
      <c r="R186" s="434"/>
      <c r="S186" s="434"/>
      <c r="T186" s="434"/>
      <c r="U186" s="434"/>
      <c r="V186" s="434"/>
      <c r="W186" s="434"/>
      <c r="X186" s="434"/>
      <c r="Y186" s="434"/>
      <c r="Z186" s="434"/>
      <c r="AA186" s="434"/>
      <c r="AB186" s="434"/>
      <c r="AC186" s="434"/>
      <c r="AD186" s="434"/>
    </row>
    <row r="187">
      <c r="A187" s="434"/>
      <c r="B187" s="528"/>
      <c r="C187" s="528"/>
      <c r="D187" s="528"/>
      <c r="E187" s="528"/>
      <c r="F187" s="528"/>
      <c r="G187" s="511"/>
      <c r="H187" s="511"/>
      <c r="I187" s="511"/>
      <c r="J187" s="511"/>
      <c r="K187" s="511"/>
      <c r="L187" s="528"/>
      <c r="M187" s="528"/>
      <c r="N187" s="528"/>
      <c r="O187" s="528"/>
      <c r="P187" s="528"/>
      <c r="Q187" s="434"/>
      <c r="R187" s="434"/>
      <c r="S187" s="434"/>
      <c r="T187" s="434"/>
      <c r="U187" s="434"/>
      <c r="V187" s="434"/>
      <c r="W187" s="434"/>
      <c r="X187" s="434"/>
      <c r="Y187" s="434"/>
      <c r="Z187" s="434"/>
      <c r="AA187" s="434"/>
      <c r="AB187" s="434"/>
      <c r="AC187" s="434"/>
      <c r="AD187" s="434"/>
    </row>
    <row r="188">
      <c r="A188" s="434"/>
      <c r="B188" s="528"/>
      <c r="C188" s="528"/>
      <c r="D188" s="528"/>
      <c r="E188" s="528"/>
      <c r="F188" s="528"/>
      <c r="G188" s="511"/>
      <c r="H188" s="511"/>
      <c r="I188" s="511"/>
      <c r="J188" s="511"/>
      <c r="K188" s="511"/>
      <c r="L188" s="528"/>
      <c r="M188" s="528"/>
      <c r="N188" s="528"/>
      <c r="O188" s="528"/>
      <c r="P188" s="528"/>
      <c r="Q188" s="434"/>
      <c r="R188" s="434"/>
      <c r="S188" s="434"/>
      <c r="T188" s="434"/>
      <c r="U188" s="434"/>
      <c r="V188" s="434"/>
      <c r="W188" s="434"/>
      <c r="X188" s="434"/>
      <c r="Y188" s="434"/>
      <c r="Z188" s="434"/>
      <c r="AA188" s="434"/>
      <c r="AB188" s="434"/>
      <c r="AC188" s="434"/>
      <c r="AD188" s="434"/>
    </row>
    <row r="189">
      <c r="A189" s="434"/>
      <c r="B189" s="528"/>
      <c r="C189" s="528"/>
      <c r="D189" s="528"/>
      <c r="E189" s="528"/>
      <c r="F189" s="528"/>
      <c r="G189" s="511"/>
      <c r="H189" s="511"/>
      <c r="I189" s="511"/>
      <c r="J189" s="511"/>
      <c r="K189" s="511"/>
      <c r="L189" s="528"/>
      <c r="M189" s="528"/>
      <c r="N189" s="528"/>
      <c r="O189" s="528"/>
      <c r="P189" s="528"/>
      <c r="Q189" s="434"/>
      <c r="R189" s="434"/>
      <c r="S189" s="434"/>
      <c r="T189" s="434"/>
      <c r="U189" s="434"/>
      <c r="V189" s="434"/>
      <c r="W189" s="434"/>
      <c r="X189" s="434"/>
      <c r="Y189" s="434"/>
      <c r="Z189" s="434"/>
      <c r="AA189" s="434"/>
      <c r="AB189" s="434"/>
      <c r="AC189" s="434"/>
      <c r="AD189" s="434"/>
    </row>
    <row r="190">
      <c r="A190" s="434"/>
      <c r="B190" s="528"/>
      <c r="C190" s="528"/>
      <c r="D190" s="528"/>
      <c r="E190" s="528"/>
      <c r="F190" s="528"/>
      <c r="G190" s="511"/>
      <c r="H190" s="511"/>
      <c r="I190" s="511"/>
      <c r="J190" s="511"/>
      <c r="K190" s="511"/>
      <c r="L190" s="528"/>
      <c r="M190" s="528"/>
      <c r="N190" s="528"/>
      <c r="O190" s="528"/>
      <c r="P190" s="528"/>
      <c r="Q190" s="434"/>
      <c r="R190" s="434"/>
      <c r="S190" s="434"/>
      <c r="T190" s="434"/>
      <c r="U190" s="434"/>
      <c r="V190" s="434"/>
      <c r="W190" s="434"/>
      <c r="X190" s="434"/>
      <c r="Y190" s="434"/>
      <c r="Z190" s="434"/>
      <c r="AA190" s="434"/>
      <c r="AB190" s="434"/>
      <c r="AC190" s="434"/>
      <c r="AD190" s="434"/>
    </row>
    <row r="191">
      <c r="A191" s="434"/>
      <c r="B191" s="528"/>
      <c r="C191" s="528"/>
      <c r="D191" s="528"/>
      <c r="E191" s="528"/>
      <c r="F191" s="528"/>
      <c r="G191" s="511"/>
      <c r="H191" s="511"/>
      <c r="I191" s="511"/>
      <c r="J191" s="511"/>
      <c r="K191" s="511"/>
      <c r="L191" s="528"/>
      <c r="M191" s="528"/>
      <c r="N191" s="528"/>
      <c r="O191" s="528"/>
      <c r="P191" s="528"/>
      <c r="Q191" s="434"/>
      <c r="R191" s="434"/>
      <c r="S191" s="434"/>
      <c r="T191" s="434"/>
      <c r="U191" s="434"/>
      <c r="V191" s="434"/>
      <c r="W191" s="434"/>
      <c r="X191" s="434"/>
      <c r="Y191" s="434"/>
      <c r="Z191" s="434"/>
      <c r="AA191" s="434"/>
      <c r="AB191" s="434"/>
      <c r="AC191" s="434"/>
      <c r="AD191" s="434"/>
    </row>
    <row r="192">
      <c r="A192" s="434"/>
      <c r="B192" s="528"/>
      <c r="C192" s="528"/>
      <c r="D192" s="528"/>
      <c r="E192" s="528"/>
      <c r="F192" s="528"/>
      <c r="G192" s="511"/>
      <c r="H192" s="511"/>
      <c r="I192" s="511"/>
      <c r="J192" s="511"/>
      <c r="K192" s="511"/>
      <c r="L192" s="528"/>
      <c r="M192" s="528"/>
      <c r="N192" s="528"/>
      <c r="O192" s="528"/>
      <c r="P192" s="528"/>
      <c r="Q192" s="434"/>
      <c r="R192" s="434"/>
      <c r="S192" s="434"/>
      <c r="T192" s="434"/>
      <c r="U192" s="434"/>
      <c r="V192" s="434"/>
      <c r="W192" s="434"/>
      <c r="X192" s="434"/>
      <c r="Y192" s="434"/>
      <c r="Z192" s="434"/>
      <c r="AA192" s="434"/>
      <c r="AB192" s="434"/>
      <c r="AC192" s="434"/>
      <c r="AD192" s="434"/>
    </row>
    <row r="193">
      <c r="A193" s="434"/>
      <c r="B193" s="528"/>
      <c r="C193" s="528"/>
      <c r="D193" s="528"/>
      <c r="E193" s="528"/>
      <c r="F193" s="528"/>
      <c r="G193" s="511"/>
      <c r="H193" s="511"/>
      <c r="I193" s="511"/>
      <c r="J193" s="511"/>
      <c r="K193" s="511"/>
      <c r="L193" s="528"/>
      <c r="M193" s="528"/>
      <c r="N193" s="528"/>
      <c r="O193" s="528"/>
      <c r="P193" s="528"/>
      <c r="Q193" s="434"/>
      <c r="R193" s="434"/>
      <c r="S193" s="434"/>
      <c r="T193" s="434"/>
      <c r="U193" s="434"/>
      <c r="V193" s="434"/>
      <c r="W193" s="434"/>
      <c r="X193" s="434"/>
      <c r="Y193" s="434"/>
      <c r="Z193" s="434"/>
      <c r="AA193" s="434"/>
      <c r="AB193" s="434"/>
      <c r="AC193" s="434"/>
      <c r="AD193" s="434"/>
    </row>
    <row r="194">
      <c r="A194" s="434"/>
      <c r="B194" s="528"/>
      <c r="C194" s="528"/>
      <c r="D194" s="528"/>
      <c r="E194" s="528"/>
      <c r="F194" s="528"/>
      <c r="G194" s="511"/>
      <c r="H194" s="511"/>
      <c r="I194" s="511"/>
      <c r="J194" s="511"/>
      <c r="K194" s="511"/>
      <c r="L194" s="528"/>
      <c r="M194" s="528"/>
      <c r="N194" s="528"/>
      <c r="O194" s="528"/>
      <c r="P194" s="528"/>
      <c r="Q194" s="434"/>
      <c r="R194" s="434"/>
      <c r="S194" s="434"/>
      <c r="T194" s="434"/>
      <c r="U194" s="434"/>
      <c r="V194" s="434"/>
      <c r="W194" s="434"/>
      <c r="X194" s="434"/>
      <c r="Y194" s="434"/>
      <c r="Z194" s="434"/>
      <c r="AA194" s="434"/>
      <c r="AB194" s="434"/>
      <c r="AC194" s="434"/>
      <c r="AD194" s="434"/>
    </row>
    <row r="195">
      <c r="A195" s="434"/>
      <c r="B195" s="528"/>
      <c r="C195" s="528"/>
      <c r="D195" s="528"/>
      <c r="E195" s="528"/>
      <c r="F195" s="528"/>
      <c r="G195" s="511"/>
      <c r="H195" s="511"/>
      <c r="I195" s="511"/>
      <c r="J195" s="511"/>
      <c r="K195" s="511"/>
      <c r="L195" s="528"/>
      <c r="M195" s="528"/>
      <c r="N195" s="528"/>
      <c r="O195" s="528"/>
      <c r="P195" s="528"/>
      <c r="Q195" s="434"/>
      <c r="R195" s="434"/>
      <c r="S195" s="434"/>
      <c r="T195" s="434"/>
      <c r="U195" s="434"/>
      <c r="V195" s="434"/>
      <c r="W195" s="434"/>
      <c r="X195" s="434"/>
      <c r="Y195" s="434"/>
      <c r="Z195" s="434"/>
      <c r="AA195" s="434"/>
      <c r="AB195" s="434"/>
      <c r="AC195" s="434"/>
      <c r="AD195" s="434"/>
    </row>
    <row r="196">
      <c r="A196" s="434"/>
      <c r="B196" s="528"/>
      <c r="C196" s="528"/>
      <c r="D196" s="528"/>
      <c r="E196" s="528"/>
      <c r="F196" s="528"/>
      <c r="G196" s="511"/>
      <c r="H196" s="511"/>
      <c r="I196" s="511"/>
      <c r="J196" s="511"/>
      <c r="K196" s="511"/>
      <c r="L196" s="528"/>
      <c r="M196" s="528"/>
      <c r="N196" s="528"/>
      <c r="O196" s="528"/>
      <c r="P196" s="528"/>
      <c r="Q196" s="434"/>
      <c r="R196" s="434"/>
      <c r="S196" s="434"/>
      <c r="T196" s="434"/>
      <c r="U196" s="434"/>
      <c r="V196" s="434"/>
      <c r="W196" s="434"/>
      <c r="X196" s="434"/>
      <c r="Y196" s="434"/>
      <c r="Z196" s="434"/>
      <c r="AA196" s="434"/>
      <c r="AB196" s="434"/>
      <c r="AC196" s="434"/>
      <c r="AD196" s="434"/>
    </row>
    <row r="197">
      <c r="A197" s="434"/>
      <c r="B197" s="528"/>
      <c r="C197" s="528"/>
      <c r="D197" s="528"/>
      <c r="E197" s="528"/>
      <c r="F197" s="528"/>
      <c r="G197" s="511"/>
      <c r="H197" s="511"/>
      <c r="I197" s="511"/>
      <c r="J197" s="511"/>
      <c r="K197" s="511"/>
      <c r="L197" s="528"/>
      <c r="M197" s="528"/>
      <c r="N197" s="528"/>
      <c r="O197" s="528"/>
      <c r="P197" s="528"/>
      <c r="Q197" s="434"/>
      <c r="R197" s="434"/>
      <c r="S197" s="434"/>
      <c r="T197" s="434"/>
      <c r="U197" s="434"/>
      <c r="V197" s="434"/>
      <c r="W197" s="434"/>
      <c r="X197" s="434"/>
      <c r="Y197" s="434"/>
      <c r="Z197" s="434"/>
      <c r="AA197" s="434"/>
      <c r="AB197" s="434"/>
      <c r="AC197" s="434"/>
      <c r="AD197" s="434"/>
    </row>
    <row r="198">
      <c r="A198" s="434"/>
      <c r="B198" s="528"/>
      <c r="C198" s="528"/>
      <c r="D198" s="528"/>
      <c r="E198" s="528"/>
      <c r="F198" s="528"/>
      <c r="G198" s="511"/>
      <c r="H198" s="511"/>
      <c r="I198" s="511"/>
      <c r="J198" s="511"/>
      <c r="K198" s="511"/>
      <c r="L198" s="528"/>
      <c r="M198" s="528"/>
      <c r="N198" s="528"/>
      <c r="O198" s="528"/>
      <c r="P198" s="528"/>
      <c r="Q198" s="434"/>
      <c r="R198" s="434"/>
      <c r="S198" s="434"/>
      <c r="T198" s="434"/>
      <c r="U198" s="434"/>
      <c r="V198" s="434"/>
      <c r="W198" s="434"/>
      <c r="X198" s="434"/>
      <c r="Y198" s="434"/>
      <c r="Z198" s="434"/>
      <c r="AA198" s="434"/>
      <c r="AB198" s="434"/>
      <c r="AC198" s="434"/>
      <c r="AD198" s="434"/>
    </row>
    <row r="199">
      <c r="A199" s="434"/>
      <c r="B199" s="528"/>
      <c r="C199" s="528"/>
      <c r="D199" s="528"/>
      <c r="E199" s="528"/>
      <c r="F199" s="528"/>
      <c r="G199" s="511"/>
      <c r="H199" s="511"/>
      <c r="I199" s="511"/>
      <c r="J199" s="511"/>
      <c r="K199" s="511"/>
      <c r="L199" s="528"/>
      <c r="M199" s="528"/>
      <c r="N199" s="528"/>
      <c r="O199" s="528"/>
      <c r="P199" s="528"/>
      <c r="Q199" s="434"/>
      <c r="R199" s="434"/>
      <c r="S199" s="434"/>
      <c r="T199" s="434"/>
      <c r="U199" s="434"/>
      <c r="V199" s="434"/>
      <c r="W199" s="434"/>
      <c r="X199" s="434"/>
      <c r="Y199" s="434"/>
      <c r="Z199" s="434"/>
      <c r="AA199" s="434"/>
      <c r="AB199" s="434"/>
      <c r="AC199" s="434"/>
      <c r="AD199" s="434"/>
    </row>
    <row r="200">
      <c r="A200" s="434"/>
      <c r="B200" s="528"/>
      <c r="C200" s="528"/>
      <c r="D200" s="528"/>
      <c r="E200" s="528"/>
      <c r="F200" s="528"/>
      <c r="G200" s="511"/>
      <c r="H200" s="511"/>
      <c r="I200" s="511"/>
      <c r="J200" s="511"/>
      <c r="K200" s="511"/>
      <c r="L200" s="528"/>
      <c r="M200" s="528"/>
      <c r="N200" s="528"/>
      <c r="O200" s="528"/>
      <c r="P200" s="528"/>
      <c r="Q200" s="434"/>
      <c r="R200" s="434"/>
      <c r="S200" s="434"/>
      <c r="T200" s="434"/>
      <c r="U200" s="434"/>
      <c r="V200" s="434"/>
      <c r="W200" s="434"/>
      <c r="X200" s="434"/>
      <c r="Y200" s="434"/>
      <c r="Z200" s="434"/>
      <c r="AA200" s="434"/>
      <c r="AB200" s="434"/>
      <c r="AC200" s="434"/>
      <c r="AD200" s="434"/>
    </row>
    <row r="201">
      <c r="A201" s="434"/>
      <c r="B201" s="528"/>
      <c r="C201" s="528"/>
      <c r="D201" s="528"/>
      <c r="E201" s="528"/>
      <c r="F201" s="528"/>
      <c r="G201" s="511"/>
      <c r="H201" s="511"/>
      <c r="I201" s="511"/>
      <c r="J201" s="511"/>
      <c r="K201" s="511"/>
      <c r="L201" s="528"/>
      <c r="M201" s="528"/>
      <c r="N201" s="528"/>
      <c r="O201" s="528"/>
      <c r="P201" s="528"/>
      <c r="Q201" s="434"/>
      <c r="R201" s="434"/>
      <c r="S201" s="434"/>
      <c r="T201" s="434"/>
      <c r="U201" s="434"/>
      <c r="V201" s="434"/>
      <c r="W201" s="434"/>
      <c r="X201" s="434"/>
      <c r="Y201" s="434"/>
      <c r="Z201" s="434"/>
      <c r="AA201" s="434"/>
      <c r="AB201" s="434"/>
      <c r="AC201" s="434"/>
      <c r="AD201" s="434"/>
    </row>
    <row r="202">
      <c r="A202" s="434"/>
      <c r="B202" s="528"/>
      <c r="C202" s="528"/>
      <c r="D202" s="528"/>
      <c r="E202" s="528"/>
      <c r="F202" s="528"/>
      <c r="G202" s="511"/>
      <c r="H202" s="511"/>
      <c r="I202" s="511"/>
      <c r="J202" s="511"/>
      <c r="K202" s="511"/>
      <c r="L202" s="528"/>
      <c r="M202" s="528"/>
      <c r="N202" s="528"/>
      <c r="O202" s="528"/>
      <c r="P202" s="528"/>
      <c r="Q202" s="434"/>
      <c r="R202" s="434"/>
      <c r="S202" s="434"/>
      <c r="T202" s="434"/>
      <c r="U202" s="434"/>
      <c r="V202" s="434"/>
      <c r="W202" s="434"/>
      <c r="X202" s="434"/>
      <c r="Y202" s="434"/>
      <c r="Z202" s="434"/>
      <c r="AA202" s="434"/>
      <c r="AB202" s="434"/>
      <c r="AC202" s="434"/>
      <c r="AD202" s="434"/>
    </row>
    <row r="203">
      <c r="A203" s="434"/>
      <c r="B203" s="528"/>
      <c r="C203" s="528"/>
      <c r="D203" s="528"/>
      <c r="E203" s="528"/>
      <c r="F203" s="528"/>
      <c r="G203" s="511"/>
      <c r="H203" s="511"/>
      <c r="I203" s="511"/>
      <c r="J203" s="511"/>
      <c r="K203" s="511"/>
      <c r="L203" s="528"/>
      <c r="M203" s="528"/>
      <c r="N203" s="528"/>
      <c r="O203" s="528"/>
      <c r="P203" s="528"/>
      <c r="Q203" s="434"/>
      <c r="R203" s="434"/>
      <c r="S203" s="434"/>
      <c r="T203" s="434"/>
      <c r="U203" s="434"/>
      <c r="V203" s="434"/>
      <c r="W203" s="434"/>
      <c r="X203" s="434"/>
      <c r="Y203" s="434"/>
      <c r="Z203" s="434"/>
      <c r="AA203" s="434"/>
      <c r="AB203" s="434"/>
      <c r="AC203" s="434"/>
      <c r="AD203" s="434"/>
    </row>
    <row r="204">
      <c r="A204" s="434"/>
      <c r="B204" s="528"/>
      <c r="C204" s="528"/>
      <c r="D204" s="528"/>
      <c r="E204" s="528"/>
      <c r="F204" s="528"/>
      <c r="G204" s="511"/>
      <c r="H204" s="511"/>
      <c r="I204" s="511"/>
      <c r="J204" s="511"/>
      <c r="K204" s="511"/>
      <c r="L204" s="528"/>
      <c r="M204" s="528"/>
      <c r="N204" s="528"/>
      <c r="O204" s="528"/>
      <c r="P204" s="528"/>
      <c r="Q204" s="434"/>
      <c r="R204" s="434"/>
      <c r="S204" s="434"/>
      <c r="T204" s="434"/>
      <c r="U204" s="434"/>
      <c r="V204" s="434"/>
      <c r="W204" s="434"/>
      <c r="X204" s="434"/>
      <c r="Y204" s="434"/>
      <c r="Z204" s="434"/>
      <c r="AA204" s="434"/>
      <c r="AB204" s="434"/>
      <c r="AC204" s="434"/>
      <c r="AD204" s="434"/>
    </row>
    <row r="205">
      <c r="A205" s="434"/>
      <c r="B205" s="528"/>
      <c r="C205" s="528"/>
      <c r="D205" s="528"/>
      <c r="E205" s="528"/>
      <c r="F205" s="528"/>
      <c r="G205" s="511"/>
      <c r="H205" s="511"/>
      <c r="I205" s="511"/>
      <c r="J205" s="511"/>
      <c r="K205" s="511"/>
      <c r="L205" s="528"/>
      <c r="M205" s="528"/>
      <c r="N205" s="528"/>
      <c r="O205" s="528"/>
      <c r="P205" s="528"/>
      <c r="Q205" s="434"/>
      <c r="R205" s="434"/>
      <c r="S205" s="434"/>
      <c r="T205" s="434"/>
      <c r="U205" s="434"/>
      <c r="V205" s="434"/>
      <c r="W205" s="434"/>
      <c r="X205" s="434"/>
      <c r="Y205" s="434"/>
      <c r="Z205" s="434"/>
      <c r="AA205" s="434"/>
      <c r="AB205" s="434"/>
      <c r="AC205" s="434"/>
      <c r="AD205" s="434"/>
    </row>
    <row r="206">
      <c r="A206" s="434"/>
      <c r="B206" s="528"/>
      <c r="C206" s="528"/>
      <c r="D206" s="528"/>
      <c r="E206" s="528"/>
      <c r="F206" s="528"/>
      <c r="G206" s="511"/>
      <c r="H206" s="511"/>
      <c r="I206" s="511"/>
      <c r="J206" s="511"/>
      <c r="K206" s="511"/>
      <c r="L206" s="528"/>
      <c r="M206" s="528"/>
      <c r="N206" s="528"/>
      <c r="O206" s="528"/>
      <c r="P206" s="528"/>
      <c r="Q206" s="434"/>
      <c r="R206" s="434"/>
      <c r="S206" s="434"/>
      <c r="T206" s="434"/>
      <c r="U206" s="434"/>
      <c r="V206" s="434"/>
      <c r="W206" s="434"/>
      <c r="X206" s="434"/>
      <c r="Y206" s="434"/>
      <c r="Z206" s="434"/>
      <c r="AA206" s="434"/>
      <c r="AB206" s="434"/>
      <c r="AC206" s="434"/>
      <c r="AD206" s="434"/>
    </row>
    <row r="207">
      <c r="A207" s="434"/>
      <c r="B207" s="528"/>
      <c r="C207" s="528"/>
      <c r="D207" s="528"/>
      <c r="E207" s="528"/>
      <c r="F207" s="528"/>
      <c r="G207" s="511"/>
      <c r="H207" s="511"/>
      <c r="I207" s="511"/>
      <c r="J207" s="511"/>
      <c r="K207" s="511"/>
      <c r="L207" s="528"/>
      <c r="M207" s="528"/>
      <c r="N207" s="528"/>
      <c r="O207" s="528"/>
      <c r="P207" s="528"/>
      <c r="Q207" s="434"/>
      <c r="R207" s="434"/>
      <c r="S207" s="434"/>
      <c r="T207" s="434"/>
      <c r="U207" s="434"/>
      <c r="V207" s="434"/>
      <c r="W207" s="434"/>
      <c r="X207" s="434"/>
      <c r="Y207" s="434"/>
      <c r="Z207" s="434"/>
      <c r="AA207" s="434"/>
      <c r="AB207" s="434"/>
      <c r="AC207" s="434"/>
      <c r="AD207" s="434"/>
    </row>
    <row r="208">
      <c r="A208" s="434"/>
      <c r="B208" s="528"/>
      <c r="C208" s="528"/>
      <c r="D208" s="528"/>
      <c r="E208" s="528"/>
      <c r="F208" s="528"/>
      <c r="G208" s="511"/>
      <c r="H208" s="511"/>
      <c r="I208" s="511"/>
      <c r="J208" s="511"/>
      <c r="K208" s="511"/>
      <c r="L208" s="528"/>
      <c r="M208" s="528"/>
      <c r="N208" s="528"/>
      <c r="O208" s="528"/>
      <c r="P208" s="528"/>
      <c r="Q208" s="434"/>
      <c r="R208" s="434"/>
      <c r="S208" s="434"/>
      <c r="T208" s="434"/>
      <c r="U208" s="434"/>
      <c r="V208" s="434"/>
      <c r="W208" s="434"/>
      <c r="X208" s="434"/>
      <c r="Y208" s="434"/>
      <c r="Z208" s="434"/>
      <c r="AA208" s="434"/>
      <c r="AB208" s="434"/>
      <c r="AC208" s="434"/>
      <c r="AD208" s="434"/>
    </row>
    <row r="209">
      <c r="A209" s="434"/>
      <c r="B209" s="528"/>
      <c r="C209" s="528"/>
      <c r="D209" s="528"/>
      <c r="E209" s="528"/>
      <c r="F209" s="528"/>
      <c r="G209" s="511"/>
      <c r="H209" s="511"/>
      <c r="I209" s="511"/>
      <c r="J209" s="511"/>
      <c r="K209" s="511"/>
      <c r="L209" s="528"/>
      <c r="M209" s="528"/>
      <c r="N209" s="528"/>
      <c r="O209" s="528"/>
      <c r="P209" s="528"/>
      <c r="Q209" s="434"/>
      <c r="R209" s="434"/>
      <c r="S209" s="434"/>
      <c r="T209" s="434"/>
      <c r="U209" s="434"/>
      <c r="V209" s="434"/>
      <c r="W209" s="434"/>
      <c r="X209" s="434"/>
      <c r="Y209" s="434"/>
      <c r="Z209" s="434"/>
      <c r="AA209" s="434"/>
      <c r="AB209" s="434"/>
      <c r="AC209" s="434"/>
      <c r="AD209" s="434"/>
    </row>
    <row r="210">
      <c r="A210" s="434"/>
      <c r="B210" s="528"/>
      <c r="C210" s="528"/>
      <c r="D210" s="528"/>
      <c r="E210" s="528"/>
      <c r="F210" s="528"/>
      <c r="G210" s="511"/>
      <c r="H210" s="511"/>
      <c r="I210" s="511"/>
      <c r="J210" s="511"/>
      <c r="K210" s="511"/>
      <c r="L210" s="528"/>
      <c r="M210" s="528"/>
      <c r="N210" s="528"/>
      <c r="O210" s="528"/>
      <c r="P210" s="528"/>
      <c r="Q210" s="434"/>
      <c r="R210" s="434"/>
      <c r="S210" s="434"/>
      <c r="T210" s="434"/>
      <c r="U210" s="434"/>
      <c r="V210" s="434"/>
      <c r="W210" s="434"/>
      <c r="X210" s="434"/>
      <c r="Y210" s="434"/>
      <c r="Z210" s="434"/>
      <c r="AA210" s="434"/>
      <c r="AB210" s="434"/>
      <c r="AC210" s="434"/>
      <c r="AD210" s="434"/>
    </row>
    <row r="211">
      <c r="A211" s="434"/>
      <c r="B211" s="528"/>
      <c r="C211" s="528"/>
      <c r="D211" s="528"/>
      <c r="E211" s="528"/>
      <c r="F211" s="528"/>
      <c r="G211" s="511"/>
      <c r="H211" s="511"/>
      <c r="I211" s="511"/>
      <c r="J211" s="511"/>
      <c r="K211" s="511"/>
      <c r="L211" s="528"/>
      <c r="M211" s="528"/>
      <c r="N211" s="528"/>
      <c r="O211" s="528"/>
      <c r="P211" s="528"/>
      <c r="Q211" s="434"/>
      <c r="R211" s="434"/>
      <c r="S211" s="434"/>
      <c r="T211" s="434"/>
      <c r="U211" s="434"/>
      <c r="V211" s="434"/>
      <c r="W211" s="434"/>
      <c r="X211" s="434"/>
      <c r="Y211" s="434"/>
      <c r="Z211" s="434"/>
      <c r="AA211" s="434"/>
      <c r="AB211" s="434"/>
      <c r="AC211" s="434"/>
      <c r="AD211" s="434"/>
    </row>
    <row r="212">
      <c r="A212" s="434"/>
      <c r="B212" s="528"/>
      <c r="C212" s="528"/>
      <c r="D212" s="528"/>
      <c r="E212" s="528"/>
      <c r="F212" s="528"/>
      <c r="G212" s="511"/>
      <c r="H212" s="511"/>
      <c r="I212" s="511"/>
      <c r="J212" s="511"/>
      <c r="K212" s="511"/>
      <c r="L212" s="528"/>
      <c r="M212" s="528"/>
      <c r="N212" s="528"/>
      <c r="O212" s="528"/>
      <c r="P212" s="528"/>
      <c r="Q212" s="434"/>
      <c r="R212" s="434"/>
      <c r="S212" s="434"/>
      <c r="T212" s="434"/>
      <c r="U212" s="434"/>
      <c r="V212" s="434"/>
      <c r="W212" s="434"/>
      <c r="X212" s="434"/>
      <c r="Y212" s="434"/>
      <c r="Z212" s="434"/>
      <c r="AA212" s="434"/>
      <c r="AB212" s="434"/>
      <c r="AC212" s="434"/>
      <c r="AD212" s="434"/>
    </row>
    <row r="213">
      <c r="A213" s="434"/>
      <c r="B213" s="528"/>
      <c r="C213" s="528"/>
      <c r="D213" s="528"/>
      <c r="E213" s="528"/>
      <c r="F213" s="528"/>
      <c r="G213" s="511"/>
      <c r="H213" s="511"/>
      <c r="I213" s="511"/>
      <c r="J213" s="511"/>
      <c r="K213" s="511"/>
      <c r="L213" s="528"/>
      <c r="M213" s="528"/>
      <c r="N213" s="528"/>
      <c r="O213" s="528"/>
      <c r="P213" s="528"/>
      <c r="Q213" s="434"/>
      <c r="R213" s="434"/>
      <c r="S213" s="434"/>
      <c r="T213" s="434"/>
      <c r="U213" s="434"/>
      <c r="V213" s="434"/>
      <c r="W213" s="434"/>
      <c r="X213" s="434"/>
      <c r="Y213" s="434"/>
      <c r="Z213" s="434"/>
      <c r="AA213" s="434"/>
      <c r="AB213" s="434"/>
      <c r="AC213" s="434"/>
      <c r="AD213" s="434"/>
    </row>
    <row r="214">
      <c r="A214" s="434"/>
      <c r="B214" s="528"/>
      <c r="C214" s="528"/>
      <c r="D214" s="528"/>
      <c r="E214" s="528"/>
      <c r="F214" s="528"/>
      <c r="G214" s="511"/>
      <c r="H214" s="511"/>
      <c r="I214" s="511"/>
      <c r="J214" s="511"/>
      <c r="K214" s="511"/>
      <c r="L214" s="528"/>
      <c r="M214" s="528"/>
      <c r="N214" s="528"/>
      <c r="O214" s="528"/>
      <c r="P214" s="528"/>
      <c r="Q214" s="434"/>
      <c r="R214" s="434"/>
      <c r="S214" s="434"/>
      <c r="T214" s="434"/>
      <c r="U214" s="434"/>
      <c r="V214" s="434"/>
      <c r="W214" s="434"/>
      <c r="X214" s="434"/>
      <c r="Y214" s="434"/>
      <c r="Z214" s="434"/>
      <c r="AA214" s="434"/>
      <c r="AB214" s="434"/>
      <c r="AC214" s="434"/>
      <c r="AD214" s="434"/>
    </row>
    <row r="215">
      <c r="A215" s="434"/>
      <c r="B215" s="528"/>
      <c r="C215" s="528"/>
      <c r="D215" s="528"/>
      <c r="E215" s="528"/>
      <c r="F215" s="528"/>
      <c r="G215" s="511"/>
      <c r="H215" s="511"/>
      <c r="I215" s="511"/>
      <c r="J215" s="511"/>
      <c r="K215" s="511"/>
      <c r="L215" s="528"/>
      <c r="M215" s="528"/>
      <c r="N215" s="528"/>
      <c r="O215" s="528"/>
      <c r="P215" s="528"/>
      <c r="Q215" s="434"/>
      <c r="R215" s="434"/>
      <c r="S215" s="434"/>
      <c r="T215" s="434"/>
      <c r="U215" s="434"/>
      <c r="V215" s="434"/>
      <c r="W215" s="434"/>
      <c r="X215" s="434"/>
      <c r="Y215" s="434"/>
      <c r="Z215" s="434"/>
      <c r="AA215" s="434"/>
      <c r="AB215" s="434"/>
      <c r="AC215" s="434"/>
      <c r="AD215" s="434"/>
    </row>
    <row r="216">
      <c r="A216" s="434"/>
      <c r="B216" s="528"/>
      <c r="C216" s="528"/>
      <c r="D216" s="528"/>
      <c r="E216" s="528"/>
      <c r="F216" s="528"/>
      <c r="G216" s="511"/>
      <c r="H216" s="511"/>
      <c r="I216" s="511"/>
      <c r="J216" s="511"/>
      <c r="K216" s="511"/>
      <c r="L216" s="528"/>
      <c r="M216" s="528"/>
      <c r="N216" s="528"/>
      <c r="O216" s="528"/>
      <c r="P216" s="528"/>
      <c r="Q216" s="434"/>
      <c r="R216" s="434"/>
      <c r="S216" s="434"/>
      <c r="T216" s="434"/>
      <c r="U216" s="434"/>
      <c r="V216" s="434"/>
      <c r="W216" s="434"/>
      <c r="X216" s="434"/>
      <c r="Y216" s="434"/>
      <c r="Z216" s="434"/>
      <c r="AA216" s="434"/>
      <c r="AB216" s="434"/>
      <c r="AC216" s="434"/>
      <c r="AD216" s="434"/>
    </row>
    <row r="217">
      <c r="A217" s="434"/>
      <c r="B217" s="528"/>
      <c r="C217" s="528"/>
      <c r="D217" s="528"/>
      <c r="E217" s="528"/>
      <c r="F217" s="528"/>
      <c r="G217" s="511"/>
      <c r="H217" s="511"/>
      <c r="I217" s="511"/>
      <c r="J217" s="511"/>
      <c r="K217" s="511"/>
      <c r="L217" s="528"/>
      <c r="M217" s="528"/>
      <c r="N217" s="528"/>
      <c r="O217" s="528"/>
      <c r="P217" s="528"/>
      <c r="Q217" s="434"/>
      <c r="R217" s="434"/>
      <c r="S217" s="434"/>
      <c r="T217" s="434"/>
      <c r="U217" s="434"/>
      <c r="V217" s="434"/>
      <c r="W217" s="434"/>
      <c r="X217" s="434"/>
      <c r="Y217" s="434"/>
      <c r="Z217" s="434"/>
      <c r="AA217" s="434"/>
      <c r="AB217" s="434"/>
      <c r="AC217" s="434"/>
      <c r="AD217" s="434"/>
    </row>
    <row r="218">
      <c r="A218" s="434"/>
      <c r="B218" s="528"/>
      <c r="C218" s="528"/>
      <c r="D218" s="528"/>
      <c r="E218" s="528"/>
      <c r="F218" s="528"/>
      <c r="G218" s="511"/>
      <c r="H218" s="511"/>
      <c r="I218" s="511"/>
      <c r="J218" s="511"/>
      <c r="K218" s="511"/>
      <c r="L218" s="528"/>
      <c r="M218" s="528"/>
      <c r="N218" s="528"/>
      <c r="O218" s="528"/>
      <c r="P218" s="528"/>
      <c r="Q218" s="434"/>
      <c r="R218" s="434"/>
      <c r="S218" s="434"/>
      <c r="T218" s="434"/>
      <c r="U218" s="434"/>
      <c r="V218" s="434"/>
      <c r="W218" s="434"/>
      <c r="X218" s="434"/>
      <c r="Y218" s="434"/>
      <c r="Z218" s="434"/>
      <c r="AA218" s="434"/>
      <c r="AB218" s="434"/>
      <c r="AC218" s="434"/>
      <c r="AD218" s="434"/>
    </row>
    <row r="219">
      <c r="A219" s="434"/>
      <c r="B219" s="528"/>
      <c r="C219" s="528"/>
      <c r="D219" s="528"/>
      <c r="E219" s="528"/>
      <c r="F219" s="528"/>
      <c r="G219" s="511"/>
      <c r="H219" s="511"/>
      <c r="I219" s="511"/>
      <c r="J219" s="511"/>
      <c r="K219" s="511"/>
      <c r="L219" s="528"/>
      <c r="M219" s="528"/>
      <c r="N219" s="528"/>
      <c r="O219" s="528"/>
      <c r="P219" s="528"/>
      <c r="Q219" s="434"/>
      <c r="R219" s="434"/>
      <c r="S219" s="434"/>
      <c r="T219" s="434"/>
      <c r="U219" s="434"/>
      <c r="V219" s="434"/>
      <c r="W219" s="434"/>
      <c r="X219" s="434"/>
      <c r="Y219" s="434"/>
      <c r="Z219" s="434"/>
      <c r="AA219" s="434"/>
      <c r="AB219" s="434"/>
      <c r="AC219" s="434"/>
      <c r="AD219" s="434"/>
    </row>
    <row r="220">
      <c r="A220" s="434"/>
      <c r="B220" s="528"/>
      <c r="C220" s="528"/>
      <c r="D220" s="528"/>
      <c r="E220" s="528"/>
      <c r="F220" s="528"/>
      <c r="G220" s="511"/>
      <c r="H220" s="511"/>
      <c r="I220" s="511"/>
      <c r="J220" s="511"/>
      <c r="K220" s="511"/>
      <c r="L220" s="528"/>
      <c r="M220" s="528"/>
      <c r="N220" s="528"/>
      <c r="O220" s="528"/>
      <c r="P220" s="528"/>
      <c r="Q220" s="434"/>
      <c r="R220" s="434"/>
      <c r="S220" s="434"/>
      <c r="T220" s="434"/>
      <c r="U220" s="434"/>
      <c r="V220" s="434"/>
      <c r="W220" s="434"/>
      <c r="X220" s="434"/>
      <c r="Y220" s="434"/>
      <c r="Z220" s="434"/>
      <c r="AA220" s="434"/>
      <c r="AB220" s="434"/>
      <c r="AC220" s="434"/>
      <c r="AD220" s="434"/>
    </row>
    <row r="221">
      <c r="A221" s="434"/>
      <c r="B221" s="528"/>
      <c r="C221" s="528"/>
      <c r="D221" s="528"/>
      <c r="E221" s="528"/>
      <c r="F221" s="528"/>
      <c r="G221" s="511"/>
      <c r="H221" s="511"/>
      <c r="I221" s="511"/>
      <c r="J221" s="511"/>
      <c r="K221" s="511"/>
      <c r="L221" s="528"/>
      <c r="M221" s="528"/>
      <c r="N221" s="528"/>
      <c r="O221" s="528"/>
      <c r="P221" s="528"/>
      <c r="Q221" s="434"/>
      <c r="R221" s="434"/>
      <c r="S221" s="434"/>
      <c r="T221" s="434"/>
      <c r="U221" s="434"/>
      <c r="V221" s="434"/>
      <c r="W221" s="434"/>
      <c r="X221" s="434"/>
      <c r="Y221" s="434"/>
      <c r="Z221" s="434"/>
      <c r="AA221" s="434"/>
      <c r="AB221" s="434"/>
      <c r="AC221" s="434"/>
      <c r="AD221" s="434"/>
    </row>
    <row r="222">
      <c r="A222" s="434"/>
      <c r="B222" s="528"/>
      <c r="C222" s="528"/>
      <c r="D222" s="528"/>
      <c r="E222" s="528"/>
      <c r="F222" s="528"/>
      <c r="G222" s="511"/>
      <c r="H222" s="511"/>
      <c r="I222" s="511"/>
      <c r="J222" s="511"/>
      <c r="K222" s="511"/>
      <c r="L222" s="528"/>
      <c r="M222" s="528"/>
      <c r="N222" s="528"/>
      <c r="O222" s="528"/>
      <c r="P222" s="528"/>
      <c r="Q222" s="434"/>
      <c r="R222" s="434"/>
      <c r="S222" s="434"/>
      <c r="T222" s="434"/>
      <c r="U222" s="434"/>
      <c r="V222" s="434"/>
      <c r="W222" s="434"/>
      <c r="X222" s="434"/>
      <c r="Y222" s="434"/>
      <c r="Z222" s="434"/>
      <c r="AA222" s="434"/>
      <c r="AB222" s="434"/>
      <c r="AC222" s="434"/>
      <c r="AD222" s="434"/>
    </row>
    <row r="223">
      <c r="A223" s="434"/>
      <c r="B223" s="528"/>
      <c r="C223" s="528"/>
      <c r="D223" s="528"/>
      <c r="E223" s="528"/>
      <c r="F223" s="528"/>
      <c r="G223" s="511"/>
      <c r="H223" s="511"/>
      <c r="I223" s="511"/>
      <c r="J223" s="511"/>
      <c r="K223" s="511"/>
      <c r="L223" s="528"/>
      <c r="M223" s="528"/>
      <c r="N223" s="528"/>
      <c r="O223" s="528"/>
      <c r="P223" s="528"/>
      <c r="Q223" s="434"/>
      <c r="R223" s="434"/>
      <c r="S223" s="434"/>
      <c r="T223" s="434"/>
      <c r="U223" s="434"/>
      <c r="V223" s="434"/>
      <c r="W223" s="434"/>
      <c r="X223" s="434"/>
      <c r="Y223" s="434"/>
      <c r="Z223" s="434"/>
      <c r="AA223" s="434"/>
      <c r="AB223" s="434"/>
      <c r="AC223" s="434"/>
      <c r="AD223" s="434"/>
    </row>
    <row r="224">
      <c r="A224" s="434"/>
      <c r="B224" s="528"/>
      <c r="C224" s="528"/>
      <c r="D224" s="528"/>
      <c r="E224" s="528"/>
      <c r="F224" s="528"/>
      <c r="G224" s="511"/>
      <c r="H224" s="511"/>
      <c r="I224" s="511"/>
      <c r="J224" s="511"/>
      <c r="K224" s="511"/>
      <c r="L224" s="528"/>
      <c r="M224" s="528"/>
      <c r="N224" s="528"/>
      <c r="O224" s="528"/>
      <c r="P224" s="528"/>
      <c r="Q224" s="434"/>
      <c r="R224" s="434"/>
      <c r="S224" s="434"/>
      <c r="T224" s="434"/>
      <c r="U224" s="434"/>
      <c r="V224" s="434"/>
      <c r="W224" s="434"/>
      <c r="X224" s="434"/>
      <c r="Y224" s="434"/>
      <c r="Z224" s="434"/>
      <c r="AA224" s="434"/>
      <c r="AB224" s="434"/>
      <c r="AC224" s="434"/>
      <c r="AD224" s="434"/>
    </row>
    <row r="225">
      <c r="A225" s="434"/>
      <c r="B225" s="528"/>
      <c r="C225" s="528"/>
      <c r="D225" s="528"/>
      <c r="E225" s="528"/>
      <c r="F225" s="528"/>
      <c r="G225" s="511"/>
      <c r="H225" s="511"/>
      <c r="I225" s="511"/>
      <c r="J225" s="511"/>
      <c r="K225" s="511"/>
      <c r="L225" s="528"/>
      <c r="M225" s="528"/>
      <c r="N225" s="528"/>
      <c r="O225" s="528"/>
      <c r="P225" s="528"/>
      <c r="Q225" s="434"/>
      <c r="R225" s="434"/>
      <c r="S225" s="434"/>
      <c r="T225" s="434"/>
      <c r="U225" s="434"/>
      <c r="V225" s="434"/>
      <c r="W225" s="434"/>
      <c r="X225" s="434"/>
      <c r="Y225" s="434"/>
      <c r="Z225" s="434"/>
      <c r="AA225" s="434"/>
      <c r="AB225" s="434"/>
      <c r="AC225" s="434"/>
      <c r="AD225" s="434"/>
    </row>
    <row r="226">
      <c r="A226" s="434"/>
      <c r="B226" s="528"/>
      <c r="C226" s="528"/>
      <c r="D226" s="528"/>
      <c r="E226" s="528"/>
      <c r="F226" s="528"/>
      <c r="G226" s="511"/>
      <c r="H226" s="511"/>
      <c r="I226" s="511"/>
      <c r="J226" s="511"/>
      <c r="K226" s="511"/>
      <c r="L226" s="528"/>
      <c r="M226" s="528"/>
      <c r="N226" s="528"/>
      <c r="O226" s="528"/>
      <c r="P226" s="528"/>
      <c r="Q226" s="434"/>
      <c r="R226" s="434"/>
      <c r="S226" s="434"/>
      <c r="T226" s="434"/>
      <c r="U226" s="434"/>
      <c r="V226" s="434"/>
      <c r="W226" s="434"/>
      <c r="X226" s="434"/>
      <c r="Y226" s="434"/>
      <c r="Z226" s="434"/>
      <c r="AA226" s="434"/>
      <c r="AB226" s="434"/>
      <c r="AC226" s="434"/>
      <c r="AD226" s="434"/>
    </row>
    <row r="227">
      <c r="A227" s="434"/>
      <c r="B227" s="528"/>
      <c r="C227" s="528"/>
      <c r="D227" s="528"/>
      <c r="E227" s="528"/>
      <c r="F227" s="528"/>
      <c r="G227" s="511"/>
      <c r="H227" s="511"/>
      <c r="I227" s="511"/>
      <c r="J227" s="511"/>
      <c r="K227" s="511"/>
      <c r="L227" s="528"/>
      <c r="M227" s="528"/>
      <c r="N227" s="528"/>
      <c r="O227" s="528"/>
      <c r="P227" s="528"/>
      <c r="Q227" s="434"/>
      <c r="R227" s="434"/>
      <c r="S227" s="434"/>
      <c r="T227" s="434"/>
      <c r="U227" s="434"/>
      <c r="V227" s="434"/>
      <c r="W227" s="434"/>
      <c r="X227" s="434"/>
      <c r="Y227" s="434"/>
      <c r="Z227" s="434"/>
      <c r="AA227" s="434"/>
      <c r="AB227" s="434"/>
      <c r="AC227" s="434"/>
      <c r="AD227" s="434"/>
    </row>
    <row r="228">
      <c r="A228" s="434"/>
      <c r="B228" s="528"/>
      <c r="C228" s="528"/>
      <c r="D228" s="528"/>
      <c r="E228" s="528"/>
      <c r="F228" s="528"/>
      <c r="G228" s="511"/>
      <c r="H228" s="511"/>
      <c r="I228" s="511"/>
      <c r="J228" s="511"/>
      <c r="K228" s="511"/>
      <c r="L228" s="528"/>
      <c r="M228" s="528"/>
      <c r="N228" s="528"/>
      <c r="O228" s="528"/>
      <c r="P228" s="528"/>
      <c r="Q228" s="434"/>
      <c r="R228" s="434"/>
      <c r="S228" s="434"/>
      <c r="T228" s="434"/>
      <c r="U228" s="434"/>
      <c r="V228" s="434"/>
      <c r="W228" s="434"/>
      <c r="X228" s="434"/>
      <c r="Y228" s="434"/>
      <c r="Z228" s="434"/>
      <c r="AA228" s="434"/>
      <c r="AB228" s="434"/>
      <c r="AC228" s="434"/>
      <c r="AD228" s="434"/>
    </row>
    <row r="229">
      <c r="A229" s="434"/>
      <c r="B229" s="528"/>
      <c r="C229" s="528"/>
      <c r="D229" s="528"/>
      <c r="E229" s="528"/>
      <c r="F229" s="528"/>
      <c r="G229" s="511"/>
      <c r="H229" s="511"/>
      <c r="I229" s="511"/>
      <c r="J229" s="511"/>
      <c r="K229" s="511"/>
      <c r="L229" s="528"/>
      <c r="M229" s="528"/>
      <c r="N229" s="528"/>
      <c r="O229" s="528"/>
      <c r="P229" s="528"/>
      <c r="Q229" s="434"/>
      <c r="R229" s="434"/>
      <c r="S229" s="434"/>
      <c r="T229" s="434"/>
      <c r="U229" s="434"/>
      <c r="V229" s="434"/>
      <c r="W229" s="434"/>
      <c r="X229" s="434"/>
      <c r="Y229" s="434"/>
      <c r="Z229" s="434"/>
      <c r="AA229" s="434"/>
      <c r="AB229" s="434"/>
      <c r="AC229" s="434"/>
      <c r="AD229" s="434"/>
    </row>
    <row r="230">
      <c r="A230" s="434"/>
      <c r="B230" s="528"/>
      <c r="C230" s="528"/>
      <c r="D230" s="528"/>
      <c r="E230" s="528"/>
      <c r="F230" s="528"/>
      <c r="G230" s="511"/>
      <c r="H230" s="511"/>
      <c r="I230" s="511"/>
      <c r="J230" s="511"/>
      <c r="K230" s="511"/>
      <c r="L230" s="528"/>
      <c r="M230" s="528"/>
      <c r="N230" s="528"/>
      <c r="O230" s="528"/>
      <c r="P230" s="528"/>
      <c r="Q230" s="434"/>
      <c r="R230" s="434"/>
      <c r="S230" s="434"/>
      <c r="T230" s="434"/>
      <c r="U230" s="434"/>
      <c r="V230" s="434"/>
      <c r="W230" s="434"/>
      <c r="X230" s="434"/>
      <c r="Y230" s="434"/>
      <c r="Z230" s="434"/>
      <c r="AA230" s="434"/>
      <c r="AB230" s="434"/>
      <c r="AC230" s="434"/>
      <c r="AD230" s="434"/>
    </row>
    <row r="231">
      <c r="A231" s="434"/>
      <c r="B231" s="528"/>
      <c r="C231" s="528"/>
      <c r="D231" s="528"/>
      <c r="E231" s="528"/>
      <c r="F231" s="528"/>
      <c r="G231" s="511"/>
      <c r="H231" s="511"/>
      <c r="I231" s="511"/>
      <c r="J231" s="511"/>
      <c r="K231" s="511"/>
      <c r="L231" s="528"/>
      <c r="M231" s="528"/>
      <c r="N231" s="528"/>
      <c r="O231" s="528"/>
      <c r="P231" s="528"/>
      <c r="Q231" s="434"/>
      <c r="R231" s="434"/>
      <c r="S231" s="434"/>
      <c r="T231" s="434"/>
      <c r="U231" s="434"/>
      <c r="V231" s="434"/>
      <c r="W231" s="434"/>
      <c r="X231" s="434"/>
      <c r="Y231" s="434"/>
      <c r="Z231" s="434"/>
      <c r="AA231" s="434"/>
      <c r="AB231" s="434"/>
      <c r="AC231" s="434"/>
      <c r="AD231" s="434"/>
    </row>
    <row r="232">
      <c r="A232" s="434"/>
      <c r="B232" s="528"/>
      <c r="C232" s="528"/>
      <c r="D232" s="528"/>
      <c r="E232" s="528"/>
      <c r="F232" s="528"/>
      <c r="G232" s="511"/>
      <c r="H232" s="511"/>
      <c r="I232" s="511"/>
      <c r="J232" s="511"/>
      <c r="K232" s="511"/>
      <c r="L232" s="528"/>
      <c r="M232" s="528"/>
      <c r="N232" s="528"/>
      <c r="O232" s="528"/>
      <c r="P232" s="528"/>
      <c r="Q232" s="434"/>
      <c r="R232" s="434"/>
      <c r="S232" s="434"/>
      <c r="T232" s="434"/>
      <c r="U232" s="434"/>
      <c r="V232" s="434"/>
      <c r="W232" s="434"/>
      <c r="X232" s="434"/>
      <c r="Y232" s="434"/>
      <c r="Z232" s="434"/>
      <c r="AA232" s="434"/>
      <c r="AB232" s="434"/>
      <c r="AC232" s="434"/>
      <c r="AD232" s="434"/>
    </row>
    <row r="233">
      <c r="A233" s="434"/>
      <c r="B233" s="528"/>
      <c r="C233" s="528"/>
      <c r="D233" s="528"/>
      <c r="E233" s="528"/>
      <c r="F233" s="528"/>
      <c r="G233" s="511"/>
      <c r="H233" s="511"/>
      <c r="I233" s="511"/>
      <c r="J233" s="511"/>
      <c r="K233" s="511"/>
      <c r="L233" s="528"/>
      <c r="M233" s="528"/>
      <c r="N233" s="528"/>
      <c r="O233" s="528"/>
      <c r="P233" s="528"/>
      <c r="Q233" s="434"/>
      <c r="R233" s="434"/>
      <c r="S233" s="434"/>
      <c r="T233" s="434"/>
      <c r="U233" s="434"/>
      <c r="V233" s="434"/>
      <c r="W233" s="434"/>
      <c r="X233" s="434"/>
      <c r="Y233" s="434"/>
      <c r="Z233" s="434"/>
      <c r="AA233" s="434"/>
      <c r="AB233" s="434"/>
      <c r="AC233" s="434"/>
      <c r="AD233" s="434"/>
    </row>
    <row r="234">
      <c r="A234" s="434"/>
      <c r="B234" s="528"/>
      <c r="C234" s="528"/>
      <c r="D234" s="528"/>
      <c r="E234" s="528"/>
      <c r="F234" s="528"/>
      <c r="G234" s="511"/>
      <c r="H234" s="511"/>
      <c r="I234" s="511"/>
      <c r="J234" s="511"/>
      <c r="K234" s="511"/>
      <c r="L234" s="528"/>
      <c r="M234" s="528"/>
      <c r="N234" s="528"/>
      <c r="O234" s="528"/>
      <c r="P234" s="528"/>
      <c r="Q234" s="434"/>
      <c r="R234" s="434"/>
      <c r="S234" s="434"/>
      <c r="T234" s="434"/>
      <c r="U234" s="434"/>
      <c r="V234" s="434"/>
      <c r="W234" s="434"/>
      <c r="X234" s="434"/>
      <c r="Y234" s="434"/>
      <c r="Z234" s="434"/>
      <c r="AA234" s="434"/>
      <c r="AB234" s="434"/>
      <c r="AC234" s="434"/>
      <c r="AD234" s="434"/>
    </row>
    <row r="235">
      <c r="A235" s="434"/>
      <c r="B235" s="528"/>
      <c r="C235" s="528"/>
      <c r="D235" s="528"/>
      <c r="E235" s="528"/>
      <c r="F235" s="528"/>
      <c r="G235" s="511"/>
      <c r="H235" s="511"/>
      <c r="I235" s="511"/>
      <c r="J235" s="511"/>
      <c r="K235" s="511"/>
      <c r="L235" s="528"/>
      <c r="M235" s="528"/>
      <c r="N235" s="528"/>
      <c r="O235" s="528"/>
      <c r="P235" s="528"/>
      <c r="Q235" s="434"/>
      <c r="R235" s="434"/>
      <c r="S235" s="434"/>
      <c r="T235" s="434"/>
      <c r="U235" s="434"/>
      <c r="V235" s="434"/>
      <c r="W235" s="434"/>
      <c r="X235" s="434"/>
      <c r="Y235" s="434"/>
      <c r="Z235" s="434"/>
      <c r="AA235" s="434"/>
      <c r="AB235" s="434"/>
      <c r="AC235" s="434"/>
      <c r="AD235" s="434"/>
    </row>
    <row r="236">
      <c r="A236" s="434"/>
      <c r="B236" s="528"/>
      <c r="C236" s="528"/>
      <c r="D236" s="528"/>
      <c r="E236" s="528"/>
      <c r="F236" s="528"/>
      <c r="G236" s="511"/>
      <c r="H236" s="511"/>
      <c r="I236" s="511"/>
      <c r="J236" s="511"/>
      <c r="K236" s="511"/>
      <c r="L236" s="528"/>
      <c r="M236" s="528"/>
      <c r="N236" s="528"/>
      <c r="O236" s="528"/>
      <c r="P236" s="528"/>
      <c r="Q236" s="434"/>
      <c r="R236" s="434"/>
      <c r="S236" s="434"/>
      <c r="T236" s="434"/>
      <c r="U236" s="434"/>
      <c r="V236" s="434"/>
      <c r="W236" s="434"/>
      <c r="X236" s="434"/>
      <c r="Y236" s="434"/>
      <c r="Z236" s="434"/>
      <c r="AA236" s="434"/>
      <c r="AB236" s="434"/>
      <c r="AC236" s="434"/>
      <c r="AD236" s="434"/>
    </row>
    <row r="237">
      <c r="A237" s="434"/>
      <c r="B237" s="528"/>
      <c r="C237" s="528"/>
      <c r="D237" s="528"/>
      <c r="E237" s="528"/>
      <c r="F237" s="528"/>
      <c r="G237" s="511"/>
      <c r="H237" s="511"/>
      <c r="I237" s="511"/>
      <c r="J237" s="511"/>
      <c r="K237" s="511"/>
      <c r="L237" s="528"/>
      <c r="M237" s="528"/>
      <c r="N237" s="528"/>
      <c r="O237" s="528"/>
      <c r="P237" s="528"/>
      <c r="Q237" s="434"/>
      <c r="R237" s="434"/>
      <c r="S237" s="434"/>
      <c r="T237" s="434"/>
      <c r="U237" s="434"/>
      <c r="V237" s="434"/>
      <c r="W237" s="434"/>
      <c r="X237" s="434"/>
      <c r="Y237" s="434"/>
      <c r="Z237" s="434"/>
      <c r="AA237" s="434"/>
      <c r="AB237" s="434"/>
      <c r="AC237" s="434"/>
      <c r="AD237" s="434"/>
    </row>
    <row r="238">
      <c r="A238" s="434"/>
      <c r="B238" s="528"/>
      <c r="C238" s="528"/>
      <c r="D238" s="528"/>
      <c r="E238" s="528"/>
      <c r="F238" s="528"/>
      <c r="G238" s="511"/>
      <c r="H238" s="511"/>
      <c r="I238" s="511"/>
      <c r="J238" s="511"/>
      <c r="K238" s="511"/>
      <c r="L238" s="528"/>
      <c r="M238" s="528"/>
      <c r="N238" s="528"/>
      <c r="O238" s="528"/>
      <c r="P238" s="528"/>
      <c r="Q238" s="434"/>
      <c r="R238" s="434"/>
      <c r="S238" s="434"/>
      <c r="T238" s="434"/>
      <c r="U238" s="434"/>
      <c r="V238" s="434"/>
      <c r="W238" s="434"/>
      <c r="X238" s="434"/>
      <c r="Y238" s="434"/>
      <c r="Z238" s="434"/>
      <c r="AA238" s="434"/>
      <c r="AB238" s="434"/>
      <c r="AC238" s="434"/>
      <c r="AD238" s="434"/>
    </row>
    <row r="239">
      <c r="A239" s="434"/>
      <c r="B239" s="528"/>
      <c r="C239" s="528"/>
      <c r="D239" s="528"/>
      <c r="E239" s="528"/>
      <c r="F239" s="528"/>
      <c r="G239" s="511"/>
      <c r="H239" s="511"/>
      <c r="I239" s="511"/>
      <c r="J239" s="511"/>
      <c r="K239" s="511"/>
      <c r="L239" s="528"/>
      <c r="M239" s="528"/>
      <c r="N239" s="528"/>
      <c r="O239" s="528"/>
      <c r="P239" s="528"/>
      <c r="Q239" s="434"/>
      <c r="R239" s="434"/>
      <c r="S239" s="434"/>
      <c r="T239" s="434"/>
      <c r="U239" s="434"/>
      <c r="V239" s="434"/>
      <c r="W239" s="434"/>
      <c r="X239" s="434"/>
      <c r="Y239" s="434"/>
      <c r="Z239" s="434"/>
      <c r="AA239" s="434"/>
      <c r="AB239" s="434"/>
      <c r="AC239" s="434"/>
      <c r="AD239" s="434"/>
    </row>
    <row r="240">
      <c r="A240" s="434"/>
      <c r="B240" s="528"/>
      <c r="C240" s="528"/>
      <c r="D240" s="528"/>
      <c r="E240" s="528"/>
      <c r="F240" s="528"/>
      <c r="G240" s="511"/>
      <c r="H240" s="511"/>
      <c r="I240" s="511"/>
      <c r="J240" s="511"/>
      <c r="K240" s="511"/>
      <c r="L240" s="528"/>
      <c r="M240" s="528"/>
      <c r="N240" s="528"/>
      <c r="O240" s="528"/>
      <c r="P240" s="528"/>
      <c r="Q240" s="434"/>
      <c r="R240" s="434"/>
      <c r="S240" s="434"/>
      <c r="T240" s="434"/>
      <c r="U240" s="434"/>
      <c r="V240" s="434"/>
      <c r="W240" s="434"/>
      <c r="X240" s="434"/>
      <c r="Y240" s="434"/>
      <c r="Z240" s="434"/>
      <c r="AA240" s="434"/>
      <c r="AB240" s="434"/>
      <c r="AC240" s="434"/>
      <c r="AD240" s="434"/>
    </row>
    <row r="241">
      <c r="A241" s="434"/>
      <c r="B241" s="528"/>
      <c r="C241" s="528"/>
      <c r="D241" s="528"/>
      <c r="E241" s="528"/>
      <c r="F241" s="528"/>
      <c r="G241" s="511"/>
      <c r="H241" s="511"/>
      <c r="I241" s="511"/>
      <c r="J241" s="511"/>
      <c r="K241" s="511"/>
      <c r="L241" s="528"/>
      <c r="M241" s="528"/>
      <c r="N241" s="528"/>
      <c r="O241" s="528"/>
      <c r="P241" s="528"/>
      <c r="Q241" s="434"/>
      <c r="R241" s="434"/>
      <c r="S241" s="434"/>
      <c r="T241" s="434"/>
      <c r="U241" s="434"/>
      <c r="V241" s="434"/>
      <c r="W241" s="434"/>
      <c r="X241" s="434"/>
      <c r="Y241" s="434"/>
      <c r="Z241" s="434"/>
      <c r="AA241" s="434"/>
      <c r="AB241" s="434"/>
      <c r="AC241" s="434"/>
      <c r="AD241" s="434"/>
    </row>
    <row r="242">
      <c r="A242" s="434"/>
      <c r="B242" s="528"/>
      <c r="C242" s="528"/>
      <c r="D242" s="528"/>
      <c r="E242" s="528"/>
      <c r="F242" s="528"/>
      <c r="G242" s="511"/>
      <c r="H242" s="511"/>
      <c r="I242" s="511"/>
      <c r="J242" s="511"/>
      <c r="K242" s="511"/>
      <c r="L242" s="528"/>
      <c r="M242" s="528"/>
      <c r="N242" s="528"/>
      <c r="O242" s="528"/>
      <c r="P242" s="528"/>
      <c r="Q242" s="434"/>
      <c r="R242" s="434"/>
      <c r="S242" s="434"/>
      <c r="T242" s="434"/>
      <c r="U242" s="434"/>
      <c r="V242" s="434"/>
      <c r="W242" s="434"/>
      <c r="X242" s="434"/>
      <c r="Y242" s="434"/>
      <c r="Z242" s="434"/>
      <c r="AA242" s="434"/>
      <c r="AB242" s="434"/>
      <c r="AC242" s="434"/>
      <c r="AD242" s="434"/>
    </row>
    <row r="243">
      <c r="A243" s="434"/>
      <c r="B243" s="528"/>
      <c r="C243" s="528"/>
      <c r="D243" s="528"/>
      <c r="E243" s="528"/>
      <c r="F243" s="528"/>
      <c r="G243" s="511"/>
      <c r="H243" s="511"/>
      <c r="I243" s="511"/>
      <c r="J243" s="511"/>
      <c r="K243" s="511"/>
      <c r="L243" s="528"/>
      <c r="M243" s="528"/>
      <c r="N243" s="528"/>
      <c r="O243" s="528"/>
      <c r="P243" s="528"/>
      <c r="Q243" s="434"/>
      <c r="R243" s="434"/>
      <c r="S243" s="434"/>
      <c r="T243" s="434"/>
      <c r="U243" s="434"/>
      <c r="V243" s="434"/>
      <c r="W243" s="434"/>
      <c r="X243" s="434"/>
      <c r="Y243" s="434"/>
      <c r="Z243" s="434"/>
      <c r="AA243" s="434"/>
      <c r="AB243" s="434"/>
      <c r="AC243" s="434"/>
      <c r="AD243" s="434"/>
    </row>
    <row r="244">
      <c r="A244" s="434"/>
      <c r="B244" s="528"/>
      <c r="C244" s="528"/>
      <c r="D244" s="528"/>
      <c r="E244" s="528"/>
      <c r="F244" s="528"/>
      <c r="G244" s="511"/>
      <c r="H244" s="511"/>
      <c r="I244" s="511"/>
      <c r="J244" s="511"/>
      <c r="K244" s="511"/>
      <c r="L244" s="528"/>
      <c r="M244" s="528"/>
      <c r="N244" s="528"/>
      <c r="O244" s="528"/>
      <c r="P244" s="528"/>
      <c r="Q244" s="434"/>
      <c r="R244" s="434"/>
      <c r="S244" s="434"/>
      <c r="T244" s="434"/>
      <c r="U244" s="434"/>
      <c r="V244" s="434"/>
      <c r="W244" s="434"/>
      <c r="X244" s="434"/>
      <c r="Y244" s="434"/>
      <c r="Z244" s="434"/>
      <c r="AA244" s="434"/>
      <c r="AB244" s="434"/>
      <c r="AC244" s="434"/>
      <c r="AD244" s="434"/>
    </row>
    <row r="245">
      <c r="A245" s="434"/>
      <c r="B245" s="528"/>
      <c r="C245" s="528"/>
      <c r="D245" s="528"/>
      <c r="E245" s="528"/>
      <c r="F245" s="528"/>
      <c r="G245" s="511"/>
      <c r="H245" s="511"/>
      <c r="I245" s="511"/>
      <c r="J245" s="511"/>
      <c r="K245" s="511"/>
      <c r="L245" s="528"/>
      <c r="M245" s="528"/>
      <c r="N245" s="528"/>
      <c r="O245" s="528"/>
      <c r="P245" s="528"/>
      <c r="Q245" s="434"/>
      <c r="R245" s="434"/>
      <c r="S245" s="434"/>
      <c r="T245" s="434"/>
      <c r="U245" s="434"/>
      <c r="V245" s="434"/>
      <c r="W245" s="434"/>
      <c r="X245" s="434"/>
      <c r="Y245" s="434"/>
      <c r="Z245" s="434"/>
      <c r="AA245" s="434"/>
      <c r="AB245" s="434"/>
      <c r="AC245" s="434"/>
      <c r="AD245" s="434"/>
    </row>
    <row r="246">
      <c r="A246" s="434"/>
      <c r="B246" s="528"/>
      <c r="C246" s="528"/>
      <c r="D246" s="528"/>
      <c r="E246" s="528"/>
      <c r="F246" s="528"/>
      <c r="G246" s="511"/>
      <c r="H246" s="511"/>
      <c r="I246" s="511"/>
      <c r="J246" s="511"/>
      <c r="K246" s="511"/>
      <c r="L246" s="528"/>
      <c r="M246" s="528"/>
      <c r="N246" s="528"/>
      <c r="O246" s="528"/>
      <c r="P246" s="528"/>
      <c r="Q246" s="434"/>
      <c r="R246" s="434"/>
      <c r="S246" s="434"/>
      <c r="T246" s="434"/>
      <c r="U246" s="434"/>
      <c r="V246" s="434"/>
      <c r="W246" s="434"/>
      <c r="X246" s="434"/>
      <c r="Y246" s="434"/>
      <c r="Z246" s="434"/>
      <c r="AA246" s="434"/>
      <c r="AB246" s="434"/>
      <c r="AC246" s="434"/>
      <c r="AD246" s="434"/>
    </row>
    <row r="247">
      <c r="A247" s="434"/>
      <c r="B247" s="528"/>
      <c r="C247" s="528"/>
      <c r="D247" s="528"/>
      <c r="E247" s="528"/>
      <c r="F247" s="528"/>
      <c r="G247" s="511"/>
      <c r="H247" s="511"/>
      <c r="I247" s="511"/>
      <c r="J247" s="511"/>
      <c r="K247" s="511"/>
      <c r="L247" s="528"/>
      <c r="M247" s="528"/>
      <c r="N247" s="528"/>
      <c r="O247" s="528"/>
      <c r="P247" s="528"/>
      <c r="Q247" s="434"/>
      <c r="R247" s="434"/>
      <c r="S247" s="434"/>
      <c r="T247" s="434"/>
      <c r="U247" s="434"/>
      <c r="V247" s="434"/>
      <c r="W247" s="434"/>
      <c r="X247" s="434"/>
      <c r="Y247" s="434"/>
      <c r="Z247" s="434"/>
      <c r="AA247" s="434"/>
      <c r="AB247" s="434"/>
      <c r="AC247" s="434"/>
      <c r="AD247" s="434"/>
    </row>
    <row r="248">
      <c r="A248" s="434"/>
      <c r="B248" s="528"/>
      <c r="C248" s="528"/>
      <c r="D248" s="528"/>
      <c r="E248" s="528"/>
      <c r="F248" s="528"/>
      <c r="G248" s="511"/>
      <c r="H248" s="511"/>
      <c r="I248" s="511"/>
      <c r="J248" s="511"/>
      <c r="K248" s="511"/>
      <c r="L248" s="528"/>
      <c r="M248" s="528"/>
      <c r="N248" s="528"/>
      <c r="O248" s="528"/>
      <c r="P248" s="528"/>
      <c r="Q248" s="434"/>
      <c r="R248" s="434"/>
      <c r="S248" s="434"/>
      <c r="T248" s="434"/>
      <c r="U248" s="434"/>
      <c r="V248" s="434"/>
      <c r="W248" s="434"/>
      <c r="X248" s="434"/>
      <c r="Y248" s="434"/>
      <c r="Z248" s="434"/>
      <c r="AA248" s="434"/>
      <c r="AB248" s="434"/>
      <c r="AC248" s="434"/>
      <c r="AD248" s="434"/>
    </row>
    <row r="249">
      <c r="A249" s="434"/>
      <c r="B249" s="528"/>
      <c r="C249" s="528"/>
      <c r="D249" s="528"/>
      <c r="E249" s="528"/>
      <c r="F249" s="528"/>
      <c r="G249" s="511"/>
      <c r="H249" s="511"/>
      <c r="I249" s="511"/>
      <c r="J249" s="511"/>
      <c r="K249" s="511"/>
      <c r="L249" s="528"/>
      <c r="M249" s="528"/>
      <c r="N249" s="528"/>
      <c r="O249" s="528"/>
      <c r="P249" s="528"/>
      <c r="Q249" s="434"/>
      <c r="R249" s="434"/>
      <c r="S249" s="434"/>
      <c r="T249" s="434"/>
      <c r="U249" s="434"/>
      <c r="V249" s="434"/>
      <c r="W249" s="434"/>
      <c r="X249" s="434"/>
      <c r="Y249" s="434"/>
      <c r="Z249" s="434"/>
      <c r="AA249" s="434"/>
      <c r="AB249" s="434"/>
      <c r="AC249" s="434"/>
      <c r="AD249" s="434"/>
    </row>
    <row r="250">
      <c r="A250" s="434"/>
      <c r="B250" s="528"/>
      <c r="C250" s="528"/>
      <c r="D250" s="528"/>
      <c r="E250" s="528"/>
      <c r="F250" s="528"/>
      <c r="G250" s="511"/>
      <c r="H250" s="511"/>
      <c r="I250" s="511"/>
      <c r="J250" s="511"/>
      <c r="K250" s="511"/>
      <c r="L250" s="528"/>
      <c r="M250" s="528"/>
      <c r="N250" s="528"/>
      <c r="O250" s="528"/>
      <c r="P250" s="528"/>
      <c r="Q250" s="434"/>
      <c r="R250" s="434"/>
      <c r="S250" s="434"/>
      <c r="T250" s="434"/>
      <c r="U250" s="434"/>
      <c r="V250" s="434"/>
      <c r="W250" s="434"/>
      <c r="X250" s="434"/>
      <c r="Y250" s="434"/>
      <c r="Z250" s="434"/>
      <c r="AA250" s="434"/>
      <c r="AB250" s="434"/>
      <c r="AC250" s="434"/>
      <c r="AD250" s="434"/>
    </row>
    <row r="251">
      <c r="A251" s="434"/>
      <c r="B251" s="528"/>
      <c r="C251" s="528"/>
      <c r="D251" s="528"/>
      <c r="E251" s="528"/>
      <c r="F251" s="528"/>
      <c r="G251" s="511"/>
      <c r="H251" s="511"/>
      <c r="I251" s="511"/>
      <c r="J251" s="511"/>
      <c r="K251" s="511"/>
      <c r="L251" s="528"/>
      <c r="M251" s="528"/>
      <c r="N251" s="528"/>
      <c r="O251" s="528"/>
      <c r="P251" s="528"/>
      <c r="Q251" s="434"/>
      <c r="R251" s="434"/>
      <c r="S251" s="434"/>
      <c r="T251" s="434"/>
      <c r="U251" s="434"/>
      <c r="V251" s="434"/>
      <c r="W251" s="434"/>
      <c r="X251" s="434"/>
      <c r="Y251" s="434"/>
      <c r="Z251" s="434"/>
      <c r="AA251" s="434"/>
      <c r="AB251" s="434"/>
      <c r="AC251" s="434"/>
      <c r="AD251" s="434"/>
    </row>
    <row r="252">
      <c r="A252" s="434"/>
      <c r="B252" s="528"/>
      <c r="C252" s="528"/>
      <c r="D252" s="528"/>
      <c r="E252" s="528"/>
      <c r="F252" s="528"/>
      <c r="G252" s="511"/>
      <c r="H252" s="511"/>
      <c r="I252" s="511"/>
      <c r="J252" s="511"/>
      <c r="K252" s="511"/>
      <c r="L252" s="528"/>
      <c r="M252" s="528"/>
      <c r="N252" s="528"/>
      <c r="O252" s="528"/>
      <c r="P252" s="528"/>
      <c r="Q252" s="434"/>
      <c r="R252" s="434"/>
      <c r="S252" s="434"/>
      <c r="T252" s="434"/>
      <c r="U252" s="434"/>
      <c r="V252" s="434"/>
      <c r="W252" s="434"/>
      <c r="X252" s="434"/>
      <c r="Y252" s="434"/>
      <c r="Z252" s="434"/>
      <c r="AA252" s="434"/>
      <c r="AB252" s="434"/>
      <c r="AC252" s="434"/>
      <c r="AD252" s="434"/>
    </row>
    <row r="253">
      <c r="A253" s="434"/>
      <c r="B253" s="528"/>
      <c r="C253" s="528"/>
      <c r="D253" s="528"/>
      <c r="E253" s="528"/>
      <c r="F253" s="528"/>
      <c r="G253" s="511"/>
      <c r="H253" s="511"/>
      <c r="I253" s="511"/>
      <c r="J253" s="511"/>
      <c r="K253" s="511"/>
      <c r="L253" s="528"/>
      <c r="M253" s="528"/>
      <c r="N253" s="528"/>
      <c r="O253" s="528"/>
      <c r="P253" s="528"/>
      <c r="Q253" s="434"/>
      <c r="R253" s="434"/>
      <c r="S253" s="434"/>
      <c r="T253" s="434"/>
      <c r="U253" s="434"/>
      <c r="V253" s="434"/>
      <c r="W253" s="434"/>
      <c r="X253" s="434"/>
      <c r="Y253" s="434"/>
      <c r="Z253" s="434"/>
      <c r="AA253" s="434"/>
      <c r="AB253" s="434"/>
      <c r="AC253" s="434"/>
      <c r="AD253" s="434"/>
    </row>
    <row r="254">
      <c r="A254" s="434"/>
      <c r="B254" s="528"/>
      <c r="C254" s="528"/>
      <c r="D254" s="528"/>
      <c r="E254" s="528"/>
      <c r="F254" s="528"/>
      <c r="G254" s="511"/>
      <c r="H254" s="511"/>
      <c r="I254" s="511"/>
      <c r="J254" s="511"/>
      <c r="K254" s="511"/>
      <c r="L254" s="528"/>
      <c r="M254" s="528"/>
      <c r="N254" s="528"/>
      <c r="O254" s="528"/>
      <c r="P254" s="528"/>
      <c r="Q254" s="434"/>
      <c r="R254" s="434"/>
      <c r="S254" s="434"/>
      <c r="T254" s="434"/>
      <c r="U254" s="434"/>
      <c r="V254" s="434"/>
      <c r="W254" s="434"/>
      <c r="X254" s="434"/>
      <c r="Y254" s="434"/>
      <c r="Z254" s="434"/>
      <c r="AA254" s="434"/>
      <c r="AB254" s="434"/>
      <c r="AC254" s="434"/>
      <c r="AD254" s="434"/>
    </row>
    <row r="255">
      <c r="A255" s="434"/>
      <c r="B255" s="528"/>
      <c r="C255" s="528"/>
      <c r="D255" s="528"/>
      <c r="E255" s="528"/>
      <c r="F255" s="528"/>
      <c r="G255" s="511"/>
      <c r="H255" s="511"/>
      <c r="I255" s="511"/>
      <c r="J255" s="511"/>
      <c r="K255" s="511"/>
      <c r="L255" s="528"/>
      <c r="M255" s="528"/>
      <c r="N255" s="528"/>
      <c r="O255" s="528"/>
      <c r="P255" s="528"/>
      <c r="Q255" s="434"/>
      <c r="R255" s="434"/>
      <c r="S255" s="434"/>
      <c r="T255" s="434"/>
      <c r="U255" s="434"/>
      <c r="V255" s="434"/>
      <c r="W255" s="434"/>
      <c r="X255" s="434"/>
      <c r="Y255" s="434"/>
      <c r="Z255" s="434"/>
      <c r="AA255" s="434"/>
      <c r="AB255" s="434"/>
      <c r="AC255" s="434"/>
      <c r="AD255" s="434"/>
    </row>
    <row r="256">
      <c r="A256" s="434"/>
      <c r="B256" s="528"/>
      <c r="C256" s="528"/>
      <c r="D256" s="528"/>
      <c r="E256" s="528"/>
      <c r="F256" s="528"/>
      <c r="G256" s="511"/>
      <c r="H256" s="511"/>
      <c r="I256" s="511"/>
      <c r="J256" s="511"/>
      <c r="K256" s="511"/>
      <c r="L256" s="528"/>
      <c r="M256" s="528"/>
      <c r="N256" s="528"/>
      <c r="O256" s="528"/>
      <c r="P256" s="528"/>
      <c r="Q256" s="434"/>
      <c r="R256" s="434"/>
      <c r="S256" s="434"/>
      <c r="T256" s="434"/>
      <c r="U256" s="434"/>
      <c r="V256" s="434"/>
      <c r="W256" s="434"/>
      <c r="X256" s="434"/>
      <c r="Y256" s="434"/>
      <c r="Z256" s="434"/>
      <c r="AA256" s="434"/>
      <c r="AB256" s="434"/>
      <c r="AC256" s="434"/>
      <c r="AD256" s="434"/>
    </row>
    <row r="257">
      <c r="A257" s="434"/>
      <c r="B257" s="528"/>
      <c r="C257" s="528"/>
      <c r="D257" s="528"/>
      <c r="E257" s="528"/>
      <c r="F257" s="528"/>
      <c r="G257" s="511"/>
      <c r="H257" s="511"/>
      <c r="I257" s="511"/>
      <c r="J257" s="511"/>
      <c r="K257" s="511"/>
      <c r="L257" s="528"/>
      <c r="M257" s="528"/>
      <c r="N257" s="528"/>
      <c r="O257" s="528"/>
      <c r="P257" s="528"/>
      <c r="Q257" s="434"/>
      <c r="R257" s="434"/>
      <c r="S257" s="434"/>
      <c r="T257" s="434"/>
      <c r="U257" s="434"/>
      <c r="V257" s="434"/>
      <c r="W257" s="434"/>
      <c r="X257" s="434"/>
      <c r="Y257" s="434"/>
      <c r="Z257" s="434"/>
      <c r="AA257" s="434"/>
      <c r="AB257" s="434"/>
      <c r="AC257" s="434"/>
      <c r="AD257" s="434"/>
    </row>
    <row r="258">
      <c r="A258" s="434"/>
      <c r="B258" s="528"/>
      <c r="C258" s="528"/>
      <c r="D258" s="528"/>
      <c r="E258" s="528"/>
      <c r="F258" s="528"/>
      <c r="G258" s="511"/>
      <c r="H258" s="511"/>
      <c r="I258" s="511"/>
      <c r="J258" s="511"/>
      <c r="K258" s="511"/>
      <c r="L258" s="528"/>
      <c r="M258" s="528"/>
      <c r="N258" s="528"/>
      <c r="O258" s="528"/>
      <c r="P258" s="528"/>
      <c r="Q258" s="434"/>
      <c r="R258" s="434"/>
      <c r="S258" s="434"/>
      <c r="T258" s="434"/>
      <c r="U258" s="434"/>
      <c r="V258" s="434"/>
      <c r="W258" s="434"/>
      <c r="X258" s="434"/>
      <c r="Y258" s="434"/>
      <c r="Z258" s="434"/>
      <c r="AA258" s="434"/>
      <c r="AB258" s="434"/>
      <c r="AC258" s="434"/>
      <c r="AD258" s="434"/>
    </row>
    <row r="259">
      <c r="A259" s="434"/>
      <c r="B259" s="528"/>
      <c r="C259" s="528"/>
      <c r="D259" s="528"/>
      <c r="E259" s="528"/>
      <c r="F259" s="528"/>
      <c r="G259" s="511"/>
      <c r="H259" s="511"/>
      <c r="I259" s="511"/>
      <c r="J259" s="511"/>
      <c r="K259" s="511"/>
      <c r="L259" s="528"/>
      <c r="M259" s="528"/>
      <c r="N259" s="528"/>
      <c r="O259" s="528"/>
      <c r="P259" s="528"/>
      <c r="Q259" s="434"/>
      <c r="R259" s="434"/>
      <c r="S259" s="434"/>
      <c r="T259" s="434"/>
      <c r="U259" s="434"/>
      <c r="V259" s="434"/>
      <c r="W259" s="434"/>
      <c r="X259" s="434"/>
      <c r="Y259" s="434"/>
      <c r="Z259" s="434"/>
      <c r="AA259" s="434"/>
      <c r="AB259" s="434"/>
      <c r="AC259" s="434"/>
      <c r="AD259" s="434"/>
    </row>
    <row r="260">
      <c r="A260" s="434"/>
      <c r="B260" s="528"/>
      <c r="C260" s="528"/>
      <c r="D260" s="528"/>
      <c r="E260" s="528"/>
      <c r="F260" s="528"/>
      <c r="G260" s="511"/>
      <c r="H260" s="511"/>
      <c r="I260" s="511"/>
      <c r="J260" s="511"/>
      <c r="K260" s="511"/>
      <c r="L260" s="528"/>
      <c r="M260" s="528"/>
      <c r="N260" s="528"/>
      <c r="O260" s="528"/>
      <c r="P260" s="528"/>
      <c r="Q260" s="434"/>
      <c r="R260" s="434"/>
      <c r="S260" s="434"/>
      <c r="T260" s="434"/>
      <c r="U260" s="434"/>
      <c r="V260" s="434"/>
      <c r="W260" s="434"/>
      <c r="X260" s="434"/>
      <c r="Y260" s="434"/>
      <c r="Z260" s="434"/>
      <c r="AA260" s="434"/>
      <c r="AB260" s="434"/>
      <c r="AC260" s="434"/>
      <c r="AD260" s="434"/>
    </row>
    <row r="261">
      <c r="A261" s="434"/>
      <c r="B261" s="528"/>
      <c r="C261" s="528"/>
      <c r="D261" s="528"/>
      <c r="E261" s="528"/>
      <c r="F261" s="528"/>
      <c r="G261" s="511"/>
      <c r="H261" s="511"/>
      <c r="I261" s="511"/>
      <c r="J261" s="511"/>
      <c r="K261" s="511"/>
      <c r="L261" s="528"/>
      <c r="M261" s="528"/>
      <c r="N261" s="528"/>
      <c r="O261" s="528"/>
      <c r="P261" s="528"/>
      <c r="Q261" s="434"/>
      <c r="R261" s="434"/>
      <c r="S261" s="434"/>
      <c r="T261" s="434"/>
      <c r="U261" s="434"/>
      <c r="V261" s="434"/>
      <c r="W261" s="434"/>
      <c r="X261" s="434"/>
      <c r="Y261" s="434"/>
      <c r="Z261" s="434"/>
      <c r="AA261" s="434"/>
      <c r="AB261" s="434"/>
      <c r="AC261" s="434"/>
      <c r="AD261" s="434"/>
    </row>
    <row r="262">
      <c r="A262" s="434"/>
      <c r="B262" s="528"/>
      <c r="C262" s="528"/>
      <c r="D262" s="528"/>
      <c r="E262" s="528"/>
      <c r="F262" s="528"/>
      <c r="G262" s="511"/>
      <c r="H262" s="511"/>
      <c r="I262" s="511"/>
      <c r="J262" s="511"/>
      <c r="K262" s="511"/>
      <c r="L262" s="528"/>
      <c r="M262" s="528"/>
      <c r="N262" s="528"/>
      <c r="O262" s="528"/>
      <c r="P262" s="528"/>
      <c r="Q262" s="434"/>
      <c r="R262" s="434"/>
      <c r="S262" s="434"/>
      <c r="T262" s="434"/>
      <c r="U262" s="434"/>
      <c r="V262" s="434"/>
      <c r="W262" s="434"/>
      <c r="X262" s="434"/>
      <c r="Y262" s="434"/>
      <c r="Z262" s="434"/>
      <c r="AA262" s="434"/>
      <c r="AB262" s="434"/>
      <c r="AC262" s="434"/>
      <c r="AD262" s="434"/>
    </row>
    <row r="263">
      <c r="A263" s="434"/>
      <c r="B263" s="528"/>
      <c r="C263" s="528"/>
      <c r="D263" s="528"/>
      <c r="E263" s="528"/>
      <c r="F263" s="528"/>
      <c r="G263" s="511"/>
      <c r="H263" s="511"/>
      <c r="I263" s="511"/>
      <c r="J263" s="511"/>
      <c r="K263" s="511"/>
      <c r="L263" s="528"/>
      <c r="M263" s="528"/>
      <c r="N263" s="528"/>
      <c r="O263" s="528"/>
      <c r="P263" s="528"/>
      <c r="Q263" s="434"/>
      <c r="R263" s="434"/>
      <c r="S263" s="434"/>
      <c r="T263" s="434"/>
      <c r="U263" s="434"/>
      <c r="V263" s="434"/>
      <c r="W263" s="434"/>
      <c r="X263" s="434"/>
      <c r="Y263" s="434"/>
      <c r="Z263" s="434"/>
      <c r="AA263" s="434"/>
      <c r="AB263" s="434"/>
      <c r="AC263" s="434"/>
      <c r="AD263" s="434"/>
    </row>
    <row r="264">
      <c r="A264" s="434"/>
      <c r="B264" s="528"/>
      <c r="C264" s="528"/>
      <c r="D264" s="528"/>
      <c r="E264" s="528"/>
      <c r="F264" s="528"/>
      <c r="G264" s="511"/>
      <c r="H264" s="511"/>
      <c r="I264" s="511"/>
      <c r="J264" s="511"/>
      <c r="K264" s="511"/>
      <c r="L264" s="528"/>
      <c r="M264" s="528"/>
      <c r="N264" s="528"/>
      <c r="O264" s="528"/>
      <c r="P264" s="528"/>
      <c r="Q264" s="434"/>
      <c r="R264" s="434"/>
      <c r="S264" s="434"/>
      <c r="T264" s="434"/>
      <c r="U264" s="434"/>
      <c r="V264" s="434"/>
      <c r="W264" s="434"/>
      <c r="X264" s="434"/>
      <c r="Y264" s="434"/>
      <c r="Z264" s="434"/>
      <c r="AA264" s="434"/>
      <c r="AB264" s="434"/>
      <c r="AC264" s="434"/>
      <c r="AD264" s="434"/>
    </row>
    <row r="265">
      <c r="A265" s="434"/>
      <c r="B265" s="528"/>
      <c r="C265" s="528"/>
      <c r="D265" s="528"/>
      <c r="E265" s="528"/>
      <c r="F265" s="528"/>
      <c r="G265" s="511"/>
      <c r="H265" s="511"/>
      <c r="I265" s="511"/>
      <c r="J265" s="511"/>
      <c r="K265" s="511"/>
      <c r="L265" s="528"/>
      <c r="M265" s="528"/>
      <c r="N265" s="528"/>
      <c r="O265" s="528"/>
      <c r="P265" s="528"/>
      <c r="Q265" s="434"/>
      <c r="R265" s="434"/>
      <c r="S265" s="434"/>
      <c r="T265" s="434"/>
      <c r="U265" s="434"/>
      <c r="V265" s="434"/>
      <c r="W265" s="434"/>
      <c r="X265" s="434"/>
      <c r="Y265" s="434"/>
      <c r="Z265" s="434"/>
      <c r="AA265" s="434"/>
      <c r="AB265" s="434"/>
      <c r="AC265" s="434"/>
      <c r="AD265" s="434"/>
    </row>
    <row r="266">
      <c r="A266" s="434"/>
      <c r="B266" s="528"/>
      <c r="C266" s="528"/>
      <c r="D266" s="528"/>
      <c r="E266" s="528"/>
      <c r="F266" s="528"/>
      <c r="G266" s="511"/>
      <c r="H266" s="511"/>
      <c r="I266" s="511"/>
      <c r="J266" s="511"/>
      <c r="K266" s="511"/>
      <c r="L266" s="528"/>
      <c r="M266" s="528"/>
      <c r="N266" s="528"/>
      <c r="O266" s="528"/>
      <c r="P266" s="528"/>
      <c r="Q266" s="434"/>
      <c r="R266" s="434"/>
      <c r="S266" s="434"/>
      <c r="T266" s="434"/>
      <c r="U266" s="434"/>
      <c r="V266" s="434"/>
      <c r="W266" s="434"/>
      <c r="X266" s="434"/>
      <c r="Y266" s="434"/>
      <c r="Z266" s="434"/>
      <c r="AA266" s="434"/>
      <c r="AB266" s="434"/>
      <c r="AC266" s="434"/>
      <c r="AD266" s="434"/>
    </row>
    <row r="267">
      <c r="A267" s="434"/>
      <c r="B267" s="528"/>
      <c r="C267" s="528"/>
      <c r="D267" s="528"/>
      <c r="E267" s="528"/>
      <c r="F267" s="528"/>
      <c r="G267" s="511"/>
      <c r="H267" s="511"/>
      <c r="I267" s="511"/>
      <c r="J267" s="511"/>
      <c r="K267" s="511"/>
      <c r="L267" s="528"/>
      <c r="M267" s="528"/>
      <c r="N267" s="528"/>
      <c r="O267" s="528"/>
      <c r="P267" s="528"/>
      <c r="Q267" s="434"/>
      <c r="R267" s="434"/>
      <c r="S267" s="434"/>
      <c r="T267" s="434"/>
      <c r="U267" s="434"/>
      <c r="V267" s="434"/>
      <c r="W267" s="434"/>
      <c r="X267" s="434"/>
      <c r="Y267" s="434"/>
      <c r="Z267" s="434"/>
      <c r="AA267" s="434"/>
      <c r="AB267" s="434"/>
      <c r="AC267" s="434"/>
      <c r="AD267" s="434"/>
    </row>
    <row r="268">
      <c r="A268" s="434"/>
      <c r="B268" s="528"/>
      <c r="C268" s="528"/>
      <c r="D268" s="528"/>
      <c r="E268" s="528"/>
      <c r="F268" s="528"/>
      <c r="G268" s="511"/>
      <c r="H268" s="511"/>
      <c r="I268" s="511"/>
      <c r="J268" s="511"/>
      <c r="K268" s="511"/>
      <c r="L268" s="528"/>
      <c r="M268" s="528"/>
      <c r="N268" s="528"/>
      <c r="O268" s="528"/>
      <c r="P268" s="528"/>
      <c r="Q268" s="434"/>
      <c r="R268" s="434"/>
      <c r="S268" s="434"/>
      <c r="T268" s="434"/>
      <c r="U268" s="434"/>
      <c r="V268" s="434"/>
      <c r="W268" s="434"/>
      <c r="X268" s="434"/>
      <c r="Y268" s="434"/>
      <c r="Z268" s="434"/>
      <c r="AA268" s="434"/>
      <c r="AB268" s="434"/>
      <c r="AC268" s="434"/>
      <c r="AD268" s="434"/>
    </row>
    <row r="269">
      <c r="A269" s="434"/>
      <c r="B269" s="528"/>
      <c r="C269" s="528"/>
      <c r="D269" s="528"/>
      <c r="E269" s="528"/>
      <c r="F269" s="528"/>
      <c r="G269" s="511"/>
      <c r="H269" s="511"/>
      <c r="I269" s="511"/>
      <c r="J269" s="511"/>
      <c r="K269" s="511"/>
      <c r="L269" s="528"/>
      <c r="M269" s="528"/>
      <c r="N269" s="528"/>
      <c r="O269" s="528"/>
      <c r="P269" s="528"/>
      <c r="Q269" s="434"/>
      <c r="R269" s="434"/>
      <c r="S269" s="434"/>
      <c r="T269" s="434"/>
      <c r="U269" s="434"/>
      <c r="V269" s="434"/>
      <c r="W269" s="434"/>
      <c r="X269" s="434"/>
      <c r="Y269" s="434"/>
      <c r="Z269" s="434"/>
      <c r="AA269" s="434"/>
      <c r="AB269" s="434"/>
      <c r="AC269" s="434"/>
      <c r="AD269" s="434"/>
    </row>
    <row r="270">
      <c r="A270" s="434"/>
      <c r="B270" s="528"/>
      <c r="C270" s="528"/>
      <c r="D270" s="528"/>
      <c r="E270" s="528"/>
      <c r="F270" s="528"/>
      <c r="G270" s="511"/>
      <c r="H270" s="511"/>
      <c r="I270" s="511"/>
      <c r="J270" s="511"/>
      <c r="K270" s="511"/>
      <c r="L270" s="528"/>
      <c r="M270" s="528"/>
      <c r="N270" s="528"/>
      <c r="O270" s="528"/>
      <c r="P270" s="528"/>
      <c r="Q270" s="434"/>
      <c r="R270" s="434"/>
      <c r="S270" s="434"/>
      <c r="T270" s="434"/>
      <c r="U270" s="434"/>
      <c r="V270" s="434"/>
      <c r="W270" s="434"/>
      <c r="X270" s="434"/>
      <c r="Y270" s="434"/>
      <c r="Z270" s="434"/>
      <c r="AA270" s="434"/>
      <c r="AB270" s="434"/>
      <c r="AC270" s="434"/>
      <c r="AD270" s="434"/>
    </row>
    <row r="271">
      <c r="A271" s="434"/>
      <c r="B271" s="528"/>
      <c r="C271" s="528"/>
      <c r="D271" s="528"/>
      <c r="E271" s="528"/>
      <c r="F271" s="528"/>
      <c r="G271" s="511"/>
      <c r="H271" s="511"/>
      <c r="I271" s="511"/>
      <c r="J271" s="511"/>
      <c r="K271" s="511"/>
      <c r="L271" s="528"/>
      <c r="M271" s="528"/>
      <c r="N271" s="528"/>
      <c r="O271" s="528"/>
      <c r="P271" s="528"/>
      <c r="Q271" s="434"/>
      <c r="R271" s="434"/>
      <c r="S271" s="434"/>
      <c r="T271" s="434"/>
      <c r="U271" s="434"/>
      <c r="V271" s="434"/>
      <c r="W271" s="434"/>
      <c r="X271" s="434"/>
      <c r="Y271" s="434"/>
      <c r="Z271" s="434"/>
      <c r="AA271" s="434"/>
      <c r="AB271" s="434"/>
      <c r="AC271" s="434"/>
      <c r="AD271" s="434"/>
    </row>
    <row r="272">
      <c r="A272" s="434"/>
      <c r="B272" s="528"/>
      <c r="C272" s="528"/>
      <c r="D272" s="528"/>
      <c r="E272" s="528"/>
      <c r="F272" s="528"/>
      <c r="G272" s="511"/>
      <c r="H272" s="511"/>
      <c r="I272" s="511"/>
      <c r="J272" s="511"/>
      <c r="K272" s="511"/>
      <c r="L272" s="528"/>
      <c r="M272" s="528"/>
      <c r="N272" s="528"/>
      <c r="O272" s="528"/>
      <c r="P272" s="528"/>
      <c r="Q272" s="434"/>
      <c r="R272" s="434"/>
      <c r="S272" s="434"/>
      <c r="T272" s="434"/>
      <c r="U272" s="434"/>
      <c r="V272" s="434"/>
      <c r="W272" s="434"/>
      <c r="X272" s="434"/>
      <c r="Y272" s="434"/>
      <c r="Z272" s="434"/>
      <c r="AA272" s="434"/>
      <c r="AB272" s="434"/>
      <c r="AC272" s="434"/>
      <c r="AD272" s="434"/>
    </row>
    <row r="273">
      <c r="A273" s="434"/>
      <c r="B273" s="528"/>
      <c r="C273" s="528"/>
      <c r="D273" s="528"/>
      <c r="E273" s="528"/>
      <c r="F273" s="528"/>
      <c r="G273" s="511"/>
      <c r="H273" s="511"/>
      <c r="I273" s="511"/>
      <c r="J273" s="511"/>
      <c r="K273" s="511"/>
      <c r="L273" s="528"/>
      <c r="M273" s="528"/>
      <c r="N273" s="528"/>
      <c r="O273" s="528"/>
      <c r="P273" s="528"/>
      <c r="Q273" s="434"/>
      <c r="R273" s="434"/>
      <c r="S273" s="434"/>
      <c r="T273" s="434"/>
      <c r="U273" s="434"/>
      <c r="V273" s="434"/>
      <c r="W273" s="434"/>
      <c r="X273" s="434"/>
      <c r="Y273" s="434"/>
      <c r="Z273" s="434"/>
      <c r="AA273" s="434"/>
      <c r="AB273" s="434"/>
      <c r="AC273" s="434"/>
      <c r="AD273" s="434"/>
    </row>
    <row r="274">
      <c r="A274" s="434"/>
      <c r="B274" s="528"/>
      <c r="C274" s="528"/>
      <c r="D274" s="528"/>
      <c r="E274" s="528"/>
      <c r="F274" s="528"/>
      <c r="G274" s="511"/>
      <c r="H274" s="511"/>
      <c r="I274" s="511"/>
      <c r="J274" s="511"/>
      <c r="K274" s="511"/>
      <c r="L274" s="528"/>
      <c r="M274" s="528"/>
      <c r="N274" s="528"/>
      <c r="O274" s="528"/>
      <c r="P274" s="528"/>
      <c r="Q274" s="434"/>
      <c r="R274" s="434"/>
      <c r="S274" s="434"/>
      <c r="T274" s="434"/>
      <c r="U274" s="434"/>
      <c r="V274" s="434"/>
      <c r="W274" s="434"/>
      <c r="X274" s="434"/>
      <c r="Y274" s="434"/>
      <c r="Z274" s="434"/>
      <c r="AA274" s="434"/>
      <c r="AB274" s="434"/>
      <c r="AC274" s="434"/>
      <c r="AD274" s="434"/>
    </row>
    <row r="275">
      <c r="A275" s="434"/>
      <c r="B275" s="528"/>
      <c r="C275" s="528"/>
      <c r="D275" s="528"/>
      <c r="E275" s="528"/>
      <c r="F275" s="528"/>
      <c r="G275" s="511"/>
      <c r="H275" s="511"/>
      <c r="I275" s="511"/>
      <c r="J275" s="511"/>
      <c r="K275" s="511"/>
      <c r="L275" s="528"/>
      <c r="M275" s="528"/>
      <c r="N275" s="528"/>
      <c r="O275" s="528"/>
      <c r="P275" s="528"/>
      <c r="Q275" s="434"/>
      <c r="R275" s="434"/>
      <c r="S275" s="434"/>
      <c r="T275" s="434"/>
      <c r="U275" s="434"/>
      <c r="V275" s="434"/>
      <c r="W275" s="434"/>
      <c r="X275" s="434"/>
      <c r="Y275" s="434"/>
      <c r="Z275" s="434"/>
      <c r="AA275" s="434"/>
      <c r="AB275" s="434"/>
      <c r="AC275" s="434"/>
      <c r="AD275" s="434"/>
    </row>
    <row r="276">
      <c r="A276" s="434"/>
      <c r="B276" s="528"/>
      <c r="C276" s="528"/>
      <c r="D276" s="528"/>
      <c r="E276" s="528"/>
      <c r="F276" s="528"/>
      <c r="G276" s="511"/>
      <c r="H276" s="511"/>
      <c r="I276" s="511"/>
      <c r="J276" s="511"/>
      <c r="K276" s="511"/>
      <c r="L276" s="528"/>
      <c r="M276" s="528"/>
      <c r="N276" s="528"/>
      <c r="O276" s="528"/>
      <c r="P276" s="528"/>
      <c r="Q276" s="434"/>
      <c r="R276" s="434"/>
      <c r="S276" s="434"/>
      <c r="T276" s="434"/>
      <c r="U276" s="434"/>
      <c r="V276" s="434"/>
      <c r="W276" s="434"/>
      <c r="X276" s="434"/>
      <c r="Y276" s="434"/>
      <c r="Z276" s="434"/>
      <c r="AA276" s="434"/>
      <c r="AB276" s="434"/>
      <c r="AC276" s="434"/>
      <c r="AD276" s="434"/>
    </row>
    <row r="277">
      <c r="A277" s="434"/>
      <c r="B277" s="528"/>
      <c r="C277" s="528"/>
      <c r="D277" s="528"/>
      <c r="E277" s="528"/>
      <c r="F277" s="528"/>
      <c r="G277" s="511"/>
      <c r="H277" s="511"/>
      <c r="I277" s="511"/>
      <c r="J277" s="511"/>
      <c r="K277" s="511"/>
      <c r="L277" s="528"/>
      <c r="M277" s="528"/>
      <c r="N277" s="528"/>
      <c r="O277" s="528"/>
      <c r="P277" s="528"/>
      <c r="Q277" s="434"/>
      <c r="R277" s="434"/>
      <c r="S277" s="434"/>
      <c r="T277" s="434"/>
      <c r="U277" s="434"/>
      <c r="V277" s="434"/>
      <c r="W277" s="434"/>
      <c r="X277" s="434"/>
      <c r="Y277" s="434"/>
      <c r="Z277" s="434"/>
      <c r="AA277" s="434"/>
      <c r="AB277" s="434"/>
      <c r="AC277" s="434"/>
      <c r="AD277" s="434"/>
    </row>
    <row r="278">
      <c r="A278" s="434"/>
      <c r="B278" s="528"/>
      <c r="C278" s="528"/>
      <c r="D278" s="528"/>
      <c r="E278" s="528"/>
      <c r="F278" s="528"/>
      <c r="G278" s="511"/>
      <c r="H278" s="511"/>
      <c r="I278" s="511"/>
      <c r="J278" s="511"/>
      <c r="K278" s="511"/>
      <c r="L278" s="528"/>
      <c r="M278" s="528"/>
      <c r="N278" s="528"/>
      <c r="O278" s="528"/>
      <c r="P278" s="528"/>
      <c r="Q278" s="434"/>
      <c r="R278" s="434"/>
      <c r="S278" s="434"/>
      <c r="T278" s="434"/>
      <c r="U278" s="434"/>
      <c r="V278" s="434"/>
      <c r="W278" s="434"/>
      <c r="X278" s="434"/>
      <c r="Y278" s="434"/>
      <c r="Z278" s="434"/>
      <c r="AA278" s="434"/>
      <c r="AB278" s="434"/>
      <c r="AC278" s="434"/>
      <c r="AD278" s="434"/>
    </row>
    <row r="279">
      <c r="A279" s="434"/>
      <c r="B279" s="528"/>
      <c r="C279" s="528"/>
      <c r="D279" s="528"/>
      <c r="E279" s="528"/>
      <c r="F279" s="528"/>
      <c r="G279" s="511"/>
      <c r="H279" s="511"/>
      <c r="I279" s="511"/>
      <c r="J279" s="511"/>
      <c r="K279" s="511"/>
      <c r="L279" s="528"/>
      <c r="M279" s="528"/>
      <c r="N279" s="528"/>
      <c r="O279" s="528"/>
      <c r="P279" s="528"/>
      <c r="Q279" s="434"/>
      <c r="R279" s="434"/>
      <c r="S279" s="434"/>
      <c r="T279" s="434"/>
      <c r="U279" s="434"/>
      <c r="V279" s="434"/>
      <c r="W279" s="434"/>
      <c r="X279" s="434"/>
      <c r="Y279" s="434"/>
      <c r="Z279" s="434"/>
      <c r="AA279" s="434"/>
      <c r="AB279" s="434"/>
      <c r="AC279" s="434"/>
      <c r="AD279" s="434"/>
    </row>
    <row r="280">
      <c r="A280" s="434"/>
      <c r="B280" s="528"/>
      <c r="C280" s="528"/>
      <c r="D280" s="528"/>
      <c r="E280" s="528"/>
      <c r="F280" s="528"/>
      <c r="G280" s="511"/>
      <c r="H280" s="511"/>
      <c r="I280" s="511"/>
      <c r="J280" s="511"/>
      <c r="K280" s="511"/>
      <c r="L280" s="528"/>
      <c r="M280" s="528"/>
      <c r="N280" s="528"/>
      <c r="O280" s="528"/>
      <c r="P280" s="528"/>
      <c r="Q280" s="434"/>
      <c r="R280" s="434"/>
      <c r="S280" s="434"/>
      <c r="T280" s="434"/>
      <c r="U280" s="434"/>
      <c r="V280" s="434"/>
      <c r="W280" s="434"/>
      <c r="X280" s="434"/>
      <c r="Y280" s="434"/>
      <c r="Z280" s="434"/>
      <c r="AA280" s="434"/>
      <c r="AB280" s="434"/>
      <c r="AC280" s="434"/>
      <c r="AD280" s="434"/>
    </row>
    <row r="281">
      <c r="A281" s="434"/>
      <c r="B281" s="528"/>
      <c r="C281" s="528"/>
      <c r="D281" s="528"/>
      <c r="E281" s="528"/>
      <c r="F281" s="528"/>
      <c r="G281" s="511"/>
      <c r="H281" s="511"/>
      <c r="I281" s="511"/>
      <c r="J281" s="511"/>
      <c r="K281" s="511"/>
      <c r="L281" s="528"/>
      <c r="M281" s="528"/>
      <c r="N281" s="528"/>
      <c r="O281" s="528"/>
      <c r="P281" s="528"/>
      <c r="Q281" s="434"/>
      <c r="R281" s="434"/>
      <c r="S281" s="434"/>
      <c r="T281" s="434"/>
      <c r="U281" s="434"/>
      <c r="V281" s="434"/>
      <c r="W281" s="434"/>
      <c r="X281" s="434"/>
      <c r="Y281" s="434"/>
      <c r="Z281" s="434"/>
      <c r="AA281" s="434"/>
      <c r="AB281" s="434"/>
      <c r="AC281" s="434"/>
      <c r="AD281" s="434"/>
    </row>
    <row r="282">
      <c r="A282" s="434"/>
      <c r="B282" s="528"/>
      <c r="C282" s="528"/>
      <c r="D282" s="528"/>
      <c r="E282" s="528"/>
      <c r="F282" s="528"/>
      <c r="G282" s="511"/>
      <c r="H282" s="511"/>
      <c r="I282" s="511"/>
      <c r="J282" s="511"/>
      <c r="K282" s="511"/>
      <c r="L282" s="528"/>
      <c r="M282" s="528"/>
      <c r="N282" s="528"/>
      <c r="O282" s="528"/>
      <c r="P282" s="528"/>
      <c r="Q282" s="434"/>
      <c r="R282" s="434"/>
      <c r="S282" s="434"/>
      <c r="T282" s="434"/>
      <c r="U282" s="434"/>
      <c r="V282" s="434"/>
      <c r="W282" s="434"/>
      <c r="X282" s="434"/>
      <c r="Y282" s="434"/>
      <c r="Z282" s="434"/>
      <c r="AA282" s="434"/>
      <c r="AB282" s="434"/>
      <c r="AC282" s="434"/>
      <c r="AD282" s="434"/>
    </row>
    <row r="283">
      <c r="A283" s="434"/>
      <c r="B283" s="528"/>
      <c r="C283" s="528"/>
      <c r="D283" s="528"/>
      <c r="E283" s="528"/>
      <c r="F283" s="528"/>
      <c r="G283" s="511"/>
      <c r="H283" s="511"/>
      <c r="I283" s="511"/>
      <c r="J283" s="511"/>
      <c r="K283" s="511"/>
      <c r="L283" s="528"/>
      <c r="M283" s="528"/>
      <c r="N283" s="528"/>
      <c r="O283" s="528"/>
      <c r="P283" s="528"/>
      <c r="Q283" s="434"/>
      <c r="R283" s="434"/>
      <c r="S283" s="434"/>
      <c r="T283" s="434"/>
      <c r="U283" s="434"/>
      <c r="V283" s="434"/>
      <c r="W283" s="434"/>
      <c r="X283" s="434"/>
      <c r="Y283" s="434"/>
      <c r="Z283" s="434"/>
      <c r="AA283" s="434"/>
      <c r="AB283" s="434"/>
      <c r="AC283" s="434"/>
      <c r="AD283" s="434"/>
    </row>
    <row r="284">
      <c r="A284" s="434"/>
      <c r="B284" s="528"/>
      <c r="C284" s="528"/>
      <c r="D284" s="528"/>
      <c r="E284" s="528"/>
      <c r="F284" s="528"/>
      <c r="G284" s="511"/>
      <c r="H284" s="511"/>
      <c r="I284" s="511"/>
      <c r="J284" s="511"/>
      <c r="K284" s="511"/>
      <c r="L284" s="528"/>
      <c r="M284" s="528"/>
      <c r="N284" s="528"/>
      <c r="O284" s="528"/>
      <c r="P284" s="528"/>
      <c r="Q284" s="434"/>
      <c r="R284" s="434"/>
      <c r="S284" s="434"/>
      <c r="T284" s="434"/>
      <c r="U284" s="434"/>
      <c r="V284" s="434"/>
      <c r="W284" s="434"/>
      <c r="X284" s="434"/>
      <c r="Y284" s="434"/>
      <c r="Z284" s="434"/>
      <c r="AA284" s="434"/>
      <c r="AB284" s="434"/>
      <c r="AC284" s="434"/>
      <c r="AD284" s="434"/>
    </row>
    <row r="285">
      <c r="A285" s="434"/>
      <c r="B285" s="528"/>
      <c r="C285" s="528"/>
      <c r="D285" s="528"/>
      <c r="E285" s="528"/>
      <c r="F285" s="528"/>
      <c r="G285" s="511"/>
      <c r="H285" s="511"/>
      <c r="I285" s="511"/>
      <c r="J285" s="511"/>
      <c r="K285" s="511"/>
      <c r="L285" s="528"/>
      <c r="M285" s="528"/>
      <c r="N285" s="528"/>
      <c r="O285" s="528"/>
      <c r="P285" s="528"/>
      <c r="Q285" s="434"/>
      <c r="R285" s="434"/>
      <c r="S285" s="434"/>
      <c r="T285" s="434"/>
      <c r="U285" s="434"/>
      <c r="V285" s="434"/>
      <c r="W285" s="434"/>
      <c r="X285" s="434"/>
      <c r="Y285" s="434"/>
      <c r="Z285" s="434"/>
      <c r="AA285" s="434"/>
      <c r="AB285" s="434"/>
      <c r="AC285" s="434"/>
      <c r="AD285" s="434"/>
    </row>
    <row r="286">
      <c r="A286" s="434"/>
      <c r="B286" s="528"/>
      <c r="C286" s="528"/>
      <c r="D286" s="528"/>
      <c r="E286" s="528"/>
      <c r="F286" s="528"/>
      <c r="G286" s="511"/>
      <c r="H286" s="511"/>
      <c r="I286" s="511"/>
      <c r="J286" s="511"/>
      <c r="K286" s="511"/>
      <c r="L286" s="528"/>
      <c r="M286" s="528"/>
      <c r="N286" s="528"/>
      <c r="O286" s="528"/>
      <c r="P286" s="528"/>
      <c r="Q286" s="434"/>
      <c r="R286" s="434"/>
      <c r="S286" s="434"/>
      <c r="T286" s="434"/>
      <c r="U286" s="434"/>
      <c r="V286" s="434"/>
      <c r="W286" s="434"/>
      <c r="X286" s="434"/>
      <c r="Y286" s="434"/>
      <c r="Z286" s="434"/>
      <c r="AA286" s="434"/>
      <c r="AB286" s="434"/>
      <c r="AC286" s="434"/>
      <c r="AD286" s="434"/>
    </row>
    <row r="287">
      <c r="A287" s="434"/>
      <c r="B287" s="528"/>
      <c r="C287" s="528"/>
      <c r="D287" s="528"/>
      <c r="E287" s="528"/>
      <c r="F287" s="528"/>
      <c r="G287" s="511"/>
      <c r="H287" s="511"/>
      <c r="I287" s="511"/>
      <c r="J287" s="511"/>
      <c r="K287" s="511"/>
      <c r="L287" s="528"/>
      <c r="M287" s="528"/>
      <c r="N287" s="528"/>
      <c r="O287" s="528"/>
      <c r="P287" s="528"/>
      <c r="Q287" s="434"/>
      <c r="R287" s="434"/>
      <c r="S287" s="434"/>
      <c r="T287" s="434"/>
      <c r="U287" s="434"/>
      <c r="V287" s="434"/>
      <c r="W287" s="434"/>
      <c r="X287" s="434"/>
      <c r="Y287" s="434"/>
      <c r="Z287" s="434"/>
      <c r="AA287" s="434"/>
      <c r="AB287" s="434"/>
      <c r="AC287" s="434"/>
      <c r="AD287" s="434"/>
    </row>
    <row r="288">
      <c r="A288" s="434"/>
      <c r="B288" s="528"/>
      <c r="C288" s="528"/>
      <c r="D288" s="528"/>
      <c r="E288" s="528"/>
      <c r="F288" s="528"/>
      <c r="G288" s="511"/>
      <c r="H288" s="511"/>
      <c r="I288" s="511"/>
      <c r="J288" s="511"/>
      <c r="K288" s="511"/>
      <c r="L288" s="528"/>
      <c r="M288" s="528"/>
      <c r="N288" s="528"/>
      <c r="O288" s="528"/>
      <c r="P288" s="528"/>
      <c r="Q288" s="434"/>
      <c r="R288" s="434"/>
      <c r="S288" s="434"/>
      <c r="T288" s="434"/>
      <c r="U288" s="434"/>
      <c r="V288" s="434"/>
      <c r="W288" s="434"/>
      <c r="X288" s="434"/>
      <c r="Y288" s="434"/>
      <c r="Z288" s="434"/>
      <c r="AA288" s="434"/>
      <c r="AB288" s="434"/>
      <c r="AC288" s="434"/>
      <c r="AD288" s="434"/>
    </row>
    <row r="289">
      <c r="A289" s="434"/>
      <c r="B289" s="528"/>
      <c r="C289" s="528"/>
      <c r="D289" s="528"/>
      <c r="E289" s="528"/>
      <c r="F289" s="528"/>
      <c r="G289" s="511"/>
      <c r="H289" s="511"/>
      <c r="I289" s="511"/>
      <c r="J289" s="511"/>
      <c r="K289" s="511"/>
      <c r="L289" s="528"/>
      <c r="M289" s="528"/>
      <c r="N289" s="528"/>
      <c r="O289" s="528"/>
      <c r="P289" s="528"/>
      <c r="Q289" s="434"/>
      <c r="R289" s="434"/>
      <c r="S289" s="434"/>
      <c r="T289" s="434"/>
      <c r="U289" s="434"/>
      <c r="V289" s="434"/>
      <c r="W289" s="434"/>
      <c r="X289" s="434"/>
      <c r="Y289" s="434"/>
      <c r="Z289" s="434"/>
      <c r="AA289" s="434"/>
      <c r="AB289" s="434"/>
      <c r="AC289" s="434"/>
      <c r="AD289" s="434"/>
    </row>
    <row r="290">
      <c r="A290" s="434"/>
      <c r="B290" s="528"/>
      <c r="C290" s="528"/>
      <c r="D290" s="528"/>
      <c r="E290" s="528"/>
      <c r="F290" s="528"/>
      <c r="G290" s="511"/>
      <c r="H290" s="511"/>
      <c r="I290" s="511"/>
      <c r="J290" s="511"/>
      <c r="K290" s="511"/>
      <c r="L290" s="528"/>
      <c r="M290" s="528"/>
      <c r="N290" s="528"/>
      <c r="O290" s="528"/>
      <c r="P290" s="528"/>
      <c r="Q290" s="434"/>
      <c r="R290" s="434"/>
      <c r="S290" s="434"/>
      <c r="T290" s="434"/>
      <c r="U290" s="434"/>
      <c r="V290" s="434"/>
      <c r="W290" s="434"/>
      <c r="X290" s="434"/>
      <c r="Y290" s="434"/>
      <c r="Z290" s="434"/>
      <c r="AA290" s="434"/>
      <c r="AB290" s="434"/>
      <c r="AC290" s="434"/>
      <c r="AD290" s="434"/>
    </row>
    <row r="291">
      <c r="A291" s="434"/>
      <c r="B291" s="528"/>
      <c r="C291" s="528"/>
      <c r="D291" s="528"/>
      <c r="E291" s="528"/>
      <c r="F291" s="528"/>
      <c r="G291" s="511"/>
      <c r="H291" s="511"/>
      <c r="I291" s="511"/>
      <c r="J291" s="511"/>
      <c r="K291" s="511"/>
      <c r="L291" s="528"/>
      <c r="M291" s="528"/>
      <c r="N291" s="528"/>
      <c r="O291" s="528"/>
      <c r="P291" s="528"/>
      <c r="Q291" s="434"/>
      <c r="R291" s="434"/>
      <c r="S291" s="434"/>
      <c r="T291" s="434"/>
      <c r="U291" s="434"/>
      <c r="V291" s="434"/>
      <c r="W291" s="434"/>
      <c r="X291" s="434"/>
      <c r="Y291" s="434"/>
      <c r="Z291" s="434"/>
      <c r="AA291" s="434"/>
      <c r="AB291" s="434"/>
      <c r="AC291" s="434"/>
      <c r="AD291" s="434"/>
    </row>
    <row r="292">
      <c r="A292" s="434"/>
      <c r="B292" s="528"/>
      <c r="C292" s="528"/>
      <c r="D292" s="528"/>
      <c r="E292" s="528"/>
      <c r="F292" s="528"/>
      <c r="G292" s="511"/>
      <c r="H292" s="511"/>
      <c r="I292" s="511"/>
      <c r="J292" s="511"/>
      <c r="K292" s="511"/>
      <c r="L292" s="528"/>
      <c r="M292" s="528"/>
      <c r="N292" s="528"/>
      <c r="O292" s="528"/>
      <c r="P292" s="528"/>
      <c r="Q292" s="434"/>
      <c r="R292" s="434"/>
      <c r="S292" s="434"/>
      <c r="T292" s="434"/>
      <c r="U292" s="434"/>
      <c r="V292" s="434"/>
      <c r="W292" s="434"/>
      <c r="X292" s="434"/>
      <c r="Y292" s="434"/>
      <c r="Z292" s="434"/>
      <c r="AA292" s="434"/>
      <c r="AB292" s="434"/>
      <c r="AC292" s="434"/>
      <c r="AD292" s="434"/>
    </row>
    <row r="293">
      <c r="A293" s="434"/>
      <c r="B293" s="528"/>
      <c r="C293" s="528"/>
      <c r="D293" s="528"/>
      <c r="E293" s="528"/>
      <c r="F293" s="528"/>
      <c r="G293" s="511"/>
      <c r="H293" s="511"/>
      <c r="I293" s="511"/>
      <c r="J293" s="511"/>
      <c r="K293" s="511"/>
      <c r="L293" s="528"/>
      <c r="M293" s="528"/>
      <c r="N293" s="528"/>
      <c r="O293" s="528"/>
      <c r="P293" s="528"/>
      <c r="Q293" s="434"/>
      <c r="R293" s="434"/>
      <c r="S293" s="434"/>
      <c r="T293" s="434"/>
      <c r="U293" s="434"/>
      <c r="V293" s="434"/>
      <c r="W293" s="434"/>
      <c r="X293" s="434"/>
      <c r="Y293" s="434"/>
      <c r="Z293" s="434"/>
      <c r="AA293" s="434"/>
      <c r="AB293" s="434"/>
      <c r="AC293" s="434"/>
      <c r="AD293" s="434"/>
    </row>
    <row r="294">
      <c r="A294" s="434"/>
      <c r="B294" s="528"/>
      <c r="C294" s="528"/>
      <c r="D294" s="528"/>
      <c r="E294" s="528"/>
      <c r="F294" s="528"/>
      <c r="G294" s="511"/>
      <c r="H294" s="511"/>
      <c r="I294" s="511"/>
      <c r="J294" s="511"/>
      <c r="K294" s="511"/>
      <c r="L294" s="528"/>
      <c r="M294" s="528"/>
      <c r="N294" s="528"/>
      <c r="O294" s="528"/>
      <c r="P294" s="528"/>
      <c r="Q294" s="434"/>
      <c r="R294" s="434"/>
      <c r="S294" s="434"/>
      <c r="T294" s="434"/>
      <c r="U294" s="434"/>
      <c r="V294" s="434"/>
      <c r="W294" s="434"/>
      <c r="X294" s="434"/>
      <c r="Y294" s="434"/>
      <c r="Z294" s="434"/>
      <c r="AA294" s="434"/>
      <c r="AB294" s="434"/>
      <c r="AC294" s="434"/>
      <c r="AD294" s="434"/>
    </row>
    <row r="295">
      <c r="A295" s="434"/>
      <c r="B295" s="528"/>
      <c r="C295" s="528"/>
      <c r="D295" s="528"/>
      <c r="E295" s="528"/>
      <c r="F295" s="528"/>
      <c r="G295" s="511"/>
      <c r="H295" s="511"/>
      <c r="I295" s="511"/>
      <c r="J295" s="511"/>
      <c r="K295" s="511"/>
      <c r="L295" s="528"/>
      <c r="M295" s="528"/>
      <c r="N295" s="528"/>
      <c r="O295" s="528"/>
      <c r="P295" s="528"/>
      <c r="Q295" s="434"/>
      <c r="R295" s="434"/>
      <c r="S295" s="434"/>
      <c r="T295" s="434"/>
      <c r="U295" s="434"/>
      <c r="V295" s="434"/>
      <c r="W295" s="434"/>
      <c r="X295" s="434"/>
      <c r="Y295" s="434"/>
      <c r="Z295" s="434"/>
      <c r="AA295" s="434"/>
      <c r="AB295" s="434"/>
      <c r="AC295" s="434"/>
      <c r="AD295" s="434"/>
    </row>
    <row r="296">
      <c r="A296" s="434"/>
      <c r="B296" s="528"/>
      <c r="C296" s="528"/>
      <c r="D296" s="528"/>
      <c r="E296" s="528"/>
      <c r="F296" s="528"/>
      <c r="G296" s="511"/>
      <c r="H296" s="511"/>
      <c r="I296" s="511"/>
      <c r="J296" s="511"/>
      <c r="K296" s="511"/>
      <c r="L296" s="528"/>
      <c r="M296" s="528"/>
      <c r="N296" s="528"/>
      <c r="O296" s="528"/>
      <c r="P296" s="528"/>
      <c r="Q296" s="434"/>
      <c r="R296" s="434"/>
      <c r="S296" s="434"/>
      <c r="T296" s="434"/>
      <c r="U296" s="434"/>
      <c r="V296" s="434"/>
      <c r="W296" s="434"/>
      <c r="X296" s="434"/>
      <c r="Y296" s="434"/>
      <c r="Z296" s="434"/>
      <c r="AA296" s="434"/>
      <c r="AB296" s="434"/>
      <c r="AC296" s="434"/>
      <c r="AD296" s="434"/>
    </row>
    <row r="297">
      <c r="A297" s="434"/>
      <c r="B297" s="528"/>
      <c r="C297" s="528"/>
      <c r="D297" s="528"/>
      <c r="E297" s="528"/>
      <c r="F297" s="528"/>
      <c r="G297" s="511"/>
      <c r="H297" s="511"/>
      <c r="I297" s="511"/>
      <c r="J297" s="511"/>
      <c r="K297" s="511"/>
      <c r="L297" s="528"/>
      <c r="M297" s="528"/>
      <c r="N297" s="528"/>
      <c r="O297" s="528"/>
      <c r="P297" s="528"/>
      <c r="Q297" s="434"/>
      <c r="R297" s="434"/>
      <c r="S297" s="434"/>
      <c r="T297" s="434"/>
      <c r="U297" s="434"/>
      <c r="V297" s="434"/>
      <c r="W297" s="434"/>
      <c r="X297" s="434"/>
      <c r="Y297" s="434"/>
      <c r="Z297" s="434"/>
      <c r="AA297" s="434"/>
      <c r="AB297" s="434"/>
      <c r="AC297" s="434"/>
      <c r="AD297" s="434"/>
    </row>
    <row r="298">
      <c r="A298" s="434"/>
      <c r="B298" s="528"/>
      <c r="C298" s="528"/>
      <c r="D298" s="528"/>
      <c r="E298" s="528"/>
      <c r="F298" s="528"/>
      <c r="G298" s="511"/>
      <c r="H298" s="511"/>
      <c r="I298" s="511"/>
      <c r="J298" s="511"/>
      <c r="K298" s="511"/>
      <c r="L298" s="528"/>
      <c r="M298" s="528"/>
      <c r="N298" s="528"/>
      <c r="O298" s="528"/>
      <c r="P298" s="528"/>
      <c r="Q298" s="434"/>
      <c r="R298" s="434"/>
      <c r="S298" s="434"/>
      <c r="T298" s="434"/>
      <c r="U298" s="434"/>
      <c r="V298" s="434"/>
      <c r="W298" s="434"/>
      <c r="X298" s="434"/>
      <c r="Y298" s="434"/>
      <c r="Z298" s="434"/>
      <c r="AA298" s="434"/>
      <c r="AB298" s="434"/>
      <c r="AC298" s="434"/>
      <c r="AD298" s="434"/>
    </row>
    <row r="299">
      <c r="A299" s="434"/>
      <c r="B299" s="528"/>
      <c r="C299" s="528"/>
      <c r="D299" s="528"/>
      <c r="E299" s="528"/>
      <c r="F299" s="528"/>
      <c r="G299" s="511"/>
      <c r="H299" s="511"/>
      <c r="I299" s="511"/>
      <c r="J299" s="511"/>
      <c r="K299" s="511"/>
      <c r="L299" s="528"/>
      <c r="M299" s="528"/>
      <c r="N299" s="528"/>
      <c r="O299" s="528"/>
      <c r="P299" s="528"/>
      <c r="Q299" s="434"/>
      <c r="R299" s="434"/>
      <c r="S299" s="434"/>
      <c r="T299" s="434"/>
      <c r="U299" s="434"/>
      <c r="V299" s="434"/>
      <c r="W299" s="434"/>
      <c r="X299" s="434"/>
      <c r="Y299" s="434"/>
      <c r="Z299" s="434"/>
      <c r="AA299" s="434"/>
      <c r="AB299" s="434"/>
      <c r="AC299" s="434"/>
      <c r="AD299" s="434"/>
    </row>
    <row r="300">
      <c r="A300" s="434"/>
      <c r="B300" s="528"/>
      <c r="C300" s="528"/>
      <c r="D300" s="528"/>
      <c r="E300" s="528"/>
      <c r="F300" s="528"/>
      <c r="G300" s="511"/>
      <c r="H300" s="511"/>
      <c r="I300" s="511"/>
      <c r="J300" s="511"/>
      <c r="K300" s="511"/>
      <c r="L300" s="528"/>
      <c r="M300" s="528"/>
      <c r="N300" s="528"/>
      <c r="O300" s="528"/>
      <c r="P300" s="528"/>
      <c r="Q300" s="434"/>
      <c r="R300" s="434"/>
      <c r="S300" s="434"/>
      <c r="T300" s="434"/>
      <c r="U300" s="434"/>
      <c r="V300" s="434"/>
      <c r="W300" s="434"/>
      <c r="X300" s="434"/>
      <c r="Y300" s="434"/>
      <c r="Z300" s="434"/>
      <c r="AA300" s="434"/>
      <c r="AB300" s="434"/>
      <c r="AC300" s="434"/>
      <c r="AD300" s="434"/>
    </row>
    <row r="301">
      <c r="A301" s="434"/>
      <c r="B301" s="528"/>
      <c r="C301" s="528"/>
      <c r="D301" s="528"/>
      <c r="E301" s="528"/>
      <c r="F301" s="528"/>
      <c r="G301" s="511"/>
      <c r="H301" s="511"/>
      <c r="I301" s="511"/>
      <c r="J301" s="511"/>
      <c r="K301" s="511"/>
      <c r="L301" s="528"/>
      <c r="M301" s="528"/>
      <c r="N301" s="528"/>
      <c r="O301" s="528"/>
      <c r="P301" s="528"/>
      <c r="Q301" s="434"/>
      <c r="R301" s="434"/>
      <c r="S301" s="434"/>
      <c r="T301" s="434"/>
      <c r="U301" s="434"/>
      <c r="V301" s="434"/>
      <c r="W301" s="434"/>
      <c r="X301" s="434"/>
      <c r="Y301" s="434"/>
      <c r="Z301" s="434"/>
      <c r="AA301" s="434"/>
      <c r="AB301" s="434"/>
      <c r="AC301" s="434"/>
      <c r="AD301" s="434"/>
    </row>
    <row r="302">
      <c r="A302" s="434"/>
      <c r="B302" s="528"/>
      <c r="C302" s="528"/>
      <c r="D302" s="528"/>
      <c r="E302" s="528"/>
      <c r="F302" s="528"/>
      <c r="G302" s="511"/>
      <c r="H302" s="511"/>
      <c r="I302" s="511"/>
      <c r="J302" s="511"/>
      <c r="K302" s="511"/>
      <c r="L302" s="528"/>
      <c r="M302" s="528"/>
      <c r="N302" s="528"/>
      <c r="O302" s="528"/>
      <c r="P302" s="528"/>
      <c r="Q302" s="434"/>
      <c r="R302" s="434"/>
      <c r="S302" s="434"/>
      <c r="T302" s="434"/>
      <c r="U302" s="434"/>
      <c r="V302" s="434"/>
      <c r="W302" s="434"/>
      <c r="X302" s="434"/>
      <c r="Y302" s="434"/>
      <c r="Z302" s="434"/>
      <c r="AA302" s="434"/>
      <c r="AB302" s="434"/>
      <c r="AC302" s="434"/>
      <c r="AD302" s="434"/>
    </row>
    <row r="303">
      <c r="A303" s="434"/>
      <c r="B303" s="528"/>
      <c r="C303" s="528"/>
      <c r="D303" s="528"/>
      <c r="E303" s="528"/>
      <c r="F303" s="528"/>
      <c r="G303" s="511"/>
      <c r="H303" s="511"/>
      <c r="I303" s="511"/>
      <c r="J303" s="511"/>
      <c r="K303" s="511"/>
      <c r="L303" s="528"/>
      <c r="M303" s="528"/>
      <c r="N303" s="528"/>
      <c r="O303" s="528"/>
      <c r="P303" s="528"/>
      <c r="Q303" s="434"/>
      <c r="R303" s="434"/>
      <c r="S303" s="434"/>
      <c r="T303" s="434"/>
      <c r="U303" s="434"/>
      <c r="V303" s="434"/>
      <c r="W303" s="434"/>
      <c r="X303" s="434"/>
      <c r="Y303" s="434"/>
      <c r="Z303" s="434"/>
      <c r="AA303" s="434"/>
      <c r="AB303" s="434"/>
      <c r="AC303" s="434"/>
      <c r="AD303" s="434"/>
    </row>
    <row r="304">
      <c r="A304" s="434"/>
      <c r="B304" s="528"/>
      <c r="C304" s="528"/>
      <c r="D304" s="528"/>
      <c r="E304" s="528"/>
      <c r="F304" s="528"/>
      <c r="G304" s="511"/>
      <c r="H304" s="511"/>
      <c r="I304" s="511"/>
      <c r="J304" s="511"/>
      <c r="K304" s="511"/>
      <c r="L304" s="528"/>
      <c r="M304" s="528"/>
      <c r="N304" s="528"/>
      <c r="O304" s="528"/>
      <c r="P304" s="528"/>
      <c r="Q304" s="434"/>
      <c r="R304" s="434"/>
      <c r="S304" s="434"/>
      <c r="T304" s="434"/>
      <c r="U304" s="434"/>
      <c r="V304" s="434"/>
      <c r="W304" s="434"/>
      <c r="X304" s="434"/>
      <c r="Y304" s="434"/>
      <c r="Z304" s="434"/>
      <c r="AA304" s="434"/>
      <c r="AB304" s="434"/>
      <c r="AC304" s="434"/>
      <c r="AD304" s="434"/>
    </row>
    <row r="305">
      <c r="A305" s="434"/>
      <c r="B305" s="528"/>
      <c r="C305" s="528"/>
      <c r="D305" s="528"/>
      <c r="E305" s="528"/>
      <c r="F305" s="528"/>
      <c r="G305" s="511"/>
      <c r="H305" s="511"/>
      <c r="I305" s="511"/>
      <c r="J305" s="511"/>
      <c r="K305" s="511"/>
      <c r="L305" s="528"/>
      <c r="M305" s="528"/>
      <c r="N305" s="528"/>
      <c r="O305" s="528"/>
      <c r="P305" s="528"/>
      <c r="Q305" s="434"/>
      <c r="R305" s="434"/>
      <c r="S305" s="434"/>
      <c r="T305" s="434"/>
      <c r="U305" s="434"/>
      <c r="V305" s="434"/>
      <c r="W305" s="434"/>
      <c r="X305" s="434"/>
      <c r="Y305" s="434"/>
      <c r="Z305" s="434"/>
      <c r="AA305" s="434"/>
      <c r="AB305" s="434"/>
      <c r="AC305" s="434"/>
      <c r="AD305" s="434"/>
    </row>
    <row r="306">
      <c r="A306" s="434"/>
      <c r="B306" s="528"/>
      <c r="C306" s="528"/>
      <c r="D306" s="528"/>
      <c r="E306" s="528"/>
      <c r="F306" s="528"/>
      <c r="G306" s="511"/>
      <c r="H306" s="511"/>
      <c r="I306" s="511"/>
      <c r="J306" s="511"/>
      <c r="K306" s="511"/>
      <c r="L306" s="528"/>
      <c r="M306" s="528"/>
      <c r="N306" s="528"/>
      <c r="O306" s="528"/>
      <c r="P306" s="528"/>
      <c r="Q306" s="434"/>
      <c r="R306" s="434"/>
      <c r="S306" s="434"/>
      <c r="T306" s="434"/>
      <c r="U306" s="434"/>
      <c r="V306" s="434"/>
      <c r="W306" s="434"/>
      <c r="X306" s="434"/>
      <c r="Y306" s="434"/>
      <c r="Z306" s="434"/>
      <c r="AA306" s="434"/>
      <c r="AB306" s="434"/>
      <c r="AC306" s="434"/>
      <c r="AD306" s="434"/>
    </row>
    <row r="307">
      <c r="A307" s="434"/>
      <c r="B307" s="528"/>
      <c r="C307" s="528"/>
      <c r="D307" s="528"/>
      <c r="E307" s="528"/>
      <c r="F307" s="528"/>
      <c r="G307" s="511"/>
      <c r="H307" s="511"/>
      <c r="I307" s="511"/>
      <c r="J307" s="511"/>
      <c r="K307" s="511"/>
      <c r="L307" s="528"/>
      <c r="M307" s="528"/>
      <c r="N307" s="528"/>
      <c r="O307" s="528"/>
      <c r="P307" s="528"/>
      <c r="Q307" s="434"/>
      <c r="R307" s="434"/>
      <c r="S307" s="434"/>
      <c r="T307" s="434"/>
      <c r="U307" s="434"/>
      <c r="V307" s="434"/>
      <c r="W307" s="434"/>
      <c r="X307" s="434"/>
      <c r="Y307" s="434"/>
      <c r="Z307" s="434"/>
      <c r="AA307" s="434"/>
      <c r="AB307" s="434"/>
      <c r="AC307" s="434"/>
      <c r="AD307" s="434"/>
    </row>
    <row r="308">
      <c r="A308" s="434"/>
      <c r="B308" s="528"/>
      <c r="C308" s="528"/>
      <c r="D308" s="528"/>
      <c r="E308" s="528"/>
      <c r="F308" s="528"/>
      <c r="G308" s="511"/>
      <c r="H308" s="511"/>
      <c r="I308" s="511"/>
      <c r="J308" s="511"/>
      <c r="K308" s="511"/>
      <c r="L308" s="528"/>
      <c r="M308" s="528"/>
      <c r="N308" s="528"/>
      <c r="O308" s="528"/>
      <c r="P308" s="528"/>
      <c r="Q308" s="434"/>
      <c r="R308" s="434"/>
      <c r="S308" s="434"/>
      <c r="T308" s="434"/>
      <c r="U308" s="434"/>
      <c r="V308" s="434"/>
      <c r="W308" s="434"/>
      <c r="X308" s="434"/>
      <c r="Y308" s="434"/>
      <c r="Z308" s="434"/>
      <c r="AA308" s="434"/>
      <c r="AB308" s="434"/>
      <c r="AC308" s="434"/>
      <c r="AD308" s="434"/>
    </row>
    <row r="309">
      <c r="A309" s="434"/>
      <c r="B309" s="528"/>
      <c r="C309" s="528"/>
      <c r="D309" s="528"/>
      <c r="E309" s="528"/>
      <c r="F309" s="528"/>
      <c r="G309" s="511"/>
      <c r="H309" s="511"/>
      <c r="I309" s="511"/>
      <c r="J309" s="511"/>
      <c r="K309" s="511"/>
      <c r="L309" s="528"/>
      <c r="M309" s="528"/>
      <c r="N309" s="528"/>
      <c r="O309" s="528"/>
      <c r="P309" s="528"/>
      <c r="Q309" s="434"/>
      <c r="R309" s="434"/>
      <c r="S309" s="434"/>
      <c r="T309" s="434"/>
      <c r="U309" s="434"/>
      <c r="V309" s="434"/>
      <c r="W309" s="434"/>
      <c r="X309" s="434"/>
      <c r="Y309" s="434"/>
      <c r="Z309" s="434"/>
      <c r="AA309" s="434"/>
      <c r="AB309" s="434"/>
      <c r="AC309" s="434"/>
      <c r="AD309" s="434"/>
    </row>
    <row r="310">
      <c r="A310" s="434"/>
      <c r="B310" s="528"/>
      <c r="C310" s="528"/>
      <c r="D310" s="528"/>
      <c r="E310" s="528"/>
      <c r="F310" s="528"/>
      <c r="G310" s="511"/>
      <c r="H310" s="511"/>
      <c r="I310" s="511"/>
      <c r="J310" s="511"/>
      <c r="K310" s="511"/>
      <c r="L310" s="528"/>
      <c r="M310" s="528"/>
      <c r="N310" s="528"/>
      <c r="O310" s="528"/>
      <c r="P310" s="528"/>
      <c r="Q310" s="434"/>
      <c r="R310" s="434"/>
      <c r="S310" s="434"/>
      <c r="T310" s="434"/>
      <c r="U310" s="434"/>
      <c r="V310" s="434"/>
      <c r="W310" s="434"/>
      <c r="X310" s="434"/>
      <c r="Y310" s="434"/>
      <c r="Z310" s="434"/>
      <c r="AA310" s="434"/>
      <c r="AB310" s="434"/>
      <c r="AC310" s="434"/>
      <c r="AD310" s="434"/>
    </row>
    <row r="311">
      <c r="A311" s="434"/>
      <c r="B311" s="528"/>
      <c r="C311" s="528"/>
      <c r="D311" s="528"/>
      <c r="E311" s="528"/>
      <c r="F311" s="528"/>
      <c r="G311" s="511"/>
      <c r="H311" s="511"/>
      <c r="I311" s="511"/>
      <c r="J311" s="511"/>
      <c r="K311" s="511"/>
      <c r="L311" s="528"/>
      <c r="M311" s="528"/>
      <c r="N311" s="528"/>
      <c r="O311" s="528"/>
      <c r="P311" s="528"/>
      <c r="Q311" s="434"/>
      <c r="R311" s="434"/>
      <c r="S311" s="434"/>
      <c r="T311" s="434"/>
      <c r="U311" s="434"/>
      <c r="V311" s="434"/>
      <c r="W311" s="434"/>
      <c r="X311" s="434"/>
      <c r="Y311" s="434"/>
      <c r="Z311" s="434"/>
      <c r="AA311" s="434"/>
      <c r="AB311" s="434"/>
      <c r="AC311" s="434"/>
      <c r="AD311" s="434"/>
    </row>
    <row r="312">
      <c r="A312" s="434"/>
      <c r="B312" s="528"/>
      <c r="C312" s="528"/>
      <c r="D312" s="528"/>
      <c r="E312" s="528"/>
      <c r="F312" s="528"/>
      <c r="G312" s="511"/>
      <c r="H312" s="511"/>
      <c r="I312" s="511"/>
      <c r="J312" s="511"/>
      <c r="K312" s="511"/>
      <c r="L312" s="528"/>
      <c r="M312" s="528"/>
      <c r="N312" s="528"/>
      <c r="O312" s="528"/>
      <c r="P312" s="528"/>
      <c r="Q312" s="434"/>
      <c r="R312" s="434"/>
      <c r="S312" s="434"/>
      <c r="T312" s="434"/>
      <c r="U312" s="434"/>
      <c r="V312" s="434"/>
      <c r="W312" s="434"/>
      <c r="X312" s="434"/>
      <c r="Y312" s="434"/>
      <c r="Z312" s="434"/>
      <c r="AA312" s="434"/>
      <c r="AB312" s="434"/>
      <c r="AC312" s="434"/>
      <c r="AD312" s="434"/>
    </row>
    <row r="313">
      <c r="A313" s="434"/>
      <c r="B313" s="528"/>
      <c r="C313" s="528"/>
      <c r="D313" s="528"/>
      <c r="E313" s="528"/>
      <c r="F313" s="528"/>
      <c r="G313" s="511"/>
      <c r="H313" s="511"/>
      <c r="I313" s="511"/>
      <c r="J313" s="511"/>
      <c r="K313" s="511"/>
      <c r="L313" s="528"/>
      <c r="M313" s="528"/>
      <c r="N313" s="528"/>
      <c r="O313" s="528"/>
      <c r="P313" s="528"/>
      <c r="Q313" s="434"/>
      <c r="R313" s="434"/>
      <c r="S313" s="434"/>
      <c r="T313" s="434"/>
      <c r="U313" s="434"/>
      <c r="V313" s="434"/>
      <c r="W313" s="434"/>
      <c r="X313" s="434"/>
      <c r="Y313" s="434"/>
      <c r="Z313" s="434"/>
      <c r="AA313" s="434"/>
      <c r="AB313" s="434"/>
      <c r="AC313" s="434"/>
      <c r="AD313" s="434"/>
    </row>
    <row r="314">
      <c r="A314" s="434"/>
      <c r="B314" s="528"/>
      <c r="C314" s="528"/>
      <c r="D314" s="528"/>
      <c r="E314" s="528"/>
      <c r="F314" s="528"/>
      <c r="G314" s="511"/>
      <c r="H314" s="511"/>
      <c r="I314" s="511"/>
      <c r="J314" s="511"/>
      <c r="K314" s="511"/>
      <c r="L314" s="528"/>
      <c r="M314" s="528"/>
      <c r="N314" s="528"/>
      <c r="O314" s="528"/>
      <c r="P314" s="528"/>
      <c r="Q314" s="434"/>
      <c r="R314" s="434"/>
      <c r="S314" s="434"/>
      <c r="T314" s="434"/>
      <c r="U314" s="434"/>
      <c r="V314" s="434"/>
      <c r="W314" s="434"/>
      <c r="X314" s="434"/>
      <c r="Y314" s="434"/>
      <c r="Z314" s="434"/>
      <c r="AA314" s="434"/>
      <c r="AB314" s="434"/>
      <c r="AC314" s="434"/>
      <c r="AD314" s="434"/>
    </row>
    <row r="315">
      <c r="A315" s="434"/>
      <c r="B315" s="528"/>
      <c r="C315" s="528"/>
      <c r="D315" s="528"/>
      <c r="E315" s="528"/>
      <c r="F315" s="528"/>
      <c r="G315" s="511"/>
      <c r="H315" s="511"/>
      <c r="I315" s="511"/>
      <c r="J315" s="511"/>
      <c r="K315" s="511"/>
      <c r="L315" s="528"/>
      <c r="M315" s="528"/>
      <c r="N315" s="528"/>
      <c r="O315" s="528"/>
      <c r="P315" s="528"/>
      <c r="Q315" s="434"/>
      <c r="R315" s="434"/>
      <c r="S315" s="434"/>
      <c r="T315" s="434"/>
      <c r="U315" s="434"/>
      <c r="V315" s="434"/>
      <c r="W315" s="434"/>
      <c r="X315" s="434"/>
      <c r="Y315" s="434"/>
      <c r="Z315" s="434"/>
      <c r="AA315" s="434"/>
      <c r="AB315" s="434"/>
      <c r="AC315" s="434"/>
      <c r="AD315" s="434"/>
    </row>
    <row r="316">
      <c r="A316" s="434"/>
      <c r="B316" s="528"/>
      <c r="C316" s="528"/>
      <c r="D316" s="528"/>
      <c r="E316" s="528"/>
      <c r="F316" s="528"/>
      <c r="G316" s="511"/>
      <c r="H316" s="511"/>
      <c r="I316" s="511"/>
      <c r="J316" s="511"/>
      <c r="K316" s="511"/>
      <c r="L316" s="528"/>
      <c r="M316" s="528"/>
      <c r="N316" s="528"/>
      <c r="O316" s="528"/>
      <c r="P316" s="528"/>
      <c r="Q316" s="434"/>
      <c r="R316" s="434"/>
      <c r="S316" s="434"/>
      <c r="T316" s="434"/>
      <c r="U316" s="434"/>
      <c r="V316" s="434"/>
      <c r="W316" s="434"/>
      <c r="X316" s="434"/>
      <c r="Y316" s="434"/>
      <c r="Z316" s="434"/>
      <c r="AA316" s="434"/>
      <c r="AB316" s="434"/>
      <c r="AC316" s="434"/>
      <c r="AD316" s="434"/>
    </row>
    <row r="317">
      <c r="A317" s="434"/>
      <c r="B317" s="528"/>
      <c r="C317" s="528"/>
      <c r="D317" s="528"/>
      <c r="E317" s="528"/>
      <c r="F317" s="528"/>
      <c r="G317" s="511"/>
      <c r="H317" s="511"/>
      <c r="I317" s="511"/>
      <c r="J317" s="511"/>
      <c r="K317" s="511"/>
      <c r="L317" s="528"/>
      <c r="M317" s="528"/>
      <c r="N317" s="528"/>
      <c r="O317" s="528"/>
      <c r="P317" s="528"/>
      <c r="Q317" s="434"/>
      <c r="R317" s="434"/>
      <c r="S317" s="434"/>
      <c r="T317" s="434"/>
      <c r="U317" s="434"/>
      <c r="V317" s="434"/>
      <c r="W317" s="434"/>
      <c r="X317" s="434"/>
      <c r="Y317" s="434"/>
      <c r="Z317" s="434"/>
      <c r="AA317" s="434"/>
      <c r="AB317" s="434"/>
      <c r="AC317" s="434"/>
      <c r="AD317" s="434"/>
    </row>
    <row r="318">
      <c r="A318" s="434"/>
      <c r="B318" s="528"/>
      <c r="C318" s="528"/>
      <c r="D318" s="528"/>
      <c r="E318" s="528"/>
      <c r="F318" s="528"/>
      <c r="G318" s="511"/>
      <c r="H318" s="511"/>
      <c r="I318" s="511"/>
      <c r="J318" s="511"/>
      <c r="K318" s="511"/>
      <c r="L318" s="528"/>
      <c r="M318" s="528"/>
      <c r="N318" s="528"/>
      <c r="O318" s="528"/>
      <c r="P318" s="528"/>
      <c r="Q318" s="434"/>
      <c r="R318" s="434"/>
      <c r="S318" s="434"/>
      <c r="T318" s="434"/>
      <c r="U318" s="434"/>
      <c r="V318" s="434"/>
      <c r="W318" s="434"/>
      <c r="X318" s="434"/>
      <c r="Y318" s="434"/>
      <c r="Z318" s="434"/>
      <c r="AA318" s="434"/>
      <c r="AB318" s="434"/>
      <c r="AC318" s="434"/>
      <c r="AD318" s="434"/>
    </row>
    <row r="319">
      <c r="A319" s="434"/>
      <c r="B319" s="528"/>
      <c r="C319" s="528"/>
      <c r="D319" s="528"/>
      <c r="E319" s="528"/>
      <c r="F319" s="528"/>
      <c r="G319" s="511"/>
      <c r="H319" s="511"/>
      <c r="I319" s="511"/>
      <c r="J319" s="511"/>
      <c r="K319" s="511"/>
      <c r="L319" s="528"/>
      <c r="M319" s="528"/>
      <c r="N319" s="528"/>
      <c r="O319" s="528"/>
      <c r="P319" s="528"/>
      <c r="Q319" s="434"/>
      <c r="R319" s="434"/>
      <c r="S319" s="434"/>
      <c r="T319" s="434"/>
      <c r="U319" s="434"/>
      <c r="V319" s="434"/>
      <c r="W319" s="434"/>
      <c r="X319" s="434"/>
      <c r="Y319" s="434"/>
      <c r="Z319" s="434"/>
      <c r="AA319" s="434"/>
      <c r="AB319" s="434"/>
      <c r="AC319" s="434"/>
      <c r="AD319" s="434"/>
    </row>
    <row r="320">
      <c r="A320" s="434"/>
      <c r="B320" s="528"/>
      <c r="C320" s="528"/>
      <c r="D320" s="528"/>
      <c r="E320" s="528"/>
      <c r="F320" s="528"/>
      <c r="G320" s="511"/>
      <c r="H320" s="511"/>
      <c r="I320" s="511"/>
      <c r="J320" s="511"/>
      <c r="K320" s="511"/>
      <c r="L320" s="528"/>
      <c r="M320" s="528"/>
      <c r="N320" s="528"/>
      <c r="O320" s="528"/>
      <c r="P320" s="528"/>
      <c r="Q320" s="434"/>
      <c r="R320" s="434"/>
      <c r="S320" s="434"/>
      <c r="T320" s="434"/>
      <c r="U320" s="434"/>
      <c r="V320" s="434"/>
      <c r="W320" s="434"/>
      <c r="X320" s="434"/>
      <c r="Y320" s="434"/>
      <c r="Z320" s="434"/>
      <c r="AA320" s="434"/>
      <c r="AB320" s="434"/>
      <c r="AC320" s="434"/>
      <c r="AD320" s="434"/>
    </row>
    <row r="321">
      <c r="A321" s="434"/>
      <c r="B321" s="528"/>
      <c r="C321" s="528"/>
      <c r="D321" s="528"/>
      <c r="E321" s="528"/>
      <c r="F321" s="528"/>
      <c r="G321" s="511"/>
      <c r="H321" s="511"/>
      <c r="I321" s="511"/>
      <c r="J321" s="511"/>
      <c r="K321" s="511"/>
      <c r="L321" s="528"/>
      <c r="M321" s="528"/>
      <c r="N321" s="528"/>
      <c r="O321" s="528"/>
      <c r="P321" s="528"/>
      <c r="Q321" s="434"/>
      <c r="R321" s="434"/>
      <c r="S321" s="434"/>
      <c r="T321" s="434"/>
      <c r="U321" s="434"/>
      <c r="V321" s="434"/>
      <c r="W321" s="434"/>
      <c r="X321" s="434"/>
      <c r="Y321" s="434"/>
      <c r="Z321" s="434"/>
      <c r="AA321" s="434"/>
      <c r="AB321" s="434"/>
      <c r="AC321" s="434"/>
      <c r="AD321" s="434"/>
    </row>
    <row r="322">
      <c r="A322" s="434"/>
      <c r="B322" s="528"/>
      <c r="C322" s="528"/>
      <c r="D322" s="528"/>
      <c r="E322" s="528"/>
      <c r="F322" s="528"/>
      <c r="G322" s="511"/>
      <c r="H322" s="511"/>
      <c r="I322" s="511"/>
      <c r="J322" s="511"/>
      <c r="K322" s="511"/>
      <c r="L322" s="528"/>
      <c r="M322" s="528"/>
      <c r="N322" s="528"/>
      <c r="O322" s="528"/>
      <c r="P322" s="528"/>
      <c r="Q322" s="434"/>
      <c r="R322" s="434"/>
      <c r="S322" s="434"/>
      <c r="T322" s="434"/>
      <c r="U322" s="434"/>
      <c r="V322" s="434"/>
      <c r="W322" s="434"/>
      <c r="X322" s="434"/>
      <c r="Y322" s="434"/>
      <c r="Z322" s="434"/>
      <c r="AA322" s="434"/>
      <c r="AB322" s="434"/>
      <c r="AC322" s="434"/>
      <c r="AD322" s="434"/>
    </row>
    <row r="323">
      <c r="A323" s="434"/>
      <c r="B323" s="528"/>
      <c r="C323" s="528"/>
      <c r="D323" s="528"/>
      <c r="E323" s="528"/>
      <c r="F323" s="528"/>
      <c r="G323" s="511"/>
      <c r="H323" s="511"/>
      <c r="I323" s="511"/>
      <c r="J323" s="511"/>
      <c r="K323" s="511"/>
      <c r="L323" s="528"/>
      <c r="M323" s="528"/>
      <c r="N323" s="528"/>
      <c r="O323" s="528"/>
      <c r="P323" s="528"/>
      <c r="Q323" s="434"/>
      <c r="R323" s="434"/>
      <c r="S323" s="434"/>
      <c r="T323" s="434"/>
      <c r="U323" s="434"/>
      <c r="V323" s="434"/>
      <c r="W323" s="434"/>
      <c r="X323" s="434"/>
      <c r="Y323" s="434"/>
      <c r="Z323" s="434"/>
      <c r="AA323" s="434"/>
      <c r="AB323" s="434"/>
      <c r="AC323" s="434"/>
      <c r="AD323" s="434"/>
    </row>
    <row r="324">
      <c r="A324" s="434"/>
      <c r="B324" s="528"/>
      <c r="C324" s="528"/>
      <c r="D324" s="528"/>
      <c r="E324" s="528"/>
      <c r="F324" s="528"/>
      <c r="G324" s="511"/>
      <c r="H324" s="511"/>
      <c r="I324" s="511"/>
      <c r="J324" s="511"/>
      <c r="K324" s="511"/>
      <c r="L324" s="528"/>
      <c r="M324" s="528"/>
      <c r="N324" s="528"/>
      <c r="O324" s="528"/>
      <c r="P324" s="528"/>
      <c r="Q324" s="434"/>
      <c r="R324" s="434"/>
      <c r="S324" s="434"/>
      <c r="T324" s="434"/>
      <c r="U324" s="434"/>
      <c r="V324" s="434"/>
      <c r="W324" s="434"/>
      <c r="X324" s="434"/>
      <c r="Y324" s="434"/>
      <c r="Z324" s="434"/>
      <c r="AA324" s="434"/>
      <c r="AB324" s="434"/>
      <c r="AC324" s="434"/>
      <c r="AD324" s="434"/>
    </row>
    <row r="325">
      <c r="A325" s="434"/>
      <c r="B325" s="528"/>
      <c r="C325" s="528"/>
      <c r="D325" s="528"/>
      <c r="E325" s="528"/>
      <c r="F325" s="528"/>
      <c r="G325" s="511"/>
      <c r="H325" s="511"/>
      <c r="I325" s="511"/>
      <c r="J325" s="511"/>
      <c r="K325" s="511"/>
      <c r="L325" s="528"/>
      <c r="M325" s="528"/>
      <c r="N325" s="528"/>
      <c r="O325" s="528"/>
      <c r="P325" s="528"/>
      <c r="Q325" s="434"/>
      <c r="R325" s="434"/>
      <c r="S325" s="434"/>
      <c r="T325" s="434"/>
      <c r="U325" s="434"/>
      <c r="V325" s="434"/>
      <c r="W325" s="434"/>
      <c r="X325" s="434"/>
      <c r="Y325" s="434"/>
      <c r="Z325" s="434"/>
      <c r="AA325" s="434"/>
      <c r="AB325" s="434"/>
      <c r="AC325" s="434"/>
      <c r="AD325" s="434"/>
    </row>
    <row r="326">
      <c r="A326" s="434"/>
      <c r="B326" s="528"/>
      <c r="C326" s="528"/>
      <c r="D326" s="528"/>
      <c r="E326" s="528"/>
      <c r="F326" s="528"/>
      <c r="G326" s="511"/>
      <c r="H326" s="511"/>
      <c r="I326" s="511"/>
      <c r="J326" s="511"/>
      <c r="K326" s="511"/>
      <c r="L326" s="528"/>
      <c r="M326" s="528"/>
      <c r="N326" s="528"/>
      <c r="O326" s="528"/>
      <c r="P326" s="528"/>
      <c r="Q326" s="434"/>
      <c r="R326" s="434"/>
      <c r="S326" s="434"/>
      <c r="T326" s="434"/>
      <c r="U326" s="434"/>
      <c r="V326" s="434"/>
      <c r="W326" s="434"/>
      <c r="X326" s="434"/>
      <c r="Y326" s="434"/>
      <c r="Z326" s="434"/>
      <c r="AA326" s="434"/>
      <c r="AB326" s="434"/>
      <c r="AC326" s="434"/>
      <c r="AD326" s="434"/>
    </row>
    <row r="327">
      <c r="A327" s="434"/>
      <c r="B327" s="528"/>
      <c r="C327" s="528"/>
      <c r="D327" s="528"/>
      <c r="E327" s="528"/>
      <c r="F327" s="528"/>
      <c r="G327" s="511"/>
      <c r="H327" s="511"/>
      <c r="I327" s="511"/>
      <c r="J327" s="511"/>
      <c r="K327" s="511"/>
      <c r="L327" s="528"/>
      <c r="M327" s="528"/>
      <c r="N327" s="528"/>
      <c r="O327" s="528"/>
      <c r="P327" s="528"/>
      <c r="Q327" s="434"/>
      <c r="R327" s="434"/>
      <c r="S327" s="434"/>
      <c r="T327" s="434"/>
      <c r="U327" s="434"/>
      <c r="V327" s="434"/>
      <c r="W327" s="434"/>
      <c r="X327" s="434"/>
      <c r="Y327" s="434"/>
      <c r="Z327" s="434"/>
      <c r="AA327" s="434"/>
      <c r="AB327" s="434"/>
      <c r="AC327" s="434"/>
      <c r="AD327" s="434"/>
    </row>
    <row r="328">
      <c r="A328" s="434"/>
      <c r="B328" s="528"/>
      <c r="C328" s="528"/>
      <c r="D328" s="528"/>
      <c r="E328" s="528"/>
      <c r="F328" s="528"/>
      <c r="G328" s="511"/>
      <c r="H328" s="511"/>
      <c r="I328" s="511"/>
      <c r="J328" s="511"/>
      <c r="K328" s="511"/>
      <c r="L328" s="528"/>
      <c r="M328" s="528"/>
      <c r="N328" s="528"/>
      <c r="O328" s="528"/>
      <c r="P328" s="528"/>
      <c r="Q328" s="434"/>
      <c r="R328" s="434"/>
      <c r="S328" s="434"/>
      <c r="T328" s="434"/>
      <c r="U328" s="434"/>
      <c r="V328" s="434"/>
      <c r="W328" s="434"/>
      <c r="X328" s="434"/>
      <c r="Y328" s="434"/>
      <c r="Z328" s="434"/>
      <c r="AA328" s="434"/>
      <c r="AB328" s="434"/>
      <c r="AC328" s="434"/>
      <c r="AD328" s="434"/>
    </row>
    <row r="329">
      <c r="A329" s="434"/>
      <c r="B329" s="528"/>
      <c r="C329" s="528"/>
      <c r="D329" s="528"/>
      <c r="E329" s="528"/>
      <c r="F329" s="528"/>
      <c r="G329" s="511"/>
      <c r="H329" s="511"/>
      <c r="I329" s="511"/>
      <c r="J329" s="511"/>
      <c r="K329" s="511"/>
      <c r="L329" s="528"/>
      <c r="M329" s="528"/>
      <c r="N329" s="528"/>
      <c r="O329" s="528"/>
      <c r="P329" s="528"/>
      <c r="Q329" s="434"/>
      <c r="R329" s="434"/>
      <c r="S329" s="434"/>
      <c r="T329" s="434"/>
      <c r="U329" s="434"/>
      <c r="V329" s="434"/>
      <c r="W329" s="434"/>
      <c r="X329" s="434"/>
      <c r="Y329" s="434"/>
      <c r="Z329" s="434"/>
      <c r="AA329" s="434"/>
      <c r="AB329" s="434"/>
      <c r="AC329" s="434"/>
      <c r="AD329" s="434"/>
    </row>
    <row r="330">
      <c r="A330" s="434"/>
      <c r="B330" s="528"/>
      <c r="C330" s="528"/>
      <c r="D330" s="528"/>
      <c r="E330" s="528"/>
      <c r="F330" s="528"/>
      <c r="G330" s="511"/>
      <c r="H330" s="511"/>
      <c r="I330" s="511"/>
      <c r="J330" s="511"/>
      <c r="K330" s="511"/>
      <c r="L330" s="528"/>
      <c r="M330" s="528"/>
      <c r="N330" s="528"/>
      <c r="O330" s="528"/>
      <c r="P330" s="528"/>
      <c r="Q330" s="434"/>
      <c r="R330" s="434"/>
      <c r="S330" s="434"/>
      <c r="T330" s="434"/>
      <c r="U330" s="434"/>
      <c r="V330" s="434"/>
      <c r="W330" s="434"/>
      <c r="X330" s="434"/>
      <c r="Y330" s="434"/>
      <c r="Z330" s="434"/>
      <c r="AA330" s="434"/>
      <c r="AB330" s="434"/>
      <c r="AC330" s="434"/>
      <c r="AD330" s="434"/>
    </row>
    <row r="331">
      <c r="A331" s="434"/>
      <c r="B331" s="528"/>
      <c r="C331" s="528"/>
      <c r="D331" s="528"/>
      <c r="E331" s="528"/>
      <c r="F331" s="528"/>
      <c r="G331" s="511"/>
      <c r="H331" s="511"/>
      <c r="I331" s="511"/>
      <c r="J331" s="511"/>
      <c r="K331" s="511"/>
      <c r="L331" s="528"/>
      <c r="M331" s="528"/>
      <c r="N331" s="528"/>
      <c r="O331" s="528"/>
      <c r="P331" s="528"/>
      <c r="Q331" s="434"/>
      <c r="R331" s="434"/>
      <c r="S331" s="434"/>
      <c r="T331" s="434"/>
      <c r="U331" s="434"/>
      <c r="V331" s="434"/>
      <c r="W331" s="434"/>
      <c r="X331" s="434"/>
      <c r="Y331" s="434"/>
      <c r="Z331" s="434"/>
      <c r="AA331" s="434"/>
      <c r="AB331" s="434"/>
      <c r="AC331" s="434"/>
      <c r="AD331" s="434"/>
    </row>
    <row r="332">
      <c r="A332" s="434"/>
      <c r="B332" s="528"/>
      <c r="C332" s="528"/>
      <c r="D332" s="528"/>
      <c r="E332" s="528"/>
      <c r="F332" s="528"/>
      <c r="G332" s="511"/>
      <c r="H332" s="511"/>
      <c r="I332" s="511"/>
      <c r="J332" s="511"/>
      <c r="K332" s="511"/>
      <c r="L332" s="528"/>
      <c r="M332" s="528"/>
      <c r="N332" s="528"/>
      <c r="O332" s="528"/>
      <c r="P332" s="528"/>
      <c r="Q332" s="434"/>
      <c r="R332" s="434"/>
      <c r="S332" s="434"/>
      <c r="T332" s="434"/>
      <c r="U332" s="434"/>
      <c r="V332" s="434"/>
      <c r="W332" s="434"/>
      <c r="X332" s="434"/>
      <c r="Y332" s="434"/>
      <c r="Z332" s="434"/>
      <c r="AA332" s="434"/>
      <c r="AB332" s="434"/>
      <c r="AC332" s="434"/>
      <c r="AD332" s="434"/>
    </row>
    <row r="333">
      <c r="A333" s="434"/>
      <c r="B333" s="528"/>
      <c r="C333" s="528"/>
      <c r="D333" s="528"/>
      <c r="E333" s="528"/>
      <c r="F333" s="528"/>
      <c r="G333" s="511"/>
      <c r="H333" s="511"/>
      <c r="I333" s="511"/>
      <c r="J333" s="511"/>
      <c r="K333" s="511"/>
      <c r="L333" s="528"/>
      <c r="M333" s="528"/>
      <c r="N333" s="528"/>
      <c r="O333" s="528"/>
      <c r="P333" s="528"/>
      <c r="Q333" s="434"/>
      <c r="R333" s="434"/>
      <c r="S333" s="434"/>
      <c r="T333" s="434"/>
      <c r="U333" s="434"/>
      <c r="V333" s="434"/>
      <c r="W333" s="434"/>
      <c r="X333" s="434"/>
      <c r="Y333" s="434"/>
      <c r="Z333" s="434"/>
      <c r="AA333" s="434"/>
      <c r="AB333" s="434"/>
      <c r="AC333" s="434"/>
      <c r="AD333" s="434"/>
    </row>
    <row r="334">
      <c r="A334" s="434"/>
      <c r="B334" s="528"/>
      <c r="C334" s="528"/>
      <c r="D334" s="528"/>
      <c r="E334" s="528"/>
      <c r="F334" s="528"/>
      <c r="G334" s="511"/>
      <c r="H334" s="511"/>
      <c r="I334" s="511"/>
      <c r="J334" s="511"/>
      <c r="K334" s="511"/>
      <c r="L334" s="528"/>
      <c r="M334" s="528"/>
      <c r="N334" s="528"/>
      <c r="O334" s="528"/>
      <c r="P334" s="528"/>
      <c r="Q334" s="434"/>
      <c r="R334" s="434"/>
      <c r="S334" s="434"/>
      <c r="T334" s="434"/>
      <c r="U334" s="434"/>
      <c r="V334" s="434"/>
      <c r="W334" s="434"/>
      <c r="X334" s="434"/>
      <c r="Y334" s="434"/>
      <c r="Z334" s="434"/>
      <c r="AA334" s="434"/>
      <c r="AB334" s="434"/>
      <c r="AC334" s="434"/>
      <c r="AD334" s="434"/>
    </row>
    <row r="335">
      <c r="A335" s="434"/>
      <c r="B335" s="528"/>
      <c r="C335" s="528"/>
      <c r="D335" s="528"/>
      <c r="E335" s="528"/>
      <c r="F335" s="528"/>
      <c r="G335" s="511"/>
      <c r="H335" s="511"/>
      <c r="I335" s="511"/>
      <c r="J335" s="511"/>
      <c r="K335" s="511"/>
      <c r="L335" s="528"/>
      <c r="M335" s="528"/>
      <c r="N335" s="528"/>
      <c r="O335" s="528"/>
      <c r="P335" s="528"/>
      <c r="Q335" s="434"/>
      <c r="R335" s="434"/>
      <c r="S335" s="434"/>
      <c r="T335" s="434"/>
      <c r="U335" s="434"/>
      <c r="V335" s="434"/>
      <c r="W335" s="434"/>
      <c r="X335" s="434"/>
      <c r="Y335" s="434"/>
      <c r="Z335" s="434"/>
      <c r="AA335" s="434"/>
      <c r="AB335" s="434"/>
      <c r="AC335" s="434"/>
      <c r="AD335" s="434"/>
    </row>
    <row r="336">
      <c r="A336" s="434"/>
      <c r="B336" s="528"/>
      <c r="C336" s="528"/>
      <c r="D336" s="528"/>
      <c r="E336" s="528"/>
      <c r="F336" s="528"/>
      <c r="G336" s="511"/>
      <c r="H336" s="511"/>
      <c r="I336" s="511"/>
      <c r="J336" s="511"/>
      <c r="K336" s="511"/>
      <c r="L336" s="528"/>
      <c r="M336" s="528"/>
      <c r="N336" s="528"/>
      <c r="O336" s="528"/>
      <c r="P336" s="528"/>
      <c r="Q336" s="434"/>
      <c r="R336" s="434"/>
      <c r="S336" s="434"/>
      <c r="T336" s="434"/>
      <c r="U336" s="434"/>
      <c r="V336" s="434"/>
      <c r="W336" s="434"/>
      <c r="X336" s="434"/>
      <c r="Y336" s="434"/>
      <c r="Z336" s="434"/>
      <c r="AA336" s="434"/>
      <c r="AB336" s="434"/>
      <c r="AC336" s="434"/>
      <c r="AD336" s="434"/>
    </row>
    <row r="337">
      <c r="A337" s="434"/>
      <c r="B337" s="528"/>
      <c r="C337" s="528"/>
      <c r="D337" s="528"/>
      <c r="E337" s="528"/>
      <c r="F337" s="528"/>
      <c r="G337" s="511"/>
      <c r="H337" s="511"/>
      <c r="I337" s="511"/>
      <c r="J337" s="511"/>
      <c r="K337" s="511"/>
      <c r="L337" s="528"/>
      <c r="M337" s="528"/>
      <c r="N337" s="528"/>
      <c r="O337" s="528"/>
      <c r="P337" s="528"/>
      <c r="Q337" s="434"/>
      <c r="R337" s="434"/>
      <c r="S337" s="434"/>
      <c r="T337" s="434"/>
      <c r="U337" s="434"/>
      <c r="V337" s="434"/>
      <c r="W337" s="434"/>
      <c r="X337" s="434"/>
      <c r="Y337" s="434"/>
      <c r="Z337" s="434"/>
      <c r="AA337" s="434"/>
      <c r="AB337" s="434"/>
      <c r="AC337" s="434"/>
      <c r="AD337" s="434"/>
    </row>
    <row r="338">
      <c r="A338" s="434"/>
      <c r="B338" s="528"/>
      <c r="C338" s="528"/>
      <c r="D338" s="528"/>
      <c r="E338" s="528"/>
      <c r="F338" s="528"/>
      <c r="G338" s="511"/>
      <c r="H338" s="511"/>
      <c r="I338" s="511"/>
      <c r="J338" s="511"/>
      <c r="K338" s="511"/>
      <c r="L338" s="528"/>
      <c r="M338" s="528"/>
      <c r="N338" s="528"/>
      <c r="O338" s="528"/>
      <c r="P338" s="528"/>
      <c r="Q338" s="434"/>
      <c r="R338" s="434"/>
      <c r="S338" s="434"/>
      <c r="T338" s="434"/>
      <c r="U338" s="434"/>
      <c r="V338" s="434"/>
      <c r="W338" s="434"/>
      <c r="X338" s="434"/>
      <c r="Y338" s="434"/>
      <c r="Z338" s="434"/>
      <c r="AA338" s="434"/>
      <c r="AB338" s="434"/>
      <c r="AC338" s="434"/>
      <c r="AD338" s="434"/>
    </row>
    <row r="339">
      <c r="A339" s="434"/>
      <c r="B339" s="528"/>
      <c r="C339" s="528"/>
      <c r="D339" s="528"/>
      <c r="E339" s="528"/>
      <c r="F339" s="528"/>
      <c r="G339" s="511"/>
      <c r="H339" s="511"/>
      <c r="I339" s="511"/>
      <c r="J339" s="511"/>
      <c r="K339" s="511"/>
      <c r="L339" s="528"/>
      <c r="M339" s="528"/>
      <c r="N339" s="528"/>
      <c r="O339" s="528"/>
      <c r="P339" s="528"/>
      <c r="Q339" s="434"/>
      <c r="R339" s="434"/>
      <c r="S339" s="434"/>
      <c r="T339" s="434"/>
      <c r="U339" s="434"/>
      <c r="V339" s="434"/>
      <c r="W339" s="434"/>
      <c r="X339" s="434"/>
      <c r="Y339" s="434"/>
      <c r="Z339" s="434"/>
      <c r="AA339" s="434"/>
      <c r="AB339" s="434"/>
      <c r="AC339" s="434"/>
      <c r="AD339" s="434"/>
    </row>
    <row r="340">
      <c r="A340" s="434"/>
      <c r="B340" s="528"/>
      <c r="C340" s="528"/>
      <c r="D340" s="528"/>
      <c r="E340" s="528"/>
      <c r="F340" s="528"/>
      <c r="G340" s="511"/>
      <c r="H340" s="511"/>
      <c r="I340" s="511"/>
      <c r="J340" s="511"/>
      <c r="K340" s="511"/>
      <c r="L340" s="528"/>
      <c r="M340" s="528"/>
      <c r="N340" s="528"/>
      <c r="O340" s="528"/>
      <c r="P340" s="528"/>
      <c r="Q340" s="434"/>
      <c r="R340" s="434"/>
      <c r="S340" s="434"/>
      <c r="T340" s="434"/>
      <c r="U340" s="434"/>
      <c r="V340" s="434"/>
      <c r="W340" s="434"/>
      <c r="X340" s="434"/>
      <c r="Y340" s="434"/>
      <c r="Z340" s="434"/>
      <c r="AA340" s="434"/>
      <c r="AB340" s="434"/>
      <c r="AC340" s="434"/>
      <c r="AD340" s="434"/>
    </row>
    <row r="341">
      <c r="A341" s="434"/>
      <c r="B341" s="528"/>
      <c r="C341" s="528"/>
      <c r="D341" s="528"/>
      <c r="E341" s="528"/>
      <c r="F341" s="528"/>
      <c r="G341" s="511"/>
      <c r="H341" s="511"/>
      <c r="I341" s="511"/>
      <c r="J341" s="511"/>
      <c r="K341" s="511"/>
      <c r="L341" s="528"/>
      <c r="M341" s="528"/>
      <c r="N341" s="528"/>
      <c r="O341" s="528"/>
      <c r="P341" s="528"/>
      <c r="Q341" s="434"/>
      <c r="R341" s="434"/>
      <c r="S341" s="434"/>
      <c r="T341" s="434"/>
      <c r="U341" s="434"/>
      <c r="V341" s="434"/>
      <c r="W341" s="434"/>
      <c r="X341" s="434"/>
      <c r="Y341" s="434"/>
      <c r="Z341" s="434"/>
      <c r="AA341" s="434"/>
      <c r="AB341" s="434"/>
      <c r="AC341" s="434"/>
      <c r="AD341" s="434"/>
    </row>
    <row r="342">
      <c r="A342" s="434"/>
      <c r="B342" s="528"/>
      <c r="C342" s="528"/>
      <c r="D342" s="528"/>
      <c r="E342" s="528"/>
      <c r="F342" s="528"/>
      <c r="G342" s="511"/>
      <c r="H342" s="511"/>
      <c r="I342" s="511"/>
      <c r="J342" s="511"/>
      <c r="K342" s="511"/>
      <c r="L342" s="528"/>
      <c r="M342" s="528"/>
      <c r="N342" s="528"/>
      <c r="O342" s="528"/>
      <c r="P342" s="528"/>
      <c r="Q342" s="434"/>
      <c r="R342" s="434"/>
      <c r="S342" s="434"/>
      <c r="T342" s="434"/>
      <c r="U342" s="434"/>
      <c r="V342" s="434"/>
      <c r="W342" s="434"/>
      <c r="X342" s="434"/>
      <c r="Y342" s="434"/>
      <c r="Z342" s="434"/>
      <c r="AA342" s="434"/>
      <c r="AB342" s="434"/>
      <c r="AC342" s="434"/>
      <c r="AD342" s="434"/>
    </row>
    <row r="343">
      <c r="A343" s="434"/>
      <c r="B343" s="528"/>
      <c r="C343" s="528"/>
      <c r="D343" s="528"/>
      <c r="E343" s="528"/>
      <c r="F343" s="528"/>
      <c r="G343" s="511"/>
      <c r="H343" s="511"/>
      <c r="I343" s="511"/>
      <c r="J343" s="511"/>
      <c r="K343" s="511"/>
      <c r="L343" s="528"/>
      <c r="M343" s="528"/>
      <c r="N343" s="528"/>
      <c r="O343" s="528"/>
      <c r="P343" s="528"/>
      <c r="Q343" s="434"/>
      <c r="R343" s="434"/>
      <c r="S343" s="434"/>
      <c r="T343" s="434"/>
      <c r="U343" s="434"/>
      <c r="V343" s="434"/>
      <c r="W343" s="434"/>
      <c r="X343" s="434"/>
      <c r="Y343" s="434"/>
      <c r="Z343" s="434"/>
      <c r="AA343" s="434"/>
      <c r="AB343" s="434"/>
      <c r="AC343" s="434"/>
      <c r="AD343" s="434"/>
    </row>
    <row r="344">
      <c r="A344" s="434"/>
      <c r="B344" s="528"/>
      <c r="C344" s="528"/>
      <c r="D344" s="528"/>
      <c r="E344" s="528"/>
      <c r="F344" s="528"/>
      <c r="G344" s="511"/>
      <c r="H344" s="511"/>
      <c r="I344" s="511"/>
      <c r="J344" s="511"/>
      <c r="K344" s="511"/>
      <c r="L344" s="528"/>
      <c r="M344" s="528"/>
      <c r="N344" s="528"/>
      <c r="O344" s="528"/>
      <c r="P344" s="528"/>
      <c r="Q344" s="434"/>
      <c r="R344" s="434"/>
      <c r="S344" s="434"/>
      <c r="T344" s="434"/>
      <c r="U344" s="434"/>
      <c r="V344" s="434"/>
      <c r="W344" s="434"/>
      <c r="X344" s="434"/>
      <c r="Y344" s="434"/>
      <c r="Z344" s="434"/>
      <c r="AA344" s="434"/>
      <c r="AB344" s="434"/>
      <c r="AC344" s="434"/>
      <c r="AD344" s="434"/>
    </row>
    <row r="345">
      <c r="A345" s="434"/>
      <c r="B345" s="528"/>
      <c r="C345" s="528"/>
      <c r="D345" s="528"/>
      <c r="E345" s="528"/>
      <c r="F345" s="528"/>
      <c r="G345" s="511"/>
      <c r="H345" s="511"/>
      <c r="I345" s="511"/>
      <c r="J345" s="511"/>
      <c r="K345" s="511"/>
      <c r="L345" s="528"/>
      <c r="M345" s="528"/>
      <c r="N345" s="528"/>
      <c r="O345" s="528"/>
      <c r="P345" s="528"/>
      <c r="Q345" s="434"/>
      <c r="R345" s="434"/>
      <c r="S345" s="434"/>
      <c r="T345" s="434"/>
      <c r="U345" s="434"/>
      <c r="V345" s="434"/>
      <c r="W345" s="434"/>
      <c r="X345" s="434"/>
      <c r="Y345" s="434"/>
      <c r="Z345" s="434"/>
      <c r="AA345" s="434"/>
      <c r="AB345" s="434"/>
      <c r="AC345" s="434"/>
      <c r="AD345" s="434"/>
    </row>
    <row r="346">
      <c r="A346" s="434"/>
      <c r="B346" s="528"/>
      <c r="C346" s="528"/>
      <c r="D346" s="528"/>
      <c r="E346" s="528"/>
      <c r="F346" s="528"/>
      <c r="G346" s="511"/>
      <c r="H346" s="511"/>
      <c r="I346" s="511"/>
      <c r="J346" s="511"/>
      <c r="K346" s="511"/>
      <c r="L346" s="528"/>
      <c r="M346" s="528"/>
      <c r="N346" s="528"/>
      <c r="O346" s="528"/>
      <c r="P346" s="528"/>
      <c r="Q346" s="434"/>
      <c r="R346" s="434"/>
      <c r="S346" s="434"/>
      <c r="T346" s="434"/>
      <c r="U346" s="434"/>
      <c r="V346" s="434"/>
      <c r="W346" s="434"/>
      <c r="X346" s="434"/>
      <c r="Y346" s="434"/>
      <c r="Z346" s="434"/>
      <c r="AA346" s="434"/>
      <c r="AB346" s="434"/>
      <c r="AC346" s="434"/>
      <c r="AD346" s="434"/>
    </row>
    <row r="347">
      <c r="A347" s="434"/>
      <c r="B347" s="528"/>
      <c r="C347" s="528"/>
      <c r="D347" s="528"/>
      <c r="E347" s="528"/>
      <c r="F347" s="528"/>
      <c r="G347" s="511"/>
      <c r="H347" s="511"/>
      <c r="I347" s="511"/>
      <c r="J347" s="511"/>
      <c r="K347" s="511"/>
      <c r="L347" s="528"/>
      <c r="M347" s="528"/>
      <c r="N347" s="528"/>
      <c r="O347" s="528"/>
      <c r="P347" s="528"/>
      <c r="Q347" s="434"/>
      <c r="R347" s="434"/>
      <c r="S347" s="434"/>
      <c r="T347" s="434"/>
      <c r="U347" s="434"/>
      <c r="V347" s="434"/>
      <c r="W347" s="434"/>
      <c r="X347" s="434"/>
      <c r="Y347" s="434"/>
      <c r="Z347" s="434"/>
      <c r="AA347" s="434"/>
      <c r="AB347" s="434"/>
      <c r="AC347" s="434"/>
      <c r="AD347" s="434"/>
    </row>
    <row r="348">
      <c r="A348" s="434"/>
      <c r="B348" s="528"/>
      <c r="C348" s="528"/>
      <c r="D348" s="528"/>
      <c r="E348" s="528"/>
      <c r="F348" s="528"/>
      <c r="G348" s="511"/>
      <c r="H348" s="511"/>
      <c r="I348" s="511"/>
      <c r="J348" s="511"/>
      <c r="K348" s="511"/>
      <c r="L348" s="528"/>
      <c r="M348" s="528"/>
      <c r="N348" s="528"/>
      <c r="O348" s="528"/>
      <c r="P348" s="528"/>
      <c r="Q348" s="434"/>
      <c r="R348" s="434"/>
      <c r="S348" s="434"/>
      <c r="T348" s="434"/>
      <c r="U348" s="434"/>
      <c r="V348" s="434"/>
      <c r="W348" s="434"/>
      <c r="X348" s="434"/>
      <c r="Y348" s="434"/>
      <c r="Z348" s="434"/>
      <c r="AA348" s="434"/>
      <c r="AB348" s="434"/>
      <c r="AC348" s="434"/>
      <c r="AD348" s="434"/>
    </row>
    <row r="349">
      <c r="A349" s="434"/>
      <c r="B349" s="528"/>
      <c r="C349" s="528"/>
      <c r="D349" s="528"/>
      <c r="E349" s="528"/>
      <c r="F349" s="528"/>
      <c r="G349" s="511"/>
      <c r="H349" s="511"/>
      <c r="I349" s="511"/>
      <c r="J349" s="511"/>
      <c r="K349" s="511"/>
      <c r="L349" s="528"/>
      <c r="M349" s="528"/>
      <c r="N349" s="528"/>
      <c r="O349" s="528"/>
      <c r="P349" s="528"/>
      <c r="Q349" s="434"/>
      <c r="R349" s="434"/>
      <c r="S349" s="434"/>
      <c r="T349" s="434"/>
      <c r="U349" s="434"/>
      <c r="V349" s="434"/>
      <c r="W349" s="434"/>
      <c r="X349" s="434"/>
      <c r="Y349" s="434"/>
      <c r="Z349" s="434"/>
      <c r="AA349" s="434"/>
      <c r="AB349" s="434"/>
      <c r="AC349" s="434"/>
      <c r="AD349" s="434"/>
    </row>
    <row r="350">
      <c r="A350" s="434"/>
      <c r="B350" s="528"/>
      <c r="C350" s="528"/>
      <c r="D350" s="528"/>
      <c r="E350" s="528"/>
      <c r="F350" s="528"/>
      <c r="G350" s="511"/>
      <c r="H350" s="511"/>
      <c r="I350" s="511"/>
      <c r="J350" s="511"/>
      <c r="K350" s="511"/>
      <c r="L350" s="528"/>
      <c r="M350" s="528"/>
      <c r="N350" s="528"/>
      <c r="O350" s="528"/>
      <c r="P350" s="528"/>
      <c r="Q350" s="434"/>
      <c r="R350" s="434"/>
      <c r="S350" s="434"/>
      <c r="T350" s="434"/>
      <c r="U350" s="434"/>
      <c r="V350" s="434"/>
      <c r="W350" s="434"/>
      <c r="X350" s="434"/>
      <c r="Y350" s="434"/>
      <c r="Z350" s="434"/>
      <c r="AA350" s="434"/>
      <c r="AB350" s="434"/>
      <c r="AC350" s="434"/>
      <c r="AD350" s="434"/>
    </row>
    <row r="351">
      <c r="A351" s="434"/>
      <c r="B351" s="528"/>
      <c r="C351" s="528"/>
      <c r="D351" s="528"/>
      <c r="E351" s="528"/>
      <c r="F351" s="528"/>
      <c r="G351" s="511"/>
      <c r="H351" s="511"/>
      <c r="I351" s="511"/>
      <c r="J351" s="511"/>
      <c r="K351" s="511"/>
      <c r="L351" s="528"/>
      <c r="M351" s="528"/>
      <c r="N351" s="528"/>
      <c r="O351" s="528"/>
      <c r="P351" s="528"/>
      <c r="Q351" s="434"/>
      <c r="R351" s="434"/>
      <c r="S351" s="434"/>
      <c r="T351" s="434"/>
      <c r="U351" s="434"/>
      <c r="V351" s="434"/>
      <c r="W351" s="434"/>
      <c r="X351" s="434"/>
      <c r="Y351" s="434"/>
      <c r="Z351" s="434"/>
      <c r="AA351" s="434"/>
      <c r="AB351" s="434"/>
      <c r="AC351" s="434"/>
      <c r="AD351" s="434"/>
    </row>
    <row r="352">
      <c r="A352" s="434"/>
      <c r="B352" s="528"/>
      <c r="C352" s="528"/>
      <c r="D352" s="528"/>
      <c r="E352" s="528"/>
      <c r="F352" s="528"/>
      <c r="G352" s="511"/>
      <c r="H352" s="511"/>
      <c r="I352" s="511"/>
      <c r="J352" s="511"/>
      <c r="K352" s="511"/>
      <c r="L352" s="528"/>
      <c r="M352" s="528"/>
      <c r="N352" s="528"/>
      <c r="O352" s="528"/>
      <c r="P352" s="528"/>
      <c r="Q352" s="434"/>
      <c r="R352" s="434"/>
      <c r="S352" s="434"/>
      <c r="T352" s="434"/>
      <c r="U352" s="434"/>
      <c r="V352" s="434"/>
      <c r="W352" s="434"/>
      <c r="X352" s="434"/>
      <c r="Y352" s="434"/>
      <c r="Z352" s="434"/>
      <c r="AA352" s="434"/>
      <c r="AB352" s="434"/>
      <c r="AC352" s="434"/>
      <c r="AD352" s="434"/>
    </row>
    <row r="353">
      <c r="A353" s="434"/>
      <c r="B353" s="528"/>
      <c r="C353" s="528"/>
      <c r="D353" s="528"/>
      <c r="E353" s="528"/>
      <c r="F353" s="528"/>
      <c r="G353" s="511"/>
      <c r="H353" s="511"/>
      <c r="I353" s="511"/>
      <c r="J353" s="511"/>
      <c r="K353" s="511"/>
      <c r="L353" s="528"/>
      <c r="M353" s="528"/>
      <c r="N353" s="528"/>
      <c r="O353" s="528"/>
      <c r="P353" s="528"/>
      <c r="Q353" s="434"/>
      <c r="R353" s="434"/>
      <c r="S353" s="434"/>
      <c r="T353" s="434"/>
      <c r="U353" s="434"/>
      <c r="V353" s="434"/>
      <c r="W353" s="434"/>
      <c r="X353" s="434"/>
      <c r="Y353" s="434"/>
      <c r="Z353" s="434"/>
      <c r="AA353" s="434"/>
      <c r="AB353" s="434"/>
      <c r="AC353" s="434"/>
      <c r="AD353" s="434"/>
    </row>
    <row r="354">
      <c r="A354" s="434"/>
      <c r="B354" s="528"/>
      <c r="C354" s="528"/>
      <c r="D354" s="528"/>
      <c r="E354" s="528"/>
      <c r="F354" s="528"/>
      <c r="G354" s="511"/>
      <c r="H354" s="511"/>
      <c r="I354" s="511"/>
      <c r="J354" s="511"/>
      <c r="K354" s="511"/>
      <c r="L354" s="528"/>
      <c r="M354" s="528"/>
      <c r="N354" s="528"/>
      <c r="O354" s="528"/>
      <c r="P354" s="528"/>
      <c r="Q354" s="434"/>
      <c r="R354" s="434"/>
      <c r="S354" s="434"/>
      <c r="T354" s="434"/>
      <c r="U354" s="434"/>
      <c r="V354" s="434"/>
      <c r="W354" s="434"/>
      <c r="X354" s="434"/>
      <c r="Y354" s="434"/>
      <c r="Z354" s="434"/>
      <c r="AA354" s="434"/>
      <c r="AB354" s="434"/>
      <c r="AC354" s="434"/>
      <c r="AD354" s="434"/>
    </row>
    <row r="355">
      <c r="A355" s="434"/>
      <c r="B355" s="528"/>
      <c r="C355" s="528"/>
      <c r="D355" s="528"/>
      <c r="E355" s="528"/>
      <c r="F355" s="528"/>
      <c r="G355" s="511"/>
      <c r="H355" s="511"/>
      <c r="I355" s="511"/>
      <c r="J355" s="511"/>
      <c r="K355" s="511"/>
      <c r="L355" s="528"/>
      <c r="M355" s="528"/>
      <c r="N355" s="528"/>
      <c r="O355" s="528"/>
      <c r="P355" s="528"/>
      <c r="Q355" s="434"/>
      <c r="R355" s="434"/>
      <c r="S355" s="434"/>
      <c r="T355" s="434"/>
      <c r="U355" s="434"/>
      <c r="V355" s="434"/>
      <c r="W355" s="434"/>
      <c r="X355" s="434"/>
      <c r="Y355" s="434"/>
      <c r="Z355" s="434"/>
      <c r="AA355" s="434"/>
      <c r="AB355" s="434"/>
      <c r="AC355" s="434"/>
      <c r="AD355" s="434"/>
    </row>
    <row r="356">
      <c r="A356" s="434"/>
      <c r="B356" s="528"/>
      <c r="C356" s="528"/>
      <c r="D356" s="528"/>
      <c r="E356" s="528"/>
      <c r="F356" s="528"/>
      <c r="G356" s="511"/>
      <c r="H356" s="511"/>
      <c r="I356" s="511"/>
      <c r="J356" s="511"/>
      <c r="K356" s="511"/>
      <c r="L356" s="528"/>
      <c r="M356" s="528"/>
      <c r="N356" s="528"/>
      <c r="O356" s="528"/>
      <c r="P356" s="528"/>
      <c r="Q356" s="434"/>
      <c r="R356" s="434"/>
      <c r="S356" s="434"/>
      <c r="T356" s="434"/>
      <c r="U356" s="434"/>
      <c r="V356" s="434"/>
      <c r="W356" s="434"/>
      <c r="X356" s="434"/>
      <c r="Y356" s="434"/>
      <c r="Z356" s="434"/>
      <c r="AA356" s="434"/>
      <c r="AB356" s="434"/>
      <c r="AC356" s="434"/>
      <c r="AD356" s="434"/>
    </row>
    <row r="357">
      <c r="A357" s="434"/>
      <c r="B357" s="528"/>
      <c r="C357" s="528"/>
      <c r="D357" s="528"/>
      <c r="E357" s="528"/>
      <c r="F357" s="528"/>
      <c r="G357" s="511"/>
      <c r="H357" s="511"/>
      <c r="I357" s="511"/>
      <c r="J357" s="511"/>
      <c r="K357" s="511"/>
      <c r="L357" s="528"/>
      <c r="M357" s="528"/>
      <c r="N357" s="528"/>
      <c r="O357" s="528"/>
      <c r="P357" s="528"/>
      <c r="Q357" s="434"/>
      <c r="R357" s="434"/>
      <c r="S357" s="434"/>
      <c r="T357" s="434"/>
      <c r="U357" s="434"/>
      <c r="V357" s="434"/>
      <c r="W357" s="434"/>
      <c r="X357" s="434"/>
      <c r="Y357" s="434"/>
      <c r="Z357" s="434"/>
      <c r="AA357" s="434"/>
      <c r="AB357" s="434"/>
      <c r="AC357" s="434"/>
      <c r="AD357" s="434"/>
    </row>
    <row r="358">
      <c r="A358" s="434"/>
      <c r="B358" s="528"/>
      <c r="C358" s="528"/>
      <c r="D358" s="528"/>
      <c r="E358" s="528"/>
      <c r="F358" s="528"/>
      <c r="G358" s="511"/>
      <c r="H358" s="511"/>
      <c r="I358" s="511"/>
      <c r="J358" s="511"/>
      <c r="K358" s="511"/>
      <c r="L358" s="528"/>
      <c r="M358" s="528"/>
      <c r="N358" s="528"/>
      <c r="O358" s="528"/>
      <c r="P358" s="528"/>
      <c r="Q358" s="434"/>
      <c r="R358" s="434"/>
      <c r="S358" s="434"/>
      <c r="T358" s="434"/>
      <c r="U358" s="434"/>
      <c r="V358" s="434"/>
      <c r="W358" s="434"/>
      <c r="X358" s="434"/>
      <c r="Y358" s="434"/>
      <c r="Z358" s="434"/>
      <c r="AA358" s="434"/>
      <c r="AB358" s="434"/>
      <c r="AC358" s="434"/>
      <c r="AD358" s="434"/>
    </row>
    <row r="359">
      <c r="A359" s="434"/>
      <c r="B359" s="528"/>
      <c r="C359" s="528"/>
      <c r="D359" s="528"/>
      <c r="E359" s="528"/>
      <c r="F359" s="528"/>
      <c r="G359" s="511"/>
      <c r="H359" s="511"/>
      <c r="I359" s="511"/>
      <c r="J359" s="511"/>
      <c r="K359" s="511"/>
      <c r="L359" s="528"/>
      <c r="M359" s="528"/>
      <c r="N359" s="528"/>
      <c r="O359" s="528"/>
      <c r="P359" s="528"/>
      <c r="Q359" s="434"/>
      <c r="R359" s="434"/>
      <c r="S359" s="434"/>
      <c r="T359" s="434"/>
      <c r="U359" s="434"/>
      <c r="V359" s="434"/>
      <c r="W359" s="434"/>
      <c r="X359" s="434"/>
      <c r="Y359" s="434"/>
      <c r="Z359" s="434"/>
      <c r="AA359" s="434"/>
      <c r="AB359" s="434"/>
      <c r="AC359" s="434"/>
      <c r="AD359" s="434"/>
    </row>
    <row r="360">
      <c r="A360" s="434"/>
      <c r="B360" s="528"/>
      <c r="C360" s="528"/>
      <c r="D360" s="528"/>
      <c r="E360" s="528"/>
      <c r="F360" s="528"/>
      <c r="G360" s="511"/>
      <c r="H360" s="511"/>
      <c r="I360" s="511"/>
      <c r="J360" s="511"/>
      <c r="K360" s="511"/>
      <c r="L360" s="528"/>
      <c r="M360" s="528"/>
      <c r="N360" s="528"/>
      <c r="O360" s="528"/>
      <c r="P360" s="528"/>
      <c r="Q360" s="434"/>
      <c r="R360" s="434"/>
      <c r="S360" s="434"/>
      <c r="T360" s="434"/>
      <c r="U360" s="434"/>
      <c r="V360" s="434"/>
      <c r="W360" s="434"/>
      <c r="X360" s="434"/>
      <c r="Y360" s="434"/>
      <c r="Z360" s="434"/>
      <c r="AA360" s="434"/>
      <c r="AB360" s="434"/>
      <c r="AC360" s="434"/>
      <c r="AD360" s="434"/>
    </row>
    <row r="361">
      <c r="A361" s="434"/>
      <c r="B361" s="528"/>
      <c r="C361" s="528"/>
      <c r="D361" s="528"/>
      <c r="E361" s="528"/>
      <c r="F361" s="528"/>
      <c r="G361" s="511"/>
      <c r="H361" s="511"/>
      <c r="I361" s="511"/>
      <c r="J361" s="511"/>
      <c r="K361" s="511"/>
      <c r="L361" s="528"/>
      <c r="M361" s="528"/>
      <c r="N361" s="528"/>
      <c r="O361" s="528"/>
      <c r="P361" s="528"/>
      <c r="Q361" s="434"/>
      <c r="R361" s="434"/>
      <c r="S361" s="434"/>
      <c r="T361" s="434"/>
      <c r="U361" s="434"/>
      <c r="V361" s="434"/>
      <c r="W361" s="434"/>
      <c r="X361" s="434"/>
      <c r="Y361" s="434"/>
      <c r="Z361" s="434"/>
      <c r="AA361" s="434"/>
      <c r="AB361" s="434"/>
      <c r="AC361" s="434"/>
      <c r="AD361" s="434"/>
    </row>
    <row r="362">
      <c r="A362" s="434"/>
      <c r="B362" s="528"/>
      <c r="C362" s="528"/>
      <c r="D362" s="528"/>
      <c r="E362" s="528"/>
      <c r="F362" s="528"/>
      <c r="G362" s="511"/>
      <c r="H362" s="511"/>
      <c r="I362" s="511"/>
      <c r="J362" s="511"/>
      <c r="K362" s="511"/>
      <c r="L362" s="528"/>
      <c r="M362" s="528"/>
      <c r="N362" s="528"/>
      <c r="O362" s="528"/>
      <c r="P362" s="528"/>
      <c r="Q362" s="434"/>
      <c r="R362" s="434"/>
      <c r="S362" s="434"/>
      <c r="T362" s="434"/>
      <c r="U362" s="434"/>
      <c r="V362" s="434"/>
      <c r="W362" s="434"/>
      <c r="X362" s="434"/>
      <c r="Y362" s="434"/>
      <c r="Z362" s="434"/>
      <c r="AA362" s="434"/>
      <c r="AB362" s="434"/>
      <c r="AC362" s="434"/>
      <c r="AD362" s="434"/>
    </row>
    <row r="363">
      <c r="A363" s="434"/>
      <c r="B363" s="528"/>
      <c r="C363" s="528"/>
      <c r="D363" s="528"/>
      <c r="E363" s="528"/>
      <c r="F363" s="528"/>
      <c r="G363" s="511"/>
      <c r="H363" s="511"/>
      <c r="I363" s="511"/>
      <c r="J363" s="511"/>
      <c r="K363" s="511"/>
      <c r="L363" s="528"/>
      <c r="M363" s="528"/>
      <c r="N363" s="528"/>
      <c r="O363" s="528"/>
      <c r="P363" s="528"/>
      <c r="Q363" s="434"/>
      <c r="R363" s="434"/>
      <c r="S363" s="434"/>
      <c r="T363" s="434"/>
      <c r="U363" s="434"/>
      <c r="V363" s="434"/>
      <c r="W363" s="434"/>
      <c r="X363" s="434"/>
      <c r="Y363" s="434"/>
      <c r="Z363" s="434"/>
      <c r="AA363" s="434"/>
      <c r="AB363" s="434"/>
      <c r="AC363" s="434"/>
      <c r="AD363" s="434"/>
    </row>
    <row r="364">
      <c r="A364" s="434"/>
      <c r="B364" s="528"/>
      <c r="C364" s="528"/>
      <c r="D364" s="528"/>
      <c r="E364" s="528"/>
      <c r="F364" s="528"/>
      <c r="G364" s="511"/>
      <c r="H364" s="511"/>
      <c r="I364" s="511"/>
      <c r="J364" s="511"/>
      <c r="K364" s="511"/>
      <c r="L364" s="528"/>
      <c r="M364" s="528"/>
      <c r="N364" s="528"/>
      <c r="O364" s="528"/>
      <c r="P364" s="528"/>
      <c r="Q364" s="434"/>
      <c r="R364" s="434"/>
      <c r="S364" s="434"/>
      <c r="T364" s="434"/>
      <c r="U364" s="434"/>
      <c r="V364" s="434"/>
      <c r="W364" s="434"/>
      <c r="X364" s="434"/>
      <c r="Y364" s="434"/>
      <c r="Z364" s="434"/>
      <c r="AA364" s="434"/>
      <c r="AB364" s="434"/>
      <c r="AC364" s="434"/>
      <c r="AD364" s="434"/>
    </row>
    <row r="365">
      <c r="A365" s="434"/>
      <c r="B365" s="528"/>
      <c r="C365" s="528"/>
      <c r="D365" s="528"/>
      <c r="E365" s="528"/>
      <c r="F365" s="528"/>
      <c r="G365" s="511"/>
      <c r="H365" s="511"/>
      <c r="I365" s="511"/>
      <c r="J365" s="511"/>
      <c r="K365" s="511"/>
      <c r="L365" s="528"/>
      <c r="M365" s="528"/>
      <c r="N365" s="528"/>
      <c r="O365" s="528"/>
      <c r="P365" s="528"/>
      <c r="Q365" s="434"/>
      <c r="R365" s="434"/>
      <c r="S365" s="434"/>
      <c r="T365" s="434"/>
      <c r="U365" s="434"/>
      <c r="V365" s="434"/>
      <c r="W365" s="434"/>
      <c r="X365" s="434"/>
      <c r="Y365" s="434"/>
      <c r="Z365" s="434"/>
      <c r="AA365" s="434"/>
      <c r="AB365" s="434"/>
      <c r="AC365" s="434"/>
      <c r="AD365" s="434"/>
    </row>
    <row r="366">
      <c r="A366" s="434"/>
      <c r="B366" s="528"/>
      <c r="C366" s="528"/>
      <c r="D366" s="528"/>
      <c r="E366" s="528"/>
      <c r="F366" s="528"/>
      <c r="G366" s="511"/>
      <c r="H366" s="511"/>
      <c r="I366" s="511"/>
      <c r="J366" s="511"/>
      <c r="K366" s="511"/>
      <c r="L366" s="528"/>
      <c r="M366" s="528"/>
      <c r="N366" s="528"/>
      <c r="O366" s="528"/>
      <c r="P366" s="528"/>
      <c r="Q366" s="434"/>
      <c r="R366" s="434"/>
      <c r="S366" s="434"/>
      <c r="T366" s="434"/>
      <c r="U366" s="434"/>
      <c r="V366" s="434"/>
      <c r="W366" s="434"/>
      <c r="X366" s="434"/>
      <c r="Y366" s="434"/>
      <c r="Z366" s="434"/>
      <c r="AA366" s="434"/>
      <c r="AB366" s="434"/>
      <c r="AC366" s="434"/>
      <c r="AD366" s="434"/>
    </row>
    <row r="367">
      <c r="A367" s="434"/>
      <c r="B367" s="528"/>
      <c r="C367" s="528"/>
      <c r="D367" s="528"/>
      <c r="E367" s="528"/>
      <c r="F367" s="528"/>
      <c r="G367" s="511"/>
      <c r="H367" s="511"/>
      <c r="I367" s="511"/>
      <c r="J367" s="511"/>
      <c r="K367" s="511"/>
      <c r="L367" s="528"/>
      <c r="M367" s="528"/>
      <c r="N367" s="528"/>
      <c r="O367" s="528"/>
      <c r="P367" s="528"/>
      <c r="Q367" s="434"/>
      <c r="R367" s="434"/>
      <c r="S367" s="434"/>
      <c r="T367" s="434"/>
      <c r="U367" s="434"/>
      <c r="V367" s="434"/>
      <c r="W367" s="434"/>
      <c r="X367" s="434"/>
      <c r="Y367" s="434"/>
      <c r="Z367" s="434"/>
      <c r="AA367" s="434"/>
      <c r="AB367" s="434"/>
      <c r="AC367" s="434"/>
      <c r="AD367" s="434"/>
    </row>
    <row r="368">
      <c r="A368" s="434"/>
      <c r="B368" s="528"/>
      <c r="C368" s="528"/>
      <c r="D368" s="528"/>
      <c r="E368" s="528"/>
      <c r="F368" s="528"/>
      <c r="G368" s="511"/>
      <c r="H368" s="511"/>
      <c r="I368" s="511"/>
      <c r="J368" s="511"/>
      <c r="K368" s="511"/>
      <c r="L368" s="528"/>
      <c r="M368" s="528"/>
      <c r="N368" s="528"/>
      <c r="O368" s="528"/>
      <c r="P368" s="528"/>
      <c r="Q368" s="434"/>
      <c r="R368" s="434"/>
      <c r="S368" s="434"/>
      <c r="T368" s="434"/>
      <c r="U368" s="434"/>
      <c r="V368" s="434"/>
      <c r="W368" s="434"/>
      <c r="X368" s="434"/>
      <c r="Y368" s="434"/>
      <c r="Z368" s="434"/>
      <c r="AA368" s="434"/>
      <c r="AB368" s="434"/>
      <c r="AC368" s="434"/>
      <c r="AD368" s="434"/>
    </row>
    <row r="369">
      <c r="A369" s="434"/>
      <c r="B369" s="528"/>
      <c r="C369" s="528"/>
      <c r="D369" s="528"/>
      <c r="E369" s="528"/>
      <c r="F369" s="528"/>
      <c r="G369" s="511"/>
      <c r="H369" s="511"/>
      <c r="I369" s="511"/>
      <c r="J369" s="511"/>
      <c r="K369" s="511"/>
      <c r="L369" s="528"/>
      <c r="M369" s="528"/>
      <c r="N369" s="528"/>
      <c r="O369" s="528"/>
      <c r="P369" s="528"/>
      <c r="Q369" s="434"/>
      <c r="R369" s="434"/>
      <c r="S369" s="434"/>
      <c r="T369" s="434"/>
      <c r="U369" s="434"/>
      <c r="V369" s="434"/>
      <c r="W369" s="434"/>
      <c r="X369" s="434"/>
      <c r="Y369" s="434"/>
      <c r="Z369" s="434"/>
      <c r="AA369" s="434"/>
      <c r="AB369" s="434"/>
      <c r="AC369" s="434"/>
      <c r="AD369" s="434"/>
    </row>
    <row r="370">
      <c r="A370" s="434"/>
      <c r="B370" s="528"/>
      <c r="C370" s="528"/>
      <c r="D370" s="528"/>
      <c r="E370" s="528"/>
      <c r="F370" s="528"/>
      <c r="G370" s="511"/>
      <c r="H370" s="511"/>
      <c r="I370" s="511"/>
      <c r="J370" s="511"/>
      <c r="K370" s="511"/>
      <c r="L370" s="528"/>
      <c r="M370" s="528"/>
      <c r="N370" s="528"/>
      <c r="O370" s="528"/>
      <c r="P370" s="528"/>
      <c r="Q370" s="434"/>
      <c r="R370" s="434"/>
      <c r="S370" s="434"/>
      <c r="T370" s="434"/>
      <c r="U370" s="434"/>
      <c r="V370" s="434"/>
      <c r="W370" s="434"/>
      <c r="X370" s="434"/>
      <c r="Y370" s="434"/>
      <c r="Z370" s="434"/>
      <c r="AA370" s="434"/>
      <c r="AB370" s="434"/>
      <c r="AC370" s="434"/>
      <c r="AD370" s="434"/>
    </row>
    <row r="371">
      <c r="A371" s="434"/>
      <c r="B371" s="528"/>
      <c r="C371" s="528"/>
      <c r="D371" s="528"/>
      <c r="E371" s="528"/>
      <c r="F371" s="528"/>
      <c r="G371" s="511"/>
      <c r="H371" s="511"/>
      <c r="I371" s="511"/>
      <c r="J371" s="511"/>
      <c r="K371" s="511"/>
      <c r="L371" s="528"/>
      <c r="M371" s="528"/>
      <c r="N371" s="528"/>
      <c r="O371" s="528"/>
      <c r="P371" s="528"/>
      <c r="Q371" s="434"/>
      <c r="R371" s="434"/>
      <c r="S371" s="434"/>
      <c r="T371" s="434"/>
      <c r="U371" s="434"/>
      <c r="V371" s="434"/>
      <c r="W371" s="434"/>
      <c r="X371" s="434"/>
      <c r="Y371" s="434"/>
      <c r="Z371" s="434"/>
      <c r="AA371" s="434"/>
      <c r="AB371" s="434"/>
      <c r="AC371" s="434"/>
      <c r="AD371" s="434"/>
    </row>
    <row r="372">
      <c r="A372" s="434"/>
      <c r="B372" s="528"/>
      <c r="C372" s="528"/>
      <c r="D372" s="528"/>
      <c r="E372" s="528"/>
      <c r="F372" s="528"/>
      <c r="G372" s="511"/>
      <c r="H372" s="511"/>
      <c r="I372" s="511"/>
      <c r="J372" s="511"/>
      <c r="K372" s="511"/>
      <c r="L372" s="528"/>
      <c r="M372" s="528"/>
      <c r="N372" s="528"/>
      <c r="O372" s="528"/>
      <c r="P372" s="528"/>
      <c r="Q372" s="434"/>
      <c r="R372" s="434"/>
      <c r="S372" s="434"/>
      <c r="T372" s="434"/>
      <c r="U372" s="434"/>
      <c r="V372" s="434"/>
      <c r="W372" s="434"/>
      <c r="X372" s="434"/>
      <c r="Y372" s="434"/>
      <c r="Z372" s="434"/>
      <c r="AA372" s="434"/>
      <c r="AB372" s="434"/>
      <c r="AC372" s="434"/>
      <c r="AD372" s="434"/>
    </row>
    <row r="373">
      <c r="A373" s="434"/>
      <c r="B373" s="528"/>
      <c r="C373" s="528"/>
      <c r="D373" s="528"/>
      <c r="E373" s="528"/>
      <c r="F373" s="528"/>
      <c r="G373" s="511"/>
      <c r="H373" s="511"/>
      <c r="I373" s="511"/>
      <c r="J373" s="511"/>
      <c r="K373" s="511"/>
      <c r="L373" s="528"/>
      <c r="M373" s="528"/>
      <c r="N373" s="528"/>
      <c r="O373" s="528"/>
      <c r="P373" s="528"/>
      <c r="Q373" s="434"/>
      <c r="R373" s="434"/>
      <c r="S373" s="434"/>
      <c r="T373" s="434"/>
      <c r="U373" s="434"/>
      <c r="V373" s="434"/>
      <c r="W373" s="434"/>
      <c r="X373" s="434"/>
      <c r="Y373" s="434"/>
      <c r="Z373" s="434"/>
      <c r="AA373" s="434"/>
      <c r="AB373" s="434"/>
      <c r="AC373" s="434"/>
      <c r="AD373" s="434"/>
    </row>
    <row r="374">
      <c r="A374" s="434"/>
      <c r="B374" s="528"/>
      <c r="C374" s="528"/>
      <c r="D374" s="528"/>
      <c r="E374" s="528"/>
      <c r="F374" s="528"/>
      <c r="G374" s="511"/>
      <c r="H374" s="511"/>
      <c r="I374" s="511"/>
      <c r="J374" s="511"/>
      <c r="K374" s="511"/>
      <c r="L374" s="528"/>
      <c r="M374" s="528"/>
      <c r="N374" s="528"/>
      <c r="O374" s="528"/>
      <c r="P374" s="528"/>
      <c r="Q374" s="434"/>
      <c r="R374" s="434"/>
      <c r="S374" s="434"/>
      <c r="T374" s="434"/>
      <c r="U374" s="434"/>
      <c r="V374" s="434"/>
      <c r="W374" s="434"/>
      <c r="X374" s="434"/>
      <c r="Y374" s="434"/>
      <c r="Z374" s="434"/>
      <c r="AA374" s="434"/>
      <c r="AB374" s="434"/>
      <c r="AC374" s="434"/>
      <c r="AD374" s="434"/>
    </row>
    <row r="375">
      <c r="A375" s="434"/>
      <c r="B375" s="528"/>
      <c r="C375" s="528"/>
      <c r="D375" s="528"/>
      <c r="E375" s="528"/>
      <c r="F375" s="528"/>
      <c r="G375" s="511"/>
      <c r="H375" s="511"/>
      <c r="I375" s="511"/>
      <c r="J375" s="511"/>
      <c r="K375" s="511"/>
      <c r="L375" s="528"/>
      <c r="M375" s="528"/>
      <c r="N375" s="528"/>
      <c r="O375" s="528"/>
      <c r="P375" s="528"/>
      <c r="Q375" s="434"/>
      <c r="R375" s="434"/>
      <c r="S375" s="434"/>
      <c r="T375" s="434"/>
      <c r="U375" s="434"/>
      <c r="V375" s="434"/>
      <c r="W375" s="434"/>
      <c r="X375" s="434"/>
      <c r="Y375" s="434"/>
      <c r="Z375" s="434"/>
      <c r="AA375" s="434"/>
      <c r="AB375" s="434"/>
      <c r="AC375" s="434"/>
      <c r="AD375" s="434"/>
    </row>
    <row r="376">
      <c r="A376" s="434"/>
      <c r="B376" s="528"/>
      <c r="C376" s="528"/>
      <c r="D376" s="528"/>
      <c r="E376" s="528"/>
      <c r="F376" s="528"/>
      <c r="G376" s="511"/>
      <c r="H376" s="511"/>
      <c r="I376" s="511"/>
      <c r="J376" s="511"/>
      <c r="K376" s="511"/>
      <c r="L376" s="528"/>
      <c r="M376" s="528"/>
      <c r="N376" s="528"/>
      <c r="O376" s="528"/>
      <c r="P376" s="528"/>
      <c r="Q376" s="434"/>
      <c r="R376" s="434"/>
      <c r="S376" s="434"/>
      <c r="T376" s="434"/>
      <c r="U376" s="434"/>
      <c r="V376" s="434"/>
      <c r="W376" s="434"/>
      <c r="X376" s="434"/>
      <c r="Y376" s="434"/>
      <c r="Z376" s="434"/>
      <c r="AA376" s="434"/>
      <c r="AB376" s="434"/>
      <c r="AC376" s="434"/>
      <c r="AD376" s="434"/>
    </row>
    <row r="377">
      <c r="A377" s="434"/>
      <c r="B377" s="528"/>
      <c r="C377" s="528"/>
      <c r="D377" s="528"/>
      <c r="E377" s="528"/>
      <c r="F377" s="528"/>
      <c r="G377" s="511"/>
      <c r="H377" s="511"/>
      <c r="I377" s="511"/>
      <c r="J377" s="511"/>
      <c r="K377" s="511"/>
      <c r="L377" s="528"/>
      <c r="M377" s="528"/>
      <c r="N377" s="528"/>
      <c r="O377" s="528"/>
      <c r="P377" s="528"/>
      <c r="Q377" s="434"/>
      <c r="R377" s="434"/>
      <c r="S377" s="434"/>
      <c r="T377" s="434"/>
      <c r="U377" s="434"/>
      <c r="V377" s="434"/>
      <c r="W377" s="434"/>
      <c r="X377" s="434"/>
      <c r="Y377" s="434"/>
      <c r="Z377" s="434"/>
      <c r="AA377" s="434"/>
      <c r="AB377" s="434"/>
      <c r="AC377" s="434"/>
      <c r="AD377" s="434"/>
    </row>
    <row r="378">
      <c r="A378" s="434"/>
      <c r="B378" s="528"/>
      <c r="C378" s="528"/>
      <c r="D378" s="528"/>
      <c r="E378" s="528"/>
      <c r="F378" s="528"/>
      <c r="G378" s="511"/>
      <c r="H378" s="511"/>
      <c r="I378" s="511"/>
      <c r="J378" s="511"/>
      <c r="K378" s="511"/>
      <c r="L378" s="528"/>
      <c r="M378" s="528"/>
      <c r="N378" s="528"/>
      <c r="O378" s="528"/>
      <c r="P378" s="528"/>
      <c r="Q378" s="434"/>
      <c r="R378" s="434"/>
      <c r="S378" s="434"/>
      <c r="T378" s="434"/>
      <c r="U378" s="434"/>
      <c r="V378" s="434"/>
      <c r="W378" s="434"/>
      <c r="X378" s="434"/>
      <c r="Y378" s="434"/>
      <c r="Z378" s="434"/>
      <c r="AA378" s="434"/>
      <c r="AB378" s="434"/>
      <c r="AC378" s="434"/>
      <c r="AD378" s="434"/>
    </row>
    <row r="379">
      <c r="A379" s="434"/>
      <c r="B379" s="528"/>
      <c r="C379" s="528"/>
      <c r="D379" s="528"/>
      <c r="E379" s="528"/>
      <c r="F379" s="528"/>
      <c r="G379" s="511"/>
      <c r="H379" s="511"/>
      <c r="I379" s="511"/>
      <c r="J379" s="511"/>
      <c r="K379" s="511"/>
      <c r="L379" s="528"/>
      <c r="M379" s="528"/>
      <c r="N379" s="528"/>
      <c r="O379" s="528"/>
      <c r="P379" s="528"/>
      <c r="Q379" s="434"/>
      <c r="R379" s="434"/>
      <c r="S379" s="434"/>
      <c r="T379" s="434"/>
      <c r="U379" s="434"/>
      <c r="V379" s="434"/>
      <c r="W379" s="434"/>
      <c r="X379" s="434"/>
      <c r="Y379" s="434"/>
      <c r="Z379" s="434"/>
      <c r="AA379" s="434"/>
      <c r="AB379" s="434"/>
      <c r="AC379" s="434"/>
      <c r="AD379" s="434"/>
    </row>
    <row r="380">
      <c r="A380" s="434"/>
      <c r="B380" s="528"/>
      <c r="C380" s="528"/>
      <c r="D380" s="528"/>
      <c r="E380" s="528"/>
      <c r="F380" s="528"/>
      <c r="G380" s="511"/>
      <c r="H380" s="511"/>
      <c r="I380" s="511"/>
      <c r="J380" s="511"/>
      <c r="K380" s="511"/>
      <c r="L380" s="528"/>
      <c r="M380" s="528"/>
      <c r="N380" s="528"/>
      <c r="O380" s="528"/>
      <c r="P380" s="528"/>
      <c r="Q380" s="434"/>
      <c r="R380" s="434"/>
      <c r="S380" s="434"/>
      <c r="T380" s="434"/>
      <c r="U380" s="434"/>
      <c r="V380" s="434"/>
      <c r="W380" s="434"/>
      <c r="X380" s="434"/>
      <c r="Y380" s="434"/>
      <c r="Z380" s="434"/>
      <c r="AA380" s="434"/>
      <c r="AB380" s="434"/>
      <c r="AC380" s="434"/>
      <c r="AD380" s="434"/>
    </row>
    <row r="381">
      <c r="A381" s="434"/>
      <c r="B381" s="528"/>
      <c r="C381" s="528"/>
      <c r="D381" s="528"/>
      <c r="E381" s="528"/>
      <c r="F381" s="528"/>
      <c r="G381" s="511"/>
      <c r="H381" s="511"/>
      <c r="I381" s="511"/>
      <c r="J381" s="511"/>
      <c r="K381" s="511"/>
      <c r="L381" s="528"/>
      <c r="M381" s="528"/>
      <c r="N381" s="528"/>
      <c r="O381" s="528"/>
      <c r="P381" s="528"/>
      <c r="Q381" s="434"/>
      <c r="R381" s="434"/>
      <c r="S381" s="434"/>
      <c r="T381" s="434"/>
      <c r="U381" s="434"/>
      <c r="V381" s="434"/>
      <c r="W381" s="434"/>
      <c r="X381" s="434"/>
      <c r="Y381" s="434"/>
      <c r="Z381" s="434"/>
      <c r="AA381" s="434"/>
      <c r="AB381" s="434"/>
      <c r="AC381" s="434"/>
      <c r="AD381" s="434"/>
    </row>
    <row r="382">
      <c r="A382" s="434"/>
      <c r="B382" s="528"/>
      <c r="C382" s="528"/>
      <c r="D382" s="528"/>
      <c r="E382" s="528"/>
      <c r="F382" s="528"/>
      <c r="G382" s="511"/>
      <c r="H382" s="511"/>
      <c r="I382" s="511"/>
      <c r="J382" s="511"/>
      <c r="K382" s="511"/>
      <c r="L382" s="528"/>
      <c r="M382" s="528"/>
      <c r="N382" s="528"/>
      <c r="O382" s="528"/>
      <c r="P382" s="528"/>
      <c r="Q382" s="434"/>
      <c r="R382" s="434"/>
      <c r="S382" s="434"/>
      <c r="T382" s="434"/>
      <c r="U382" s="434"/>
      <c r="V382" s="434"/>
      <c r="W382" s="434"/>
      <c r="X382" s="434"/>
      <c r="Y382" s="434"/>
      <c r="Z382" s="434"/>
      <c r="AA382" s="434"/>
      <c r="AB382" s="434"/>
      <c r="AC382" s="434"/>
      <c r="AD382" s="434"/>
    </row>
    <row r="383">
      <c r="A383" s="434"/>
      <c r="B383" s="528"/>
      <c r="C383" s="528"/>
      <c r="D383" s="528"/>
      <c r="E383" s="528"/>
      <c r="F383" s="528"/>
      <c r="G383" s="511"/>
      <c r="H383" s="511"/>
      <c r="I383" s="511"/>
      <c r="J383" s="511"/>
      <c r="K383" s="511"/>
      <c r="L383" s="528"/>
      <c r="M383" s="528"/>
      <c r="N383" s="528"/>
      <c r="O383" s="528"/>
      <c r="P383" s="528"/>
      <c r="Q383" s="434"/>
      <c r="R383" s="434"/>
      <c r="S383" s="434"/>
      <c r="T383" s="434"/>
      <c r="U383" s="434"/>
      <c r="V383" s="434"/>
      <c r="W383" s="434"/>
      <c r="X383" s="434"/>
      <c r="Y383" s="434"/>
      <c r="Z383" s="434"/>
      <c r="AA383" s="434"/>
      <c r="AB383" s="434"/>
      <c r="AC383" s="434"/>
      <c r="AD383" s="434"/>
    </row>
    <row r="384">
      <c r="A384" s="434"/>
      <c r="B384" s="528"/>
      <c r="C384" s="528"/>
      <c r="D384" s="528"/>
      <c r="E384" s="528"/>
      <c r="F384" s="528"/>
      <c r="G384" s="511"/>
      <c r="H384" s="511"/>
      <c r="I384" s="511"/>
      <c r="J384" s="511"/>
      <c r="K384" s="511"/>
      <c r="L384" s="528"/>
      <c r="M384" s="528"/>
      <c r="N384" s="528"/>
      <c r="O384" s="528"/>
      <c r="P384" s="528"/>
      <c r="Q384" s="434"/>
      <c r="R384" s="434"/>
      <c r="S384" s="434"/>
      <c r="T384" s="434"/>
      <c r="U384" s="434"/>
      <c r="V384" s="434"/>
      <c r="W384" s="434"/>
      <c r="X384" s="434"/>
      <c r="Y384" s="434"/>
      <c r="Z384" s="434"/>
      <c r="AA384" s="434"/>
      <c r="AB384" s="434"/>
      <c r="AC384" s="434"/>
      <c r="AD384" s="434"/>
    </row>
    <row r="385">
      <c r="A385" s="434"/>
      <c r="B385" s="528"/>
      <c r="C385" s="528"/>
      <c r="D385" s="528"/>
      <c r="E385" s="528"/>
      <c r="F385" s="528"/>
      <c r="G385" s="511"/>
      <c r="H385" s="511"/>
      <c r="I385" s="511"/>
      <c r="J385" s="511"/>
      <c r="K385" s="511"/>
      <c r="L385" s="528"/>
      <c r="M385" s="528"/>
      <c r="N385" s="528"/>
      <c r="O385" s="528"/>
      <c r="P385" s="528"/>
      <c r="Q385" s="434"/>
      <c r="R385" s="434"/>
      <c r="S385" s="434"/>
      <c r="T385" s="434"/>
      <c r="U385" s="434"/>
      <c r="V385" s="434"/>
      <c r="W385" s="434"/>
      <c r="X385" s="434"/>
      <c r="Y385" s="434"/>
      <c r="Z385" s="434"/>
      <c r="AA385" s="434"/>
      <c r="AB385" s="434"/>
      <c r="AC385" s="434"/>
      <c r="AD385" s="434"/>
    </row>
    <row r="386">
      <c r="A386" s="434"/>
      <c r="B386" s="528"/>
      <c r="C386" s="528"/>
      <c r="D386" s="528"/>
      <c r="E386" s="528"/>
      <c r="F386" s="528"/>
      <c r="G386" s="511"/>
      <c r="H386" s="511"/>
      <c r="I386" s="511"/>
      <c r="J386" s="511"/>
      <c r="K386" s="511"/>
      <c r="L386" s="528"/>
      <c r="M386" s="528"/>
      <c r="N386" s="528"/>
      <c r="O386" s="528"/>
      <c r="P386" s="528"/>
      <c r="Q386" s="434"/>
      <c r="R386" s="434"/>
      <c r="S386" s="434"/>
      <c r="T386" s="434"/>
      <c r="U386" s="434"/>
      <c r="V386" s="434"/>
      <c r="W386" s="434"/>
      <c r="X386" s="434"/>
      <c r="Y386" s="434"/>
      <c r="Z386" s="434"/>
      <c r="AA386" s="434"/>
      <c r="AB386" s="434"/>
      <c r="AC386" s="434"/>
      <c r="AD386" s="434"/>
    </row>
    <row r="387">
      <c r="A387" s="434"/>
      <c r="B387" s="528"/>
      <c r="C387" s="528"/>
      <c r="D387" s="528"/>
      <c r="E387" s="528"/>
      <c r="F387" s="528"/>
      <c r="G387" s="511"/>
      <c r="H387" s="511"/>
      <c r="I387" s="511"/>
      <c r="J387" s="511"/>
      <c r="K387" s="511"/>
      <c r="L387" s="528"/>
      <c r="M387" s="528"/>
      <c r="N387" s="528"/>
      <c r="O387" s="528"/>
      <c r="P387" s="528"/>
      <c r="Q387" s="434"/>
      <c r="R387" s="434"/>
      <c r="S387" s="434"/>
      <c r="T387" s="434"/>
      <c r="U387" s="434"/>
      <c r="V387" s="434"/>
      <c r="W387" s="434"/>
      <c r="X387" s="434"/>
      <c r="Y387" s="434"/>
      <c r="Z387" s="434"/>
      <c r="AA387" s="434"/>
      <c r="AB387" s="434"/>
      <c r="AC387" s="434"/>
      <c r="AD387" s="434"/>
    </row>
    <row r="388">
      <c r="A388" s="434"/>
      <c r="B388" s="528"/>
      <c r="C388" s="528"/>
      <c r="D388" s="528"/>
      <c r="E388" s="528"/>
      <c r="F388" s="528"/>
      <c r="G388" s="511"/>
      <c r="H388" s="511"/>
      <c r="I388" s="511"/>
      <c r="J388" s="511"/>
      <c r="K388" s="511"/>
      <c r="L388" s="528"/>
      <c r="M388" s="528"/>
      <c r="N388" s="528"/>
      <c r="O388" s="528"/>
      <c r="P388" s="528"/>
      <c r="Q388" s="434"/>
      <c r="R388" s="434"/>
      <c r="S388" s="434"/>
      <c r="T388" s="434"/>
      <c r="U388" s="434"/>
      <c r="V388" s="434"/>
      <c r="W388" s="434"/>
      <c r="X388" s="434"/>
      <c r="Y388" s="434"/>
      <c r="Z388" s="434"/>
      <c r="AA388" s="434"/>
      <c r="AB388" s="434"/>
      <c r="AC388" s="434"/>
      <c r="AD388" s="434"/>
    </row>
    <row r="389">
      <c r="A389" s="434"/>
      <c r="B389" s="528"/>
      <c r="C389" s="528"/>
      <c r="D389" s="528"/>
      <c r="E389" s="528"/>
      <c r="F389" s="528"/>
      <c r="G389" s="511"/>
      <c r="H389" s="511"/>
      <c r="I389" s="511"/>
      <c r="J389" s="511"/>
      <c r="K389" s="511"/>
      <c r="L389" s="528"/>
      <c r="M389" s="528"/>
      <c r="N389" s="528"/>
      <c r="O389" s="528"/>
      <c r="P389" s="528"/>
      <c r="Q389" s="434"/>
      <c r="R389" s="434"/>
      <c r="S389" s="434"/>
      <c r="T389" s="434"/>
      <c r="U389" s="434"/>
      <c r="V389" s="434"/>
      <c r="W389" s="434"/>
      <c r="X389" s="434"/>
      <c r="Y389" s="434"/>
      <c r="Z389" s="434"/>
      <c r="AA389" s="434"/>
      <c r="AB389" s="434"/>
      <c r="AC389" s="434"/>
      <c r="AD389" s="434"/>
    </row>
    <row r="390">
      <c r="A390" s="434"/>
      <c r="B390" s="528"/>
      <c r="C390" s="528"/>
      <c r="D390" s="528"/>
      <c r="E390" s="528"/>
      <c r="F390" s="528"/>
      <c r="G390" s="511"/>
      <c r="H390" s="511"/>
      <c r="I390" s="511"/>
      <c r="J390" s="511"/>
      <c r="K390" s="511"/>
      <c r="L390" s="528"/>
      <c r="M390" s="528"/>
      <c r="N390" s="528"/>
      <c r="O390" s="528"/>
      <c r="P390" s="528"/>
      <c r="Q390" s="434"/>
      <c r="R390" s="434"/>
      <c r="S390" s="434"/>
      <c r="T390" s="434"/>
      <c r="U390" s="434"/>
      <c r="V390" s="434"/>
      <c r="W390" s="434"/>
      <c r="X390" s="434"/>
      <c r="Y390" s="434"/>
      <c r="Z390" s="434"/>
      <c r="AA390" s="434"/>
      <c r="AB390" s="434"/>
      <c r="AC390" s="434"/>
      <c r="AD390" s="434"/>
    </row>
    <row r="391">
      <c r="A391" s="434"/>
      <c r="B391" s="528"/>
      <c r="C391" s="528"/>
      <c r="D391" s="528"/>
      <c r="E391" s="528"/>
      <c r="F391" s="528"/>
      <c r="G391" s="511"/>
      <c r="H391" s="511"/>
      <c r="I391" s="511"/>
      <c r="J391" s="511"/>
      <c r="K391" s="511"/>
      <c r="L391" s="528"/>
      <c r="M391" s="528"/>
      <c r="N391" s="528"/>
      <c r="O391" s="528"/>
      <c r="P391" s="528"/>
      <c r="Q391" s="434"/>
      <c r="R391" s="434"/>
      <c r="S391" s="434"/>
      <c r="T391" s="434"/>
      <c r="U391" s="434"/>
      <c r="V391" s="434"/>
      <c r="W391" s="434"/>
      <c r="X391" s="434"/>
      <c r="Y391" s="434"/>
      <c r="Z391" s="434"/>
      <c r="AA391" s="434"/>
      <c r="AB391" s="434"/>
      <c r="AC391" s="434"/>
      <c r="AD391" s="434"/>
    </row>
    <row r="392">
      <c r="A392" s="434"/>
      <c r="B392" s="528"/>
      <c r="C392" s="528"/>
      <c r="D392" s="528"/>
      <c r="E392" s="528"/>
      <c r="F392" s="528"/>
      <c r="G392" s="511"/>
      <c r="H392" s="511"/>
      <c r="I392" s="511"/>
      <c r="J392" s="511"/>
      <c r="K392" s="511"/>
      <c r="L392" s="528"/>
      <c r="M392" s="528"/>
      <c r="N392" s="528"/>
      <c r="O392" s="528"/>
      <c r="P392" s="528"/>
      <c r="Q392" s="434"/>
      <c r="R392" s="434"/>
      <c r="S392" s="434"/>
      <c r="T392" s="434"/>
      <c r="U392" s="434"/>
      <c r="V392" s="434"/>
      <c r="W392" s="434"/>
      <c r="X392" s="434"/>
      <c r="Y392" s="434"/>
      <c r="Z392" s="434"/>
      <c r="AA392" s="434"/>
      <c r="AB392" s="434"/>
      <c r="AC392" s="434"/>
      <c r="AD392" s="434"/>
    </row>
    <row r="393">
      <c r="A393" s="434"/>
      <c r="B393" s="528"/>
      <c r="C393" s="528"/>
      <c r="D393" s="528"/>
      <c r="E393" s="528"/>
      <c r="F393" s="528"/>
      <c r="G393" s="511"/>
      <c r="H393" s="511"/>
      <c r="I393" s="511"/>
      <c r="J393" s="511"/>
      <c r="K393" s="511"/>
      <c r="L393" s="528"/>
      <c r="M393" s="528"/>
      <c r="N393" s="528"/>
      <c r="O393" s="528"/>
      <c r="P393" s="528"/>
      <c r="Q393" s="434"/>
      <c r="R393" s="434"/>
      <c r="S393" s="434"/>
      <c r="T393" s="434"/>
      <c r="U393" s="434"/>
      <c r="V393" s="434"/>
      <c r="W393" s="434"/>
      <c r="X393" s="434"/>
      <c r="Y393" s="434"/>
      <c r="Z393" s="434"/>
      <c r="AA393" s="434"/>
      <c r="AB393" s="434"/>
      <c r="AC393" s="434"/>
      <c r="AD393" s="434"/>
    </row>
    <row r="394">
      <c r="A394" s="434"/>
      <c r="B394" s="528"/>
      <c r="C394" s="528"/>
      <c r="D394" s="528"/>
      <c r="E394" s="528"/>
      <c r="F394" s="528"/>
      <c r="G394" s="511"/>
      <c r="H394" s="511"/>
      <c r="I394" s="511"/>
      <c r="J394" s="511"/>
      <c r="K394" s="511"/>
      <c r="L394" s="528"/>
      <c r="M394" s="528"/>
      <c r="N394" s="528"/>
      <c r="O394" s="528"/>
      <c r="P394" s="528"/>
      <c r="Q394" s="434"/>
      <c r="R394" s="434"/>
      <c r="S394" s="434"/>
      <c r="T394" s="434"/>
      <c r="U394" s="434"/>
      <c r="V394" s="434"/>
      <c r="W394" s="434"/>
      <c r="X394" s="434"/>
      <c r="Y394" s="434"/>
      <c r="Z394" s="434"/>
      <c r="AA394" s="434"/>
      <c r="AB394" s="434"/>
      <c r="AC394" s="434"/>
      <c r="AD394" s="434"/>
    </row>
    <row r="395">
      <c r="A395" s="434"/>
      <c r="B395" s="528"/>
      <c r="C395" s="528"/>
      <c r="D395" s="528"/>
      <c r="E395" s="528"/>
      <c r="F395" s="528"/>
      <c r="G395" s="511"/>
      <c r="H395" s="511"/>
      <c r="I395" s="511"/>
      <c r="J395" s="511"/>
      <c r="K395" s="511"/>
      <c r="L395" s="528"/>
      <c r="M395" s="528"/>
      <c r="N395" s="528"/>
      <c r="O395" s="528"/>
      <c r="P395" s="528"/>
      <c r="Q395" s="434"/>
      <c r="R395" s="434"/>
      <c r="S395" s="434"/>
      <c r="T395" s="434"/>
      <c r="U395" s="434"/>
      <c r="V395" s="434"/>
      <c r="W395" s="434"/>
      <c r="X395" s="434"/>
      <c r="Y395" s="434"/>
      <c r="Z395" s="434"/>
      <c r="AA395" s="434"/>
      <c r="AB395" s="434"/>
      <c r="AC395" s="434"/>
      <c r="AD395" s="434"/>
    </row>
    <row r="396">
      <c r="A396" s="434"/>
      <c r="B396" s="528"/>
      <c r="C396" s="528"/>
      <c r="D396" s="528"/>
      <c r="E396" s="528"/>
      <c r="F396" s="528"/>
      <c r="G396" s="511"/>
      <c r="H396" s="511"/>
      <c r="I396" s="511"/>
      <c r="J396" s="511"/>
      <c r="K396" s="511"/>
      <c r="L396" s="528"/>
      <c r="M396" s="528"/>
      <c r="N396" s="528"/>
      <c r="O396" s="528"/>
      <c r="P396" s="528"/>
      <c r="Q396" s="434"/>
      <c r="R396" s="434"/>
      <c r="S396" s="434"/>
      <c r="T396" s="434"/>
      <c r="U396" s="434"/>
      <c r="V396" s="434"/>
      <c r="W396" s="434"/>
      <c r="X396" s="434"/>
      <c r="Y396" s="434"/>
      <c r="Z396" s="434"/>
      <c r="AA396" s="434"/>
      <c r="AB396" s="434"/>
      <c r="AC396" s="434"/>
      <c r="AD396" s="434"/>
    </row>
    <row r="397">
      <c r="A397" s="434"/>
      <c r="B397" s="528"/>
      <c r="C397" s="528"/>
      <c r="D397" s="528"/>
      <c r="E397" s="528"/>
      <c r="F397" s="528"/>
      <c r="G397" s="511"/>
      <c r="H397" s="511"/>
      <c r="I397" s="511"/>
      <c r="J397" s="511"/>
      <c r="K397" s="511"/>
      <c r="L397" s="528"/>
      <c r="M397" s="528"/>
      <c r="N397" s="528"/>
      <c r="O397" s="528"/>
      <c r="P397" s="528"/>
      <c r="Q397" s="434"/>
      <c r="R397" s="434"/>
      <c r="S397" s="434"/>
      <c r="T397" s="434"/>
      <c r="U397" s="434"/>
      <c r="V397" s="434"/>
      <c r="W397" s="434"/>
      <c r="X397" s="434"/>
      <c r="Y397" s="434"/>
      <c r="Z397" s="434"/>
      <c r="AA397" s="434"/>
      <c r="AB397" s="434"/>
      <c r="AC397" s="434"/>
      <c r="AD397" s="434"/>
    </row>
    <row r="398">
      <c r="A398" s="434"/>
      <c r="B398" s="528"/>
      <c r="C398" s="528"/>
      <c r="D398" s="528"/>
      <c r="E398" s="528"/>
      <c r="F398" s="528"/>
      <c r="G398" s="528"/>
      <c r="H398" s="528"/>
      <c r="I398" s="528"/>
      <c r="J398" s="528"/>
      <c r="K398" s="528"/>
      <c r="L398" s="528"/>
      <c r="M398" s="528"/>
      <c r="N398" s="528"/>
      <c r="O398" s="528"/>
      <c r="P398" s="528"/>
      <c r="Q398" s="434"/>
      <c r="R398" s="434"/>
      <c r="S398" s="434"/>
      <c r="T398" s="434"/>
      <c r="U398" s="434"/>
      <c r="V398" s="434"/>
      <c r="W398" s="434"/>
      <c r="X398" s="434"/>
      <c r="Y398" s="434"/>
      <c r="Z398" s="434"/>
      <c r="AA398" s="434"/>
      <c r="AB398" s="434"/>
      <c r="AC398" s="434"/>
      <c r="AD398" s="434"/>
    </row>
    <row r="399">
      <c r="A399" s="434"/>
      <c r="B399" s="528"/>
      <c r="C399" s="528"/>
      <c r="D399" s="528"/>
      <c r="E399" s="528"/>
      <c r="F399" s="528"/>
      <c r="G399" s="528"/>
      <c r="H399" s="528"/>
      <c r="I399" s="528"/>
      <c r="J399" s="528"/>
      <c r="K399" s="528"/>
      <c r="L399" s="528"/>
      <c r="M399" s="528"/>
      <c r="N399" s="528"/>
      <c r="O399" s="528"/>
      <c r="P399" s="528"/>
      <c r="Q399" s="434"/>
      <c r="R399" s="434"/>
      <c r="S399" s="434"/>
      <c r="T399" s="434"/>
      <c r="U399" s="434"/>
      <c r="V399" s="434"/>
      <c r="W399" s="434"/>
      <c r="X399" s="434"/>
      <c r="Y399" s="434"/>
      <c r="Z399" s="434"/>
      <c r="AA399" s="434"/>
      <c r="AB399" s="434"/>
      <c r="AC399" s="434"/>
      <c r="AD399" s="434"/>
    </row>
    <row r="400">
      <c r="A400" s="434"/>
      <c r="B400" s="528"/>
      <c r="C400" s="528"/>
      <c r="D400" s="528"/>
      <c r="E400" s="528"/>
      <c r="F400" s="528"/>
      <c r="G400" s="528"/>
      <c r="H400" s="528"/>
      <c r="I400" s="528"/>
      <c r="J400" s="528"/>
      <c r="K400" s="528"/>
      <c r="L400" s="528"/>
      <c r="M400" s="528"/>
      <c r="N400" s="528"/>
      <c r="O400" s="528"/>
      <c r="P400" s="528"/>
      <c r="Q400" s="434"/>
      <c r="R400" s="434"/>
      <c r="S400" s="434"/>
      <c r="T400" s="434"/>
      <c r="U400" s="434"/>
      <c r="V400" s="434"/>
      <c r="W400" s="434"/>
      <c r="X400" s="434"/>
      <c r="Y400" s="434"/>
      <c r="Z400" s="434"/>
      <c r="AA400" s="434"/>
      <c r="AB400" s="434"/>
      <c r="AC400" s="434"/>
      <c r="AD400" s="434"/>
    </row>
    <row r="401">
      <c r="A401" s="434"/>
      <c r="B401" s="528"/>
      <c r="C401" s="528"/>
      <c r="D401" s="528"/>
      <c r="E401" s="528"/>
      <c r="F401" s="528"/>
      <c r="G401" s="528"/>
      <c r="H401" s="528"/>
      <c r="I401" s="528"/>
      <c r="J401" s="528"/>
      <c r="K401" s="528"/>
      <c r="L401" s="528"/>
      <c r="M401" s="528"/>
      <c r="N401" s="528"/>
      <c r="O401" s="528"/>
      <c r="P401" s="528"/>
      <c r="Q401" s="434"/>
      <c r="R401" s="434"/>
      <c r="S401" s="434"/>
      <c r="T401" s="434"/>
      <c r="U401" s="434"/>
      <c r="V401" s="434"/>
      <c r="W401" s="434"/>
      <c r="X401" s="434"/>
      <c r="Y401" s="434"/>
      <c r="Z401" s="434"/>
      <c r="AA401" s="434"/>
      <c r="AB401" s="434"/>
      <c r="AC401" s="434"/>
      <c r="AD401" s="434"/>
    </row>
    <row r="402">
      <c r="A402" s="434"/>
      <c r="B402" s="528"/>
      <c r="C402" s="528"/>
      <c r="D402" s="528"/>
      <c r="E402" s="528"/>
      <c r="F402" s="528"/>
      <c r="G402" s="528"/>
      <c r="H402" s="528"/>
      <c r="I402" s="528"/>
      <c r="J402" s="528"/>
      <c r="K402" s="528"/>
      <c r="L402" s="528"/>
      <c r="M402" s="528"/>
      <c r="N402" s="528"/>
      <c r="O402" s="528"/>
      <c r="P402" s="528"/>
      <c r="Q402" s="434"/>
      <c r="R402" s="434"/>
      <c r="S402" s="434"/>
      <c r="T402" s="434"/>
      <c r="U402" s="434"/>
      <c r="V402" s="434"/>
      <c r="W402" s="434"/>
      <c r="X402" s="434"/>
      <c r="Y402" s="434"/>
      <c r="Z402" s="434"/>
      <c r="AA402" s="434"/>
      <c r="AB402" s="434"/>
      <c r="AC402" s="434"/>
      <c r="AD402" s="434"/>
    </row>
    <row r="403">
      <c r="A403" s="434"/>
      <c r="B403" s="528"/>
      <c r="C403" s="528"/>
      <c r="D403" s="528"/>
      <c r="E403" s="528"/>
      <c r="F403" s="528"/>
      <c r="G403" s="528"/>
      <c r="H403" s="528"/>
      <c r="I403" s="528"/>
      <c r="J403" s="528"/>
      <c r="K403" s="528"/>
      <c r="L403" s="528"/>
      <c r="M403" s="528"/>
      <c r="N403" s="528"/>
      <c r="O403" s="528"/>
      <c r="P403" s="528"/>
      <c r="Q403" s="434"/>
      <c r="R403" s="434"/>
      <c r="S403" s="434"/>
      <c r="T403" s="434"/>
      <c r="U403" s="434"/>
      <c r="V403" s="434"/>
      <c r="W403" s="434"/>
      <c r="X403" s="434"/>
      <c r="Y403" s="434"/>
      <c r="Z403" s="434"/>
      <c r="AA403" s="434"/>
      <c r="AB403" s="434"/>
      <c r="AC403" s="434"/>
      <c r="AD403" s="434"/>
    </row>
    <row r="404">
      <c r="A404" s="434"/>
      <c r="B404" s="528"/>
      <c r="C404" s="528"/>
      <c r="D404" s="528"/>
      <c r="E404" s="528"/>
      <c r="F404" s="528"/>
      <c r="G404" s="528"/>
      <c r="H404" s="528"/>
      <c r="I404" s="528"/>
      <c r="J404" s="528"/>
      <c r="K404" s="528"/>
      <c r="L404" s="528"/>
      <c r="M404" s="528"/>
      <c r="N404" s="528"/>
      <c r="O404" s="528"/>
      <c r="P404" s="528"/>
      <c r="Q404" s="434"/>
      <c r="R404" s="434"/>
      <c r="S404" s="434"/>
      <c r="T404" s="434"/>
      <c r="U404" s="434"/>
      <c r="V404" s="434"/>
      <c r="W404" s="434"/>
      <c r="X404" s="434"/>
      <c r="Y404" s="434"/>
      <c r="Z404" s="434"/>
      <c r="AA404" s="434"/>
      <c r="AB404" s="434"/>
      <c r="AC404" s="434"/>
      <c r="AD404" s="434"/>
    </row>
    <row r="405">
      <c r="A405" s="434"/>
      <c r="B405" s="528"/>
      <c r="C405" s="528"/>
      <c r="D405" s="528"/>
      <c r="E405" s="528"/>
      <c r="F405" s="528"/>
      <c r="G405" s="528"/>
      <c r="H405" s="528"/>
      <c r="I405" s="528"/>
      <c r="J405" s="528"/>
      <c r="K405" s="528"/>
      <c r="L405" s="528"/>
      <c r="M405" s="528"/>
      <c r="N405" s="528"/>
      <c r="O405" s="528"/>
      <c r="P405" s="528"/>
      <c r="Q405" s="434"/>
      <c r="R405" s="434"/>
      <c r="S405" s="434"/>
      <c r="T405" s="434"/>
      <c r="U405" s="434"/>
      <c r="V405" s="434"/>
      <c r="W405" s="434"/>
      <c r="X405" s="434"/>
      <c r="Y405" s="434"/>
      <c r="Z405" s="434"/>
      <c r="AA405" s="434"/>
      <c r="AB405" s="434"/>
      <c r="AC405" s="434"/>
      <c r="AD405" s="434"/>
    </row>
    <row r="406">
      <c r="A406" s="434"/>
      <c r="B406" s="528"/>
      <c r="C406" s="528"/>
      <c r="D406" s="528"/>
      <c r="E406" s="528"/>
      <c r="F406" s="528"/>
      <c r="G406" s="528"/>
      <c r="H406" s="528"/>
      <c r="I406" s="528"/>
      <c r="J406" s="528"/>
      <c r="K406" s="528"/>
      <c r="L406" s="528"/>
      <c r="M406" s="528"/>
      <c r="N406" s="528"/>
      <c r="O406" s="528"/>
      <c r="P406" s="528"/>
      <c r="Q406" s="434"/>
      <c r="R406" s="434"/>
      <c r="S406" s="434"/>
      <c r="T406" s="434"/>
      <c r="U406" s="434"/>
      <c r="V406" s="434"/>
      <c r="W406" s="434"/>
      <c r="X406" s="434"/>
      <c r="Y406" s="434"/>
      <c r="Z406" s="434"/>
      <c r="AA406" s="434"/>
      <c r="AB406" s="434"/>
      <c r="AC406" s="434"/>
      <c r="AD406" s="434"/>
    </row>
    <row r="407">
      <c r="A407" s="434"/>
      <c r="B407" s="528"/>
      <c r="C407" s="528"/>
      <c r="D407" s="528"/>
      <c r="E407" s="528"/>
      <c r="F407" s="528"/>
      <c r="G407" s="528"/>
      <c r="H407" s="528"/>
      <c r="I407" s="528"/>
      <c r="J407" s="528"/>
      <c r="K407" s="528"/>
      <c r="L407" s="528"/>
      <c r="M407" s="528"/>
      <c r="N407" s="528"/>
      <c r="O407" s="528"/>
      <c r="P407" s="528"/>
      <c r="Q407" s="434"/>
      <c r="R407" s="434"/>
      <c r="S407" s="434"/>
      <c r="T407" s="434"/>
      <c r="U407" s="434"/>
      <c r="V407" s="434"/>
      <c r="W407" s="434"/>
      <c r="X407" s="434"/>
      <c r="Y407" s="434"/>
      <c r="Z407" s="434"/>
      <c r="AA407" s="434"/>
      <c r="AB407" s="434"/>
      <c r="AC407" s="434"/>
      <c r="AD407" s="434"/>
    </row>
    <row r="408">
      <c r="A408" s="434"/>
      <c r="B408" s="528"/>
      <c r="C408" s="528"/>
      <c r="D408" s="528"/>
      <c r="E408" s="528"/>
      <c r="F408" s="528"/>
      <c r="G408" s="528"/>
      <c r="H408" s="528"/>
      <c r="I408" s="528"/>
      <c r="J408" s="528"/>
      <c r="K408" s="528"/>
      <c r="L408" s="528"/>
      <c r="M408" s="528"/>
      <c r="N408" s="528"/>
      <c r="O408" s="528"/>
      <c r="P408" s="528"/>
      <c r="Q408" s="434"/>
      <c r="R408" s="434"/>
      <c r="S408" s="434"/>
      <c r="T408" s="434"/>
      <c r="U408" s="434"/>
      <c r="V408" s="434"/>
      <c r="W408" s="434"/>
      <c r="X408" s="434"/>
      <c r="Y408" s="434"/>
      <c r="Z408" s="434"/>
      <c r="AA408" s="434"/>
      <c r="AB408" s="434"/>
      <c r="AC408" s="434"/>
      <c r="AD408" s="434"/>
    </row>
    <row r="409">
      <c r="A409" s="434"/>
      <c r="B409" s="528"/>
      <c r="C409" s="528"/>
      <c r="D409" s="528"/>
      <c r="E409" s="528"/>
      <c r="F409" s="528"/>
      <c r="G409" s="528"/>
      <c r="H409" s="528"/>
      <c r="I409" s="528"/>
      <c r="J409" s="528"/>
      <c r="K409" s="528"/>
      <c r="L409" s="528"/>
      <c r="M409" s="528"/>
      <c r="N409" s="528"/>
      <c r="O409" s="528"/>
      <c r="P409" s="528"/>
      <c r="Q409" s="434"/>
      <c r="R409" s="434"/>
      <c r="S409" s="434"/>
      <c r="T409" s="434"/>
      <c r="U409" s="434"/>
      <c r="V409" s="434"/>
      <c r="W409" s="434"/>
      <c r="X409" s="434"/>
      <c r="Y409" s="434"/>
      <c r="Z409" s="434"/>
      <c r="AA409" s="434"/>
      <c r="AB409" s="434"/>
      <c r="AC409" s="434"/>
      <c r="AD409" s="434"/>
    </row>
    <row r="410">
      <c r="A410" s="434"/>
      <c r="B410" s="528"/>
      <c r="C410" s="528"/>
      <c r="D410" s="528"/>
      <c r="E410" s="528"/>
      <c r="F410" s="528"/>
      <c r="G410" s="528"/>
      <c r="H410" s="528"/>
      <c r="I410" s="528"/>
      <c r="J410" s="528"/>
      <c r="K410" s="528"/>
      <c r="L410" s="528"/>
      <c r="M410" s="528"/>
      <c r="N410" s="528"/>
      <c r="O410" s="528"/>
      <c r="P410" s="528"/>
      <c r="Q410" s="434"/>
      <c r="R410" s="434"/>
      <c r="S410" s="434"/>
      <c r="T410" s="434"/>
      <c r="U410" s="434"/>
      <c r="V410" s="434"/>
      <c r="W410" s="434"/>
      <c r="X410" s="434"/>
      <c r="Y410" s="434"/>
      <c r="Z410" s="434"/>
      <c r="AA410" s="434"/>
      <c r="AB410" s="434"/>
      <c r="AC410" s="434"/>
      <c r="AD410" s="434"/>
    </row>
    <row r="411">
      <c r="A411" s="434"/>
      <c r="B411" s="528"/>
      <c r="C411" s="528"/>
      <c r="D411" s="528"/>
      <c r="E411" s="528"/>
      <c r="F411" s="528"/>
      <c r="G411" s="528"/>
      <c r="H411" s="528"/>
      <c r="I411" s="528"/>
      <c r="J411" s="528"/>
      <c r="K411" s="528"/>
      <c r="L411" s="528"/>
      <c r="M411" s="528"/>
      <c r="N411" s="528"/>
      <c r="O411" s="528"/>
      <c r="P411" s="528"/>
      <c r="Q411" s="434"/>
      <c r="R411" s="434"/>
      <c r="S411" s="434"/>
      <c r="T411" s="434"/>
      <c r="U411" s="434"/>
      <c r="V411" s="434"/>
      <c r="W411" s="434"/>
      <c r="X411" s="434"/>
      <c r="Y411" s="434"/>
      <c r="Z411" s="434"/>
      <c r="AA411" s="434"/>
      <c r="AB411" s="434"/>
      <c r="AC411" s="434"/>
      <c r="AD411" s="434"/>
    </row>
    <row r="412">
      <c r="A412" s="434"/>
      <c r="B412" s="528"/>
      <c r="C412" s="528"/>
      <c r="D412" s="528"/>
      <c r="E412" s="528"/>
      <c r="F412" s="528"/>
      <c r="G412" s="528"/>
      <c r="H412" s="528"/>
      <c r="I412" s="528"/>
      <c r="J412" s="528"/>
      <c r="K412" s="528"/>
      <c r="L412" s="528"/>
      <c r="M412" s="528"/>
      <c r="N412" s="528"/>
      <c r="O412" s="528"/>
      <c r="P412" s="528"/>
      <c r="Q412" s="434"/>
      <c r="R412" s="434"/>
      <c r="S412" s="434"/>
      <c r="T412" s="434"/>
      <c r="U412" s="434"/>
      <c r="V412" s="434"/>
      <c r="W412" s="434"/>
      <c r="X412" s="434"/>
      <c r="Y412" s="434"/>
      <c r="Z412" s="434"/>
      <c r="AA412" s="434"/>
      <c r="AB412" s="434"/>
      <c r="AC412" s="434"/>
      <c r="AD412" s="434"/>
    </row>
    <row r="413">
      <c r="A413" s="434"/>
      <c r="B413" s="528"/>
      <c r="C413" s="528"/>
      <c r="D413" s="528"/>
      <c r="E413" s="528"/>
      <c r="F413" s="528"/>
      <c r="G413" s="528"/>
      <c r="H413" s="528"/>
      <c r="I413" s="528"/>
      <c r="J413" s="528"/>
      <c r="K413" s="528"/>
      <c r="L413" s="528"/>
      <c r="M413" s="528"/>
      <c r="N413" s="528"/>
      <c r="O413" s="528"/>
      <c r="P413" s="528"/>
      <c r="Q413" s="434"/>
      <c r="R413" s="434"/>
      <c r="S413" s="434"/>
      <c r="T413" s="434"/>
      <c r="U413" s="434"/>
      <c r="V413" s="434"/>
      <c r="W413" s="434"/>
      <c r="X413" s="434"/>
      <c r="Y413" s="434"/>
      <c r="Z413" s="434"/>
      <c r="AA413" s="434"/>
      <c r="AB413" s="434"/>
      <c r="AC413" s="434"/>
      <c r="AD413" s="434"/>
    </row>
    <row r="414">
      <c r="A414" s="434"/>
      <c r="B414" s="528"/>
      <c r="C414" s="528"/>
      <c r="D414" s="528"/>
      <c r="E414" s="528"/>
      <c r="F414" s="528"/>
      <c r="G414" s="528"/>
      <c r="H414" s="528"/>
      <c r="I414" s="528"/>
      <c r="J414" s="528"/>
      <c r="K414" s="528"/>
      <c r="L414" s="528"/>
      <c r="M414" s="528"/>
      <c r="N414" s="528"/>
      <c r="O414" s="528"/>
      <c r="P414" s="528"/>
      <c r="Q414" s="434"/>
      <c r="R414" s="434"/>
      <c r="S414" s="434"/>
      <c r="T414" s="434"/>
      <c r="U414" s="434"/>
      <c r="V414" s="434"/>
      <c r="W414" s="434"/>
      <c r="X414" s="434"/>
      <c r="Y414" s="434"/>
      <c r="Z414" s="434"/>
      <c r="AA414" s="434"/>
      <c r="AB414" s="434"/>
      <c r="AC414" s="434"/>
      <c r="AD414" s="434"/>
    </row>
    <row r="415">
      <c r="A415" s="434"/>
      <c r="B415" s="528"/>
      <c r="C415" s="528"/>
      <c r="D415" s="528"/>
      <c r="E415" s="528"/>
      <c r="F415" s="528"/>
      <c r="G415" s="528"/>
      <c r="H415" s="528"/>
      <c r="I415" s="528"/>
      <c r="J415" s="528"/>
      <c r="K415" s="528"/>
      <c r="L415" s="528"/>
      <c r="M415" s="528"/>
      <c r="N415" s="528"/>
      <c r="O415" s="528"/>
      <c r="P415" s="528"/>
      <c r="Q415" s="434"/>
      <c r="R415" s="434"/>
      <c r="S415" s="434"/>
      <c r="T415" s="434"/>
      <c r="U415" s="434"/>
      <c r="V415" s="434"/>
      <c r="W415" s="434"/>
      <c r="X415" s="434"/>
      <c r="Y415" s="434"/>
      <c r="Z415" s="434"/>
      <c r="AA415" s="434"/>
      <c r="AB415" s="434"/>
      <c r="AC415" s="434"/>
      <c r="AD415" s="434"/>
    </row>
    <row r="416">
      <c r="A416" s="434"/>
      <c r="B416" s="528"/>
      <c r="C416" s="528"/>
      <c r="D416" s="528"/>
      <c r="E416" s="528"/>
      <c r="F416" s="528"/>
      <c r="G416" s="528"/>
      <c r="H416" s="528"/>
      <c r="I416" s="528"/>
      <c r="J416" s="528"/>
      <c r="K416" s="528"/>
      <c r="L416" s="528"/>
      <c r="M416" s="528"/>
      <c r="N416" s="528"/>
      <c r="O416" s="528"/>
      <c r="P416" s="528"/>
      <c r="Q416" s="434"/>
      <c r="R416" s="434"/>
      <c r="S416" s="434"/>
      <c r="T416" s="434"/>
      <c r="U416" s="434"/>
      <c r="V416" s="434"/>
      <c r="W416" s="434"/>
      <c r="X416" s="434"/>
      <c r="Y416" s="434"/>
      <c r="Z416" s="434"/>
      <c r="AA416" s="434"/>
      <c r="AB416" s="434"/>
      <c r="AC416" s="434"/>
      <c r="AD416" s="434"/>
    </row>
    <row r="417">
      <c r="A417" s="434"/>
      <c r="B417" s="528"/>
      <c r="C417" s="528"/>
      <c r="D417" s="528"/>
      <c r="E417" s="528"/>
      <c r="F417" s="528"/>
      <c r="G417" s="528"/>
      <c r="H417" s="528"/>
      <c r="I417" s="528"/>
      <c r="J417" s="528"/>
      <c r="K417" s="528"/>
      <c r="L417" s="528"/>
      <c r="M417" s="528"/>
      <c r="N417" s="528"/>
      <c r="O417" s="528"/>
      <c r="P417" s="528"/>
      <c r="Q417" s="434"/>
      <c r="R417" s="434"/>
      <c r="S417" s="434"/>
      <c r="T417" s="434"/>
      <c r="U417" s="434"/>
      <c r="V417" s="434"/>
      <c r="W417" s="434"/>
      <c r="X417" s="434"/>
      <c r="Y417" s="434"/>
      <c r="Z417" s="434"/>
      <c r="AA417" s="434"/>
      <c r="AB417" s="434"/>
      <c r="AC417" s="434"/>
      <c r="AD417" s="434"/>
    </row>
    <row r="418">
      <c r="A418" s="434"/>
      <c r="B418" s="528"/>
      <c r="C418" s="528"/>
      <c r="D418" s="528"/>
      <c r="E418" s="528"/>
      <c r="F418" s="528"/>
      <c r="G418" s="528"/>
      <c r="H418" s="528"/>
      <c r="I418" s="528"/>
      <c r="J418" s="528"/>
      <c r="K418" s="528"/>
      <c r="L418" s="528"/>
      <c r="M418" s="528"/>
      <c r="N418" s="528"/>
      <c r="O418" s="528"/>
      <c r="P418" s="528"/>
      <c r="Q418" s="434"/>
      <c r="R418" s="434"/>
      <c r="S418" s="434"/>
      <c r="T418" s="434"/>
      <c r="U418" s="434"/>
      <c r="V418" s="434"/>
      <c r="W418" s="434"/>
      <c r="X418" s="434"/>
      <c r="Y418" s="434"/>
      <c r="Z418" s="434"/>
      <c r="AA418" s="434"/>
      <c r="AB418" s="434"/>
      <c r="AC418" s="434"/>
      <c r="AD418" s="434"/>
    </row>
    <row r="419">
      <c r="A419" s="434"/>
      <c r="B419" s="528"/>
      <c r="C419" s="528"/>
      <c r="D419" s="528"/>
      <c r="E419" s="528"/>
      <c r="F419" s="528"/>
      <c r="G419" s="528"/>
      <c r="H419" s="528"/>
      <c r="I419" s="528"/>
      <c r="J419" s="528"/>
      <c r="K419" s="528"/>
      <c r="L419" s="528"/>
      <c r="M419" s="528"/>
      <c r="N419" s="528"/>
      <c r="O419" s="528"/>
      <c r="P419" s="528"/>
      <c r="Q419" s="434"/>
      <c r="R419" s="434"/>
      <c r="S419" s="434"/>
      <c r="T419" s="434"/>
      <c r="U419" s="434"/>
      <c r="V419" s="434"/>
      <c r="W419" s="434"/>
      <c r="X419" s="434"/>
      <c r="Y419" s="434"/>
      <c r="Z419" s="434"/>
      <c r="AA419" s="434"/>
      <c r="AB419" s="434"/>
      <c r="AC419" s="434"/>
      <c r="AD419" s="434"/>
    </row>
    <row r="420">
      <c r="A420" s="434"/>
      <c r="B420" s="528"/>
      <c r="C420" s="528"/>
      <c r="D420" s="528"/>
      <c r="E420" s="528"/>
      <c r="F420" s="528"/>
      <c r="G420" s="528"/>
      <c r="H420" s="528"/>
      <c r="I420" s="528"/>
      <c r="J420" s="528"/>
      <c r="K420" s="528"/>
      <c r="L420" s="528"/>
      <c r="M420" s="528"/>
      <c r="N420" s="528"/>
      <c r="O420" s="528"/>
      <c r="P420" s="528"/>
      <c r="Q420" s="434"/>
      <c r="R420" s="434"/>
      <c r="S420" s="434"/>
      <c r="T420" s="434"/>
      <c r="U420" s="434"/>
      <c r="V420" s="434"/>
      <c r="W420" s="434"/>
      <c r="X420" s="434"/>
      <c r="Y420" s="434"/>
      <c r="Z420" s="434"/>
      <c r="AA420" s="434"/>
      <c r="AB420" s="434"/>
      <c r="AC420" s="434"/>
      <c r="AD420" s="434"/>
    </row>
    <row r="421">
      <c r="A421" s="434"/>
      <c r="B421" s="528"/>
      <c r="C421" s="528"/>
      <c r="D421" s="528"/>
      <c r="E421" s="528"/>
      <c r="F421" s="528"/>
      <c r="G421" s="528"/>
      <c r="H421" s="528"/>
      <c r="I421" s="528"/>
      <c r="J421" s="528"/>
      <c r="K421" s="528"/>
      <c r="L421" s="528"/>
      <c r="M421" s="528"/>
      <c r="N421" s="528"/>
      <c r="O421" s="528"/>
      <c r="P421" s="528"/>
      <c r="Q421" s="434"/>
      <c r="R421" s="434"/>
      <c r="S421" s="434"/>
      <c r="T421" s="434"/>
      <c r="U421" s="434"/>
      <c r="V421" s="434"/>
      <c r="W421" s="434"/>
      <c r="X421" s="434"/>
      <c r="Y421" s="434"/>
      <c r="Z421" s="434"/>
      <c r="AA421" s="434"/>
      <c r="AB421" s="434"/>
      <c r="AC421" s="434"/>
      <c r="AD421" s="434"/>
    </row>
    <row r="422">
      <c r="A422" s="434"/>
      <c r="B422" s="528"/>
      <c r="C422" s="528"/>
      <c r="D422" s="528"/>
      <c r="E422" s="528"/>
      <c r="F422" s="528"/>
      <c r="G422" s="528"/>
      <c r="H422" s="528"/>
      <c r="I422" s="528"/>
      <c r="J422" s="528"/>
      <c r="K422" s="528"/>
      <c r="L422" s="528"/>
      <c r="M422" s="528"/>
      <c r="N422" s="528"/>
      <c r="O422" s="528"/>
      <c r="P422" s="528"/>
      <c r="Q422" s="434"/>
      <c r="R422" s="434"/>
      <c r="S422" s="434"/>
      <c r="T422" s="434"/>
      <c r="U422" s="434"/>
      <c r="V422" s="434"/>
      <c r="W422" s="434"/>
      <c r="X422" s="434"/>
      <c r="Y422" s="434"/>
      <c r="Z422" s="434"/>
      <c r="AA422" s="434"/>
      <c r="AB422" s="434"/>
      <c r="AC422" s="434"/>
      <c r="AD422" s="434"/>
    </row>
    <row r="423">
      <c r="A423" s="434"/>
      <c r="B423" s="528"/>
      <c r="C423" s="528"/>
      <c r="D423" s="528"/>
      <c r="E423" s="528"/>
      <c r="F423" s="528"/>
      <c r="G423" s="528"/>
      <c r="H423" s="528"/>
      <c r="I423" s="528"/>
      <c r="J423" s="528"/>
      <c r="K423" s="528"/>
      <c r="L423" s="528"/>
      <c r="M423" s="528"/>
      <c r="N423" s="528"/>
      <c r="O423" s="528"/>
      <c r="P423" s="528"/>
      <c r="Q423" s="434"/>
      <c r="R423" s="434"/>
      <c r="S423" s="434"/>
      <c r="T423" s="434"/>
      <c r="U423" s="434"/>
      <c r="V423" s="434"/>
      <c r="W423" s="434"/>
      <c r="X423" s="434"/>
      <c r="Y423" s="434"/>
      <c r="Z423" s="434"/>
      <c r="AA423" s="434"/>
      <c r="AB423" s="434"/>
      <c r="AC423" s="434"/>
      <c r="AD423" s="434"/>
    </row>
    <row r="424">
      <c r="A424" s="434"/>
      <c r="B424" s="528"/>
      <c r="C424" s="528"/>
      <c r="D424" s="528"/>
      <c r="E424" s="528"/>
      <c r="F424" s="528"/>
      <c r="G424" s="528"/>
      <c r="H424" s="528"/>
      <c r="I424" s="528"/>
      <c r="J424" s="528"/>
      <c r="K424" s="528"/>
      <c r="L424" s="528"/>
      <c r="M424" s="528"/>
      <c r="N424" s="528"/>
      <c r="O424" s="528"/>
      <c r="P424" s="528"/>
      <c r="Q424" s="434"/>
      <c r="R424" s="434"/>
      <c r="S424" s="434"/>
      <c r="T424" s="434"/>
      <c r="U424" s="434"/>
      <c r="V424" s="434"/>
      <c r="W424" s="434"/>
      <c r="X424" s="434"/>
      <c r="Y424" s="434"/>
      <c r="Z424" s="434"/>
      <c r="AA424" s="434"/>
      <c r="AB424" s="434"/>
      <c r="AC424" s="434"/>
      <c r="AD424" s="434"/>
    </row>
    <row r="425">
      <c r="A425" s="434"/>
      <c r="B425" s="528"/>
      <c r="C425" s="528"/>
      <c r="D425" s="528"/>
      <c r="E425" s="528"/>
      <c r="F425" s="528"/>
      <c r="G425" s="528"/>
      <c r="H425" s="528"/>
      <c r="I425" s="528"/>
      <c r="J425" s="528"/>
      <c r="K425" s="528"/>
      <c r="L425" s="528"/>
      <c r="M425" s="528"/>
      <c r="N425" s="528"/>
      <c r="O425" s="528"/>
      <c r="P425" s="528"/>
      <c r="Q425" s="434"/>
      <c r="R425" s="434"/>
      <c r="S425" s="434"/>
      <c r="T425" s="434"/>
      <c r="U425" s="434"/>
      <c r="V425" s="434"/>
      <c r="W425" s="434"/>
      <c r="X425" s="434"/>
      <c r="Y425" s="434"/>
      <c r="Z425" s="434"/>
      <c r="AA425" s="434"/>
      <c r="AB425" s="434"/>
      <c r="AC425" s="434"/>
      <c r="AD425" s="434"/>
    </row>
    <row r="426">
      <c r="A426" s="434"/>
      <c r="B426" s="528"/>
      <c r="C426" s="528"/>
      <c r="D426" s="528"/>
      <c r="E426" s="528"/>
      <c r="F426" s="528"/>
      <c r="G426" s="528"/>
      <c r="H426" s="528"/>
      <c r="I426" s="528"/>
      <c r="J426" s="528"/>
      <c r="K426" s="528"/>
      <c r="L426" s="528"/>
      <c r="M426" s="528"/>
      <c r="N426" s="528"/>
      <c r="O426" s="528"/>
      <c r="P426" s="528"/>
      <c r="Q426" s="434"/>
      <c r="R426" s="434"/>
      <c r="S426" s="434"/>
      <c r="T426" s="434"/>
      <c r="U426" s="434"/>
      <c r="V426" s="434"/>
      <c r="W426" s="434"/>
      <c r="X426" s="434"/>
      <c r="Y426" s="434"/>
      <c r="Z426" s="434"/>
      <c r="AA426" s="434"/>
      <c r="AB426" s="434"/>
      <c r="AC426" s="434"/>
      <c r="AD426" s="434"/>
    </row>
    <row r="427">
      <c r="A427" s="434"/>
      <c r="B427" s="528"/>
      <c r="C427" s="528"/>
      <c r="D427" s="528"/>
      <c r="E427" s="528"/>
      <c r="F427" s="528"/>
      <c r="G427" s="528"/>
      <c r="H427" s="528"/>
      <c r="I427" s="528"/>
      <c r="J427" s="528"/>
      <c r="K427" s="528"/>
      <c r="L427" s="528"/>
      <c r="M427" s="528"/>
      <c r="N427" s="528"/>
      <c r="O427" s="528"/>
      <c r="P427" s="528"/>
      <c r="Q427" s="434"/>
      <c r="R427" s="434"/>
      <c r="S427" s="434"/>
      <c r="T427" s="434"/>
      <c r="U427" s="434"/>
      <c r="V427" s="434"/>
      <c r="W427" s="434"/>
      <c r="X427" s="434"/>
      <c r="Y427" s="434"/>
      <c r="Z427" s="434"/>
      <c r="AA427" s="434"/>
      <c r="AB427" s="434"/>
      <c r="AC427" s="434"/>
      <c r="AD427" s="434"/>
    </row>
    <row r="428">
      <c r="A428" s="434"/>
      <c r="B428" s="528"/>
      <c r="C428" s="528"/>
      <c r="D428" s="528"/>
      <c r="E428" s="528"/>
      <c r="F428" s="528"/>
      <c r="G428" s="528"/>
      <c r="H428" s="528"/>
      <c r="I428" s="528"/>
      <c r="J428" s="528"/>
      <c r="K428" s="528"/>
      <c r="L428" s="528"/>
      <c r="M428" s="528"/>
      <c r="N428" s="528"/>
      <c r="O428" s="528"/>
      <c r="P428" s="528"/>
      <c r="Q428" s="434"/>
      <c r="R428" s="434"/>
      <c r="S428" s="434"/>
      <c r="T428" s="434"/>
      <c r="U428" s="434"/>
      <c r="V428" s="434"/>
      <c r="W428" s="434"/>
      <c r="X428" s="434"/>
      <c r="Y428" s="434"/>
      <c r="Z428" s="434"/>
      <c r="AA428" s="434"/>
      <c r="AB428" s="434"/>
      <c r="AC428" s="434"/>
      <c r="AD428" s="434"/>
    </row>
    <row r="429">
      <c r="A429" s="434"/>
      <c r="B429" s="528"/>
      <c r="C429" s="528"/>
      <c r="D429" s="528"/>
      <c r="E429" s="528"/>
      <c r="F429" s="528"/>
      <c r="G429" s="528"/>
      <c r="H429" s="528"/>
      <c r="I429" s="528"/>
      <c r="J429" s="528"/>
      <c r="K429" s="528"/>
      <c r="L429" s="528"/>
      <c r="M429" s="528"/>
      <c r="N429" s="528"/>
      <c r="O429" s="528"/>
      <c r="P429" s="528"/>
      <c r="Q429" s="434"/>
      <c r="R429" s="434"/>
      <c r="S429" s="434"/>
      <c r="T429" s="434"/>
      <c r="U429" s="434"/>
      <c r="V429" s="434"/>
      <c r="W429" s="434"/>
      <c r="X429" s="434"/>
      <c r="Y429" s="434"/>
      <c r="Z429" s="434"/>
      <c r="AA429" s="434"/>
      <c r="AB429" s="434"/>
      <c r="AC429" s="434"/>
      <c r="AD429" s="434"/>
    </row>
    <row r="430">
      <c r="A430" s="434"/>
      <c r="B430" s="528"/>
      <c r="C430" s="528"/>
      <c r="D430" s="528"/>
      <c r="E430" s="528"/>
      <c r="F430" s="528"/>
      <c r="G430" s="528"/>
      <c r="H430" s="528"/>
      <c r="I430" s="528"/>
      <c r="J430" s="528"/>
      <c r="K430" s="528"/>
      <c r="L430" s="528"/>
      <c r="M430" s="528"/>
      <c r="N430" s="528"/>
      <c r="O430" s="528"/>
      <c r="P430" s="528"/>
      <c r="Q430" s="434"/>
      <c r="R430" s="434"/>
      <c r="S430" s="434"/>
      <c r="T430" s="434"/>
      <c r="U430" s="434"/>
      <c r="V430" s="434"/>
      <c r="W430" s="434"/>
      <c r="X430" s="434"/>
      <c r="Y430" s="434"/>
      <c r="Z430" s="434"/>
      <c r="AA430" s="434"/>
      <c r="AB430" s="434"/>
      <c r="AC430" s="434"/>
      <c r="AD430" s="434"/>
    </row>
    <row r="431">
      <c r="A431" s="434"/>
      <c r="B431" s="528"/>
      <c r="C431" s="528"/>
      <c r="D431" s="528"/>
      <c r="E431" s="528"/>
      <c r="F431" s="528"/>
      <c r="G431" s="528"/>
      <c r="H431" s="528"/>
      <c r="I431" s="528"/>
      <c r="J431" s="528"/>
      <c r="K431" s="528"/>
      <c r="L431" s="528"/>
      <c r="M431" s="528"/>
      <c r="N431" s="528"/>
      <c r="O431" s="528"/>
      <c r="P431" s="528"/>
      <c r="Q431" s="434"/>
      <c r="R431" s="434"/>
      <c r="S431" s="434"/>
      <c r="T431" s="434"/>
      <c r="U431" s="434"/>
      <c r="V431" s="434"/>
      <c r="W431" s="434"/>
      <c r="X431" s="434"/>
      <c r="Y431" s="434"/>
      <c r="Z431" s="434"/>
      <c r="AA431" s="434"/>
      <c r="AB431" s="434"/>
      <c r="AC431" s="434"/>
      <c r="AD431" s="434"/>
    </row>
    <row r="432">
      <c r="A432" s="434"/>
      <c r="B432" s="528"/>
      <c r="C432" s="528"/>
      <c r="D432" s="528"/>
      <c r="E432" s="528"/>
      <c r="F432" s="528"/>
      <c r="G432" s="528"/>
      <c r="H432" s="528"/>
      <c r="I432" s="528"/>
      <c r="J432" s="528"/>
      <c r="K432" s="528"/>
      <c r="L432" s="528"/>
      <c r="M432" s="528"/>
      <c r="N432" s="528"/>
      <c r="O432" s="528"/>
      <c r="P432" s="528"/>
      <c r="Q432" s="434"/>
      <c r="R432" s="434"/>
      <c r="S432" s="434"/>
      <c r="T432" s="434"/>
      <c r="U432" s="434"/>
      <c r="V432" s="434"/>
      <c r="W432" s="434"/>
      <c r="X432" s="434"/>
      <c r="Y432" s="434"/>
      <c r="Z432" s="434"/>
      <c r="AA432" s="434"/>
      <c r="AB432" s="434"/>
      <c r="AC432" s="434"/>
      <c r="AD432" s="434"/>
    </row>
    <row r="433">
      <c r="A433" s="434"/>
      <c r="B433" s="528"/>
      <c r="C433" s="528"/>
      <c r="D433" s="528"/>
      <c r="E433" s="528"/>
      <c r="F433" s="528"/>
      <c r="G433" s="528"/>
      <c r="H433" s="528"/>
      <c r="I433" s="528"/>
      <c r="J433" s="528"/>
      <c r="K433" s="528"/>
      <c r="L433" s="528"/>
      <c r="M433" s="528"/>
      <c r="N433" s="528"/>
      <c r="O433" s="528"/>
      <c r="P433" s="528"/>
      <c r="Q433" s="434"/>
      <c r="R433" s="434"/>
      <c r="S433" s="434"/>
      <c r="T433" s="434"/>
      <c r="U433" s="434"/>
      <c r="V433" s="434"/>
      <c r="W433" s="434"/>
      <c r="X433" s="434"/>
      <c r="Y433" s="434"/>
      <c r="Z433" s="434"/>
      <c r="AA433" s="434"/>
      <c r="AB433" s="434"/>
      <c r="AC433" s="434"/>
      <c r="AD433" s="434"/>
    </row>
    <row r="434">
      <c r="A434" s="434"/>
      <c r="B434" s="528"/>
      <c r="C434" s="528"/>
      <c r="D434" s="528"/>
      <c r="E434" s="528"/>
      <c r="F434" s="528"/>
      <c r="G434" s="528"/>
      <c r="H434" s="528"/>
      <c r="I434" s="528"/>
      <c r="J434" s="528"/>
      <c r="K434" s="528"/>
      <c r="L434" s="528"/>
      <c r="M434" s="528"/>
      <c r="N434" s="528"/>
      <c r="O434" s="528"/>
      <c r="P434" s="528"/>
      <c r="Q434" s="434"/>
      <c r="R434" s="434"/>
      <c r="S434" s="434"/>
      <c r="T434" s="434"/>
      <c r="U434" s="434"/>
      <c r="V434" s="434"/>
      <c r="W434" s="434"/>
      <c r="X434" s="434"/>
      <c r="Y434" s="434"/>
      <c r="Z434" s="434"/>
      <c r="AA434" s="434"/>
      <c r="AB434" s="434"/>
      <c r="AC434" s="434"/>
      <c r="AD434" s="434"/>
    </row>
    <row r="435">
      <c r="A435" s="434"/>
      <c r="B435" s="528"/>
      <c r="C435" s="528"/>
      <c r="D435" s="528"/>
      <c r="E435" s="528"/>
      <c r="F435" s="528"/>
      <c r="G435" s="528"/>
      <c r="H435" s="528"/>
      <c r="I435" s="528"/>
      <c r="J435" s="528"/>
      <c r="K435" s="528"/>
      <c r="L435" s="528"/>
      <c r="M435" s="528"/>
      <c r="N435" s="528"/>
      <c r="O435" s="528"/>
      <c r="P435" s="528"/>
      <c r="Q435" s="434"/>
      <c r="R435" s="434"/>
      <c r="S435" s="434"/>
      <c r="T435" s="434"/>
      <c r="U435" s="434"/>
      <c r="V435" s="434"/>
      <c r="W435" s="434"/>
      <c r="X435" s="434"/>
      <c r="Y435" s="434"/>
      <c r="Z435" s="434"/>
      <c r="AA435" s="434"/>
      <c r="AB435" s="434"/>
      <c r="AC435" s="434"/>
      <c r="AD435" s="434"/>
    </row>
    <row r="436">
      <c r="A436" s="434"/>
      <c r="B436" s="528"/>
      <c r="C436" s="528"/>
      <c r="D436" s="528"/>
      <c r="E436" s="528"/>
      <c r="F436" s="528"/>
      <c r="G436" s="528"/>
      <c r="H436" s="528"/>
      <c r="I436" s="528"/>
      <c r="J436" s="528"/>
      <c r="K436" s="528"/>
      <c r="L436" s="528"/>
      <c r="M436" s="528"/>
      <c r="N436" s="528"/>
      <c r="O436" s="528"/>
      <c r="P436" s="528"/>
      <c r="Q436" s="434"/>
      <c r="R436" s="434"/>
      <c r="S436" s="434"/>
      <c r="T436" s="434"/>
      <c r="U436" s="434"/>
      <c r="V436" s="434"/>
      <c r="W436" s="434"/>
      <c r="X436" s="434"/>
      <c r="Y436" s="434"/>
      <c r="Z436" s="434"/>
      <c r="AA436" s="434"/>
      <c r="AB436" s="434"/>
      <c r="AC436" s="434"/>
      <c r="AD436" s="434"/>
    </row>
    <row r="437">
      <c r="A437" s="434"/>
      <c r="B437" s="528"/>
      <c r="C437" s="528"/>
      <c r="D437" s="528"/>
      <c r="E437" s="528"/>
      <c r="F437" s="528"/>
      <c r="G437" s="528"/>
      <c r="H437" s="528"/>
      <c r="I437" s="528"/>
      <c r="J437" s="528"/>
      <c r="K437" s="528"/>
      <c r="L437" s="528"/>
      <c r="M437" s="528"/>
      <c r="N437" s="528"/>
      <c r="O437" s="528"/>
      <c r="P437" s="528"/>
      <c r="Q437" s="434"/>
      <c r="R437" s="434"/>
      <c r="S437" s="434"/>
      <c r="T437" s="434"/>
      <c r="U437" s="434"/>
      <c r="V437" s="434"/>
      <c r="W437" s="434"/>
      <c r="X437" s="434"/>
      <c r="Y437" s="434"/>
      <c r="Z437" s="434"/>
      <c r="AA437" s="434"/>
      <c r="AB437" s="434"/>
      <c r="AC437" s="434"/>
      <c r="AD437" s="434"/>
    </row>
    <row r="438">
      <c r="A438" s="434"/>
      <c r="B438" s="528"/>
      <c r="C438" s="528"/>
      <c r="D438" s="528"/>
      <c r="E438" s="528"/>
      <c r="F438" s="528"/>
      <c r="G438" s="528"/>
      <c r="H438" s="528"/>
      <c r="I438" s="528"/>
      <c r="J438" s="528"/>
      <c r="K438" s="528"/>
      <c r="L438" s="528"/>
      <c r="M438" s="528"/>
      <c r="N438" s="528"/>
      <c r="O438" s="528"/>
      <c r="P438" s="528"/>
      <c r="Q438" s="434"/>
      <c r="R438" s="434"/>
      <c r="S438" s="434"/>
      <c r="T438" s="434"/>
      <c r="U438" s="434"/>
      <c r="V438" s="434"/>
      <c r="W438" s="434"/>
      <c r="X438" s="434"/>
      <c r="Y438" s="434"/>
      <c r="Z438" s="434"/>
      <c r="AA438" s="434"/>
      <c r="AB438" s="434"/>
      <c r="AC438" s="434"/>
      <c r="AD438" s="434"/>
    </row>
    <row r="439">
      <c r="A439" s="434"/>
      <c r="B439" s="528"/>
      <c r="C439" s="528"/>
      <c r="D439" s="528"/>
      <c r="E439" s="528"/>
      <c r="F439" s="528"/>
      <c r="G439" s="528"/>
      <c r="H439" s="528"/>
      <c r="I439" s="528"/>
      <c r="J439" s="528"/>
      <c r="K439" s="528"/>
      <c r="L439" s="528"/>
      <c r="M439" s="528"/>
      <c r="N439" s="528"/>
      <c r="O439" s="528"/>
      <c r="P439" s="528"/>
      <c r="Q439" s="434"/>
      <c r="R439" s="434"/>
      <c r="S439" s="434"/>
      <c r="T439" s="434"/>
      <c r="U439" s="434"/>
      <c r="V439" s="434"/>
      <c r="W439" s="434"/>
      <c r="X439" s="434"/>
      <c r="Y439" s="434"/>
      <c r="Z439" s="434"/>
      <c r="AA439" s="434"/>
      <c r="AB439" s="434"/>
      <c r="AC439" s="434"/>
      <c r="AD439" s="434"/>
    </row>
    <row r="440">
      <c r="A440" s="434"/>
      <c r="B440" s="528"/>
      <c r="C440" s="528"/>
      <c r="D440" s="528"/>
      <c r="E440" s="528"/>
      <c r="F440" s="528"/>
      <c r="G440" s="528"/>
      <c r="H440" s="528"/>
      <c r="I440" s="528"/>
      <c r="J440" s="528"/>
      <c r="K440" s="528"/>
      <c r="L440" s="528"/>
      <c r="M440" s="528"/>
      <c r="N440" s="528"/>
      <c r="O440" s="528"/>
      <c r="P440" s="528"/>
      <c r="Q440" s="434"/>
      <c r="R440" s="434"/>
      <c r="S440" s="434"/>
      <c r="T440" s="434"/>
      <c r="U440" s="434"/>
      <c r="V440" s="434"/>
      <c r="W440" s="434"/>
      <c r="X440" s="434"/>
      <c r="Y440" s="434"/>
      <c r="Z440" s="434"/>
      <c r="AA440" s="434"/>
      <c r="AB440" s="434"/>
      <c r="AC440" s="434"/>
      <c r="AD440" s="434"/>
    </row>
    <row r="441">
      <c r="A441" s="434"/>
      <c r="B441" s="528"/>
      <c r="C441" s="528"/>
      <c r="D441" s="528"/>
      <c r="E441" s="528"/>
      <c r="F441" s="528"/>
      <c r="G441" s="528"/>
      <c r="H441" s="528"/>
      <c r="I441" s="528"/>
      <c r="J441" s="528"/>
      <c r="K441" s="528"/>
      <c r="L441" s="528"/>
      <c r="M441" s="528"/>
      <c r="N441" s="528"/>
      <c r="O441" s="528"/>
      <c r="P441" s="528"/>
      <c r="Q441" s="434"/>
      <c r="R441" s="434"/>
      <c r="S441" s="434"/>
      <c r="T441" s="434"/>
      <c r="U441" s="434"/>
      <c r="V441" s="434"/>
      <c r="W441" s="434"/>
      <c r="X441" s="434"/>
      <c r="Y441" s="434"/>
      <c r="Z441" s="434"/>
      <c r="AA441" s="434"/>
      <c r="AB441" s="434"/>
      <c r="AC441" s="434"/>
      <c r="AD441" s="434"/>
    </row>
    <row r="442">
      <c r="A442" s="434"/>
      <c r="B442" s="528"/>
      <c r="C442" s="528"/>
      <c r="D442" s="528"/>
      <c r="E442" s="528"/>
      <c r="F442" s="528"/>
      <c r="G442" s="528"/>
      <c r="H442" s="528"/>
      <c r="I442" s="528"/>
      <c r="J442" s="528"/>
      <c r="K442" s="528"/>
      <c r="L442" s="528"/>
      <c r="M442" s="528"/>
      <c r="N442" s="528"/>
      <c r="O442" s="528"/>
      <c r="P442" s="528"/>
      <c r="Q442" s="434"/>
      <c r="R442" s="434"/>
      <c r="S442" s="434"/>
      <c r="T442" s="434"/>
      <c r="U442" s="434"/>
      <c r="V442" s="434"/>
      <c r="W442" s="434"/>
      <c r="X442" s="434"/>
      <c r="Y442" s="434"/>
      <c r="Z442" s="434"/>
      <c r="AA442" s="434"/>
      <c r="AB442" s="434"/>
      <c r="AC442" s="434"/>
      <c r="AD442" s="434"/>
    </row>
    <row r="443">
      <c r="A443" s="434"/>
      <c r="B443" s="528"/>
      <c r="C443" s="528"/>
      <c r="D443" s="528"/>
      <c r="E443" s="528"/>
      <c r="F443" s="528"/>
      <c r="G443" s="528"/>
      <c r="H443" s="528"/>
      <c r="I443" s="528"/>
      <c r="J443" s="528"/>
      <c r="K443" s="528"/>
      <c r="L443" s="528"/>
      <c r="M443" s="528"/>
      <c r="N443" s="528"/>
      <c r="O443" s="528"/>
      <c r="P443" s="528"/>
      <c r="Q443" s="434"/>
      <c r="R443" s="434"/>
      <c r="S443" s="434"/>
      <c r="T443" s="434"/>
      <c r="U443" s="434"/>
      <c r="V443" s="434"/>
      <c r="W443" s="434"/>
      <c r="X443" s="434"/>
      <c r="Y443" s="434"/>
      <c r="Z443" s="434"/>
      <c r="AA443" s="434"/>
      <c r="AB443" s="434"/>
      <c r="AC443" s="434"/>
      <c r="AD443" s="434"/>
    </row>
    <row r="444">
      <c r="A444" s="434"/>
      <c r="B444" s="528"/>
      <c r="C444" s="528"/>
      <c r="D444" s="528"/>
      <c r="E444" s="528"/>
      <c r="F444" s="528"/>
      <c r="G444" s="528"/>
      <c r="H444" s="528"/>
      <c r="I444" s="528"/>
      <c r="J444" s="528"/>
      <c r="K444" s="528"/>
      <c r="L444" s="528"/>
      <c r="M444" s="528"/>
      <c r="N444" s="528"/>
      <c r="O444" s="528"/>
      <c r="P444" s="528"/>
      <c r="Q444" s="434"/>
      <c r="R444" s="434"/>
      <c r="S444" s="434"/>
      <c r="T444" s="434"/>
      <c r="U444" s="434"/>
      <c r="V444" s="434"/>
      <c r="W444" s="434"/>
      <c r="X444" s="434"/>
      <c r="Y444" s="434"/>
      <c r="Z444" s="434"/>
      <c r="AA444" s="434"/>
      <c r="AB444" s="434"/>
      <c r="AC444" s="434"/>
      <c r="AD444" s="434"/>
    </row>
    <row r="445">
      <c r="A445" s="434"/>
      <c r="B445" s="528"/>
      <c r="C445" s="528"/>
      <c r="D445" s="528"/>
      <c r="E445" s="528"/>
      <c r="F445" s="528"/>
      <c r="G445" s="528"/>
      <c r="H445" s="528"/>
      <c r="I445" s="528"/>
      <c r="J445" s="528"/>
      <c r="K445" s="528"/>
      <c r="L445" s="528"/>
      <c r="M445" s="528"/>
      <c r="N445" s="528"/>
      <c r="O445" s="528"/>
      <c r="P445" s="528"/>
      <c r="Q445" s="434"/>
      <c r="R445" s="434"/>
      <c r="S445" s="434"/>
      <c r="T445" s="434"/>
      <c r="U445" s="434"/>
      <c r="V445" s="434"/>
      <c r="W445" s="434"/>
      <c r="X445" s="434"/>
      <c r="Y445" s="434"/>
      <c r="Z445" s="434"/>
      <c r="AA445" s="434"/>
      <c r="AB445" s="434"/>
      <c r="AC445" s="434"/>
      <c r="AD445" s="434"/>
    </row>
    <row r="446">
      <c r="A446" s="434"/>
      <c r="B446" s="528"/>
      <c r="C446" s="528"/>
      <c r="D446" s="528"/>
      <c r="E446" s="528"/>
      <c r="F446" s="528"/>
      <c r="G446" s="528"/>
      <c r="H446" s="528"/>
      <c r="I446" s="528"/>
      <c r="J446" s="528"/>
      <c r="K446" s="528"/>
      <c r="L446" s="528"/>
      <c r="M446" s="528"/>
      <c r="N446" s="528"/>
      <c r="O446" s="528"/>
      <c r="P446" s="528"/>
      <c r="Q446" s="434"/>
      <c r="R446" s="434"/>
      <c r="S446" s="434"/>
      <c r="T446" s="434"/>
      <c r="U446" s="434"/>
      <c r="V446" s="434"/>
      <c r="W446" s="434"/>
      <c r="X446" s="434"/>
      <c r="Y446" s="434"/>
      <c r="Z446" s="434"/>
      <c r="AA446" s="434"/>
      <c r="AB446" s="434"/>
      <c r="AC446" s="434"/>
      <c r="AD446" s="434"/>
    </row>
    <row r="447">
      <c r="A447" s="434"/>
      <c r="B447" s="528"/>
      <c r="C447" s="528"/>
      <c r="D447" s="528"/>
      <c r="E447" s="528"/>
      <c r="F447" s="528"/>
      <c r="G447" s="528"/>
      <c r="H447" s="528"/>
      <c r="I447" s="528"/>
      <c r="J447" s="528"/>
      <c r="K447" s="528"/>
      <c r="L447" s="528"/>
      <c r="M447" s="528"/>
      <c r="N447" s="528"/>
      <c r="O447" s="528"/>
      <c r="P447" s="528"/>
      <c r="Q447" s="434"/>
      <c r="R447" s="434"/>
      <c r="S447" s="434"/>
      <c r="T447" s="434"/>
      <c r="U447" s="434"/>
      <c r="V447" s="434"/>
      <c r="W447" s="434"/>
      <c r="X447" s="434"/>
      <c r="Y447" s="434"/>
      <c r="Z447" s="434"/>
      <c r="AA447" s="434"/>
      <c r="AB447" s="434"/>
      <c r="AC447" s="434"/>
      <c r="AD447" s="434"/>
    </row>
    <row r="448">
      <c r="A448" s="434"/>
      <c r="B448" s="528"/>
      <c r="C448" s="528"/>
      <c r="D448" s="528"/>
      <c r="E448" s="528"/>
      <c r="F448" s="528"/>
      <c r="G448" s="528"/>
      <c r="H448" s="528"/>
      <c r="I448" s="528"/>
      <c r="J448" s="528"/>
      <c r="K448" s="528"/>
      <c r="L448" s="528"/>
      <c r="M448" s="528"/>
      <c r="N448" s="528"/>
      <c r="O448" s="528"/>
      <c r="P448" s="528"/>
      <c r="Q448" s="434"/>
      <c r="R448" s="434"/>
      <c r="S448" s="434"/>
      <c r="T448" s="434"/>
      <c r="U448" s="434"/>
      <c r="V448" s="434"/>
      <c r="W448" s="434"/>
      <c r="X448" s="434"/>
      <c r="Y448" s="434"/>
      <c r="Z448" s="434"/>
      <c r="AA448" s="434"/>
      <c r="AB448" s="434"/>
      <c r="AC448" s="434"/>
      <c r="AD448" s="434"/>
    </row>
    <row r="449">
      <c r="A449" s="434"/>
      <c r="B449" s="528"/>
      <c r="C449" s="528"/>
      <c r="D449" s="528"/>
      <c r="E449" s="528"/>
      <c r="F449" s="528"/>
      <c r="G449" s="528"/>
      <c r="H449" s="528"/>
      <c r="I449" s="528"/>
      <c r="J449" s="528"/>
      <c r="K449" s="528"/>
      <c r="L449" s="528"/>
      <c r="M449" s="528"/>
      <c r="N449" s="528"/>
      <c r="O449" s="528"/>
      <c r="P449" s="528"/>
      <c r="Q449" s="434"/>
      <c r="R449" s="434"/>
      <c r="S449" s="434"/>
      <c r="T449" s="434"/>
      <c r="U449" s="434"/>
      <c r="V449" s="434"/>
      <c r="W449" s="434"/>
      <c r="X449" s="434"/>
      <c r="Y449" s="434"/>
      <c r="Z449" s="434"/>
      <c r="AA449" s="434"/>
      <c r="AB449" s="434"/>
      <c r="AC449" s="434"/>
      <c r="AD449" s="434"/>
    </row>
    <row r="450">
      <c r="A450" s="434"/>
      <c r="B450" s="528"/>
      <c r="C450" s="528"/>
      <c r="D450" s="528"/>
      <c r="E450" s="528"/>
      <c r="F450" s="528"/>
      <c r="G450" s="528"/>
      <c r="H450" s="528"/>
      <c r="I450" s="528"/>
      <c r="J450" s="528"/>
      <c r="K450" s="528"/>
      <c r="L450" s="528"/>
      <c r="M450" s="528"/>
      <c r="N450" s="528"/>
      <c r="O450" s="528"/>
      <c r="P450" s="528"/>
      <c r="Q450" s="434"/>
      <c r="R450" s="434"/>
      <c r="S450" s="434"/>
      <c r="T450" s="434"/>
      <c r="U450" s="434"/>
      <c r="V450" s="434"/>
      <c r="W450" s="434"/>
      <c r="X450" s="434"/>
      <c r="Y450" s="434"/>
      <c r="Z450" s="434"/>
      <c r="AA450" s="434"/>
      <c r="AB450" s="434"/>
      <c r="AC450" s="434"/>
      <c r="AD450" s="434"/>
    </row>
    <row r="451">
      <c r="A451" s="434"/>
      <c r="B451" s="528"/>
      <c r="C451" s="528"/>
      <c r="D451" s="528"/>
      <c r="E451" s="528"/>
      <c r="F451" s="528"/>
      <c r="G451" s="528"/>
      <c r="H451" s="528"/>
      <c r="I451" s="528"/>
      <c r="J451" s="528"/>
      <c r="K451" s="528"/>
      <c r="L451" s="528"/>
      <c r="M451" s="528"/>
      <c r="N451" s="528"/>
      <c r="O451" s="528"/>
      <c r="P451" s="528"/>
      <c r="Q451" s="434"/>
      <c r="R451" s="434"/>
      <c r="S451" s="434"/>
      <c r="T451" s="434"/>
      <c r="U451" s="434"/>
      <c r="V451" s="434"/>
      <c r="W451" s="434"/>
      <c r="X451" s="434"/>
      <c r="Y451" s="434"/>
      <c r="Z451" s="434"/>
      <c r="AA451" s="434"/>
      <c r="AB451" s="434"/>
      <c r="AC451" s="434"/>
      <c r="AD451" s="434"/>
    </row>
    <row r="452">
      <c r="A452" s="434"/>
      <c r="B452" s="528"/>
      <c r="C452" s="528"/>
      <c r="D452" s="528"/>
      <c r="E452" s="528"/>
      <c r="F452" s="528"/>
      <c r="G452" s="528"/>
      <c r="H452" s="528"/>
      <c r="I452" s="528"/>
      <c r="J452" s="528"/>
      <c r="K452" s="528"/>
      <c r="L452" s="528"/>
      <c r="M452" s="528"/>
      <c r="N452" s="528"/>
      <c r="O452" s="528"/>
      <c r="P452" s="528"/>
      <c r="Q452" s="434"/>
      <c r="R452" s="434"/>
      <c r="S452" s="434"/>
      <c r="T452" s="434"/>
      <c r="U452" s="434"/>
      <c r="V452" s="434"/>
      <c r="W452" s="434"/>
      <c r="X452" s="434"/>
      <c r="Y452" s="434"/>
      <c r="Z452" s="434"/>
      <c r="AA452" s="434"/>
      <c r="AB452" s="434"/>
      <c r="AC452" s="434"/>
      <c r="AD452" s="434"/>
    </row>
    <row r="453">
      <c r="A453" s="434"/>
      <c r="B453" s="528"/>
      <c r="C453" s="528"/>
      <c r="D453" s="528"/>
      <c r="E453" s="528"/>
      <c r="F453" s="528"/>
      <c r="G453" s="528"/>
      <c r="H453" s="528"/>
      <c r="I453" s="528"/>
      <c r="J453" s="528"/>
      <c r="K453" s="528"/>
      <c r="L453" s="528"/>
      <c r="M453" s="528"/>
      <c r="N453" s="528"/>
      <c r="O453" s="528"/>
      <c r="P453" s="528"/>
      <c r="Q453" s="434"/>
      <c r="R453" s="434"/>
      <c r="S453" s="434"/>
      <c r="T453" s="434"/>
      <c r="U453" s="434"/>
      <c r="V453" s="434"/>
      <c r="W453" s="434"/>
      <c r="X453" s="434"/>
      <c r="Y453" s="434"/>
      <c r="Z453" s="434"/>
      <c r="AA453" s="434"/>
      <c r="AB453" s="434"/>
      <c r="AC453" s="434"/>
      <c r="AD453" s="434"/>
    </row>
    <row r="454">
      <c r="A454" s="434"/>
      <c r="B454" s="528"/>
      <c r="C454" s="528"/>
      <c r="D454" s="528"/>
      <c r="E454" s="528"/>
      <c r="F454" s="528"/>
      <c r="G454" s="528"/>
      <c r="H454" s="528"/>
      <c r="I454" s="528"/>
      <c r="J454" s="528"/>
      <c r="K454" s="528"/>
      <c r="L454" s="528"/>
      <c r="M454" s="528"/>
      <c r="N454" s="528"/>
      <c r="O454" s="528"/>
      <c r="P454" s="528"/>
      <c r="Q454" s="434"/>
      <c r="R454" s="434"/>
      <c r="S454" s="434"/>
      <c r="T454" s="434"/>
      <c r="U454" s="434"/>
      <c r="V454" s="434"/>
      <c r="W454" s="434"/>
      <c r="X454" s="434"/>
      <c r="Y454" s="434"/>
      <c r="Z454" s="434"/>
      <c r="AA454" s="434"/>
      <c r="AB454" s="434"/>
      <c r="AC454" s="434"/>
      <c r="AD454" s="434"/>
    </row>
    <row r="455">
      <c r="A455" s="434"/>
      <c r="B455" s="528"/>
      <c r="C455" s="528"/>
      <c r="D455" s="528"/>
      <c r="E455" s="528"/>
      <c r="F455" s="528"/>
      <c r="G455" s="528"/>
      <c r="H455" s="528"/>
      <c r="I455" s="528"/>
      <c r="J455" s="528"/>
      <c r="K455" s="528"/>
      <c r="L455" s="528"/>
      <c r="M455" s="528"/>
      <c r="N455" s="528"/>
      <c r="O455" s="528"/>
      <c r="P455" s="528"/>
      <c r="Q455" s="434"/>
      <c r="R455" s="434"/>
      <c r="S455" s="434"/>
      <c r="T455" s="434"/>
      <c r="U455" s="434"/>
      <c r="V455" s="434"/>
      <c r="W455" s="434"/>
      <c r="X455" s="434"/>
      <c r="Y455" s="434"/>
      <c r="Z455" s="434"/>
      <c r="AA455" s="434"/>
      <c r="AB455" s="434"/>
      <c r="AC455" s="434"/>
      <c r="AD455" s="434"/>
    </row>
    <row r="456">
      <c r="A456" s="434"/>
      <c r="B456" s="528"/>
      <c r="C456" s="528"/>
      <c r="D456" s="528"/>
      <c r="E456" s="528"/>
      <c r="F456" s="528"/>
      <c r="G456" s="528"/>
      <c r="H456" s="528"/>
      <c r="I456" s="528"/>
      <c r="J456" s="528"/>
      <c r="K456" s="528"/>
      <c r="L456" s="528"/>
      <c r="M456" s="528"/>
      <c r="N456" s="528"/>
      <c r="O456" s="528"/>
      <c r="P456" s="528"/>
      <c r="Q456" s="434"/>
      <c r="R456" s="434"/>
      <c r="S456" s="434"/>
      <c r="T456" s="434"/>
      <c r="U456" s="434"/>
      <c r="V456" s="434"/>
      <c r="W456" s="434"/>
      <c r="X456" s="434"/>
      <c r="Y456" s="434"/>
      <c r="Z456" s="434"/>
      <c r="AA456" s="434"/>
      <c r="AB456" s="434"/>
      <c r="AC456" s="434"/>
      <c r="AD456" s="434"/>
    </row>
    <row r="457">
      <c r="A457" s="434"/>
      <c r="B457" s="528"/>
      <c r="C457" s="528"/>
      <c r="D457" s="528"/>
      <c r="E457" s="528"/>
      <c r="F457" s="528"/>
      <c r="G457" s="528"/>
      <c r="H457" s="528"/>
      <c r="I457" s="528"/>
      <c r="J457" s="528"/>
      <c r="K457" s="528"/>
      <c r="L457" s="528"/>
      <c r="M457" s="528"/>
      <c r="N457" s="528"/>
      <c r="O457" s="528"/>
      <c r="P457" s="528"/>
      <c r="Q457" s="434"/>
      <c r="R457" s="434"/>
      <c r="S457" s="434"/>
      <c r="T457" s="434"/>
      <c r="U457" s="434"/>
      <c r="V457" s="434"/>
      <c r="W457" s="434"/>
      <c r="X457" s="434"/>
      <c r="Y457" s="434"/>
      <c r="Z457" s="434"/>
      <c r="AA457" s="434"/>
      <c r="AB457" s="434"/>
      <c r="AC457" s="434"/>
      <c r="AD457" s="434"/>
    </row>
    <row r="458">
      <c r="A458" s="434"/>
      <c r="B458" s="528"/>
      <c r="C458" s="528"/>
      <c r="D458" s="528"/>
      <c r="E458" s="528"/>
      <c r="F458" s="528"/>
      <c r="G458" s="528"/>
      <c r="H458" s="528"/>
      <c r="I458" s="528"/>
      <c r="J458" s="528"/>
      <c r="K458" s="528"/>
      <c r="L458" s="528"/>
      <c r="M458" s="528"/>
      <c r="N458" s="528"/>
      <c r="O458" s="528"/>
      <c r="P458" s="528"/>
      <c r="Q458" s="434"/>
      <c r="R458" s="434"/>
      <c r="S458" s="434"/>
      <c r="T458" s="434"/>
      <c r="U458" s="434"/>
      <c r="V458" s="434"/>
      <c r="W458" s="434"/>
      <c r="X458" s="434"/>
      <c r="Y458" s="434"/>
      <c r="Z458" s="434"/>
      <c r="AA458" s="434"/>
      <c r="AB458" s="434"/>
      <c r="AC458" s="434"/>
      <c r="AD458" s="434"/>
    </row>
    <row r="459">
      <c r="A459" s="434"/>
      <c r="B459" s="528"/>
      <c r="C459" s="528"/>
      <c r="D459" s="528"/>
      <c r="E459" s="528"/>
      <c r="F459" s="528"/>
      <c r="G459" s="528"/>
      <c r="H459" s="528"/>
      <c r="I459" s="528"/>
      <c r="J459" s="528"/>
      <c r="K459" s="528"/>
      <c r="L459" s="528"/>
      <c r="M459" s="528"/>
      <c r="N459" s="528"/>
      <c r="O459" s="528"/>
      <c r="P459" s="528"/>
      <c r="Q459" s="434"/>
      <c r="R459" s="434"/>
      <c r="S459" s="434"/>
      <c r="T459" s="434"/>
      <c r="U459" s="434"/>
      <c r="V459" s="434"/>
      <c r="W459" s="434"/>
      <c r="X459" s="434"/>
      <c r="Y459" s="434"/>
      <c r="Z459" s="434"/>
      <c r="AA459" s="434"/>
      <c r="AB459" s="434"/>
      <c r="AC459" s="434"/>
      <c r="AD459" s="434"/>
    </row>
    <row r="460">
      <c r="A460" s="434"/>
      <c r="B460" s="528"/>
      <c r="C460" s="528"/>
      <c r="D460" s="528"/>
      <c r="E460" s="528"/>
      <c r="F460" s="528"/>
      <c r="G460" s="528"/>
      <c r="H460" s="528"/>
      <c r="I460" s="528"/>
      <c r="J460" s="528"/>
      <c r="K460" s="528"/>
      <c r="L460" s="528"/>
      <c r="M460" s="528"/>
      <c r="N460" s="528"/>
      <c r="O460" s="528"/>
      <c r="P460" s="528"/>
      <c r="Q460" s="434"/>
      <c r="R460" s="434"/>
      <c r="S460" s="434"/>
      <c r="T460" s="434"/>
      <c r="U460" s="434"/>
      <c r="V460" s="434"/>
      <c r="W460" s="434"/>
      <c r="X460" s="434"/>
      <c r="Y460" s="434"/>
      <c r="Z460" s="434"/>
      <c r="AA460" s="434"/>
      <c r="AB460" s="434"/>
      <c r="AC460" s="434"/>
      <c r="AD460" s="434"/>
    </row>
    <row r="461">
      <c r="A461" s="434"/>
      <c r="B461" s="528"/>
      <c r="C461" s="528"/>
      <c r="D461" s="528"/>
      <c r="E461" s="528"/>
      <c r="F461" s="528"/>
      <c r="G461" s="528"/>
      <c r="H461" s="528"/>
      <c r="I461" s="528"/>
      <c r="J461" s="528"/>
      <c r="K461" s="528"/>
      <c r="L461" s="528"/>
      <c r="M461" s="528"/>
      <c r="N461" s="528"/>
      <c r="O461" s="528"/>
      <c r="P461" s="528"/>
      <c r="Q461" s="434"/>
      <c r="R461" s="434"/>
      <c r="S461" s="434"/>
      <c r="T461" s="434"/>
      <c r="U461" s="434"/>
      <c r="V461" s="434"/>
      <c r="W461" s="434"/>
      <c r="X461" s="434"/>
      <c r="Y461" s="434"/>
      <c r="Z461" s="434"/>
      <c r="AA461" s="434"/>
      <c r="AB461" s="434"/>
      <c r="AC461" s="434"/>
      <c r="AD461" s="434"/>
    </row>
    <row r="462">
      <c r="A462" s="434"/>
      <c r="B462" s="528"/>
      <c r="C462" s="528"/>
      <c r="D462" s="528"/>
      <c r="E462" s="528"/>
      <c r="F462" s="528"/>
      <c r="G462" s="528"/>
      <c r="H462" s="528"/>
      <c r="I462" s="528"/>
      <c r="J462" s="528"/>
      <c r="K462" s="528"/>
      <c r="L462" s="528"/>
      <c r="M462" s="528"/>
      <c r="N462" s="528"/>
      <c r="O462" s="528"/>
      <c r="P462" s="528"/>
      <c r="Q462" s="434"/>
      <c r="R462" s="434"/>
      <c r="S462" s="434"/>
      <c r="T462" s="434"/>
      <c r="U462" s="434"/>
      <c r="V462" s="434"/>
      <c r="W462" s="434"/>
      <c r="X462" s="434"/>
      <c r="Y462" s="434"/>
      <c r="Z462" s="434"/>
      <c r="AA462" s="434"/>
      <c r="AB462" s="434"/>
      <c r="AC462" s="434"/>
      <c r="AD462" s="434"/>
    </row>
    <row r="463">
      <c r="A463" s="434"/>
      <c r="B463" s="528"/>
      <c r="C463" s="528"/>
      <c r="D463" s="528"/>
      <c r="E463" s="528"/>
      <c r="F463" s="528"/>
      <c r="G463" s="528"/>
      <c r="H463" s="528"/>
      <c r="I463" s="528"/>
      <c r="J463" s="528"/>
      <c r="K463" s="528"/>
      <c r="L463" s="528"/>
      <c r="M463" s="528"/>
      <c r="N463" s="528"/>
      <c r="O463" s="528"/>
      <c r="P463" s="528"/>
      <c r="Q463" s="434"/>
      <c r="R463" s="434"/>
      <c r="S463" s="434"/>
      <c r="T463" s="434"/>
      <c r="U463" s="434"/>
      <c r="V463" s="434"/>
      <c r="W463" s="434"/>
      <c r="X463" s="434"/>
      <c r="Y463" s="434"/>
      <c r="Z463" s="434"/>
      <c r="AA463" s="434"/>
      <c r="AB463" s="434"/>
      <c r="AC463" s="434"/>
      <c r="AD463" s="434"/>
    </row>
    <row r="464">
      <c r="A464" s="434"/>
      <c r="B464" s="528"/>
      <c r="C464" s="528"/>
      <c r="D464" s="528"/>
      <c r="E464" s="528"/>
      <c r="F464" s="528"/>
      <c r="G464" s="528"/>
      <c r="H464" s="528"/>
      <c r="I464" s="528"/>
      <c r="J464" s="528"/>
      <c r="K464" s="528"/>
      <c r="L464" s="528"/>
      <c r="M464" s="528"/>
      <c r="N464" s="528"/>
      <c r="O464" s="528"/>
      <c r="P464" s="528"/>
      <c r="Q464" s="434"/>
      <c r="R464" s="434"/>
      <c r="S464" s="434"/>
      <c r="T464" s="434"/>
      <c r="U464" s="434"/>
      <c r="V464" s="434"/>
      <c r="W464" s="434"/>
      <c r="X464" s="434"/>
      <c r="Y464" s="434"/>
      <c r="Z464" s="434"/>
      <c r="AA464" s="434"/>
      <c r="AB464" s="434"/>
      <c r="AC464" s="434"/>
      <c r="AD464" s="434"/>
    </row>
    <row r="465">
      <c r="A465" s="434"/>
      <c r="B465" s="528"/>
      <c r="C465" s="528"/>
      <c r="D465" s="528"/>
      <c r="E465" s="528"/>
      <c r="F465" s="528"/>
      <c r="G465" s="528"/>
      <c r="H465" s="528"/>
      <c r="I465" s="528"/>
      <c r="J465" s="528"/>
      <c r="K465" s="528"/>
      <c r="L465" s="528"/>
      <c r="M465" s="528"/>
      <c r="N465" s="528"/>
      <c r="O465" s="528"/>
      <c r="P465" s="528"/>
      <c r="Q465" s="434"/>
      <c r="R465" s="434"/>
      <c r="S465" s="434"/>
      <c r="T465" s="434"/>
      <c r="U465" s="434"/>
      <c r="V465" s="434"/>
      <c r="W465" s="434"/>
      <c r="X465" s="434"/>
      <c r="Y465" s="434"/>
      <c r="Z465" s="434"/>
      <c r="AA465" s="434"/>
      <c r="AB465" s="434"/>
      <c r="AC465" s="434"/>
      <c r="AD465" s="434"/>
    </row>
    <row r="466">
      <c r="A466" s="434"/>
      <c r="B466" s="528"/>
      <c r="C466" s="528"/>
      <c r="D466" s="528"/>
      <c r="E466" s="528"/>
      <c r="F466" s="528"/>
      <c r="G466" s="528"/>
      <c r="H466" s="528"/>
      <c r="I466" s="528"/>
      <c r="J466" s="528"/>
      <c r="K466" s="528"/>
      <c r="L466" s="528"/>
      <c r="M466" s="528"/>
      <c r="N466" s="528"/>
      <c r="O466" s="528"/>
      <c r="P466" s="528"/>
      <c r="Q466" s="434"/>
      <c r="R466" s="434"/>
      <c r="S466" s="434"/>
      <c r="T466" s="434"/>
      <c r="U466" s="434"/>
      <c r="V466" s="434"/>
      <c r="W466" s="434"/>
      <c r="X466" s="434"/>
      <c r="Y466" s="434"/>
      <c r="Z466" s="434"/>
      <c r="AA466" s="434"/>
      <c r="AB466" s="434"/>
      <c r="AC466" s="434"/>
      <c r="AD466" s="434"/>
    </row>
    <row r="467">
      <c r="A467" s="434"/>
      <c r="B467" s="528"/>
      <c r="C467" s="528"/>
      <c r="D467" s="528"/>
      <c r="E467" s="528"/>
      <c r="F467" s="528"/>
      <c r="G467" s="528"/>
      <c r="H467" s="528"/>
      <c r="I467" s="528"/>
      <c r="J467" s="528"/>
      <c r="K467" s="528"/>
      <c r="L467" s="528"/>
      <c r="M467" s="528"/>
      <c r="N467" s="528"/>
      <c r="O467" s="528"/>
      <c r="P467" s="528"/>
      <c r="Q467" s="434"/>
      <c r="R467" s="434"/>
      <c r="S467" s="434"/>
      <c r="T467" s="434"/>
      <c r="U467" s="434"/>
      <c r="V467" s="434"/>
      <c r="W467" s="434"/>
      <c r="X467" s="434"/>
      <c r="Y467" s="434"/>
      <c r="Z467" s="434"/>
      <c r="AA467" s="434"/>
      <c r="AB467" s="434"/>
      <c r="AC467" s="434"/>
      <c r="AD467" s="434"/>
    </row>
    <row r="468">
      <c r="A468" s="434"/>
      <c r="B468" s="528"/>
      <c r="C468" s="528"/>
      <c r="D468" s="528"/>
      <c r="E468" s="528"/>
      <c r="F468" s="528"/>
      <c r="G468" s="528"/>
      <c r="H468" s="528"/>
      <c r="I468" s="528"/>
      <c r="J468" s="528"/>
      <c r="K468" s="528"/>
      <c r="L468" s="528"/>
      <c r="M468" s="528"/>
      <c r="N468" s="528"/>
      <c r="O468" s="528"/>
      <c r="P468" s="528"/>
      <c r="Q468" s="434"/>
      <c r="R468" s="434"/>
      <c r="S468" s="434"/>
      <c r="T468" s="434"/>
      <c r="U468" s="434"/>
      <c r="V468" s="434"/>
      <c r="W468" s="434"/>
      <c r="X468" s="434"/>
      <c r="Y468" s="434"/>
      <c r="Z468" s="434"/>
      <c r="AA468" s="434"/>
      <c r="AB468" s="434"/>
      <c r="AC468" s="434"/>
      <c r="AD468" s="434"/>
    </row>
    <row r="469">
      <c r="A469" s="434"/>
      <c r="B469" s="528"/>
      <c r="C469" s="528"/>
      <c r="D469" s="528"/>
      <c r="E469" s="528"/>
      <c r="F469" s="528"/>
      <c r="G469" s="528"/>
      <c r="H469" s="528"/>
      <c r="I469" s="528"/>
      <c r="J469" s="528"/>
      <c r="K469" s="528"/>
      <c r="L469" s="528"/>
      <c r="M469" s="528"/>
      <c r="N469" s="528"/>
      <c r="O469" s="528"/>
      <c r="P469" s="528"/>
      <c r="Q469" s="434"/>
      <c r="R469" s="434"/>
      <c r="S469" s="434"/>
      <c r="T469" s="434"/>
      <c r="U469" s="434"/>
      <c r="V469" s="434"/>
      <c r="W469" s="434"/>
      <c r="X469" s="434"/>
      <c r="Y469" s="434"/>
      <c r="Z469" s="434"/>
      <c r="AA469" s="434"/>
      <c r="AB469" s="434"/>
      <c r="AC469" s="434"/>
      <c r="AD469" s="434"/>
    </row>
    <row r="470">
      <c r="A470" s="434"/>
      <c r="B470" s="528"/>
      <c r="C470" s="528"/>
      <c r="D470" s="528"/>
      <c r="E470" s="528"/>
      <c r="F470" s="528"/>
      <c r="G470" s="528"/>
      <c r="H470" s="528"/>
      <c r="I470" s="528"/>
      <c r="J470" s="528"/>
      <c r="K470" s="528"/>
      <c r="L470" s="528"/>
      <c r="M470" s="528"/>
      <c r="N470" s="528"/>
      <c r="O470" s="528"/>
      <c r="P470" s="528"/>
      <c r="Q470" s="434"/>
      <c r="R470" s="434"/>
      <c r="S470" s="434"/>
      <c r="T470" s="434"/>
      <c r="U470" s="434"/>
      <c r="V470" s="434"/>
      <c r="W470" s="434"/>
      <c r="X470" s="434"/>
      <c r="Y470" s="434"/>
      <c r="Z470" s="434"/>
      <c r="AA470" s="434"/>
      <c r="AB470" s="434"/>
      <c r="AC470" s="434"/>
      <c r="AD470" s="434"/>
    </row>
    <row r="471">
      <c r="A471" s="434"/>
      <c r="B471" s="528"/>
      <c r="C471" s="528"/>
      <c r="D471" s="528"/>
      <c r="E471" s="528"/>
      <c r="F471" s="528"/>
      <c r="G471" s="528"/>
      <c r="H471" s="528"/>
      <c r="I471" s="528"/>
      <c r="J471" s="528"/>
      <c r="K471" s="528"/>
      <c r="L471" s="528"/>
      <c r="M471" s="528"/>
      <c r="N471" s="528"/>
      <c r="O471" s="528"/>
      <c r="P471" s="528"/>
      <c r="Q471" s="434"/>
      <c r="R471" s="434"/>
      <c r="S471" s="434"/>
      <c r="T471" s="434"/>
      <c r="U471" s="434"/>
      <c r="V471" s="434"/>
      <c r="W471" s="434"/>
      <c r="X471" s="434"/>
      <c r="Y471" s="434"/>
      <c r="Z471" s="434"/>
      <c r="AA471" s="434"/>
      <c r="AB471" s="434"/>
      <c r="AC471" s="434"/>
      <c r="AD471" s="434"/>
    </row>
    <row r="472">
      <c r="A472" s="434"/>
      <c r="B472" s="528"/>
      <c r="C472" s="528"/>
      <c r="D472" s="528"/>
      <c r="E472" s="528"/>
      <c r="F472" s="528"/>
      <c r="G472" s="528"/>
      <c r="H472" s="528"/>
      <c r="I472" s="528"/>
      <c r="J472" s="528"/>
      <c r="K472" s="528"/>
      <c r="L472" s="528"/>
      <c r="M472" s="528"/>
      <c r="N472" s="528"/>
      <c r="O472" s="528"/>
      <c r="P472" s="528"/>
      <c r="Q472" s="434"/>
      <c r="R472" s="434"/>
      <c r="S472" s="434"/>
      <c r="T472" s="434"/>
      <c r="U472" s="434"/>
      <c r="V472" s="434"/>
      <c r="W472" s="434"/>
      <c r="X472" s="434"/>
      <c r="Y472" s="434"/>
      <c r="Z472" s="434"/>
      <c r="AA472" s="434"/>
      <c r="AB472" s="434"/>
      <c r="AC472" s="434"/>
      <c r="AD472" s="434"/>
    </row>
    <row r="473">
      <c r="A473" s="434"/>
      <c r="B473" s="528"/>
      <c r="C473" s="528"/>
      <c r="D473" s="528"/>
      <c r="E473" s="528"/>
      <c r="F473" s="528"/>
      <c r="G473" s="528"/>
      <c r="H473" s="528"/>
      <c r="I473" s="528"/>
      <c r="J473" s="528"/>
      <c r="K473" s="528"/>
      <c r="L473" s="528"/>
      <c r="M473" s="528"/>
      <c r="N473" s="528"/>
      <c r="O473" s="528"/>
      <c r="P473" s="528"/>
      <c r="Q473" s="434"/>
      <c r="R473" s="434"/>
      <c r="S473" s="434"/>
      <c r="T473" s="434"/>
      <c r="U473" s="434"/>
      <c r="V473" s="434"/>
      <c r="W473" s="434"/>
      <c r="X473" s="434"/>
      <c r="Y473" s="434"/>
      <c r="Z473" s="434"/>
      <c r="AA473" s="434"/>
      <c r="AB473" s="434"/>
      <c r="AC473" s="434"/>
      <c r="AD473" s="434"/>
    </row>
    <row r="474">
      <c r="A474" s="434"/>
      <c r="B474" s="528"/>
      <c r="C474" s="528"/>
      <c r="D474" s="528"/>
      <c r="E474" s="528"/>
      <c r="F474" s="528"/>
      <c r="G474" s="528"/>
      <c r="H474" s="528"/>
      <c r="I474" s="528"/>
      <c r="J474" s="528"/>
      <c r="K474" s="528"/>
      <c r="L474" s="528"/>
      <c r="M474" s="528"/>
      <c r="N474" s="528"/>
      <c r="O474" s="528"/>
      <c r="P474" s="528"/>
      <c r="Q474" s="434"/>
      <c r="R474" s="434"/>
      <c r="S474" s="434"/>
      <c r="T474" s="434"/>
      <c r="U474" s="434"/>
      <c r="V474" s="434"/>
      <c r="W474" s="434"/>
      <c r="X474" s="434"/>
      <c r="Y474" s="434"/>
      <c r="Z474" s="434"/>
      <c r="AA474" s="434"/>
      <c r="AB474" s="434"/>
      <c r="AC474" s="434"/>
      <c r="AD474" s="434"/>
    </row>
    <row r="475">
      <c r="A475" s="434"/>
      <c r="B475" s="528"/>
      <c r="C475" s="528"/>
      <c r="D475" s="528"/>
      <c r="E475" s="528"/>
      <c r="F475" s="528"/>
      <c r="G475" s="528"/>
      <c r="H475" s="528"/>
      <c r="I475" s="528"/>
      <c r="J475" s="528"/>
      <c r="K475" s="528"/>
      <c r="L475" s="528"/>
      <c r="M475" s="528"/>
      <c r="N475" s="528"/>
      <c r="O475" s="528"/>
      <c r="P475" s="528"/>
      <c r="Q475" s="434"/>
      <c r="R475" s="434"/>
      <c r="S475" s="434"/>
      <c r="T475" s="434"/>
      <c r="U475" s="434"/>
      <c r="V475" s="434"/>
      <c r="W475" s="434"/>
      <c r="X475" s="434"/>
      <c r="Y475" s="434"/>
      <c r="Z475" s="434"/>
      <c r="AA475" s="434"/>
      <c r="AB475" s="434"/>
      <c r="AC475" s="434"/>
      <c r="AD475" s="434"/>
    </row>
    <row r="476">
      <c r="A476" s="434"/>
      <c r="B476" s="528"/>
      <c r="C476" s="528"/>
      <c r="D476" s="528"/>
      <c r="E476" s="528"/>
      <c r="F476" s="528"/>
      <c r="G476" s="528"/>
      <c r="H476" s="528"/>
      <c r="I476" s="528"/>
      <c r="J476" s="528"/>
      <c r="K476" s="528"/>
      <c r="L476" s="528"/>
      <c r="M476" s="528"/>
      <c r="N476" s="528"/>
      <c r="O476" s="528"/>
      <c r="P476" s="528"/>
      <c r="Q476" s="434"/>
      <c r="R476" s="434"/>
      <c r="S476" s="434"/>
      <c r="T476" s="434"/>
      <c r="U476" s="434"/>
      <c r="V476" s="434"/>
      <c r="W476" s="434"/>
      <c r="X476" s="434"/>
      <c r="Y476" s="434"/>
      <c r="Z476" s="434"/>
      <c r="AA476" s="434"/>
      <c r="AB476" s="434"/>
      <c r="AC476" s="434"/>
      <c r="AD476" s="434"/>
    </row>
    <row r="477">
      <c r="A477" s="434"/>
      <c r="B477" s="528"/>
      <c r="C477" s="528"/>
      <c r="D477" s="528"/>
      <c r="E477" s="528"/>
      <c r="F477" s="528"/>
      <c r="G477" s="528"/>
      <c r="H477" s="528"/>
      <c r="I477" s="528"/>
      <c r="J477" s="528"/>
      <c r="K477" s="528"/>
      <c r="L477" s="528"/>
      <c r="M477" s="528"/>
      <c r="N477" s="528"/>
      <c r="O477" s="528"/>
      <c r="P477" s="528"/>
      <c r="Q477" s="434"/>
      <c r="R477" s="434"/>
      <c r="S477" s="434"/>
      <c r="T477" s="434"/>
      <c r="U477" s="434"/>
      <c r="V477" s="434"/>
      <c r="W477" s="434"/>
      <c r="X477" s="434"/>
      <c r="Y477" s="434"/>
      <c r="Z477" s="434"/>
      <c r="AA477" s="434"/>
      <c r="AB477" s="434"/>
      <c r="AC477" s="434"/>
      <c r="AD477" s="434"/>
    </row>
    <row r="478">
      <c r="A478" s="434"/>
      <c r="B478" s="528"/>
      <c r="C478" s="528"/>
      <c r="D478" s="528"/>
      <c r="E478" s="528"/>
      <c r="F478" s="528"/>
      <c r="G478" s="528"/>
      <c r="H478" s="528"/>
      <c r="I478" s="528"/>
      <c r="J478" s="528"/>
      <c r="K478" s="528"/>
      <c r="L478" s="528"/>
      <c r="M478" s="528"/>
      <c r="N478" s="528"/>
      <c r="O478" s="528"/>
      <c r="P478" s="528"/>
      <c r="Q478" s="434"/>
      <c r="R478" s="434"/>
      <c r="S478" s="434"/>
      <c r="T478" s="434"/>
      <c r="U478" s="434"/>
      <c r="V478" s="434"/>
      <c r="W478" s="434"/>
      <c r="X478" s="434"/>
      <c r="Y478" s="434"/>
      <c r="Z478" s="434"/>
      <c r="AA478" s="434"/>
      <c r="AB478" s="434"/>
      <c r="AC478" s="434"/>
      <c r="AD478" s="434"/>
    </row>
    <row r="479">
      <c r="A479" s="434"/>
      <c r="B479" s="528"/>
      <c r="C479" s="528"/>
      <c r="D479" s="528"/>
      <c r="E479" s="528"/>
      <c r="F479" s="528"/>
      <c r="G479" s="528"/>
      <c r="H479" s="528"/>
      <c r="I479" s="528"/>
      <c r="J479" s="528"/>
      <c r="K479" s="528"/>
      <c r="L479" s="528"/>
      <c r="M479" s="528"/>
      <c r="N479" s="528"/>
      <c r="O479" s="528"/>
      <c r="P479" s="528"/>
      <c r="Q479" s="434"/>
      <c r="R479" s="434"/>
      <c r="S479" s="434"/>
      <c r="T479" s="434"/>
      <c r="U479" s="434"/>
      <c r="V479" s="434"/>
      <c r="W479" s="434"/>
      <c r="X479" s="434"/>
      <c r="Y479" s="434"/>
      <c r="Z479" s="434"/>
      <c r="AA479" s="434"/>
      <c r="AB479" s="434"/>
      <c r="AC479" s="434"/>
      <c r="AD479" s="434"/>
    </row>
    <row r="480">
      <c r="A480" s="434"/>
      <c r="B480" s="528"/>
      <c r="C480" s="528"/>
      <c r="D480" s="528"/>
      <c r="E480" s="528"/>
      <c r="F480" s="528"/>
      <c r="G480" s="528"/>
      <c r="H480" s="528"/>
      <c r="I480" s="528"/>
      <c r="J480" s="528"/>
      <c r="K480" s="528"/>
      <c r="L480" s="528"/>
      <c r="M480" s="528"/>
      <c r="N480" s="528"/>
      <c r="O480" s="528"/>
      <c r="P480" s="528"/>
      <c r="Q480" s="434"/>
      <c r="R480" s="434"/>
      <c r="S480" s="434"/>
      <c r="T480" s="434"/>
      <c r="U480" s="434"/>
      <c r="V480" s="434"/>
      <c r="W480" s="434"/>
      <c r="X480" s="434"/>
      <c r="Y480" s="434"/>
      <c r="Z480" s="434"/>
      <c r="AA480" s="434"/>
      <c r="AB480" s="434"/>
      <c r="AC480" s="434"/>
      <c r="AD480" s="434"/>
    </row>
    <row r="481">
      <c r="A481" s="434"/>
      <c r="B481" s="528"/>
      <c r="C481" s="528"/>
      <c r="D481" s="528"/>
      <c r="E481" s="528"/>
      <c r="F481" s="528"/>
      <c r="G481" s="528"/>
      <c r="H481" s="528"/>
      <c r="I481" s="528"/>
      <c r="J481" s="528"/>
      <c r="K481" s="528"/>
      <c r="L481" s="528"/>
      <c r="M481" s="528"/>
      <c r="N481" s="528"/>
      <c r="O481" s="528"/>
      <c r="P481" s="528"/>
      <c r="Q481" s="434"/>
      <c r="R481" s="434"/>
      <c r="S481" s="434"/>
      <c r="T481" s="434"/>
      <c r="U481" s="434"/>
      <c r="V481" s="434"/>
      <c r="W481" s="434"/>
      <c r="X481" s="434"/>
      <c r="Y481" s="434"/>
      <c r="Z481" s="434"/>
      <c r="AA481" s="434"/>
      <c r="AB481" s="434"/>
      <c r="AC481" s="434"/>
      <c r="AD481" s="434"/>
    </row>
    <row r="482">
      <c r="A482" s="434"/>
      <c r="B482" s="528"/>
      <c r="C482" s="528"/>
      <c r="D482" s="528"/>
      <c r="E482" s="528"/>
      <c r="F482" s="528"/>
      <c r="G482" s="528"/>
      <c r="H482" s="528"/>
      <c r="I482" s="528"/>
      <c r="J482" s="528"/>
      <c r="K482" s="528"/>
      <c r="L482" s="528"/>
      <c r="M482" s="528"/>
      <c r="N482" s="528"/>
      <c r="O482" s="528"/>
      <c r="P482" s="528"/>
      <c r="Q482" s="434"/>
      <c r="R482" s="434"/>
      <c r="S482" s="434"/>
      <c r="T482" s="434"/>
      <c r="U482" s="434"/>
      <c r="V482" s="434"/>
      <c r="W482" s="434"/>
      <c r="X482" s="434"/>
      <c r="Y482" s="434"/>
      <c r="Z482" s="434"/>
      <c r="AA482" s="434"/>
      <c r="AB482" s="434"/>
      <c r="AC482" s="434"/>
      <c r="AD482" s="434"/>
    </row>
    <row r="483">
      <c r="A483" s="434"/>
      <c r="B483" s="528"/>
      <c r="C483" s="528"/>
      <c r="D483" s="528"/>
      <c r="E483" s="528"/>
      <c r="F483" s="528"/>
      <c r="G483" s="528"/>
      <c r="H483" s="528"/>
      <c r="I483" s="528"/>
      <c r="J483" s="528"/>
      <c r="K483" s="528"/>
      <c r="L483" s="528"/>
      <c r="M483" s="528"/>
      <c r="N483" s="528"/>
      <c r="O483" s="528"/>
      <c r="P483" s="528"/>
      <c r="Q483" s="434"/>
      <c r="R483" s="434"/>
      <c r="S483" s="434"/>
      <c r="T483" s="434"/>
      <c r="U483" s="434"/>
      <c r="V483" s="434"/>
      <c r="W483" s="434"/>
      <c r="X483" s="434"/>
      <c r="Y483" s="434"/>
      <c r="Z483" s="434"/>
      <c r="AA483" s="434"/>
      <c r="AB483" s="434"/>
      <c r="AC483" s="434"/>
      <c r="AD483" s="434"/>
    </row>
    <row r="484">
      <c r="A484" s="434"/>
      <c r="B484" s="528"/>
      <c r="C484" s="528"/>
      <c r="D484" s="528"/>
      <c r="E484" s="528"/>
      <c r="F484" s="528"/>
      <c r="G484" s="528"/>
      <c r="H484" s="528"/>
      <c r="I484" s="528"/>
      <c r="J484" s="528"/>
      <c r="K484" s="528"/>
      <c r="L484" s="528"/>
      <c r="M484" s="528"/>
      <c r="N484" s="528"/>
      <c r="O484" s="528"/>
      <c r="P484" s="528"/>
      <c r="Q484" s="434"/>
      <c r="R484" s="434"/>
      <c r="S484" s="434"/>
      <c r="T484" s="434"/>
      <c r="U484" s="434"/>
      <c r="V484" s="434"/>
      <c r="W484" s="434"/>
      <c r="X484" s="434"/>
      <c r="Y484" s="434"/>
      <c r="Z484" s="434"/>
      <c r="AA484" s="434"/>
      <c r="AB484" s="434"/>
      <c r="AC484" s="434"/>
      <c r="AD484" s="434"/>
    </row>
    <row r="485">
      <c r="A485" s="434"/>
      <c r="B485" s="528"/>
      <c r="C485" s="528"/>
      <c r="D485" s="528"/>
      <c r="E485" s="528"/>
      <c r="F485" s="528"/>
      <c r="G485" s="528"/>
      <c r="H485" s="528"/>
      <c r="I485" s="528"/>
      <c r="J485" s="528"/>
      <c r="K485" s="528"/>
      <c r="L485" s="528"/>
      <c r="M485" s="528"/>
      <c r="N485" s="528"/>
      <c r="O485" s="528"/>
      <c r="P485" s="528"/>
      <c r="Q485" s="434"/>
      <c r="R485" s="434"/>
      <c r="S485" s="434"/>
      <c r="T485" s="434"/>
      <c r="U485" s="434"/>
      <c r="V485" s="434"/>
      <c r="W485" s="434"/>
      <c r="X485" s="434"/>
      <c r="Y485" s="434"/>
      <c r="Z485" s="434"/>
      <c r="AA485" s="434"/>
      <c r="AB485" s="434"/>
      <c r="AC485" s="434"/>
      <c r="AD485" s="434"/>
    </row>
    <row r="486">
      <c r="A486" s="434"/>
      <c r="B486" s="528"/>
      <c r="C486" s="528"/>
      <c r="D486" s="528"/>
      <c r="E486" s="528"/>
      <c r="F486" s="528"/>
      <c r="G486" s="528"/>
      <c r="H486" s="528"/>
      <c r="I486" s="528"/>
      <c r="J486" s="528"/>
      <c r="K486" s="528"/>
      <c r="L486" s="528"/>
      <c r="M486" s="528"/>
      <c r="N486" s="528"/>
      <c r="O486" s="528"/>
      <c r="P486" s="528"/>
      <c r="Q486" s="434"/>
      <c r="R486" s="434"/>
      <c r="S486" s="434"/>
      <c r="T486" s="434"/>
      <c r="U486" s="434"/>
      <c r="V486" s="434"/>
      <c r="W486" s="434"/>
      <c r="X486" s="434"/>
      <c r="Y486" s="434"/>
      <c r="Z486" s="434"/>
      <c r="AA486" s="434"/>
      <c r="AB486" s="434"/>
      <c r="AC486" s="434"/>
      <c r="AD486" s="434"/>
    </row>
    <row r="487">
      <c r="A487" s="434"/>
      <c r="B487" s="528"/>
      <c r="C487" s="528"/>
      <c r="D487" s="528"/>
      <c r="E487" s="528"/>
      <c r="F487" s="528"/>
      <c r="G487" s="528"/>
      <c r="H487" s="528"/>
      <c r="I487" s="528"/>
      <c r="J487" s="528"/>
      <c r="K487" s="528"/>
      <c r="L487" s="528"/>
      <c r="M487" s="528"/>
      <c r="N487" s="528"/>
      <c r="O487" s="528"/>
      <c r="P487" s="528"/>
      <c r="Q487" s="434"/>
      <c r="R487" s="434"/>
      <c r="S487" s="434"/>
      <c r="T487" s="434"/>
      <c r="U487" s="434"/>
      <c r="V487" s="434"/>
      <c r="W487" s="434"/>
      <c r="X487" s="434"/>
      <c r="Y487" s="434"/>
      <c r="Z487" s="434"/>
      <c r="AA487" s="434"/>
      <c r="AB487" s="434"/>
      <c r="AC487" s="434"/>
      <c r="AD487" s="434"/>
    </row>
    <row r="488">
      <c r="A488" s="434"/>
      <c r="B488" s="528"/>
      <c r="C488" s="528"/>
      <c r="D488" s="528"/>
      <c r="E488" s="528"/>
      <c r="F488" s="528"/>
      <c r="G488" s="528"/>
      <c r="H488" s="528"/>
      <c r="I488" s="528"/>
      <c r="J488" s="528"/>
      <c r="K488" s="528"/>
      <c r="L488" s="528"/>
      <c r="M488" s="528"/>
      <c r="N488" s="528"/>
      <c r="O488" s="528"/>
      <c r="P488" s="528"/>
      <c r="Q488" s="434"/>
      <c r="R488" s="434"/>
      <c r="S488" s="434"/>
      <c r="T488" s="434"/>
      <c r="U488" s="434"/>
      <c r="V488" s="434"/>
      <c r="W488" s="434"/>
      <c r="X488" s="434"/>
      <c r="Y488" s="434"/>
      <c r="Z488" s="434"/>
      <c r="AA488" s="434"/>
      <c r="AB488" s="434"/>
      <c r="AC488" s="434"/>
      <c r="AD488" s="434"/>
    </row>
    <row r="489">
      <c r="A489" s="434"/>
      <c r="B489" s="528"/>
      <c r="C489" s="528"/>
      <c r="D489" s="528"/>
      <c r="E489" s="528"/>
      <c r="F489" s="528"/>
      <c r="G489" s="528"/>
      <c r="H489" s="528"/>
      <c r="I489" s="528"/>
      <c r="J489" s="528"/>
      <c r="K489" s="528"/>
      <c r="L489" s="528"/>
      <c r="M489" s="528"/>
      <c r="N489" s="528"/>
      <c r="O489" s="528"/>
      <c r="P489" s="528"/>
      <c r="Q489" s="434"/>
      <c r="R489" s="434"/>
      <c r="S489" s="434"/>
      <c r="T489" s="434"/>
      <c r="U489" s="434"/>
      <c r="V489" s="434"/>
      <c r="W489" s="434"/>
      <c r="X489" s="434"/>
      <c r="Y489" s="434"/>
      <c r="Z489" s="434"/>
      <c r="AA489" s="434"/>
      <c r="AB489" s="434"/>
      <c r="AC489" s="434"/>
      <c r="AD489" s="434"/>
    </row>
    <row r="490">
      <c r="A490" s="434"/>
      <c r="B490" s="528"/>
      <c r="C490" s="528"/>
      <c r="D490" s="528"/>
      <c r="E490" s="528"/>
      <c r="F490" s="528"/>
      <c r="G490" s="528"/>
      <c r="H490" s="528"/>
      <c r="I490" s="528"/>
      <c r="J490" s="528"/>
      <c r="K490" s="528"/>
      <c r="L490" s="528"/>
      <c r="M490" s="528"/>
      <c r="N490" s="528"/>
      <c r="O490" s="528"/>
      <c r="P490" s="528"/>
      <c r="Q490" s="434"/>
      <c r="R490" s="434"/>
      <c r="S490" s="434"/>
      <c r="T490" s="434"/>
      <c r="U490" s="434"/>
      <c r="V490" s="434"/>
      <c r="W490" s="434"/>
      <c r="X490" s="434"/>
      <c r="Y490" s="434"/>
      <c r="Z490" s="434"/>
      <c r="AA490" s="434"/>
      <c r="AB490" s="434"/>
      <c r="AC490" s="434"/>
      <c r="AD490" s="434"/>
    </row>
    <row r="491">
      <c r="A491" s="434"/>
      <c r="B491" s="528"/>
      <c r="C491" s="528"/>
      <c r="D491" s="528"/>
      <c r="E491" s="528"/>
      <c r="F491" s="528"/>
      <c r="G491" s="528"/>
      <c r="H491" s="528"/>
      <c r="I491" s="528"/>
      <c r="J491" s="528"/>
      <c r="K491" s="528"/>
      <c r="L491" s="528"/>
      <c r="M491" s="528"/>
      <c r="N491" s="528"/>
      <c r="O491" s="528"/>
      <c r="P491" s="528"/>
      <c r="Q491" s="434"/>
      <c r="R491" s="434"/>
      <c r="S491" s="434"/>
      <c r="T491" s="434"/>
      <c r="U491" s="434"/>
      <c r="V491" s="434"/>
      <c r="W491" s="434"/>
      <c r="X491" s="434"/>
      <c r="Y491" s="434"/>
      <c r="Z491" s="434"/>
      <c r="AA491" s="434"/>
      <c r="AB491" s="434"/>
      <c r="AC491" s="434"/>
      <c r="AD491" s="434"/>
    </row>
    <row r="492">
      <c r="A492" s="434"/>
      <c r="B492" s="528"/>
      <c r="C492" s="528"/>
      <c r="D492" s="528"/>
      <c r="E492" s="528"/>
      <c r="F492" s="528"/>
      <c r="G492" s="528"/>
      <c r="H492" s="528"/>
      <c r="I492" s="528"/>
      <c r="J492" s="528"/>
      <c r="K492" s="528"/>
      <c r="L492" s="528"/>
      <c r="M492" s="528"/>
      <c r="N492" s="528"/>
      <c r="O492" s="528"/>
      <c r="P492" s="528"/>
      <c r="Q492" s="434"/>
      <c r="R492" s="434"/>
      <c r="S492" s="434"/>
      <c r="T492" s="434"/>
      <c r="U492" s="434"/>
      <c r="V492" s="434"/>
      <c r="W492" s="434"/>
      <c r="X492" s="434"/>
      <c r="Y492" s="434"/>
      <c r="Z492" s="434"/>
      <c r="AA492" s="434"/>
      <c r="AB492" s="434"/>
      <c r="AC492" s="434"/>
      <c r="AD492" s="434"/>
    </row>
    <row r="493">
      <c r="A493" s="434"/>
      <c r="B493" s="528"/>
      <c r="C493" s="528"/>
      <c r="D493" s="528"/>
      <c r="E493" s="528"/>
      <c r="F493" s="528"/>
      <c r="G493" s="528"/>
      <c r="H493" s="528"/>
      <c r="I493" s="528"/>
      <c r="J493" s="528"/>
      <c r="K493" s="528"/>
      <c r="L493" s="528"/>
      <c r="M493" s="528"/>
      <c r="N493" s="528"/>
      <c r="O493" s="528"/>
      <c r="P493" s="528"/>
      <c r="Q493" s="434"/>
      <c r="R493" s="434"/>
      <c r="S493" s="434"/>
      <c r="T493" s="434"/>
      <c r="U493" s="434"/>
      <c r="V493" s="434"/>
      <c r="W493" s="434"/>
      <c r="X493" s="434"/>
      <c r="Y493" s="434"/>
      <c r="Z493" s="434"/>
      <c r="AA493" s="434"/>
      <c r="AB493" s="434"/>
      <c r="AC493" s="434"/>
      <c r="AD493" s="434"/>
    </row>
    <row r="494">
      <c r="A494" s="434"/>
      <c r="B494" s="528"/>
      <c r="C494" s="528"/>
      <c r="D494" s="528"/>
      <c r="E494" s="528"/>
      <c r="F494" s="528"/>
      <c r="G494" s="528"/>
      <c r="H494" s="528"/>
      <c r="I494" s="528"/>
      <c r="J494" s="528"/>
      <c r="K494" s="528"/>
      <c r="L494" s="528"/>
      <c r="M494" s="528"/>
      <c r="N494" s="528"/>
      <c r="O494" s="528"/>
      <c r="P494" s="528"/>
      <c r="Q494" s="434"/>
      <c r="R494" s="434"/>
      <c r="S494" s="434"/>
      <c r="T494" s="434"/>
      <c r="U494" s="434"/>
      <c r="V494" s="434"/>
      <c r="W494" s="434"/>
      <c r="X494" s="434"/>
      <c r="Y494" s="434"/>
      <c r="Z494" s="434"/>
      <c r="AA494" s="434"/>
      <c r="AB494" s="434"/>
      <c r="AC494" s="434"/>
      <c r="AD494" s="434"/>
    </row>
    <row r="495">
      <c r="A495" s="434"/>
      <c r="B495" s="528"/>
      <c r="C495" s="528"/>
      <c r="D495" s="528"/>
      <c r="E495" s="528"/>
      <c r="F495" s="528"/>
      <c r="G495" s="528"/>
      <c r="H495" s="528"/>
      <c r="I495" s="528"/>
      <c r="J495" s="528"/>
      <c r="K495" s="528"/>
      <c r="L495" s="528"/>
      <c r="M495" s="528"/>
      <c r="N495" s="528"/>
      <c r="O495" s="528"/>
      <c r="P495" s="528"/>
      <c r="Q495" s="434"/>
      <c r="R495" s="434"/>
      <c r="S495" s="434"/>
      <c r="T495" s="434"/>
      <c r="U495" s="434"/>
      <c r="V495" s="434"/>
      <c r="W495" s="434"/>
      <c r="X495" s="434"/>
      <c r="Y495" s="434"/>
      <c r="Z495" s="434"/>
      <c r="AA495" s="434"/>
      <c r="AB495" s="434"/>
      <c r="AC495" s="434"/>
      <c r="AD495" s="434"/>
    </row>
    <row r="496">
      <c r="A496" s="434"/>
      <c r="B496" s="528"/>
      <c r="C496" s="528"/>
      <c r="D496" s="528"/>
      <c r="E496" s="528"/>
      <c r="F496" s="528"/>
      <c r="G496" s="528"/>
      <c r="H496" s="528"/>
      <c r="I496" s="528"/>
      <c r="J496" s="528"/>
      <c r="K496" s="528"/>
      <c r="L496" s="528"/>
      <c r="M496" s="528"/>
      <c r="N496" s="528"/>
      <c r="O496" s="528"/>
      <c r="P496" s="528"/>
      <c r="Q496" s="434"/>
      <c r="R496" s="434"/>
      <c r="S496" s="434"/>
      <c r="T496" s="434"/>
      <c r="U496" s="434"/>
      <c r="V496" s="434"/>
      <c r="W496" s="434"/>
      <c r="X496" s="434"/>
      <c r="Y496" s="434"/>
      <c r="Z496" s="434"/>
      <c r="AA496" s="434"/>
      <c r="AB496" s="434"/>
      <c r="AC496" s="434"/>
      <c r="AD496" s="434"/>
    </row>
    <row r="497">
      <c r="A497" s="434"/>
      <c r="B497" s="528"/>
      <c r="C497" s="528"/>
      <c r="D497" s="528"/>
      <c r="E497" s="528"/>
      <c r="F497" s="528"/>
      <c r="G497" s="528"/>
      <c r="H497" s="528"/>
      <c r="I497" s="528"/>
      <c r="J497" s="528"/>
      <c r="K497" s="528"/>
      <c r="L497" s="528"/>
      <c r="M497" s="528"/>
      <c r="N497" s="528"/>
      <c r="O497" s="528"/>
      <c r="P497" s="528"/>
      <c r="Q497" s="434"/>
      <c r="R497" s="434"/>
      <c r="S497" s="434"/>
      <c r="T497" s="434"/>
      <c r="U497" s="434"/>
      <c r="V497" s="434"/>
      <c r="W497" s="434"/>
      <c r="X497" s="434"/>
      <c r="Y497" s="434"/>
      <c r="Z497" s="434"/>
      <c r="AA497" s="434"/>
      <c r="AB497" s="434"/>
      <c r="AC497" s="434"/>
      <c r="AD497" s="434"/>
    </row>
    <row r="498">
      <c r="A498" s="434"/>
      <c r="B498" s="528"/>
      <c r="C498" s="528"/>
      <c r="D498" s="528"/>
      <c r="E498" s="528"/>
      <c r="F498" s="528"/>
      <c r="G498" s="528"/>
      <c r="H498" s="528"/>
      <c r="I498" s="528"/>
      <c r="J498" s="528"/>
      <c r="K498" s="528"/>
      <c r="L498" s="528"/>
      <c r="M498" s="528"/>
      <c r="N498" s="528"/>
      <c r="O498" s="528"/>
      <c r="P498" s="528"/>
      <c r="Q498" s="434"/>
      <c r="R498" s="434"/>
      <c r="S498" s="434"/>
      <c r="T498" s="434"/>
      <c r="U498" s="434"/>
      <c r="V498" s="434"/>
      <c r="W498" s="434"/>
      <c r="X498" s="434"/>
      <c r="Y498" s="434"/>
      <c r="Z498" s="434"/>
      <c r="AA498" s="434"/>
      <c r="AB498" s="434"/>
      <c r="AC498" s="434"/>
      <c r="AD498" s="434"/>
    </row>
    <row r="499">
      <c r="A499" s="434"/>
      <c r="B499" s="528"/>
      <c r="C499" s="528"/>
      <c r="D499" s="528"/>
      <c r="E499" s="528"/>
      <c r="F499" s="528"/>
      <c r="G499" s="528"/>
      <c r="H499" s="528"/>
      <c r="I499" s="528"/>
      <c r="J499" s="528"/>
      <c r="K499" s="528"/>
      <c r="L499" s="528"/>
      <c r="M499" s="528"/>
      <c r="N499" s="528"/>
      <c r="O499" s="528"/>
      <c r="P499" s="528"/>
      <c r="Q499" s="434"/>
      <c r="R499" s="434"/>
      <c r="S499" s="434"/>
      <c r="T499" s="434"/>
      <c r="U499" s="434"/>
      <c r="V499" s="434"/>
      <c r="W499" s="434"/>
      <c r="X499" s="434"/>
      <c r="Y499" s="434"/>
      <c r="Z499" s="434"/>
      <c r="AA499" s="434"/>
      <c r="AB499" s="434"/>
      <c r="AC499" s="434"/>
      <c r="AD499" s="434"/>
    </row>
    <row r="500">
      <c r="A500" s="434"/>
      <c r="B500" s="528"/>
      <c r="C500" s="528"/>
      <c r="D500" s="528"/>
      <c r="E500" s="528"/>
      <c r="F500" s="528"/>
      <c r="G500" s="528"/>
      <c r="H500" s="528"/>
      <c r="I500" s="528"/>
      <c r="J500" s="528"/>
      <c r="K500" s="528"/>
      <c r="L500" s="528"/>
      <c r="M500" s="528"/>
      <c r="N500" s="528"/>
      <c r="O500" s="528"/>
      <c r="P500" s="528"/>
      <c r="Q500" s="434"/>
      <c r="R500" s="434"/>
      <c r="S500" s="434"/>
      <c r="T500" s="434"/>
      <c r="U500" s="434"/>
      <c r="V500" s="434"/>
      <c r="W500" s="434"/>
      <c r="X500" s="434"/>
      <c r="Y500" s="434"/>
      <c r="Z500" s="434"/>
      <c r="AA500" s="434"/>
      <c r="AB500" s="434"/>
      <c r="AC500" s="434"/>
      <c r="AD500" s="434"/>
    </row>
    <row r="501">
      <c r="A501" s="434"/>
      <c r="B501" s="528"/>
      <c r="C501" s="528"/>
      <c r="D501" s="528"/>
      <c r="E501" s="528"/>
      <c r="F501" s="528"/>
      <c r="G501" s="528"/>
      <c r="H501" s="528"/>
      <c r="I501" s="528"/>
      <c r="J501" s="528"/>
      <c r="K501" s="528"/>
      <c r="L501" s="528"/>
      <c r="M501" s="528"/>
      <c r="N501" s="528"/>
      <c r="O501" s="528"/>
      <c r="P501" s="528"/>
      <c r="Q501" s="434"/>
      <c r="R501" s="434"/>
      <c r="S501" s="434"/>
      <c r="T501" s="434"/>
      <c r="U501" s="434"/>
      <c r="V501" s="434"/>
      <c r="W501" s="434"/>
      <c r="X501" s="434"/>
      <c r="Y501" s="434"/>
      <c r="Z501" s="434"/>
      <c r="AA501" s="434"/>
      <c r="AB501" s="434"/>
      <c r="AC501" s="434"/>
      <c r="AD501" s="434"/>
    </row>
    <row r="502">
      <c r="A502" s="434"/>
      <c r="B502" s="528"/>
      <c r="C502" s="528"/>
      <c r="D502" s="528"/>
      <c r="E502" s="528"/>
      <c r="F502" s="528"/>
      <c r="G502" s="528"/>
      <c r="H502" s="528"/>
      <c r="I502" s="528"/>
      <c r="J502" s="528"/>
      <c r="K502" s="528"/>
      <c r="L502" s="528"/>
      <c r="M502" s="528"/>
      <c r="N502" s="528"/>
      <c r="O502" s="528"/>
      <c r="P502" s="528"/>
      <c r="Q502" s="434"/>
      <c r="R502" s="434"/>
      <c r="S502" s="434"/>
      <c r="T502" s="434"/>
      <c r="U502" s="434"/>
      <c r="V502" s="434"/>
      <c r="W502" s="434"/>
      <c r="X502" s="434"/>
      <c r="Y502" s="434"/>
      <c r="Z502" s="434"/>
      <c r="AA502" s="434"/>
      <c r="AB502" s="434"/>
      <c r="AC502" s="434"/>
      <c r="AD502" s="434"/>
    </row>
    <row r="503">
      <c r="A503" s="434"/>
      <c r="B503" s="528"/>
      <c r="C503" s="528"/>
      <c r="D503" s="528"/>
      <c r="E503" s="528"/>
      <c r="F503" s="528"/>
      <c r="G503" s="528"/>
      <c r="H503" s="528"/>
      <c r="I503" s="528"/>
      <c r="J503" s="528"/>
      <c r="K503" s="528"/>
      <c r="L503" s="528"/>
      <c r="M503" s="528"/>
      <c r="N503" s="528"/>
      <c r="O503" s="528"/>
      <c r="P503" s="528"/>
      <c r="Q503" s="434"/>
      <c r="R503" s="434"/>
      <c r="S503" s="434"/>
      <c r="T503" s="434"/>
      <c r="U503" s="434"/>
      <c r="V503" s="434"/>
      <c r="W503" s="434"/>
      <c r="X503" s="434"/>
      <c r="Y503" s="434"/>
      <c r="Z503" s="434"/>
      <c r="AA503" s="434"/>
      <c r="AB503" s="434"/>
      <c r="AC503" s="434"/>
      <c r="AD503" s="434"/>
    </row>
    <row r="504">
      <c r="A504" s="434"/>
      <c r="B504" s="528"/>
      <c r="C504" s="528"/>
      <c r="D504" s="528"/>
      <c r="E504" s="528"/>
      <c r="F504" s="528"/>
      <c r="G504" s="528"/>
      <c r="H504" s="528"/>
      <c r="I504" s="528"/>
      <c r="J504" s="528"/>
      <c r="K504" s="528"/>
      <c r="L504" s="528"/>
      <c r="M504" s="528"/>
      <c r="N504" s="528"/>
      <c r="O504" s="528"/>
      <c r="P504" s="528"/>
      <c r="Q504" s="434"/>
      <c r="R504" s="434"/>
      <c r="S504" s="434"/>
      <c r="T504" s="434"/>
      <c r="U504" s="434"/>
      <c r="V504" s="434"/>
      <c r="W504" s="434"/>
      <c r="X504" s="434"/>
      <c r="Y504" s="434"/>
      <c r="Z504" s="434"/>
      <c r="AA504" s="434"/>
      <c r="AB504" s="434"/>
      <c r="AC504" s="434"/>
      <c r="AD504" s="434"/>
    </row>
    <row r="505">
      <c r="A505" s="434"/>
      <c r="B505" s="528"/>
      <c r="C505" s="528"/>
      <c r="D505" s="528"/>
      <c r="E505" s="528"/>
      <c r="F505" s="528"/>
      <c r="G505" s="528"/>
      <c r="H505" s="528"/>
      <c r="I505" s="528"/>
      <c r="J505" s="528"/>
      <c r="K505" s="528"/>
      <c r="L505" s="528"/>
      <c r="M505" s="528"/>
      <c r="N505" s="528"/>
      <c r="O505" s="528"/>
      <c r="P505" s="528"/>
      <c r="Q505" s="434"/>
      <c r="R505" s="434"/>
      <c r="S505" s="434"/>
      <c r="T505" s="434"/>
      <c r="U505" s="434"/>
      <c r="V505" s="434"/>
      <c r="W505" s="434"/>
      <c r="X505" s="434"/>
      <c r="Y505" s="434"/>
      <c r="Z505" s="434"/>
      <c r="AA505" s="434"/>
      <c r="AB505" s="434"/>
      <c r="AC505" s="434"/>
      <c r="AD505" s="434"/>
    </row>
    <row r="506">
      <c r="A506" s="434"/>
      <c r="B506" s="528"/>
      <c r="C506" s="528"/>
      <c r="D506" s="528"/>
      <c r="E506" s="528"/>
      <c r="F506" s="528"/>
      <c r="G506" s="528"/>
      <c r="H506" s="528"/>
      <c r="I506" s="528"/>
      <c r="J506" s="528"/>
      <c r="K506" s="528"/>
      <c r="L506" s="528"/>
      <c r="M506" s="528"/>
      <c r="N506" s="528"/>
      <c r="O506" s="528"/>
      <c r="P506" s="528"/>
      <c r="Q506" s="434"/>
      <c r="R506" s="434"/>
      <c r="S506" s="434"/>
      <c r="T506" s="434"/>
      <c r="U506" s="434"/>
      <c r="V506" s="434"/>
      <c r="W506" s="434"/>
      <c r="X506" s="434"/>
      <c r="Y506" s="434"/>
      <c r="Z506" s="434"/>
      <c r="AA506" s="434"/>
      <c r="AB506" s="434"/>
      <c r="AC506" s="434"/>
      <c r="AD506" s="434"/>
    </row>
    <row r="507">
      <c r="A507" s="434"/>
      <c r="B507" s="528"/>
      <c r="C507" s="528"/>
      <c r="D507" s="528"/>
      <c r="E507" s="528"/>
      <c r="F507" s="528"/>
      <c r="G507" s="528"/>
      <c r="H507" s="528"/>
      <c r="I507" s="528"/>
      <c r="J507" s="528"/>
      <c r="K507" s="528"/>
      <c r="L507" s="528"/>
      <c r="M507" s="528"/>
      <c r="N507" s="528"/>
      <c r="O507" s="528"/>
      <c r="P507" s="528"/>
      <c r="Q507" s="434"/>
      <c r="R507" s="434"/>
      <c r="S507" s="434"/>
      <c r="T507" s="434"/>
      <c r="U507" s="434"/>
      <c r="V507" s="434"/>
      <c r="W507" s="434"/>
      <c r="X507" s="434"/>
      <c r="Y507" s="434"/>
      <c r="Z507" s="434"/>
      <c r="AA507" s="434"/>
      <c r="AB507" s="434"/>
      <c r="AC507" s="434"/>
      <c r="AD507" s="434"/>
    </row>
    <row r="508">
      <c r="A508" s="434"/>
      <c r="B508" s="528"/>
      <c r="C508" s="528"/>
      <c r="D508" s="528"/>
      <c r="E508" s="528"/>
      <c r="F508" s="528"/>
      <c r="G508" s="528"/>
      <c r="H508" s="528"/>
      <c r="I508" s="528"/>
      <c r="J508" s="528"/>
      <c r="K508" s="528"/>
      <c r="L508" s="528"/>
      <c r="M508" s="528"/>
      <c r="N508" s="528"/>
      <c r="O508" s="528"/>
      <c r="P508" s="528"/>
      <c r="Q508" s="434"/>
      <c r="R508" s="434"/>
      <c r="S508" s="434"/>
      <c r="T508" s="434"/>
      <c r="U508" s="434"/>
      <c r="V508" s="434"/>
      <c r="W508" s="434"/>
      <c r="X508" s="434"/>
      <c r="Y508" s="434"/>
      <c r="Z508" s="434"/>
      <c r="AA508" s="434"/>
      <c r="AB508" s="434"/>
      <c r="AC508" s="434"/>
      <c r="AD508" s="434"/>
    </row>
    <row r="509">
      <c r="A509" s="434"/>
      <c r="B509" s="528"/>
      <c r="C509" s="528"/>
      <c r="D509" s="528"/>
      <c r="E509" s="528"/>
      <c r="F509" s="528"/>
      <c r="G509" s="528"/>
      <c r="H509" s="528"/>
      <c r="I509" s="528"/>
      <c r="J509" s="528"/>
      <c r="K509" s="528"/>
      <c r="L509" s="528"/>
      <c r="M509" s="528"/>
      <c r="N509" s="528"/>
      <c r="O509" s="528"/>
      <c r="P509" s="528"/>
      <c r="Q509" s="434"/>
      <c r="R509" s="434"/>
      <c r="S509" s="434"/>
      <c r="T509" s="434"/>
      <c r="U509" s="434"/>
      <c r="V509" s="434"/>
      <c r="W509" s="434"/>
      <c r="X509" s="434"/>
      <c r="Y509" s="434"/>
      <c r="Z509" s="434"/>
      <c r="AA509" s="434"/>
      <c r="AB509" s="434"/>
      <c r="AC509" s="434"/>
      <c r="AD509" s="434"/>
    </row>
    <row r="510">
      <c r="A510" s="434"/>
      <c r="B510" s="528"/>
      <c r="C510" s="528"/>
      <c r="D510" s="528"/>
      <c r="E510" s="528"/>
      <c r="F510" s="528"/>
      <c r="G510" s="528"/>
      <c r="H510" s="528"/>
      <c r="I510" s="528"/>
      <c r="J510" s="528"/>
      <c r="K510" s="528"/>
      <c r="L510" s="528"/>
      <c r="M510" s="528"/>
      <c r="N510" s="528"/>
      <c r="O510" s="528"/>
      <c r="P510" s="528"/>
      <c r="Q510" s="434"/>
      <c r="R510" s="434"/>
      <c r="S510" s="434"/>
      <c r="T510" s="434"/>
      <c r="U510" s="434"/>
      <c r="V510" s="434"/>
      <c r="W510" s="434"/>
      <c r="X510" s="434"/>
      <c r="Y510" s="434"/>
      <c r="Z510" s="434"/>
      <c r="AA510" s="434"/>
      <c r="AB510" s="434"/>
      <c r="AC510" s="434"/>
      <c r="AD510" s="434"/>
    </row>
    <row r="511">
      <c r="A511" s="434"/>
      <c r="B511" s="528"/>
      <c r="C511" s="528"/>
      <c r="D511" s="528"/>
      <c r="E511" s="528"/>
      <c r="F511" s="528"/>
      <c r="G511" s="528"/>
      <c r="H511" s="528"/>
      <c r="I511" s="528"/>
      <c r="J511" s="528"/>
      <c r="K511" s="528"/>
      <c r="L511" s="528"/>
      <c r="M511" s="528"/>
      <c r="N511" s="528"/>
      <c r="O511" s="528"/>
      <c r="P511" s="528"/>
      <c r="Q511" s="434"/>
      <c r="R511" s="434"/>
      <c r="S511" s="434"/>
      <c r="T511" s="434"/>
      <c r="U511" s="434"/>
      <c r="V511" s="434"/>
      <c r="W511" s="434"/>
      <c r="X511" s="434"/>
      <c r="Y511" s="434"/>
      <c r="Z511" s="434"/>
      <c r="AA511" s="434"/>
      <c r="AB511" s="434"/>
      <c r="AC511" s="434"/>
      <c r="AD511" s="434"/>
    </row>
    <row r="512">
      <c r="A512" s="434"/>
      <c r="B512" s="528"/>
      <c r="C512" s="528"/>
      <c r="D512" s="528"/>
      <c r="E512" s="528"/>
      <c r="F512" s="528"/>
      <c r="G512" s="528"/>
      <c r="H512" s="528"/>
      <c r="I512" s="528"/>
      <c r="J512" s="528"/>
      <c r="K512" s="528"/>
      <c r="L512" s="528"/>
      <c r="M512" s="528"/>
      <c r="N512" s="528"/>
      <c r="O512" s="528"/>
      <c r="P512" s="528"/>
      <c r="Q512" s="434"/>
      <c r="R512" s="434"/>
      <c r="S512" s="434"/>
      <c r="T512" s="434"/>
      <c r="U512" s="434"/>
      <c r="V512" s="434"/>
      <c r="W512" s="434"/>
      <c r="X512" s="434"/>
      <c r="Y512" s="434"/>
      <c r="Z512" s="434"/>
      <c r="AA512" s="434"/>
      <c r="AB512" s="434"/>
      <c r="AC512" s="434"/>
      <c r="AD512" s="434"/>
    </row>
    <row r="513">
      <c r="A513" s="434"/>
      <c r="B513" s="528"/>
      <c r="C513" s="528"/>
      <c r="D513" s="528"/>
      <c r="E513" s="528"/>
      <c r="F513" s="528"/>
      <c r="G513" s="528"/>
      <c r="H513" s="528"/>
      <c r="I513" s="528"/>
      <c r="J513" s="528"/>
      <c r="K513" s="528"/>
      <c r="L513" s="528"/>
      <c r="M513" s="528"/>
      <c r="N513" s="528"/>
      <c r="O513" s="528"/>
      <c r="P513" s="528"/>
      <c r="Q513" s="434"/>
      <c r="R513" s="434"/>
      <c r="S513" s="434"/>
      <c r="T513" s="434"/>
      <c r="U513" s="434"/>
      <c r="V513" s="434"/>
      <c r="W513" s="434"/>
      <c r="X513" s="434"/>
      <c r="Y513" s="434"/>
      <c r="Z513" s="434"/>
      <c r="AA513" s="434"/>
      <c r="AB513" s="434"/>
      <c r="AC513" s="434"/>
      <c r="AD513" s="434"/>
    </row>
    <row r="514">
      <c r="A514" s="434"/>
      <c r="B514" s="528"/>
      <c r="C514" s="528"/>
      <c r="D514" s="528"/>
      <c r="E514" s="528"/>
      <c r="F514" s="528"/>
      <c r="G514" s="528"/>
      <c r="H514" s="528"/>
      <c r="I514" s="528"/>
      <c r="J514" s="528"/>
      <c r="K514" s="528"/>
      <c r="L514" s="528"/>
      <c r="M514" s="528"/>
      <c r="N514" s="528"/>
      <c r="O514" s="528"/>
      <c r="P514" s="528"/>
      <c r="Q514" s="434"/>
      <c r="R514" s="434"/>
      <c r="S514" s="434"/>
      <c r="T514" s="434"/>
      <c r="U514" s="434"/>
      <c r="V514" s="434"/>
      <c r="W514" s="434"/>
      <c r="X514" s="434"/>
      <c r="Y514" s="434"/>
      <c r="Z514" s="434"/>
      <c r="AA514" s="434"/>
      <c r="AB514" s="434"/>
      <c r="AC514" s="434"/>
      <c r="AD514" s="434"/>
    </row>
    <row r="515">
      <c r="A515" s="434"/>
      <c r="B515" s="528"/>
      <c r="C515" s="528"/>
      <c r="D515" s="528"/>
      <c r="E515" s="528"/>
      <c r="F515" s="528"/>
      <c r="G515" s="528"/>
      <c r="H515" s="528"/>
      <c r="I515" s="528"/>
      <c r="J515" s="528"/>
      <c r="K515" s="528"/>
      <c r="L515" s="528"/>
      <c r="M515" s="528"/>
      <c r="N515" s="528"/>
      <c r="O515" s="528"/>
      <c r="P515" s="528"/>
      <c r="Q515" s="434"/>
      <c r="R515" s="434"/>
      <c r="S515" s="434"/>
      <c r="T515" s="434"/>
      <c r="U515" s="434"/>
      <c r="V515" s="434"/>
      <c r="W515" s="434"/>
      <c r="X515" s="434"/>
      <c r="Y515" s="434"/>
      <c r="Z515" s="434"/>
      <c r="AA515" s="434"/>
      <c r="AB515" s="434"/>
      <c r="AC515" s="434"/>
      <c r="AD515" s="434"/>
    </row>
    <row r="516">
      <c r="A516" s="434"/>
      <c r="B516" s="528"/>
      <c r="C516" s="528"/>
      <c r="D516" s="528"/>
      <c r="E516" s="528"/>
      <c r="F516" s="528"/>
      <c r="G516" s="528"/>
      <c r="H516" s="528"/>
      <c r="I516" s="528"/>
      <c r="J516" s="528"/>
      <c r="K516" s="528"/>
      <c r="L516" s="528"/>
      <c r="M516" s="528"/>
      <c r="N516" s="528"/>
      <c r="O516" s="528"/>
      <c r="P516" s="528"/>
      <c r="Q516" s="434"/>
      <c r="R516" s="434"/>
      <c r="S516" s="434"/>
      <c r="T516" s="434"/>
      <c r="U516" s="434"/>
      <c r="V516" s="434"/>
      <c r="W516" s="434"/>
      <c r="X516" s="434"/>
      <c r="Y516" s="434"/>
      <c r="Z516" s="434"/>
      <c r="AA516" s="434"/>
      <c r="AB516" s="434"/>
      <c r="AC516" s="434"/>
      <c r="AD516" s="434"/>
    </row>
    <row r="517">
      <c r="A517" s="434"/>
      <c r="B517" s="528"/>
      <c r="C517" s="528"/>
      <c r="D517" s="528"/>
      <c r="E517" s="528"/>
      <c r="F517" s="528"/>
      <c r="G517" s="528"/>
      <c r="H517" s="528"/>
      <c r="I517" s="528"/>
      <c r="J517" s="528"/>
      <c r="K517" s="528"/>
      <c r="L517" s="528"/>
      <c r="M517" s="528"/>
      <c r="N517" s="528"/>
      <c r="O517" s="528"/>
      <c r="P517" s="528"/>
      <c r="Q517" s="434"/>
      <c r="R517" s="434"/>
      <c r="S517" s="434"/>
      <c r="T517" s="434"/>
      <c r="U517" s="434"/>
      <c r="V517" s="434"/>
      <c r="W517" s="434"/>
      <c r="X517" s="434"/>
      <c r="Y517" s="434"/>
      <c r="Z517" s="434"/>
      <c r="AA517" s="434"/>
      <c r="AB517" s="434"/>
      <c r="AC517" s="434"/>
      <c r="AD517" s="434"/>
    </row>
    <row r="518">
      <c r="A518" s="434"/>
      <c r="B518" s="528"/>
      <c r="C518" s="528"/>
      <c r="D518" s="528"/>
      <c r="E518" s="528"/>
      <c r="F518" s="528"/>
      <c r="G518" s="528"/>
      <c r="H518" s="528"/>
      <c r="I518" s="528"/>
      <c r="J518" s="528"/>
      <c r="K518" s="528"/>
      <c r="L518" s="528"/>
      <c r="M518" s="528"/>
      <c r="N518" s="528"/>
      <c r="O518" s="528"/>
      <c r="P518" s="528"/>
      <c r="Q518" s="434"/>
      <c r="R518" s="434"/>
      <c r="S518" s="434"/>
      <c r="T518" s="434"/>
      <c r="U518" s="434"/>
      <c r="V518" s="434"/>
      <c r="W518" s="434"/>
      <c r="X518" s="434"/>
      <c r="Y518" s="434"/>
      <c r="Z518" s="434"/>
      <c r="AA518" s="434"/>
      <c r="AB518" s="434"/>
      <c r="AC518" s="434"/>
      <c r="AD518" s="434"/>
    </row>
    <row r="519">
      <c r="A519" s="434"/>
      <c r="B519" s="528"/>
      <c r="C519" s="528"/>
      <c r="D519" s="528"/>
      <c r="E519" s="528"/>
      <c r="F519" s="528"/>
      <c r="G519" s="528"/>
      <c r="H519" s="528"/>
      <c r="I519" s="528"/>
      <c r="J519" s="528"/>
      <c r="K519" s="528"/>
      <c r="L519" s="528"/>
      <c r="M519" s="528"/>
      <c r="N519" s="528"/>
      <c r="O519" s="528"/>
      <c r="P519" s="528"/>
      <c r="Q519" s="434"/>
      <c r="R519" s="434"/>
      <c r="S519" s="434"/>
      <c r="T519" s="434"/>
      <c r="U519" s="434"/>
      <c r="V519" s="434"/>
      <c r="W519" s="434"/>
      <c r="X519" s="434"/>
      <c r="Y519" s="434"/>
      <c r="Z519" s="434"/>
      <c r="AA519" s="434"/>
      <c r="AB519" s="434"/>
      <c r="AC519" s="434"/>
      <c r="AD519" s="434"/>
    </row>
    <row r="520">
      <c r="A520" s="434"/>
      <c r="B520" s="528"/>
      <c r="C520" s="528"/>
      <c r="D520" s="528"/>
      <c r="E520" s="528"/>
      <c r="F520" s="528"/>
      <c r="G520" s="528"/>
      <c r="H520" s="528"/>
      <c r="I520" s="528"/>
      <c r="J520" s="528"/>
      <c r="K520" s="528"/>
      <c r="L520" s="528"/>
      <c r="M520" s="528"/>
      <c r="N520" s="528"/>
      <c r="O520" s="528"/>
      <c r="P520" s="528"/>
      <c r="Q520" s="434"/>
      <c r="R520" s="434"/>
      <c r="S520" s="434"/>
      <c r="T520" s="434"/>
      <c r="U520" s="434"/>
      <c r="V520" s="434"/>
      <c r="W520" s="434"/>
      <c r="X520" s="434"/>
      <c r="Y520" s="434"/>
      <c r="Z520" s="434"/>
      <c r="AA520" s="434"/>
      <c r="AB520" s="434"/>
      <c r="AC520" s="434"/>
      <c r="AD520" s="434"/>
    </row>
    <row r="521">
      <c r="A521" s="434"/>
      <c r="B521" s="528"/>
      <c r="C521" s="528"/>
      <c r="D521" s="528"/>
      <c r="E521" s="528"/>
      <c r="F521" s="528"/>
      <c r="G521" s="528"/>
      <c r="H521" s="528"/>
      <c r="I521" s="528"/>
      <c r="J521" s="528"/>
      <c r="K521" s="528"/>
      <c r="L521" s="528"/>
      <c r="M521" s="528"/>
      <c r="N521" s="528"/>
      <c r="O521" s="528"/>
      <c r="P521" s="528"/>
      <c r="Q521" s="434"/>
      <c r="R521" s="434"/>
      <c r="S521" s="434"/>
      <c r="T521" s="434"/>
      <c r="U521" s="434"/>
      <c r="V521" s="434"/>
      <c r="W521" s="434"/>
      <c r="X521" s="434"/>
      <c r="Y521" s="434"/>
      <c r="Z521" s="434"/>
      <c r="AA521" s="434"/>
      <c r="AB521" s="434"/>
      <c r="AC521" s="434"/>
      <c r="AD521" s="434"/>
    </row>
    <row r="522">
      <c r="A522" s="434"/>
      <c r="B522" s="528"/>
      <c r="C522" s="528"/>
      <c r="D522" s="528"/>
      <c r="E522" s="528"/>
      <c r="F522" s="528"/>
      <c r="G522" s="528"/>
      <c r="H522" s="528"/>
      <c r="I522" s="528"/>
      <c r="J522" s="528"/>
      <c r="K522" s="528"/>
      <c r="L522" s="528"/>
      <c r="M522" s="528"/>
      <c r="N522" s="528"/>
      <c r="O522" s="528"/>
      <c r="P522" s="528"/>
      <c r="Q522" s="434"/>
      <c r="R522" s="434"/>
      <c r="S522" s="434"/>
      <c r="T522" s="434"/>
      <c r="U522" s="434"/>
      <c r="V522" s="434"/>
      <c r="W522" s="434"/>
      <c r="X522" s="434"/>
      <c r="Y522" s="434"/>
      <c r="Z522" s="434"/>
      <c r="AA522" s="434"/>
      <c r="AB522" s="434"/>
      <c r="AC522" s="434"/>
      <c r="AD522" s="434"/>
    </row>
    <row r="523">
      <c r="A523" s="434"/>
      <c r="B523" s="528"/>
      <c r="C523" s="528"/>
      <c r="D523" s="528"/>
      <c r="E523" s="528"/>
      <c r="F523" s="528"/>
      <c r="G523" s="528"/>
      <c r="H523" s="528"/>
      <c r="I523" s="528"/>
      <c r="J523" s="528"/>
      <c r="K523" s="528"/>
      <c r="L523" s="528"/>
      <c r="M523" s="528"/>
      <c r="N523" s="528"/>
      <c r="O523" s="528"/>
      <c r="P523" s="528"/>
      <c r="Q523" s="434"/>
      <c r="R523" s="434"/>
      <c r="S523" s="434"/>
      <c r="T523" s="434"/>
      <c r="U523" s="434"/>
      <c r="V523" s="434"/>
      <c r="W523" s="434"/>
      <c r="X523" s="434"/>
      <c r="Y523" s="434"/>
      <c r="Z523" s="434"/>
      <c r="AA523" s="434"/>
      <c r="AB523" s="434"/>
      <c r="AC523" s="434"/>
      <c r="AD523" s="434"/>
    </row>
    <row r="524">
      <c r="A524" s="434"/>
      <c r="B524" s="528"/>
      <c r="C524" s="528"/>
      <c r="D524" s="528"/>
      <c r="E524" s="528"/>
      <c r="F524" s="528"/>
      <c r="G524" s="528"/>
      <c r="H524" s="528"/>
      <c r="I524" s="528"/>
      <c r="J524" s="528"/>
      <c r="K524" s="528"/>
      <c r="L524" s="528"/>
      <c r="M524" s="528"/>
      <c r="N524" s="528"/>
      <c r="O524" s="528"/>
      <c r="P524" s="528"/>
      <c r="Q524" s="434"/>
      <c r="R524" s="434"/>
      <c r="S524" s="434"/>
      <c r="T524" s="434"/>
      <c r="U524" s="434"/>
      <c r="V524" s="434"/>
      <c r="W524" s="434"/>
      <c r="X524" s="434"/>
      <c r="Y524" s="434"/>
      <c r="Z524" s="434"/>
      <c r="AA524" s="434"/>
      <c r="AB524" s="434"/>
      <c r="AC524" s="434"/>
      <c r="AD524" s="434"/>
    </row>
    <row r="525">
      <c r="A525" s="434"/>
      <c r="B525" s="528"/>
      <c r="C525" s="528"/>
      <c r="D525" s="528"/>
      <c r="E525" s="528"/>
      <c r="F525" s="528"/>
      <c r="G525" s="528"/>
      <c r="H525" s="528"/>
      <c r="I525" s="528"/>
      <c r="J525" s="528"/>
      <c r="K525" s="528"/>
      <c r="L525" s="528"/>
      <c r="M525" s="528"/>
      <c r="N525" s="528"/>
      <c r="O525" s="528"/>
      <c r="P525" s="528"/>
      <c r="Q525" s="434"/>
      <c r="R525" s="434"/>
      <c r="S525" s="434"/>
      <c r="T525" s="434"/>
      <c r="U525" s="434"/>
      <c r="V525" s="434"/>
      <c r="W525" s="434"/>
      <c r="X525" s="434"/>
      <c r="Y525" s="434"/>
      <c r="Z525" s="434"/>
      <c r="AA525" s="434"/>
      <c r="AB525" s="434"/>
      <c r="AC525" s="434"/>
      <c r="AD525" s="434"/>
    </row>
    <row r="526">
      <c r="A526" s="434"/>
      <c r="B526" s="528"/>
      <c r="C526" s="528"/>
      <c r="D526" s="528"/>
      <c r="E526" s="528"/>
      <c r="F526" s="528"/>
      <c r="G526" s="528"/>
      <c r="H526" s="528"/>
      <c r="I526" s="528"/>
      <c r="J526" s="528"/>
      <c r="K526" s="528"/>
      <c r="L526" s="528"/>
      <c r="M526" s="528"/>
      <c r="N526" s="528"/>
      <c r="O526" s="528"/>
      <c r="P526" s="528"/>
      <c r="Q526" s="434"/>
      <c r="R526" s="434"/>
      <c r="S526" s="434"/>
      <c r="T526" s="434"/>
      <c r="U526" s="434"/>
      <c r="V526" s="434"/>
      <c r="W526" s="434"/>
      <c r="X526" s="434"/>
      <c r="Y526" s="434"/>
      <c r="Z526" s="434"/>
      <c r="AA526" s="434"/>
      <c r="AB526" s="434"/>
      <c r="AC526" s="434"/>
      <c r="AD526" s="434"/>
    </row>
    <row r="527">
      <c r="A527" s="434"/>
      <c r="B527" s="528"/>
      <c r="C527" s="528"/>
      <c r="D527" s="528"/>
      <c r="E527" s="528"/>
      <c r="F527" s="528"/>
      <c r="G527" s="528"/>
      <c r="H527" s="528"/>
      <c r="I527" s="528"/>
      <c r="J527" s="528"/>
      <c r="K527" s="528"/>
      <c r="L527" s="528"/>
      <c r="M527" s="528"/>
      <c r="N527" s="528"/>
      <c r="O527" s="528"/>
      <c r="P527" s="528"/>
      <c r="Q527" s="434"/>
      <c r="R527" s="434"/>
      <c r="S527" s="434"/>
      <c r="T527" s="434"/>
      <c r="U527" s="434"/>
      <c r="V527" s="434"/>
      <c r="W527" s="434"/>
      <c r="X527" s="434"/>
      <c r="Y527" s="434"/>
      <c r="Z527" s="434"/>
      <c r="AA527" s="434"/>
      <c r="AB527" s="434"/>
      <c r="AC527" s="434"/>
      <c r="AD527" s="434"/>
    </row>
    <row r="528">
      <c r="A528" s="434"/>
      <c r="B528" s="528"/>
      <c r="C528" s="528"/>
      <c r="D528" s="528"/>
      <c r="E528" s="528"/>
      <c r="F528" s="528"/>
      <c r="G528" s="528"/>
      <c r="H528" s="528"/>
      <c r="I528" s="528"/>
      <c r="J528" s="528"/>
      <c r="K528" s="528"/>
      <c r="L528" s="528"/>
      <c r="M528" s="528"/>
      <c r="N528" s="528"/>
      <c r="O528" s="528"/>
      <c r="P528" s="528"/>
      <c r="Q528" s="434"/>
      <c r="R528" s="434"/>
      <c r="S528" s="434"/>
      <c r="T528" s="434"/>
      <c r="U528" s="434"/>
      <c r="V528" s="434"/>
      <c r="W528" s="434"/>
      <c r="X528" s="434"/>
      <c r="Y528" s="434"/>
      <c r="Z528" s="434"/>
      <c r="AA528" s="434"/>
      <c r="AB528" s="434"/>
      <c r="AC528" s="434"/>
      <c r="AD528" s="434"/>
    </row>
    <row r="529">
      <c r="A529" s="434"/>
      <c r="B529" s="528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434"/>
      <c r="R529" s="434"/>
      <c r="S529" s="434"/>
      <c r="T529" s="434"/>
      <c r="U529" s="434"/>
      <c r="V529" s="434"/>
      <c r="W529" s="434"/>
      <c r="X529" s="434"/>
      <c r="Y529" s="434"/>
      <c r="Z529" s="434"/>
      <c r="AA529" s="434"/>
      <c r="AB529" s="434"/>
      <c r="AC529" s="434"/>
      <c r="AD529" s="434"/>
    </row>
    <row r="530">
      <c r="A530" s="434"/>
      <c r="B530" s="528"/>
      <c r="C530" s="528"/>
      <c r="D530" s="528"/>
      <c r="E530" s="528"/>
      <c r="F530" s="528"/>
      <c r="G530" s="528"/>
      <c r="H530" s="528"/>
      <c r="I530" s="528"/>
      <c r="J530" s="528"/>
      <c r="K530" s="528"/>
      <c r="L530" s="528"/>
      <c r="M530" s="528"/>
      <c r="N530" s="528"/>
      <c r="O530" s="528"/>
      <c r="P530" s="528"/>
      <c r="Q530" s="434"/>
      <c r="R530" s="434"/>
      <c r="S530" s="434"/>
      <c r="T530" s="434"/>
      <c r="U530" s="434"/>
      <c r="V530" s="434"/>
      <c r="W530" s="434"/>
      <c r="X530" s="434"/>
      <c r="Y530" s="434"/>
      <c r="Z530" s="434"/>
      <c r="AA530" s="434"/>
      <c r="AB530" s="434"/>
      <c r="AC530" s="434"/>
      <c r="AD530" s="434"/>
    </row>
    <row r="531">
      <c r="A531" s="434"/>
      <c r="B531" s="528"/>
      <c r="C531" s="528"/>
      <c r="D531" s="528"/>
      <c r="E531" s="528"/>
      <c r="F531" s="528"/>
      <c r="G531" s="528"/>
      <c r="H531" s="528"/>
      <c r="I531" s="528"/>
      <c r="J531" s="528"/>
      <c r="K531" s="528"/>
      <c r="L531" s="528"/>
      <c r="M531" s="528"/>
      <c r="N531" s="528"/>
      <c r="O531" s="528"/>
      <c r="P531" s="528"/>
      <c r="Q531" s="434"/>
      <c r="R531" s="434"/>
      <c r="S531" s="434"/>
      <c r="T531" s="434"/>
      <c r="U531" s="434"/>
      <c r="V531" s="434"/>
      <c r="W531" s="434"/>
      <c r="X531" s="434"/>
      <c r="Y531" s="434"/>
      <c r="Z531" s="434"/>
      <c r="AA531" s="434"/>
      <c r="AB531" s="434"/>
      <c r="AC531" s="434"/>
      <c r="AD531" s="434"/>
    </row>
    <row r="532">
      <c r="A532" s="434"/>
      <c r="B532" s="528"/>
      <c r="C532" s="528"/>
      <c r="D532" s="528"/>
      <c r="E532" s="528"/>
      <c r="F532" s="528"/>
      <c r="G532" s="528"/>
      <c r="H532" s="528"/>
      <c r="I532" s="528"/>
      <c r="J532" s="528"/>
      <c r="K532" s="528"/>
      <c r="L532" s="528"/>
      <c r="M532" s="528"/>
      <c r="N532" s="528"/>
      <c r="O532" s="528"/>
      <c r="P532" s="528"/>
      <c r="Q532" s="434"/>
      <c r="R532" s="434"/>
      <c r="S532" s="434"/>
      <c r="T532" s="434"/>
      <c r="U532" s="434"/>
      <c r="V532" s="434"/>
      <c r="W532" s="434"/>
      <c r="X532" s="434"/>
      <c r="Y532" s="434"/>
      <c r="Z532" s="434"/>
      <c r="AA532" s="434"/>
      <c r="AB532" s="434"/>
      <c r="AC532" s="434"/>
      <c r="AD532" s="434"/>
    </row>
    <row r="533">
      <c r="A533" s="434"/>
      <c r="B533" s="528"/>
      <c r="C533" s="528"/>
      <c r="D533" s="528"/>
      <c r="E533" s="528"/>
      <c r="F533" s="528"/>
      <c r="G533" s="528"/>
      <c r="H533" s="528"/>
      <c r="I533" s="528"/>
      <c r="J533" s="528"/>
      <c r="K533" s="528"/>
      <c r="L533" s="528"/>
      <c r="M533" s="528"/>
      <c r="N533" s="528"/>
      <c r="O533" s="528"/>
      <c r="P533" s="528"/>
      <c r="Q533" s="434"/>
      <c r="R533" s="434"/>
      <c r="S533" s="434"/>
      <c r="T533" s="434"/>
      <c r="U533" s="434"/>
      <c r="V533" s="434"/>
      <c r="W533" s="434"/>
      <c r="X533" s="434"/>
      <c r="Y533" s="434"/>
      <c r="Z533" s="434"/>
      <c r="AA533" s="434"/>
      <c r="AB533" s="434"/>
      <c r="AC533" s="434"/>
      <c r="AD533" s="434"/>
    </row>
    <row r="534">
      <c r="A534" s="434"/>
      <c r="B534" s="528"/>
      <c r="C534" s="528"/>
      <c r="D534" s="528"/>
      <c r="E534" s="528"/>
      <c r="F534" s="528"/>
      <c r="G534" s="528"/>
      <c r="H534" s="528"/>
      <c r="I534" s="528"/>
      <c r="J534" s="528"/>
      <c r="K534" s="528"/>
      <c r="L534" s="528"/>
      <c r="M534" s="528"/>
      <c r="N534" s="528"/>
      <c r="O534" s="528"/>
      <c r="P534" s="528"/>
      <c r="Q534" s="434"/>
      <c r="R534" s="434"/>
      <c r="S534" s="434"/>
      <c r="T534" s="434"/>
      <c r="U534" s="434"/>
      <c r="V534" s="434"/>
      <c r="W534" s="434"/>
      <c r="X534" s="434"/>
      <c r="Y534" s="434"/>
      <c r="Z534" s="434"/>
      <c r="AA534" s="434"/>
      <c r="AB534" s="434"/>
      <c r="AC534" s="434"/>
      <c r="AD534" s="434"/>
    </row>
    <row r="535">
      <c r="A535" s="434"/>
      <c r="B535" s="528"/>
      <c r="C535" s="528"/>
      <c r="D535" s="528"/>
      <c r="E535" s="528"/>
      <c r="F535" s="528"/>
      <c r="G535" s="528"/>
      <c r="H535" s="528"/>
      <c r="I535" s="528"/>
      <c r="J535" s="528"/>
      <c r="K535" s="528"/>
      <c r="L535" s="528"/>
      <c r="M535" s="528"/>
      <c r="N535" s="528"/>
      <c r="O535" s="528"/>
      <c r="P535" s="528"/>
      <c r="Q535" s="434"/>
      <c r="R535" s="434"/>
      <c r="S535" s="434"/>
      <c r="T535" s="434"/>
      <c r="U535" s="434"/>
      <c r="V535" s="434"/>
      <c r="W535" s="434"/>
      <c r="X535" s="434"/>
      <c r="Y535" s="434"/>
      <c r="Z535" s="434"/>
      <c r="AA535" s="434"/>
      <c r="AB535" s="434"/>
      <c r="AC535" s="434"/>
      <c r="AD535" s="434"/>
    </row>
    <row r="536">
      <c r="A536" s="434"/>
      <c r="B536" s="528"/>
      <c r="C536" s="528"/>
      <c r="D536" s="528"/>
      <c r="E536" s="528"/>
      <c r="F536" s="528"/>
      <c r="G536" s="528"/>
      <c r="H536" s="528"/>
      <c r="I536" s="528"/>
      <c r="J536" s="528"/>
      <c r="K536" s="528"/>
      <c r="L536" s="528"/>
      <c r="M536" s="528"/>
      <c r="N536" s="528"/>
      <c r="O536" s="528"/>
      <c r="P536" s="528"/>
      <c r="Q536" s="434"/>
      <c r="R536" s="434"/>
      <c r="S536" s="434"/>
      <c r="T536" s="434"/>
      <c r="U536" s="434"/>
      <c r="V536" s="434"/>
      <c r="W536" s="434"/>
      <c r="X536" s="434"/>
      <c r="Y536" s="434"/>
      <c r="Z536" s="434"/>
      <c r="AA536" s="434"/>
      <c r="AB536" s="434"/>
      <c r="AC536" s="434"/>
      <c r="AD536" s="434"/>
    </row>
    <row r="537">
      <c r="A537" s="434"/>
      <c r="B537" s="528"/>
      <c r="C537" s="528"/>
      <c r="D537" s="528"/>
      <c r="E537" s="528"/>
      <c r="F537" s="528"/>
      <c r="G537" s="528"/>
      <c r="H537" s="528"/>
      <c r="I537" s="528"/>
      <c r="J537" s="528"/>
      <c r="K537" s="528"/>
      <c r="L537" s="528"/>
      <c r="M537" s="528"/>
      <c r="N537" s="528"/>
      <c r="O537" s="528"/>
      <c r="P537" s="528"/>
      <c r="Q537" s="434"/>
      <c r="R537" s="434"/>
      <c r="S537" s="434"/>
      <c r="T537" s="434"/>
      <c r="U537" s="434"/>
      <c r="V537" s="434"/>
      <c r="W537" s="434"/>
      <c r="X537" s="434"/>
      <c r="Y537" s="434"/>
      <c r="Z537" s="434"/>
      <c r="AA537" s="434"/>
      <c r="AB537" s="434"/>
      <c r="AC537" s="434"/>
      <c r="AD537" s="434"/>
    </row>
    <row r="538">
      <c r="A538" s="434"/>
      <c r="B538" s="528"/>
      <c r="C538" s="528"/>
      <c r="D538" s="528"/>
      <c r="E538" s="528"/>
      <c r="F538" s="528"/>
      <c r="G538" s="528"/>
      <c r="H538" s="528"/>
      <c r="I538" s="528"/>
      <c r="J538" s="528"/>
      <c r="K538" s="528"/>
      <c r="L538" s="528"/>
      <c r="M538" s="528"/>
      <c r="N538" s="528"/>
      <c r="O538" s="528"/>
      <c r="P538" s="528"/>
      <c r="Q538" s="434"/>
      <c r="R538" s="434"/>
      <c r="S538" s="434"/>
      <c r="T538" s="434"/>
      <c r="U538" s="434"/>
      <c r="V538" s="434"/>
      <c r="W538" s="434"/>
      <c r="X538" s="434"/>
      <c r="Y538" s="434"/>
      <c r="Z538" s="434"/>
      <c r="AA538" s="434"/>
      <c r="AB538" s="434"/>
      <c r="AC538" s="434"/>
      <c r="AD538" s="434"/>
    </row>
    <row r="539">
      <c r="A539" s="434"/>
      <c r="B539" s="528"/>
      <c r="C539" s="528"/>
      <c r="D539" s="528"/>
      <c r="E539" s="528"/>
      <c r="F539" s="528"/>
      <c r="G539" s="528"/>
      <c r="H539" s="528"/>
      <c r="I539" s="528"/>
      <c r="J539" s="528"/>
      <c r="K539" s="528"/>
      <c r="L539" s="528"/>
      <c r="M539" s="528"/>
      <c r="N539" s="528"/>
      <c r="O539" s="528"/>
      <c r="P539" s="528"/>
      <c r="Q539" s="434"/>
      <c r="R539" s="434"/>
      <c r="S539" s="434"/>
      <c r="T539" s="434"/>
      <c r="U539" s="434"/>
      <c r="V539" s="434"/>
      <c r="W539" s="434"/>
      <c r="X539" s="434"/>
      <c r="Y539" s="434"/>
      <c r="Z539" s="434"/>
      <c r="AA539" s="434"/>
      <c r="AB539" s="434"/>
      <c r="AC539" s="434"/>
      <c r="AD539" s="434"/>
    </row>
    <row r="540">
      <c r="A540" s="434"/>
      <c r="B540" s="528"/>
      <c r="C540" s="528"/>
      <c r="D540" s="528"/>
      <c r="E540" s="528"/>
      <c r="F540" s="528"/>
      <c r="G540" s="528"/>
      <c r="H540" s="528"/>
      <c r="I540" s="528"/>
      <c r="J540" s="528"/>
      <c r="K540" s="528"/>
      <c r="L540" s="528"/>
      <c r="M540" s="528"/>
      <c r="N540" s="528"/>
      <c r="O540" s="528"/>
      <c r="P540" s="528"/>
      <c r="Q540" s="434"/>
      <c r="R540" s="434"/>
      <c r="S540" s="434"/>
      <c r="T540" s="434"/>
      <c r="U540" s="434"/>
      <c r="V540" s="434"/>
      <c r="W540" s="434"/>
      <c r="X540" s="434"/>
      <c r="Y540" s="434"/>
      <c r="Z540" s="434"/>
      <c r="AA540" s="434"/>
      <c r="AB540" s="434"/>
      <c r="AC540" s="434"/>
      <c r="AD540" s="434"/>
    </row>
    <row r="541">
      <c r="A541" s="434"/>
      <c r="B541" s="528"/>
      <c r="C541" s="528"/>
      <c r="D541" s="528"/>
      <c r="E541" s="528"/>
      <c r="F541" s="528"/>
      <c r="G541" s="528"/>
      <c r="H541" s="528"/>
      <c r="I541" s="528"/>
      <c r="J541" s="528"/>
      <c r="K541" s="528"/>
      <c r="L541" s="528"/>
      <c r="M541" s="528"/>
      <c r="N541" s="528"/>
      <c r="O541" s="528"/>
      <c r="P541" s="528"/>
      <c r="Q541" s="434"/>
      <c r="R541" s="434"/>
      <c r="S541" s="434"/>
      <c r="T541" s="434"/>
      <c r="U541" s="434"/>
      <c r="V541" s="434"/>
      <c r="W541" s="434"/>
      <c r="X541" s="434"/>
      <c r="Y541" s="434"/>
      <c r="Z541" s="434"/>
      <c r="AA541" s="434"/>
      <c r="AB541" s="434"/>
      <c r="AC541" s="434"/>
      <c r="AD541" s="434"/>
    </row>
    <row r="542">
      <c r="A542" s="434"/>
      <c r="B542" s="528"/>
      <c r="C542" s="528"/>
      <c r="D542" s="528"/>
      <c r="E542" s="528"/>
      <c r="F542" s="528"/>
      <c r="G542" s="528"/>
      <c r="H542" s="528"/>
      <c r="I542" s="528"/>
      <c r="J542" s="528"/>
      <c r="K542" s="528"/>
      <c r="L542" s="528"/>
      <c r="M542" s="528"/>
      <c r="N542" s="528"/>
      <c r="O542" s="528"/>
      <c r="P542" s="528"/>
      <c r="Q542" s="434"/>
      <c r="R542" s="434"/>
      <c r="S542" s="434"/>
      <c r="T542" s="434"/>
      <c r="U542" s="434"/>
      <c r="V542" s="434"/>
      <c r="W542" s="434"/>
      <c r="X542" s="434"/>
      <c r="Y542" s="434"/>
      <c r="Z542" s="434"/>
      <c r="AA542" s="434"/>
      <c r="AB542" s="434"/>
      <c r="AC542" s="434"/>
      <c r="AD542" s="434"/>
    </row>
    <row r="543">
      <c r="A543" s="434"/>
      <c r="B543" s="528"/>
      <c r="C543" s="528"/>
      <c r="D543" s="528"/>
      <c r="E543" s="528"/>
      <c r="F543" s="528"/>
      <c r="G543" s="528"/>
      <c r="H543" s="528"/>
      <c r="I543" s="528"/>
      <c r="J543" s="528"/>
      <c r="K543" s="528"/>
      <c r="L543" s="528"/>
      <c r="M543" s="528"/>
      <c r="N543" s="528"/>
      <c r="O543" s="528"/>
      <c r="P543" s="528"/>
      <c r="Q543" s="434"/>
      <c r="R543" s="434"/>
      <c r="S543" s="434"/>
      <c r="T543" s="434"/>
      <c r="U543" s="434"/>
      <c r="V543" s="434"/>
      <c r="W543" s="434"/>
      <c r="X543" s="434"/>
      <c r="Y543" s="434"/>
      <c r="Z543" s="434"/>
      <c r="AA543" s="434"/>
      <c r="AB543" s="434"/>
      <c r="AC543" s="434"/>
      <c r="AD543" s="434"/>
    </row>
    <row r="544">
      <c r="A544" s="434"/>
      <c r="B544" s="528"/>
      <c r="C544" s="528"/>
      <c r="D544" s="528"/>
      <c r="E544" s="528"/>
      <c r="F544" s="528"/>
      <c r="G544" s="528"/>
      <c r="H544" s="528"/>
      <c r="I544" s="528"/>
      <c r="J544" s="528"/>
      <c r="K544" s="528"/>
      <c r="L544" s="528"/>
      <c r="M544" s="528"/>
      <c r="N544" s="528"/>
      <c r="O544" s="528"/>
      <c r="P544" s="528"/>
      <c r="Q544" s="434"/>
      <c r="R544" s="434"/>
      <c r="S544" s="434"/>
      <c r="T544" s="434"/>
      <c r="U544" s="434"/>
      <c r="V544" s="434"/>
      <c r="W544" s="434"/>
      <c r="X544" s="434"/>
      <c r="Y544" s="434"/>
      <c r="Z544" s="434"/>
      <c r="AA544" s="434"/>
      <c r="AB544" s="434"/>
      <c r="AC544" s="434"/>
      <c r="AD544" s="434"/>
    </row>
    <row r="545">
      <c r="A545" s="434"/>
      <c r="B545" s="528"/>
      <c r="C545" s="528"/>
      <c r="D545" s="528"/>
      <c r="E545" s="528"/>
      <c r="F545" s="528"/>
      <c r="G545" s="528"/>
      <c r="H545" s="528"/>
      <c r="I545" s="528"/>
      <c r="J545" s="528"/>
      <c r="K545" s="528"/>
      <c r="L545" s="528"/>
      <c r="M545" s="528"/>
      <c r="N545" s="528"/>
      <c r="O545" s="528"/>
      <c r="P545" s="528"/>
      <c r="Q545" s="434"/>
      <c r="R545" s="434"/>
      <c r="S545" s="434"/>
      <c r="T545" s="434"/>
      <c r="U545" s="434"/>
      <c r="V545" s="434"/>
      <c r="W545" s="434"/>
      <c r="X545" s="434"/>
      <c r="Y545" s="434"/>
      <c r="Z545" s="434"/>
      <c r="AA545" s="434"/>
      <c r="AB545" s="434"/>
      <c r="AC545" s="434"/>
      <c r="AD545" s="434"/>
    </row>
    <row r="546">
      <c r="A546" s="434"/>
      <c r="B546" s="528"/>
      <c r="C546" s="528"/>
      <c r="D546" s="528"/>
      <c r="E546" s="528"/>
      <c r="F546" s="528"/>
      <c r="G546" s="528"/>
      <c r="H546" s="528"/>
      <c r="I546" s="528"/>
      <c r="J546" s="528"/>
      <c r="K546" s="528"/>
      <c r="L546" s="528"/>
      <c r="M546" s="528"/>
      <c r="N546" s="528"/>
      <c r="O546" s="528"/>
      <c r="P546" s="528"/>
      <c r="Q546" s="434"/>
      <c r="R546" s="434"/>
      <c r="S546" s="434"/>
      <c r="T546" s="434"/>
      <c r="U546" s="434"/>
      <c r="V546" s="434"/>
      <c r="W546" s="434"/>
      <c r="X546" s="434"/>
      <c r="Y546" s="434"/>
      <c r="Z546" s="434"/>
      <c r="AA546" s="434"/>
      <c r="AB546" s="434"/>
      <c r="AC546" s="434"/>
      <c r="AD546" s="434"/>
    </row>
    <row r="547">
      <c r="A547" s="434"/>
      <c r="B547" s="528"/>
      <c r="C547" s="528"/>
      <c r="D547" s="528"/>
      <c r="E547" s="528"/>
      <c r="F547" s="528"/>
      <c r="G547" s="528"/>
      <c r="H547" s="528"/>
      <c r="I547" s="528"/>
      <c r="J547" s="528"/>
      <c r="K547" s="528"/>
      <c r="L547" s="528"/>
      <c r="M547" s="528"/>
      <c r="N547" s="528"/>
      <c r="O547" s="528"/>
      <c r="P547" s="528"/>
      <c r="Q547" s="434"/>
      <c r="R547" s="434"/>
      <c r="S547" s="434"/>
      <c r="T547" s="434"/>
      <c r="U547" s="434"/>
      <c r="V547" s="434"/>
      <c r="W547" s="434"/>
      <c r="X547" s="434"/>
      <c r="Y547" s="434"/>
      <c r="Z547" s="434"/>
      <c r="AA547" s="434"/>
      <c r="AB547" s="434"/>
      <c r="AC547" s="434"/>
      <c r="AD547" s="434"/>
    </row>
    <row r="548">
      <c r="A548" s="434"/>
      <c r="B548" s="528"/>
      <c r="C548" s="528"/>
      <c r="D548" s="528"/>
      <c r="E548" s="528"/>
      <c r="F548" s="528"/>
      <c r="G548" s="528"/>
      <c r="H548" s="528"/>
      <c r="I548" s="528"/>
      <c r="J548" s="528"/>
      <c r="K548" s="528"/>
      <c r="L548" s="528"/>
      <c r="M548" s="528"/>
      <c r="N548" s="528"/>
      <c r="O548" s="528"/>
      <c r="P548" s="528"/>
      <c r="Q548" s="434"/>
      <c r="R548" s="434"/>
      <c r="S548" s="434"/>
      <c r="T548" s="434"/>
      <c r="U548" s="434"/>
      <c r="V548" s="434"/>
      <c r="W548" s="434"/>
      <c r="X548" s="434"/>
      <c r="Y548" s="434"/>
      <c r="Z548" s="434"/>
      <c r="AA548" s="434"/>
      <c r="AB548" s="434"/>
      <c r="AC548" s="434"/>
      <c r="AD548" s="434"/>
    </row>
    <row r="549">
      <c r="A549" s="434"/>
      <c r="B549" s="528"/>
      <c r="C549" s="528"/>
      <c r="D549" s="528"/>
      <c r="E549" s="528"/>
      <c r="F549" s="528"/>
      <c r="G549" s="528"/>
      <c r="H549" s="528"/>
      <c r="I549" s="528"/>
      <c r="J549" s="528"/>
      <c r="K549" s="528"/>
      <c r="L549" s="528"/>
      <c r="M549" s="528"/>
      <c r="N549" s="528"/>
      <c r="O549" s="528"/>
      <c r="P549" s="528"/>
      <c r="Q549" s="434"/>
      <c r="R549" s="434"/>
      <c r="S549" s="434"/>
      <c r="T549" s="434"/>
      <c r="U549" s="434"/>
      <c r="V549" s="434"/>
      <c r="W549" s="434"/>
      <c r="X549" s="434"/>
      <c r="Y549" s="434"/>
      <c r="Z549" s="434"/>
      <c r="AA549" s="434"/>
      <c r="AB549" s="434"/>
      <c r="AC549" s="434"/>
      <c r="AD549" s="434"/>
    </row>
    <row r="550">
      <c r="A550" s="434"/>
      <c r="B550" s="528"/>
      <c r="C550" s="528"/>
      <c r="D550" s="528"/>
      <c r="E550" s="528"/>
      <c r="F550" s="528"/>
      <c r="G550" s="528"/>
      <c r="H550" s="528"/>
      <c r="I550" s="528"/>
      <c r="J550" s="528"/>
      <c r="K550" s="528"/>
      <c r="L550" s="528"/>
      <c r="M550" s="528"/>
      <c r="N550" s="528"/>
      <c r="O550" s="528"/>
      <c r="P550" s="528"/>
      <c r="Q550" s="434"/>
      <c r="R550" s="434"/>
      <c r="S550" s="434"/>
      <c r="T550" s="434"/>
      <c r="U550" s="434"/>
      <c r="V550" s="434"/>
      <c r="W550" s="434"/>
      <c r="X550" s="434"/>
      <c r="Y550" s="434"/>
      <c r="Z550" s="434"/>
      <c r="AA550" s="434"/>
      <c r="AB550" s="434"/>
      <c r="AC550" s="434"/>
      <c r="AD550" s="434"/>
    </row>
    <row r="551">
      <c r="A551" s="434"/>
      <c r="B551" s="528"/>
      <c r="C551" s="528"/>
      <c r="D551" s="528"/>
      <c r="E551" s="528"/>
      <c r="F551" s="528"/>
      <c r="G551" s="528"/>
      <c r="H551" s="528"/>
      <c r="I551" s="528"/>
      <c r="J551" s="528"/>
      <c r="K551" s="528"/>
      <c r="L551" s="528"/>
      <c r="M551" s="528"/>
      <c r="N551" s="528"/>
      <c r="O551" s="528"/>
      <c r="P551" s="528"/>
      <c r="Q551" s="434"/>
      <c r="R551" s="434"/>
      <c r="S551" s="434"/>
      <c r="T551" s="434"/>
      <c r="U551" s="434"/>
      <c r="V551" s="434"/>
      <c r="W551" s="434"/>
      <c r="X551" s="434"/>
      <c r="Y551" s="434"/>
      <c r="Z551" s="434"/>
      <c r="AA551" s="434"/>
      <c r="AB551" s="434"/>
      <c r="AC551" s="434"/>
      <c r="AD551" s="434"/>
    </row>
    <row r="552">
      <c r="A552" s="434"/>
      <c r="B552" s="528"/>
      <c r="C552" s="528"/>
      <c r="D552" s="528"/>
      <c r="E552" s="528"/>
      <c r="F552" s="528"/>
      <c r="G552" s="528"/>
      <c r="H552" s="528"/>
      <c r="I552" s="528"/>
      <c r="J552" s="528"/>
      <c r="K552" s="528"/>
      <c r="L552" s="528"/>
      <c r="M552" s="528"/>
      <c r="N552" s="528"/>
      <c r="O552" s="528"/>
      <c r="P552" s="528"/>
      <c r="Q552" s="434"/>
      <c r="R552" s="434"/>
      <c r="S552" s="434"/>
      <c r="T552" s="434"/>
      <c r="U552" s="434"/>
      <c r="V552" s="434"/>
      <c r="W552" s="434"/>
      <c r="X552" s="434"/>
      <c r="Y552" s="434"/>
      <c r="Z552" s="434"/>
      <c r="AA552" s="434"/>
      <c r="AB552" s="434"/>
      <c r="AC552" s="434"/>
      <c r="AD552" s="434"/>
    </row>
    <row r="553">
      <c r="A553" s="434"/>
      <c r="B553" s="528"/>
      <c r="C553" s="528"/>
      <c r="D553" s="528"/>
      <c r="E553" s="528"/>
      <c r="F553" s="528"/>
      <c r="G553" s="528"/>
      <c r="H553" s="528"/>
      <c r="I553" s="528"/>
      <c r="J553" s="528"/>
      <c r="K553" s="528"/>
      <c r="L553" s="528"/>
      <c r="M553" s="528"/>
      <c r="N553" s="528"/>
      <c r="O553" s="528"/>
      <c r="P553" s="528"/>
      <c r="Q553" s="434"/>
      <c r="R553" s="434"/>
      <c r="S553" s="434"/>
      <c r="T553" s="434"/>
      <c r="U553" s="434"/>
      <c r="V553" s="434"/>
      <c r="W553" s="434"/>
      <c r="X553" s="434"/>
      <c r="Y553" s="434"/>
      <c r="Z553" s="434"/>
      <c r="AA553" s="434"/>
      <c r="AB553" s="434"/>
      <c r="AC553" s="434"/>
      <c r="AD553" s="434"/>
    </row>
    <row r="554">
      <c r="A554" s="434"/>
      <c r="B554" s="528"/>
      <c r="C554" s="528"/>
      <c r="D554" s="528"/>
      <c r="E554" s="528"/>
      <c r="F554" s="528"/>
      <c r="G554" s="528"/>
      <c r="H554" s="528"/>
      <c r="I554" s="528"/>
      <c r="J554" s="528"/>
      <c r="K554" s="528"/>
      <c r="L554" s="528"/>
      <c r="M554" s="528"/>
      <c r="N554" s="528"/>
      <c r="O554" s="528"/>
      <c r="P554" s="528"/>
      <c r="Q554" s="434"/>
      <c r="R554" s="434"/>
      <c r="S554" s="434"/>
      <c r="T554" s="434"/>
      <c r="U554" s="434"/>
      <c r="V554" s="434"/>
      <c r="W554" s="434"/>
      <c r="X554" s="434"/>
      <c r="Y554" s="434"/>
      <c r="Z554" s="434"/>
      <c r="AA554" s="434"/>
      <c r="AB554" s="434"/>
      <c r="AC554" s="434"/>
      <c r="AD554" s="434"/>
    </row>
    <row r="555">
      <c r="A555" s="434"/>
      <c r="B555" s="528"/>
      <c r="C555" s="528"/>
      <c r="D555" s="528"/>
      <c r="E555" s="528"/>
      <c r="F555" s="528"/>
      <c r="G555" s="528"/>
      <c r="H555" s="528"/>
      <c r="I555" s="528"/>
      <c r="J555" s="528"/>
      <c r="K555" s="528"/>
      <c r="L555" s="528"/>
      <c r="M555" s="528"/>
      <c r="N555" s="528"/>
      <c r="O555" s="528"/>
      <c r="P555" s="528"/>
      <c r="Q555" s="434"/>
      <c r="R555" s="434"/>
      <c r="S555" s="434"/>
      <c r="T555" s="434"/>
      <c r="U555" s="434"/>
      <c r="V555" s="434"/>
      <c r="W555" s="434"/>
      <c r="X555" s="434"/>
      <c r="Y555" s="434"/>
      <c r="Z555" s="434"/>
      <c r="AA555" s="434"/>
      <c r="AB555" s="434"/>
      <c r="AC555" s="434"/>
      <c r="AD555" s="434"/>
    </row>
    <row r="556">
      <c r="A556" s="434"/>
      <c r="B556" s="528"/>
      <c r="C556" s="528"/>
      <c r="D556" s="528"/>
      <c r="E556" s="528"/>
      <c r="F556" s="528"/>
      <c r="G556" s="528"/>
      <c r="H556" s="528"/>
      <c r="I556" s="528"/>
      <c r="J556" s="528"/>
      <c r="K556" s="528"/>
      <c r="L556" s="528"/>
      <c r="M556" s="528"/>
      <c r="N556" s="528"/>
      <c r="O556" s="528"/>
      <c r="P556" s="528"/>
      <c r="Q556" s="434"/>
      <c r="R556" s="434"/>
      <c r="S556" s="434"/>
      <c r="T556" s="434"/>
      <c r="U556" s="434"/>
      <c r="V556" s="434"/>
      <c r="W556" s="434"/>
      <c r="X556" s="434"/>
      <c r="Y556" s="434"/>
      <c r="Z556" s="434"/>
      <c r="AA556" s="434"/>
      <c r="AB556" s="434"/>
      <c r="AC556" s="434"/>
      <c r="AD556" s="434"/>
    </row>
    <row r="557">
      <c r="A557" s="434"/>
      <c r="B557" s="528"/>
      <c r="C557" s="528"/>
      <c r="D557" s="528"/>
      <c r="E557" s="528"/>
      <c r="F557" s="528"/>
      <c r="G557" s="528"/>
      <c r="H557" s="528"/>
      <c r="I557" s="528"/>
      <c r="J557" s="528"/>
      <c r="K557" s="528"/>
      <c r="L557" s="528"/>
      <c r="M557" s="528"/>
      <c r="N557" s="528"/>
      <c r="O557" s="528"/>
      <c r="P557" s="528"/>
      <c r="Q557" s="434"/>
      <c r="R557" s="434"/>
      <c r="S557" s="434"/>
      <c r="T557" s="434"/>
      <c r="U557" s="434"/>
      <c r="V557" s="434"/>
      <c r="W557" s="434"/>
      <c r="X557" s="434"/>
      <c r="Y557" s="434"/>
      <c r="Z557" s="434"/>
      <c r="AA557" s="434"/>
      <c r="AB557" s="434"/>
      <c r="AC557" s="434"/>
      <c r="AD557" s="434"/>
    </row>
    <row r="558">
      <c r="A558" s="434"/>
      <c r="B558" s="528"/>
      <c r="C558" s="528"/>
      <c r="D558" s="528"/>
      <c r="E558" s="528"/>
      <c r="F558" s="528"/>
      <c r="G558" s="528"/>
      <c r="H558" s="528"/>
      <c r="I558" s="528"/>
      <c r="J558" s="528"/>
      <c r="K558" s="528"/>
      <c r="L558" s="528"/>
      <c r="M558" s="528"/>
      <c r="N558" s="528"/>
      <c r="O558" s="528"/>
      <c r="P558" s="528"/>
      <c r="Q558" s="434"/>
      <c r="R558" s="434"/>
      <c r="S558" s="434"/>
      <c r="T558" s="434"/>
      <c r="U558" s="434"/>
      <c r="V558" s="434"/>
      <c r="W558" s="434"/>
      <c r="X558" s="434"/>
      <c r="Y558" s="434"/>
      <c r="Z558" s="434"/>
      <c r="AA558" s="434"/>
      <c r="AB558" s="434"/>
      <c r="AC558" s="434"/>
      <c r="AD558" s="434"/>
    </row>
    <row r="559">
      <c r="A559" s="434"/>
      <c r="B559" s="528"/>
      <c r="C559" s="528"/>
      <c r="D559" s="528"/>
      <c r="E559" s="528"/>
      <c r="F559" s="528"/>
      <c r="G559" s="528"/>
      <c r="H559" s="528"/>
      <c r="I559" s="528"/>
      <c r="J559" s="528"/>
      <c r="K559" s="528"/>
      <c r="L559" s="528"/>
      <c r="M559" s="528"/>
      <c r="N559" s="528"/>
      <c r="O559" s="528"/>
      <c r="P559" s="528"/>
      <c r="Q559" s="434"/>
      <c r="R559" s="434"/>
      <c r="S559" s="434"/>
      <c r="T559" s="434"/>
      <c r="U559" s="434"/>
      <c r="V559" s="434"/>
      <c r="W559" s="434"/>
      <c r="X559" s="434"/>
      <c r="Y559" s="434"/>
      <c r="Z559" s="434"/>
      <c r="AA559" s="434"/>
      <c r="AB559" s="434"/>
      <c r="AC559" s="434"/>
      <c r="AD559" s="434"/>
    </row>
    <row r="560">
      <c r="A560" s="434"/>
      <c r="B560" s="528"/>
      <c r="C560" s="528"/>
      <c r="D560" s="528"/>
      <c r="E560" s="528"/>
      <c r="F560" s="528"/>
      <c r="G560" s="528"/>
      <c r="H560" s="528"/>
      <c r="I560" s="528"/>
      <c r="J560" s="528"/>
      <c r="K560" s="528"/>
      <c r="L560" s="528"/>
      <c r="M560" s="528"/>
      <c r="N560" s="528"/>
      <c r="O560" s="528"/>
      <c r="P560" s="528"/>
      <c r="Q560" s="434"/>
      <c r="R560" s="434"/>
      <c r="S560" s="434"/>
      <c r="T560" s="434"/>
      <c r="U560" s="434"/>
      <c r="V560" s="434"/>
      <c r="W560" s="434"/>
      <c r="X560" s="434"/>
      <c r="Y560" s="434"/>
      <c r="Z560" s="434"/>
      <c r="AA560" s="434"/>
      <c r="AB560" s="434"/>
      <c r="AC560" s="434"/>
      <c r="AD560" s="434"/>
    </row>
    <row r="561">
      <c r="A561" s="434"/>
      <c r="B561" s="528"/>
      <c r="C561" s="528"/>
      <c r="D561" s="528"/>
      <c r="E561" s="528"/>
      <c r="F561" s="528"/>
      <c r="G561" s="528"/>
      <c r="H561" s="528"/>
      <c r="I561" s="528"/>
      <c r="J561" s="528"/>
      <c r="K561" s="528"/>
      <c r="L561" s="528"/>
      <c r="M561" s="528"/>
      <c r="N561" s="528"/>
      <c r="O561" s="528"/>
      <c r="P561" s="528"/>
      <c r="Q561" s="434"/>
      <c r="R561" s="434"/>
      <c r="S561" s="434"/>
      <c r="T561" s="434"/>
      <c r="U561" s="434"/>
      <c r="V561" s="434"/>
      <c r="W561" s="434"/>
      <c r="X561" s="434"/>
      <c r="Y561" s="434"/>
      <c r="Z561" s="434"/>
      <c r="AA561" s="434"/>
      <c r="AB561" s="434"/>
      <c r="AC561" s="434"/>
      <c r="AD561" s="434"/>
    </row>
    <row r="562">
      <c r="A562" s="434"/>
      <c r="B562" s="528"/>
      <c r="C562" s="528"/>
      <c r="D562" s="528"/>
      <c r="E562" s="528"/>
      <c r="F562" s="528"/>
      <c r="G562" s="528"/>
      <c r="H562" s="528"/>
      <c r="I562" s="528"/>
      <c r="J562" s="528"/>
      <c r="K562" s="528"/>
      <c r="L562" s="528"/>
      <c r="M562" s="528"/>
      <c r="N562" s="528"/>
      <c r="O562" s="528"/>
      <c r="P562" s="528"/>
      <c r="Q562" s="434"/>
      <c r="R562" s="434"/>
      <c r="S562" s="434"/>
      <c r="T562" s="434"/>
      <c r="U562" s="434"/>
      <c r="V562" s="434"/>
      <c r="W562" s="434"/>
      <c r="X562" s="434"/>
      <c r="Y562" s="434"/>
      <c r="Z562" s="434"/>
      <c r="AA562" s="434"/>
      <c r="AB562" s="434"/>
      <c r="AC562" s="434"/>
      <c r="AD562" s="434"/>
    </row>
    <row r="563">
      <c r="A563" s="434"/>
      <c r="B563" s="528"/>
      <c r="C563" s="528"/>
      <c r="D563" s="528"/>
      <c r="E563" s="528"/>
      <c r="F563" s="528"/>
      <c r="G563" s="528"/>
      <c r="H563" s="528"/>
      <c r="I563" s="528"/>
      <c r="J563" s="528"/>
      <c r="K563" s="528"/>
      <c r="L563" s="528"/>
      <c r="M563" s="528"/>
      <c r="N563" s="528"/>
      <c r="O563" s="528"/>
      <c r="P563" s="528"/>
      <c r="Q563" s="434"/>
      <c r="R563" s="434"/>
      <c r="S563" s="434"/>
      <c r="T563" s="434"/>
      <c r="U563" s="434"/>
      <c r="V563" s="434"/>
      <c r="W563" s="434"/>
      <c r="X563" s="434"/>
      <c r="Y563" s="434"/>
      <c r="Z563" s="434"/>
      <c r="AA563" s="434"/>
      <c r="AB563" s="434"/>
      <c r="AC563" s="434"/>
      <c r="AD563" s="434"/>
    </row>
    <row r="564">
      <c r="A564" s="434"/>
      <c r="B564" s="528"/>
      <c r="C564" s="528"/>
      <c r="D564" s="528"/>
      <c r="E564" s="528"/>
      <c r="F564" s="528"/>
      <c r="G564" s="528"/>
      <c r="H564" s="528"/>
      <c r="I564" s="528"/>
      <c r="J564" s="528"/>
      <c r="K564" s="528"/>
      <c r="L564" s="528"/>
      <c r="M564" s="528"/>
      <c r="N564" s="528"/>
      <c r="O564" s="528"/>
      <c r="P564" s="528"/>
      <c r="Q564" s="434"/>
      <c r="R564" s="434"/>
      <c r="S564" s="434"/>
      <c r="T564" s="434"/>
      <c r="U564" s="434"/>
      <c r="V564" s="434"/>
      <c r="W564" s="434"/>
      <c r="X564" s="434"/>
      <c r="Y564" s="434"/>
      <c r="Z564" s="434"/>
      <c r="AA564" s="434"/>
      <c r="AB564" s="434"/>
      <c r="AC564" s="434"/>
      <c r="AD564" s="434"/>
    </row>
    <row r="565">
      <c r="A565" s="434"/>
      <c r="B565" s="528"/>
      <c r="C565" s="528"/>
      <c r="D565" s="528"/>
      <c r="E565" s="528"/>
      <c r="F565" s="528"/>
      <c r="G565" s="528"/>
      <c r="H565" s="528"/>
      <c r="I565" s="528"/>
      <c r="J565" s="528"/>
      <c r="K565" s="528"/>
      <c r="L565" s="528"/>
      <c r="M565" s="528"/>
      <c r="N565" s="528"/>
      <c r="O565" s="528"/>
      <c r="P565" s="528"/>
      <c r="Q565" s="434"/>
      <c r="R565" s="434"/>
      <c r="S565" s="434"/>
      <c r="T565" s="434"/>
      <c r="U565" s="434"/>
      <c r="V565" s="434"/>
      <c r="W565" s="434"/>
      <c r="X565" s="434"/>
      <c r="Y565" s="434"/>
      <c r="Z565" s="434"/>
      <c r="AA565" s="434"/>
      <c r="AB565" s="434"/>
      <c r="AC565" s="434"/>
      <c r="AD565" s="434"/>
    </row>
    <row r="566">
      <c r="A566" s="434"/>
      <c r="B566" s="528"/>
      <c r="C566" s="528"/>
      <c r="D566" s="528"/>
      <c r="E566" s="528"/>
      <c r="F566" s="528"/>
      <c r="G566" s="528"/>
      <c r="H566" s="528"/>
      <c r="I566" s="528"/>
      <c r="J566" s="528"/>
      <c r="K566" s="528"/>
      <c r="L566" s="528"/>
      <c r="M566" s="528"/>
      <c r="N566" s="528"/>
      <c r="O566" s="528"/>
      <c r="P566" s="528"/>
      <c r="Q566" s="434"/>
      <c r="R566" s="434"/>
      <c r="S566" s="434"/>
      <c r="T566" s="434"/>
      <c r="U566" s="434"/>
      <c r="V566" s="434"/>
      <c r="W566" s="434"/>
      <c r="X566" s="434"/>
      <c r="Y566" s="434"/>
      <c r="Z566" s="434"/>
      <c r="AA566" s="434"/>
      <c r="AB566" s="434"/>
      <c r="AC566" s="434"/>
      <c r="AD566" s="434"/>
    </row>
    <row r="567">
      <c r="A567" s="434"/>
      <c r="B567" s="528"/>
      <c r="C567" s="528"/>
      <c r="D567" s="528"/>
      <c r="E567" s="528"/>
      <c r="F567" s="528"/>
      <c r="G567" s="528"/>
      <c r="H567" s="528"/>
      <c r="I567" s="528"/>
      <c r="J567" s="528"/>
      <c r="K567" s="528"/>
      <c r="L567" s="528"/>
      <c r="M567" s="528"/>
      <c r="N567" s="528"/>
      <c r="O567" s="528"/>
      <c r="P567" s="528"/>
      <c r="Q567" s="434"/>
      <c r="R567" s="434"/>
      <c r="S567" s="434"/>
      <c r="T567" s="434"/>
      <c r="U567" s="434"/>
      <c r="V567" s="434"/>
      <c r="W567" s="434"/>
      <c r="X567" s="434"/>
      <c r="Y567" s="434"/>
      <c r="Z567" s="434"/>
      <c r="AA567" s="434"/>
      <c r="AB567" s="434"/>
      <c r="AC567" s="434"/>
      <c r="AD567" s="434"/>
    </row>
    <row r="568">
      <c r="A568" s="434"/>
      <c r="B568" s="528"/>
      <c r="C568" s="528"/>
      <c r="D568" s="528"/>
      <c r="E568" s="528"/>
      <c r="F568" s="528"/>
      <c r="G568" s="528"/>
      <c r="H568" s="528"/>
      <c r="I568" s="528"/>
      <c r="J568" s="528"/>
      <c r="K568" s="528"/>
      <c r="L568" s="528"/>
      <c r="M568" s="528"/>
      <c r="N568" s="528"/>
      <c r="O568" s="528"/>
      <c r="P568" s="528"/>
      <c r="Q568" s="434"/>
      <c r="R568" s="434"/>
      <c r="S568" s="434"/>
      <c r="T568" s="434"/>
      <c r="U568" s="434"/>
      <c r="V568" s="434"/>
      <c r="W568" s="434"/>
      <c r="X568" s="434"/>
      <c r="Y568" s="434"/>
      <c r="Z568" s="434"/>
      <c r="AA568" s="434"/>
      <c r="AB568" s="434"/>
      <c r="AC568" s="434"/>
      <c r="AD568" s="434"/>
    </row>
    <row r="569">
      <c r="A569" s="434"/>
      <c r="B569" s="528"/>
      <c r="C569" s="528"/>
      <c r="D569" s="528"/>
      <c r="E569" s="528"/>
      <c r="F569" s="528"/>
      <c r="G569" s="528"/>
      <c r="H569" s="528"/>
      <c r="I569" s="528"/>
      <c r="J569" s="528"/>
      <c r="K569" s="528"/>
      <c r="L569" s="528"/>
      <c r="M569" s="528"/>
      <c r="N569" s="528"/>
      <c r="O569" s="528"/>
      <c r="P569" s="528"/>
      <c r="Q569" s="434"/>
      <c r="R569" s="434"/>
      <c r="S569" s="434"/>
      <c r="T569" s="434"/>
      <c r="U569" s="434"/>
      <c r="V569" s="434"/>
      <c r="W569" s="434"/>
      <c r="X569" s="434"/>
      <c r="Y569" s="434"/>
      <c r="Z569" s="434"/>
      <c r="AA569" s="434"/>
      <c r="AB569" s="434"/>
      <c r="AC569" s="434"/>
      <c r="AD569" s="434"/>
    </row>
    <row r="570">
      <c r="A570" s="434"/>
      <c r="B570" s="528"/>
      <c r="C570" s="528"/>
      <c r="D570" s="528"/>
      <c r="E570" s="528"/>
      <c r="F570" s="528"/>
      <c r="G570" s="528"/>
      <c r="H570" s="528"/>
      <c r="I570" s="528"/>
      <c r="J570" s="528"/>
      <c r="K570" s="528"/>
      <c r="L570" s="528"/>
      <c r="M570" s="528"/>
      <c r="N570" s="528"/>
      <c r="O570" s="528"/>
      <c r="P570" s="528"/>
      <c r="Q570" s="434"/>
      <c r="R570" s="434"/>
      <c r="S570" s="434"/>
      <c r="T570" s="434"/>
      <c r="U570" s="434"/>
      <c r="V570" s="434"/>
      <c r="W570" s="434"/>
      <c r="X570" s="434"/>
      <c r="Y570" s="434"/>
      <c r="Z570" s="434"/>
      <c r="AA570" s="434"/>
      <c r="AB570" s="434"/>
      <c r="AC570" s="434"/>
      <c r="AD570" s="434"/>
    </row>
    <row r="571">
      <c r="A571" s="434"/>
      <c r="B571" s="528"/>
      <c r="C571" s="528"/>
      <c r="D571" s="528"/>
      <c r="E571" s="528"/>
      <c r="F571" s="528"/>
      <c r="G571" s="528"/>
      <c r="H571" s="528"/>
      <c r="I571" s="528"/>
      <c r="J571" s="528"/>
      <c r="K571" s="528"/>
      <c r="L571" s="528"/>
      <c r="M571" s="528"/>
      <c r="N571" s="528"/>
      <c r="O571" s="528"/>
      <c r="P571" s="528"/>
      <c r="Q571" s="434"/>
      <c r="R571" s="434"/>
      <c r="S571" s="434"/>
      <c r="T571" s="434"/>
      <c r="U571" s="434"/>
      <c r="V571" s="434"/>
      <c r="W571" s="434"/>
      <c r="X571" s="434"/>
      <c r="Y571" s="434"/>
      <c r="Z571" s="434"/>
      <c r="AA571" s="434"/>
      <c r="AB571" s="434"/>
      <c r="AC571" s="434"/>
      <c r="AD571" s="434"/>
    </row>
    <row r="572">
      <c r="A572" s="434"/>
      <c r="B572" s="528"/>
      <c r="C572" s="528"/>
      <c r="D572" s="528"/>
      <c r="E572" s="528"/>
      <c r="F572" s="528"/>
      <c r="G572" s="528"/>
      <c r="H572" s="528"/>
      <c r="I572" s="528"/>
      <c r="J572" s="528"/>
      <c r="K572" s="528"/>
      <c r="L572" s="528"/>
      <c r="M572" s="528"/>
      <c r="N572" s="528"/>
      <c r="O572" s="528"/>
      <c r="P572" s="528"/>
      <c r="Q572" s="434"/>
      <c r="R572" s="434"/>
      <c r="S572" s="434"/>
      <c r="T572" s="434"/>
      <c r="U572" s="434"/>
      <c r="V572" s="434"/>
      <c r="W572" s="434"/>
      <c r="X572" s="434"/>
      <c r="Y572" s="434"/>
      <c r="Z572" s="434"/>
      <c r="AA572" s="434"/>
      <c r="AB572" s="434"/>
      <c r="AC572" s="434"/>
      <c r="AD572" s="434"/>
    </row>
    <row r="573">
      <c r="A573" s="434"/>
      <c r="B573" s="528"/>
      <c r="C573" s="528"/>
      <c r="D573" s="528"/>
      <c r="E573" s="528"/>
      <c r="F573" s="528"/>
      <c r="G573" s="528"/>
      <c r="H573" s="528"/>
      <c r="I573" s="528"/>
      <c r="J573" s="528"/>
      <c r="K573" s="528"/>
      <c r="L573" s="528"/>
      <c r="M573" s="528"/>
      <c r="N573" s="528"/>
      <c r="O573" s="528"/>
      <c r="P573" s="528"/>
      <c r="Q573" s="434"/>
      <c r="R573" s="434"/>
      <c r="S573" s="434"/>
      <c r="T573" s="434"/>
      <c r="U573" s="434"/>
      <c r="V573" s="434"/>
      <c r="W573" s="434"/>
      <c r="X573" s="434"/>
      <c r="Y573" s="434"/>
      <c r="Z573" s="434"/>
      <c r="AA573" s="434"/>
      <c r="AB573" s="434"/>
      <c r="AC573" s="434"/>
      <c r="AD573" s="434"/>
    </row>
    <row r="574">
      <c r="A574" s="434"/>
      <c r="B574" s="528"/>
      <c r="C574" s="528"/>
      <c r="D574" s="528"/>
      <c r="E574" s="528"/>
      <c r="F574" s="528"/>
      <c r="G574" s="528"/>
      <c r="H574" s="528"/>
      <c r="I574" s="528"/>
      <c r="J574" s="528"/>
      <c r="K574" s="528"/>
      <c r="L574" s="528"/>
      <c r="M574" s="528"/>
      <c r="N574" s="528"/>
      <c r="O574" s="528"/>
      <c r="P574" s="528"/>
      <c r="Q574" s="434"/>
      <c r="R574" s="434"/>
      <c r="S574" s="434"/>
      <c r="T574" s="434"/>
      <c r="U574" s="434"/>
      <c r="V574" s="434"/>
      <c r="W574" s="434"/>
      <c r="X574" s="434"/>
      <c r="Y574" s="434"/>
      <c r="Z574" s="434"/>
      <c r="AA574" s="434"/>
      <c r="AB574" s="434"/>
      <c r="AC574" s="434"/>
      <c r="AD574" s="434"/>
    </row>
    <row r="575">
      <c r="A575" s="434"/>
      <c r="B575" s="528"/>
      <c r="C575" s="528"/>
      <c r="D575" s="528"/>
      <c r="E575" s="528"/>
      <c r="F575" s="528"/>
      <c r="G575" s="528"/>
      <c r="H575" s="528"/>
      <c r="I575" s="528"/>
      <c r="J575" s="528"/>
      <c r="K575" s="528"/>
      <c r="L575" s="528"/>
      <c r="M575" s="528"/>
      <c r="N575" s="528"/>
      <c r="O575" s="528"/>
      <c r="P575" s="528"/>
      <c r="Q575" s="434"/>
      <c r="R575" s="434"/>
      <c r="S575" s="434"/>
      <c r="T575" s="434"/>
      <c r="U575" s="434"/>
      <c r="V575" s="434"/>
      <c r="W575" s="434"/>
      <c r="X575" s="434"/>
      <c r="Y575" s="434"/>
      <c r="Z575" s="434"/>
      <c r="AA575" s="434"/>
      <c r="AB575" s="434"/>
      <c r="AC575" s="434"/>
      <c r="AD575" s="434"/>
    </row>
    <row r="576">
      <c r="A576" s="434"/>
      <c r="B576" s="528"/>
      <c r="C576" s="528"/>
      <c r="D576" s="528"/>
      <c r="E576" s="528"/>
      <c r="F576" s="528"/>
      <c r="G576" s="528"/>
      <c r="H576" s="528"/>
      <c r="I576" s="528"/>
      <c r="J576" s="528"/>
      <c r="K576" s="528"/>
      <c r="L576" s="528"/>
      <c r="M576" s="528"/>
      <c r="N576" s="528"/>
      <c r="O576" s="528"/>
      <c r="P576" s="528"/>
      <c r="Q576" s="434"/>
      <c r="R576" s="434"/>
      <c r="S576" s="434"/>
      <c r="T576" s="434"/>
      <c r="U576" s="434"/>
      <c r="V576" s="434"/>
      <c r="W576" s="434"/>
      <c r="X576" s="434"/>
      <c r="Y576" s="434"/>
      <c r="Z576" s="434"/>
      <c r="AA576" s="434"/>
      <c r="AB576" s="434"/>
      <c r="AC576" s="434"/>
      <c r="AD576" s="434"/>
    </row>
    <row r="577">
      <c r="A577" s="434"/>
      <c r="B577" s="528"/>
      <c r="C577" s="528"/>
      <c r="D577" s="528"/>
      <c r="E577" s="528"/>
      <c r="F577" s="528"/>
      <c r="G577" s="528"/>
      <c r="H577" s="528"/>
      <c r="I577" s="528"/>
      <c r="J577" s="528"/>
      <c r="K577" s="528"/>
      <c r="L577" s="528"/>
      <c r="M577" s="528"/>
      <c r="N577" s="528"/>
      <c r="O577" s="528"/>
      <c r="P577" s="528"/>
      <c r="Q577" s="434"/>
      <c r="R577" s="434"/>
      <c r="S577" s="434"/>
      <c r="T577" s="434"/>
      <c r="U577" s="434"/>
      <c r="V577" s="434"/>
      <c r="W577" s="434"/>
      <c r="X577" s="434"/>
      <c r="Y577" s="434"/>
      <c r="Z577" s="434"/>
      <c r="AA577" s="434"/>
      <c r="AB577" s="434"/>
      <c r="AC577" s="434"/>
      <c r="AD577" s="434"/>
    </row>
    <row r="578">
      <c r="A578" s="434"/>
      <c r="B578" s="528"/>
      <c r="C578" s="528"/>
      <c r="D578" s="528"/>
      <c r="E578" s="528"/>
      <c r="F578" s="528"/>
      <c r="G578" s="528"/>
      <c r="H578" s="528"/>
      <c r="I578" s="528"/>
      <c r="J578" s="528"/>
      <c r="K578" s="528"/>
      <c r="L578" s="528"/>
      <c r="M578" s="528"/>
      <c r="N578" s="528"/>
      <c r="O578" s="528"/>
      <c r="P578" s="528"/>
      <c r="Q578" s="434"/>
      <c r="R578" s="434"/>
      <c r="S578" s="434"/>
      <c r="T578" s="434"/>
      <c r="U578" s="434"/>
      <c r="V578" s="434"/>
      <c r="W578" s="434"/>
      <c r="X578" s="434"/>
      <c r="Y578" s="434"/>
      <c r="Z578" s="434"/>
      <c r="AA578" s="434"/>
      <c r="AB578" s="434"/>
      <c r="AC578" s="434"/>
      <c r="AD578" s="434"/>
    </row>
    <row r="579">
      <c r="A579" s="434"/>
      <c r="B579" s="528"/>
      <c r="C579" s="528"/>
      <c r="D579" s="528"/>
      <c r="E579" s="528"/>
      <c r="F579" s="528"/>
      <c r="G579" s="528"/>
      <c r="H579" s="528"/>
      <c r="I579" s="528"/>
      <c r="J579" s="528"/>
      <c r="K579" s="528"/>
      <c r="L579" s="528"/>
      <c r="M579" s="528"/>
      <c r="N579" s="528"/>
      <c r="O579" s="528"/>
      <c r="P579" s="528"/>
      <c r="Q579" s="434"/>
      <c r="R579" s="434"/>
      <c r="S579" s="434"/>
      <c r="T579" s="434"/>
      <c r="U579" s="434"/>
      <c r="V579" s="434"/>
      <c r="W579" s="434"/>
      <c r="X579" s="434"/>
      <c r="Y579" s="434"/>
      <c r="Z579" s="434"/>
      <c r="AA579" s="434"/>
      <c r="AB579" s="434"/>
      <c r="AC579" s="434"/>
      <c r="AD579" s="434"/>
    </row>
    <row r="580">
      <c r="A580" s="434"/>
      <c r="B580" s="528"/>
      <c r="C580" s="528"/>
      <c r="D580" s="528"/>
      <c r="E580" s="528"/>
      <c r="F580" s="528"/>
      <c r="G580" s="528"/>
      <c r="H580" s="528"/>
      <c r="I580" s="528"/>
      <c r="J580" s="528"/>
      <c r="K580" s="528"/>
      <c r="L580" s="528"/>
      <c r="M580" s="528"/>
      <c r="N580" s="528"/>
      <c r="O580" s="528"/>
      <c r="P580" s="528"/>
      <c r="Q580" s="434"/>
      <c r="R580" s="434"/>
      <c r="S580" s="434"/>
      <c r="T580" s="434"/>
      <c r="U580" s="434"/>
      <c r="V580" s="434"/>
      <c r="W580" s="434"/>
      <c r="X580" s="434"/>
      <c r="Y580" s="434"/>
      <c r="Z580" s="434"/>
      <c r="AA580" s="434"/>
      <c r="AB580" s="434"/>
      <c r="AC580" s="434"/>
      <c r="AD580" s="434"/>
    </row>
    <row r="581">
      <c r="A581" s="434"/>
      <c r="B581" s="528"/>
      <c r="C581" s="528"/>
      <c r="D581" s="528"/>
      <c r="E581" s="528"/>
      <c r="F581" s="528"/>
      <c r="G581" s="528"/>
      <c r="H581" s="528"/>
      <c r="I581" s="528"/>
      <c r="J581" s="528"/>
      <c r="K581" s="528"/>
      <c r="L581" s="528"/>
      <c r="M581" s="528"/>
      <c r="N581" s="528"/>
      <c r="O581" s="528"/>
      <c r="P581" s="528"/>
      <c r="Q581" s="434"/>
      <c r="R581" s="434"/>
      <c r="S581" s="434"/>
      <c r="T581" s="434"/>
      <c r="U581" s="434"/>
      <c r="V581" s="434"/>
      <c r="W581" s="434"/>
      <c r="X581" s="434"/>
      <c r="Y581" s="434"/>
      <c r="Z581" s="434"/>
      <c r="AA581" s="434"/>
      <c r="AB581" s="434"/>
      <c r="AC581" s="434"/>
      <c r="AD581" s="434"/>
    </row>
    <row r="582">
      <c r="A582" s="434"/>
      <c r="B582" s="528"/>
      <c r="C582" s="528"/>
      <c r="D582" s="528"/>
      <c r="E582" s="528"/>
      <c r="F582" s="528"/>
      <c r="G582" s="528"/>
      <c r="H582" s="528"/>
      <c r="I582" s="528"/>
      <c r="J582" s="528"/>
      <c r="K582" s="528"/>
      <c r="L582" s="528"/>
      <c r="M582" s="528"/>
      <c r="N582" s="528"/>
      <c r="O582" s="528"/>
      <c r="P582" s="528"/>
      <c r="Q582" s="434"/>
      <c r="R582" s="434"/>
      <c r="S582" s="434"/>
      <c r="T582" s="434"/>
      <c r="U582" s="434"/>
      <c r="V582" s="434"/>
      <c r="W582" s="434"/>
      <c r="X582" s="434"/>
      <c r="Y582" s="434"/>
      <c r="Z582" s="434"/>
      <c r="AA582" s="434"/>
      <c r="AB582" s="434"/>
      <c r="AC582" s="434"/>
      <c r="AD582" s="434"/>
    </row>
    <row r="583">
      <c r="A583" s="434"/>
      <c r="B583" s="528"/>
      <c r="C583" s="528"/>
      <c r="D583" s="528"/>
      <c r="E583" s="528"/>
      <c r="F583" s="528"/>
      <c r="G583" s="528"/>
      <c r="H583" s="528"/>
      <c r="I583" s="528"/>
      <c r="J583" s="528"/>
      <c r="K583" s="528"/>
      <c r="L583" s="528"/>
      <c r="M583" s="528"/>
      <c r="N583" s="528"/>
      <c r="O583" s="528"/>
      <c r="P583" s="528"/>
      <c r="Q583" s="434"/>
      <c r="R583" s="434"/>
      <c r="S583" s="434"/>
      <c r="T583" s="434"/>
      <c r="U583" s="434"/>
      <c r="V583" s="434"/>
      <c r="W583" s="434"/>
      <c r="X583" s="434"/>
      <c r="Y583" s="434"/>
      <c r="Z583" s="434"/>
      <c r="AA583" s="434"/>
      <c r="AB583" s="434"/>
      <c r="AC583" s="434"/>
      <c r="AD583" s="434"/>
    </row>
    <row r="584">
      <c r="A584" s="434"/>
      <c r="B584" s="528"/>
      <c r="C584" s="528"/>
      <c r="D584" s="528"/>
      <c r="E584" s="528"/>
      <c r="F584" s="528"/>
      <c r="G584" s="528"/>
      <c r="H584" s="528"/>
      <c r="I584" s="528"/>
      <c r="J584" s="528"/>
      <c r="K584" s="528"/>
      <c r="L584" s="528"/>
      <c r="M584" s="528"/>
      <c r="N584" s="528"/>
      <c r="O584" s="528"/>
      <c r="P584" s="528"/>
      <c r="Q584" s="434"/>
      <c r="R584" s="434"/>
      <c r="S584" s="434"/>
      <c r="T584" s="434"/>
      <c r="U584" s="434"/>
      <c r="V584" s="434"/>
      <c r="W584" s="434"/>
      <c r="X584" s="434"/>
      <c r="Y584" s="434"/>
      <c r="Z584" s="434"/>
      <c r="AA584" s="434"/>
      <c r="AB584" s="434"/>
      <c r="AC584" s="434"/>
      <c r="AD584" s="434"/>
    </row>
    <row r="585">
      <c r="A585" s="434"/>
      <c r="B585" s="528"/>
      <c r="C585" s="528"/>
      <c r="D585" s="528"/>
      <c r="E585" s="528"/>
      <c r="F585" s="528"/>
      <c r="G585" s="528"/>
      <c r="H585" s="528"/>
      <c r="I585" s="528"/>
      <c r="J585" s="528"/>
      <c r="K585" s="528"/>
      <c r="L585" s="528"/>
      <c r="M585" s="528"/>
      <c r="N585" s="528"/>
      <c r="O585" s="528"/>
      <c r="P585" s="528"/>
      <c r="Q585" s="434"/>
      <c r="R585" s="434"/>
      <c r="S585" s="434"/>
      <c r="T585" s="434"/>
      <c r="U585" s="434"/>
      <c r="V585" s="434"/>
      <c r="W585" s="434"/>
      <c r="X585" s="434"/>
      <c r="Y585" s="434"/>
      <c r="Z585" s="434"/>
      <c r="AA585" s="434"/>
      <c r="AB585" s="434"/>
      <c r="AC585" s="434"/>
      <c r="AD585" s="434"/>
    </row>
    <row r="586">
      <c r="A586" s="434"/>
      <c r="B586" s="528"/>
      <c r="C586" s="528"/>
      <c r="D586" s="528"/>
      <c r="E586" s="528"/>
      <c r="F586" s="528"/>
      <c r="G586" s="528"/>
      <c r="H586" s="528"/>
      <c r="I586" s="528"/>
      <c r="J586" s="528"/>
      <c r="K586" s="528"/>
      <c r="L586" s="528"/>
      <c r="M586" s="528"/>
      <c r="N586" s="528"/>
      <c r="O586" s="528"/>
      <c r="P586" s="528"/>
      <c r="Q586" s="434"/>
      <c r="R586" s="434"/>
      <c r="S586" s="434"/>
      <c r="T586" s="434"/>
      <c r="U586" s="434"/>
      <c r="V586" s="434"/>
      <c r="W586" s="434"/>
      <c r="X586" s="434"/>
      <c r="Y586" s="434"/>
      <c r="Z586" s="434"/>
      <c r="AA586" s="434"/>
      <c r="AB586" s="434"/>
      <c r="AC586" s="434"/>
      <c r="AD586" s="434"/>
    </row>
    <row r="587">
      <c r="A587" s="434"/>
      <c r="B587" s="528"/>
      <c r="C587" s="528"/>
      <c r="D587" s="528"/>
      <c r="E587" s="528"/>
      <c r="F587" s="528"/>
      <c r="G587" s="528"/>
      <c r="H587" s="528"/>
      <c r="I587" s="528"/>
      <c r="J587" s="528"/>
      <c r="K587" s="528"/>
      <c r="L587" s="528"/>
      <c r="M587" s="528"/>
      <c r="N587" s="528"/>
      <c r="O587" s="528"/>
      <c r="P587" s="528"/>
      <c r="Q587" s="434"/>
      <c r="R587" s="434"/>
      <c r="S587" s="434"/>
      <c r="T587" s="434"/>
      <c r="U587" s="434"/>
      <c r="V587" s="434"/>
      <c r="W587" s="434"/>
      <c r="X587" s="434"/>
      <c r="Y587" s="434"/>
      <c r="Z587" s="434"/>
      <c r="AA587" s="434"/>
      <c r="AB587" s="434"/>
      <c r="AC587" s="434"/>
      <c r="AD587" s="434"/>
    </row>
    <row r="588">
      <c r="A588" s="434"/>
      <c r="B588" s="528"/>
      <c r="C588" s="528"/>
      <c r="D588" s="528"/>
      <c r="E588" s="528"/>
      <c r="F588" s="528"/>
      <c r="G588" s="528"/>
      <c r="H588" s="528"/>
      <c r="I588" s="528"/>
      <c r="J588" s="528"/>
      <c r="K588" s="528"/>
      <c r="L588" s="528"/>
      <c r="M588" s="528"/>
      <c r="N588" s="528"/>
      <c r="O588" s="528"/>
      <c r="P588" s="528"/>
      <c r="Q588" s="434"/>
      <c r="R588" s="434"/>
      <c r="S588" s="434"/>
      <c r="T588" s="434"/>
      <c r="U588" s="434"/>
      <c r="V588" s="434"/>
      <c r="W588" s="434"/>
      <c r="X588" s="434"/>
      <c r="Y588" s="434"/>
      <c r="Z588" s="434"/>
      <c r="AA588" s="434"/>
      <c r="AB588" s="434"/>
      <c r="AC588" s="434"/>
      <c r="AD588" s="434"/>
    </row>
    <row r="589">
      <c r="A589" s="434"/>
      <c r="B589" s="528"/>
      <c r="C589" s="528"/>
      <c r="D589" s="528"/>
      <c r="E589" s="528"/>
      <c r="F589" s="528"/>
      <c r="G589" s="528"/>
      <c r="H589" s="528"/>
      <c r="I589" s="528"/>
      <c r="J589" s="528"/>
      <c r="K589" s="528"/>
      <c r="L589" s="528"/>
      <c r="M589" s="528"/>
      <c r="N589" s="528"/>
      <c r="O589" s="528"/>
      <c r="P589" s="528"/>
      <c r="Q589" s="434"/>
      <c r="R589" s="434"/>
      <c r="S589" s="434"/>
      <c r="T589" s="434"/>
      <c r="U589" s="434"/>
      <c r="V589" s="434"/>
      <c r="W589" s="434"/>
      <c r="X589" s="434"/>
      <c r="Y589" s="434"/>
      <c r="Z589" s="434"/>
      <c r="AA589" s="434"/>
      <c r="AB589" s="434"/>
      <c r="AC589" s="434"/>
      <c r="AD589" s="434"/>
    </row>
    <row r="590">
      <c r="A590" s="434"/>
      <c r="B590" s="528"/>
      <c r="C590" s="528"/>
      <c r="D590" s="528"/>
      <c r="E590" s="528"/>
      <c r="F590" s="528"/>
      <c r="G590" s="528"/>
      <c r="H590" s="528"/>
      <c r="I590" s="528"/>
      <c r="J590" s="528"/>
      <c r="K590" s="528"/>
      <c r="L590" s="528"/>
      <c r="M590" s="528"/>
      <c r="N590" s="528"/>
      <c r="O590" s="528"/>
      <c r="P590" s="528"/>
      <c r="Q590" s="434"/>
      <c r="R590" s="434"/>
      <c r="S590" s="434"/>
      <c r="T590" s="434"/>
      <c r="U590" s="434"/>
      <c r="V590" s="434"/>
      <c r="W590" s="434"/>
      <c r="X590" s="434"/>
      <c r="Y590" s="434"/>
      <c r="Z590" s="434"/>
      <c r="AA590" s="434"/>
      <c r="AB590" s="434"/>
      <c r="AC590" s="434"/>
      <c r="AD590" s="434"/>
    </row>
    <row r="591">
      <c r="A591" s="434"/>
      <c r="B591" s="528"/>
      <c r="C591" s="528"/>
      <c r="D591" s="528"/>
      <c r="E591" s="528"/>
      <c r="F591" s="528"/>
      <c r="G591" s="528"/>
      <c r="H591" s="528"/>
      <c r="I591" s="528"/>
      <c r="J591" s="528"/>
      <c r="K591" s="528"/>
      <c r="L591" s="528"/>
      <c r="M591" s="528"/>
      <c r="N591" s="528"/>
      <c r="O591" s="528"/>
      <c r="P591" s="528"/>
      <c r="Q591" s="434"/>
      <c r="R591" s="434"/>
      <c r="S591" s="434"/>
      <c r="T591" s="434"/>
      <c r="U591" s="434"/>
      <c r="V591" s="434"/>
      <c r="W591" s="434"/>
      <c r="X591" s="434"/>
      <c r="Y591" s="434"/>
      <c r="Z591" s="434"/>
      <c r="AA591" s="434"/>
      <c r="AB591" s="434"/>
      <c r="AC591" s="434"/>
      <c r="AD591" s="434"/>
    </row>
    <row r="592">
      <c r="A592" s="434"/>
      <c r="B592" s="528"/>
      <c r="C592" s="528"/>
      <c r="D592" s="528"/>
      <c r="E592" s="528"/>
      <c r="F592" s="528"/>
      <c r="G592" s="528"/>
      <c r="H592" s="528"/>
      <c r="I592" s="528"/>
      <c r="J592" s="528"/>
      <c r="K592" s="528"/>
      <c r="L592" s="528"/>
      <c r="M592" s="528"/>
      <c r="N592" s="528"/>
      <c r="O592" s="528"/>
      <c r="P592" s="528"/>
      <c r="Q592" s="434"/>
      <c r="R592" s="434"/>
      <c r="S592" s="434"/>
      <c r="T592" s="434"/>
      <c r="U592" s="434"/>
      <c r="V592" s="434"/>
      <c r="W592" s="434"/>
      <c r="X592" s="434"/>
      <c r="Y592" s="434"/>
      <c r="Z592" s="434"/>
      <c r="AA592" s="434"/>
      <c r="AB592" s="434"/>
      <c r="AC592" s="434"/>
      <c r="AD592" s="434"/>
    </row>
    <row r="593">
      <c r="A593" s="434"/>
      <c r="B593" s="528"/>
      <c r="C593" s="528"/>
      <c r="D593" s="528"/>
      <c r="E593" s="528"/>
      <c r="F593" s="528"/>
      <c r="G593" s="528"/>
      <c r="H593" s="528"/>
      <c r="I593" s="528"/>
      <c r="J593" s="528"/>
      <c r="K593" s="528"/>
      <c r="L593" s="528"/>
      <c r="M593" s="528"/>
      <c r="N593" s="528"/>
      <c r="O593" s="528"/>
      <c r="P593" s="528"/>
      <c r="Q593" s="434"/>
      <c r="R593" s="434"/>
      <c r="S593" s="434"/>
      <c r="T593" s="434"/>
      <c r="U593" s="434"/>
      <c r="V593" s="434"/>
      <c r="W593" s="434"/>
      <c r="X593" s="434"/>
      <c r="Y593" s="434"/>
      <c r="Z593" s="434"/>
      <c r="AA593" s="434"/>
      <c r="AB593" s="434"/>
      <c r="AC593" s="434"/>
      <c r="AD593" s="434"/>
    </row>
    <row r="594">
      <c r="A594" s="434"/>
      <c r="B594" s="528"/>
      <c r="C594" s="528"/>
      <c r="D594" s="528"/>
      <c r="E594" s="528"/>
      <c r="F594" s="528"/>
      <c r="G594" s="528"/>
      <c r="H594" s="528"/>
      <c r="I594" s="528"/>
      <c r="J594" s="528"/>
      <c r="K594" s="528"/>
      <c r="L594" s="528"/>
      <c r="M594" s="528"/>
      <c r="N594" s="528"/>
      <c r="O594" s="528"/>
      <c r="P594" s="528"/>
      <c r="Q594" s="434"/>
      <c r="R594" s="434"/>
      <c r="S594" s="434"/>
      <c r="T594" s="434"/>
      <c r="U594" s="434"/>
      <c r="V594" s="434"/>
      <c r="W594" s="434"/>
      <c r="X594" s="434"/>
      <c r="Y594" s="434"/>
      <c r="Z594" s="434"/>
      <c r="AA594" s="434"/>
      <c r="AB594" s="434"/>
      <c r="AC594" s="434"/>
      <c r="AD594" s="434"/>
    </row>
    <row r="595">
      <c r="A595" s="434"/>
      <c r="B595" s="528"/>
      <c r="C595" s="528"/>
      <c r="D595" s="528"/>
      <c r="E595" s="528"/>
      <c r="F595" s="528"/>
      <c r="G595" s="528"/>
      <c r="H595" s="528"/>
      <c r="I595" s="528"/>
      <c r="J595" s="528"/>
      <c r="K595" s="528"/>
      <c r="L595" s="528"/>
      <c r="M595" s="528"/>
      <c r="N595" s="528"/>
      <c r="O595" s="528"/>
      <c r="P595" s="528"/>
      <c r="Q595" s="434"/>
      <c r="R595" s="434"/>
      <c r="S595" s="434"/>
      <c r="T595" s="434"/>
      <c r="U595" s="434"/>
      <c r="V595" s="434"/>
      <c r="W595" s="434"/>
      <c r="X595" s="434"/>
      <c r="Y595" s="434"/>
      <c r="Z595" s="434"/>
      <c r="AA595" s="434"/>
      <c r="AB595" s="434"/>
      <c r="AC595" s="434"/>
      <c r="AD595" s="434"/>
    </row>
    <row r="596">
      <c r="A596" s="434"/>
      <c r="B596" s="528"/>
      <c r="C596" s="528"/>
      <c r="D596" s="528"/>
      <c r="E596" s="528"/>
      <c r="F596" s="528"/>
      <c r="G596" s="528"/>
      <c r="H596" s="528"/>
      <c r="I596" s="528"/>
      <c r="J596" s="528"/>
      <c r="K596" s="528"/>
      <c r="L596" s="528"/>
      <c r="M596" s="528"/>
      <c r="N596" s="528"/>
      <c r="O596" s="528"/>
      <c r="P596" s="528"/>
      <c r="Q596" s="434"/>
      <c r="R596" s="434"/>
      <c r="S596" s="434"/>
      <c r="T596" s="434"/>
      <c r="U596" s="434"/>
      <c r="V596" s="434"/>
      <c r="W596" s="434"/>
      <c r="X596" s="434"/>
      <c r="Y596" s="434"/>
      <c r="Z596" s="434"/>
      <c r="AA596" s="434"/>
      <c r="AB596" s="434"/>
      <c r="AC596" s="434"/>
      <c r="AD596" s="434"/>
    </row>
    <row r="597">
      <c r="A597" s="434"/>
      <c r="B597" s="528"/>
      <c r="C597" s="528"/>
      <c r="D597" s="528"/>
      <c r="E597" s="528"/>
      <c r="F597" s="528"/>
      <c r="G597" s="528"/>
      <c r="H597" s="528"/>
      <c r="I597" s="528"/>
      <c r="J597" s="528"/>
      <c r="K597" s="528"/>
      <c r="L597" s="528"/>
      <c r="M597" s="528"/>
      <c r="N597" s="528"/>
      <c r="O597" s="528"/>
      <c r="P597" s="528"/>
      <c r="Q597" s="434"/>
      <c r="R597" s="434"/>
      <c r="S597" s="434"/>
      <c r="T597" s="434"/>
      <c r="U597" s="434"/>
      <c r="V597" s="434"/>
      <c r="W597" s="434"/>
      <c r="X597" s="434"/>
      <c r="Y597" s="434"/>
      <c r="Z597" s="434"/>
      <c r="AA597" s="434"/>
      <c r="AB597" s="434"/>
      <c r="AC597" s="434"/>
      <c r="AD597" s="434"/>
    </row>
    <row r="598">
      <c r="A598" s="434"/>
      <c r="B598" s="528"/>
      <c r="C598" s="528"/>
      <c r="D598" s="528"/>
      <c r="E598" s="528"/>
      <c r="F598" s="528"/>
      <c r="G598" s="528"/>
      <c r="H598" s="528"/>
      <c r="I598" s="528"/>
      <c r="J598" s="528"/>
      <c r="K598" s="528"/>
      <c r="L598" s="528"/>
      <c r="M598" s="528"/>
      <c r="N598" s="528"/>
      <c r="O598" s="528"/>
      <c r="P598" s="528"/>
      <c r="Q598" s="434"/>
      <c r="R598" s="434"/>
      <c r="S598" s="434"/>
      <c r="T598" s="434"/>
      <c r="U598" s="434"/>
      <c r="V598" s="434"/>
      <c r="W598" s="434"/>
      <c r="X598" s="434"/>
      <c r="Y598" s="434"/>
      <c r="Z598" s="434"/>
      <c r="AA598" s="434"/>
      <c r="AB598" s="434"/>
      <c r="AC598" s="434"/>
      <c r="AD598" s="434"/>
    </row>
    <row r="599">
      <c r="A599" s="434"/>
      <c r="B599" s="528"/>
      <c r="C599" s="528"/>
      <c r="D599" s="528"/>
      <c r="E599" s="528"/>
      <c r="F599" s="528"/>
      <c r="G599" s="528"/>
      <c r="H599" s="528"/>
      <c r="I599" s="528"/>
      <c r="J599" s="528"/>
      <c r="K599" s="528"/>
      <c r="L599" s="528"/>
      <c r="M599" s="528"/>
      <c r="N599" s="528"/>
      <c r="O599" s="528"/>
      <c r="P599" s="528"/>
      <c r="Q599" s="434"/>
      <c r="R599" s="434"/>
      <c r="S599" s="434"/>
      <c r="T599" s="434"/>
      <c r="U599" s="434"/>
      <c r="V599" s="434"/>
      <c r="W599" s="434"/>
      <c r="X599" s="434"/>
      <c r="Y599" s="434"/>
      <c r="Z599" s="434"/>
      <c r="AA599" s="434"/>
      <c r="AB599" s="434"/>
      <c r="AC599" s="434"/>
      <c r="AD599" s="434"/>
    </row>
    <row r="600">
      <c r="A600" s="434"/>
      <c r="B600" s="528"/>
      <c r="C600" s="528"/>
      <c r="D600" s="528"/>
      <c r="E600" s="528"/>
      <c r="F600" s="528"/>
      <c r="G600" s="528"/>
      <c r="H600" s="528"/>
      <c r="I600" s="528"/>
      <c r="J600" s="528"/>
      <c r="K600" s="528"/>
      <c r="L600" s="528"/>
      <c r="M600" s="528"/>
      <c r="N600" s="528"/>
      <c r="O600" s="528"/>
      <c r="P600" s="528"/>
      <c r="Q600" s="434"/>
      <c r="R600" s="434"/>
      <c r="S600" s="434"/>
      <c r="T600" s="434"/>
      <c r="U600" s="434"/>
      <c r="V600" s="434"/>
      <c r="W600" s="434"/>
      <c r="X600" s="434"/>
      <c r="Y600" s="434"/>
      <c r="Z600" s="434"/>
      <c r="AA600" s="434"/>
      <c r="AB600" s="434"/>
      <c r="AC600" s="434"/>
      <c r="AD600" s="434"/>
    </row>
    <row r="601">
      <c r="A601" s="434"/>
      <c r="B601" s="528"/>
      <c r="C601" s="528"/>
      <c r="D601" s="528"/>
      <c r="E601" s="528"/>
      <c r="F601" s="528"/>
      <c r="G601" s="528"/>
      <c r="H601" s="528"/>
      <c r="I601" s="528"/>
      <c r="J601" s="528"/>
      <c r="K601" s="528"/>
      <c r="L601" s="528"/>
      <c r="M601" s="528"/>
      <c r="N601" s="528"/>
      <c r="O601" s="528"/>
      <c r="P601" s="528"/>
      <c r="Q601" s="434"/>
      <c r="R601" s="434"/>
      <c r="S601" s="434"/>
      <c r="T601" s="434"/>
      <c r="U601" s="434"/>
      <c r="V601" s="434"/>
      <c r="W601" s="434"/>
      <c r="X601" s="434"/>
      <c r="Y601" s="434"/>
      <c r="Z601" s="434"/>
      <c r="AA601" s="434"/>
      <c r="AB601" s="434"/>
      <c r="AC601" s="434"/>
      <c r="AD601" s="434"/>
    </row>
    <row r="602">
      <c r="A602" s="434"/>
      <c r="B602" s="528"/>
      <c r="C602" s="528"/>
      <c r="D602" s="528"/>
      <c r="E602" s="528"/>
      <c r="F602" s="528"/>
      <c r="G602" s="528"/>
      <c r="H602" s="528"/>
      <c r="I602" s="528"/>
      <c r="J602" s="528"/>
      <c r="K602" s="528"/>
      <c r="L602" s="528"/>
      <c r="M602" s="528"/>
      <c r="N602" s="528"/>
      <c r="O602" s="528"/>
      <c r="P602" s="528"/>
      <c r="Q602" s="434"/>
      <c r="R602" s="434"/>
      <c r="S602" s="434"/>
      <c r="T602" s="434"/>
      <c r="U602" s="434"/>
      <c r="V602" s="434"/>
      <c r="W602" s="434"/>
      <c r="X602" s="434"/>
      <c r="Y602" s="434"/>
      <c r="Z602" s="434"/>
      <c r="AA602" s="434"/>
      <c r="AB602" s="434"/>
      <c r="AC602" s="434"/>
      <c r="AD602" s="434"/>
    </row>
    <row r="603">
      <c r="A603" s="434"/>
      <c r="B603" s="528"/>
      <c r="C603" s="528"/>
      <c r="D603" s="528"/>
      <c r="E603" s="528"/>
      <c r="F603" s="528"/>
      <c r="G603" s="528"/>
      <c r="H603" s="528"/>
      <c r="I603" s="528"/>
      <c r="J603" s="528"/>
      <c r="K603" s="528"/>
      <c r="L603" s="528"/>
      <c r="M603" s="528"/>
      <c r="N603" s="528"/>
      <c r="O603" s="528"/>
      <c r="P603" s="528"/>
      <c r="Q603" s="434"/>
      <c r="R603" s="434"/>
      <c r="S603" s="434"/>
      <c r="T603" s="434"/>
      <c r="U603" s="434"/>
      <c r="V603" s="434"/>
      <c r="W603" s="434"/>
      <c r="X603" s="434"/>
      <c r="Y603" s="434"/>
      <c r="Z603" s="434"/>
      <c r="AA603" s="434"/>
      <c r="AB603" s="434"/>
      <c r="AC603" s="434"/>
      <c r="AD603" s="434"/>
    </row>
    <row r="604">
      <c r="A604" s="434"/>
      <c r="B604" s="528"/>
      <c r="C604" s="528"/>
      <c r="D604" s="528"/>
      <c r="E604" s="528"/>
      <c r="F604" s="528"/>
      <c r="G604" s="528"/>
      <c r="H604" s="528"/>
      <c r="I604" s="528"/>
      <c r="J604" s="528"/>
      <c r="K604" s="528"/>
      <c r="L604" s="528"/>
      <c r="M604" s="528"/>
      <c r="N604" s="528"/>
      <c r="O604" s="528"/>
      <c r="P604" s="528"/>
      <c r="Q604" s="434"/>
      <c r="R604" s="434"/>
      <c r="S604" s="434"/>
      <c r="T604" s="434"/>
      <c r="U604" s="434"/>
      <c r="V604" s="434"/>
      <c r="W604" s="434"/>
      <c r="X604" s="434"/>
      <c r="Y604" s="434"/>
      <c r="Z604" s="434"/>
      <c r="AA604" s="434"/>
      <c r="AB604" s="434"/>
      <c r="AC604" s="434"/>
      <c r="AD604" s="434"/>
    </row>
    <row r="605">
      <c r="A605" s="434"/>
      <c r="B605" s="528"/>
      <c r="C605" s="528"/>
      <c r="D605" s="528"/>
      <c r="E605" s="528"/>
      <c r="F605" s="528"/>
      <c r="G605" s="528"/>
      <c r="H605" s="528"/>
      <c r="I605" s="528"/>
      <c r="J605" s="528"/>
      <c r="K605" s="528"/>
      <c r="L605" s="528"/>
      <c r="M605" s="528"/>
      <c r="N605" s="528"/>
      <c r="O605" s="528"/>
      <c r="P605" s="528"/>
      <c r="Q605" s="434"/>
      <c r="R605" s="434"/>
      <c r="S605" s="434"/>
      <c r="T605" s="434"/>
      <c r="U605" s="434"/>
      <c r="V605" s="434"/>
      <c r="W605" s="434"/>
      <c r="X605" s="434"/>
      <c r="Y605" s="434"/>
      <c r="Z605" s="434"/>
      <c r="AA605" s="434"/>
      <c r="AB605" s="434"/>
      <c r="AC605" s="434"/>
      <c r="AD605" s="434"/>
    </row>
    <row r="606">
      <c r="A606" s="434"/>
      <c r="B606" s="528"/>
      <c r="C606" s="528"/>
      <c r="D606" s="528"/>
      <c r="E606" s="528"/>
      <c r="F606" s="528"/>
      <c r="G606" s="528"/>
      <c r="H606" s="528"/>
      <c r="I606" s="528"/>
      <c r="J606" s="528"/>
      <c r="K606" s="528"/>
      <c r="L606" s="528"/>
      <c r="M606" s="528"/>
      <c r="N606" s="528"/>
      <c r="O606" s="528"/>
      <c r="P606" s="528"/>
      <c r="Q606" s="434"/>
      <c r="R606" s="434"/>
      <c r="S606" s="434"/>
      <c r="T606" s="434"/>
      <c r="U606" s="434"/>
      <c r="V606" s="434"/>
      <c r="W606" s="434"/>
      <c r="X606" s="434"/>
      <c r="Y606" s="434"/>
      <c r="Z606" s="434"/>
      <c r="AA606" s="434"/>
      <c r="AB606" s="434"/>
      <c r="AC606" s="434"/>
      <c r="AD606" s="434"/>
    </row>
    <row r="607">
      <c r="A607" s="434"/>
      <c r="B607" s="528"/>
      <c r="C607" s="528"/>
      <c r="D607" s="528"/>
      <c r="E607" s="528"/>
      <c r="F607" s="528"/>
      <c r="G607" s="528"/>
      <c r="H607" s="528"/>
      <c r="I607" s="528"/>
      <c r="J607" s="528"/>
      <c r="K607" s="528"/>
      <c r="L607" s="528"/>
      <c r="M607" s="528"/>
      <c r="N607" s="528"/>
      <c r="O607" s="528"/>
      <c r="P607" s="528"/>
      <c r="Q607" s="434"/>
      <c r="R607" s="434"/>
      <c r="S607" s="434"/>
      <c r="T607" s="434"/>
      <c r="U607" s="434"/>
      <c r="V607" s="434"/>
      <c r="W607" s="434"/>
      <c r="X607" s="434"/>
      <c r="Y607" s="434"/>
      <c r="Z607" s="434"/>
      <c r="AA607" s="434"/>
      <c r="AB607" s="434"/>
      <c r="AC607" s="434"/>
      <c r="AD607" s="434"/>
    </row>
    <row r="608">
      <c r="A608" s="434"/>
      <c r="B608" s="528"/>
      <c r="C608" s="528"/>
      <c r="D608" s="528"/>
      <c r="E608" s="528"/>
      <c r="F608" s="528"/>
      <c r="G608" s="528"/>
      <c r="H608" s="528"/>
      <c r="I608" s="528"/>
      <c r="J608" s="528"/>
      <c r="K608" s="528"/>
      <c r="L608" s="528"/>
      <c r="M608" s="528"/>
      <c r="N608" s="528"/>
      <c r="O608" s="528"/>
      <c r="P608" s="528"/>
      <c r="Q608" s="434"/>
      <c r="R608" s="434"/>
      <c r="S608" s="434"/>
      <c r="T608" s="434"/>
      <c r="U608" s="434"/>
      <c r="V608" s="434"/>
      <c r="W608" s="434"/>
      <c r="X608" s="434"/>
      <c r="Y608" s="434"/>
      <c r="Z608" s="434"/>
      <c r="AA608" s="434"/>
      <c r="AB608" s="434"/>
      <c r="AC608" s="434"/>
      <c r="AD608" s="434"/>
    </row>
    <row r="609">
      <c r="A609" s="434"/>
      <c r="B609" s="528"/>
      <c r="C609" s="528"/>
      <c r="D609" s="528"/>
      <c r="E609" s="528"/>
      <c r="F609" s="528"/>
      <c r="G609" s="528"/>
      <c r="H609" s="528"/>
      <c r="I609" s="528"/>
      <c r="J609" s="528"/>
      <c r="K609" s="528"/>
      <c r="L609" s="528"/>
      <c r="M609" s="528"/>
      <c r="N609" s="528"/>
      <c r="O609" s="528"/>
      <c r="P609" s="528"/>
      <c r="Q609" s="434"/>
      <c r="R609" s="434"/>
      <c r="S609" s="434"/>
      <c r="T609" s="434"/>
      <c r="U609" s="434"/>
      <c r="V609" s="434"/>
      <c r="W609" s="434"/>
      <c r="X609" s="434"/>
      <c r="Y609" s="434"/>
      <c r="Z609" s="434"/>
      <c r="AA609" s="434"/>
      <c r="AB609" s="434"/>
      <c r="AC609" s="434"/>
      <c r="AD609" s="434"/>
    </row>
    <row r="610">
      <c r="A610" s="434"/>
      <c r="B610" s="528"/>
      <c r="C610" s="528"/>
      <c r="D610" s="528"/>
      <c r="E610" s="528"/>
      <c r="F610" s="528"/>
      <c r="G610" s="528"/>
      <c r="H610" s="528"/>
      <c r="I610" s="528"/>
      <c r="J610" s="528"/>
      <c r="K610" s="528"/>
      <c r="L610" s="528"/>
      <c r="M610" s="528"/>
      <c r="N610" s="528"/>
      <c r="O610" s="528"/>
      <c r="P610" s="528"/>
      <c r="Q610" s="434"/>
      <c r="R610" s="434"/>
      <c r="S610" s="434"/>
      <c r="T610" s="434"/>
      <c r="U610" s="434"/>
      <c r="V610" s="434"/>
      <c r="W610" s="434"/>
      <c r="X610" s="434"/>
      <c r="Y610" s="434"/>
      <c r="Z610" s="434"/>
      <c r="AA610" s="434"/>
      <c r="AB610" s="434"/>
      <c r="AC610" s="434"/>
      <c r="AD610" s="434"/>
    </row>
    <row r="611">
      <c r="A611" s="434"/>
      <c r="B611" s="528"/>
      <c r="C611" s="528"/>
      <c r="D611" s="528"/>
      <c r="E611" s="528"/>
      <c r="F611" s="528"/>
      <c r="G611" s="528"/>
      <c r="H611" s="528"/>
      <c r="I611" s="528"/>
      <c r="J611" s="528"/>
      <c r="K611" s="528"/>
      <c r="L611" s="528"/>
      <c r="M611" s="528"/>
      <c r="N611" s="528"/>
      <c r="O611" s="528"/>
      <c r="P611" s="528"/>
      <c r="Q611" s="434"/>
      <c r="R611" s="434"/>
      <c r="S611" s="434"/>
      <c r="T611" s="434"/>
      <c r="U611" s="434"/>
      <c r="V611" s="434"/>
      <c r="W611" s="434"/>
      <c r="X611" s="434"/>
      <c r="Y611" s="434"/>
      <c r="Z611" s="434"/>
      <c r="AA611" s="434"/>
      <c r="AB611" s="434"/>
      <c r="AC611" s="434"/>
      <c r="AD611" s="434"/>
    </row>
    <row r="612">
      <c r="A612" s="434"/>
      <c r="B612" s="528"/>
      <c r="C612" s="528"/>
      <c r="D612" s="528"/>
      <c r="E612" s="528"/>
      <c r="F612" s="528"/>
      <c r="G612" s="528"/>
      <c r="H612" s="528"/>
      <c r="I612" s="528"/>
      <c r="J612" s="528"/>
      <c r="K612" s="528"/>
      <c r="L612" s="528"/>
      <c r="M612" s="528"/>
      <c r="N612" s="528"/>
      <c r="O612" s="528"/>
      <c r="P612" s="528"/>
      <c r="Q612" s="434"/>
      <c r="R612" s="434"/>
      <c r="S612" s="434"/>
      <c r="T612" s="434"/>
      <c r="U612" s="434"/>
      <c r="V612" s="434"/>
      <c r="W612" s="434"/>
      <c r="X612" s="434"/>
      <c r="Y612" s="434"/>
      <c r="Z612" s="434"/>
      <c r="AA612" s="434"/>
      <c r="AB612" s="434"/>
      <c r="AC612" s="434"/>
      <c r="AD612" s="434"/>
    </row>
    <row r="613">
      <c r="A613" s="434"/>
      <c r="B613" s="528"/>
      <c r="C613" s="528"/>
      <c r="D613" s="528"/>
      <c r="E613" s="528"/>
      <c r="F613" s="528"/>
      <c r="G613" s="528"/>
      <c r="H613" s="528"/>
      <c r="I613" s="528"/>
      <c r="J613" s="528"/>
      <c r="K613" s="528"/>
      <c r="L613" s="528"/>
      <c r="M613" s="528"/>
      <c r="N613" s="528"/>
      <c r="O613" s="528"/>
      <c r="P613" s="528"/>
      <c r="Q613" s="434"/>
      <c r="R613" s="434"/>
      <c r="S613" s="434"/>
      <c r="T613" s="434"/>
      <c r="U613" s="434"/>
      <c r="V613" s="434"/>
      <c r="W613" s="434"/>
      <c r="X613" s="434"/>
      <c r="Y613" s="434"/>
      <c r="Z613" s="434"/>
      <c r="AA613" s="434"/>
      <c r="AB613" s="434"/>
      <c r="AC613" s="434"/>
      <c r="AD613" s="434"/>
    </row>
    <row r="614">
      <c r="A614" s="434"/>
      <c r="B614" s="528"/>
      <c r="C614" s="528"/>
      <c r="D614" s="528"/>
      <c r="E614" s="528"/>
      <c r="F614" s="528"/>
      <c r="G614" s="528"/>
      <c r="H614" s="528"/>
      <c r="I614" s="528"/>
      <c r="J614" s="528"/>
      <c r="K614" s="528"/>
      <c r="L614" s="528"/>
      <c r="M614" s="528"/>
      <c r="N614" s="528"/>
      <c r="O614" s="528"/>
      <c r="P614" s="528"/>
      <c r="Q614" s="434"/>
      <c r="R614" s="434"/>
      <c r="S614" s="434"/>
      <c r="T614" s="434"/>
      <c r="U614" s="434"/>
      <c r="V614" s="434"/>
      <c r="W614" s="434"/>
      <c r="X614" s="434"/>
      <c r="Y614" s="434"/>
      <c r="Z614" s="434"/>
      <c r="AA614" s="434"/>
      <c r="AB614" s="434"/>
      <c r="AC614" s="434"/>
      <c r="AD614" s="434"/>
    </row>
    <row r="615">
      <c r="A615" s="434"/>
      <c r="B615" s="528"/>
      <c r="C615" s="528"/>
      <c r="D615" s="528"/>
      <c r="E615" s="528"/>
      <c r="F615" s="528"/>
      <c r="G615" s="528"/>
      <c r="H615" s="528"/>
      <c r="I615" s="528"/>
      <c r="J615" s="528"/>
      <c r="K615" s="528"/>
      <c r="L615" s="528"/>
      <c r="M615" s="528"/>
      <c r="N615" s="528"/>
      <c r="O615" s="528"/>
      <c r="P615" s="528"/>
      <c r="Q615" s="434"/>
      <c r="R615" s="434"/>
      <c r="S615" s="434"/>
      <c r="T615" s="434"/>
      <c r="U615" s="434"/>
      <c r="V615" s="434"/>
      <c r="W615" s="434"/>
      <c r="X615" s="434"/>
      <c r="Y615" s="434"/>
      <c r="Z615" s="434"/>
      <c r="AA615" s="434"/>
      <c r="AB615" s="434"/>
      <c r="AC615" s="434"/>
      <c r="AD615" s="434"/>
    </row>
    <row r="616">
      <c r="A616" s="434"/>
      <c r="B616" s="528"/>
      <c r="C616" s="528"/>
      <c r="D616" s="528"/>
      <c r="E616" s="528"/>
      <c r="F616" s="528"/>
      <c r="G616" s="528"/>
      <c r="H616" s="528"/>
      <c r="I616" s="528"/>
      <c r="J616" s="528"/>
      <c r="K616" s="528"/>
      <c r="L616" s="528"/>
      <c r="M616" s="528"/>
      <c r="N616" s="528"/>
      <c r="O616" s="528"/>
      <c r="P616" s="528"/>
      <c r="Q616" s="434"/>
      <c r="R616" s="434"/>
      <c r="S616" s="434"/>
      <c r="T616" s="434"/>
      <c r="U616" s="434"/>
      <c r="V616" s="434"/>
      <c r="W616" s="434"/>
      <c r="X616" s="434"/>
      <c r="Y616" s="434"/>
      <c r="Z616" s="434"/>
      <c r="AA616" s="434"/>
      <c r="AB616" s="434"/>
      <c r="AC616" s="434"/>
      <c r="AD616" s="434"/>
    </row>
    <row r="617">
      <c r="A617" s="434"/>
      <c r="B617" s="528"/>
      <c r="C617" s="528"/>
      <c r="D617" s="528"/>
      <c r="E617" s="528"/>
      <c r="F617" s="528"/>
      <c r="G617" s="528"/>
      <c r="H617" s="528"/>
      <c r="I617" s="528"/>
      <c r="J617" s="528"/>
      <c r="K617" s="528"/>
      <c r="L617" s="528"/>
      <c r="M617" s="528"/>
      <c r="N617" s="528"/>
      <c r="O617" s="528"/>
      <c r="P617" s="528"/>
      <c r="Q617" s="434"/>
      <c r="R617" s="434"/>
      <c r="S617" s="434"/>
      <c r="T617" s="434"/>
      <c r="U617" s="434"/>
      <c r="V617" s="434"/>
      <c r="W617" s="434"/>
      <c r="X617" s="434"/>
      <c r="Y617" s="434"/>
      <c r="Z617" s="434"/>
      <c r="AA617" s="434"/>
      <c r="AB617" s="434"/>
      <c r="AC617" s="434"/>
      <c r="AD617" s="434"/>
    </row>
    <row r="618">
      <c r="A618" s="434"/>
      <c r="B618" s="528"/>
      <c r="C618" s="528"/>
      <c r="D618" s="528"/>
      <c r="E618" s="528"/>
      <c r="F618" s="528"/>
      <c r="G618" s="528"/>
      <c r="H618" s="528"/>
      <c r="I618" s="528"/>
      <c r="J618" s="528"/>
      <c r="K618" s="528"/>
      <c r="L618" s="528"/>
      <c r="M618" s="528"/>
      <c r="N618" s="528"/>
      <c r="O618" s="528"/>
      <c r="P618" s="528"/>
      <c r="Q618" s="434"/>
      <c r="R618" s="434"/>
      <c r="S618" s="434"/>
      <c r="T618" s="434"/>
      <c r="U618" s="434"/>
      <c r="V618" s="434"/>
      <c r="W618" s="434"/>
      <c r="X618" s="434"/>
      <c r="Y618" s="434"/>
      <c r="Z618" s="434"/>
      <c r="AA618" s="434"/>
      <c r="AB618" s="434"/>
      <c r="AC618" s="434"/>
      <c r="AD618" s="434"/>
    </row>
    <row r="619">
      <c r="A619" s="434"/>
      <c r="B619" s="528"/>
      <c r="C619" s="528"/>
      <c r="D619" s="528"/>
      <c r="E619" s="528"/>
      <c r="F619" s="528"/>
      <c r="G619" s="528"/>
      <c r="H619" s="528"/>
      <c r="I619" s="528"/>
      <c r="J619" s="528"/>
      <c r="K619" s="528"/>
      <c r="L619" s="528"/>
      <c r="M619" s="528"/>
      <c r="N619" s="528"/>
      <c r="O619" s="528"/>
      <c r="P619" s="528"/>
      <c r="Q619" s="434"/>
      <c r="R619" s="434"/>
      <c r="S619" s="434"/>
      <c r="T619" s="434"/>
      <c r="U619" s="434"/>
      <c r="V619" s="434"/>
      <c r="W619" s="434"/>
      <c r="X619" s="434"/>
      <c r="Y619" s="434"/>
      <c r="Z619" s="434"/>
      <c r="AA619" s="434"/>
      <c r="AB619" s="434"/>
      <c r="AC619" s="434"/>
      <c r="AD619" s="434"/>
    </row>
    <row r="620">
      <c r="A620" s="434"/>
      <c r="B620" s="528"/>
      <c r="C620" s="528"/>
      <c r="D620" s="528"/>
      <c r="E620" s="528"/>
      <c r="F620" s="528"/>
      <c r="G620" s="528"/>
      <c r="H620" s="528"/>
      <c r="I620" s="528"/>
      <c r="J620" s="528"/>
      <c r="K620" s="528"/>
      <c r="L620" s="528"/>
      <c r="M620" s="528"/>
      <c r="N620" s="528"/>
      <c r="O620" s="528"/>
      <c r="P620" s="528"/>
      <c r="Q620" s="434"/>
      <c r="R620" s="434"/>
      <c r="S620" s="434"/>
      <c r="T620" s="434"/>
      <c r="U620" s="434"/>
      <c r="V620" s="434"/>
      <c r="W620" s="434"/>
      <c r="X620" s="434"/>
      <c r="Y620" s="434"/>
      <c r="Z620" s="434"/>
      <c r="AA620" s="434"/>
      <c r="AB620" s="434"/>
      <c r="AC620" s="434"/>
      <c r="AD620" s="434"/>
    </row>
    <row r="621">
      <c r="A621" s="434"/>
      <c r="B621" s="528"/>
      <c r="C621" s="528"/>
      <c r="D621" s="528"/>
      <c r="E621" s="528"/>
      <c r="F621" s="528"/>
      <c r="G621" s="528"/>
      <c r="H621" s="528"/>
      <c r="I621" s="528"/>
      <c r="J621" s="528"/>
      <c r="K621" s="528"/>
      <c r="L621" s="528"/>
      <c r="M621" s="528"/>
      <c r="N621" s="528"/>
      <c r="O621" s="528"/>
      <c r="P621" s="528"/>
      <c r="Q621" s="434"/>
      <c r="R621" s="434"/>
      <c r="S621" s="434"/>
      <c r="T621" s="434"/>
      <c r="U621" s="434"/>
      <c r="V621" s="434"/>
      <c r="W621" s="434"/>
      <c r="X621" s="434"/>
      <c r="Y621" s="434"/>
      <c r="Z621" s="434"/>
      <c r="AA621" s="434"/>
      <c r="AB621" s="434"/>
      <c r="AC621" s="434"/>
      <c r="AD621" s="434"/>
    </row>
    <row r="622">
      <c r="A622" s="434"/>
      <c r="B622" s="528"/>
      <c r="C622" s="528"/>
      <c r="D622" s="528"/>
      <c r="E622" s="528"/>
      <c r="F622" s="528"/>
      <c r="G622" s="528"/>
      <c r="H622" s="528"/>
      <c r="I622" s="528"/>
      <c r="J622" s="528"/>
      <c r="K622" s="528"/>
      <c r="L622" s="528"/>
      <c r="M622" s="528"/>
      <c r="N622" s="528"/>
      <c r="O622" s="528"/>
      <c r="P622" s="528"/>
      <c r="Q622" s="434"/>
      <c r="R622" s="434"/>
      <c r="S622" s="434"/>
      <c r="T622" s="434"/>
      <c r="U622" s="434"/>
      <c r="V622" s="434"/>
      <c r="W622" s="434"/>
      <c r="X622" s="434"/>
      <c r="Y622" s="434"/>
      <c r="Z622" s="434"/>
      <c r="AA622" s="434"/>
      <c r="AB622" s="434"/>
      <c r="AC622" s="434"/>
      <c r="AD622" s="434"/>
    </row>
    <row r="623">
      <c r="A623" s="434"/>
      <c r="B623" s="528"/>
      <c r="C623" s="528"/>
      <c r="D623" s="528"/>
      <c r="E623" s="528"/>
      <c r="F623" s="528"/>
      <c r="G623" s="528"/>
      <c r="H623" s="528"/>
      <c r="I623" s="528"/>
      <c r="J623" s="528"/>
      <c r="K623" s="528"/>
      <c r="L623" s="528"/>
      <c r="M623" s="528"/>
      <c r="N623" s="528"/>
      <c r="O623" s="528"/>
      <c r="P623" s="528"/>
      <c r="Q623" s="434"/>
      <c r="R623" s="434"/>
      <c r="S623" s="434"/>
      <c r="T623" s="434"/>
      <c r="U623" s="434"/>
      <c r="V623" s="434"/>
      <c r="W623" s="434"/>
      <c r="X623" s="434"/>
      <c r="Y623" s="434"/>
      <c r="Z623" s="434"/>
      <c r="AA623" s="434"/>
      <c r="AB623" s="434"/>
      <c r="AC623" s="434"/>
      <c r="AD623" s="434"/>
    </row>
    <row r="624">
      <c r="A624" s="434"/>
      <c r="B624" s="528"/>
      <c r="C624" s="528"/>
      <c r="D624" s="528"/>
      <c r="E624" s="528"/>
      <c r="F624" s="528"/>
      <c r="G624" s="528"/>
      <c r="H624" s="528"/>
      <c r="I624" s="528"/>
      <c r="J624" s="528"/>
      <c r="K624" s="528"/>
      <c r="L624" s="528"/>
      <c r="M624" s="528"/>
      <c r="N624" s="528"/>
      <c r="O624" s="528"/>
      <c r="P624" s="528"/>
      <c r="Q624" s="434"/>
      <c r="R624" s="434"/>
      <c r="S624" s="434"/>
      <c r="T624" s="434"/>
      <c r="U624" s="434"/>
      <c r="V624" s="434"/>
      <c r="W624" s="434"/>
      <c r="X624" s="434"/>
      <c r="Y624" s="434"/>
      <c r="Z624" s="434"/>
      <c r="AA624" s="434"/>
      <c r="AB624" s="434"/>
      <c r="AC624" s="434"/>
      <c r="AD624" s="434"/>
    </row>
    <row r="625">
      <c r="A625" s="434"/>
      <c r="B625" s="528"/>
      <c r="C625" s="528"/>
      <c r="D625" s="528"/>
      <c r="E625" s="528"/>
      <c r="F625" s="528"/>
      <c r="G625" s="528"/>
      <c r="H625" s="528"/>
      <c r="I625" s="528"/>
      <c r="J625" s="528"/>
      <c r="K625" s="528"/>
      <c r="L625" s="528"/>
      <c r="M625" s="528"/>
      <c r="N625" s="528"/>
      <c r="O625" s="528"/>
      <c r="P625" s="528"/>
      <c r="Q625" s="434"/>
      <c r="R625" s="434"/>
      <c r="S625" s="434"/>
      <c r="T625" s="434"/>
      <c r="U625" s="434"/>
      <c r="V625" s="434"/>
      <c r="W625" s="434"/>
      <c r="X625" s="434"/>
      <c r="Y625" s="434"/>
      <c r="Z625" s="434"/>
      <c r="AA625" s="434"/>
      <c r="AB625" s="434"/>
      <c r="AC625" s="434"/>
      <c r="AD625" s="434"/>
    </row>
    <row r="626">
      <c r="A626" s="434"/>
      <c r="B626" s="528"/>
      <c r="C626" s="528"/>
      <c r="D626" s="528"/>
      <c r="E626" s="528"/>
      <c r="F626" s="528"/>
      <c r="G626" s="528"/>
      <c r="H626" s="528"/>
      <c r="I626" s="528"/>
      <c r="J626" s="528"/>
      <c r="K626" s="528"/>
      <c r="L626" s="528"/>
      <c r="M626" s="528"/>
      <c r="N626" s="528"/>
      <c r="O626" s="528"/>
      <c r="P626" s="528"/>
      <c r="Q626" s="434"/>
      <c r="R626" s="434"/>
      <c r="S626" s="434"/>
      <c r="T626" s="434"/>
      <c r="U626" s="434"/>
      <c r="V626" s="434"/>
      <c r="W626" s="434"/>
      <c r="X626" s="434"/>
      <c r="Y626" s="434"/>
      <c r="Z626" s="434"/>
      <c r="AA626" s="434"/>
      <c r="AB626" s="434"/>
      <c r="AC626" s="434"/>
      <c r="AD626" s="434"/>
    </row>
    <row r="627">
      <c r="A627" s="434"/>
      <c r="B627" s="528"/>
      <c r="C627" s="528"/>
      <c r="D627" s="528"/>
      <c r="E627" s="528"/>
      <c r="F627" s="528"/>
      <c r="G627" s="528"/>
      <c r="H627" s="528"/>
      <c r="I627" s="528"/>
      <c r="J627" s="528"/>
      <c r="K627" s="528"/>
      <c r="L627" s="528"/>
      <c r="M627" s="528"/>
      <c r="N627" s="528"/>
      <c r="O627" s="528"/>
      <c r="P627" s="528"/>
      <c r="Q627" s="434"/>
      <c r="R627" s="434"/>
      <c r="S627" s="434"/>
      <c r="T627" s="434"/>
      <c r="U627" s="434"/>
      <c r="V627" s="434"/>
      <c r="W627" s="434"/>
      <c r="X627" s="434"/>
      <c r="Y627" s="434"/>
      <c r="Z627" s="434"/>
      <c r="AA627" s="434"/>
      <c r="AB627" s="434"/>
      <c r="AC627" s="434"/>
      <c r="AD627" s="434"/>
    </row>
    <row r="628">
      <c r="A628" s="434"/>
      <c r="B628" s="528"/>
      <c r="C628" s="528"/>
      <c r="D628" s="528"/>
      <c r="E628" s="528"/>
      <c r="F628" s="528"/>
      <c r="G628" s="528"/>
      <c r="H628" s="528"/>
      <c r="I628" s="528"/>
      <c r="J628" s="528"/>
      <c r="K628" s="528"/>
      <c r="L628" s="528"/>
      <c r="M628" s="528"/>
      <c r="N628" s="528"/>
      <c r="O628" s="528"/>
      <c r="P628" s="528"/>
      <c r="Q628" s="434"/>
      <c r="R628" s="434"/>
      <c r="S628" s="434"/>
      <c r="T628" s="434"/>
      <c r="U628" s="434"/>
      <c r="V628" s="434"/>
      <c r="W628" s="434"/>
      <c r="X628" s="434"/>
      <c r="Y628" s="434"/>
      <c r="Z628" s="434"/>
      <c r="AA628" s="434"/>
      <c r="AB628" s="434"/>
      <c r="AC628" s="434"/>
      <c r="AD628" s="434"/>
    </row>
    <row r="629">
      <c r="A629" s="434"/>
      <c r="B629" s="528"/>
      <c r="C629" s="528"/>
      <c r="D629" s="528"/>
      <c r="E629" s="528"/>
      <c r="F629" s="528"/>
      <c r="G629" s="528"/>
      <c r="H629" s="528"/>
      <c r="I629" s="528"/>
      <c r="J629" s="528"/>
      <c r="K629" s="528"/>
      <c r="L629" s="528"/>
      <c r="M629" s="528"/>
      <c r="N629" s="528"/>
      <c r="O629" s="528"/>
      <c r="P629" s="528"/>
      <c r="Q629" s="434"/>
      <c r="R629" s="434"/>
      <c r="S629" s="434"/>
      <c r="T629" s="434"/>
      <c r="U629" s="434"/>
      <c r="V629" s="434"/>
      <c r="W629" s="434"/>
      <c r="X629" s="434"/>
      <c r="Y629" s="434"/>
      <c r="Z629" s="434"/>
      <c r="AA629" s="434"/>
      <c r="AB629" s="434"/>
      <c r="AC629" s="434"/>
      <c r="AD629" s="434"/>
    </row>
    <row r="630">
      <c r="A630" s="434"/>
      <c r="B630" s="528"/>
      <c r="C630" s="528"/>
      <c r="D630" s="528"/>
      <c r="E630" s="528"/>
      <c r="F630" s="528"/>
      <c r="G630" s="528"/>
      <c r="H630" s="528"/>
      <c r="I630" s="528"/>
      <c r="J630" s="528"/>
      <c r="K630" s="528"/>
      <c r="L630" s="528"/>
      <c r="M630" s="528"/>
      <c r="N630" s="528"/>
      <c r="O630" s="528"/>
      <c r="P630" s="528"/>
      <c r="Q630" s="434"/>
      <c r="R630" s="434"/>
      <c r="S630" s="434"/>
      <c r="T630" s="434"/>
      <c r="U630" s="434"/>
      <c r="V630" s="434"/>
      <c r="W630" s="434"/>
      <c r="X630" s="434"/>
      <c r="Y630" s="434"/>
      <c r="Z630" s="434"/>
      <c r="AA630" s="434"/>
      <c r="AB630" s="434"/>
      <c r="AC630" s="434"/>
      <c r="AD630" s="434"/>
    </row>
    <row r="631">
      <c r="A631" s="434"/>
      <c r="B631" s="528"/>
      <c r="C631" s="528"/>
      <c r="D631" s="528"/>
      <c r="E631" s="528"/>
      <c r="F631" s="528"/>
      <c r="G631" s="528"/>
      <c r="H631" s="528"/>
      <c r="I631" s="528"/>
      <c r="J631" s="528"/>
      <c r="K631" s="528"/>
      <c r="L631" s="528"/>
      <c r="M631" s="528"/>
      <c r="N631" s="528"/>
      <c r="O631" s="528"/>
      <c r="P631" s="528"/>
      <c r="Q631" s="434"/>
      <c r="R631" s="434"/>
      <c r="S631" s="434"/>
      <c r="T631" s="434"/>
      <c r="U631" s="434"/>
      <c r="V631" s="434"/>
      <c r="W631" s="434"/>
      <c r="X631" s="434"/>
      <c r="Y631" s="434"/>
      <c r="Z631" s="434"/>
      <c r="AA631" s="434"/>
      <c r="AB631" s="434"/>
      <c r="AC631" s="434"/>
      <c r="AD631" s="434"/>
    </row>
    <row r="632">
      <c r="A632" s="434"/>
      <c r="B632" s="528"/>
      <c r="C632" s="528"/>
      <c r="D632" s="528"/>
      <c r="E632" s="528"/>
      <c r="F632" s="528"/>
      <c r="G632" s="528"/>
      <c r="H632" s="528"/>
      <c r="I632" s="528"/>
      <c r="J632" s="528"/>
      <c r="K632" s="528"/>
      <c r="L632" s="528"/>
      <c r="M632" s="528"/>
      <c r="N632" s="528"/>
      <c r="O632" s="528"/>
      <c r="P632" s="528"/>
      <c r="Q632" s="434"/>
      <c r="R632" s="434"/>
      <c r="S632" s="434"/>
      <c r="T632" s="434"/>
      <c r="U632" s="434"/>
      <c r="V632" s="434"/>
      <c r="W632" s="434"/>
      <c r="X632" s="434"/>
      <c r="Y632" s="434"/>
      <c r="Z632" s="434"/>
      <c r="AA632" s="434"/>
      <c r="AB632" s="434"/>
      <c r="AC632" s="434"/>
      <c r="AD632" s="434"/>
    </row>
    <row r="633">
      <c r="A633" s="434"/>
      <c r="B633" s="528"/>
      <c r="C633" s="528"/>
      <c r="D633" s="528"/>
      <c r="E633" s="528"/>
      <c r="F633" s="528"/>
      <c r="G633" s="528"/>
      <c r="H633" s="528"/>
      <c r="I633" s="528"/>
      <c r="J633" s="528"/>
      <c r="K633" s="528"/>
      <c r="L633" s="528"/>
      <c r="M633" s="528"/>
      <c r="N633" s="528"/>
      <c r="O633" s="528"/>
      <c r="P633" s="528"/>
      <c r="Q633" s="434"/>
      <c r="R633" s="434"/>
      <c r="S633" s="434"/>
      <c r="T633" s="434"/>
      <c r="U633" s="434"/>
      <c r="V633" s="434"/>
      <c r="W633" s="434"/>
      <c r="X633" s="434"/>
      <c r="Y633" s="434"/>
      <c r="Z633" s="434"/>
      <c r="AA633" s="434"/>
      <c r="AB633" s="434"/>
      <c r="AC633" s="434"/>
      <c r="AD633" s="434"/>
    </row>
    <row r="634">
      <c r="A634" s="434"/>
      <c r="B634" s="528"/>
      <c r="C634" s="528"/>
      <c r="D634" s="528"/>
      <c r="E634" s="528"/>
      <c r="F634" s="528"/>
      <c r="G634" s="528"/>
      <c r="H634" s="528"/>
      <c r="I634" s="528"/>
      <c r="J634" s="528"/>
      <c r="K634" s="528"/>
      <c r="L634" s="528"/>
      <c r="M634" s="528"/>
      <c r="N634" s="528"/>
      <c r="O634" s="528"/>
      <c r="P634" s="528"/>
      <c r="Q634" s="434"/>
      <c r="R634" s="434"/>
      <c r="S634" s="434"/>
      <c r="T634" s="434"/>
      <c r="U634" s="434"/>
      <c r="V634" s="434"/>
      <c r="W634" s="434"/>
      <c r="X634" s="434"/>
      <c r="Y634" s="434"/>
      <c r="Z634" s="434"/>
      <c r="AA634" s="434"/>
      <c r="AB634" s="434"/>
      <c r="AC634" s="434"/>
      <c r="AD634" s="434"/>
    </row>
    <row r="635">
      <c r="A635" s="434"/>
      <c r="B635" s="528"/>
      <c r="C635" s="528"/>
      <c r="D635" s="528"/>
      <c r="E635" s="528"/>
      <c r="F635" s="528"/>
      <c r="G635" s="528"/>
      <c r="H635" s="528"/>
      <c r="I635" s="528"/>
      <c r="J635" s="528"/>
      <c r="K635" s="528"/>
      <c r="L635" s="528"/>
      <c r="M635" s="528"/>
      <c r="N635" s="528"/>
      <c r="O635" s="528"/>
      <c r="P635" s="528"/>
      <c r="Q635" s="434"/>
      <c r="R635" s="434"/>
      <c r="S635" s="434"/>
      <c r="T635" s="434"/>
      <c r="U635" s="434"/>
      <c r="V635" s="434"/>
      <c r="W635" s="434"/>
      <c r="X635" s="434"/>
      <c r="Y635" s="434"/>
      <c r="Z635" s="434"/>
      <c r="AA635" s="434"/>
      <c r="AB635" s="434"/>
      <c r="AC635" s="434"/>
      <c r="AD635" s="434"/>
    </row>
    <row r="636">
      <c r="A636" s="434"/>
      <c r="B636" s="528"/>
      <c r="C636" s="528"/>
      <c r="D636" s="528"/>
      <c r="E636" s="528"/>
      <c r="F636" s="528"/>
      <c r="G636" s="528"/>
      <c r="H636" s="528"/>
      <c r="I636" s="528"/>
      <c r="J636" s="528"/>
      <c r="K636" s="528"/>
      <c r="L636" s="528"/>
      <c r="M636" s="528"/>
      <c r="N636" s="528"/>
      <c r="O636" s="528"/>
      <c r="P636" s="528"/>
      <c r="Q636" s="434"/>
      <c r="R636" s="434"/>
      <c r="S636" s="434"/>
      <c r="T636" s="434"/>
      <c r="U636" s="434"/>
      <c r="V636" s="434"/>
      <c r="W636" s="434"/>
      <c r="X636" s="434"/>
      <c r="Y636" s="434"/>
      <c r="Z636" s="434"/>
      <c r="AA636" s="434"/>
      <c r="AB636" s="434"/>
      <c r="AC636" s="434"/>
      <c r="AD636" s="434"/>
    </row>
    <row r="637">
      <c r="A637" s="434"/>
      <c r="B637" s="528"/>
      <c r="C637" s="528"/>
      <c r="D637" s="528"/>
      <c r="E637" s="528"/>
      <c r="F637" s="528"/>
      <c r="G637" s="528"/>
      <c r="H637" s="528"/>
      <c r="I637" s="528"/>
      <c r="J637" s="528"/>
      <c r="K637" s="528"/>
      <c r="L637" s="528"/>
      <c r="M637" s="528"/>
      <c r="N637" s="528"/>
      <c r="O637" s="528"/>
      <c r="P637" s="528"/>
      <c r="Q637" s="434"/>
      <c r="R637" s="434"/>
      <c r="S637" s="434"/>
      <c r="T637" s="434"/>
      <c r="U637" s="434"/>
      <c r="V637" s="434"/>
      <c r="W637" s="434"/>
      <c r="X637" s="434"/>
      <c r="Y637" s="434"/>
      <c r="Z637" s="434"/>
      <c r="AA637" s="434"/>
      <c r="AB637" s="434"/>
      <c r="AC637" s="434"/>
      <c r="AD637" s="434"/>
    </row>
    <row r="638">
      <c r="A638" s="434"/>
      <c r="B638" s="528"/>
      <c r="C638" s="528"/>
      <c r="D638" s="528"/>
      <c r="E638" s="528"/>
      <c r="F638" s="528"/>
      <c r="G638" s="528"/>
      <c r="H638" s="528"/>
      <c r="I638" s="528"/>
      <c r="J638" s="528"/>
      <c r="K638" s="528"/>
      <c r="L638" s="528"/>
      <c r="M638" s="528"/>
      <c r="N638" s="528"/>
      <c r="O638" s="528"/>
      <c r="P638" s="528"/>
      <c r="Q638" s="434"/>
      <c r="R638" s="434"/>
      <c r="S638" s="434"/>
      <c r="T638" s="434"/>
      <c r="U638" s="434"/>
      <c r="V638" s="434"/>
      <c r="W638" s="434"/>
      <c r="X638" s="434"/>
      <c r="Y638" s="434"/>
      <c r="Z638" s="434"/>
      <c r="AA638" s="434"/>
      <c r="AB638" s="434"/>
      <c r="AC638" s="434"/>
      <c r="AD638" s="434"/>
    </row>
    <row r="639">
      <c r="A639" s="434"/>
      <c r="B639" s="528"/>
      <c r="C639" s="528"/>
      <c r="D639" s="528"/>
      <c r="E639" s="528"/>
      <c r="F639" s="528"/>
      <c r="G639" s="528"/>
      <c r="H639" s="528"/>
      <c r="I639" s="528"/>
      <c r="J639" s="528"/>
      <c r="K639" s="528"/>
      <c r="L639" s="528"/>
      <c r="M639" s="528"/>
      <c r="N639" s="528"/>
      <c r="O639" s="528"/>
      <c r="P639" s="528"/>
      <c r="Q639" s="434"/>
      <c r="R639" s="434"/>
      <c r="S639" s="434"/>
      <c r="T639" s="434"/>
      <c r="U639" s="434"/>
      <c r="V639" s="434"/>
      <c r="W639" s="434"/>
      <c r="X639" s="434"/>
      <c r="Y639" s="434"/>
      <c r="Z639" s="434"/>
      <c r="AA639" s="434"/>
      <c r="AB639" s="434"/>
      <c r="AC639" s="434"/>
      <c r="AD639" s="434"/>
    </row>
    <row r="640">
      <c r="A640" s="434"/>
      <c r="B640" s="528"/>
      <c r="C640" s="528"/>
      <c r="D640" s="528"/>
      <c r="E640" s="528"/>
      <c r="F640" s="528"/>
      <c r="G640" s="528"/>
      <c r="H640" s="528"/>
      <c r="I640" s="528"/>
      <c r="J640" s="528"/>
      <c r="K640" s="528"/>
      <c r="L640" s="528"/>
      <c r="M640" s="528"/>
      <c r="N640" s="528"/>
      <c r="O640" s="528"/>
      <c r="P640" s="528"/>
      <c r="Q640" s="434"/>
      <c r="R640" s="434"/>
      <c r="S640" s="434"/>
      <c r="T640" s="434"/>
      <c r="U640" s="434"/>
      <c r="V640" s="434"/>
      <c r="W640" s="434"/>
      <c r="X640" s="434"/>
      <c r="Y640" s="434"/>
      <c r="Z640" s="434"/>
      <c r="AA640" s="434"/>
      <c r="AB640" s="434"/>
      <c r="AC640" s="434"/>
      <c r="AD640" s="434"/>
    </row>
    <row r="641">
      <c r="A641" s="434"/>
      <c r="B641" s="528"/>
      <c r="C641" s="528"/>
      <c r="D641" s="528"/>
      <c r="E641" s="528"/>
      <c r="F641" s="528"/>
      <c r="G641" s="528"/>
      <c r="H641" s="528"/>
      <c r="I641" s="528"/>
      <c r="J641" s="528"/>
      <c r="K641" s="528"/>
      <c r="L641" s="528"/>
      <c r="M641" s="528"/>
      <c r="N641" s="528"/>
      <c r="O641" s="528"/>
      <c r="P641" s="528"/>
      <c r="Q641" s="434"/>
      <c r="R641" s="434"/>
      <c r="S641" s="434"/>
      <c r="T641" s="434"/>
      <c r="U641" s="434"/>
      <c r="V641" s="434"/>
      <c r="W641" s="434"/>
      <c r="X641" s="434"/>
      <c r="Y641" s="434"/>
      <c r="Z641" s="434"/>
      <c r="AA641" s="434"/>
      <c r="AB641" s="434"/>
      <c r="AC641" s="434"/>
      <c r="AD641" s="434"/>
    </row>
    <row r="642">
      <c r="A642" s="434"/>
      <c r="B642" s="528"/>
      <c r="C642" s="528"/>
      <c r="D642" s="528"/>
      <c r="E642" s="528"/>
      <c r="F642" s="528"/>
      <c r="G642" s="528"/>
      <c r="H642" s="528"/>
      <c r="I642" s="528"/>
      <c r="J642" s="528"/>
      <c r="K642" s="528"/>
      <c r="L642" s="528"/>
      <c r="M642" s="528"/>
      <c r="N642" s="528"/>
      <c r="O642" s="528"/>
      <c r="P642" s="528"/>
      <c r="Q642" s="434"/>
      <c r="R642" s="434"/>
      <c r="S642" s="434"/>
      <c r="T642" s="434"/>
      <c r="U642" s="434"/>
      <c r="V642" s="434"/>
      <c r="W642" s="434"/>
      <c r="X642" s="434"/>
      <c r="Y642" s="434"/>
      <c r="Z642" s="434"/>
      <c r="AA642" s="434"/>
      <c r="AB642" s="434"/>
      <c r="AC642" s="434"/>
      <c r="AD642" s="434"/>
    </row>
    <row r="643">
      <c r="A643" s="434"/>
      <c r="B643" s="528"/>
      <c r="C643" s="528"/>
      <c r="D643" s="528"/>
      <c r="E643" s="528"/>
      <c r="F643" s="528"/>
      <c r="G643" s="528"/>
      <c r="H643" s="528"/>
      <c r="I643" s="528"/>
      <c r="J643" s="528"/>
      <c r="K643" s="528"/>
      <c r="L643" s="528"/>
      <c r="M643" s="528"/>
      <c r="N643" s="528"/>
      <c r="O643" s="528"/>
      <c r="P643" s="528"/>
      <c r="Q643" s="434"/>
      <c r="R643" s="434"/>
      <c r="S643" s="434"/>
      <c r="T643" s="434"/>
      <c r="U643" s="434"/>
      <c r="V643" s="434"/>
      <c r="W643" s="434"/>
      <c r="X643" s="434"/>
      <c r="Y643" s="434"/>
      <c r="Z643" s="434"/>
      <c r="AA643" s="434"/>
      <c r="AB643" s="434"/>
      <c r="AC643" s="434"/>
      <c r="AD643" s="434"/>
    </row>
    <row r="644">
      <c r="A644" s="434"/>
      <c r="B644" s="528"/>
      <c r="C644" s="528"/>
      <c r="D644" s="528"/>
      <c r="E644" s="528"/>
      <c r="F644" s="528"/>
      <c r="G644" s="528"/>
      <c r="H644" s="528"/>
      <c r="I644" s="528"/>
      <c r="J644" s="528"/>
      <c r="K644" s="528"/>
      <c r="L644" s="528"/>
      <c r="M644" s="528"/>
      <c r="N644" s="528"/>
      <c r="O644" s="528"/>
      <c r="P644" s="528"/>
      <c r="Q644" s="434"/>
      <c r="R644" s="434"/>
      <c r="S644" s="434"/>
      <c r="T644" s="434"/>
      <c r="U644" s="434"/>
      <c r="V644" s="434"/>
      <c r="W644" s="434"/>
      <c r="X644" s="434"/>
      <c r="Y644" s="434"/>
      <c r="Z644" s="434"/>
      <c r="AA644" s="434"/>
      <c r="AB644" s="434"/>
      <c r="AC644" s="434"/>
      <c r="AD644" s="434"/>
    </row>
    <row r="645">
      <c r="A645" s="434"/>
      <c r="B645" s="528"/>
      <c r="C645" s="528"/>
      <c r="D645" s="528"/>
      <c r="E645" s="528"/>
      <c r="F645" s="528"/>
      <c r="G645" s="528"/>
      <c r="H645" s="528"/>
      <c r="I645" s="528"/>
      <c r="J645" s="528"/>
      <c r="K645" s="528"/>
      <c r="L645" s="528"/>
      <c r="M645" s="528"/>
      <c r="N645" s="528"/>
      <c r="O645" s="528"/>
      <c r="P645" s="528"/>
      <c r="Q645" s="434"/>
      <c r="R645" s="434"/>
      <c r="S645" s="434"/>
      <c r="T645" s="434"/>
      <c r="U645" s="434"/>
      <c r="V645" s="434"/>
      <c r="W645" s="434"/>
      <c r="X645" s="434"/>
      <c r="Y645" s="434"/>
      <c r="Z645" s="434"/>
      <c r="AA645" s="434"/>
      <c r="AB645" s="434"/>
      <c r="AC645" s="434"/>
      <c r="AD645" s="434"/>
    </row>
    <row r="646">
      <c r="A646" s="434"/>
      <c r="B646" s="528"/>
      <c r="C646" s="528"/>
      <c r="D646" s="528"/>
      <c r="E646" s="528"/>
      <c r="F646" s="528"/>
      <c r="G646" s="528"/>
      <c r="H646" s="528"/>
      <c r="I646" s="528"/>
      <c r="J646" s="528"/>
      <c r="K646" s="528"/>
      <c r="L646" s="528"/>
      <c r="M646" s="528"/>
      <c r="N646" s="528"/>
      <c r="O646" s="528"/>
      <c r="P646" s="528"/>
      <c r="Q646" s="434"/>
      <c r="R646" s="434"/>
      <c r="S646" s="434"/>
      <c r="T646" s="434"/>
      <c r="U646" s="434"/>
      <c r="V646" s="434"/>
      <c r="W646" s="434"/>
      <c r="X646" s="434"/>
      <c r="Y646" s="434"/>
      <c r="Z646" s="434"/>
      <c r="AA646" s="434"/>
      <c r="AB646" s="434"/>
      <c r="AC646" s="434"/>
      <c r="AD646" s="434"/>
    </row>
    <row r="647">
      <c r="A647" s="434"/>
      <c r="B647" s="528"/>
      <c r="C647" s="528"/>
      <c r="D647" s="528"/>
      <c r="E647" s="528"/>
      <c r="F647" s="528"/>
      <c r="G647" s="528"/>
      <c r="H647" s="528"/>
      <c r="I647" s="528"/>
      <c r="J647" s="528"/>
      <c r="K647" s="528"/>
      <c r="L647" s="528"/>
      <c r="M647" s="528"/>
      <c r="N647" s="528"/>
      <c r="O647" s="528"/>
      <c r="P647" s="528"/>
      <c r="Q647" s="434"/>
      <c r="R647" s="434"/>
      <c r="S647" s="434"/>
      <c r="T647" s="434"/>
      <c r="U647" s="434"/>
      <c r="V647" s="434"/>
      <c r="W647" s="434"/>
      <c r="X647" s="434"/>
      <c r="Y647" s="434"/>
      <c r="Z647" s="434"/>
      <c r="AA647" s="434"/>
      <c r="AB647" s="434"/>
      <c r="AC647" s="434"/>
      <c r="AD647" s="434"/>
    </row>
    <row r="648">
      <c r="A648" s="434"/>
      <c r="B648" s="528"/>
      <c r="C648" s="528"/>
      <c r="D648" s="528"/>
      <c r="E648" s="528"/>
      <c r="F648" s="528"/>
      <c r="G648" s="528"/>
      <c r="H648" s="528"/>
      <c r="I648" s="528"/>
      <c r="J648" s="528"/>
      <c r="K648" s="528"/>
      <c r="L648" s="528"/>
      <c r="M648" s="528"/>
      <c r="N648" s="528"/>
      <c r="O648" s="528"/>
      <c r="P648" s="528"/>
      <c r="Q648" s="434"/>
      <c r="R648" s="434"/>
      <c r="S648" s="434"/>
      <c r="T648" s="434"/>
      <c r="U648" s="434"/>
      <c r="V648" s="434"/>
      <c r="W648" s="434"/>
      <c r="X648" s="434"/>
      <c r="Y648" s="434"/>
      <c r="Z648" s="434"/>
      <c r="AA648" s="434"/>
      <c r="AB648" s="434"/>
      <c r="AC648" s="434"/>
      <c r="AD648" s="434"/>
    </row>
    <row r="649">
      <c r="A649" s="434"/>
      <c r="B649" s="528"/>
      <c r="C649" s="528"/>
      <c r="D649" s="528"/>
      <c r="E649" s="528"/>
      <c r="F649" s="528"/>
      <c r="G649" s="528"/>
      <c r="H649" s="528"/>
      <c r="I649" s="528"/>
      <c r="J649" s="528"/>
      <c r="K649" s="528"/>
      <c r="L649" s="528"/>
      <c r="M649" s="528"/>
      <c r="N649" s="528"/>
      <c r="O649" s="528"/>
      <c r="P649" s="528"/>
      <c r="Q649" s="434"/>
      <c r="R649" s="434"/>
      <c r="S649" s="434"/>
      <c r="T649" s="434"/>
      <c r="U649" s="434"/>
      <c r="V649" s="434"/>
      <c r="W649" s="434"/>
      <c r="X649" s="434"/>
      <c r="Y649" s="434"/>
      <c r="Z649" s="434"/>
      <c r="AA649" s="434"/>
      <c r="AB649" s="434"/>
      <c r="AC649" s="434"/>
      <c r="AD649" s="434"/>
    </row>
    <row r="650">
      <c r="A650" s="434"/>
      <c r="B650" s="528"/>
      <c r="C650" s="528"/>
      <c r="D650" s="528"/>
      <c r="E650" s="528"/>
      <c r="F650" s="528"/>
      <c r="G650" s="528"/>
      <c r="H650" s="528"/>
      <c r="I650" s="528"/>
      <c r="J650" s="528"/>
      <c r="K650" s="528"/>
      <c r="L650" s="528"/>
      <c r="M650" s="528"/>
      <c r="N650" s="528"/>
      <c r="O650" s="528"/>
      <c r="P650" s="528"/>
      <c r="Q650" s="434"/>
      <c r="R650" s="434"/>
      <c r="S650" s="434"/>
      <c r="T650" s="434"/>
      <c r="U650" s="434"/>
      <c r="V650" s="434"/>
      <c r="W650" s="434"/>
      <c r="X650" s="434"/>
      <c r="Y650" s="434"/>
      <c r="Z650" s="434"/>
      <c r="AA650" s="434"/>
      <c r="AB650" s="434"/>
      <c r="AC650" s="434"/>
      <c r="AD650" s="434"/>
    </row>
    <row r="651">
      <c r="A651" s="434"/>
      <c r="B651" s="528"/>
      <c r="C651" s="528"/>
      <c r="D651" s="528"/>
      <c r="E651" s="528"/>
      <c r="F651" s="528"/>
      <c r="G651" s="528"/>
      <c r="H651" s="528"/>
      <c r="I651" s="528"/>
      <c r="J651" s="528"/>
      <c r="K651" s="528"/>
      <c r="L651" s="528"/>
      <c r="M651" s="528"/>
      <c r="N651" s="528"/>
      <c r="O651" s="528"/>
      <c r="P651" s="528"/>
      <c r="Q651" s="434"/>
      <c r="R651" s="434"/>
      <c r="S651" s="434"/>
      <c r="T651" s="434"/>
      <c r="U651" s="434"/>
      <c r="V651" s="434"/>
      <c r="W651" s="434"/>
      <c r="X651" s="434"/>
      <c r="Y651" s="434"/>
      <c r="Z651" s="434"/>
      <c r="AA651" s="434"/>
      <c r="AB651" s="434"/>
      <c r="AC651" s="434"/>
      <c r="AD651" s="434"/>
    </row>
    <row r="652">
      <c r="A652" s="434"/>
      <c r="B652" s="528"/>
      <c r="C652" s="528"/>
      <c r="D652" s="528"/>
      <c r="E652" s="528"/>
      <c r="F652" s="528"/>
      <c r="G652" s="528"/>
      <c r="H652" s="528"/>
      <c r="I652" s="528"/>
      <c r="J652" s="528"/>
      <c r="K652" s="528"/>
      <c r="L652" s="528"/>
      <c r="M652" s="528"/>
      <c r="N652" s="528"/>
      <c r="O652" s="528"/>
      <c r="P652" s="528"/>
      <c r="Q652" s="434"/>
      <c r="R652" s="434"/>
      <c r="S652" s="434"/>
      <c r="T652" s="434"/>
      <c r="U652" s="434"/>
      <c r="V652" s="434"/>
      <c r="W652" s="434"/>
      <c r="X652" s="434"/>
      <c r="Y652" s="434"/>
      <c r="Z652" s="434"/>
      <c r="AA652" s="434"/>
      <c r="AB652" s="434"/>
      <c r="AC652" s="434"/>
      <c r="AD652" s="434"/>
    </row>
    <row r="653">
      <c r="A653" s="434"/>
      <c r="B653" s="528"/>
      <c r="C653" s="528"/>
      <c r="D653" s="528"/>
      <c r="E653" s="528"/>
      <c r="F653" s="528"/>
      <c r="G653" s="528"/>
      <c r="H653" s="528"/>
      <c r="I653" s="528"/>
      <c r="J653" s="528"/>
      <c r="K653" s="528"/>
      <c r="L653" s="528"/>
      <c r="M653" s="528"/>
      <c r="N653" s="528"/>
      <c r="O653" s="528"/>
      <c r="P653" s="528"/>
      <c r="Q653" s="434"/>
      <c r="R653" s="434"/>
      <c r="S653" s="434"/>
      <c r="T653" s="434"/>
      <c r="U653" s="434"/>
      <c r="V653" s="434"/>
      <c r="W653" s="434"/>
      <c r="X653" s="434"/>
      <c r="Y653" s="434"/>
      <c r="Z653" s="434"/>
      <c r="AA653" s="434"/>
      <c r="AB653" s="434"/>
      <c r="AC653" s="434"/>
      <c r="AD653" s="434"/>
    </row>
    <row r="654">
      <c r="A654" s="434"/>
      <c r="B654" s="528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434"/>
      <c r="R654" s="434"/>
      <c r="S654" s="434"/>
      <c r="T654" s="434"/>
      <c r="U654" s="434"/>
      <c r="V654" s="434"/>
      <c r="W654" s="434"/>
      <c r="X654" s="434"/>
      <c r="Y654" s="434"/>
      <c r="Z654" s="434"/>
      <c r="AA654" s="434"/>
      <c r="AB654" s="434"/>
      <c r="AC654" s="434"/>
      <c r="AD654" s="434"/>
    </row>
    <row r="655">
      <c r="A655" s="434"/>
      <c r="B655" s="528"/>
      <c r="C655" s="528"/>
      <c r="D655" s="528"/>
      <c r="E655" s="528"/>
      <c r="F655" s="528"/>
      <c r="G655" s="528"/>
      <c r="H655" s="528"/>
      <c r="I655" s="528"/>
      <c r="J655" s="528"/>
      <c r="K655" s="528"/>
      <c r="L655" s="528"/>
      <c r="M655" s="528"/>
      <c r="N655" s="528"/>
      <c r="O655" s="528"/>
      <c r="P655" s="528"/>
      <c r="Q655" s="434"/>
      <c r="R655" s="434"/>
      <c r="S655" s="434"/>
      <c r="T655" s="434"/>
      <c r="U655" s="434"/>
      <c r="V655" s="434"/>
      <c r="W655" s="434"/>
      <c r="X655" s="434"/>
      <c r="Y655" s="434"/>
      <c r="Z655" s="434"/>
      <c r="AA655" s="434"/>
      <c r="AB655" s="434"/>
      <c r="AC655" s="434"/>
      <c r="AD655" s="434"/>
    </row>
    <row r="656">
      <c r="A656" s="434"/>
      <c r="B656" s="528"/>
      <c r="C656" s="528"/>
      <c r="D656" s="528"/>
      <c r="E656" s="528"/>
      <c r="F656" s="528"/>
      <c r="G656" s="528"/>
      <c r="H656" s="528"/>
      <c r="I656" s="528"/>
      <c r="J656" s="528"/>
      <c r="K656" s="528"/>
      <c r="L656" s="528"/>
      <c r="M656" s="528"/>
      <c r="N656" s="528"/>
      <c r="O656" s="528"/>
      <c r="P656" s="528"/>
      <c r="Q656" s="434"/>
      <c r="R656" s="434"/>
      <c r="S656" s="434"/>
      <c r="T656" s="434"/>
      <c r="U656" s="434"/>
      <c r="V656" s="434"/>
      <c r="W656" s="434"/>
      <c r="X656" s="434"/>
      <c r="Y656" s="434"/>
      <c r="Z656" s="434"/>
      <c r="AA656" s="434"/>
      <c r="AB656" s="434"/>
      <c r="AC656" s="434"/>
      <c r="AD656" s="434"/>
    </row>
    <row r="657">
      <c r="A657" s="434"/>
      <c r="B657" s="528"/>
      <c r="C657" s="528"/>
      <c r="D657" s="528"/>
      <c r="E657" s="528"/>
      <c r="F657" s="528"/>
      <c r="G657" s="528"/>
      <c r="H657" s="528"/>
      <c r="I657" s="528"/>
      <c r="J657" s="528"/>
      <c r="K657" s="528"/>
      <c r="L657" s="528"/>
      <c r="M657" s="528"/>
      <c r="N657" s="528"/>
      <c r="O657" s="528"/>
      <c r="P657" s="528"/>
      <c r="Q657" s="434"/>
      <c r="R657" s="434"/>
      <c r="S657" s="434"/>
      <c r="T657" s="434"/>
      <c r="U657" s="434"/>
      <c r="V657" s="434"/>
      <c r="W657" s="434"/>
      <c r="X657" s="434"/>
      <c r="Y657" s="434"/>
      <c r="Z657" s="434"/>
      <c r="AA657" s="434"/>
      <c r="AB657" s="434"/>
      <c r="AC657" s="434"/>
      <c r="AD657" s="434"/>
    </row>
    <row r="658">
      <c r="A658" s="434"/>
      <c r="B658" s="528"/>
      <c r="C658" s="528"/>
      <c r="D658" s="528"/>
      <c r="E658" s="528"/>
      <c r="F658" s="528"/>
      <c r="G658" s="528"/>
      <c r="H658" s="528"/>
      <c r="I658" s="528"/>
      <c r="J658" s="528"/>
      <c r="K658" s="528"/>
      <c r="L658" s="528"/>
      <c r="M658" s="528"/>
      <c r="N658" s="528"/>
      <c r="O658" s="528"/>
      <c r="P658" s="528"/>
      <c r="Q658" s="434"/>
      <c r="R658" s="434"/>
      <c r="S658" s="434"/>
      <c r="T658" s="434"/>
      <c r="U658" s="434"/>
      <c r="V658" s="434"/>
      <c r="W658" s="434"/>
      <c r="X658" s="434"/>
      <c r="Y658" s="434"/>
      <c r="Z658" s="434"/>
      <c r="AA658" s="434"/>
      <c r="AB658" s="434"/>
      <c r="AC658" s="434"/>
      <c r="AD658" s="434"/>
    </row>
    <row r="659">
      <c r="A659" s="434"/>
      <c r="B659" s="528"/>
      <c r="C659" s="528"/>
      <c r="D659" s="528"/>
      <c r="E659" s="528"/>
      <c r="F659" s="528"/>
      <c r="G659" s="528"/>
      <c r="H659" s="528"/>
      <c r="I659" s="528"/>
      <c r="J659" s="528"/>
      <c r="K659" s="528"/>
      <c r="L659" s="528"/>
      <c r="M659" s="528"/>
      <c r="N659" s="528"/>
      <c r="O659" s="528"/>
      <c r="P659" s="528"/>
      <c r="Q659" s="434"/>
      <c r="R659" s="434"/>
      <c r="S659" s="434"/>
      <c r="T659" s="434"/>
      <c r="U659" s="434"/>
      <c r="V659" s="434"/>
      <c r="W659" s="434"/>
      <c r="X659" s="434"/>
      <c r="Y659" s="434"/>
      <c r="Z659" s="434"/>
      <c r="AA659" s="434"/>
      <c r="AB659" s="434"/>
      <c r="AC659" s="434"/>
      <c r="AD659" s="434"/>
    </row>
    <row r="660">
      <c r="A660" s="434"/>
      <c r="B660" s="528"/>
      <c r="C660" s="528"/>
      <c r="D660" s="528"/>
      <c r="E660" s="528"/>
      <c r="F660" s="528"/>
      <c r="G660" s="528"/>
      <c r="H660" s="528"/>
      <c r="I660" s="528"/>
      <c r="J660" s="528"/>
      <c r="K660" s="528"/>
      <c r="L660" s="528"/>
      <c r="M660" s="528"/>
      <c r="N660" s="528"/>
      <c r="O660" s="528"/>
      <c r="P660" s="528"/>
      <c r="Q660" s="434"/>
      <c r="R660" s="434"/>
      <c r="S660" s="434"/>
      <c r="T660" s="434"/>
      <c r="U660" s="434"/>
      <c r="V660" s="434"/>
      <c r="W660" s="434"/>
      <c r="X660" s="434"/>
      <c r="Y660" s="434"/>
      <c r="Z660" s="434"/>
      <c r="AA660" s="434"/>
      <c r="AB660" s="434"/>
      <c r="AC660" s="434"/>
      <c r="AD660" s="434"/>
    </row>
    <row r="661">
      <c r="A661" s="434"/>
      <c r="B661" s="528"/>
      <c r="C661" s="528"/>
      <c r="D661" s="528"/>
      <c r="E661" s="528"/>
      <c r="F661" s="528"/>
      <c r="G661" s="528"/>
      <c r="H661" s="528"/>
      <c r="I661" s="528"/>
      <c r="J661" s="528"/>
      <c r="K661" s="528"/>
      <c r="L661" s="528"/>
      <c r="M661" s="528"/>
      <c r="N661" s="528"/>
      <c r="O661" s="528"/>
      <c r="P661" s="528"/>
      <c r="Q661" s="434"/>
      <c r="R661" s="434"/>
      <c r="S661" s="434"/>
      <c r="T661" s="434"/>
      <c r="U661" s="434"/>
      <c r="V661" s="434"/>
      <c r="W661" s="434"/>
      <c r="X661" s="434"/>
      <c r="Y661" s="434"/>
      <c r="Z661" s="434"/>
      <c r="AA661" s="434"/>
      <c r="AB661" s="434"/>
      <c r="AC661" s="434"/>
      <c r="AD661" s="434"/>
    </row>
    <row r="662">
      <c r="A662" s="434"/>
      <c r="B662" s="528"/>
      <c r="C662" s="528"/>
      <c r="D662" s="528"/>
      <c r="E662" s="528"/>
      <c r="F662" s="528"/>
      <c r="G662" s="528"/>
      <c r="H662" s="528"/>
      <c r="I662" s="528"/>
      <c r="J662" s="528"/>
      <c r="K662" s="528"/>
      <c r="L662" s="528"/>
      <c r="M662" s="528"/>
      <c r="N662" s="528"/>
      <c r="O662" s="528"/>
      <c r="P662" s="528"/>
      <c r="Q662" s="434"/>
      <c r="R662" s="434"/>
      <c r="S662" s="434"/>
      <c r="T662" s="434"/>
      <c r="U662" s="434"/>
      <c r="V662" s="434"/>
      <c r="W662" s="434"/>
      <c r="X662" s="434"/>
      <c r="Y662" s="434"/>
      <c r="Z662" s="434"/>
      <c r="AA662" s="434"/>
      <c r="AB662" s="434"/>
      <c r="AC662" s="434"/>
      <c r="AD662" s="434"/>
    </row>
    <row r="663">
      <c r="A663" s="434"/>
      <c r="B663" s="528"/>
      <c r="C663" s="528"/>
      <c r="D663" s="528"/>
      <c r="E663" s="528"/>
      <c r="F663" s="528"/>
      <c r="G663" s="528"/>
      <c r="H663" s="528"/>
      <c r="I663" s="528"/>
      <c r="J663" s="528"/>
      <c r="K663" s="528"/>
      <c r="L663" s="528"/>
      <c r="M663" s="528"/>
      <c r="N663" s="528"/>
      <c r="O663" s="528"/>
      <c r="P663" s="528"/>
      <c r="Q663" s="434"/>
      <c r="R663" s="434"/>
      <c r="S663" s="434"/>
      <c r="T663" s="434"/>
      <c r="U663" s="434"/>
      <c r="V663" s="434"/>
      <c r="W663" s="434"/>
      <c r="X663" s="434"/>
      <c r="Y663" s="434"/>
      <c r="Z663" s="434"/>
      <c r="AA663" s="434"/>
      <c r="AB663" s="434"/>
      <c r="AC663" s="434"/>
      <c r="AD663" s="434"/>
    </row>
    <row r="664">
      <c r="A664" s="434"/>
      <c r="B664" s="528"/>
      <c r="C664" s="528"/>
      <c r="D664" s="528"/>
      <c r="E664" s="528"/>
      <c r="F664" s="528"/>
      <c r="G664" s="528"/>
      <c r="H664" s="528"/>
      <c r="I664" s="528"/>
      <c r="J664" s="528"/>
      <c r="K664" s="528"/>
      <c r="L664" s="528"/>
      <c r="M664" s="528"/>
      <c r="N664" s="528"/>
      <c r="O664" s="528"/>
      <c r="P664" s="528"/>
      <c r="Q664" s="434"/>
      <c r="R664" s="434"/>
      <c r="S664" s="434"/>
      <c r="T664" s="434"/>
      <c r="U664" s="434"/>
      <c r="V664" s="434"/>
      <c r="W664" s="434"/>
      <c r="X664" s="434"/>
      <c r="Y664" s="434"/>
      <c r="Z664" s="434"/>
      <c r="AA664" s="434"/>
      <c r="AB664" s="434"/>
      <c r="AC664" s="434"/>
      <c r="AD664" s="434"/>
    </row>
    <row r="665">
      <c r="A665" s="434"/>
      <c r="B665" s="528"/>
      <c r="C665" s="528"/>
      <c r="D665" s="528"/>
      <c r="E665" s="528"/>
      <c r="F665" s="528"/>
      <c r="G665" s="528"/>
      <c r="H665" s="528"/>
      <c r="I665" s="528"/>
      <c r="J665" s="528"/>
      <c r="K665" s="528"/>
      <c r="L665" s="528"/>
      <c r="M665" s="528"/>
      <c r="N665" s="528"/>
      <c r="O665" s="528"/>
      <c r="P665" s="528"/>
      <c r="Q665" s="434"/>
      <c r="R665" s="434"/>
      <c r="S665" s="434"/>
      <c r="T665" s="434"/>
      <c r="U665" s="434"/>
      <c r="V665" s="434"/>
      <c r="W665" s="434"/>
      <c r="X665" s="434"/>
      <c r="Y665" s="434"/>
      <c r="Z665" s="434"/>
      <c r="AA665" s="434"/>
      <c r="AB665" s="434"/>
      <c r="AC665" s="434"/>
      <c r="AD665" s="434"/>
    </row>
    <row r="666">
      <c r="A666" s="434"/>
      <c r="B666" s="528"/>
      <c r="C666" s="528"/>
      <c r="D666" s="528"/>
      <c r="E666" s="528"/>
      <c r="F666" s="528"/>
      <c r="G666" s="528"/>
      <c r="H666" s="528"/>
      <c r="I666" s="528"/>
      <c r="J666" s="528"/>
      <c r="K666" s="528"/>
      <c r="L666" s="528"/>
      <c r="M666" s="528"/>
      <c r="N666" s="528"/>
      <c r="O666" s="528"/>
      <c r="P666" s="528"/>
      <c r="Q666" s="434"/>
      <c r="R666" s="434"/>
      <c r="S666" s="434"/>
      <c r="T666" s="434"/>
      <c r="U666" s="434"/>
      <c r="V666" s="434"/>
      <c r="W666" s="434"/>
      <c r="X666" s="434"/>
      <c r="Y666" s="434"/>
      <c r="Z666" s="434"/>
      <c r="AA666" s="434"/>
      <c r="AB666" s="434"/>
      <c r="AC666" s="434"/>
      <c r="AD666" s="434"/>
    </row>
    <row r="667">
      <c r="A667" s="434"/>
      <c r="B667" s="528"/>
      <c r="C667" s="528"/>
      <c r="D667" s="528"/>
      <c r="E667" s="528"/>
      <c r="F667" s="528"/>
      <c r="G667" s="528"/>
      <c r="H667" s="528"/>
      <c r="I667" s="528"/>
      <c r="J667" s="528"/>
      <c r="K667" s="528"/>
      <c r="L667" s="528"/>
      <c r="M667" s="528"/>
      <c r="N667" s="528"/>
      <c r="O667" s="528"/>
      <c r="P667" s="528"/>
      <c r="Q667" s="434"/>
      <c r="R667" s="434"/>
      <c r="S667" s="434"/>
      <c r="T667" s="434"/>
      <c r="U667" s="434"/>
      <c r="V667" s="434"/>
      <c r="W667" s="434"/>
      <c r="X667" s="434"/>
      <c r="Y667" s="434"/>
      <c r="Z667" s="434"/>
      <c r="AA667" s="434"/>
      <c r="AB667" s="434"/>
      <c r="AC667" s="434"/>
      <c r="AD667" s="434"/>
    </row>
    <row r="668">
      <c r="A668" s="434"/>
      <c r="B668" s="528"/>
      <c r="C668" s="528"/>
      <c r="D668" s="528"/>
      <c r="E668" s="528"/>
      <c r="F668" s="528"/>
      <c r="G668" s="528"/>
      <c r="H668" s="528"/>
      <c r="I668" s="528"/>
      <c r="J668" s="528"/>
      <c r="K668" s="528"/>
      <c r="L668" s="528"/>
      <c r="M668" s="528"/>
      <c r="N668" s="528"/>
      <c r="O668" s="528"/>
      <c r="P668" s="528"/>
      <c r="Q668" s="434"/>
      <c r="R668" s="434"/>
      <c r="S668" s="434"/>
      <c r="T668" s="434"/>
      <c r="U668" s="434"/>
      <c r="V668" s="434"/>
      <c r="W668" s="434"/>
      <c r="X668" s="434"/>
      <c r="Y668" s="434"/>
      <c r="Z668" s="434"/>
      <c r="AA668" s="434"/>
      <c r="AB668" s="434"/>
      <c r="AC668" s="434"/>
      <c r="AD668" s="434"/>
    </row>
    <row r="669">
      <c r="A669" s="434"/>
      <c r="B669" s="528"/>
      <c r="C669" s="528"/>
      <c r="D669" s="528"/>
      <c r="E669" s="528"/>
      <c r="F669" s="528"/>
      <c r="G669" s="528"/>
      <c r="H669" s="528"/>
      <c r="I669" s="528"/>
      <c r="J669" s="528"/>
      <c r="K669" s="528"/>
      <c r="L669" s="528"/>
      <c r="M669" s="528"/>
      <c r="N669" s="528"/>
      <c r="O669" s="528"/>
      <c r="P669" s="528"/>
      <c r="Q669" s="434"/>
      <c r="R669" s="434"/>
      <c r="S669" s="434"/>
      <c r="T669" s="434"/>
      <c r="U669" s="434"/>
      <c r="V669" s="434"/>
      <c r="W669" s="434"/>
      <c r="X669" s="434"/>
      <c r="Y669" s="434"/>
      <c r="Z669" s="434"/>
      <c r="AA669" s="434"/>
      <c r="AB669" s="434"/>
      <c r="AC669" s="434"/>
      <c r="AD669" s="434"/>
    </row>
    <row r="670">
      <c r="A670" s="434"/>
      <c r="B670" s="528"/>
      <c r="C670" s="528"/>
      <c r="D670" s="528"/>
      <c r="E670" s="528"/>
      <c r="F670" s="528"/>
      <c r="G670" s="528"/>
      <c r="H670" s="528"/>
      <c r="I670" s="528"/>
      <c r="J670" s="528"/>
      <c r="K670" s="528"/>
      <c r="L670" s="528"/>
      <c r="M670" s="528"/>
      <c r="N670" s="528"/>
      <c r="O670" s="528"/>
      <c r="P670" s="528"/>
      <c r="Q670" s="434"/>
      <c r="R670" s="434"/>
      <c r="S670" s="434"/>
      <c r="T670" s="434"/>
      <c r="U670" s="434"/>
      <c r="V670" s="434"/>
      <c r="W670" s="434"/>
      <c r="X670" s="434"/>
      <c r="Y670" s="434"/>
      <c r="Z670" s="434"/>
      <c r="AA670" s="434"/>
      <c r="AB670" s="434"/>
      <c r="AC670" s="434"/>
      <c r="AD670" s="434"/>
    </row>
    <row r="671">
      <c r="A671" s="434"/>
      <c r="B671" s="528"/>
      <c r="C671" s="528"/>
      <c r="D671" s="528"/>
      <c r="E671" s="528"/>
      <c r="F671" s="528"/>
      <c r="G671" s="528"/>
      <c r="H671" s="528"/>
      <c r="I671" s="528"/>
      <c r="J671" s="528"/>
      <c r="K671" s="528"/>
      <c r="L671" s="528"/>
      <c r="M671" s="528"/>
      <c r="N671" s="528"/>
      <c r="O671" s="528"/>
      <c r="P671" s="528"/>
      <c r="Q671" s="434"/>
      <c r="R671" s="434"/>
      <c r="S671" s="434"/>
      <c r="T671" s="434"/>
      <c r="U671" s="434"/>
      <c r="V671" s="434"/>
      <c r="W671" s="434"/>
      <c r="X671" s="434"/>
      <c r="Y671" s="434"/>
      <c r="Z671" s="434"/>
      <c r="AA671" s="434"/>
      <c r="AB671" s="434"/>
      <c r="AC671" s="434"/>
      <c r="AD671" s="434"/>
    </row>
    <row r="672">
      <c r="A672" s="434"/>
      <c r="B672" s="528"/>
      <c r="C672" s="528"/>
      <c r="D672" s="528"/>
      <c r="E672" s="528"/>
      <c r="F672" s="528"/>
      <c r="G672" s="528"/>
      <c r="H672" s="528"/>
      <c r="I672" s="528"/>
      <c r="J672" s="528"/>
      <c r="K672" s="528"/>
      <c r="L672" s="528"/>
      <c r="M672" s="528"/>
      <c r="N672" s="528"/>
      <c r="O672" s="528"/>
      <c r="P672" s="528"/>
      <c r="Q672" s="434"/>
      <c r="R672" s="434"/>
      <c r="S672" s="434"/>
      <c r="T672" s="434"/>
      <c r="U672" s="434"/>
      <c r="V672" s="434"/>
      <c r="W672" s="434"/>
      <c r="X672" s="434"/>
      <c r="Y672" s="434"/>
      <c r="Z672" s="434"/>
      <c r="AA672" s="434"/>
      <c r="AB672" s="434"/>
      <c r="AC672" s="434"/>
      <c r="AD672" s="434"/>
    </row>
    <row r="673">
      <c r="A673" s="434"/>
      <c r="B673" s="528"/>
      <c r="C673" s="528"/>
      <c r="D673" s="528"/>
      <c r="E673" s="528"/>
      <c r="F673" s="528"/>
      <c r="G673" s="528"/>
      <c r="H673" s="528"/>
      <c r="I673" s="528"/>
      <c r="J673" s="528"/>
      <c r="K673" s="528"/>
      <c r="L673" s="528"/>
      <c r="M673" s="528"/>
      <c r="N673" s="528"/>
      <c r="O673" s="528"/>
      <c r="P673" s="528"/>
      <c r="Q673" s="434"/>
      <c r="R673" s="434"/>
      <c r="S673" s="434"/>
      <c r="T673" s="434"/>
      <c r="U673" s="434"/>
      <c r="V673" s="434"/>
      <c r="W673" s="434"/>
      <c r="X673" s="434"/>
      <c r="Y673" s="434"/>
      <c r="Z673" s="434"/>
      <c r="AA673" s="434"/>
      <c r="AB673" s="434"/>
      <c r="AC673" s="434"/>
      <c r="AD673" s="434"/>
    </row>
    <row r="674">
      <c r="A674" s="434"/>
      <c r="B674" s="528"/>
      <c r="C674" s="528"/>
      <c r="D674" s="528"/>
      <c r="E674" s="528"/>
      <c r="F674" s="528"/>
      <c r="G674" s="528"/>
      <c r="H674" s="528"/>
      <c r="I674" s="528"/>
      <c r="J674" s="528"/>
      <c r="K674" s="528"/>
      <c r="L674" s="528"/>
      <c r="M674" s="528"/>
      <c r="N674" s="528"/>
      <c r="O674" s="528"/>
      <c r="P674" s="528"/>
      <c r="Q674" s="434"/>
      <c r="R674" s="434"/>
      <c r="S674" s="434"/>
      <c r="T674" s="434"/>
      <c r="U674" s="434"/>
      <c r="V674" s="434"/>
      <c r="W674" s="434"/>
      <c r="X674" s="434"/>
      <c r="Y674" s="434"/>
      <c r="Z674" s="434"/>
      <c r="AA674" s="434"/>
      <c r="AB674" s="434"/>
      <c r="AC674" s="434"/>
      <c r="AD674" s="434"/>
    </row>
    <row r="675">
      <c r="A675" s="434"/>
      <c r="B675" s="528"/>
      <c r="C675" s="528"/>
      <c r="D675" s="528"/>
      <c r="E675" s="528"/>
      <c r="F675" s="528"/>
      <c r="G675" s="528"/>
      <c r="H675" s="528"/>
      <c r="I675" s="528"/>
      <c r="J675" s="528"/>
      <c r="K675" s="528"/>
      <c r="L675" s="528"/>
      <c r="M675" s="528"/>
      <c r="N675" s="528"/>
      <c r="O675" s="528"/>
      <c r="P675" s="528"/>
      <c r="Q675" s="434"/>
      <c r="R675" s="434"/>
      <c r="S675" s="434"/>
      <c r="T675" s="434"/>
      <c r="U675" s="434"/>
      <c r="V675" s="434"/>
      <c r="W675" s="434"/>
      <c r="X675" s="434"/>
      <c r="Y675" s="434"/>
      <c r="Z675" s="434"/>
      <c r="AA675" s="434"/>
      <c r="AB675" s="434"/>
      <c r="AC675" s="434"/>
      <c r="AD675" s="434"/>
    </row>
    <row r="676">
      <c r="A676" s="434"/>
      <c r="B676" s="528"/>
      <c r="C676" s="528"/>
      <c r="D676" s="528"/>
      <c r="E676" s="528"/>
      <c r="F676" s="528"/>
      <c r="G676" s="528"/>
      <c r="H676" s="528"/>
      <c r="I676" s="528"/>
      <c r="J676" s="528"/>
      <c r="K676" s="528"/>
      <c r="L676" s="528"/>
      <c r="M676" s="528"/>
      <c r="N676" s="528"/>
      <c r="O676" s="528"/>
      <c r="P676" s="528"/>
      <c r="Q676" s="434"/>
      <c r="R676" s="434"/>
      <c r="S676" s="434"/>
      <c r="T676" s="434"/>
      <c r="U676" s="434"/>
      <c r="V676" s="434"/>
      <c r="W676" s="434"/>
      <c r="X676" s="434"/>
      <c r="Y676" s="434"/>
      <c r="Z676" s="434"/>
      <c r="AA676" s="434"/>
      <c r="AB676" s="434"/>
      <c r="AC676" s="434"/>
      <c r="AD676" s="434"/>
    </row>
    <row r="677">
      <c r="A677" s="434"/>
      <c r="B677" s="528"/>
      <c r="C677" s="528"/>
      <c r="D677" s="528"/>
      <c r="E677" s="528"/>
      <c r="F677" s="528"/>
      <c r="G677" s="528"/>
      <c r="H677" s="528"/>
      <c r="I677" s="528"/>
      <c r="J677" s="528"/>
      <c r="K677" s="528"/>
      <c r="L677" s="528"/>
      <c r="M677" s="528"/>
      <c r="N677" s="528"/>
      <c r="O677" s="528"/>
      <c r="P677" s="528"/>
      <c r="Q677" s="434"/>
      <c r="R677" s="434"/>
      <c r="S677" s="434"/>
      <c r="T677" s="434"/>
      <c r="U677" s="434"/>
      <c r="V677" s="434"/>
      <c r="W677" s="434"/>
      <c r="X677" s="434"/>
      <c r="Y677" s="434"/>
      <c r="Z677" s="434"/>
      <c r="AA677" s="434"/>
      <c r="AB677" s="434"/>
      <c r="AC677" s="434"/>
      <c r="AD677" s="434"/>
    </row>
    <row r="678">
      <c r="A678" s="434"/>
      <c r="B678" s="528"/>
      <c r="C678" s="528"/>
      <c r="D678" s="528"/>
      <c r="E678" s="528"/>
      <c r="F678" s="528"/>
      <c r="G678" s="528"/>
      <c r="H678" s="528"/>
      <c r="I678" s="528"/>
      <c r="J678" s="528"/>
      <c r="K678" s="528"/>
      <c r="L678" s="528"/>
      <c r="M678" s="528"/>
      <c r="N678" s="528"/>
      <c r="O678" s="528"/>
      <c r="P678" s="528"/>
      <c r="Q678" s="434"/>
      <c r="R678" s="434"/>
      <c r="S678" s="434"/>
      <c r="T678" s="434"/>
      <c r="U678" s="434"/>
      <c r="V678" s="434"/>
      <c r="W678" s="434"/>
      <c r="X678" s="434"/>
      <c r="Y678" s="434"/>
      <c r="Z678" s="434"/>
      <c r="AA678" s="434"/>
      <c r="AB678" s="434"/>
      <c r="AC678" s="434"/>
      <c r="AD678" s="434"/>
    </row>
    <row r="679">
      <c r="A679" s="434"/>
      <c r="B679" s="528"/>
      <c r="C679" s="528"/>
      <c r="D679" s="528"/>
      <c r="E679" s="528"/>
      <c r="F679" s="528"/>
      <c r="G679" s="528"/>
      <c r="H679" s="528"/>
      <c r="I679" s="528"/>
      <c r="J679" s="528"/>
      <c r="K679" s="528"/>
      <c r="L679" s="528"/>
      <c r="M679" s="528"/>
      <c r="N679" s="528"/>
      <c r="O679" s="528"/>
      <c r="P679" s="528"/>
      <c r="Q679" s="434"/>
      <c r="R679" s="434"/>
      <c r="S679" s="434"/>
      <c r="T679" s="434"/>
      <c r="U679" s="434"/>
      <c r="V679" s="434"/>
      <c r="W679" s="434"/>
      <c r="X679" s="434"/>
      <c r="Y679" s="434"/>
      <c r="Z679" s="434"/>
      <c r="AA679" s="434"/>
      <c r="AB679" s="434"/>
      <c r="AC679" s="434"/>
      <c r="AD679" s="434"/>
    </row>
    <row r="680">
      <c r="A680" s="434"/>
      <c r="B680" s="528"/>
      <c r="C680" s="528"/>
      <c r="D680" s="528"/>
      <c r="E680" s="528"/>
      <c r="F680" s="528"/>
      <c r="G680" s="528"/>
      <c r="H680" s="528"/>
      <c r="I680" s="528"/>
      <c r="J680" s="528"/>
      <c r="K680" s="528"/>
      <c r="L680" s="528"/>
      <c r="M680" s="528"/>
      <c r="N680" s="528"/>
      <c r="O680" s="528"/>
      <c r="P680" s="528"/>
      <c r="Q680" s="434"/>
      <c r="R680" s="434"/>
      <c r="S680" s="434"/>
      <c r="T680" s="434"/>
      <c r="U680" s="434"/>
      <c r="V680" s="434"/>
      <c r="W680" s="434"/>
      <c r="X680" s="434"/>
      <c r="Y680" s="434"/>
      <c r="Z680" s="434"/>
      <c r="AA680" s="434"/>
      <c r="AB680" s="434"/>
      <c r="AC680" s="434"/>
      <c r="AD680" s="434"/>
    </row>
    <row r="681">
      <c r="A681" s="434"/>
      <c r="B681" s="528"/>
      <c r="C681" s="528"/>
      <c r="D681" s="528"/>
      <c r="E681" s="528"/>
      <c r="F681" s="528"/>
      <c r="G681" s="528"/>
      <c r="H681" s="528"/>
      <c r="I681" s="528"/>
      <c r="J681" s="528"/>
      <c r="K681" s="528"/>
      <c r="L681" s="528"/>
      <c r="M681" s="528"/>
      <c r="N681" s="528"/>
      <c r="O681" s="528"/>
      <c r="P681" s="528"/>
      <c r="Q681" s="434"/>
      <c r="R681" s="434"/>
      <c r="S681" s="434"/>
      <c r="T681" s="434"/>
      <c r="U681" s="434"/>
      <c r="V681" s="434"/>
      <c r="W681" s="434"/>
      <c r="X681" s="434"/>
      <c r="Y681" s="434"/>
      <c r="Z681" s="434"/>
      <c r="AA681" s="434"/>
      <c r="AB681" s="434"/>
      <c r="AC681" s="434"/>
      <c r="AD681" s="434"/>
    </row>
    <row r="682">
      <c r="A682" s="434"/>
      <c r="B682" s="528"/>
      <c r="C682" s="528"/>
      <c r="D682" s="528"/>
      <c r="E682" s="528"/>
      <c r="F682" s="528"/>
      <c r="G682" s="528"/>
      <c r="H682" s="528"/>
      <c r="I682" s="528"/>
      <c r="J682" s="528"/>
      <c r="K682" s="528"/>
      <c r="L682" s="528"/>
      <c r="M682" s="528"/>
      <c r="N682" s="528"/>
      <c r="O682" s="528"/>
      <c r="P682" s="528"/>
      <c r="Q682" s="434"/>
      <c r="R682" s="434"/>
      <c r="S682" s="434"/>
      <c r="T682" s="434"/>
      <c r="U682" s="434"/>
      <c r="V682" s="434"/>
      <c r="W682" s="434"/>
      <c r="X682" s="434"/>
      <c r="Y682" s="434"/>
      <c r="Z682" s="434"/>
      <c r="AA682" s="434"/>
      <c r="AB682" s="434"/>
      <c r="AC682" s="434"/>
      <c r="AD682" s="434"/>
    </row>
    <row r="683">
      <c r="A683" s="434"/>
      <c r="B683" s="528"/>
      <c r="C683" s="528"/>
      <c r="D683" s="528"/>
      <c r="E683" s="528"/>
      <c r="F683" s="528"/>
      <c r="G683" s="528"/>
      <c r="H683" s="528"/>
      <c r="I683" s="528"/>
      <c r="J683" s="528"/>
      <c r="K683" s="528"/>
      <c r="L683" s="528"/>
      <c r="M683" s="528"/>
      <c r="N683" s="528"/>
      <c r="O683" s="528"/>
      <c r="P683" s="528"/>
      <c r="Q683" s="434"/>
      <c r="R683" s="434"/>
      <c r="S683" s="434"/>
      <c r="T683" s="434"/>
      <c r="U683" s="434"/>
      <c r="V683" s="434"/>
      <c r="W683" s="434"/>
      <c r="X683" s="434"/>
      <c r="Y683" s="434"/>
      <c r="Z683" s="434"/>
      <c r="AA683" s="434"/>
      <c r="AB683" s="434"/>
      <c r="AC683" s="434"/>
      <c r="AD683" s="434"/>
    </row>
    <row r="684">
      <c r="A684" s="434"/>
      <c r="B684" s="528"/>
      <c r="C684" s="528"/>
      <c r="D684" s="528"/>
      <c r="E684" s="528"/>
      <c r="F684" s="528"/>
      <c r="G684" s="528"/>
      <c r="H684" s="528"/>
      <c r="I684" s="528"/>
      <c r="J684" s="528"/>
      <c r="K684" s="528"/>
      <c r="L684" s="528"/>
      <c r="M684" s="528"/>
      <c r="N684" s="528"/>
      <c r="O684" s="528"/>
      <c r="P684" s="528"/>
      <c r="Q684" s="434"/>
      <c r="R684" s="434"/>
      <c r="S684" s="434"/>
      <c r="T684" s="434"/>
      <c r="U684" s="434"/>
      <c r="V684" s="434"/>
      <c r="W684" s="434"/>
      <c r="X684" s="434"/>
      <c r="Y684" s="434"/>
      <c r="Z684" s="434"/>
      <c r="AA684" s="434"/>
      <c r="AB684" s="434"/>
      <c r="AC684" s="434"/>
      <c r="AD684" s="434"/>
    </row>
    <row r="685">
      <c r="A685" s="434"/>
      <c r="B685" s="528"/>
      <c r="C685" s="528"/>
      <c r="D685" s="528"/>
      <c r="E685" s="528"/>
      <c r="F685" s="528"/>
      <c r="G685" s="528"/>
      <c r="H685" s="528"/>
      <c r="I685" s="528"/>
      <c r="J685" s="528"/>
      <c r="K685" s="528"/>
      <c r="L685" s="528"/>
      <c r="M685" s="528"/>
      <c r="N685" s="528"/>
      <c r="O685" s="528"/>
      <c r="P685" s="528"/>
      <c r="Q685" s="434"/>
      <c r="R685" s="434"/>
      <c r="S685" s="434"/>
      <c r="T685" s="434"/>
      <c r="U685" s="434"/>
      <c r="V685" s="434"/>
      <c r="W685" s="434"/>
      <c r="X685" s="434"/>
      <c r="Y685" s="434"/>
      <c r="Z685" s="434"/>
      <c r="AA685" s="434"/>
      <c r="AB685" s="434"/>
      <c r="AC685" s="434"/>
      <c r="AD685" s="434"/>
    </row>
    <row r="686">
      <c r="A686" s="434"/>
      <c r="B686" s="528"/>
      <c r="C686" s="528"/>
      <c r="D686" s="528"/>
      <c r="E686" s="528"/>
      <c r="F686" s="528"/>
      <c r="G686" s="528"/>
      <c r="H686" s="528"/>
      <c r="I686" s="528"/>
      <c r="J686" s="528"/>
      <c r="K686" s="528"/>
      <c r="L686" s="528"/>
      <c r="M686" s="528"/>
      <c r="N686" s="528"/>
      <c r="O686" s="528"/>
      <c r="P686" s="528"/>
      <c r="Q686" s="434"/>
      <c r="R686" s="434"/>
      <c r="S686" s="434"/>
      <c r="T686" s="434"/>
      <c r="U686" s="434"/>
      <c r="V686" s="434"/>
      <c r="W686" s="434"/>
      <c r="X686" s="434"/>
      <c r="Y686" s="434"/>
      <c r="Z686" s="434"/>
      <c r="AA686" s="434"/>
      <c r="AB686" s="434"/>
      <c r="AC686" s="434"/>
      <c r="AD686" s="434"/>
    </row>
    <row r="687">
      <c r="A687" s="434"/>
      <c r="B687" s="528"/>
      <c r="C687" s="528"/>
      <c r="D687" s="528"/>
      <c r="E687" s="528"/>
      <c r="F687" s="528"/>
      <c r="G687" s="528"/>
      <c r="H687" s="528"/>
      <c r="I687" s="528"/>
      <c r="J687" s="528"/>
      <c r="K687" s="528"/>
      <c r="L687" s="528"/>
      <c r="M687" s="528"/>
      <c r="N687" s="528"/>
      <c r="O687" s="528"/>
      <c r="P687" s="528"/>
      <c r="Q687" s="434"/>
      <c r="R687" s="434"/>
      <c r="S687" s="434"/>
      <c r="T687" s="434"/>
      <c r="U687" s="434"/>
      <c r="V687" s="434"/>
      <c r="W687" s="434"/>
      <c r="X687" s="434"/>
      <c r="Y687" s="434"/>
      <c r="Z687" s="434"/>
      <c r="AA687" s="434"/>
      <c r="AB687" s="434"/>
      <c r="AC687" s="434"/>
      <c r="AD687" s="434"/>
    </row>
    <row r="688">
      <c r="A688" s="434"/>
      <c r="B688" s="528"/>
      <c r="C688" s="528"/>
      <c r="D688" s="528"/>
      <c r="E688" s="528"/>
      <c r="F688" s="528"/>
      <c r="G688" s="528"/>
      <c r="H688" s="528"/>
      <c r="I688" s="528"/>
      <c r="J688" s="528"/>
      <c r="K688" s="528"/>
      <c r="L688" s="528"/>
      <c r="M688" s="528"/>
      <c r="N688" s="528"/>
      <c r="O688" s="528"/>
      <c r="P688" s="528"/>
      <c r="Q688" s="434"/>
      <c r="R688" s="434"/>
      <c r="S688" s="434"/>
      <c r="T688" s="434"/>
      <c r="U688" s="434"/>
      <c r="V688" s="434"/>
      <c r="W688" s="434"/>
      <c r="X688" s="434"/>
      <c r="Y688" s="434"/>
      <c r="Z688" s="434"/>
      <c r="AA688" s="434"/>
      <c r="AB688" s="434"/>
      <c r="AC688" s="434"/>
      <c r="AD688" s="434"/>
    </row>
    <row r="689">
      <c r="A689" s="434"/>
      <c r="B689" s="528"/>
      <c r="C689" s="528"/>
      <c r="D689" s="528"/>
      <c r="E689" s="528"/>
      <c r="F689" s="528"/>
      <c r="G689" s="528"/>
      <c r="H689" s="528"/>
      <c r="I689" s="528"/>
      <c r="J689" s="528"/>
      <c r="K689" s="528"/>
      <c r="L689" s="528"/>
      <c r="M689" s="528"/>
      <c r="N689" s="528"/>
      <c r="O689" s="528"/>
      <c r="P689" s="528"/>
      <c r="Q689" s="434"/>
      <c r="R689" s="434"/>
      <c r="S689" s="434"/>
      <c r="T689" s="434"/>
      <c r="U689" s="434"/>
      <c r="V689" s="434"/>
      <c r="W689" s="434"/>
      <c r="X689" s="434"/>
      <c r="Y689" s="434"/>
      <c r="Z689" s="434"/>
      <c r="AA689" s="434"/>
      <c r="AB689" s="434"/>
      <c r="AC689" s="434"/>
      <c r="AD689" s="434"/>
    </row>
    <row r="690">
      <c r="A690" s="434"/>
      <c r="B690" s="528"/>
      <c r="C690" s="528"/>
      <c r="D690" s="528"/>
      <c r="E690" s="528"/>
      <c r="F690" s="528"/>
      <c r="G690" s="528"/>
      <c r="H690" s="528"/>
      <c r="I690" s="528"/>
      <c r="J690" s="528"/>
      <c r="K690" s="528"/>
      <c r="L690" s="528"/>
      <c r="M690" s="528"/>
      <c r="N690" s="528"/>
      <c r="O690" s="528"/>
      <c r="P690" s="528"/>
      <c r="Q690" s="434"/>
      <c r="R690" s="434"/>
      <c r="S690" s="434"/>
      <c r="T690" s="434"/>
      <c r="U690" s="434"/>
      <c r="V690" s="434"/>
      <c r="W690" s="434"/>
      <c r="X690" s="434"/>
      <c r="Y690" s="434"/>
      <c r="Z690" s="434"/>
      <c r="AA690" s="434"/>
      <c r="AB690" s="434"/>
      <c r="AC690" s="434"/>
      <c r="AD690" s="434"/>
    </row>
    <row r="691">
      <c r="A691" s="434"/>
      <c r="B691" s="528"/>
      <c r="C691" s="528"/>
      <c r="D691" s="528"/>
      <c r="E691" s="528"/>
      <c r="F691" s="528"/>
      <c r="G691" s="528"/>
      <c r="H691" s="528"/>
      <c r="I691" s="528"/>
      <c r="J691" s="528"/>
      <c r="K691" s="528"/>
      <c r="L691" s="528"/>
      <c r="M691" s="528"/>
      <c r="N691" s="528"/>
      <c r="O691" s="528"/>
      <c r="P691" s="528"/>
      <c r="Q691" s="434"/>
      <c r="R691" s="434"/>
      <c r="S691" s="434"/>
      <c r="T691" s="434"/>
      <c r="U691" s="434"/>
      <c r="V691" s="434"/>
      <c r="W691" s="434"/>
      <c r="X691" s="434"/>
      <c r="Y691" s="434"/>
      <c r="Z691" s="434"/>
      <c r="AA691" s="434"/>
      <c r="AB691" s="434"/>
      <c r="AC691" s="434"/>
      <c r="AD691" s="434"/>
    </row>
    <row r="692">
      <c r="A692" s="434"/>
      <c r="B692" s="528"/>
      <c r="C692" s="528"/>
      <c r="D692" s="528"/>
      <c r="E692" s="528"/>
      <c r="F692" s="528"/>
      <c r="G692" s="528"/>
      <c r="H692" s="528"/>
      <c r="I692" s="528"/>
      <c r="J692" s="528"/>
      <c r="K692" s="528"/>
      <c r="L692" s="528"/>
      <c r="M692" s="528"/>
      <c r="N692" s="528"/>
      <c r="O692" s="528"/>
      <c r="P692" s="528"/>
      <c r="Q692" s="434"/>
      <c r="R692" s="434"/>
      <c r="S692" s="434"/>
      <c r="T692" s="434"/>
      <c r="U692" s="434"/>
      <c r="V692" s="434"/>
      <c r="W692" s="434"/>
      <c r="X692" s="434"/>
      <c r="Y692" s="434"/>
      <c r="Z692" s="434"/>
      <c r="AA692" s="434"/>
      <c r="AB692" s="434"/>
      <c r="AC692" s="434"/>
      <c r="AD692" s="434"/>
    </row>
    <row r="693">
      <c r="A693" s="434"/>
      <c r="B693" s="528"/>
      <c r="C693" s="528"/>
      <c r="D693" s="528"/>
      <c r="E693" s="528"/>
      <c r="F693" s="528"/>
      <c r="G693" s="528"/>
      <c r="H693" s="528"/>
      <c r="I693" s="528"/>
      <c r="J693" s="528"/>
      <c r="K693" s="528"/>
      <c r="L693" s="528"/>
      <c r="M693" s="528"/>
      <c r="N693" s="528"/>
      <c r="O693" s="528"/>
      <c r="P693" s="528"/>
      <c r="Q693" s="434"/>
      <c r="R693" s="434"/>
      <c r="S693" s="434"/>
      <c r="T693" s="434"/>
      <c r="U693" s="434"/>
      <c r="V693" s="434"/>
      <c r="W693" s="434"/>
      <c r="X693" s="434"/>
      <c r="Y693" s="434"/>
      <c r="Z693" s="434"/>
      <c r="AA693" s="434"/>
      <c r="AB693" s="434"/>
      <c r="AC693" s="434"/>
      <c r="AD693" s="434"/>
    </row>
    <row r="694">
      <c r="A694" s="434"/>
      <c r="B694" s="528"/>
      <c r="C694" s="528"/>
      <c r="D694" s="528"/>
      <c r="E694" s="528"/>
      <c r="F694" s="528"/>
      <c r="G694" s="528"/>
      <c r="H694" s="528"/>
      <c r="I694" s="528"/>
      <c r="J694" s="528"/>
      <c r="K694" s="528"/>
      <c r="L694" s="528"/>
      <c r="M694" s="528"/>
      <c r="N694" s="528"/>
      <c r="O694" s="528"/>
      <c r="P694" s="528"/>
      <c r="Q694" s="434"/>
      <c r="R694" s="434"/>
      <c r="S694" s="434"/>
      <c r="T694" s="434"/>
      <c r="U694" s="434"/>
      <c r="V694" s="434"/>
      <c r="W694" s="434"/>
      <c r="X694" s="434"/>
      <c r="Y694" s="434"/>
      <c r="Z694" s="434"/>
      <c r="AA694" s="434"/>
      <c r="AB694" s="434"/>
      <c r="AC694" s="434"/>
      <c r="AD694" s="434"/>
    </row>
    <row r="695">
      <c r="A695" s="434"/>
      <c r="B695" s="528"/>
      <c r="C695" s="528"/>
      <c r="D695" s="528"/>
      <c r="E695" s="528"/>
      <c r="F695" s="528"/>
      <c r="G695" s="528"/>
      <c r="H695" s="528"/>
      <c r="I695" s="528"/>
      <c r="J695" s="528"/>
      <c r="K695" s="528"/>
      <c r="L695" s="528"/>
      <c r="M695" s="528"/>
      <c r="N695" s="528"/>
      <c r="O695" s="528"/>
      <c r="P695" s="528"/>
      <c r="Q695" s="434"/>
      <c r="R695" s="434"/>
      <c r="S695" s="434"/>
      <c r="T695" s="434"/>
      <c r="U695" s="434"/>
      <c r="V695" s="434"/>
      <c r="W695" s="434"/>
      <c r="X695" s="434"/>
      <c r="Y695" s="434"/>
      <c r="Z695" s="434"/>
      <c r="AA695" s="434"/>
      <c r="AB695" s="434"/>
      <c r="AC695" s="434"/>
      <c r="AD695" s="434"/>
    </row>
    <row r="696">
      <c r="A696" s="434"/>
      <c r="B696" s="528"/>
      <c r="C696" s="528"/>
      <c r="D696" s="528"/>
      <c r="E696" s="528"/>
      <c r="F696" s="528"/>
      <c r="G696" s="528"/>
      <c r="H696" s="528"/>
      <c r="I696" s="528"/>
      <c r="J696" s="528"/>
      <c r="K696" s="528"/>
      <c r="L696" s="528"/>
      <c r="M696" s="528"/>
      <c r="N696" s="528"/>
      <c r="O696" s="528"/>
      <c r="P696" s="528"/>
      <c r="Q696" s="434"/>
      <c r="R696" s="434"/>
      <c r="S696" s="434"/>
      <c r="T696" s="434"/>
      <c r="U696" s="434"/>
      <c r="V696" s="434"/>
      <c r="W696" s="434"/>
      <c r="X696" s="434"/>
      <c r="Y696" s="434"/>
      <c r="Z696" s="434"/>
      <c r="AA696" s="434"/>
      <c r="AB696" s="434"/>
      <c r="AC696" s="434"/>
      <c r="AD696" s="434"/>
    </row>
    <row r="697">
      <c r="A697" s="434"/>
      <c r="B697" s="528"/>
      <c r="C697" s="528"/>
      <c r="D697" s="528"/>
      <c r="E697" s="528"/>
      <c r="F697" s="528"/>
      <c r="G697" s="528"/>
      <c r="H697" s="528"/>
      <c r="I697" s="528"/>
      <c r="J697" s="528"/>
      <c r="K697" s="528"/>
      <c r="L697" s="528"/>
      <c r="M697" s="528"/>
      <c r="N697" s="528"/>
      <c r="O697" s="528"/>
      <c r="P697" s="528"/>
      <c r="Q697" s="434"/>
      <c r="R697" s="434"/>
      <c r="S697" s="434"/>
      <c r="T697" s="434"/>
      <c r="U697" s="434"/>
      <c r="V697" s="434"/>
      <c r="W697" s="434"/>
      <c r="X697" s="434"/>
      <c r="Y697" s="434"/>
      <c r="Z697" s="434"/>
      <c r="AA697" s="434"/>
      <c r="AB697" s="434"/>
      <c r="AC697" s="434"/>
      <c r="AD697" s="434"/>
    </row>
    <row r="698">
      <c r="A698" s="434"/>
      <c r="B698" s="528"/>
      <c r="C698" s="528"/>
      <c r="D698" s="528"/>
      <c r="E698" s="528"/>
      <c r="F698" s="528"/>
      <c r="G698" s="528"/>
      <c r="H698" s="528"/>
      <c r="I698" s="528"/>
      <c r="J698" s="528"/>
      <c r="K698" s="528"/>
      <c r="L698" s="528"/>
      <c r="M698" s="528"/>
      <c r="N698" s="528"/>
      <c r="O698" s="528"/>
      <c r="P698" s="528"/>
      <c r="Q698" s="434"/>
      <c r="R698" s="434"/>
      <c r="S698" s="434"/>
      <c r="T698" s="434"/>
      <c r="U698" s="434"/>
      <c r="V698" s="434"/>
      <c r="W698" s="434"/>
      <c r="X698" s="434"/>
      <c r="Y698" s="434"/>
      <c r="Z698" s="434"/>
      <c r="AA698" s="434"/>
      <c r="AB698" s="434"/>
      <c r="AC698" s="434"/>
      <c r="AD698" s="434"/>
    </row>
    <row r="699">
      <c r="A699" s="434"/>
      <c r="B699" s="528"/>
      <c r="C699" s="528"/>
      <c r="D699" s="528"/>
      <c r="E699" s="528"/>
      <c r="F699" s="528"/>
      <c r="G699" s="528"/>
      <c r="H699" s="528"/>
      <c r="I699" s="528"/>
      <c r="J699" s="528"/>
      <c r="K699" s="528"/>
      <c r="L699" s="528"/>
      <c r="M699" s="528"/>
      <c r="N699" s="528"/>
      <c r="O699" s="528"/>
      <c r="P699" s="528"/>
      <c r="Q699" s="434"/>
      <c r="R699" s="434"/>
      <c r="S699" s="434"/>
      <c r="T699" s="434"/>
      <c r="U699" s="434"/>
      <c r="V699" s="434"/>
      <c r="W699" s="434"/>
      <c r="X699" s="434"/>
      <c r="Y699" s="434"/>
      <c r="Z699" s="434"/>
      <c r="AA699" s="434"/>
      <c r="AB699" s="434"/>
      <c r="AC699" s="434"/>
      <c r="AD699" s="434"/>
    </row>
    <row r="700">
      <c r="A700" s="434"/>
      <c r="B700" s="528"/>
      <c r="C700" s="528"/>
      <c r="D700" s="528"/>
      <c r="E700" s="528"/>
      <c r="F700" s="528"/>
      <c r="G700" s="528"/>
      <c r="H700" s="528"/>
      <c r="I700" s="528"/>
      <c r="J700" s="528"/>
      <c r="K700" s="528"/>
      <c r="L700" s="528"/>
      <c r="M700" s="528"/>
      <c r="N700" s="528"/>
      <c r="O700" s="528"/>
      <c r="P700" s="528"/>
      <c r="Q700" s="434"/>
      <c r="R700" s="434"/>
      <c r="S700" s="434"/>
      <c r="T700" s="434"/>
      <c r="U700" s="434"/>
      <c r="V700" s="434"/>
      <c r="W700" s="434"/>
      <c r="X700" s="434"/>
      <c r="Y700" s="434"/>
      <c r="Z700" s="434"/>
      <c r="AA700" s="434"/>
      <c r="AB700" s="434"/>
      <c r="AC700" s="434"/>
      <c r="AD700" s="434"/>
    </row>
    <row r="701">
      <c r="A701" s="434"/>
      <c r="B701" s="528"/>
      <c r="C701" s="528"/>
      <c r="D701" s="528"/>
      <c r="E701" s="528"/>
      <c r="F701" s="528"/>
      <c r="G701" s="528"/>
      <c r="H701" s="528"/>
      <c r="I701" s="528"/>
      <c r="J701" s="528"/>
      <c r="K701" s="528"/>
      <c r="L701" s="528"/>
      <c r="M701" s="528"/>
      <c r="N701" s="528"/>
      <c r="O701" s="528"/>
      <c r="P701" s="528"/>
      <c r="Q701" s="434"/>
      <c r="R701" s="434"/>
      <c r="S701" s="434"/>
      <c r="T701" s="434"/>
      <c r="U701" s="434"/>
      <c r="V701" s="434"/>
      <c r="W701" s="434"/>
      <c r="X701" s="434"/>
      <c r="Y701" s="434"/>
      <c r="Z701" s="434"/>
      <c r="AA701" s="434"/>
      <c r="AB701" s="434"/>
      <c r="AC701" s="434"/>
      <c r="AD701" s="434"/>
    </row>
    <row r="702">
      <c r="A702" s="434"/>
      <c r="B702" s="528"/>
      <c r="C702" s="528"/>
      <c r="D702" s="528"/>
      <c r="E702" s="528"/>
      <c r="F702" s="528"/>
      <c r="G702" s="528"/>
      <c r="H702" s="528"/>
      <c r="I702" s="528"/>
      <c r="J702" s="528"/>
      <c r="K702" s="528"/>
      <c r="L702" s="528"/>
      <c r="M702" s="528"/>
      <c r="N702" s="528"/>
      <c r="O702" s="528"/>
      <c r="P702" s="528"/>
      <c r="Q702" s="434"/>
      <c r="R702" s="434"/>
      <c r="S702" s="434"/>
      <c r="T702" s="434"/>
      <c r="U702" s="434"/>
      <c r="V702" s="434"/>
      <c r="W702" s="434"/>
      <c r="X702" s="434"/>
      <c r="Y702" s="434"/>
      <c r="Z702" s="434"/>
      <c r="AA702" s="434"/>
      <c r="AB702" s="434"/>
      <c r="AC702" s="434"/>
      <c r="AD702" s="434"/>
    </row>
    <row r="703">
      <c r="A703" s="434"/>
      <c r="B703" s="528"/>
      <c r="C703" s="528"/>
      <c r="D703" s="528"/>
      <c r="E703" s="528"/>
      <c r="F703" s="528"/>
      <c r="G703" s="528"/>
      <c r="H703" s="528"/>
      <c r="I703" s="528"/>
      <c r="J703" s="528"/>
      <c r="K703" s="528"/>
      <c r="L703" s="528"/>
      <c r="M703" s="528"/>
      <c r="N703" s="528"/>
      <c r="O703" s="528"/>
      <c r="P703" s="528"/>
      <c r="Q703" s="434"/>
      <c r="R703" s="434"/>
      <c r="S703" s="434"/>
      <c r="T703" s="434"/>
      <c r="U703" s="434"/>
      <c r="V703" s="434"/>
      <c r="W703" s="434"/>
      <c r="X703" s="434"/>
      <c r="Y703" s="434"/>
      <c r="Z703" s="434"/>
      <c r="AA703" s="434"/>
      <c r="AB703" s="434"/>
      <c r="AC703" s="434"/>
      <c r="AD703" s="434"/>
    </row>
    <row r="704">
      <c r="A704" s="434"/>
      <c r="B704" s="528"/>
      <c r="C704" s="528"/>
      <c r="D704" s="528"/>
      <c r="E704" s="528"/>
      <c r="F704" s="528"/>
      <c r="G704" s="528"/>
      <c r="H704" s="528"/>
      <c r="I704" s="528"/>
      <c r="J704" s="528"/>
      <c r="K704" s="528"/>
      <c r="L704" s="528"/>
      <c r="M704" s="528"/>
      <c r="N704" s="528"/>
      <c r="O704" s="528"/>
      <c r="P704" s="528"/>
      <c r="Q704" s="434"/>
      <c r="R704" s="434"/>
      <c r="S704" s="434"/>
      <c r="T704" s="434"/>
      <c r="U704" s="434"/>
      <c r="V704" s="434"/>
      <c r="W704" s="434"/>
      <c r="X704" s="434"/>
      <c r="Y704" s="434"/>
      <c r="Z704" s="434"/>
      <c r="AA704" s="434"/>
      <c r="AB704" s="434"/>
      <c r="AC704" s="434"/>
      <c r="AD704" s="434"/>
    </row>
    <row r="705">
      <c r="A705" s="434"/>
      <c r="B705" s="528"/>
      <c r="C705" s="528"/>
      <c r="D705" s="528"/>
      <c r="E705" s="528"/>
      <c r="F705" s="528"/>
      <c r="G705" s="528"/>
      <c r="H705" s="528"/>
      <c r="I705" s="528"/>
      <c r="J705" s="528"/>
      <c r="K705" s="528"/>
      <c r="L705" s="528"/>
      <c r="M705" s="528"/>
      <c r="N705" s="528"/>
      <c r="O705" s="528"/>
      <c r="P705" s="528"/>
      <c r="Q705" s="434"/>
      <c r="R705" s="434"/>
      <c r="S705" s="434"/>
      <c r="T705" s="434"/>
      <c r="U705" s="434"/>
      <c r="V705" s="434"/>
      <c r="W705" s="434"/>
      <c r="X705" s="434"/>
      <c r="Y705" s="434"/>
      <c r="Z705" s="434"/>
      <c r="AA705" s="434"/>
      <c r="AB705" s="434"/>
      <c r="AC705" s="434"/>
      <c r="AD705" s="434"/>
    </row>
    <row r="706">
      <c r="A706" s="434"/>
      <c r="B706" s="528"/>
      <c r="C706" s="528"/>
      <c r="D706" s="528"/>
      <c r="E706" s="528"/>
      <c r="F706" s="528"/>
      <c r="G706" s="528"/>
      <c r="H706" s="528"/>
      <c r="I706" s="528"/>
      <c r="J706" s="528"/>
      <c r="K706" s="528"/>
      <c r="L706" s="528"/>
      <c r="M706" s="528"/>
      <c r="N706" s="528"/>
      <c r="O706" s="528"/>
      <c r="P706" s="528"/>
      <c r="Q706" s="434"/>
      <c r="R706" s="434"/>
      <c r="S706" s="434"/>
      <c r="T706" s="434"/>
      <c r="U706" s="434"/>
      <c r="V706" s="434"/>
      <c r="W706" s="434"/>
      <c r="X706" s="434"/>
      <c r="Y706" s="434"/>
      <c r="Z706" s="434"/>
      <c r="AA706" s="434"/>
      <c r="AB706" s="434"/>
      <c r="AC706" s="434"/>
      <c r="AD706" s="434"/>
    </row>
    <row r="707">
      <c r="A707" s="434"/>
      <c r="B707" s="528"/>
      <c r="C707" s="528"/>
      <c r="D707" s="528"/>
      <c r="E707" s="528"/>
      <c r="F707" s="528"/>
      <c r="G707" s="528"/>
      <c r="H707" s="528"/>
      <c r="I707" s="528"/>
      <c r="J707" s="528"/>
      <c r="K707" s="528"/>
      <c r="L707" s="528"/>
      <c r="M707" s="528"/>
      <c r="N707" s="528"/>
      <c r="O707" s="528"/>
      <c r="P707" s="528"/>
      <c r="Q707" s="434"/>
      <c r="R707" s="434"/>
      <c r="S707" s="434"/>
      <c r="T707" s="434"/>
      <c r="U707" s="434"/>
      <c r="V707" s="434"/>
      <c r="W707" s="434"/>
      <c r="X707" s="434"/>
      <c r="Y707" s="434"/>
      <c r="Z707" s="434"/>
      <c r="AA707" s="434"/>
      <c r="AB707" s="434"/>
      <c r="AC707" s="434"/>
      <c r="AD707" s="434"/>
    </row>
    <row r="708">
      <c r="A708" s="434"/>
      <c r="B708" s="528"/>
      <c r="C708" s="528"/>
      <c r="D708" s="528"/>
      <c r="E708" s="528"/>
      <c r="F708" s="528"/>
      <c r="G708" s="528"/>
      <c r="H708" s="528"/>
      <c r="I708" s="528"/>
      <c r="J708" s="528"/>
      <c r="K708" s="528"/>
      <c r="L708" s="528"/>
      <c r="M708" s="528"/>
      <c r="N708" s="528"/>
      <c r="O708" s="528"/>
      <c r="P708" s="528"/>
      <c r="Q708" s="434"/>
      <c r="R708" s="434"/>
      <c r="S708" s="434"/>
      <c r="T708" s="434"/>
      <c r="U708" s="434"/>
      <c r="V708" s="434"/>
      <c r="W708" s="434"/>
      <c r="X708" s="434"/>
      <c r="Y708" s="434"/>
      <c r="Z708" s="434"/>
      <c r="AA708" s="434"/>
      <c r="AB708" s="434"/>
      <c r="AC708" s="434"/>
      <c r="AD708" s="434"/>
    </row>
    <row r="709">
      <c r="A709" s="434"/>
      <c r="B709" s="528"/>
      <c r="C709" s="528"/>
      <c r="D709" s="528"/>
      <c r="E709" s="528"/>
      <c r="F709" s="528"/>
      <c r="G709" s="528"/>
      <c r="H709" s="528"/>
      <c r="I709" s="528"/>
      <c r="J709" s="528"/>
      <c r="K709" s="528"/>
      <c r="L709" s="528"/>
      <c r="M709" s="528"/>
      <c r="N709" s="528"/>
      <c r="O709" s="528"/>
      <c r="P709" s="528"/>
      <c r="Q709" s="434"/>
      <c r="R709" s="434"/>
      <c r="S709" s="434"/>
      <c r="T709" s="434"/>
      <c r="U709" s="434"/>
      <c r="V709" s="434"/>
      <c r="W709" s="434"/>
      <c r="X709" s="434"/>
      <c r="Y709" s="434"/>
      <c r="Z709" s="434"/>
      <c r="AA709" s="434"/>
      <c r="AB709" s="434"/>
      <c r="AC709" s="434"/>
      <c r="AD709" s="434"/>
    </row>
    <row r="710">
      <c r="A710" s="434"/>
      <c r="B710" s="528"/>
      <c r="C710" s="528"/>
      <c r="D710" s="528"/>
      <c r="E710" s="528"/>
      <c r="F710" s="528"/>
      <c r="G710" s="528"/>
      <c r="H710" s="528"/>
      <c r="I710" s="528"/>
      <c r="J710" s="528"/>
      <c r="K710" s="528"/>
      <c r="L710" s="528"/>
      <c r="M710" s="528"/>
      <c r="N710" s="528"/>
      <c r="O710" s="528"/>
      <c r="P710" s="528"/>
      <c r="Q710" s="434"/>
      <c r="R710" s="434"/>
      <c r="S710" s="434"/>
      <c r="T710" s="434"/>
      <c r="U710" s="434"/>
      <c r="V710" s="434"/>
      <c r="W710" s="434"/>
      <c r="X710" s="434"/>
      <c r="Y710" s="434"/>
      <c r="Z710" s="434"/>
      <c r="AA710" s="434"/>
      <c r="AB710" s="434"/>
      <c r="AC710" s="434"/>
      <c r="AD710" s="434"/>
    </row>
    <row r="711">
      <c r="A711" s="434"/>
      <c r="B711" s="528"/>
      <c r="C711" s="528"/>
      <c r="D711" s="528"/>
      <c r="E711" s="528"/>
      <c r="F711" s="528"/>
      <c r="G711" s="528"/>
      <c r="H711" s="528"/>
      <c r="I711" s="528"/>
      <c r="J711" s="528"/>
      <c r="K711" s="528"/>
      <c r="L711" s="528"/>
      <c r="M711" s="528"/>
      <c r="N711" s="528"/>
      <c r="O711" s="528"/>
      <c r="P711" s="528"/>
      <c r="Q711" s="434"/>
      <c r="R711" s="434"/>
      <c r="S711" s="434"/>
      <c r="T711" s="434"/>
      <c r="U711" s="434"/>
      <c r="V711" s="434"/>
      <c r="W711" s="434"/>
      <c r="X711" s="434"/>
      <c r="Y711" s="434"/>
      <c r="Z711" s="434"/>
      <c r="AA711" s="434"/>
      <c r="AB711" s="434"/>
      <c r="AC711" s="434"/>
      <c r="AD711" s="434"/>
    </row>
    <row r="712">
      <c r="A712" s="434"/>
      <c r="B712" s="528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434"/>
      <c r="R712" s="434"/>
      <c r="S712" s="434"/>
      <c r="T712" s="434"/>
      <c r="U712" s="434"/>
      <c r="V712" s="434"/>
      <c r="W712" s="434"/>
      <c r="X712" s="434"/>
      <c r="Y712" s="434"/>
      <c r="Z712" s="434"/>
      <c r="AA712" s="434"/>
      <c r="AB712" s="434"/>
      <c r="AC712" s="434"/>
      <c r="AD712" s="434"/>
    </row>
    <row r="713">
      <c r="A713" s="434"/>
      <c r="B713" s="528"/>
      <c r="C713" s="528"/>
      <c r="D713" s="528"/>
      <c r="E713" s="528"/>
      <c r="F713" s="528"/>
      <c r="G713" s="528"/>
      <c r="H713" s="528"/>
      <c r="I713" s="528"/>
      <c r="J713" s="528"/>
      <c r="K713" s="528"/>
      <c r="L713" s="528"/>
      <c r="M713" s="528"/>
      <c r="N713" s="528"/>
      <c r="O713" s="528"/>
      <c r="P713" s="528"/>
      <c r="Q713" s="434"/>
      <c r="R713" s="434"/>
      <c r="S713" s="434"/>
      <c r="T713" s="434"/>
      <c r="U713" s="434"/>
      <c r="V713" s="434"/>
      <c r="W713" s="434"/>
      <c r="X713" s="434"/>
      <c r="Y713" s="434"/>
      <c r="Z713" s="434"/>
      <c r="AA713" s="434"/>
      <c r="AB713" s="434"/>
      <c r="AC713" s="434"/>
      <c r="AD713" s="434"/>
    </row>
    <row r="714">
      <c r="A714" s="434"/>
      <c r="B714" s="528"/>
      <c r="C714" s="528"/>
      <c r="D714" s="528"/>
      <c r="E714" s="528"/>
      <c r="F714" s="528"/>
      <c r="G714" s="528"/>
      <c r="H714" s="528"/>
      <c r="I714" s="528"/>
      <c r="J714" s="528"/>
      <c r="K714" s="528"/>
      <c r="L714" s="528"/>
      <c r="M714" s="528"/>
      <c r="N714" s="528"/>
      <c r="O714" s="528"/>
      <c r="P714" s="528"/>
      <c r="Q714" s="434"/>
      <c r="R714" s="434"/>
      <c r="S714" s="434"/>
      <c r="T714" s="434"/>
      <c r="U714" s="434"/>
      <c r="V714" s="434"/>
      <c r="W714" s="434"/>
      <c r="X714" s="434"/>
      <c r="Y714" s="434"/>
      <c r="Z714" s="434"/>
      <c r="AA714" s="434"/>
      <c r="AB714" s="434"/>
      <c r="AC714" s="434"/>
      <c r="AD714" s="434"/>
    </row>
    <row r="715">
      <c r="A715" s="434"/>
      <c r="B715" s="528"/>
      <c r="C715" s="528"/>
      <c r="D715" s="528"/>
      <c r="E715" s="528"/>
      <c r="F715" s="528"/>
      <c r="G715" s="528"/>
      <c r="H715" s="528"/>
      <c r="I715" s="528"/>
      <c r="J715" s="528"/>
      <c r="K715" s="528"/>
      <c r="L715" s="528"/>
      <c r="M715" s="528"/>
      <c r="N715" s="528"/>
      <c r="O715" s="528"/>
      <c r="P715" s="528"/>
      <c r="Q715" s="434"/>
      <c r="R715" s="434"/>
      <c r="S715" s="434"/>
      <c r="T715" s="434"/>
      <c r="U715" s="434"/>
      <c r="V715" s="434"/>
      <c r="W715" s="434"/>
      <c r="X715" s="434"/>
      <c r="Y715" s="434"/>
      <c r="Z715" s="434"/>
      <c r="AA715" s="434"/>
      <c r="AB715" s="434"/>
      <c r="AC715" s="434"/>
      <c r="AD715" s="434"/>
    </row>
    <row r="716">
      <c r="A716" s="434"/>
      <c r="B716" s="528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434"/>
      <c r="R716" s="434"/>
      <c r="S716" s="434"/>
      <c r="T716" s="434"/>
      <c r="U716" s="434"/>
      <c r="V716" s="434"/>
      <c r="W716" s="434"/>
      <c r="X716" s="434"/>
      <c r="Y716" s="434"/>
      <c r="Z716" s="434"/>
      <c r="AA716" s="434"/>
      <c r="AB716" s="434"/>
      <c r="AC716" s="434"/>
      <c r="AD716" s="434"/>
    </row>
    <row r="717">
      <c r="A717" s="434"/>
      <c r="B717" s="528"/>
      <c r="C717" s="528"/>
      <c r="D717" s="528"/>
      <c r="E717" s="528"/>
      <c r="F717" s="528"/>
      <c r="G717" s="528"/>
      <c r="H717" s="528"/>
      <c r="I717" s="528"/>
      <c r="J717" s="528"/>
      <c r="K717" s="528"/>
      <c r="L717" s="528"/>
      <c r="M717" s="528"/>
      <c r="N717" s="528"/>
      <c r="O717" s="528"/>
      <c r="P717" s="528"/>
      <c r="Q717" s="434"/>
      <c r="R717" s="434"/>
      <c r="S717" s="434"/>
      <c r="T717" s="434"/>
      <c r="U717" s="434"/>
      <c r="V717" s="434"/>
      <c r="W717" s="434"/>
      <c r="X717" s="434"/>
      <c r="Y717" s="434"/>
      <c r="Z717" s="434"/>
      <c r="AA717" s="434"/>
      <c r="AB717" s="434"/>
      <c r="AC717" s="434"/>
      <c r="AD717" s="434"/>
    </row>
    <row r="718">
      <c r="A718" s="434"/>
      <c r="B718" s="528"/>
      <c r="C718" s="528"/>
      <c r="D718" s="528"/>
      <c r="E718" s="528"/>
      <c r="F718" s="528"/>
      <c r="G718" s="528"/>
      <c r="H718" s="528"/>
      <c r="I718" s="528"/>
      <c r="J718" s="528"/>
      <c r="K718" s="528"/>
      <c r="L718" s="528"/>
      <c r="M718" s="528"/>
      <c r="N718" s="528"/>
      <c r="O718" s="528"/>
      <c r="P718" s="528"/>
      <c r="Q718" s="434"/>
      <c r="R718" s="434"/>
      <c r="S718" s="434"/>
      <c r="T718" s="434"/>
      <c r="U718" s="434"/>
      <c r="V718" s="434"/>
      <c r="W718" s="434"/>
      <c r="X718" s="434"/>
      <c r="Y718" s="434"/>
      <c r="Z718" s="434"/>
      <c r="AA718" s="434"/>
      <c r="AB718" s="434"/>
      <c r="AC718" s="434"/>
      <c r="AD718" s="434"/>
    </row>
    <row r="719">
      <c r="A719" s="434"/>
      <c r="B719" s="528"/>
      <c r="C719" s="528"/>
      <c r="D719" s="528"/>
      <c r="E719" s="528"/>
      <c r="F719" s="528"/>
      <c r="G719" s="528"/>
      <c r="H719" s="528"/>
      <c r="I719" s="528"/>
      <c r="J719" s="528"/>
      <c r="K719" s="528"/>
      <c r="L719" s="528"/>
      <c r="M719" s="528"/>
      <c r="N719" s="528"/>
      <c r="O719" s="528"/>
      <c r="P719" s="528"/>
      <c r="Q719" s="434"/>
      <c r="R719" s="434"/>
      <c r="S719" s="434"/>
      <c r="T719" s="434"/>
      <c r="U719" s="434"/>
      <c r="V719" s="434"/>
      <c r="W719" s="434"/>
      <c r="X719" s="434"/>
      <c r="Y719" s="434"/>
      <c r="Z719" s="434"/>
      <c r="AA719" s="434"/>
      <c r="AB719" s="434"/>
      <c r="AC719" s="434"/>
      <c r="AD719" s="434"/>
    </row>
    <row r="720">
      <c r="A720" s="434"/>
      <c r="B720" s="528"/>
      <c r="C720" s="528"/>
      <c r="D720" s="528"/>
      <c r="E720" s="528"/>
      <c r="F720" s="528"/>
      <c r="G720" s="528"/>
      <c r="H720" s="528"/>
      <c r="I720" s="528"/>
      <c r="J720" s="528"/>
      <c r="K720" s="528"/>
      <c r="L720" s="528"/>
      <c r="M720" s="528"/>
      <c r="N720" s="528"/>
      <c r="O720" s="528"/>
      <c r="P720" s="528"/>
      <c r="Q720" s="434"/>
      <c r="R720" s="434"/>
      <c r="S720" s="434"/>
      <c r="T720" s="434"/>
      <c r="U720" s="434"/>
      <c r="V720" s="434"/>
      <c r="W720" s="434"/>
      <c r="X720" s="434"/>
      <c r="Y720" s="434"/>
      <c r="Z720" s="434"/>
      <c r="AA720" s="434"/>
      <c r="AB720" s="434"/>
      <c r="AC720" s="434"/>
      <c r="AD720" s="434"/>
    </row>
    <row r="721">
      <c r="A721" s="434"/>
      <c r="B721" s="528"/>
      <c r="C721" s="528"/>
      <c r="D721" s="528"/>
      <c r="E721" s="528"/>
      <c r="F721" s="528"/>
      <c r="G721" s="528"/>
      <c r="H721" s="528"/>
      <c r="I721" s="528"/>
      <c r="J721" s="528"/>
      <c r="K721" s="528"/>
      <c r="L721" s="528"/>
      <c r="M721" s="528"/>
      <c r="N721" s="528"/>
      <c r="O721" s="528"/>
      <c r="P721" s="528"/>
      <c r="Q721" s="434"/>
      <c r="R721" s="434"/>
      <c r="S721" s="434"/>
      <c r="T721" s="434"/>
      <c r="U721" s="434"/>
      <c r="V721" s="434"/>
      <c r="W721" s="434"/>
      <c r="X721" s="434"/>
      <c r="Y721" s="434"/>
      <c r="Z721" s="434"/>
      <c r="AA721" s="434"/>
      <c r="AB721" s="434"/>
      <c r="AC721" s="434"/>
      <c r="AD721" s="434"/>
    </row>
    <row r="722">
      <c r="A722" s="434"/>
      <c r="B722" s="528"/>
      <c r="C722" s="528"/>
      <c r="D722" s="528"/>
      <c r="E722" s="528"/>
      <c r="F722" s="528"/>
      <c r="G722" s="528"/>
      <c r="H722" s="528"/>
      <c r="I722" s="528"/>
      <c r="J722" s="528"/>
      <c r="K722" s="528"/>
      <c r="L722" s="528"/>
      <c r="M722" s="528"/>
      <c r="N722" s="528"/>
      <c r="O722" s="528"/>
      <c r="P722" s="528"/>
      <c r="Q722" s="434"/>
      <c r="R722" s="434"/>
      <c r="S722" s="434"/>
      <c r="T722" s="434"/>
      <c r="U722" s="434"/>
      <c r="V722" s="434"/>
      <c r="W722" s="434"/>
      <c r="X722" s="434"/>
      <c r="Y722" s="434"/>
      <c r="Z722" s="434"/>
      <c r="AA722" s="434"/>
      <c r="AB722" s="434"/>
      <c r="AC722" s="434"/>
      <c r="AD722" s="434"/>
    </row>
    <row r="723">
      <c r="A723" s="434"/>
      <c r="B723" s="528"/>
      <c r="C723" s="528"/>
      <c r="D723" s="528"/>
      <c r="E723" s="528"/>
      <c r="F723" s="528"/>
      <c r="G723" s="528"/>
      <c r="H723" s="528"/>
      <c r="I723" s="528"/>
      <c r="J723" s="528"/>
      <c r="K723" s="528"/>
      <c r="L723" s="528"/>
      <c r="M723" s="528"/>
      <c r="N723" s="528"/>
      <c r="O723" s="528"/>
      <c r="P723" s="528"/>
      <c r="Q723" s="434"/>
      <c r="R723" s="434"/>
      <c r="S723" s="434"/>
      <c r="T723" s="434"/>
      <c r="U723" s="434"/>
      <c r="V723" s="434"/>
      <c r="W723" s="434"/>
      <c r="X723" s="434"/>
      <c r="Y723" s="434"/>
      <c r="Z723" s="434"/>
      <c r="AA723" s="434"/>
      <c r="AB723" s="434"/>
      <c r="AC723" s="434"/>
      <c r="AD723" s="434"/>
    </row>
    <row r="724">
      <c r="A724" s="434"/>
      <c r="B724" s="528"/>
      <c r="C724" s="528"/>
      <c r="D724" s="528"/>
      <c r="E724" s="528"/>
      <c r="F724" s="528"/>
      <c r="G724" s="528"/>
      <c r="H724" s="528"/>
      <c r="I724" s="528"/>
      <c r="J724" s="528"/>
      <c r="K724" s="528"/>
      <c r="L724" s="528"/>
      <c r="M724" s="528"/>
      <c r="N724" s="528"/>
      <c r="O724" s="528"/>
      <c r="P724" s="528"/>
      <c r="Q724" s="434"/>
      <c r="R724" s="434"/>
      <c r="S724" s="434"/>
      <c r="T724" s="434"/>
      <c r="U724" s="434"/>
      <c r="V724" s="434"/>
      <c r="W724" s="434"/>
      <c r="X724" s="434"/>
      <c r="Y724" s="434"/>
      <c r="Z724" s="434"/>
      <c r="AA724" s="434"/>
      <c r="AB724" s="434"/>
      <c r="AC724" s="434"/>
      <c r="AD724" s="434"/>
    </row>
    <row r="725">
      <c r="A725" s="434"/>
      <c r="B725" s="52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434"/>
      <c r="R725" s="434"/>
      <c r="S725" s="434"/>
      <c r="T725" s="434"/>
      <c r="U725" s="434"/>
      <c r="V725" s="434"/>
      <c r="W725" s="434"/>
      <c r="X725" s="434"/>
      <c r="Y725" s="434"/>
      <c r="Z725" s="434"/>
      <c r="AA725" s="434"/>
      <c r="AB725" s="434"/>
      <c r="AC725" s="434"/>
      <c r="AD725" s="434"/>
    </row>
    <row r="726">
      <c r="A726" s="434"/>
      <c r="B726" s="528"/>
      <c r="C726" s="528"/>
      <c r="D726" s="528"/>
      <c r="E726" s="528"/>
      <c r="F726" s="528"/>
      <c r="G726" s="528"/>
      <c r="H726" s="528"/>
      <c r="I726" s="528"/>
      <c r="J726" s="528"/>
      <c r="K726" s="528"/>
      <c r="L726" s="528"/>
      <c r="M726" s="528"/>
      <c r="N726" s="528"/>
      <c r="O726" s="528"/>
      <c r="P726" s="528"/>
      <c r="Q726" s="434"/>
      <c r="R726" s="434"/>
      <c r="S726" s="434"/>
      <c r="T726" s="434"/>
      <c r="U726" s="434"/>
      <c r="V726" s="434"/>
      <c r="W726" s="434"/>
      <c r="X726" s="434"/>
      <c r="Y726" s="434"/>
      <c r="Z726" s="434"/>
      <c r="AA726" s="434"/>
      <c r="AB726" s="434"/>
      <c r="AC726" s="434"/>
      <c r="AD726" s="434"/>
    </row>
    <row r="727">
      <c r="A727" s="434"/>
      <c r="B727" s="528"/>
      <c r="C727" s="528"/>
      <c r="D727" s="528"/>
      <c r="E727" s="528"/>
      <c r="F727" s="528"/>
      <c r="G727" s="528"/>
      <c r="H727" s="528"/>
      <c r="I727" s="528"/>
      <c r="J727" s="528"/>
      <c r="K727" s="528"/>
      <c r="L727" s="528"/>
      <c r="M727" s="528"/>
      <c r="N727" s="528"/>
      <c r="O727" s="528"/>
      <c r="P727" s="528"/>
      <c r="Q727" s="434"/>
      <c r="R727" s="434"/>
      <c r="S727" s="434"/>
      <c r="T727" s="434"/>
      <c r="U727" s="434"/>
      <c r="V727" s="434"/>
      <c r="W727" s="434"/>
      <c r="X727" s="434"/>
      <c r="Y727" s="434"/>
      <c r="Z727" s="434"/>
      <c r="AA727" s="434"/>
      <c r="AB727" s="434"/>
      <c r="AC727" s="434"/>
      <c r="AD727" s="434"/>
    </row>
    <row r="728">
      <c r="A728" s="434"/>
      <c r="B728" s="528"/>
      <c r="C728" s="528"/>
      <c r="D728" s="528"/>
      <c r="E728" s="528"/>
      <c r="F728" s="528"/>
      <c r="G728" s="528"/>
      <c r="H728" s="528"/>
      <c r="I728" s="528"/>
      <c r="J728" s="528"/>
      <c r="K728" s="528"/>
      <c r="L728" s="528"/>
      <c r="M728" s="528"/>
      <c r="N728" s="528"/>
      <c r="O728" s="528"/>
      <c r="P728" s="528"/>
      <c r="Q728" s="434"/>
      <c r="R728" s="434"/>
      <c r="S728" s="434"/>
      <c r="T728" s="434"/>
      <c r="U728" s="434"/>
      <c r="V728" s="434"/>
      <c r="W728" s="434"/>
      <c r="X728" s="434"/>
      <c r="Y728" s="434"/>
      <c r="Z728" s="434"/>
      <c r="AA728" s="434"/>
      <c r="AB728" s="434"/>
      <c r="AC728" s="434"/>
      <c r="AD728" s="434"/>
    </row>
    <row r="729">
      <c r="A729" s="434"/>
      <c r="B729" s="528"/>
      <c r="C729" s="528"/>
      <c r="D729" s="528"/>
      <c r="E729" s="528"/>
      <c r="F729" s="528"/>
      <c r="G729" s="528"/>
      <c r="H729" s="528"/>
      <c r="I729" s="528"/>
      <c r="J729" s="528"/>
      <c r="K729" s="528"/>
      <c r="L729" s="528"/>
      <c r="M729" s="528"/>
      <c r="N729" s="528"/>
      <c r="O729" s="528"/>
      <c r="P729" s="528"/>
      <c r="Q729" s="434"/>
      <c r="R729" s="434"/>
      <c r="S729" s="434"/>
      <c r="T729" s="434"/>
      <c r="U729" s="434"/>
      <c r="V729" s="434"/>
      <c r="W729" s="434"/>
      <c r="X729" s="434"/>
      <c r="Y729" s="434"/>
      <c r="Z729" s="434"/>
      <c r="AA729" s="434"/>
      <c r="AB729" s="434"/>
      <c r="AC729" s="434"/>
      <c r="AD729" s="434"/>
    </row>
    <row r="730">
      <c r="A730" s="434"/>
      <c r="B730" s="528"/>
      <c r="C730" s="528"/>
      <c r="D730" s="528"/>
      <c r="E730" s="528"/>
      <c r="F730" s="528"/>
      <c r="G730" s="528"/>
      <c r="H730" s="528"/>
      <c r="I730" s="528"/>
      <c r="J730" s="528"/>
      <c r="K730" s="528"/>
      <c r="L730" s="528"/>
      <c r="M730" s="528"/>
      <c r="N730" s="528"/>
      <c r="O730" s="528"/>
      <c r="P730" s="528"/>
      <c r="Q730" s="434"/>
      <c r="R730" s="434"/>
      <c r="S730" s="434"/>
      <c r="T730" s="434"/>
      <c r="U730" s="434"/>
      <c r="V730" s="434"/>
      <c r="W730" s="434"/>
      <c r="X730" s="434"/>
      <c r="Y730" s="434"/>
      <c r="Z730" s="434"/>
      <c r="AA730" s="434"/>
      <c r="AB730" s="434"/>
      <c r="AC730" s="434"/>
      <c r="AD730" s="434"/>
    </row>
    <row r="731">
      <c r="A731" s="434"/>
      <c r="B731" s="528"/>
      <c r="C731" s="528"/>
      <c r="D731" s="528"/>
      <c r="E731" s="528"/>
      <c r="F731" s="528"/>
      <c r="G731" s="528"/>
      <c r="H731" s="528"/>
      <c r="I731" s="528"/>
      <c r="J731" s="528"/>
      <c r="K731" s="528"/>
      <c r="L731" s="528"/>
      <c r="M731" s="528"/>
      <c r="N731" s="528"/>
      <c r="O731" s="528"/>
      <c r="P731" s="528"/>
      <c r="Q731" s="434"/>
      <c r="R731" s="434"/>
      <c r="S731" s="434"/>
      <c r="T731" s="434"/>
      <c r="U731" s="434"/>
      <c r="V731" s="434"/>
      <c r="W731" s="434"/>
      <c r="X731" s="434"/>
      <c r="Y731" s="434"/>
      <c r="Z731" s="434"/>
      <c r="AA731" s="434"/>
      <c r="AB731" s="434"/>
      <c r="AC731" s="434"/>
      <c r="AD731" s="434"/>
    </row>
    <row r="732">
      <c r="A732" s="434"/>
      <c r="B732" s="528"/>
      <c r="C732" s="528"/>
      <c r="D732" s="528"/>
      <c r="E732" s="528"/>
      <c r="F732" s="528"/>
      <c r="G732" s="528"/>
      <c r="H732" s="528"/>
      <c r="I732" s="528"/>
      <c r="J732" s="528"/>
      <c r="K732" s="528"/>
      <c r="L732" s="528"/>
      <c r="M732" s="528"/>
      <c r="N732" s="528"/>
      <c r="O732" s="528"/>
      <c r="P732" s="528"/>
      <c r="Q732" s="434"/>
      <c r="R732" s="434"/>
      <c r="S732" s="434"/>
      <c r="T732" s="434"/>
      <c r="U732" s="434"/>
      <c r="V732" s="434"/>
      <c r="W732" s="434"/>
      <c r="X732" s="434"/>
      <c r="Y732" s="434"/>
      <c r="Z732" s="434"/>
      <c r="AA732" s="434"/>
      <c r="AB732" s="434"/>
      <c r="AC732" s="434"/>
      <c r="AD732" s="434"/>
    </row>
    <row r="733">
      <c r="A733" s="434"/>
      <c r="B733" s="528"/>
      <c r="C733" s="528"/>
      <c r="D733" s="528"/>
      <c r="E733" s="528"/>
      <c r="F733" s="528"/>
      <c r="G733" s="528"/>
      <c r="H733" s="528"/>
      <c r="I733" s="528"/>
      <c r="J733" s="528"/>
      <c r="K733" s="528"/>
      <c r="L733" s="528"/>
      <c r="M733" s="528"/>
      <c r="N733" s="528"/>
      <c r="O733" s="528"/>
      <c r="P733" s="528"/>
      <c r="Q733" s="434"/>
      <c r="R733" s="434"/>
      <c r="S733" s="434"/>
      <c r="T733" s="434"/>
      <c r="U733" s="434"/>
      <c r="V733" s="434"/>
      <c r="W733" s="434"/>
      <c r="X733" s="434"/>
      <c r="Y733" s="434"/>
      <c r="Z733" s="434"/>
      <c r="AA733" s="434"/>
      <c r="AB733" s="434"/>
      <c r="AC733" s="434"/>
      <c r="AD733" s="434"/>
    </row>
    <row r="734">
      <c r="A734" s="434"/>
      <c r="B734" s="528"/>
      <c r="C734" s="528"/>
      <c r="D734" s="528"/>
      <c r="E734" s="528"/>
      <c r="F734" s="528"/>
      <c r="G734" s="528"/>
      <c r="H734" s="528"/>
      <c r="I734" s="528"/>
      <c r="J734" s="528"/>
      <c r="K734" s="528"/>
      <c r="L734" s="528"/>
      <c r="M734" s="528"/>
      <c r="N734" s="528"/>
      <c r="O734" s="528"/>
      <c r="P734" s="528"/>
      <c r="Q734" s="434"/>
      <c r="R734" s="434"/>
      <c r="S734" s="434"/>
      <c r="T734" s="434"/>
      <c r="U734" s="434"/>
      <c r="V734" s="434"/>
      <c r="W734" s="434"/>
      <c r="X734" s="434"/>
      <c r="Y734" s="434"/>
      <c r="Z734" s="434"/>
      <c r="AA734" s="434"/>
      <c r="AB734" s="434"/>
      <c r="AC734" s="434"/>
      <c r="AD734" s="434"/>
    </row>
    <row r="735">
      <c r="A735" s="434"/>
      <c r="B735" s="528"/>
      <c r="C735" s="528"/>
      <c r="D735" s="528"/>
      <c r="E735" s="528"/>
      <c r="F735" s="528"/>
      <c r="G735" s="528"/>
      <c r="H735" s="528"/>
      <c r="I735" s="528"/>
      <c r="J735" s="528"/>
      <c r="K735" s="528"/>
      <c r="L735" s="528"/>
      <c r="M735" s="528"/>
      <c r="N735" s="528"/>
      <c r="O735" s="528"/>
      <c r="P735" s="528"/>
      <c r="Q735" s="434"/>
      <c r="R735" s="434"/>
      <c r="S735" s="434"/>
      <c r="T735" s="434"/>
      <c r="U735" s="434"/>
      <c r="V735" s="434"/>
      <c r="W735" s="434"/>
      <c r="X735" s="434"/>
      <c r="Y735" s="434"/>
      <c r="Z735" s="434"/>
      <c r="AA735" s="434"/>
      <c r="AB735" s="434"/>
      <c r="AC735" s="434"/>
      <c r="AD735" s="434"/>
    </row>
    <row r="736">
      <c r="A736" s="434"/>
      <c r="B736" s="528"/>
      <c r="C736" s="528"/>
      <c r="D736" s="528"/>
      <c r="E736" s="528"/>
      <c r="F736" s="528"/>
      <c r="G736" s="528"/>
      <c r="H736" s="528"/>
      <c r="I736" s="528"/>
      <c r="J736" s="528"/>
      <c r="K736" s="528"/>
      <c r="L736" s="528"/>
      <c r="M736" s="528"/>
      <c r="N736" s="528"/>
      <c r="O736" s="528"/>
      <c r="P736" s="528"/>
      <c r="Q736" s="434"/>
      <c r="R736" s="434"/>
      <c r="S736" s="434"/>
      <c r="T736" s="434"/>
      <c r="U736" s="434"/>
      <c r="V736" s="434"/>
      <c r="W736" s="434"/>
      <c r="X736" s="434"/>
      <c r="Y736" s="434"/>
      <c r="Z736" s="434"/>
      <c r="AA736" s="434"/>
      <c r="AB736" s="434"/>
      <c r="AC736" s="434"/>
      <c r="AD736" s="434"/>
    </row>
    <row r="737">
      <c r="A737" s="434"/>
      <c r="B737" s="528"/>
      <c r="C737" s="528"/>
      <c r="D737" s="528"/>
      <c r="E737" s="528"/>
      <c r="F737" s="528"/>
      <c r="G737" s="528"/>
      <c r="H737" s="528"/>
      <c r="I737" s="528"/>
      <c r="J737" s="528"/>
      <c r="K737" s="528"/>
      <c r="L737" s="528"/>
      <c r="M737" s="528"/>
      <c r="N737" s="528"/>
      <c r="O737" s="528"/>
      <c r="P737" s="528"/>
      <c r="Q737" s="434"/>
      <c r="R737" s="434"/>
      <c r="S737" s="434"/>
      <c r="T737" s="434"/>
      <c r="U737" s="434"/>
      <c r="V737" s="434"/>
      <c r="W737" s="434"/>
      <c r="X737" s="434"/>
      <c r="Y737" s="434"/>
      <c r="Z737" s="434"/>
      <c r="AA737" s="434"/>
      <c r="AB737" s="434"/>
      <c r="AC737" s="434"/>
      <c r="AD737" s="434"/>
    </row>
    <row r="738">
      <c r="A738" s="434"/>
      <c r="B738" s="528"/>
      <c r="C738" s="528"/>
      <c r="D738" s="528"/>
      <c r="E738" s="528"/>
      <c r="F738" s="528"/>
      <c r="G738" s="528"/>
      <c r="H738" s="528"/>
      <c r="I738" s="528"/>
      <c r="J738" s="528"/>
      <c r="K738" s="528"/>
      <c r="L738" s="528"/>
      <c r="M738" s="528"/>
      <c r="N738" s="528"/>
      <c r="O738" s="528"/>
      <c r="P738" s="528"/>
      <c r="Q738" s="434"/>
      <c r="R738" s="434"/>
      <c r="S738" s="434"/>
      <c r="T738" s="434"/>
      <c r="U738" s="434"/>
      <c r="V738" s="434"/>
      <c r="W738" s="434"/>
      <c r="X738" s="434"/>
      <c r="Y738" s="434"/>
      <c r="Z738" s="434"/>
      <c r="AA738" s="434"/>
      <c r="AB738" s="434"/>
      <c r="AC738" s="434"/>
      <c r="AD738" s="434"/>
    </row>
    <row r="739">
      <c r="A739" s="434"/>
      <c r="B739" s="528"/>
      <c r="C739" s="528"/>
      <c r="D739" s="528"/>
      <c r="E739" s="528"/>
      <c r="F739" s="528"/>
      <c r="G739" s="528"/>
      <c r="H739" s="528"/>
      <c r="I739" s="528"/>
      <c r="J739" s="528"/>
      <c r="K739" s="528"/>
      <c r="L739" s="528"/>
      <c r="M739" s="528"/>
      <c r="N739" s="528"/>
      <c r="O739" s="528"/>
      <c r="P739" s="528"/>
      <c r="Q739" s="434"/>
      <c r="R739" s="434"/>
      <c r="S739" s="434"/>
      <c r="T739" s="434"/>
      <c r="U739" s="434"/>
      <c r="V739" s="434"/>
      <c r="W739" s="434"/>
      <c r="X739" s="434"/>
      <c r="Y739" s="434"/>
      <c r="Z739" s="434"/>
      <c r="AA739" s="434"/>
      <c r="AB739" s="434"/>
      <c r="AC739" s="434"/>
      <c r="AD739" s="434"/>
    </row>
    <row r="740">
      <c r="A740" s="434"/>
      <c r="B740" s="528"/>
      <c r="C740" s="528"/>
      <c r="D740" s="528"/>
      <c r="E740" s="528"/>
      <c r="F740" s="528"/>
      <c r="G740" s="528"/>
      <c r="H740" s="528"/>
      <c r="I740" s="528"/>
      <c r="J740" s="528"/>
      <c r="K740" s="528"/>
      <c r="L740" s="528"/>
      <c r="M740" s="528"/>
      <c r="N740" s="528"/>
      <c r="O740" s="528"/>
      <c r="P740" s="528"/>
      <c r="Q740" s="434"/>
      <c r="R740" s="434"/>
      <c r="S740" s="434"/>
      <c r="T740" s="434"/>
      <c r="U740" s="434"/>
      <c r="V740" s="434"/>
      <c r="W740" s="434"/>
      <c r="X740" s="434"/>
      <c r="Y740" s="434"/>
      <c r="Z740" s="434"/>
      <c r="AA740" s="434"/>
      <c r="AB740" s="434"/>
      <c r="AC740" s="434"/>
      <c r="AD740" s="434"/>
    </row>
    <row r="741">
      <c r="A741" s="434"/>
      <c r="B741" s="528"/>
      <c r="C741" s="528"/>
      <c r="D741" s="528"/>
      <c r="E741" s="528"/>
      <c r="F741" s="528"/>
      <c r="G741" s="528"/>
      <c r="H741" s="528"/>
      <c r="I741" s="528"/>
      <c r="J741" s="528"/>
      <c r="K741" s="528"/>
      <c r="L741" s="528"/>
      <c r="M741" s="528"/>
      <c r="N741" s="528"/>
      <c r="O741" s="528"/>
      <c r="P741" s="528"/>
      <c r="Q741" s="434"/>
      <c r="R741" s="434"/>
      <c r="S741" s="434"/>
      <c r="T741" s="434"/>
      <c r="U741" s="434"/>
      <c r="V741" s="434"/>
      <c r="W741" s="434"/>
      <c r="X741" s="434"/>
      <c r="Y741" s="434"/>
      <c r="Z741" s="434"/>
      <c r="AA741" s="434"/>
      <c r="AB741" s="434"/>
      <c r="AC741" s="434"/>
      <c r="AD741" s="434"/>
    </row>
    <row r="742">
      <c r="A742" s="434"/>
      <c r="B742" s="528"/>
      <c r="C742" s="528"/>
      <c r="D742" s="528"/>
      <c r="E742" s="528"/>
      <c r="F742" s="528"/>
      <c r="G742" s="528"/>
      <c r="H742" s="528"/>
      <c r="I742" s="528"/>
      <c r="J742" s="528"/>
      <c r="K742" s="528"/>
      <c r="L742" s="528"/>
      <c r="M742" s="528"/>
      <c r="N742" s="528"/>
      <c r="O742" s="528"/>
      <c r="P742" s="528"/>
      <c r="Q742" s="434"/>
      <c r="R742" s="434"/>
      <c r="S742" s="434"/>
      <c r="T742" s="434"/>
      <c r="U742" s="434"/>
      <c r="V742" s="434"/>
      <c r="W742" s="434"/>
      <c r="X742" s="434"/>
      <c r="Y742" s="434"/>
      <c r="Z742" s="434"/>
      <c r="AA742" s="434"/>
      <c r="AB742" s="434"/>
      <c r="AC742" s="434"/>
      <c r="AD742" s="434"/>
    </row>
    <row r="743">
      <c r="A743" s="434"/>
      <c r="B743" s="528"/>
      <c r="C743" s="528"/>
      <c r="D743" s="528"/>
      <c r="E743" s="528"/>
      <c r="F743" s="528"/>
      <c r="G743" s="528"/>
      <c r="H743" s="528"/>
      <c r="I743" s="528"/>
      <c r="J743" s="528"/>
      <c r="K743" s="528"/>
      <c r="L743" s="528"/>
      <c r="M743" s="528"/>
      <c r="N743" s="528"/>
      <c r="O743" s="528"/>
      <c r="P743" s="528"/>
      <c r="Q743" s="434"/>
      <c r="R743" s="434"/>
      <c r="S743" s="434"/>
      <c r="T743" s="434"/>
      <c r="U743" s="434"/>
      <c r="V743" s="434"/>
      <c r="W743" s="434"/>
      <c r="X743" s="434"/>
      <c r="Y743" s="434"/>
      <c r="Z743" s="434"/>
      <c r="AA743" s="434"/>
      <c r="AB743" s="434"/>
      <c r="AC743" s="434"/>
      <c r="AD743" s="434"/>
    </row>
    <row r="744">
      <c r="A744" s="434"/>
      <c r="B744" s="528"/>
      <c r="C744" s="528"/>
      <c r="D744" s="528"/>
      <c r="E744" s="528"/>
      <c r="F744" s="528"/>
      <c r="G744" s="528"/>
      <c r="H744" s="528"/>
      <c r="I744" s="528"/>
      <c r="J744" s="528"/>
      <c r="K744" s="528"/>
      <c r="L744" s="528"/>
      <c r="M744" s="528"/>
      <c r="N744" s="528"/>
      <c r="O744" s="528"/>
      <c r="P744" s="528"/>
      <c r="Q744" s="434"/>
      <c r="R744" s="434"/>
      <c r="S744" s="434"/>
      <c r="T744" s="434"/>
      <c r="U744" s="434"/>
      <c r="V744" s="434"/>
      <c r="W744" s="434"/>
      <c r="X744" s="434"/>
      <c r="Y744" s="434"/>
      <c r="Z744" s="434"/>
      <c r="AA744" s="434"/>
      <c r="AB744" s="434"/>
      <c r="AC744" s="434"/>
      <c r="AD744" s="434"/>
    </row>
    <row r="745">
      <c r="A745" s="434"/>
      <c r="B745" s="528"/>
      <c r="C745" s="528"/>
      <c r="D745" s="528"/>
      <c r="E745" s="528"/>
      <c r="F745" s="528"/>
      <c r="G745" s="528"/>
      <c r="H745" s="528"/>
      <c r="I745" s="528"/>
      <c r="J745" s="528"/>
      <c r="K745" s="528"/>
      <c r="L745" s="528"/>
      <c r="M745" s="528"/>
      <c r="N745" s="528"/>
      <c r="O745" s="528"/>
      <c r="P745" s="528"/>
      <c r="Q745" s="434"/>
      <c r="R745" s="434"/>
      <c r="S745" s="434"/>
      <c r="T745" s="434"/>
      <c r="U745" s="434"/>
      <c r="V745" s="434"/>
      <c r="W745" s="434"/>
      <c r="X745" s="434"/>
      <c r="Y745" s="434"/>
      <c r="Z745" s="434"/>
      <c r="AA745" s="434"/>
      <c r="AB745" s="434"/>
      <c r="AC745" s="434"/>
      <c r="AD745" s="434"/>
    </row>
    <row r="746">
      <c r="A746" s="434"/>
      <c r="B746" s="528"/>
      <c r="C746" s="528"/>
      <c r="D746" s="528"/>
      <c r="E746" s="528"/>
      <c r="F746" s="528"/>
      <c r="G746" s="528"/>
      <c r="H746" s="528"/>
      <c r="I746" s="528"/>
      <c r="J746" s="528"/>
      <c r="K746" s="528"/>
      <c r="L746" s="528"/>
      <c r="M746" s="528"/>
      <c r="N746" s="528"/>
      <c r="O746" s="528"/>
      <c r="P746" s="528"/>
      <c r="Q746" s="434"/>
      <c r="R746" s="434"/>
      <c r="S746" s="434"/>
      <c r="T746" s="434"/>
      <c r="U746" s="434"/>
      <c r="V746" s="434"/>
      <c r="W746" s="434"/>
      <c r="X746" s="434"/>
      <c r="Y746" s="434"/>
      <c r="Z746" s="434"/>
      <c r="AA746" s="434"/>
      <c r="AB746" s="434"/>
      <c r="AC746" s="434"/>
      <c r="AD746" s="434"/>
    </row>
    <row r="747">
      <c r="A747" s="434"/>
      <c r="B747" s="528"/>
      <c r="C747" s="528"/>
      <c r="D747" s="528"/>
      <c r="E747" s="528"/>
      <c r="F747" s="528"/>
      <c r="G747" s="528"/>
      <c r="H747" s="528"/>
      <c r="I747" s="528"/>
      <c r="J747" s="528"/>
      <c r="K747" s="528"/>
      <c r="L747" s="528"/>
      <c r="M747" s="528"/>
      <c r="N747" s="528"/>
      <c r="O747" s="528"/>
      <c r="P747" s="528"/>
      <c r="Q747" s="434"/>
      <c r="R747" s="434"/>
      <c r="S747" s="434"/>
      <c r="T747" s="434"/>
      <c r="U747" s="434"/>
      <c r="V747" s="434"/>
      <c r="W747" s="434"/>
      <c r="X747" s="434"/>
      <c r="Y747" s="434"/>
      <c r="Z747" s="434"/>
      <c r="AA747" s="434"/>
      <c r="AB747" s="434"/>
      <c r="AC747" s="434"/>
      <c r="AD747" s="434"/>
    </row>
    <row r="748">
      <c r="A748" s="434"/>
      <c r="B748" s="528"/>
      <c r="C748" s="528"/>
      <c r="D748" s="528"/>
      <c r="E748" s="528"/>
      <c r="F748" s="528"/>
      <c r="G748" s="528"/>
      <c r="H748" s="528"/>
      <c r="I748" s="528"/>
      <c r="J748" s="528"/>
      <c r="K748" s="528"/>
      <c r="L748" s="528"/>
      <c r="M748" s="528"/>
      <c r="N748" s="528"/>
      <c r="O748" s="528"/>
      <c r="P748" s="528"/>
      <c r="Q748" s="434"/>
      <c r="R748" s="434"/>
      <c r="S748" s="434"/>
      <c r="T748" s="434"/>
      <c r="U748" s="434"/>
      <c r="V748" s="434"/>
      <c r="W748" s="434"/>
      <c r="X748" s="434"/>
      <c r="Y748" s="434"/>
      <c r="Z748" s="434"/>
      <c r="AA748" s="434"/>
      <c r="AB748" s="434"/>
      <c r="AC748" s="434"/>
      <c r="AD748" s="434"/>
    </row>
    <row r="749">
      <c r="A749" s="434"/>
      <c r="B749" s="528"/>
      <c r="C749" s="528"/>
      <c r="D749" s="528"/>
      <c r="E749" s="528"/>
      <c r="F749" s="528"/>
      <c r="G749" s="528"/>
      <c r="H749" s="528"/>
      <c r="I749" s="528"/>
      <c r="J749" s="528"/>
      <c r="K749" s="528"/>
      <c r="L749" s="528"/>
      <c r="M749" s="528"/>
      <c r="N749" s="528"/>
      <c r="O749" s="528"/>
      <c r="P749" s="528"/>
      <c r="Q749" s="434"/>
      <c r="R749" s="434"/>
      <c r="S749" s="434"/>
      <c r="T749" s="434"/>
      <c r="U749" s="434"/>
      <c r="V749" s="434"/>
      <c r="W749" s="434"/>
      <c r="X749" s="434"/>
      <c r="Y749" s="434"/>
      <c r="Z749" s="434"/>
      <c r="AA749" s="434"/>
      <c r="AB749" s="434"/>
      <c r="AC749" s="434"/>
      <c r="AD749" s="434"/>
    </row>
    <row r="750">
      <c r="A750" s="434"/>
      <c r="B750" s="528"/>
      <c r="C750" s="528"/>
      <c r="D750" s="528"/>
      <c r="E750" s="528"/>
      <c r="F750" s="528"/>
      <c r="G750" s="528"/>
      <c r="H750" s="528"/>
      <c r="I750" s="528"/>
      <c r="J750" s="528"/>
      <c r="K750" s="528"/>
      <c r="L750" s="528"/>
      <c r="M750" s="528"/>
      <c r="N750" s="528"/>
      <c r="O750" s="528"/>
      <c r="P750" s="528"/>
      <c r="Q750" s="434"/>
      <c r="R750" s="434"/>
      <c r="S750" s="434"/>
      <c r="T750" s="434"/>
      <c r="U750" s="434"/>
      <c r="V750" s="434"/>
      <c r="W750" s="434"/>
      <c r="X750" s="434"/>
      <c r="Y750" s="434"/>
      <c r="Z750" s="434"/>
      <c r="AA750" s="434"/>
      <c r="AB750" s="434"/>
      <c r="AC750" s="434"/>
      <c r="AD750" s="434"/>
    </row>
    <row r="751">
      <c r="A751" s="434"/>
      <c r="B751" s="528"/>
      <c r="C751" s="528"/>
      <c r="D751" s="528"/>
      <c r="E751" s="528"/>
      <c r="F751" s="528"/>
      <c r="G751" s="528"/>
      <c r="H751" s="528"/>
      <c r="I751" s="528"/>
      <c r="J751" s="528"/>
      <c r="K751" s="528"/>
      <c r="L751" s="528"/>
      <c r="M751" s="528"/>
      <c r="N751" s="528"/>
      <c r="O751" s="528"/>
      <c r="P751" s="528"/>
      <c r="Q751" s="434"/>
      <c r="R751" s="434"/>
      <c r="S751" s="434"/>
      <c r="T751" s="434"/>
      <c r="U751" s="434"/>
      <c r="V751" s="434"/>
      <c r="W751" s="434"/>
      <c r="X751" s="434"/>
      <c r="Y751" s="434"/>
      <c r="Z751" s="434"/>
      <c r="AA751" s="434"/>
      <c r="AB751" s="434"/>
      <c r="AC751" s="434"/>
      <c r="AD751" s="434"/>
    </row>
    <row r="752">
      <c r="A752" s="434"/>
      <c r="B752" s="528"/>
      <c r="C752" s="528"/>
      <c r="D752" s="528"/>
      <c r="E752" s="528"/>
      <c r="F752" s="528"/>
      <c r="G752" s="528"/>
      <c r="H752" s="528"/>
      <c r="I752" s="528"/>
      <c r="J752" s="528"/>
      <c r="K752" s="528"/>
      <c r="L752" s="528"/>
      <c r="M752" s="528"/>
      <c r="N752" s="528"/>
      <c r="O752" s="528"/>
      <c r="P752" s="528"/>
      <c r="Q752" s="434"/>
      <c r="R752" s="434"/>
      <c r="S752" s="434"/>
      <c r="T752" s="434"/>
      <c r="U752" s="434"/>
      <c r="V752" s="434"/>
      <c r="W752" s="434"/>
      <c r="X752" s="434"/>
      <c r="Y752" s="434"/>
      <c r="Z752" s="434"/>
      <c r="AA752" s="434"/>
      <c r="AB752" s="434"/>
      <c r="AC752" s="434"/>
      <c r="AD752" s="434"/>
    </row>
    <row r="753">
      <c r="A753" s="434"/>
      <c r="B753" s="528"/>
      <c r="C753" s="528"/>
      <c r="D753" s="528"/>
      <c r="E753" s="528"/>
      <c r="F753" s="528"/>
      <c r="G753" s="528"/>
      <c r="H753" s="528"/>
      <c r="I753" s="528"/>
      <c r="J753" s="528"/>
      <c r="K753" s="528"/>
      <c r="L753" s="528"/>
      <c r="M753" s="528"/>
      <c r="N753" s="528"/>
      <c r="O753" s="528"/>
      <c r="P753" s="528"/>
      <c r="Q753" s="434"/>
      <c r="R753" s="434"/>
      <c r="S753" s="434"/>
      <c r="T753" s="434"/>
      <c r="U753" s="434"/>
      <c r="V753" s="434"/>
      <c r="W753" s="434"/>
      <c r="X753" s="434"/>
      <c r="Y753" s="434"/>
      <c r="Z753" s="434"/>
      <c r="AA753" s="434"/>
      <c r="AB753" s="434"/>
      <c r="AC753" s="434"/>
      <c r="AD753" s="434"/>
    </row>
    <row r="754">
      <c r="A754" s="434"/>
      <c r="B754" s="528"/>
      <c r="C754" s="528"/>
      <c r="D754" s="528"/>
      <c r="E754" s="528"/>
      <c r="F754" s="528"/>
      <c r="G754" s="528"/>
      <c r="H754" s="528"/>
      <c r="I754" s="528"/>
      <c r="J754" s="528"/>
      <c r="K754" s="528"/>
      <c r="L754" s="528"/>
      <c r="M754" s="528"/>
      <c r="N754" s="528"/>
      <c r="O754" s="528"/>
      <c r="P754" s="528"/>
      <c r="Q754" s="434"/>
      <c r="R754" s="434"/>
      <c r="S754" s="434"/>
      <c r="T754" s="434"/>
      <c r="U754" s="434"/>
      <c r="V754" s="434"/>
      <c r="W754" s="434"/>
      <c r="X754" s="434"/>
      <c r="Y754" s="434"/>
      <c r="Z754" s="434"/>
      <c r="AA754" s="434"/>
      <c r="AB754" s="434"/>
      <c r="AC754" s="434"/>
      <c r="AD754" s="434"/>
    </row>
    <row r="755">
      <c r="A755" s="434"/>
      <c r="B755" s="528"/>
      <c r="C755" s="528"/>
      <c r="D755" s="528"/>
      <c r="E755" s="528"/>
      <c r="F755" s="528"/>
      <c r="G755" s="528"/>
      <c r="H755" s="528"/>
      <c r="I755" s="528"/>
      <c r="J755" s="528"/>
      <c r="K755" s="528"/>
      <c r="L755" s="528"/>
      <c r="M755" s="528"/>
      <c r="N755" s="528"/>
      <c r="O755" s="528"/>
      <c r="P755" s="528"/>
      <c r="Q755" s="434"/>
      <c r="R755" s="434"/>
      <c r="S755" s="434"/>
      <c r="T755" s="434"/>
      <c r="U755" s="434"/>
      <c r="V755" s="434"/>
      <c r="W755" s="434"/>
      <c r="X755" s="434"/>
      <c r="Y755" s="434"/>
      <c r="Z755" s="434"/>
      <c r="AA755" s="434"/>
      <c r="AB755" s="434"/>
      <c r="AC755" s="434"/>
      <c r="AD755" s="434"/>
    </row>
    <row r="756">
      <c r="A756" s="434"/>
      <c r="B756" s="528"/>
      <c r="C756" s="528"/>
      <c r="D756" s="528"/>
      <c r="E756" s="528"/>
      <c r="F756" s="528"/>
      <c r="G756" s="528"/>
      <c r="H756" s="528"/>
      <c r="I756" s="528"/>
      <c r="J756" s="528"/>
      <c r="K756" s="528"/>
      <c r="L756" s="528"/>
      <c r="M756" s="528"/>
      <c r="N756" s="528"/>
      <c r="O756" s="528"/>
      <c r="P756" s="528"/>
      <c r="Q756" s="434"/>
      <c r="R756" s="434"/>
      <c r="S756" s="434"/>
      <c r="T756" s="434"/>
      <c r="U756" s="434"/>
      <c r="V756" s="434"/>
      <c r="W756" s="434"/>
      <c r="X756" s="434"/>
      <c r="Y756" s="434"/>
      <c r="Z756" s="434"/>
      <c r="AA756" s="434"/>
      <c r="AB756" s="434"/>
      <c r="AC756" s="434"/>
      <c r="AD756" s="434"/>
    </row>
    <row r="757">
      <c r="A757" s="434"/>
      <c r="B757" s="528"/>
      <c r="C757" s="528"/>
      <c r="D757" s="528"/>
      <c r="E757" s="528"/>
      <c r="F757" s="528"/>
      <c r="G757" s="528"/>
      <c r="H757" s="528"/>
      <c r="I757" s="528"/>
      <c r="J757" s="528"/>
      <c r="K757" s="528"/>
      <c r="L757" s="528"/>
      <c r="M757" s="528"/>
      <c r="N757" s="528"/>
      <c r="O757" s="528"/>
      <c r="P757" s="528"/>
      <c r="Q757" s="434"/>
      <c r="R757" s="434"/>
      <c r="S757" s="434"/>
      <c r="T757" s="434"/>
      <c r="U757" s="434"/>
      <c r="V757" s="434"/>
      <c r="W757" s="434"/>
      <c r="X757" s="434"/>
      <c r="Y757" s="434"/>
      <c r="Z757" s="434"/>
      <c r="AA757" s="434"/>
      <c r="AB757" s="434"/>
      <c r="AC757" s="434"/>
      <c r="AD757" s="434"/>
    </row>
    <row r="758">
      <c r="A758" s="434"/>
      <c r="B758" s="528"/>
      <c r="C758" s="528"/>
      <c r="D758" s="528"/>
      <c r="E758" s="528"/>
      <c r="F758" s="528"/>
      <c r="G758" s="528"/>
      <c r="H758" s="528"/>
      <c r="I758" s="528"/>
      <c r="J758" s="528"/>
      <c r="K758" s="528"/>
      <c r="L758" s="528"/>
      <c r="M758" s="528"/>
      <c r="N758" s="528"/>
      <c r="O758" s="528"/>
      <c r="P758" s="528"/>
      <c r="Q758" s="434"/>
      <c r="R758" s="434"/>
      <c r="S758" s="434"/>
      <c r="T758" s="434"/>
      <c r="U758" s="434"/>
      <c r="V758" s="434"/>
      <c r="W758" s="434"/>
      <c r="X758" s="434"/>
      <c r="Y758" s="434"/>
      <c r="Z758" s="434"/>
      <c r="AA758" s="434"/>
      <c r="AB758" s="434"/>
      <c r="AC758" s="434"/>
      <c r="AD758" s="434"/>
    </row>
    <row r="759">
      <c r="A759" s="434"/>
      <c r="B759" s="528"/>
      <c r="C759" s="528"/>
      <c r="D759" s="528"/>
      <c r="E759" s="528"/>
      <c r="F759" s="528"/>
      <c r="G759" s="528"/>
      <c r="H759" s="528"/>
      <c r="I759" s="528"/>
      <c r="J759" s="528"/>
      <c r="K759" s="528"/>
      <c r="L759" s="528"/>
      <c r="M759" s="528"/>
      <c r="N759" s="528"/>
      <c r="O759" s="528"/>
      <c r="P759" s="528"/>
      <c r="Q759" s="434"/>
      <c r="R759" s="434"/>
      <c r="S759" s="434"/>
      <c r="T759" s="434"/>
      <c r="U759" s="434"/>
      <c r="V759" s="434"/>
      <c r="W759" s="434"/>
      <c r="X759" s="434"/>
      <c r="Y759" s="434"/>
      <c r="Z759" s="434"/>
      <c r="AA759" s="434"/>
      <c r="AB759" s="434"/>
      <c r="AC759" s="434"/>
      <c r="AD759" s="434"/>
    </row>
    <row r="760">
      <c r="A760" s="434"/>
      <c r="B760" s="528"/>
      <c r="C760" s="528"/>
      <c r="D760" s="528"/>
      <c r="E760" s="528"/>
      <c r="F760" s="528"/>
      <c r="G760" s="528"/>
      <c r="H760" s="528"/>
      <c r="I760" s="528"/>
      <c r="J760" s="528"/>
      <c r="K760" s="528"/>
      <c r="L760" s="528"/>
      <c r="M760" s="528"/>
      <c r="N760" s="528"/>
      <c r="O760" s="528"/>
      <c r="P760" s="528"/>
      <c r="Q760" s="434"/>
      <c r="R760" s="434"/>
      <c r="S760" s="434"/>
      <c r="T760" s="434"/>
      <c r="U760" s="434"/>
      <c r="V760" s="434"/>
      <c r="W760" s="434"/>
      <c r="X760" s="434"/>
      <c r="Y760" s="434"/>
      <c r="Z760" s="434"/>
      <c r="AA760" s="434"/>
      <c r="AB760" s="434"/>
      <c r="AC760" s="434"/>
      <c r="AD760" s="434"/>
    </row>
    <row r="761">
      <c r="A761" s="434"/>
      <c r="B761" s="528"/>
      <c r="C761" s="528"/>
      <c r="D761" s="528"/>
      <c r="E761" s="528"/>
      <c r="F761" s="528"/>
      <c r="G761" s="528"/>
      <c r="H761" s="528"/>
      <c r="I761" s="528"/>
      <c r="J761" s="528"/>
      <c r="K761" s="528"/>
      <c r="L761" s="528"/>
      <c r="M761" s="528"/>
      <c r="N761" s="528"/>
      <c r="O761" s="528"/>
      <c r="P761" s="528"/>
      <c r="Q761" s="434"/>
      <c r="R761" s="434"/>
      <c r="S761" s="434"/>
      <c r="T761" s="434"/>
      <c r="U761" s="434"/>
      <c r="V761" s="434"/>
      <c r="W761" s="434"/>
      <c r="X761" s="434"/>
      <c r="Y761" s="434"/>
      <c r="Z761" s="434"/>
      <c r="AA761" s="434"/>
      <c r="AB761" s="434"/>
      <c r="AC761" s="434"/>
      <c r="AD761" s="434"/>
    </row>
    <row r="762">
      <c r="A762" s="434"/>
      <c r="B762" s="528"/>
      <c r="C762" s="528"/>
      <c r="D762" s="528"/>
      <c r="E762" s="528"/>
      <c r="F762" s="528"/>
      <c r="G762" s="528"/>
      <c r="H762" s="528"/>
      <c r="I762" s="528"/>
      <c r="J762" s="528"/>
      <c r="K762" s="528"/>
      <c r="L762" s="528"/>
      <c r="M762" s="528"/>
      <c r="N762" s="528"/>
      <c r="O762" s="528"/>
      <c r="P762" s="528"/>
      <c r="Q762" s="434"/>
      <c r="R762" s="434"/>
      <c r="S762" s="434"/>
      <c r="T762" s="434"/>
      <c r="U762" s="434"/>
      <c r="V762" s="434"/>
      <c r="W762" s="434"/>
      <c r="X762" s="434"/>
      <c r="Y762" s="434"/>
      <c r="Z762" s="434"/>
      <c r="AA762" s="434"/>
      <c r="AB762" s="434"/>
      <c r="AC762" s="434"/>
      <c r="AD762" s="434"/>
    </row>
    <row r="763">
      <c r="A763" s="434"/>
      <c r="B763" s="528"/>
      <c r="C763" s="528"/>
      <c r="D763" s="528"/>
      <c r="E763" s="528"/>
      <c r="F763" s="528"/>
      <c r="G763" s="528"/>
      <c r="H763" s="528"/>
      <c r="I763" s="528"/>
      <c r="J763" s="528"/>
      <c r="K763" s="528"/>
      <c r="L763" s="528"/>
      <c r="M763" s="528"/>
      <c r="N763" s="528"/>
      <c r="O763" s="528"/>
      <c r="P763" s="528"/>
      <c r="Q763" s="434"/>
      <c r="R763" s="434"/>
      <c r="S763" s="434"/>
      <c r="T763" s="434"/>
      <c r="U763" s="434"/>
      <c r="V763" s="434"/>
      <c r="W763" s="434"/>
      <c r="X763" s="434"/>
      <c r="Y763" s="434"/>
      <c r="Z763" s="434"/>
      <c r="AA763" s="434"/>
      <c r="AB763" s="434"/>
      <c r="AC763" s="434"/>
      <c r="AD763" s="434"/>
    </row>
    <row r="764">
      <c r="A764" s="434"/>
      <c r="B764" s="528"/>
      <c r="C764" s="528"/>
      <c r="D764" s="528"/>
      <c r="E764" s="528"/>
      <c r="F764" s="528"/>
      <c r="G764" s="528"/>
      <c r="H764" s="528"/>
      <c r="I764" s="528"/>
      <c r="J764" s="528"/>
      <c r="K764" s="528"/>
      <c r="L764" s="528"/>
      <c r="M764" s="528"/>
      <c r="N764" s="528"/>
      <c r="O764" s="528"/>
      <c r="P764" s="528"/>
      <c r="Q764" s="434"/>
      <c r="R764" s="434"/>
      <c r="S764" s="434"/>
      <c r="T764" s="434"/>
      <c r="U764" s="434"/>
      <c r="V764" s="434"/>
      <c r="W764" s="434"/>
      <c r="X764" s="434"/>
      <c r="Y764" s="434"/>
      <c r="Z764" s="434"/>
      <c r="AA764" s="434"/>
      <c r="AB764" s="434"/>
      <c r="AC764" s="434"/>
      <c r="AD764" s="434"/>
    </row>
    <row r="765">
      <c r="A765" s="434"/>
      <c r="B765" s="528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434"/>
      <c r="R765" s="434"/>
      <c r="S765" s="434"/>
      <c r="T765" s="434"/>
      <c r="U765" s="434"/>
      <c r="V765" s="434"/>
      <c r="W765" s="434"/>
      <c r="X765" s="434"/>
      <c r="Y765" s="434"/>
      <c r="Z765" s="434"/>
      <c r="AA765" s="434"/>
      <c r="AB765" s="434"/>
      <c r="AC765" s="434"/>
      <c r="AD765" s="434"/>
    </row>
    <row r="766">
      <c r="A766" s="434"/>
      <c r="B766" s="528"/>
      <c r="C766" s="528"/>
      <c r="D766" s="528"/>
      <c r="E766" s="528"/>
      <c r="F766" s="528"/>
      <c r="G766" s="528"/>
      <c r="H766" s="528"/>
      <c r="I766" s="528"/>
      <c r="J766" s="528"/>
      <c r="K766" s="528"/>
      <c r="L766" s="528"/>
      <c r="M766" s="528"/>
      <c r="N766" s="528"/>
      <c r="O766" s="528"/>
      <c r="P766" s="528"/>
      <c r="Q766" s="434"/>
      <c r="R766" s="434"/>
      <c r="S766" s="434"/>
      <c r="T766" s="434"/>
      <c r="U766" s="434"/>
      <c r="V766" s="434"/>
      <c r="W766" s="434"/>
      <c r="X766" s="434"/>
      <c r="Y766" s="434"/>
      <c r="Z766" s="434"/>
      <c r="AA766" s="434"/>
      <c r="AB766" s="434"/>
      <c r="AC766" s="434"/>
      <c r="AD766" s="434"/>
    </row>
    <row r="767">
      <c r="A767" s="434"/>
      <c r="B767" s="528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434"/>
      <c r="R767" s="434"/>
      <c r="S767" s="434"/>
      <c r="T767" s="434"/>
      <c r="U767" s="434"/>
      <c r="V767" s="434"/>
      <c r="W767" s="434"/>
      <c r="X767" s="434"/>
      <c r="Y767" s="434"/>
      <c r="Z767" s="434"/>
      <c r="AA767" s="434"/>
      <c r="AB767" s="434"/>
      <c r="AC767" s="434"/>
      <c r="AD767" s="434"/>
    </row>
    <row r="768">
      <c r="A768" s="434"/>
      <c r="B768" s="52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434"/>
      <c r="R768" s="434"/>
      <c r="S768" s="434"/>
      <c r="T768" s="434"/>
      <c r="U768" s="434"/>
      <c r="V768" s="434"/>
      <c r="W768" s="434"/>
      <c r="X768" s="434"/>
      <c r="Y768" s="434"/>
      <c r="Z768" s="434"/>
      <c r="AA768" s="434"/>
      <c r="AB768" s="434"/>
      <c r="AC768" s="434"/>
      <c r="AD768" s="434"/>
    </row>
    <row r="769">
      <c r="A769" s="434"/>
      <c r="B769" s="528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434"/>
      <c r="R769" s="434"/>
      <c r="S769" s="434"/>
      <c r="T769" s="434"/>
      <c r="U769" s="434"/>
      <c r="V769" s="434"/>
      <c r="W769" s="434"/>
      <c r="X769" s="434"/>
      <c r="Y769" s="434"/>
      <c r="Z769" s="434"/>
      <c r="AA769" s="434"/>
      <c r="AB769" s="434"/>
      <c r="AC769" s="434"/>
      <c r="AD769" s="434"/>
    </row>
    <row r="770">
      <c r="A770" s="434"/>
      <c r="B770" s="528"/>
      <c r="C770" s="528"/>
      <c r="D770" s="528"/>
      <c r="E770" s="528"/>
      <c r="F770" s="528"/>
      <c r="G770" s="528"/>
      <c r="H770" s="528"/>
      <c r="I770" s="528"/>
      <c r="J770" s="528"/>
      <c r="K770" s="528"/>
      <c r="L770" s="528"/>
      <c r="M770" s="528"/>
      <c r="N770" s="528"/>
      <c r="O770" s="528"/>
      <c r="P770" s="528"/>
      <c r="Q770" s="434"/>
      <c r="R770" s="434"/>
      <c r="S770" s="434"/>
      <c r="T770" s="434"/>
      <c r="U770" s="434"/>
      <c r="V770" s="434"/>
      <c r="W770" s="434"/>
      <c r="X770" s="434"/>
      <c r="Y770" s="434"/>
      <c r="Z770" s="434"/>
      <c r="AA770" s="434"/>
      <c r="AB770" s="434"/>
      <c r="AC770" s="434"/>
      <c r="AD770" s="434"/>
    </row>
    <row r="771">
      <c r="A771" s="434"/>
      <c r="B771" s="528"/>
      <c r="C771" s="528"/>
      <c r="D771" s="528"/>
      <c r="E771" s="528"/>
      <c r="F771" s="528"/>
      <c r="G771" s="528"/>
      <c r="H771" s="528"/>
      <c r="I771" s="528"/>
      <c r="J771" s="528"/>
      <c r="K771" s="528"/>
      <c r="L771" s="528"/>
      <c r="M771" s="528"/>
      <c r="N771" s="528"/>
      <c r="O771" s="528"/>
      <c r="P771" s="528"/>
      <c r="Q771" s="434"/>
      <c r="R771" s="434"/>
      <c r="S771" s="434"/>
      <c r="T771" s="434"/>
      <c r="U771" s="434"/>
      <c r="V771" s="434"/>
      <c r="W771" s="434"/>
      <c r="X771" s="434"/>
      <c r="Y771" s="434"/>
      <c r="Z771" s="434"/>
      <c r="AA771" s="434"/>
      <c r="AB771" s="434"/>
      <c r="AC771" s="434"/>
      <c r="AD771" s="434"/>
    </row>
    <row r="772">
      <c r="A772" s="434"/>
      <c r="B772" s="528"/>
      <c r="C772" s="528"/>
      <c r="D772" s="528"/>
      <c r="E772" s="528"/>
      <c r="F772" s="528"/>
      <c r="G772" s="528"/>
      <c r="H772" s="528"/>
      <c r="I772" s="528"/>
      <c r="J772" s="528"/>
      <c r="K772" s="528"/>
      <c r="L772" s="528"/>
      <c r="M772" s="528"/>
      <c r="N772" s="528"/>
      <c r="O772" s="528"/>
      <c r="P772" s="528"/>
      <c r="Q772" s="434"/>
      <c r="R772" s="434"/>
      <c r="S772" s="434"/>
      <c r="T772" s="434"/>
      <c r="U772" s="434"/>
      <c r="V772" s="434"/>
      <c r="W772" s="434"/>
      <c r="X772" s="434"/>
      <c r="Y772" s="434"/>
      <c r="Z772" s="434"/>
      <c r="AA772" s="434"/>
      <c r="AB772" s="434"/>
      <c r="AC772" s="434"/>
      <c r="AD772" s="434"/>
    </row>
    <row r="773">
      <c r="A773" s="434"/>
      <c r="B773" s="528"/>
      <c r="C773" s="528"/>
      <c r="D773" s="528"/>
      <c r="E773" s="528"/>
      <c r="F773" s="528"/>
      <c r="G773" s="528"/>
      <c r="H773" s="528"/>
      <c r="I773" s="528"/>
      <c r="J773" s="528"/>
      <c r="K773" s="528"/>
      <c r="L773" s="528"/>
      <c r="M773" s="528"/>
      <c r="N773" s="528"/>
      <c r="O773" s="528"/>
      <c r="P773" s="528"/>
      <c r="Q773" s="434"/>
      <c r="R773" s="434"/>
      <c r="S773" s="434"/>
      <c r="T773" s="434"/>
      <c r="U773" s="434"/>
      <c r="V773" s="434"/>
      <c r="W773" s="434"/>
      <c r="X773" s="434"/>
      <c r="Y773" s="434"/>
      <c r="Z773" s="434"/>
      <c r="AA773" s="434"/>
      <c r="AB773" s="434"/>
      <c r="AC773" s="434"/>
      <c r="AD773" s="434"/>
    </row>
    <row r="774">
      <c r="A774" s="434"/>
      <c r="B774" s="528"/>
      <c r="C774" s="528"/>
      <c r="D774" s="528"/>
      <c r="E774" s="528"/>
      <c r="F774" s="528"/>
      <c r="G774" s="528"/>
      <c r="H774" s="528"/>
      <c r="I774" s="528"/>
      <c r="J774" s="528"/>
      <c r="K774" s="528"/>
      <c r="L774" s="528"/>
      <c r="M774" s="528"/>
      <c r="N774" s="528"/>
      <c r="O774" s="528"/>
      <c r="P774" s="528"/>
      <c r="Q774" s="434"/>
      <c r="R774" s="434"/>
      <c r="S774" s="434"/>
      <c r="T774" s="434"/>
      <c r="U774" s="434"/>
      <c r="V774" s="434"/>
      <c r="W774" s="434"/>
      <c r="X774" s="434"/>
      <c r="Y774" s="434"/>
      <c r="Z774" s="434"/>
      <c r="AA774" s="434"/>
      <c r="AB774" s="434"/>
      <c r="AC774" s="434"/>
      <c r="AD774" s="434"/>
    </row>
    <row r="775">
      <c r="A775" s="434"/>
      <c r="B775" s="528"/>
      <c r="C775" s="528"/>
      <c r="D775" s="528"/>
      <c r="E775" s="528"/>
      <c r="F775" s="528"/>
      <c r="G775" s="528"/>
      <c r="H775" s="528"/>
      <c r="I775" s="528"/>
      <c r="J775" s="528"/>
      <c r="K775" s="528"/>
      <c r="L775" s="528"/>
      <c r="M775" s="528"/>
      <c r="N775" s="528"/>
      <c r="O775" s="528"/>
      <c r="P775" s="528"/>
      <c r="Q775" s="434"/>
      <c r="R775" s="434"/>
      <c r="S775" s="434"/>
      <c r="T775" s="434"/>
      <c r="U775" s="434"/>
      <c r="V775" s="434"/>
      <c r="W775" s="434"/>
      <c r="X775" s="434"/>
      <c r="Y775" s="434"/>
      <c r="Z775" s="434"/>
      <c r="AA775" s="434"/>
      <c r="AB775" s="434"/>
      <c r="AC775" s="434"/>
      <c r="AD775" s="434"/>
    </row>
    <row r="776">
      <c r="A776" s="434"/>
      <c r="B776" s="528"/>
      <c r="C776" s="528"/>
      <c r="D776" s="528"/>
      <c r="E776" s="528"/>
      <c r="F776" s="528"/>
      <c r="G776" s="528"/>
      <c r="H776" s="528"/>
      <c r="I776" s="528"/>
      <c r="J776" s="528"/>
      <c r="K776" s="528"/>
      <c r="L776" s="528"/>
      <c r="M776" s="528"/>
      <c r="N776" s="528"/>
      <c r="O776" s="528"/>
      <c r="P776" s="528"/>
      <c r="Q776" s="434"/>
      <c r="R776" s="434"/>
      <c r="S776" s="434"/>
      <c r="T776" s="434"/>
      <c r="U776" s="434"/>
      <c r="V776" s="434"/>
      <c r="W776" s="434"/>
      <c r="X776" s="434"/>
      <c r="Y776" s="434"/>
      <c r="Z776" s="434"/>
      <c r="AA776" s="434"/>
      <c r="AB776" s="434"/>
      <c r="AC776" s="434"/>
      <c r="AD776" s="434"/>
    </row>
    <row r="777">
      <c r="A777" s="434"/>
      <c r="B777" s="528"/>
      <c r="C777" s="528"/>
      <c r="D777" s="528"/>
      <c r="E777" s="528"/>
      <c r="F777" s="528"/>
      <c r="G777" s="528"/>
      <c r="H777" s="528"/>
      <c r="I777" s="528"/>
      <c r="J777" s="528"/>
      <c r="K777" s="528"/>
      <c r="L777" s="528"/>
      <c r="M777" s="528"/>
      <c r="N777" s="528"/>
      <c r="O777" s="528"/>
      <c r="P777" s="528"/>
      <c r="Q777" s="434"/>
      <c r="R777" s="434"/>
      <c r="S777" s="434"/>
      <c r="T777" s="434"/>
      <c r="U777" s="434"/>
      <c r="V777" s="434"/>
      <c r="W777" s="434"/>
      <c r="X777" s="434"/>
      <c r="Y777" s="434"/>
      <c r="Z777" s="434"/>
      <c r="AA777" s="434"/>
      <c r="AB777" s="434"/>
      <c r="AC777" s="434"/>
      <c r="AD777" s="434"/>
    </row>
    <row r="778">
      <c r="A778" s="434"/>
      <c r="B778" s="528"/>
      <c r="C778" s="528"/>
      <c r="D778" s="528"/>
      <c r="E778" s="528"/>
      <c r="F778" s="528"/>
      <c r="G778" s="528"/>
      <c r="H778" s="528"/>
      <c r="I778" s="528"/>
      <c r="J778" s="528"/>
      <c r="K778" s="528"/>
      <c r="L778" s="528"/>
      <c r="M778" s="528"/>
      <c r="N778" s="528"/>
      <c r="O778" s="528"/>
      <c r="P778" s="528"/>
      <c r="Q778" s="434"/>
      <c r="R778" s="434"/>
      <c r="S778" s="434"/>
      <c r="T778" s="434"/>
      <c r="U778" s="434"/>
      <c r="V778" s="434"/>
      <c r="W778" s="434"/>
      <c r="X778" s="434"/>
      <c r="Y778" s="434"/>
      <c r="Z778" s="434"/>
      <c r="AA778" s="434"/>
      <c r="AB778" s="434"/>
      <c r="AC778" s="434"/>
      <c r="AD778" s="434"/>
    </row>
    <row r="779">
      <c r="A779" s="434"/>
      <c r="B779" s="528"/>
      <c r="C779" s="528"/>
      <c r="D779" s="528"/>
      <c r="E779" s="528"/>
      <c r="F779" s="528"/>
      <c r="G779" s="528"/>
      <c r="H779" s="528"/>
      <c r="I779" s="528"/>
      <c r="J779" s="528"/>
      <c r="K779" s="528"/>
      <c r="L779" s="528"/>
      <c r="M779" s="528"/>
      <c r="N779" s="528"/>
      <c r="O779" s="528"/>
      <c r="P779" s="528"/>
      <c r="Q779" s="434"/>
      <c r="R779" s="434"/>
      <c r="S779" s="434"/>
      <c r="T779" s="434"/>
      <c r="U779" s="434"/>
      <c r="V779" s="434"/>
      <c r="W779" s="434"/>
      <c r="X779" s="434"/>
      <c r="Y779" s="434"/>
      <c r="Z779" s="434"/>
      <c r="AA779" s="434"/>
      <c r="AB779" s="434"/>
      <c r="AC779" s="434"/>
      <c r="AD779" s="434"/>
    </row>
    <row r="780">
      <c r="A780" s="434"/>
      <c r="B780" s="528"/>
      <c r="C780" s="528"/>
      <c r="D780" s="528"/>
      <c r="E780" s="528"/>
      <c r="F780" s="528"/>
      <c r="G780" s="528"/>
      <c r="H780" s="528"/>
      <c r="I780" s="528"/>
      <c r="J780" s="528"/>
      <c r="K780" s="528"/>
      <c r="L780" s="528"/>
      <c r="M780" s="528"/>
      <c r="N780" s="528"/>
      <c r="O780" s="528"/>
      <c r="P780" s="528"/>
      <c r="Q780" s="434"/>
      <c r="R780" s="434"/>
      <c r="S780" s="434"/>
      <c r="T780" s="434"/>
      <c r="U780" s="434"/>
      <c r="V780" s="434"/>
      <c r="W780" s="434"/>
      <c r="X780" s="434"/>
      <c r="Y780" s="434"/>
      <c r="Z780" s="434"/>
      <c r="AA780" s="434"/>
      <c r="AB780" s="434"/>
      <c r="AC780" s="434"/>
      <c r="AD780" s="434"/>
    </row>
    <row r="781">
      <c r="A781" s="434"/>
      <c r="B781" s="528"/>
      <c r="C781" s="528"/>
      <c r="D781" s="528"/>
      <c r="E781" s="528"/>
      <c r="F781" s="528"/>
      <c r="G781" s="528"/>
      <c r="H781" s="528"/>
      <c r="I781" s="528"/>
      <c r="J781" s="528"/>
      <c r="K781" s="528"/>
      <c r="L781" s="528"/>
      <c r="M781" s="528"/>
      <c r="N781" s="528"/>
      <c r="O781" s="528"/>
      <c r="P781" s="528"/>
      <c r="Q781" s="434"/>
      <c r="R781" s="434"/>
      <c r="S781" s="434"/>
      <c r="T781" s="434"/>
      <c r="U781" s="434"/>
      <c r="V781" s="434"/>
      <c r="W781" s="434"/>
      <c r="X781" s="434"/>
      <c r="Y781" s="434"/>
      <c r="Z781" s="434"/>
      <c r="AA781" s="434"/>
      <c r="AB781" s="434"/>
      <c r="AC781" s="434"/>
      <c r="AD781" s="434"/>
    </row>
    <row r="782">
      <c r="A782" s="434"/>
      <c r="B782" s="528"/>
      <c r="C782" s="528"/>
      <c r="D782" s="528"/>
      <c r="E782" s="528"/>
      <c r="F782" s="528"/>
      <c r="G782" s="528"/>
      <c r="H782" s="528"/>
      <c r="I782" s="528"/>
      <c r="J782" s="528"/>
      <c r="K782" s="528"/>
      <c r="L782" s="528"/>
      <c r="M782" s="528"/>
      <c r="N782" s="528"/>
      <c r="O782" s="528"/>
      <c r="P782" s="528"/>
      <c r="Q782" s="434"/>
      <c r="R782" s="434"/>
      <c r="S782" s="434"/>
      <c r="T782" s="434"/>
      <c r="U782" s="434"/>
      <c r="V782" s="434"/>
      <c r="W782" s="434"/>
      <c r="X782" s="434"/>
      <c r="Y782" s="434"/>
      <c r="Z782" s="434"/>
      <c r="AA782" s="434"/>
      <c r="AB782" s="434"/>
      <c r="AC782" s="434"/>
      <c r="AD782" s="434"/>
    </row>
    <row r="783">
      <c r="A783" s="434"/>
      <c r="B783" s="528"/>
      <c r="C783" s="528"/>
      <c r="D783" s="528"/>
      <c r="E783" s="528"/>
      <c r="F783" s="528"/>
      <c r="G783" s="528"/>
      <c r="H783" s="528"/>
      <c r="I783" s="528"/>
      <c r="J783" s="528"/>
      <c r="K783" s="528"/>
      <c r="L783" s="528"/>
      <c r="M783" s="528"/>
      <c r="N783" s="528"/>
      <c r="O783" s="528"/>
      <c r="P783" s="528"/>
      <c r="Q783" s="434"/>
      <c r="R783" s="434"/>
      <c r="S783" s="434"/>
      <c r="T783" s="434"/>
      <c r="U783" s="434"/>
      <c r="V783" s="434"/>
      <c r="W783" s="434"/>
      <c r="X783" s="434"/>
      <c r="Y783" s="434"/>
      <c r="Z783" s="434"/>
      <c r="AA783" s="434"/>
      <c r="AB783" s="434"/>
      <c r="AC783" s="434"/>
      <c r="AD783" s="434"/>
    </row>
    <row r="784">
      <c r="A784" s="434"/>
      <c r="B784" s="528"/>
      <c r="C784" s="528"/>
      <c r="D784" s="528"/>
      <c r="E784" s="528"/>
      <c r="F784" s="528"/>
      <c r="G784" s="528"/>
      <c r="H784" s="528"/>
      <c r="I784" s="528"/>
      <c r="J784" s="528"/>
      <c r="K784" s="528"/>
      <c r="L784" s="528"/>
      <c r="M784" s="528"/>
      <c r="N784" s="528"/>
      <c r="O784" s="528"/>
      <c r="P784" s="528"/>
      <c r="Q784" s="434"/>
      <c r="R784" s="434"/>
      <c r="S784" s="434"/>
      <c r="T784" s="434"/>
      <c r="U784" s="434"/>
      <c r="V784" s="434"/>
      <c r="W784" s="434"/>
      <c r="X784" s="434"/>
      <c r="Y784" s="434"/>
      <c r="Z784" s="434"/>
      <c r="AA784" s="434"/>
      <c r="AB784" s="434"/>
      <c r="AC784" s="434"/>
      <c r="AD784" s="434"/>
    </row>
    <row r="785">
      <c r="A785" s="434"/>
      <c r="B785" s="528"/>
      <c r="C785" s="528"/>
      <c r="D785" s="528"/>
      <c r="E785" s="528"/>
      <c r="F785" s="528"/>
      <c r="G785" s="528"/>
      <c r="H785" s="528"/>
      <c r="I785" s="528"/>
      <c r="J785" s="528"/>
      <c r="K785" s="528"/>
      <c r="L785" s="528"/>
      <c r="M785" s="528"/>
      <c r="N785" s="528"/>
      <c r="O785" s="528"/>
      <c r="P785" s="528"/>
      <c r="Q785" s="434"/>
      <c r="R785" s="434"/>
      <c r="S785" s="434"/>
      <c r="T785" s="434"/>
      <c r="U785" s="434"/>
      <c r="V785" s="434"/>
      <c r="W785" s="434"/>
      <c r="X785" s="434"/>
      <c r="Y785" s="434"/>
      <c r="Z785" s="434"/>
      <c r="AA785" s="434"/>
      <c r="AB785" s="434"/>
      <c r="AC785" s="434"/>
      <c r="AD785" s="434"/>
    </row>
    <row r="786">
      <c r="A786" s="434"/>
      <c r="B786" s="528"/>
      <c r="C786" s="528"/>
      <c r="D786" s="528"/>
      <c r="E786" s="528"/>
      <c r="F786" s="528"/>
      <c r="G786" s="528"/>
      <c r="H786" s="528"/>
      <c r="I786" s="528"/>
      <c r="J786" s="528"/>
      <c r="K786" s="528"/>
      <c r="L786" s="528"/>
      <c r="M786" s="528"/>
      <c r="N786" s="528"/>
      <c r="O786" s="528"/>
      <c r="P786" s="528"/>
      <c r="Q786" s="434"/>
      <c r="R786" s="434"/>
      <c r="S786" s="434"/>
      <c r="T786" s="434"/>
      <c r="U786" s="434"/>
      <c r="V786" s="434"/>
      <c r="W786" s="434"/>
      <c r="X786" s="434"/>
      <c r="Y786" s="434"/>
      <c r="Z786" s="434"/>
      <c r="AA786" s="434"/>
      <c r="AB786" s="434"/>
      <c r="AC786" s="434"/>
      <c r="AD786" s="434"/>
    </row>
    <row r="787">
      <c r="A787" s="434"/>
      <c r="B787" s="528"/>
      <c r="C787" s="528"/>
      <c r="D787" s="528"/>
      <c r="E787" s="528"/>
      <c r="F787" s="528"/>
      <c r="G787" s="528"/>
      <c r="H787" s="528"/>
      <c r="I787" s="528"/>
      <c r="J787" s="528"/>
      <c r="K787" s="528"/>
      <c r="L787" s="528"/>
      <c r="M787" s="528"/>
      <c r="N787" s="528"/>
      <c r="O787" s="528"/>
      <c r="P787" s="528"/>
      <c r="Q787" s="434"/>
      <c r="R787" s="434"/>
      <c r="S787" s="434"/>
      <c r="T787" s="434"/>
      <c r="U787" s="434"/>
      <c r="V787" s="434"/>
      <c r="W787" s="434"/>
      <c r="X787" s="434"/>
      <c r="Y787" s="434"/>
      <c r="Z787" s="434"/>
      <c r="AA787" s="434"/>
      <c r="AB787" s="434"/>
      <c r="AC787" s="434"/>
      <c r="AD787" s="434"/>
    </row>
    <row r="788">
      <c r="A788" s="434"/>
      <c r="B788" s="528"/>
      <c r="C788" s="528"/>
      <c r="D788" s="528"/>
      <c r="E788" s="528"/>
      <c r="F788" s="528"/>
      <c r="G788" s="528"/>
      <c r="H788" s="528"/>
      <c r="I788" s="528"/>
      <c r="J788" s="528"/>
      <c r="K788" s="528"/>
      <c r="L788" s="528"/>
      <c r="M788" s="528"/>
      <c r="N788" s="528"/>
      <c r="O788" s="528"/>
      <c r="P788" s="528"/>
      <c r="Q788" s="434"/>
      <c r="R788" s="434"/>
      <c r="S788" s="434"/>
      <c r="T788" s="434"/>
      <c r="U788" s="434"/>
      <c r="V788" s="434"/>
      <c r="W788" s="434"/>
      <c r="X788" s="434"/>
      <c r="Y788" s="434"/>
      <c r="Z788" s="434"/>
      <c r="AA788" s="434"/>
      <c r="AB788" s="434"/>
      <c r="AC788" s="434"/>
      <c r="AD788" s="434"/>
    </row>
    <row r="789">
      <c r="A789" s="434"/>
      <c r="B789" s="528"/>
      <c r="C789" s="528"/>
      <c r="D789" s="528"/>
      <c r="E789" s="528"/>
      <c r="F789" s="528"/>
      <c r="G789" s="528"/>
      <c r="H789" s="528"/>
      <c r="I789" s="528"/>
      <c r="J789" s="528"/>
      <c r="K789" s="528"/>
      <c r="L789" s="528"/>
      <c r="M789" s="528"/>
      <c r="N789" s="528"/>
      <c r="O789" s="528"/>
      <c r="P789" s="528"/>
      <c r="Q789" s="434"/>
      <c r="R789" s="434"/>
      <c r="S789" s="434"/>
      <c r="T789" s="434"/>
      <c r="U789" s="434"/>
      <c r="V789" s="434"/>
      <c r="W789" s="434"/>
      <c r="X789" s="434"/>
      <c r="Y789" s="434"/>
      <c r="Z789" s="434"/>
      <c r="AA789" s="434"/>
      <c r="AB789" s="434"/>
      <c r="AC789" s="434"/>
      <c r="AD789" s="434"/>
    </row>
    <row r="790">
      <c r="A790" s="434"/>
      <c r="B790" s="528"/>
      <c r="C790" s="528"/>
      <c r="D790" s="528"/>
      <c r="E790" s="528"/>
      <c r="F790" s="528"/>
      <c r="G790" s="528"/>
      <c r="H790" s="528"/>
      <c r="I790" s="528"/>
      <c r="J790" s="528"/>
      <c r="K790" s="528"/>
      <c r="L790" s="528"/>
      <c r="M790" s="528"/>
      <c r="N790" s="528"/>
      <c r="O790" s="528"/>
      <c r="P790" s="528"/>
      <c r="Q790" s="434"/>
      <c r="R790" s="434"/>
      <c r="S790" s="434"/>
      <c r="T790" s="434"/>
      <c r="U790" s="434"/>
      <c r="V790" s="434"/>
      <c r="W790" s="434"/>
      <c r="X790" s="434"/>
      <c r="Y790" s="434"/>
      <c r="Z790" s="434"/>
      <c r="AA790" s="434"/>
      <c r="AB790" s="434"/>
      <c r="AC790" s="434"/>
      <c r="AD790" s="434"/>
    </row>
    <row r="791">
      <c r="A791" s="434"/>
      <c r="B791" s="528"/>
      <c r="C791" s="528"/>
      <c r="D791" s="528"/>
      <c r="E791" s="528"/>
      <c r="F791" s="528"/>
      <c r="G791" s="528"/>
      <c r="H791" s="528"/>
      <c r="I791" s="528"/>
      <c r="J791" s="528"/>
      <c r="K791" s="528"/>
      <c r="L791" s="528"/>
      <c r="M791" s="528"/>
      <c r="N791" s="528"/>
      <c r="O791" s="528"/>
      <c r="P791" s="528"/>
      <c r="Q791" s="434"/>
      <c r="R791" s="434"/>
      <c r="S791" s="434"/>
      <c r="T791" s="434"/>
      <c r="U791" s="434"/>
      <c r="V791" s="434"/>
      <c r="W791" s="434"/>
      <c r="X791" s="434"/>
      <c r="Y791" s="434"/>
      <c r="Z791" s="434"/>
      <c r="AA791" s="434"/>
      <c r="AB791" s="434"/>
      <c r="AC791" s="434"/>
      <c r="AD791" s="434"/>
    </row>
    <row r="792">
      <c r="A792" s="434"/>
      <c r="B792" s="528"/>
      <c r="C792" s="528"/>
      <c r="D792" s="528"/>
      <c r="E792" s="528"/>
      <c r="F792" s="528"/>
      <c r="G792" s="528"/>
      <c r="H792" s="528"/>
      <c r="I792" s="528"/>
      <c r="J792" s="528"/>
      <c r="K792" s="528"/>
      <c r="L792" s="528"/>
      <c r="M792" s="528"/>
      <c r="N792" s="528"/>
      <c r="O792" s="528"/>
      <c r="P792" s="528"/>
      <c r="Q792" s="434"/>
      <c r="R792" s="434"/>
      <c r="S792" s="434"/>
      <c r="T792" s="434"/>
      <c r="U792" s="434"/>
      <c r="V792" s="434"/>
      <c r="W792" s="434"/>
      <c r="X792" s="434"/>
      <c r="Y792" s="434"/>
      <c r="Z792" s="434"/>
      <c r="AA792" s="434"/>
      <c r="AB792" s="434"/>
      <c r="AC792" s="434"/>
      <c r="AD792" s="434"/>
    </row>
    <row r="793">
      <c r="A793" s="434"/>
      <c r="B793" s="528"/>
      <c r="C793" s="528"/>
      <c r="D793" s="528"/>
      <c r="E793" s="528"/>
      <c r="F793" s="528"/>
      <c r="G793" s="528"/>
      <c r="H793" s="528"/>
      <c r="I793" s="528"/>
      <c r="J793" s="528"/>
      <c r="K793" s="528"/>
      <c r="L793" s="528"/>
      <c r="M793" s="528"/>
      <c r="N793" s="528"/>
      <c r="O793" s="528"/>
      <c r="P793" s="528"/>
      <c r="Q793" s="434"/>
      <c r="R793" s="434"/>
      <c r="S793" s="434"/>
      <c r="T793" s="434"/>
      <c r="U793" s="434"/>
      <c r="V793" s="434"/>
      <c r="W793" s="434"/>
      <c r="X793" s="434"/>
      <c r="Y793" s="434"/>
      <c r="Z793" s="434"/>
      <c r="AA793" s="434"/>
      <c r="AB793" s="434"/>
      <c r="AC793" s="434"/>
      <c r="AD793" s="434"/>
    </row>
    <row r="794">
      <c r="A794" s="434"/>
      <c r="B794" s="528"/>
      <c r="C794" s="528"/>
      <c r="D794" s="528"/>
      <c r="E794" s="528"/>
      <c r="F794" s="528"/>
      <c r="G794" s="528"/>
      <c r="H794" s="528"/>
      <c r="I794" s="528"/>
      <c r="J794" s="528"/>
      <c r="K794" s="528"/>
      <c r="L794" s="528"/>
      <c r="M794" s="528"/>
      <c r="N794" s="528"/>
      <c r="O794" s="528"/>
      <c r="P794" s="528"/>
      <c r="Q794" s="434"/>
      <c r="R794" s="434"/>
      <c r="S794" s="434"/>
      <c r="T794" s="434"/>
      <c r="U794" s="434"/>
      <c r="V794" s="434"/>
      <c r="W794" s="434"/>
      <c r="X794" s="434"/>
      <c r="Y794" s="434"/>
      <c r="Z794" s="434"/>
      <c r="AA794" s="434"/>
      <c r="AB794" s="434"/>
      <c r="AC794" s="434"/>
      <c r="AD794" s="434"/>
    </row>
    <row r="795">
      <c r="A795" s="434"/>
      <c r="B795" s="528"/>
      <c r="C795" s="528"/>
      <c r="D795" s="528"/>
      <c r="E795" s="528"/>
      <c r="F795" s="528"/>
      <c r="G795" s="528"/>
      <c r="H795" s="528"/>
      <c r="I795" s="528"/>
      <c r="J795" s="528"/>
      <c r="K795" s="528"/>
      <c r="L795" s="528"/>
      <c r="M795" s="528"/>
      <c r="N795" s="528"/>
      <c r="O795" s="528"/>
      <c r="P795" s="528"/>
      <c r="Q795" s="434"/>
      <c r="R795" s="434"/>
      <c r="S795" s="434"/>
      <c r="T795" s="434"/>
      <c r="U795" s="434"/>
      <c r="V795" s="434"/>
      <c r="W795" s="434"/>
      <c r="X795" s="434"/>
      <c r="Y795" s="434"/>
      <c r="Z795" s="434"/>
      <c r="AA795" s="434"/>
      <c r="AB795" s="434"/>
      <c r="AC795" s="434"/>
      <c r="AD795" s="434"/>
    </row>
    <row r="796">
      <c r="A796" s="434"/>
      <c r="B796" s="528"/>
      <c r="C796" s="528"/>
      <c r="D796" s="528"/>
      <c r="E796" s="528"/>
      <c r="F796" s="528"/>
      <c r="G796" s="528"/>
      <c r="H796" s="528"/>
      <c r="I796" s="528"/>
      <c r="J796" s="528"/>
      <c r="K796" s="528"/>
      <c r="L796" s="528"/>
      <c r="M796" s="528"/>
      <c r="N796" s="528"/>
      <c r="O796" s="528"/>
      <c r="P796" s="528"/>
      <c r="Q796" s="434"/>
      <c r="R796" s="434"/>
      <c r="S796" s="434"/>
      <c r="T796" s="434"/>
      <c r="U796" s="434"/>
      <c r="V796" s="434"/>
      <c r="W796" s="434"/>
      <c r="X796" s="434"/>
      <c r="Y796" s="434"/>
      <c r="Z796" s="434"/>
      <c r="AA796" s="434"/>
      <c r="AB796" s="434"/>
      <c r="AC796" s="434"/>
      <c r="AD796" s="434"/>
    </row>
    <row r="797">
      <c r="A797" s="434"/>
      <c r="B797" s="528"/>
      <c r="C797" s="528"/>
      <c r="D797" s="528"/>
      <c r="E797" s="528"/>
      <c r="F797" s="528"/>
      <c r="G797" s="528"/>
      <c r="H797" s="528"/>
      <c r="I797" s="528"/>
      <c r="J797" s="528"/>
      <c r="K797" s="528"/>
      <c r="L797" s="528"/>
      <c r="M797" s="528"/>
      <c r="N797" s="528"/>
      <c r="O797" s="528"/>
      <c r="P797" s="528"/>
      <c r="Q797" s="434"/>
      <c r="R797" s="434"/>
      <c r="S797" s="434"/>
      <c r="T797" s="434"/>
      <c r="U797" s="434"/>
      <c r="V797" s="434"/>
      <c r="W797" s="434"/>
      <c r="X797" s="434"/>
      <c r="Y797" s="434"/>
      <c r="Z797" s="434"/>
      <c r="AA797" s="434"/>
      <c r="AB797" s="434"/>
      <c r="AC797" s="434"/>
      <c r="AD797" s="434"/>
    </row>
    <row r="798">
      <c r="A798" s="434"/>
      <c r="B798" s="528"/>
      <c r="C798" s="528"/>
      <c r="D798" s="528"/>
      <c r="E798" s="528"/>
      <c r="F798" s="528"/>
      <c r="G798" s="528"/>
      <c r="H798" s="528"/>
      <c r="I798" s="528"/>
      <c r="J798" s="528"/>
      <c r="K798" s="528"/>
      <c r="L798" s="528"/>
      <c r="M798" s="528"/>
      <c r="N798" s="528"/>
      <c r="O798" s="528"/>
      <c r="P798" s="528"/>
      <c r="Q798" s="434"/>
      <c r="R798" s="434"/>
      <c r="S798" s="434"/>
      <c r="T798" s="434"/>
      <c r="U798" s="434"/>
      <c r="V798" s="434"/>
      <c r="W798" s="434"/>
      <c r="X798" s="434"/>
      <c r="Y798" s="434"/>
      <c r="Z798" s="434"/>
      <c r="AA798" s="434"/>
      <c r="AB798" s="434"/>
      <c r="AC798" s="434"/>
      <c r="AD798" s="434"/>
    </row>
    <row r="799">
      <c r="A799" s="434"/>
      <c r="B799" s="528"/>
      <c r="C799" s="528"/>
      <c r="D799" s="528"/>
      <c r="E799" s="528"/>
      <c r="F799" s="528"/>
      <c r="G799" s="528"/>
      <c r="H799" s="528"/>
      <c r="I799" s="528"/>
      <c r="J799" s="528"/>
      <c r="K799" s="528"/>
      <c r="L799" s="528"/>
      <c r="M799" s="528"/>
      <c r="N799" s="528"/>
      <c r="O799" s="528"/>
      <c r="P799" s="528"/>
      <c r="Q799" s="434"/>
      <c r="R799" s="434"/>
      <c r="S799" s="434"/>
      <c r="T799" s="434"/>
      <c r="U799" s="434"/>
      <c r="V799" s="434"/>
      <c r="W799" s="434"/>
      <c r="X799" s="434"/>
      <c r="Y799" s="434"/>
      <c r="Z799" s="434"/>
      <c r="AA799" s="434"/>
      <c r="AB799" s="434"/>
      <c r="AC799" s="434"/>
      <c r="AD799" s="434"/>
    </row>
    <row r="800">
      <c r="A800" s="434"/>
      <c r="B800" s="528"/>
      <c r="C800" s="528"/>
      <c r="D800" s="528"/>
      <c r="E800" s="528"/>
      <c r="F800" s="528"/>
      <c r="G800" s="528"/>
      <c r="H800" s="528"/>
      <c r="I800" s="528"/>
      <c r="J800" s="528"/>
      <c r="K800" s="528"/>
      <c r="L800" s="528"/>
      <c r="M800" s="528"/>
      <c r="N800" s="528"/>
      <c r="O800" s="528"/>
      <c r="P800" s="528"/>
      <c r="Q800" s="434"/>
      <c r="R800" s="434"/>
      <c r="S800" s="434"/>
      <c r="T800" s="434"/>
      <c r="U800" s="434"/>
      <c r="V800" s="434"/>
      <c r="W800" s="434"/>
      <c r="X800" s="434"/>
      <c r="Y800" s="434"/>
      <c r="Z800" s="434"/>
      <c r="AA800" s="434"/>
      <c r="AB800" s="434"/>
      <c r="AC800" s="434"/>
      <c r="AD800" s="434"/>
    </row>
    <row r="801">
      <c r="A801" s="434"/>
      <c r="B801" s="528"/>
      <c r="C801" s="528"/>
      <c r="D801" s="528"/>
      <c r="E801" s="528"/>
      <c r="F801" s="528"/>
      <c r="G801" s="528"/>
      <c r="H801" s="528"/>
      <c r="I801" s="528"/>
      <c r="J801" s="528"/>
      <c r="K801" s="528"/>
      <c r="L801" s="528"/>
      <c r="M801" s="528"/>
      <c r="N801" s="528"/>
      <c r="O801" s="528"/>
      <c r="P801" s="528"/>
      <c r="Q801" s="434"/>
      <c r="R801" s="434"/>
      <c r="S801" s="434"/>
      <c r="T801" s="434"/>
      <c r="U801" s="434"/>
      <c r="V801" s="434"/>
      <c r="W801" s="434"/>
      <c r="X801" s="434"/>
      <c r="Y801" s="434"/>
      <c r="Z801" s="434"/>
      <c r="AA801" s="434"/>
      <c r="AB801" s="434"/>
      <c r="AC801" s="434"/>
      <c r="AD801" s="434"/>
    </row>
    <row r="802">
      <c r="A802" s="434"/>
      <c r="B802" s="528"/>
      <c r="C802" s="528"/>
      <c r="D802" s="528"/>
      <c r="E802" s="528"/>
      <c r="F802" s="528"/>
      <c r="G802" s="528"/>
      <c r="H802" s="528"/>
      <c r="I802" s="528"/>
      <c r="J802" s="528"/>
      <c r="K802" s="528"/>
      <c r="L802" s="528"/>
      <c r="M802" s="528"/>
      <c r="N802" s="528"/>
      <c r="O802" s="528"/>
      <c r="P802" s="528"/>
      <c r="Q802" s="434"/>
      <c r="R802" s="434"/>
      <c r="S802" s="434"/>
      <c r="T802" s="434"/>
      <c r="U802" s="434"/>
      <c r="V802" s="434"/>
      <c r="W802" s="434"/>
      <c r="X802" s="434"/>
      <c r="Y802" s="434"/>
      <c r="Z802" s="434"/>
      <c r="AA802" s="434"/>
      <c r="AB802" s="434"/>
      <c r="AC802" s="434"/>
      <c r="AD802" s="434"/>
    </row>
    <row r="803">
      <c r="A803" s="434"/>
      <c r="B803" s="528"/>
      <c r="C803" s="528"/>
      <c r="D803" s="528"/>
      <c r="E803" s="528"/>
      <c r="F803" s="528"/>
      <c r="G803" s="528"/>
      <c r="H803" s="528"/>
      <c r="I803" s="528"/>
      <c r="J803" s="528"/>
      <c r="K803" s="528"/>
      <c r="L803" s="528"/>
      <c r="M803" s="528"/>
      <c r="N803" s="528"/>
      <c r="O803" s="528"/>
      <c r="P803" s="528"/>
      <c r="Q803" s="434"/>
      <c r="R803" s="434"/>
      <c r="S803" s="434"/>
      <c r="T803" s="434"/>
      <c r="U803" s="434"/>
      <c r="V803" s="434"/>
      <c r="W803" s="434"/>
      <c r="X803" s="434"/>
      <c r="Y803" s="434"/>
      <c r="Z803" s="434"/>
      <c r="AA803" s="434"/>
      <c r="AB803" s="434"/>
      <c r="AC803" s="434"/>
      <c r="AD803" s="434"/>
    </row>
    <row r="804">
      <c r="A804" s="434"/>
      <c r="B804" s="528"/>
      <c r="C804" s="528"/>
      <c r="D804" s="528"/>
      <c r="E804" s="528"/>
      <c r="F804" s="528"/>
      <c r="G804" s="528"/>
      <c r="H804" s="528"/>
      <c r="I804" s="528"/>
      <c r="J804" s="528"/>
      <c r="K804" s="528"/>
      <c r="L804" s="528"/>
      <c r="M804" s="528"/>
      <c r="N804" s="528"/>
      <c r="O804" s="528"/>
      <c r="P804" s="528"/>
      <c r="Q804" s="434"/>
      <c r="R804" s="434"/>
      <c r="S804" s="434"/>
      <c r="T804" s="434"/>
      <c r="U804" s="434"/>
      <c r="V804" s="434"/>
      <c r="W804" s="434"/>
      <c r="X804" s="434"/>
      <c r="Y804" s="434"/>
      <c r="Z804" s="434"/>
      <c r="AA804" s="434"/>
      <c r="AB804" s="434"/>
      <c r="AC804" s="434"/>
      <c r="AD804" s="434"/>
    </row>
    <row r="805">
      <c r="A805" s="434"/>
      <c r="B805" s="528"/>
      <c r="C805" s="528"/>
      <c r="D805" s="528"/>
      <c r="E805" s="528"/>
      <c r="F805" s="528"/>
      <c r="G805" s="528"/>
      <c r="H805" s="528"/>
      <c r="I805" s="528"/>
      <c r="J805" s="528"/>
      <c r="K805" s="528"/>
      <c r="L805" s="528"/>
      <c r="M805" s="528"/>
      <c r="N805" s="528"/>
      <c r="O805" s="528"/>
      <c r="P805" s="528"/>
      <c r="Q805" s="434"/>
      <c r="R805" s="434"/>
      <c r="S805" s="434"/>
      <c r="T805" s="434"/>
      <c r="U805" s="434"/>
      <c r="V805" s="434"/>
      <c r="W805" s="434"/>
      <c r="X805" s="434"/>
      <c r="Y805" s="434"/>
      <c r="Z805" s="434"/>
      <c r="AA805" s="434"/>
      <c r="AB805" s="434"/>
      <c r="AC805" s="434"/>
      <c r="AD805" s="434"/>
    </row>
    <row r="806">
      <c r="A806" s="434"/>
      <c r="B806" s="528"/>
      <c r="C806" s="528"/>
      <c r="D806" s="528"/>
      <c r="E806" s="528"/>
      <c r="F806" s="528"/>
      <c r="G806" s="528"/>
      <c r="H806" s="528"/>
      <c r="I806" s="528"/>
      <c r="J806" s="528"/>
      <c r="K806" s="528"/>
      <c r="L806" s="528"/>
      <c r="M806" s="528"/>
      <c r="N806" s="528"/>
      <c r="O806" s="528"/>
      <c r="P806" s="528"/>
      <c r="Q806" s="434"/>
      <c r="R806" s="434"/>
      <c r="S806" s="434"/>
      <c r="T806" s="434"/>
      <c r="U806" s="434"/>
      <c r="V806" s="434"/>
      <c r="W806" s="434"/>
      <c r="X806" s="434"/>
      <c r="Y806" s="434"/>
      <c r="Z806" s="434"/>
      <c r="AA806" s="434"/>
      <c r="AB806" s="434"/>
      <c r="AC806" s="434"/>
      <c r="AD806" s="434"/>
    </row>
    <row r="807">
      <c r="A807" s="434"/>
      <c r="B807" s="528"/>
      <c r="C807" s="528"/>
      <c r="D807" s="528"/>
      <c r="E807" s="528"/>
      <c r="F807" s="528"/>
      <c r="G807" s="528"/>
      <c r="H807" s="528"/>
      <c r="I807" s="528"/>
      <c r="J807" s="528"/>
      <c r="K807" s="528"/>
      <c r="L807" s="528"/>
      <c r="M807" s="528"/>
      <c r="N807" s="528"/>
      <c r="O807" s="528"/>
      <c r="P807" s="528"/>
      <c r="Q807" s="434"/>
      <c r="R807" s="434"/>
      <c r="S807" s="434"/>
      <c r="T807" s="434"/>
      <c r="U807" s="434"/>
      <c r="V807" s="434"/>
      <c r="W807" s="434"/>
      <c r="X807" s="434"/>
      <c r="Y807" s="434"/>
      <c r="Z807" s="434"/>
      <c r="AA807" s="434"/>
      <c r="AB807" s="434"/>
      <c r="AC807" s="434"/>
      <c r="AD807" s="434"/>
    </row>
    <row r="808">
      <c r="A808" s="434"/>
      <c r="B808" s="528"/>
      <c r="C808" s="528"/>
      <c r="D808" s="528"/>
      <c r="E808" s="528"/>
      <c r="F808" s="528"/>
      <c r="G808" s="528"/>
      <c r="H808" s="528"/>
      <c r="I808" s="528"/>
      <c r="J808" s="528"/>
      <c r="K808" s="528"/>
      <c r="L808" s="528"/>
      <c r="M808" s="528"/>
      <c r="N808" s="528"/>
      <c r="O808" s="528"/>
      <c r="P808" s="528"/>
      <c r="Q808" s="434"/>
      <c r="R808" s="434"/>
      <c r="S808" s="434"/>
      <c r="T808" s="434"/>
      <c r="U808" s="434"/>
      <c r="V808" s="434"/>
      <c r="W808" s="434"/>
      <c r="X808" s="434"/>
      <c r="Y808" s="434"/>
      <c r="Z808" s="434"/>
      <c r="AA808" s="434"/>
      <c r="AB808" s="434"/>
      <c r="AC808" s="434"/>
      <c r="AD808" s="434"/>
    </row>
    <row r="809">
      <c r="A809" s="434"/>
      <c r="B809" s="528"/>
      <c r="C809" s="528"/>
      <c r="D809" s="528"/>
      <c r="E809" s="528"/>
      <c r="F809" s="528"/>
      <c r="G809" s="528"/>
      <c r="H809" s="528"/>
      <c r="I809" s="528"/>
      <c r="J809" s="528"/>
      <c r="K809" s="528"/>
      <c r="L809" s="528"/>
      <c r="M809" s="528"/>
      <c r="N809" s="528"/>
      <c r="O809" s="528"/>
      <c r="P809" s="528"/>
      <c r="Q809" s="434"/>
      <c r="R809" s="434"/>
      <c r="S809" s="434"/>
      <c r="T809" s="434"/>
      <c r="U809" s="434"/>
      <c r="V809" s="434"/>
      <c r="W809" s="434"/>
      <c r="X809" s="434"/>
      <c r="Y809" s="434"/>
      <c r="Z809" s="434"/>
      <c r="AA809" s="434"/>
      <c r="AB809" s="434"/>
      <c r="AC809" s="434"/>
      <c r="AD809" s="434"/>
    </row>
    <row r="810">
      <c r="A810" s="434"/>
      <c r="B810" s="528"/>
      <c r="C810" s="528"/>
      <c r="D810" s="528"/>
      <c r="E810" s="528"/>
      <c r="F810" s="528"/>
      <c r="G810" s="528"/>
      <c r="H810" s="528"/>
      <c r="I810" s="528"/>
      <c r="J810" s="528"/>
      <c r="K810" s="528"/>
      <c r="L810" s="528"/>
      <c r="M810" s="528"/>
      <c r="N810" s="528"/>
      <c r="O810" s="528"/>
      <c r="P810" s="528"/>
      <c r="Q810" s="434"/>
      <c r="R810" s="434"/>
      <c r="S810" s="434"/>
      <c r="T810" s="434"/>
      <c r="U810" s="434"/>
      <c r="V810" s="434"/>
      <c r="W810" s="434"/>
      <c r="X810" s="434"/>
      <c r="Y810" s="434"/>
      <c r="Z810" s="434"/>
      <c r="AA810" s="434"/>
      <c r="AB810" s="434"/>
      <c r="AC810" s="434"/>
      <c r="AD810" s="434"/>
    </row>
    <row r="811">
      <c r="A811" s="434"/>
      <c r="B811" s="528"/>
      <c r="C811" s="528"/>
      <c r="D811" s="528"/>
      <c r="E811" s="528"/>
      <c r="F811" s="528"/>
      <c r="G811" s="528"/>
      <c r="H811" s="528"/>
      <c r="I811" s="528"/>
      <c r="J811" s="528"/>
      <c r="K811" s="528"/>
      <c r="L811" s="528"/>
      <c r="M811" s="528"/>
      <c r="N811" s="528"/>
      <c r="O811" s="528"/>
      <c r="P811" s="528"/>
      <c r="Q811" s="434"/>
      <c r="R811" s="434"/>
      <c r="S811" s="434"/>
      <c r="T811" s="434"/>
      <c r="U811" s="434"/>
      <c r="V811" s="434"/>
      <c r="W811" s="434"/>
      <c r="X811" s="434"/>
      <c r="Y811" s="434"/>
      <c r="Z811" s="434"/>
      <c r="AA811" s="434"/>
      <c r="AB811" s="434"/>
      <c r="AC811" s="434"/>
      <c r="AD811" s="434"/>
    </row>
    <row r="812">
      <c r="A812" s="434"/>
      <c r="B812" s="528"/>
      <c r="C812" s="528"/>
      <c r="D812" s="528"/>
      <c r="E812" s="528"/>
      <c r="F812" s="528"/>
      <c r="G812" s="528"/>
      <c r="H812" s="528"/>
      <c r="I812" s="528"/>
      <c r="J812" s="528"/>
      <c r="K812" s="528"/>
      <c r="L812" s="528"/>
      <c r="M812" s="528"/>
      <c r="N812" s="528"/>
      <c r="O812" s="528"/>
      <c r="P812" s="528"/>
      <c r="Q812" s="434"/>
      <c r="R812" s="434"/>
      <c r="S812" s="434"/>
      <c r="T812" s="434"/>
      <c r="U812" s="434"/>
      <c r="V812" s="434"/>
      <c r="W812" s="434"/>
      <c r="X812" s="434"/>
      <c r="Y812" s="434"/>
      <c r="Z812" s="434"/>
      <c r="AA812" s="434"/>
      <c r="AB812" s="434"/>
      <c r="AC812" s="434"/>
      <c r="AD812" s="434"/>
    </row>
    <row r="813">
      <c r="A813" s="434"/>
      <c r="B813" s="528"/>
      <c r="C813" s="528"/>
      <c r="D813" s="528"/>
      <c r="E813" s="528"/>
      <c r="F813" s="528"/>
      <c r="G813" s="528"/>
      <c r="H813" s="528"/>
      <c r="I813" s="528"/>
      <c r="J813" s="528"/>
      <c r="K813" s="528"/>
      <c r="L813" s="528"/>
      <c r="M813" s="528"/>
      <c r="N813" s="528"/>
      <c r="O813" s="528"/>
      <c r="P813" s="528"/>
      <c r="Q813" s="434"/>
      <c r="R813" s="434"/>
      <c r="S813" s="434"/>
      <c r="T813" s="434"/>
      <c r="U813" s="434"/>
      <c r="V813" s="434"/>
      <c r="W813" s="434"/>
      <c r="X813" s="434"/>
      <c r="Y813" s="434"/>
      <c r="Z813" s="434"/>
      <c r="AA813" s="434"/>
      <c r="AB813" s="434"/>
      <c r="AC813" s="434"/>
      <c r="AD813" s="434"/>
    </row>
    <row r="814">
      <c r="A814" s="434"/>
      <c r="B814" s="528"/>
      <c r="C814" s="528"/>
      <c r="D814" s="528"/>
      <c r="E814" s="528"/>
      <c r="F814" s="528"/>
      <c r="G814" s="528"/>
      <c r="H814" s="528"/>
      <c r="I814" s="528"/>
      <c r="J814" s="528"/>
      <c r="K814" s="528"/>
      <c r="L814" s="528"/>
      <c r="M814" s="528"/>
      <c r="N814" s="528"/>
      <c r="O814" s="528"/>
      <c r="P814" s="528"/>
      <c r="Q814" s="434"/>
      <c r="R814" s="434"/>
      <c r="S814" s="434"/>
      <c r="T814" s="434"/>
      <c r="U814" s="434"/>
      <c r="V814" s="434"/>
      <c r="W814" s="434"/>
      <c r="X814" s="434"/>
      <c r="Y814" s="434"/>
      <c r="Z814" s="434"/>
      <c r="AA814" s="434"/>
      <c r="AB814" s="434"/>
      <c r="AC814" s="434"/>
      <c r="AD814" s="434"/>
    </row>
    <row r="815">
      <c r="A815" s="434"/>
      <c r="B815" s="528"/>
      <c r="C815" s="528"/>
      <c r="D815" s="528"/>
      <c r="E815" s="528"/>
      <c r="F815" s="528"/>
      <c r="G815" s="528"/>
      <c r="H815" s="528"/>
      <c r="I815" s="528"/>
      <c r="J815" s="528"/>
      <c r="K815" s="528"/>
      <c r="L815" s="528"/>
      <c r="M815" s="528"/>
      <c r="N815" s="528"/>
      <c r="O815" s="528"/>
      <c r="P815" s="528"/>
      <c r="Q815" s="434"/>
      <c r="R815" s="434"/>
      <c r="S815" s="434"/>
      <c r="T815" s="434"/>
      <c r="U815" s="434"/>
      <c r="V815" s="434"/>
      <c r="W815" s="434"/>
      <c r="X815" s="434"/>
      <c r="Y815" s="434"/>
      <c r="Z815" s="434"/>
      <c r="AA815" s="434"/>
      <c r="AB815" s="434"/>
      <c r="AC815" s="434"/>
      <c r="AD815" s="434"/>
    </row>
    <row r="816">
      <c r="A816" s="434"/>
      <c r="B816" s="528"/>
      <c r="C816" s="528"/>
      <c r="D816" s="528"/>
      <c r="E816" s="528"/>
      <c r="F816" s="528"/>
      <c r="G816" s="528"/>
      <c r="H816" s="528"/>
      <c r="I816" s="528"/>
      <c r="J816" s="528"/>
      <c r="K816" s="528"/>
      <c r="L816" s="528"/>
      <c r="M816" s="528"/>
      <c r="N816" s="528"/>
      <c r="O816" s="528"/>
      <c r="P816" s="528"/>
      <c r="Q816" s="434"/>
      <c r="R816" s="434"/>
      <c r="S816" s="434"/>
      <c r="T816" s="434"/>
      <c r="U816" s="434"/>
      <c r="V816" s="434"/>
      <c r="W816" s="434"/>
      <c r="X816" s="434"/>
      <c r="Y816" s="434"/>
      <c r="Z816" s="434"/>
      <c r="AA816" s="434"/>
      <c r="AB816" s="434"/>
      <c r="AC816" s="434"/>
      <c r="AD816" s="434"/>
    </row>
    <row r="817">
      <c r="A817" s="434"/>
      <c r="B817" s="528"/>
      <c r="C817" s="528"/>
      <c r="D817" s="528"/>
      <c r="E817" s="528"/>
      <c r="F817" s="528"/>
      <c r="G817" s="528"/>
      <c r="H817" s="528"/>
      <c r="I817" s="528"/>
      <c r="J817" s="528"/>
      <c r="K817" s="528"/>
      <c r="L817" s="528"/>
      <c r="M817" s="528"/>
      <c r="N817" s="528"/>
      <c r="O817" s="528"/>
      <c r="P817" s="528"/>
      <c r="Q817" s="434"/>
      <c r="R817" s="434"/>
      <c r="S817" s="434"/>
      <c r="T817" s="434"/>
      <c r="U817" s="434"/>
      <c r="V817" s="434"/>
      <c r="W817" s="434"/>
      <c r="X817" s="434"/>
      <c r="Y817" s="434"/>
      <c r="Z817" s="434"/>
      <c r="AA817" s="434"/>
      <c r="AB817" s="434"/>
      <c r="AC817" s="434"/>
      <c r="AD817" s="434"/>
    </row>
    <row r="818">
      <c r="A818" s="434"/>
      <c r="B818" s="528"/>
      <c r="C818" s="528"/>
      <c r="D818" s="528"/>
      <c r="E818" s="528"/>
      <c r="F818" s="528"/>
      <c r="G818" s="528"/>
      <c r="H818" s="528"/>
      <c r="I818" s="528"/>
      <c r="J818" s="528"/>
      <c r="K818" s="528"/>
      <c r="L818" s="528"/>
      <c r="M818" s="528"/>
      <c r="N818" s="528"/>
      <c r="O818" s="528"/>
      <c r="P818" s="528"/>
      <c r="Q818" s="434"/>
      <c r="R818" s="434"/>
      <c r="S818" s="434"/>
      <c r="T818" s="434"/>
      <c r="U818" s="434"/>
      <c r="V818" s="434"/>
      <c r="W818" s="434"/>
      <c r="X818" s="434"/>
      <c r="Y818" s="434"/>
      <c r="Z818" s="434"/>
      <c r="AA818" s="434"/>
      <c r="AB818" s="434"/>
      <c r="AC818" s="434"/>
      <c r="AD818" s="434"/>
    </row>
    <row r="819">
      <c r="A819" s="434"/>
      <c r="B819" s="528"/>
      <c r="C819" s="528"/>
      <c r="D819" s="528"/>
      <c r="E819" s="528"/>
      <c r="F819" s="528"/>
      <c r="G819" s="528"/>
      <c r="H819" s="528"/>
      <c r="I819" s="528"/>
      <c r="J819" s="528"/>
      <c r="K819" s="528"/>
      <c r="L819" s="528"/>
      <c r="M819" s="528"/>
      <c r="N819" s="528"/>
      <c r="O819" s="528"/>
      <c r="P819" s="528"/>
      <c r="Q819" s="434"/>
      <c r="R819" s="434"/>
      <c r="S819" s="434"/>
      <c r="T819" s="434"/>
      <c r="U819" s="434"/>
      <c r="V819" s="434"/>
      <c r="W819" s="434"/>
      <c r="X819" s="434"/>
      <c r="Y819" s="434"/>
      <c r="Z819" s="434"/>
      <c r="AA819" s="434"/>
      <c r="AB819" s="434"/>
      <c r="AC819" s="434"/>
      <c r="AD819" s="434"/>
    </row>
    <row r="820">
      <c r="A820" s="434"/>
      <c r="B820" s="528"/>
      <c r="C820" s="528"/>
      <c r="D820" s="528"/>
      <c r="E820" s="528"/>
      <c r="F820" s="528"/>
      <c r="G820" s="528"/>
      <c r="H820" s="528"/>
      <c r="I820" s="528"/>
      <c r="J820" s="528"/>
      <c r="K820" s="528"/>
      <c r="L820" s="528"/>
      <c r="M820" s="528"/>
      <c r="N820" s="528"/>
      <c r="O820" s="528"/>
      <c r="P820" s="528"/>
      <c r="Q820" s="434"/>
      <c r="R820" s="434"/>
      <c r="S820" s="434"/>
      <c r="T820" s="434"/>
      <c r="U820" s="434"/>
      <c r="V820" s="434"/>
      <c r="W820" s="434"/>
      <c r="X820" s="434"/>
      <c r="Y820" s="434"/>
      <c r="Z820" s="434"/>
      <c r="AA820" s="434"/>
      <c r="AB820" s="434"/>
      <c r="AC820" s="434"/>
      <c r="AD820" s="434"/>
    </row>
    <row r="821">
      <c r="A821" s="434"/>
      <c r="B821" s="528"/>
      <c r="C821" s="528"/>
      <c r="D821" s="528"/>
      <c r="E821" s="528"/>
      <c r="F821" s="528"/>
      <c r="G821" s="528"/>
      <c r="H821" s="528"/>
      <c r="I821" s="528"/>
      <c r="J821" s="528"/>
      <c r="K821" s="528"/>
      <c r="L821" s="528"/>
      <c r="M821" s="528"/>
      <c r="N821" s="528"/>
      <c r="O821" s="528"/>
      <c r="P821" s="528"/>
      <c r="Q821" s="434"/>
      <c r="R821" s="434"/>
      <c r="S821" s="434"/>
      <c r="T821" s="434"/>
      <c r="U821" s="434"/>
      <c r="V821" s="434"/>
      <c r="W821" s="434"/>
      <c r="X821" s="434"/>
      <c r="Y821" s="434"/>
      <c r="Z821" s="434"/>
      <c r="AA821" s="434"/>
      <c r="AB821" s="434"/>
      <c r="AC821" s="434"/>
      <c r="AD821" s="434"/>
    </row>
    <row r="822">
      <c r="A822" s="434"/>
      <c r="B822" s="528"/>
      <c r="C822" s="528"/>
      <c r="D822" s="528"/>
      <c r="E822" s="528"/>
      <c r="F822" s="528"/>
      <c r="G822" s="528"/>
      <c r="H822" s="528"/>
      <c r="I822" s="528"/>
      <c r="J822" s="528"/>
      <c r="K822" s="528"/>
      <c r="L822" s="528"/>
      <c r="M822" s="528"/>
      <c r="N822" s="528"/>
      <c r="O822" s="528"/>
      <c r="P822" s="528"/>
      <c r="Q822" s="434"/>
      <c r="R822" s="434"/>
      <c r="S822" s="434"/>
      <c r="T822" s="434"/>
      <c r="U822" s="434"/>
      <c r="V822" s="434"/>
      <c r="W822" s="434"/>
      <c r="X822" s="434"/>
      <c r="Y822" s="434"/>
      <c r="Z822" s="434"/>
      <c r="AA822" s="434"/>
      <c r="AB822" s="434"/>
      <c r="AC822" s="434"/>
      <c r="AD822" s="434"/>
    </row>
    <row r="823">
      <c r="A823" s="434"/>
      <c r="B823" s="528"/>
      <c r="C823" s="528"/>
      <c r="D823" s="528"/>
      <c r="E823" s="528"/>
      <c r="F823" s="528"/>
      <c r="G823" s="528"/>
      <c r="H823" s="528"/>
      <c r="I823" s="528"/>
      <c r="J823" s="528"/>
      <c r="K823" s="528"/>
      <c r="L823" s="528"/>
      <c r="M823" s="528"/>
      <c r="N823" s="528"/>
      <c r="O823" s="528"/>
      <c r="P823" s="528"/>
      <c r="Q823" s="434"/>
      <c r="R823" s="434"/>
      <c r="S823" s="434"/>
      <c r="T823" s="434"/>
      <c r="U823" s="434"/>
      <c r="V823" s="434"/>
      <c r="W823" s="434"/>
      <c r="X823" s="434"/>
      <c r="Y823" s="434"/>
      <c r="Z823" s="434"/>
      <c r="AA823" s="434"/>
      <c r="AB823" s="434"/>
      <c r="AC823" s="434"/>
      <c r="AD823" s="434"/>
    </row>
    <row r="824">
      <c r="A824" s="434"/>
      <c r="B824" s="528"/>
      <c r="C824" s="528"/>
      <c r="D824" s="528"/>
      <c r="E824" s="528"/>
      <c r="F824" s="528"/>
      <c r="G824" s="528"/>
      <c r="H824" s="528"/>
      <c r="I824" s="528"/>
      <c r="J824" s="528"/>
      <c r="K824" s="528"/>
      <c r="L824" s="528"/>
      <c r="M824" s="528"/>
      <c r="N824" s="528"/>
      <c r="O824" s="528"/>
      <c r="P824" s="528"/>
      <c r="Q824" s="434"/>
      <c r="R824" s="434"/>
      <c r="S824" s="434"/>
      <c r="T824" s="434"/>
      <c r="U824" s="434"/>
      <c r="V824" s="434"/>
      <c r="W824" s="434"/>
      <c r="X824" s="434"/>
      <c r="Y824" s="434"/>
      <c r="Z824" s="434"/>
      <c r="AA824" s="434"/>
      <c r="AB824" s="434"/>
      <c r="AC824" s="434"/>
      <c r="AD824" s="434"/>
    </row>
    <row r="825">
      <c r="A825" s="434"/>
      <c r="B825" s="528"/>
      <c r="C825" s="528"/>
      <c r="D825" s="528"/>
      <c r="E825" s="528"/>
      <c r="F825" s="528"/>
      <c r="G825" s="528"/>
      <c r="H825" s="528"/>
      <c r="I825" s="528"/>
      <c r="J825" s="528"/>
      <c r="K825" s="528"/>
      <c r="L825" s="528"/>
      <c r="M825" s="528"/>
      <c r="N825" s="528"/>
      <c r="O825" s="528"/>
      <c r="P825" s="528"/>
      <c r="Q825" s="434"/>
      <c r="R825" s="434"/>
      <c r="S825" s="434"/>
      <c r="T825" s="434"/>
      <c r="U825" s="434"/>
      <c r="V825" s="434"/>
      <c r="W825" s="434"/>
      <c r="X825" s="434"/>
      <c r="Y825" s="434"/>
      <c r="Z825" s="434"/>
      <c r="AA825" s="434"/>
      <c r="AB825" s="434"/>
      <c r="AC825" s="434"/>
      <c r="AD825" s="434"/>
    </row>
    <row r="826">
      <c r="A826" s="434"/>
      <c r="B826" s="528"/>
      <c r="C826" s="528"/>
      <c r="D826" s="528"/>
      <c r="E826" s="528"/>
      <c r="F826" s="528"/>
      <c r="G826" s="528"/>
      <c r="H826" s="528"/>
      <c r="I826" s="528"/>
      <c r="J826" s="528"/>
      <c r="K826" s="528"/>
      <c r="L826" s="528"/>
      <c r="M826" s="528"/>
      <c r="N826" s="528"/>
      <c r="O826" s="528"/>
      <c r="P826" s="528"/>
      <c r="Q826" s="434"/>
      <c r="R826" s="434"/>
      <c r="S826" s="434"/>
      <c r="T826" s="434"/>
      <c r="U826" s="434"/>
      <c r="V826" s="434"/>
      <c r="W826" s="434"/>
      <c r="X826" s="434"/>
      <c r="Y826" s="434"/>
      <c r="Z826" s="434"/>
      <c r="AA826" s="434"/>
      <c r="AB826" s="434"/>
      <c r="AC826" s="434"/>
      <c r="AD826" s="434"/>
    </row>
    <row r="827">
      <c r="A827" s="434"/>
      <c r="B827" s="528"/>
      <c r="C827" s="528"/>
      <c r="D827" s="528"/>
      <c r="E827" s="528"/>
      <c r="F827" s="528"/>
      <c r="G827" s="528"/>
      <c r="H827" s="528"/>
      <c r="I827" s="528"/>
      <c r="J827" s="528"/>
      <c r="K827" s="528"/>
      <c r="L827" s="528"/>
      <c r="M827" s="528"/>
      <c r="N827" s="528"/>
      <c r="O827" s="528"/>
      <c r="P827" s="528"/>
      <c r="Q827" s="434"/>
      <c r="R827" s="434"/>
      <c r="S827" s="434"/>
      <c r="T827" s="434"/>
      <c r="U827" s="434"/>
      <c r="V827" s="434"/>
      <c r="W827" s="434"/>
      <c r="X827" s="434"/>
      <c r="Y827" s="434"/>
      <c r="Z827" s="434"/>
      <c r="AA827" s="434"/>
      <c r="AB827" s="434"/>
      <c r="AC827" s="434"/>
      <c r="AD827" s="434"/>
    </row>
    <row r="828">
      <c r="A828" s="434"/>
      <c r="B828" s="528"/>
      <c r="C828" s="528"/>
      <c r="D828" s="528"/>
      <c r="E828" s="528"/>
      <c r="F828" s="528"/>
      <c r="G828" s="528"/>
      <c r="H828" s="528"/>
      <c r="I828" s="528"/>
      <c r="J828" s="528"/>
      <c r="K828" s="528"/>
      <c r="L828" s="528"/>
      <c r="M828" s="528"/>
      <c r="N828" s="528"/>
      <c r="O828" s="528"/>
      <c r="P828" s="528"/>
      <c r="Q828" s="434"/>
      <c r="R828" s="434"/>
      <c r="S828" s="434"/>
      <c r="T828" s="434"/>
      <c r="U828" s="434"/>
      <c r="V828" s="434"/>
      <c r="W828" s="434"/>
      <c r="X828" s="434"/>
      <c r="Y828" s="434"/>
      <c r="Z828" s="434"/>
      <c r="AA828" s="434"/>
      <c r="AB828" s="434"/>
      <c r="AC828" s="434"/>
      <c r="AD828" s="434"/>
    </row>
    <row r="829">
      <c r="A829" s="434"/>
      <c r="B829" s="528"/>
      <c r="C829" s="528"/>
      <c r="D829" s="528"/>
      <c r="E829" s="528"/>
      <c r="F829" s="528"/>
      <c r="G829" s="528"/>
      <c r="H829" s="528"/>
      <c r="I829" s="528"/>
      <c r="J829" s="528"/>
      <c r="K829" s="528"/>
      <c r="L829" s="528"/>
      <c r="M829" s="528"/>
      <c r="N829" s="528"/>
      <c r="O829" s="528"/>
      <c r="P829" s="528"/>
      <c r="Q829" s="434"/>
      <c r="R829" s="434"/>
      <c r="S829" s="434"/>
      <c r="T829" s="434"/>
      <c r="U829" s="434"/>
      <c r="V829" s="434"/>
      <c r="W829" s="434"/>
      <c r="X829" s="434"/>
      <c r="Y829" s="434"/>
      <c r="Z829" s="434"/>
      <c r="AA829" s="434"/>
      <c r="AB829" s="434"/>
      <c r="AC829" s="434"/>
      <c r="AD829" s="434"/>
    </row>
    <row r="830">
      <c r="A830" s="434"/>
      <c r="B830" s="528"/>
      <c r="C830" s="528"/>
      <c r="D830" s="528"/>
      <c r="E830" s="528"/>
      <c r="F830" s="528"/>
      <c r="G830" s="528"/>
      <c r="H830" s="528"/>
      <c r="I830" s="528"/>
      <c r="J830" s="528"/>
      <c r="K830" s="528"/>
      <c r="L830" s="528"/>
      <c r="M830" s="528"/>
      <c r="N830" s="528"/>
      <c r="O830" s="528"/>
      <c r="P830" s="528"/>
      <c r="Q830" s="434"/>
      <c r="R830" s="434"/>
      <c r="S830" s="434"/>
      <c r="T830" s="434"/>
      <c r="U830" s="434"/>
      <c r="V830" s="434"/>
      <c r="W830" s="434"/>
      <c r="X830" s="434"/>
      <c r="Y830" s="434"/>
      <c r="Z830" s="434"/>
      <c r="AA830" s="434"/>
      <c r="AB830" s="434"/>
      <c r="AC830" s="434"/>
      <c r="AD830" s="434"/>
    </row>
    <row r="831">
      <c r="A831" s="434"/>
      <c r="B831" s="528"/>
      <c r="C831" s="528"/>
      <c r="D831" s="528"/>
      <c r="E831" s="528"/>
      <c r="F831" s="528"/>
      <c r="G831" s="528"/>
      <c r="H831" s="528"/>
      <c r="I831" s="528"/>
      <c r="J831" s="528"/>
      <c r="K831" s="528"/>
      <c r="L831" s="528"/>
      <c r="M831" s="528"/>
      <c r="N831" s="528"/>
      <c r="O831" s="528"/>
      <c r="P831" s="528"/>
      <c r="Q831" s="434"/>
      <c r="R831" s="434"/>
      <c r="S831" s="434"/>
      <c r="T831" s="434"/>
      <c r="U831" s="434"/>
      <c r="V831" s="434"/>
      <c r="W831" s="434"/>
      <c r="X831" s="434"/>
      <c r="Y831" s="434"/>
      <c r="Z831" s="434"/>
      <c r="AA831" s="434"/>
      <c r="AB831" s="434"/>
      <c r="AC831" s="434"/>
      <c r="AD831" s="434"/>
    </row>
    <row r="832">
      <c r="A832" s="434"/>
      <c r="B832" s="528"/>
      <c r="C832" s="528"/>
      <c r="D832" s="528"/>
      <c r="E832" s="528"/>
      <c r="F832" s="528"/>
      <c r="G832" s="528"/>
      <c r="H832" s="528"/>
      <c r="I832" s="528"/>
      <c r="J832" s="528"/>
      <c r="K832" s="528"/>
      <c r="L832" s="528"/>
      <c r="M832" s="528"/>
      <c r="N832" s="528"/>
      <c r="O832" s="528"/>
      <c r="P832" s="528"/>
      <c r="Q832" s="434"/>
      <c r="R832" s="434"/>
      <c r="S832" s="434"/>
      <c r="T832" s="434"/>
      <c r="U832" s="434"/>
      <c r="V832" s="434"/>
      <c r="W832" s="434"/>
      <c r="X832" s="434"/>
      <c r="Y832" s="434"/>
      <c r="Z832" s="434"/>
      <c r="AA832" s="434"/>
      <c r="AB832" s="434"/>
      <c r="AC832" s="434"/>
      <c r="AD832" s="434"/>
    </row>
    <row r="833">
      <c r="A833" s="434"/>
      <c r="B833" s="528"/>
      <c r="C833" s="528"/>
      <c r="D833" s="528"/>
      <c r="E833" s="528"/>
      <c r="F833" s="528"/>
      <c r="G833" s="528"/>
      <c r="H833" s="528"/>
      <c r="I833" s="528"/>
      <c r="J833" s="528"/>
      <c r="K833" s="528"/>
      <c r="L833" s="528"/>
      <c r="M833" s="528"/>
      <c r="N833" s="528"/>
      <c r="O833" s="528"/>
      <c r="P833" s="528"/>
      <c r="Q833" s="434"/>
      <c r="R833" s="434"/>
      <c r="S833" s="434"/>
      <c r="T833" s="434"/>
      <c r="U833" s="434"/>
      <c r="V833" s="434"/>
      <c r="W833" s="434"/>
      <c r="X833" s="434"/>
      <c r="Y833" s="434"/>
      <c r="Z833" s="434"/>
      <c r="AA833" s="434"/>
      <c r="AB833" s="434"/>
      <c r="AC833" s="434"/>
      <c r="AD833" s="434"/>
    </row>
    <row r="834">
      <c r="A834" s="434"/>
      <c r="B834" s="528"/>
      <c r="C834" s="528"/>
      <c r="D834" s="528"/>
      <c r="E834" s="528"/>
      <c r="F834" s="528"/>
      <c r="G834" s="528"/>
      <c r="H834" s="528"/>
      <c r="I834" s="528"/>
      <c r="J834" s="528"/>
      <c r="K834" s="528"/>
      <c r="L834" s="528"/>
      <c r="M834" s="528"/>
      <c r="N834" s="528"/>
      <c r="O834" s="528"/>
      <c r="P834" s="528"/>
      <c r="Q834" s="434"/>
      <c r="R834" s="434"/>
      <c r="S834" s="434"/>
      <c r="T834" s="434"/>
      <c r="U834" s="434"/>
      <c r="V834" s="434"/>
      <c r="W834" s="434"/>
      <c r="X834" s="434"/>
      <c r="Y834" s="434"/>
      <c r="Z834" s="434"/>
      <c r="AA834" s="434"/>
      <c r="AB834" s="434"/>
      <c r="AC834" s="434"/>
      <c r="AD834" s="434"/>
    </row>
    <row r="835">
      <c r="A835" s="434"/>
      <c r="B835" s="528"/>
      <c r="C835" s="528"/>
      <c r="D835" s="528"/>
      <c r="E835" s="528"/>
      <c r="F835" s="528"/>
      <c r="G835" s="528"/>
      <c r="H835" s="528"/>
      <c r="I835" s="528"/>
      <c r="J835" s="528"/>
      <c r="K835" s="528"/>
      <c r="L835" s="528"/>
      <c r="M835" s="528"/>
      <c r="N835" s="528"/>
      <c r="O835" s="528"/>
      <c r="P835" s="528"/>
      <c r="Q835" s="434"/>
      <c r="R835" s="434"/>
      <c r="S835" s="434"/>
      <c r="T835" s="434"/>
      <c r="U835" s="434"/>
      <c r="V835" s="434"/>
      <c r="W835" s="434"/>
      <c r="X835" s="434"/>
      <c r="Y835" s="434"/>
      <c r="Z835" s="434"/>
      <c r="AA835" s="434"/>
      <c r="AB835" s="434"/>
      <c r="AC835" s="434"/>
      <c r="AD835" s="434"/>
    </row>
    <row r="836">
      <c r="A836" s="434"/>
      <c r="B836" s="528"/>
      <c r="C836" s="528"/>
      <c r="D836" s="528"/>
      <c r="E836" s="528"/>
      <c r="F836" s="528"/>
      <c r="G836" s="528"/>
      <c r="H836" s="528"/>
      <c r="I836" s="528"/>
      <c r="J836" s="528"/>
      <c r="K836" s="528"/>
      <c r="L836" s="528"/>
      <c r="M836" s="528"/>
      <c r="N836" s="528"/>
      <c r="O836" s="528"/>
      <c r="P836" s="528"/>
      <c r="Q836" s="434"/>
      <c r="R836" s="434"/>
      <c r="S836" s="434"/>
      <c r="T836" s="434"/>
      <c r="U836" s="434"/>
      <c r="V836" s="434"/>
      <c r="W836" s="434"/>
      <c r="X836" s="434"/>
      <c r="Y836" s="434"/>
      <c r="Z836" s="434"/>
      <c r="AA836" s="434"/>
      <c r="AB836" s="434"/>
      <c r="AC836" s="434"/>
      <c r="AD836" s="434"/>
    </row>
    <row r="837">
      <c r="A837" s="434"/>
      <c r="B837" s="528"/>
      <c r="C837" s="528"/>
      <c r="D837" s="528"/>
      <c r="E837" s="528"/>
      <c r="F837" s="528"/>
      <c r="G837" s="528"/>
      <c r="H837" s="528"/>
      <c r="I837" s="528"/>
      <c r="J837" s="528"/>
      <c r="K837" s="528"/>
      <c r="L837" s="528"/>
      <c r="M837" s="528"/>
      <c r="N837" s="528"/>
      <c r="O837" s="528"/>
      <c r="P837" s="528"/>
      <c r="Q837" s="434"/>
      <c r="R837" s="434"/>
      <c r="S837" s="434"/>
      <c r="T837" s="434"/>
      <c r="U837" s="434"/>
      <c r="V837" s="434"/>
      <c r="W837" s="434"/>
      <c r="X837" s="434"/>
      <c r="Y837" s="434"/>
      <c r="Z837" s="434"/>
      <c r="AA837" s="434"/>
      <c r="AB837" s="434"/>
      <c r="AC837" s="434"/>
      <c r="AD837" s="434"/>
    </row>
    <row r="838">
      <c r="A838" s="434"/>
      <c r="B838" s="528"/>
      <c r="C838" s="528"/>
      <c r="D838" s="528"/>
      <c r="E838" s="528"/>
      <c r="F838" s="528"/>
      <c r="G838" s="528"/>
      <c r="H838" s="528"/>
      <c r="I838" s="528"/>
      <c r="J838" s="528"/>
      <c r="K838" s="528"/>
      <c r="L838" s="528"/>
      <c r="M838" s="528"/>
      <c r="N838" s="528"/>
      <c r="O838" s="528"/>
      <c r="P838" s="528"/>
      <c r="Q838" s="434"/>
      <c r="R838" s="434"/>
      <c r="S838" s="434"/>
      <c r="T838" s="434"/>
      <c r="U838" s="434"/>
      <c r="V838" s="434"/>
      <c r="W838" s="434"/>
      <c r="X838" s="434"/>
      <c r="Y838" s="434"/>
      <c r="Z838" s="434"/>
      <c r="AA838" s="434"/>
      <c r="AB838" s="434"/>
      <c r="AC838" s="434"/>
      <c r="AD838" s="434"/>
    </row>
    <row r="839">
      <c r="A839" s="434"/>
      <c r="B839" s="528"/>
      <c r="C839" s="528"/>
      <c r="D839" s="528"/>
      <c r="E839" s="528"/>
      <c r="F839" s="528"/>
      <c r="G839" s="528"/>
      <c r="H839" s="528"/>
      <c r="I839" s="528"/>
      <c r="J839" s="528"/>
      <c r="K839" s="528"/>
      <c r="L839" s="528"/>
      <c r="M839" s="528"/>
      <c r="N839" s="528"/>
      <c r="O839" s="528"/>
      <c r="P839" s="528"/>
      <c r="Q839" s="434"/>
      <c r="R839" s="434"/>
      <c r="S839" s="434"/>
      <c r="T839" s="434"/>
      <c r="U839" s="434"/>
      <c r="V839" s="434"/>
      <c r="W839" s="434"/>
      <c r="X839" s="434"/>
      <c r="Y839" s="434"/>
      <c r="Z839" s="434"/>
      <c r="AA839" s="434"/>
      <c r="AB839" s="434"/>
      <c r="AC839" s="434"/>
      <c r="AD839" s="434"/>
    </row>
    <row r="840">
      <c r="A840" s="434"/>
      <c r="B840" s="528"/>
      <c r="C840" s="528"/>
      <c r="D840" s="528"/>
      <c r="E840" s="528"/>
      <c r="F840" s="528"/>
      <c r="G840" s="528"/>
      <c r="H840" s="528"/>
      <c r="I840" s="528"/>
      <c r="J840" s="528"/>
      <c r="K840" s="528"/>
      <c r="L840" s="528"/>
      <c r="M840" s="528"/>
      <c r="N840" s="528"/>
      <c r="O840" s="528"/>
      <c r="P840" s="528"/>
      <c r="Q840" s="434"/>
      <c r="R840" s="434"/>
      <c r="S840" s="434"/>
      <c r="T840" s="434"/>
      <c r="U840" s="434"/>
      <c r="V840" s="434"/>
      <c r="W840" s="434"/>
      <c r="X840" s="434"/>
      <c r="Y840" s="434"/>
      <c r="Z840" s="434"/>
      <c r="AA840" s="434"/>
      <c r="AB840" s="434"/>
      <c r="AC840" s="434"/>
      <c r="AD840" s="434"/>
    </row>
    <row r="841">
      <c r="A841" s="434"/>
      <c r="B841" s="528"/>
      <c r="C841" s="528"/>
      <c r="D841" s="528"/>
      <c r="E841" s="528"/>
      <c r="F841" s="528"/>
      <c r="G841" s="528"/>
      <c r="H841" s="528"/>
      <c r="I841" s="528"/>
      <c r="J841" s="528"/>
      <c r="K841" s="528"/>
      <c r="L841" s="528"/>
      <c r="M841" s="528"/>
      <c r="N841" s="528"/>
      <c r="O841" s="528"/>
      <c r="P841" s="528"/>
      <c r="Q841" s="434"/>
      <c r="R841" s="434"/>
      <c r="S841" s="434"/>
      <c r="T841" s="434"/>
      <c r="U841" s="434"/>
      <c r="V841" s="434"/>
      <c r="W841" s="434"/>
      <c r="X841" s="434"/>
      <c r="Y841" s="434"/>
      <c r="Z841" s="434"/>
      <c r="AA841" s="434"/>
      <c r="AB841" s="434"/>
      <c r="AC841" s="434"/>
      <c r="AD841" s="434"/>
    </row>
    <row r="842">
      <c r="A842" s="434"/>
      <c r="B842" s="528"/>
      <c r="C842" s="528"/>
      <c r="D842" s="528"/>
      <c r="E842" s="528"/>
      <c r="F842" s="528"/>
      <c r="G842" s="528"/>
      <c r="H842" s="528"/>
      <c r="I842" s="528"/>
      <c r="J842" s="528"/>
      <c r="K842" s="528"/>
      <c r="L842" s="528"/>
      <c r="M842" s="528"/>
      <c r="N842" s="528"/>
      <c r="O842" s="528"/>
      <c r="P842" s="528"/>
      <c r="Q842" s="434"/>
      <c r="R842" s="434"/>
      <c r="S842" s="434"/>
      <c r="T842" s="434"/>
      <c r="U842" s="434"/>
      <c r="V842" s="434"/>
      <c r="W842" s="434"/>
      <c r="X842" s="434"/>
      <c r="Y842" s="434"/>
      <c r="Z842" s="434"/>
      <c r="AA842" s="434"/>
      <c r="AB842" s="434"/>
      <c r="AC842" s="434"/>
      <c r="AD842" s="434"/>
    </row>
    <row r="843">
      <c r="A843" s="434"/>
      <c r="B843" s="528"/>
      <c r="C843" s="528"/>
      <c r="D843" s="528"/>
      <c r="E843" s="528"/>
      <c r="F843" s="528"/>
      <c r="G843" s="528"/>
      <c r="H843" s="528"/>
      <c r="I843" s="528"/>
      <c r="J843" s="528"/>
      <c r="K843" s="528"/>
      <c r="L843" s="528"/>
      <c r="M843" s="528"/>
      <c r="N843" s="528"/>
      <c r="O843" s="528"/>
      <c r="P843" s="528"/>
      <c r="Q843" s="434"/>
      <c r="R843" s="434"/>
      <c r="S843" s="434"/>
      <c r="T843" s="434"/>
      <c r="U843" s="434"/>
      <c r="V843" s="434"/>
      <c r="W843" s="434"/>
      <c r="X843" s="434"/>
      <c r="Y843" s="434"/>
      <c r="Z843" s="434"/>
      <c r="AA843" s="434"/>
      <c r="AB843" s="434"/>
      <c r="AC843" s="434"/>
      <c r="AD843" s="434"/>
    </row>
    <row r="844">
      <c r="A844" s="434"/>
      <c r="B844" s="528"/>
      <c r="C844" s="528"/>
      <c r="D844" s="528"/>
      <c r="E844" s="528"/>
      <c r="F844" s="528"/>
      <c r="G844" s="528"/>
      <c r="H844" s="528"/>
      <c r="I844" s="528"/>
      <c r="J844" s="528"/>
      <c r="K844" s="528"/>
      <c r="L844" s="528"/>
      <c r="M844" s="528"/>
      <c r="N844" s="528"/>
      <c r="O844" s="528"/>
      <c r="P844" s="528"/>
      <c r="Q844" s="434"/>
      <c r="R844" s="434"/>
      <c r="S844" s="434"/>
      <c r="T844" s="434"/>
      <c r="U844" s="434"/>
      <c r="V844" s="434"/>
      <c r="W844" s="434"/>
      <c r="X844" s="434"/>
      <c r="Y844" s="434"/>
      <c r="Z844" s="434"/>
      <c r="AA844" s="434"/>
      <c r="AB844" s="434"/>
      <c r="AC844" s="434"/>
      <c r="AD844" s="434"/>
    </row>
    <row r="845">
      <c r="A845" s="434"/>
      <c r="B845" s="528"/>
      <c r="C845" s="528"/>
      <c r="D845" s="528"/>
      <c r="E845" s="528"/>
      <c r="F845" s="528"/>
      <c r="G845" s="528"/>
      <c r="H845" s="528"/>
      <c r="I845" s="528"/>
      <c r="J845" s="528"/>
      <c r="K845" s="528"/>
      <c r="L845" s="528"/>
      <c r="M845" s="528"/>
      <c r="N845" s="528"/>
      <c r="O845" s="528"/>
      <c r="P845" s="528"/>
      <c r="Q845" s="434"/>
      <c r="R845" s="434"/>
      <c r="S845" s="434"/>
      <c r="T845" s="434"/>
      <c r="U845" s="434"/>
      <c r="V845" s="434"/>
      <c r="W845" s="434"/>
      <c r="X845" s="434"/>
      <c r="Y845" s="434"/>
      <c r="Z845" s="434"/>
      <c r="AA845" s="434"/>
      <c r="AB845" s="434"/>
      <c r="AC845" s="434"/>
      <c r="AD845" s="434"/>
    </row>
    <row r="846">
      <c r="A846" s="434"/>
      <c r="B846" s="528"/>
      <c r="C846" s="528"/>
      <c r="D846" s="528"/>
      <c r="E846" s="528"/>
      <c r="F846" s="528"/>
      <c r="G846" s="528"/>
      <c r="H846" s="528"/>
      <c r="I846" s="528"/>
      <c r="J846" s="528"/>
      <c r="K846" s="528"/>
      <c r="L846" s="528"/>
      <c r="M846" s="528"/>
      <c r="N846" s="528"/>
      <c r="O846" s="528"/>
      <c r="P846" s="528"/>
      <c r="Q846" s="434"/>
      <c r="R846" s="434"/>
      <c r="S846" s="434"/>
      <c r="T846" s="434"/>
      <c r="U846" s="434"/>
      <c r="V846" s="434"/>
      <c r="W846" s="434"/>
      <c r="X846" s="434"/>
      <c r="Y846" s="434"/>
      <c r="Z846" s="434"/>
      <c r="AA846" s="434"/>
      <c r="AB846" s="434"/>
      <c r="AC846" s="434"/>
      <c r="AD846" s="434"/>
    </row>
    <row r="847">
      <c r="A847" s="434"/>
      <c r="B847" s="528"/>
      <c r="C847" s="528"/>
      <c r="D847" s="528"/>
      <c r="E847" s="528"/>
      <c r="F847" s="528"/>
      <c r="G847" s="528"/>
      <c r="H847" s="528"/>
      <c r="I847" s="528"/>
      <c r="J847" s="528"/>
      <c r="K847" s="528"/>
      <c r="L847" s="528"/>
      <c r="M847" s="528"/>
      <c r="N847" s="528"/>
      <c r="O847" s="528"/>
      <c r="P847" s="528"/>
      <c r="Q847" s="434"/>
      <c r="R847" s="434"/>
      <c r="S847" s="434"/>
      <c r="T847" s="434"/>
      <c r="U847" s="434"/>
      <c r="V847" s="434"/>
      <c r="W847" s="434"/>
      <c r="X847" s="434"/>
      <c r="Y847" s="434"/>
      <c r="Z847" s="434"/>
      <c r="AA847" s="434"/>
      <c r="AB847" s="434"/>
      <c r="AC847" s="434"/>
      <c r="AD847" s="434"/>
    </row>
    <row r="848">
      <c r="A848" s="434"/>
      <c r="B848" s="528"/>
      <c r="C848" s="528"/>
      <c r="D848" s="528"/>
      <c r="E848" s="528"/>
      <c r="F848" s="528"/>
      <c r="G848" s="528"/>
      <c r="H848" s="528"/>
      <c r="I848" s="528"/>
      <c r="J848" s="528"/>
      <c r="K848" s="528"/>
      <c r="L848" s="528"/>
      <c r="M848" s="528"/>
      <c r="N848" s="528"/>
      <c r="O848" s="528"/>
      <c r="P848" s="528"/>
      <c r="Q848" s="434"/>
      <c r="R848" s="434"/>
      <c r="S848" s="434"/>
      <c r="T848" s="434"/>
      <c r="U848" s="434"/>
      <c r="V848" s="434"/>
      <c r="W848" s="434"/>
      <c r="X848" s="434"/>
      <c r="Y848" s="434"/>
      <c r="Z848" s="434"/>
      <c r="AA848" s="434"/>
      <c r="AB848" s="434"/>
      <c r="AC848" s="434"/>
      <c r="AD848" s="434"/>
    </row>
    <row r="849">
      <c r="A849" s="434"/>
      <c r="B849" s="528"/>
      <c r="C849" s="528"/>
      <c r="D849" s="528"/>
      <c r="E849" s="528"/>
      <c r="F849" s="528"/>
      <c r="G849" s="528"/>
      <c r="H849" s="528"/>
      <c r="I849" s="528"/>
      <c r="J849" s="528"/>
      <c r="K849" s="528"/>
      <c r="L849" s="528"/>
      <c r="M849" s="528"/>
      <c r="N849" s="528"/>
      <c r="O849" s="528"/>
      <c r="P849" s="528"/>
      <c r="Q849" s="434"/>
      <c r="R849" s="434"/>
      <c r="S849" s="434"/>
      <c r="T849" s="434"/>
      <c r="U849" s="434"/>
      <c r="V849" s="434"/>
      <c r="W849" s="434"/>
      <c r="X849" s="434"/>
      <c r="Y849" s="434"/>
      <c r="Z849" s="434"/>
      <c r="AA849" s="434"/>
      <c r="AB849" s="434"/>
      <c r="AC849" s="434"/>
      <c r="AD849" s="434"/>
    </row>
    <row r="850">
      <c r="A850" s="434"/>
      <c r="B850" s="528"/>
      <c r="C850" s="528"/>
      <c r="D850" s="528"/>
      <c r="E850" s="528"/>
      <c r="F850" s="528"/>
      <c r="G850" s="528"/>
      <c r="H850" s="528"/>
      <c r="I850" s="528"/>
      <c r="J850" s="528"/>
      <c r="K850" s="528"/>
      <c r="L850" s="528"/>
      <c r="M850" s="528"/>
      <c r="N850" s="528"/>
      <c r="O850" s="528"/>
      <c r="P850" s="528"/>
      <c r="Q850" s="434"/>
      <c r="R850" s="434"/>
      <c r="S850" s="434"/>
      <c r="T850" s="434"/>
      <c r="U850" s="434"/>
      <c r="V850" s="434"/>
      <c r="W850" s="434"/>
      <c r="X850" s="434"/>
      <c r="Y850" s="434"/>
      <c r="Z850" s="434"/>
      <c r="AA850" s="434"/>
      <c r="AB850" s="434"/>
      <c r="AC850" s="434"/>
      <c r="AD850" s="434"/>
    </row>
    <row r="851">
      <c r="A851" s="434"/>
      <c r="B851" s="528"/>
      <c r="C851" s="528"/>
      <c r="D851" s="528"/>
      <c r="E851" s="528"/>
      <c r="F851" s="528"/>
      <c r="G851" s="528"/>
      <c r="H851" s="528"/>
      <c r="I851" s="528"/>
      <c r="J851" s="528"/>
      <c r="K851" s="528"/>
      <c r="L851" s="528"/>
      <c r="M851" s="528"/>
      <c r="N851" s="528"/>
      <c r="O851" s="528"/>
      <c r="P851" s="528"/>
      <c r="Q851" s="434"/>
      <c r="R851" s="434"/>
      <c r="S851" s="434"/>
      <c r="T851" s="434"/>
      <c r="U851" s="434"/>
      <c r="V851" s="434"/>
      <c r="W851" s="434"/>
      <c r="X851" s="434"/>
      <c r="Y851" s="434"/>
      <c r="Z851" s="434"/>
      <c r="AA851" s="434"/>
      <c r="AB851" s="434"/>
      <c r="AC851" s="434"/>
      <c r="AD851" s="434"/>
    </row>
    <row r="852">
      <c r="A852" s="434"/>
      <c r="B852" s="528"/>
      <c r="C852" s="528"/>
      <c r="D852" s="528"/>
      <c r="E852" s="528"/>
      <c r="F852" s="528"/>
      <c r="G852" s="528"/>
      <c r="H852" s="528"/>
      <c r="I852" s="528"/>
      <c r="J852" s="528"/>
      <c r="K852" s="528"/>
      <c r="L852" s="528"/>
      <c r="M852" s="528"/>
      <c r="N852" s="528"/>
      <c r="O852" s="528"/>
      <c r="P852" s="528"/>
      <c r="Q852" s="434"/>
      <c r="R852" s="434"/>
      <c r="S852" s="434"/>
      <c r="T852" s="434"/>
      <c r="U852" s="434"/>
      <c r="V852" s="434"/>
      <c r="W852" s="434"/>
      <c r="X852" s="434"/>
      <c r="Y852" s="434"/>
      <c r="Z852" s="434"/>
      <c r="AA852" s="434"/>
      <c r="AB852" s="434"/>
      <c r="AC852" s="434"/>
      <c r="AD852" s="434"/>
    </row>
    <row r="853">
      <c r="A853" s="434"/>
      <c r="B853" s="528"/>
      <c r="C853" s="528"/>
      <c r="D853" s="528"/>
      <c r="E853" s="528"/>
      <c r="F853" s="528"/>
      <c r="G853" s="528"/>
      <c r="H853" s="528"/>
      <c r="I853" s="528"/>
      <c r="J853" s="528"/>
      <c r="K853" s="528"/>
      <c r="L853" s="528"/>
      <c r="M853" s="528"/>
      <c r="N853" s="528"/>
      <c r="O853" s="528"/>
      <c r="P853" s="528"/>
      <c r="Q853" s="434"/>
      <c r="R853" s="434"/>
      <c r="S853" s="434"/>
      <c r="T853" s="434"/>
      <c r="U853" s="434"/>
      <c r="V853" s="434"/>
      <c r="W853" s="434"/>
      <c r="X853" s="434"/>
      <c r="Y853" s="434"/>
      <c r="Z853" s="434"/>
      <c r="AA853" s="434"/>
      <c r="AB853" s="434"/>
      <c r="AC853" s="434"/>
      <c r="AD853" s="434"/>
    </row>
    <row r="854">
      <c r="A854" s="434"/>
      <c r="B854" s="528"/>
      <c r="C854" s="528"/>
      <c r="D854" s="528"/>
      <c r="E854" s="528"/>
      <c r="F854" s="528"/>
      <c r="G854" s="528"/>
      <c r="H854" s="528"/>
      <c r="I854" s="528"/>
      <c r="J854" s="528"/>
      <c r="K854" s="528"/>
      <c r="L854" s="528"/>
      <c r="M854" s="528"/>
      <c r="N854" s="528"/>
      <c r="O854" s="528"/>
      <c r="P854" s="528"/>
      <c r="Q854" s="434"/>
      <c r="R854" s="434"/>
      <c r="S854" s="434"/>
      <c r="T854" s="434"/>
      <c r="U854" s="434"/>
      <c r="V854" s="434"/>
      <c r="W854" s="434"/>
      <c r="X854" s="434"/>
      <c r="Y854" s="434"/>
      <c r="Z854" s="434"/>
      <c r="AA854" s="434"/>
      <c r="AB854" s="434"/>
      <c r="AC854" s="434"/>
      <c r="AD854" s="434"/>
    </row>
    <row r="855">
      <c r="A855" s="434"/>
      <c r="B855" s="528"/>
      <c r="C855" s="528"/>
      <c r="D855" s="528"/>
      <c r="E855" s="528"/>
      <c r="F855" s="528"/>
      <c r="G855" s="528"/>
      <c r="H855" s="528"/>
      <c r="I855" s="528"/>
      <c r="J855" s="528"/>
      <c r="K855" s="528"/>
      <c r="L855" s="528"/>
      <c r="M855" s="528"/>
      <c r="N855" s="528"/>
      <c r="O855" s="528"/>
      <c r="P855" s="528"/>
      <c r="Q855" s="434"/>
      <c r="R855" s="434"/>
      <c r="S855" s="434"/>
      <c r="T855" s="434"/>
      <c r="U855" s="434"/>
      <c r="V855" s="434"/>
      <c r="W855" s="434"/>
      <c r="X855" s="434"/>
      <c r="Y855" s="434"/>
      <c r="Z855" s="434"/>
      <c r="AA855" s="434"/>
      <c r="AB855" s="434"/>
      <c r="AC855" s="434"/>
      <c r="AD855" s="434"/>
    </row>
    <row r="856">
      <c r="A856" s="434"/>
      <c r="B856" s="528"/>
      <c r="C856" s="528"/>
      <c r="D856" s="528"/>
      <c r="E856" s="528"/>
      <c r="F856" s="528"/>
      <c r="G856" s="528"/>
      <c r="H856" s="528"/>
      <c r="I856" s="528"/>
      <c r="J856" s="528"/>
      <c r="K856" s="528"/>
      <c r="L856" s="528"/>
      <c r="M856" s="528"/>
      <c r="N856" s="528"/>
      <c r="O856" s="528"/>
      <c r="P856" s="528"/>
      <c r="Q856" s="434"/>
      <c r="R856" s="434"/>
      <c r="S856" s="434"/>
      <c r="T856" s="434"/>
      <c r="U856" s="434"/>
      <c r="V856" s="434"/>
      <c r="W856" s="434"/>
      <c r="X856" s="434"/>
      <c r="Y856" s="434"/>
      <c r="Z856" s="434"/>
      <c r="AA856" s="434"/>
      <c r="AB856" s="434"/>
      <c r="AC856" s="434"/>
      <c r="AD856" s="434"/>
    </row>
    <row r="857">
      <c r="A857" s="434"/>
      <c r="B857" s="528"/>
      <c r="C857" s="528"/>
      <c r="D857" s="528"/>
      <c r="E857" s="528"/>
      <c r="F857" s="528"/>
      <c r="G857" s="528"/>
      <c r="H857" s="528"/>
      <c r="I857" s="528"/>
      <c r="J857" s="528"/>
      <c r="K857" s="528"/>
      <c r="L857" s="528"/>
      <c r="M857" s="528"/>
      <c r="N857" s="528"/>
      <c r="O857" s="528"/>
      <c r="P857" s="528"/>
      <c r="Q857" s="434"/>
      <c r="R857" s="434"/>
      <c r="S857" s="434"/>
      <c r="T857" s="434"/>
      <c r="U857" s="434"/>
      <c r="V857" s="434"/>
      <c r="W857" s="434"/>
      <c r="X857" s="434"/>
      <c r="Y857" s="434"/>
      <c r="Z857" s="434"/>
      <c r="AA857" s="434"/>
      <c r="AB857" s="434"/>
      <c r="AC857" s="434"/>
      <c r="AD857" s="434"/>
    </row>
    <row r="858">
      <c r="A858" s="434"/>
      <c r="B858" s="528"/>
      <c r="C858" s="528"/>
      <c r="D858" s="528"/>
      <c r="E858" s="528"/>
      <c r="F858" s="528"/>
      <c r="G858" s="528"/>
      <c r="H858" s="528"/>
      <c r="I858" s="528"/>
      <c r="J858" s="528"/>
      <c r="K858" s="528"/>
      <c r="L858" s="528"/>
      <c r="M858" s="528"/>
      <c r="N858" s="528"/>
      <c r="O858" s="528"/>
      <c r="P858" s="528"/>
      <c r="Q858" s="434"/>
      <c r="R858" s="434"/>
      <c r="S858" s="434"/>
      <c r="T858" s="434"/>
      <c r="U858" s="434"/>
      <c r="V858" s="434"/>
      <c r="W858" s="434"/>
      <c r="X858" s="434"/>
      <c r="Y858" s="434"/>
      <c r="Z858" s="434"/>
      <c r="AA858" s="434"/>
      <c r="AB858" s="434"/>
      <c r="AC858" s="434"/>
      <c r="AD858" s="434"/>
    </row>
    <row r="859">
      <c r="A859" s="434"/>
      <c r="B859" s="528"/>
      <c r="C859" s="528"/>
      <c r="D859" s="528"/>
      <c r="E859" s="528"/>
      <c r="F859" s="528"/>
      <c r="G859" s="528"/>
      <c r="H859" s="528"/>
      <c r="I859" s="528"/>
      <c r="J859" s="528"/>
      <c r="K859" s="528"/>
      <c r="L859" s="528"/>
      <c r="M859" s="528"/>
      <c r="N859" s="528"/>
      <c r="O859" s="528"/>
      <c r="P859" s="528"/>
      <c r="Q859" s="434"/>
      <c r="R859" s="434"/>
      <c r="S859" s="434"/>
      <c r="T859" s="434"/>
      <c r="U859" s="434"/>
      <c r="V859" s="434"/>
      <c r="W859" s="434"/>
      <c r="X859" s="434"/>
      <c r="Y859" s="434"/>
      <c r="Z859" s="434"/>
      <c r="AA859" s="434"/>
      <c r="AB859" s="434"/>
      <c r="AC859" s="434"/>
      <c r="AD859" s="434"/>
    </row>
    <row r="860">
      <c r="A860" s="434"/>
      <c r="B860" s="528"/>
      <c r="C860" s="528"/>
      <c r="D860" s="528"/>
      <c r="E860" s="528"/>
      <c r="F860" s="528"/>
      <c r="G860" s="528"/>
      <c r="H860" s="528"/>
      <c r="I860" s="528"/>
      <c r="J860" s="528"/>
      <c r="K860" s="528"/>
      <c r="L860" s="528"/>
      <c r="M860" s="528"/>
      <c r="N860" s="528"/>
      <c r="O860" s="528"/>
      <c r="P860" s="528"/>
      <c r="Q860" s="434"/>
      <c r="R860" s="434"/>
      <c r="S860" s="434"/>
      <c r="T860" s="434"/>
      <c r="U860" s="434"/>
      <c r="V860" s="434"/>
      <c r="W860" s="434"/>
      <c r="X860" s="434"/>
      <c r="Y860" s="434"/>
      <c r="Z860" s="434"/>
      <c r="AA860" s="434"/>
      <c r="AB860" s="434"/>
      <c r="AC860" s="434"/>
      <c r="AD860" s="434"/>
    </row>
    <row r="861">
      <c r="A861" s="434"/>
      <c r="B861" s="528"/>
      <c r="C861" s="528"/>
      <c r="D861" s="528"/>
      <c r="E861" s="528"/>
      <c r="F861" s="528"/>
      <c r="G861" s="528"/>
      <c r="H861" s="528"/>
      <c r="I861" s="528"/>
      <c r="J861" s="528"/>
      <c r="K861" s="528"/>
      <c r="L861" s="528"/>
      <c r="M861" s="528"/>
      <c r="N861" s="528"/>
      <c r="O861" s="528"/>
      <c r="P861" s="528"/>
      <c r="Q861" s="434"/>
      <c r="R861" s="434"/>
      <c r="S861" s="434"/>
      <c r="T861" s="434"/>
      <c r="U861" s="434"/>
      <c r="V861" s="434"/>
      <c r="W861" s="434"/>
      <c r="X861" s="434"/>
      <c r="Y861" s="434"/>
      <c r="Z861" s="434"/>
      <c r="AA861" s="434"/>
      <c r="AB861" s="434"/>
      <c r="AC861" s="434"/>
      <c r="AD861" s="434"/>
    </row>
    <row r="862">
      <c r="A862" s="434"/>
      <c r="B862" s="528"/>
      <c r="C862" s="528"/>
      <c r="D862" s="528"/>
      <c r="E862" s="528"/>
      <c r="F862" s="528"/>
      <c r="G862" s="528"/>
      <c r="H862" s="528"/>
      <c r="I862" s="528"/>
      <c r="J862" s="528"/>
      <c r="K862" s="528"/>
      <c r="L862" s="528"/>
      <c r="M862" s="528"/>
      <c r="N862" s="528"/>
      <c r="O862" s="528"/>
      <c r="P862" s="528"/>
      <c r="Q862" s="434"/>
      <c r="R862" s="434"/>
      <c r="S862" s="434"/>
      <c r="T862" s="434"/>
      <c r="U862" s="434"/>
      <c r="V862" s="434"/>
      <c r="W862" s="434"/>
      <c r="X862" s="434"/>
      <c r="Y862" s="434"/>
      <c r="Z862" s="434"/>
      <c r="AA862" s="434"/>
      <c r="AB862" s="434"/>
      <c r="AC862" s="434"/>
      <c r="AD862" s="434"/>
    </row>
    <row r="863">
      <c r="A863" s="434"/>
      <c r="B863" s="528"/>
      <c r="C863" s="528"/>
      <c r="D863" s="528"/>
      <c r="E863" s="528"/>
      <c r="F863" s="528"/>
      <c r="G863" s="528"/>
      <c r="H863" s="528"/>
      <c r="I863" s="528"/>
      <c r="J863" s="528"/>
      <c r="K863" s="528"/>
      <c r="L863" s="528"/>
      <c r="M863" s="528"/>
      <c r="N863" s="528"/>
      <c r="O863" s="528"/>
      <c r="P863" s="528"/>
      <c r="Q863" s="434"/>
      <c r="R863" s="434"/>
      <c r="S863" s="434"/>
      <c r="T863" s="434"/>
      <c r="U863" s="434"/>
      <c r="V863" s="434"/>
      <c r="W863" s="434"/>
      <c r="X863" s="434"/>
      <c r="Y863" s="434"/>
      <c r="Z863" s="434"/>
      <c r="AA863" s="434"/>
      <c r="AB863" s="434"/>
      <c r="AC863" s="434"/>
      <c r="AD863" s="434"/>
    </row>
    <row r="864">
      <c r="A864" s="434"/>
      <c r="B864" s="528"/>
      <c r="C864" s="528"/>
      <c r="D864" s="528"/>
      <c r="E864" s="528"/>
      <c r="F864" s="528"/>
      <c r="G864" s="528"/>
      <c r="H864" s="528"/>
      <c r="I864" s="528"/>
      <c r="J864" s="528"/>
      <c r="K864" s="528"/>
      <c r="L864" s="528"/>
      <c r="M864" s="528"/>
      <c r="N864" s="528"/>
      <c r="O864" s="528"/>
      <c r="P864" s="528"/>
      <c r="Q864" s="434"/>
      <c r="R864" s="434"/>
      <c r="S864" s="434"/>
      <c r="T864" s="434"/>
      <c r="U864" s="434"/>
      <c r="V864" s="434"/>
      <c r="W864" s="434"/>
      <c r="X864" s="434"/>
      <c r="Y864" s="434"/>
      <c r="Z864" s="434"/>
      <c r="AA864" s="434"/>
      <c r="AB864" s="434"/>
      <c r="AC864" s="434"/>
      <c r="AD864" s="434"/>
    </row>
    <row r="865">
      <c r="A865" s="434"/>
      <c r="B865" s="528"/>
      <c r="C865" s="528"/>
      <c r="D865" s="528"/>
      <c r="E865" s="528"/>
      <c r="F865" s="528"/>
      <c r="G865" s="528"/>
      <c r="H865" s="528"/>
      <c r="I865" s="528"/>
      <c r="J865" s="528"/>
      <c r="K865" s="528"/>
      <c r="L865" s="528"/>
      <c r="M865" s="528"/>
      <c r="N865" s="528"/>
      <c r="O865" s="528"/>
      <c r="P865" s="528"/>
      <c r="Q865" s="434"/>
      <c r="R865" s="434"/>
      <c r="S865" s="434"/>
      <c r="T865" s="434"/>
      <c r="U865" s="434"/>
      <c r="V865" s="434"/>
      <c r="W865" s="434"/>
      <c r="X865" s="434"/>
      <c r="Y865" s="434"/>
      <c r="Z865" s="434"/>
      <c r="AA865" s="434"/>
      <c r="AB865" s="434"/>
      <c r="AC865" s="434"/>
      <c r="AD865" s="434"/>
    </row>
    <row r="866">
      <c r="A866" s="434"/>
      <c r="B866" s="528"/>
      <c r="C866" s="528"/>
      <c r="D866" s="528"/>
      <c r="E866" s="528"/>
      <c r="F866" s="528"/>
      <c r="G866" s="528"/>
      <c r="H866" s="528"/>
      <c r="I866" s="528"/>
      <c r="J866" s="528"/>
      <c r="K866" s="528"/>
      <c r="L866" s="528"/>
      <c r="M866" s="528"/>
      <c r="N866" s="528"/>
      <c r="O866" s="528"/>
      <c r="P866" s="528"/>
      <c r="Q866" s="434"/>
      <c r="R866" s="434"/>
      <c r="S866" s="434"/>
      <c r="T866" s="434"/>
      <c r="U866" s="434"/>
      <c r="V866" s="434"/>
      <c r="W866" s="434"/>
      <c r="X866" s="434"/>
      <c r="Y866" s="434"/>
      <c r="Z866" s="434"/>
      <c r="AA866" s="434"/>
      <c r="AB866" s="434"/>
      <c r="AC866" s="434"/>
      <c r="AD866" s="434"/>
    </row>
    <row r="867">
      <c r="A867" s="434"/>
      <c r="B867" s="528"/>
      <c r="C867" s="528"/>
      <c r="D867" s="528"/>
      <c r="E867" s="528"/>
      <c r="F867" s="528"/>
      <c r="G867" s="528"/>
      <c r="H867" s="528"/>
      <c r="I867" s="528"/>
      <c r="J867" s="528"/>
      <c r="K867" s="528"/>
      <c r="L867" s="528"/>
      <c r="M867" s="528"/>
      <c r="N867" s="528"/>
      <c r="O867" s="528"/>
      <c r="P867" s="528"/>
      <c r="Q867" s="434"/>
      <c r="R867" s="434"/>
      <c r="S867" s="434"/>
      <c r="T867" s="434"/>
      <c r="U867" s="434"/>
      <c r="V867" s="434"/>
      <c r="W867" s="434"/>
      <c r="X867" s="434"/>
      <c r="Y867" s="434"/>
      <c r="Z867" s="434"/>
      <c r="AA867" s="434"/>
      <c r="AB867" s="434"/>
      <c r="AC867" s="434"/>
      <c r="AD867" s="434"/>
    </row>
    <row r="868">
      <c r="A868" s="434"/>
      <c r="B868" s="528"/>
      <c r="C868" s="528"/>
      <c r="D868" s="528"/>
      <c r="E868" s="528"/>
      <c r="F868" s="528"/>
      <c r="G868" s="528"/>
      <c r="H868" s="528"/>
      <c r="I868" s="528"/>
      <c r="J868" s="528"/>
      <c r="K868" s="528"/>
      <c r="L868" s="528"/>
      <c r="M868" s="528"/>
      <c r="N868" s="528"/>
      <c r="O868" s="528"/>
      <c r="P868" s="528"/>
      <c r="Q868" s="434"/>
      <c r="R868" s="434"/>
      <c r="S868" s="434"/>
      <c r="T868" s="434"/>
      <c r="U868" s="434"/>
      <c r="V868" s="434"/>
      <c r="W868" s="434"/>
      <c r="X868" s="434"/>
      <c r="Y868" s="434"/>
      <c r="Z868" s="434"/>
      <c r="AA868" s="434"/>
      <c r="AB868" s="434"/>
      <c r="AC868" s="434"/>
      <c r="AD868" s="434"/>
    </row>
    <row r="869">
      <c r="A869" s="434"/>
      <c r="B869" s="528"/>
      <c r="C869" s="528"/>
      <c r="D869" s="528"/>
      <c r="E869" s="528"/>
      <c r="F869" s="528"/>
      <c r="G869" s="528"/>
      <c r="H869" s="528"/>
      <c r="I869" s="528"/>
      <c r="J869" s="528"/>
      <c r="K869" s="528"/>
      <c r="L869" s="528"/>
      <c r="M869" s="528"/>
      <c r="N869" s="528"/>
      <c r="O869" s="528"/>
      <c r="P869" s="528"/>
      <c r="Q869" s="434"/>
      <c r="R869" s="434"/>
      <c r="S869" s="434"/>
      <c r="T869" s="434"/>
      <c r="U869" s="434"/>
      <c r="V869" s="434"/>
      <c r="W869" s="434"/>
      <c r="X869" s="434"/>
      <c r="Y869" s="434"/>
      <c r="Z869" s="434"/>
      <c r="AA869" s="434"/>
      <c r="AB869" s="434"/>
      <c r="AC869" s="434"/>
      <c r="AD869" s="434"/>
    </row>
    <row r="870">
      <c r="A870" s="434"/>
      <c r="B870" s="528"/>
      <c r="C870" s="528"/>
      <c r="D870" s="528"/>
      <c r="E870" s="528"/>
      <c r="F870" s="528"/>
      <c r="G870" s="528"/>
      <c r="H870" s="528"/>
      <c r="I870" s="528"/>
      <c r="J870" s="528"/>
      <c r="K870" s="528"/>
      <c r="L870" s="528"/>
      <c r="M870" s="528"/>
      <c r="N870" s="528"/>
      <c r="O870" s="528"/>
      <c r="P870" s="528"/>
      <c r="Q870" s="434"/>
      <c r="R870" s="434"/>
      <c r="S870" s="434"/>
      <c r="T870" s="434"/>
      <c r="U870" s="434"/>
      <c r="V870" s="434"/>
      <c r="W870" s="434"/>
      <c r="X870" s="434"/>
      <c r="Y870" s="434"/>
      <c r="Z870" s="434"/>
      <c r="AA870" s="434"/>
      <c r="AB870" s="434"/>
      <c r="AC870" s="434"/>
      <c r="AD870" s="434"/>
    </row>
    <row r="871">
      <c r="A871" s="434"/>
      <c r="B871" s="528"/>
      <c r="C871" s="528"/>
      <c r="D871" s="528"/>
      <c r="E871" s="528"/>
      <c r="F871" s="528"/>
      <c r="G871" s="528"/>
      <c r="H871" s="528"/>
      <c r="I871" s="528"/>
      <c r="J871" s="528"/>
      <c r="K871" s="528"/>
      <c r="L871" s="528"/>
      <c r="M871" s="528"/>
      <c r="N871" s="528"/>
      <c r="O871" s="528"/>
      <c r="P871" s="528"/>
      <c r="Q871" s="434"/>
      <c r="R871" s="434"/>
      <c r="S871" s="434"/>
      <c r="T871" s="434"/>
      <c r="U871" s="434"/>
      <c r="V871" s="434"/>
      <c r="W871" s="434"/>
      <c r="X871" s="434"/>
      <c r="Y871" s="434"/>
      <c r="Z871" s="434"/>
      <c r="AA871" s="434"/>
      <c r="AB871" s="434"/>
      <c r="AC871" s="434"/>
      <c r="AD871" s="434"/>
    </row>
    <row r="872">
      <c r="A872" s="434"/>
      <c r="B872" s="528"/>
      <c r="C872" s="528"/>
      <c r="D872" s="528"/>
      <c r="E872" s="528"/>
      <c r="F872" s="528"/>
      <c r="G872" s="528"/>
      <c r="H872" s="528"/>
      <c r="I872" s="528"/>
      <c r="J872" s="528"/>
      <c r="K872" s="528"/>
      <c r="L872" s="528"/>
      <c r="M872" s="528"/>
      <c r="N872" s="528"/>
      <c r="O872" s="528"/>
      <c r="P872" s="528"/>
      <c r="Q872" s="434"/>
      <c r="R872" s="434"/>
      <c r="S872" s="434"/>
      <c r="T872" s="434"/>
      <c r="U872" s="434"/>
      <c r="V872" s="434"/>
      <c r="W872" s="434"/>
      <c r="X872" s="434"/>
      <c r="Y872" s="434"/>
      <c r="Z872" s="434"/>
      <c r="AA872" s="434"/>
      <c r="AB872" s="434"/>
      <c r="AC872" s="434"/>
      <c r="AD872" s="434"/>
    </row>
    <row r="873">
      <c r="A873" s="434"/>
      <c r="B873" s="528"/>
      <c r="C873" s="528"/>
      <c r="D873" s="528"/>
      <c r="E873" s="528"/>
      <c r="F873" s="528"/>
      <c r="G873" s="528"/>
      <c r="H873" s="528"/>
      <c r="I873" s="528"/>
      <c r="J873" s="528"/>
      <c r="K873" s="528"/>
      <c r="L873" s="528"/>
      <c r="M873" s="528"/>
      <c r="N873" s="528"/>
      <c r="O873" s="528"/>
      <c r="P873" s="528"/>
      <c r="Q873" s="434"/>
      <c r="R873" s="434"/>
      <c r="S873" s="434"/>
      <c r="T873" s="434"/>
      <c r="U873" s="434"/>
      <c r="V873" s="434"/>
      <c r="W873" s="434"/>
      <c r="X873" s="434"/>
      <c r="Y873" s="434"/>
      <c r="Z873" s="434"/>
      <c r="AA873" s="434"/>
      <c r="AB873" s="434"/>
      <c r="AC873" s="434"/>
      <c r="AD873" s="434"/>
    </row>
    <row r="874">
      <c r="A874" s="434"/>
      <c r="B874" s="528"/>
      <c r="C874" s="528"/>
      <c r="D874" s="528"/>
      <c r="E874" s="528"/>
      <c r="F874" s="528"/>
      <c r="G874" s="528"/>
      <c r="H874" s="528"/>
      <c r="I874" s="528"/>
      <c r="J874" s="528"/>
      <c r="K874" s="528"/>
      <c r="L874" s="528"/>
      <c r="M874" s="528"/>
      <c r="N874" s="528"/>
      <c r="O874" s="528"/>
      <c r="P874" s="528"/>
      <c r="Q874" s="434"/>
      <c r="R874" s="434"/>
      <c r="S874" s="434"/>
      <c r="T874" s="434"/>
      <c r="U874" s="434"/>
      <c r="V874" s="434"/>
      <c r="W874" s="434"/>
      <c r="X874" s="434"/>
      <c r="Y874" s="434"/>
      <c r="Z874" s="434"/>
      <c r="AA874" s="434"/>
      <c r="AB874" s="434"/>
      <c r="AC874" s="434"/>
      <c r="AD874" s="434"/>
    </row>
    <row r="875">
      <c r="A875" s="434"/>
      <c r="B875" s="528"/>
      <c r="C875" s="528"/>
      <c r="D875" s="528"/>
      <c r="E875" s="528"/>
      <c r="F875" s="528"/>
      <c r="G875" s="528"/>
      <c r="H875" s="528"/>
      <c r="I875" s="528"/>
      <c r="J875" s="528"/>
      <c r="K875" s="528"/>
      <c r="L875" s="528"/>
      <c r="M875" s="528"/>
      <c r="N875" s="528"/>
      <c r="O875" s="528"/>
      <c r="P875" s="528"/>
      <c r="Q875" s="434"/>
      <c r="R875" s="434"/>
      <c r="S875" s="434"/>
      <c r="T875" s="434"/>
      <c r="U875" s="434"/>
      <c r="V875" s="434"/>
      <c r="W875" s="434"/>
      <c r="X875" s="434"/>
      <c r="Y875" s="434"/>
      <c r="Z875" s="434"/>
      <c r="AA875" s="434"/>
      <c r="AB875" s="434"/>
      <c r="AC875" s="434"/>
      <c r="AD875" s="434"/>
    </row>
    <row r="876">
      <c r="A876" s="434"/>
      <c r="B876" s="528"/>
      <c r="C876" s="528"/>
      <c r="D876" s="528"/>
      <c r="E876" s="528"/>
      <c r="F876" s="528"/>
      <c r="G876" s="528"/>
      <c r="H876" s="528"/>
      <c r="I876" s="528"/>
      <c r="J876" s="528"/>
      <c r="K876" s="528"/>
      <c r="L876" s="528"/>
      <c r="M876" s="528"/>
      <c r="N876" s="528"/>
      <c r="O876" s="528"/>
      <c r="P876" s="528"/>
      <c r="Q876" s="434"/>
      <c r="R876" s="434"/>
      <c r="S876" s="434"/>
      <c r="T876" s="434"/>
      <c r="U876" s="434"/>
      <c r="V876" s="434"/>
      <c r="W876" s="434"/>
      <c r="X876" s="434"/>
      <c r="Y876" s="434"/>
      <c r="Z876" s="434"/>
      <c r="AA876" s="434"/>
      <c r="AB876" s="434"/>
      <c r="AC876" s="434"/>
      <c r="AD876" s="434"/>
    </row>
    <row r="877">
      <c r="A877" s="434"/>
      <c r="B877" s="528"/>
      <c r="C877" s="528"/>
      <c r="D877" s="528"/>
      <c r="E877" s="528"/>
      <c r="F877" s="528"/>
      <c r="G877" s="528"/>
      <c r="H877" s="528"/>
      <c r="I877" s="528"/>
      <c r="J877" s="528"/>
      <c r="K877" s="528"/>
      <c r="L877" s="528"/>
      <c r="M877" s="528"/>
      <c r="N877" s="528"/>
      <c r="O877" s="528"/>
      <c r="P877" s="528"/>
      <c r="Q877" s="434"/>
      <c r="R877" s="434"/>
      <c r="S877" s="434"/>
      <c r="T877" s="434"/>
      <c r="U877" s="434"/>
      <c r="V877" s="434"/>
      <c r="W877" s="434"/>
      <c r="X877" s="434"/>
      <c r="Y877" s="434"/>
      <c r="Z877" s="434"/>
      <c r="AA877" s="434"/>
      <c r="AB877" s="434"/>
      <c r="AC877" s="434"/>
      <c r="AD877" s="434"/>
    </row>
    <row r="878">
      <c r="A878" s="434"/>
      <c r="B878" s="528"/>
      <c r="C878" s="528"/>
      <c r="D878" s="528"/>
      <c r="E878" s="528"/>
      <c r="F878" s="528"/>
      <c r="G878" s="528"/>
      <c r="H878" s="528"/>
      <c r="I878" s="528"/>
      <c r="J878" s="528"/>
      <c r="K878" s="528"/>
      <c r="L878" s="528"/>
      <c r="M878" s="528"/>
      <c r="N878" s="528"/>
      <c r="O878" s="528"/>
      <c r="P878" s="528"/>
      <c r="Q878" s="434"/>
      <c r="R878" s="434"/>
      <c r="S878" s="434"/>
      <c r="T878" s="434"/>
      <c r="U878" s="434"/>
      <c r="V878" s="434"/>
      <c r="W878" s="434"/>
      <c r="X878" s="434"/>
      <c r="Y878" s="434"/>
      <c r="Z878" s="434"/>
      <c r="AA878" s="434"/>
      <c r="AB878" s="434"/>
      <c r="AC878" s="434"/>
      <c r="AD878" s="434"/>
    </row>
    <row r="879">
      <c r="A879" s="434"/>
      <c r="B879" s="528"/>
      <c r="C879" s="528"/>
      <c r="D879" s="528"/>
      <c r="E879" s="528"/>
      <c r="F879" s="528"/>
      <c r="G879" s="528"/>
      <c r="H879" s="528"/>
      <c r="I879" s="528"/>
      <c r="J879" s="528"/>
      <c r="K879" s="528"/>
      <c r="L879" s="528"/>
      <c r="M879" s="528"/>
      <c r="N879" s="528"/>
      <c r="O879" s="528"/>
      <c r="P879" s="528"/>
      <c r="Q879" s="434"/>
      <c r="R879" s="434"/>
      <c r="S879" s="434"/>
      <c r="T879" s="434"/>
      <c r="U879" s="434"/>
      <c r="V879" s="434"/>
      <c r="W879" s="434"/>
      <c r="X879" s="434"/>
      <c r="Y879" s="434"/>
      <c r="Z879" s="434"/>
      <c r="AA879" s="434"/>
      <c r="AB879" s="434"/>
      <c r="AC879" s="434"/>
      <c r="AD879" s="434"/>
    </row>
    <row r="880">
      <c r="A880" s="434"/>
      <c r="B880" s="528"/>
      <c r="C880" s="528"/>
      <c r="D880" s="528"/>
      <c r="E880" s="528"/>
      <c r="F880" s="528"/>
      <c r="G880" s="528"/>
      <c r="H880" s="528"/>
      <c r="I880" s="528"/>
      <c r="J880" s="528"/>
      <c r="K880" s="528"/>
      <c r="L880" s="528"/>
      <c r="M880" s="528"/>
      <c r="N880" s="528"/>
      <c r="O880" s="528"/>
      <c r="P880" s="528"/>
      <c r="Q880" s="434"/>
      <c r="R880" s="434"/>
      <c r="S880" s="434"/>
      <c r="T880" s="434"/>
      <c r="U880" s="434"/>
      <c r="V880" s="434"/>
      <c r="W880" s="434"/>
      <c r="X880" s="434"/>
      <c r="Y880" s="434"/>
      <c r="Z880" s="434"/>
      <c r="AA880" s="434"/>
      <c r="AB880" s="434"/>
      <c r="AC880" s="434"/>
      <c r="AD880" s="434"/>
    </row>
    <row r="881">
      <c r="A881" s="434"/>
      <c r="B881" s="528"/>
      <c r="C881" s="528"/>
      <c r="D881" s="528"/>
      <c r="E881" s="528"/>
      <c r="F881" s="528"/>
      <c r="G881" s="528"/>
      <c r="H881" s="528"/>
      <c r="I881" s="528"/>
      <c r="J881" s="528"/>
      <c r="K881" s="528"/>
      <c r="L881" s="528"/>
      <c r="M881" s="528"/>
      <c r="N881" s="528"/>
      <c r="O881" s="528"/>
      <c r="P881" s="528"/>
      <c r="Q881" s="434"/>
      <c r="R881" s="434"/>
      <c r="S881" s="434"/>
      <c r="T881" s="434"/>
      <c r="U881" s="434"/>
      <c r="V881" s="434"/>
      <c r="W881" s="434"/>
      <c r="X881" s="434"/>
      <c r="Y881" s="434"/>
      <c r="Z881" s="434"/>
      <c r="AA881" s="434"/>
      <c r="AB881" s="434"/>
      <c r="AC881" s="434"/>
      <c r="AD881" s="434"/>
    </row>
    <row r="882">
      <c r="A882" s="434"/>
      <c r="B882" s="528"/>
      <c r="C882" s="528"/>
      <c r="D882" s="528"/>
      <c r="E882" s="528"/>
      <c r="F882" s="528"/>
      <c r="G882" s="528"/>
      <c r="H882" s="528"/>
      <c r="I882" s="528"/>
      <c r="J882" s="528"/>
      <c r="K882" s="528"/>
      <c r="L882" s="528"/>
      <c r="M882" s="528"/>
      <c r="N882" s="528"/>
      <c r="O882" s="528"/>
      <c r="P882" s="528"/>
      <c r="Q882" s="434"/>
      <c r="R882" s="434"/>
      <c r="S882" s="434"/>
      <c r="T882" s="434"/>
      <c r="U882" s="434"/>
      <c r="V882" s="434"/>
      <c r="W882" s="434"/>
      <c r="X882" s="434"/>
      <c r="Y882" s="434"/>
      <c r="Z882" s="434"/>
      <c r="AA882" s="434"/>
      <c r="AB882" s="434"/>
      <c r="AC882" s="434"/>
      <c r="AD882" s="434"/>
    </row>
    <row r="883">
      <c r="A883" s="434"/>
      <c r="B883" s="528"/>
      <c r="C883" s="528"/>
      <c r="D883" s="528"/>
      <c r="E883" s="528"/>
      <c r="F883" s="528"/>
      <c r="G883" s="528"/>
      <c r="H883" s="528"/>
      <c r="I883" s="528"/>
      <c r="J883" s="528"/>
      <c r="K883" s="528"/>
      <c r="L883" s="528"/>
      <c r="M883" s="528"/>
      <c r="N883" s="528"/>
      <c r="O883" s="528"/>
      <c r="P883" s="528"/>
      <c r="Q883" s="434"/>
      <c r="R883" s="434"/>
      <c r="S883" s="434"/>
      <c r="T883" s="434"/>
      <c r="U883" s="434"/>
      <c r="V883" s="434"/>
      <c r="W883" s="434"/>
      <c r="X883" s="434"/>
      <c r="Y883" s="434"/>
      <c r="Z883" s="434"/>
      <c r="AA883" s="434"/>
      <c r="AB883" s="434"/>
      <c r="AC883" s="434"/>
      <c r="AD883" s="434"/>
    </row>
    <row r="884">
      <c r="A884" s="434"/>
      <c r="B884" s="528"/>
      <c r="C884" s="528"/>
      <c r="D884" s="528"/>
      <c r="E884" s="528"/>
      <c r="F884" s="528"/>
      <c r="G884" s="528"/>
      <c r="H884" s="528"/>
      <c r="I884" s="528"/>
      <c r="J884" s="528"/>
      <c r="K884" s="528"/>
      <c r="L884" s="528"/>
      <c r="M884" s="528"/>
      <c r="N884" s="528"/>
      <c r="O884" s="528"/>
      <c r="P884" s="528"/>
      <c r="Q884" s="434"/>
      <c r="R884" s="434"/>
      <c r="S884" s="434"/>
      <c r="T884" s="434"/>
      <c r="U884" s="434"/>
      <c r="V884" s="434"/>
      <c r="W884" s="434"/>
      <c r="X884" s="434"/>
      <c r="Y884" s="434"/>
      <c r="Z884" s="434"/>
      <c r="AA884" s="434"/>
      <c r="AB884" s="434"/>
      <c r="AC884" s="434"/>
      <c r="AD884" s="434"/>
    </row>
    <row r="885">
      <c r="A885" s="434"/>
      <c r="B885" s="528"/>
      <c r="C885" s="528"/>
      <c r="D885" s="528"/>
      <c r="E885" s="528"/>
      <c r="F885" s="528"/>
      <c r="G885" s="528"/>
      <c r="H885" s="528"/>
      <c r="I885" s="528"/>
      <c r="J885" s="528"/>
      <c r="K885" s="528"/>
      <c r="L885" s="528"/>
      <c r="M885" s="528"/>
      <c r="N885" s="528"/>
      <c r="O885" s="528"/>
      <c r="P885" s="528"/>
      <c r="Q885" s="434"/>
      <c r="R885" s="434"/>
      <c r="S885" s="434"/>
      <c r="T885" s="434"/>
      <c r="U885" s="434"/>
      <c r="V885" s="434"/>
      <c r="W885" s="434"/>
      <c r="X885" s="434"/>
      <c r="Y885" s="434"/>
      <c r="Z885" s="434"/>
      <c r="AA885" s="434"/>
      <c r="AB885" s="434"/>
      <c r="AC885" s="434"/>
      <c r="AD885" s="434"/>
    </row>
    <row r="886">
      <c r="A886" s="434"/>
      <c r="B886" s="528"/>
      <c r="C886" s="528"/>
      <c r="D886" s="528"/>
      <c r="E886" s="528"/>
      <c r="F886" s="528"/>
      <c r="G886" s="528"/>
      <c r="H886" s="528"/>
      <c r="I886" s="528"/>
      <c r="J886" s="528"/>
      <c r="K886" s="528"/>
      <c r="L886" s="528"/>
      <c r="M886" s="528"/>
      <c r="N886" s="528"/>
      <c r="O886" s="528"/>
      <c r="P886" s="528"/>
      <c r="Q886" s="434"/>
      <c r="R886" s="434"/>
      <c r="S886" s="434"/>
      <c r="T886" s="434"/>
      <c r="U886" s="434"/>
      <c r="V886" s="434"/>
      <c r="W886" s="434"/>
      <c r="X886" s="434"/>
      <c r="Y886" s="434"/>
      <c r="Z886" s="434"/>
      <c r="AA886" s="434"/>
      <c r="AB886" s="434"/>
      <c r="AC886" s="434"/>
      <c r="AD886" s="434"/>
    </row>
    <row r="887">
      <c r="A887" s="434"/>
      <c r="B887" s="528"/>
      <c r="C887" s="528"/>
      <c r="D887" s="528"/>
      <c r="E887" s="528"/>
      <c r="F887" s="528"/>
      <c r="G887" s="528"/>
      <c r="H887" s="528"/>
      <c r="I887" s="528"/>
      <c r="J887" s="528"/>
      <c r="K887" s="528"/>
      <c r="L887" s="528"/>
      <c r="M887" s="528"/>
      <c r="N887" s="528"/>
      <c r="O887" s="528"/>
      <c r="P887" s="528"/>
      <c r="Q887" s="434"/>
      <c r="R887" s="434"/>
      <c r="S887" s="434"/>
      <c r="T887" s="434"/>
      <c r="U887" s="434"/>
      <c r="V887" s="434"/>
      <c r="W887" s="434"/>
      <c r="X887" s="434"/>
      <c r="Y887" s="434"/>
      <c r="Z887" s="434"/>
      <c r="AA887" s="434"/>
      <c r="AB887" s="434"/>
      <c r="AC887" s="434"/>
      <c r="AD887" s="434"/>
    </row>
    <row r="888">
      <c r="A888" s="434"/>
      <c r="B888" s="528"/>
      <c r="C888" s="528"/>
      <c r="D888" s="528"/>
      <c r="E888" s="528"/>
      <c r="F888" s="528"/>
      <c r="G888" s="528"/>
      <c r="H888" s="528"/>
      <c r="I888" s="528"/>
      <c r="J888" s="528"/>
      <c r="K888" s="528"/>
      <c r="L888" s="528"/>
      <c r="M888" s="528"/>
      <c r="N888" s="528"/>
      <c r="O888" s="528"/>
      <c r="P888" s="528"/>
      <c r="Q888" s="434"/>
      <c r="R888" s="434"/>
      <c r="S888" s="434"/>
      <c r="T888" s="434"/>
      <c r="U888" s="434"/>
      <c r="V888" s="434"/>
      <c r="W888" s="434"/>
      <c r="X888" s="434"/>
      <c r="Y888" s="434"/>
      <c r="Z888" s="434"/>
      <c r="AA888" s="434"/>
      <c r="AB888" s="434"/>
      <c r="AC888" s="434"/>
      <c r="AD888" s="434"/>
    </row>
    <row r="889">
      <c r="A889" s="434"/>
      <c r="B889" s="528"/>
      <c r="C889" s="528"/>
      <c r="D889" s="528"/>
      <c r="E889" s="528"/>
      <c r="F889" s="528"/>
      <c r="G889" s="528"/>
      <c r="H889" s="528"/>
      <c r="I889" s="528"/>
      <c r="J889" s="528"/>
      <c r="K889" s="528"/>
      <c r="L889" s="528"/>
      <c r="M889" s="528"/>
      <c r="N889" s="528"/>
      <c r="O889" s="528"/>
      <c r="P889" s="528"/>
      <c r="Q889" s="434"/>
      <c r="R889" s="434"/>
      <c r="S889" s="434"/>
      <c r="T889" s="434"/>
      <c r="U889" s="434"/>
      <c r="V889" s="434"/>
      <c r="W889" s="434"/>
      <c r="X889" s="434"/>
      <c r="Y889" s="434"/>
      <c r="Z889" s="434"/>
      <c r="AA889" s="434"/>
      <c r="AB889" s="434"/>
      <c r="AC889" s="434"/>
      <c r="AD889" s="434"/>
    </row>
    <row r="890">
      <c r="A890" s="434"/>
      <c r="B890" s="528"/>
      <c r="C890" s="528"/>
      <c r="D890" s="528"/>
      <c r="E890" s="528"/>
      <c r="F890" s="528"/>
      <c r="G890" s="528"/>
      <c r="H890" s="528"/>
      <c r="I890" s="528"/>
      <c r="J890" s="528"/>
      <c r="K890" s="528"/>
      <c r="L890" s="528"/>
      <c r="M890" s="528"/>
      <c r="N890" s="528"/>
      <c r="O890" s="528"/>
      <c r="P890" s="528"/>
      <c r="Q890" s="434"/>
      <c r="R890" s="434"/>
      <c r="S890" s="434"/>
      <c r="T890" s="434"/>
      <c r="U890" s="434"/>
      <c r="V890" s="434"/>
      <c r="W890" s="434"/>
      <c r="X890" s="434"/>
      <c r="Y890" s="434"/>
      <c r="Z890" s="434"/>
      <c r="AA890" s="434"/>
      <c r="AB890" s="434"/>
      <c r="AC890" s="434"/>
      <c r="AD890" s="434"/>
    </row>
    <row r="891">
      <c r="A891" s="434"/>
      <c r="B891" s="528"/>
      <c r="C891" s="528"/>
      <c r="D891" s="528"/>
      <c r="E891" s="528"/>
      <c r="F891" s="528"/>
      <c r="G891" s="528"/>
      <c r="H891" s="528"/>
      <c r="I891" s="528"/>
      <c r="J891" s="528"/>
      <c r="K891" s="528"/>
      <c r="L891" s="528"/>
      <c r="M891" s="528"/>
      <c r="N891" s="528"/>
      <c r="O891" s="528"/>
      <c r="P891" s="528"/>
      <c r="Q891" s="434"/>
      <c r="R891" s="434"/>
      <c r="S891" s="434"/>
      <c r="T891" s="434"/>
      <c r="U891" s="434"/>
      <c r="V891" s="434"/>
      <c r="W891" s="434"/>
      <c r="X891" s="434"/>
      <c r="Y891" s="434"/>
      <c r="Z891" s="434"/>
      <c r="AA891" s="434"/>
      <c r="AB891" s="434"/>
      <c r="AC891" s="434"/>
      <c r="AD891" s="434"/>
    </row>
    <row r="892">
      <c r="A892" s="434"/>
      <c r="B892" s="528"/>
      <c r="C892" s="528"/>
      <c r="D892" s="528"/>
      <c r="E892" s="528"/>
      <c r="F892" s="528"/>
      <c r="G892" s="528"/>
      <c r="H892" s="528"/>
      <c r="I892" s="528"/>
      <c r="J892" s="528"/>
      <c r="K892" s="528"/>
      <c r="L892" s="528"/>
      <c r="M892" s="528"/>
      <c r="N892" s="528"/>
      <c r="O892" s="528"/>
      <c r="P892" s="528"/>
      <c r="Q892" s="434"/>
      <c r="R892" s="434"/>
      <c r="S892" s="434"/>
      <c r="T892" s="434"/>
      <c r="U892" s="434"/>
      <c r="V892" s="434"/>
      <c r="W892" s="434"/>
      <c r="X892" s="434"/>
      <c r="Y892" s="434"/>
      <c r="Z892" s="434"/>
      <c r="AA892" s="434"/>
      <c r="AB892" s="434"/>
      <c r="AC892" s="434"/>
      <c r="AD892" s="434"/>
    </row>
    <row r="893">
      <c r="A893" s="434"/>
      <c r="B893" s="528"/>
      <c r="C893" s="528"/>
      <c r="D893" s="528"/>
      <c r="E893" s="528"/>
      <c r="F893" s="528"/>
      <c r="G893" s="528"/>
      <c r="H893" s="528"/>
      <c r="I893" s="528"/>
      <c r="J893" s="528"/>
      <c r="K893" s="528"/>
      <c r="L893" s="528"/>
      <c r="M893" s="528"/>
      <c r="N893" s="528"/>
      <c r="O893" s="528"/>
      <c r="P893" s="528"/>
      <c r="Q893" s="434"/>
      <c r="R893" s="434"/>
      <c r="S893" s="434"/>
      <c r="T893" s="434"/>
      <c r="U893" s="434"/>
      <c r="V893" s="434"/>
      <c r="W893" s="434"/>
      <c r="X893" s="434"/>
      <c r="Y893" s="434"/>
      <c r="Z893" s="434"/>
      <c r="AA893" s="434"/>
      <c r="AB893" s="434"/>
      <c r="AC893" s="434"/>
      <c r="AD893" s="434"/>
    </row>
    <row r="894">
      <c r="A894" s="434"/>
      <c r="B894" s="528"/>
      <c r="C894" s="528"/>
      <c r="D894" s="528"/>
      <c r="E894" s="528"/>
      <c r="F894" s="528"/>
      <c r="G894" s="528"/>
      <c r="H894" s="528"/>
      <c r="I894" s="528"/>
      <c r="J894" s="528"/>
      <c r="K894" s="528"/>
      <c r="L894" s="528"/>
      <c r="M894" s="528"/>
      <c r="N894" s="528"/>
      <c r="O894" s="528"/>
      <c r="P894" s="528"/>
      <c r="Q894" s="434"/>
      <c r="R894" s="434"/>
      <c r="S894" s="434"/>
      <c r="T894" s="434"/>
      <c r="U894" s="434"/>
      <c r="V894" s="434"/>
      <c r="W894" s="434"/>
      <c r="X894" s="434"/>
      <c r="Y894" s="434"/>
      <c r="Z894" s="434"/>
      <c r="AA894" s="434"/>
      <c r="AB894" s="434"/>
      <c r="AC894" s="434"/>
      <c r="AD894" s="434"/>
    </row>
    <row r="895">
      <c r="A895" s="434"/>
      <c r="B895" s="528"/>
      <c r="C895" s="528"/>
      <c r="D895" s="528"/>
      <c r="E895" s="528"/>
      <c r="F895" s="528"/>
      <c r="G895" s="528"/>
      <c r="H895" s="528"/>
      <c r="I895" s="528"/>
      <c r="J895" s="528"/>
      <c r="K895" s="528"/>
      <c r="L895" s="528"/>
      <c r="M895" s="528"/>
      <c r="N895" s="528"/>
      <c r="O895" s="528"/>
      <c r="P895" s="528"/>
      <c r="Q895" s="434"/>
      <c r="R895" s="434"/>
      <c r="S895" s="434"/>
      <c r="T895" s="434"/>
      <c r="U895" s="434"/>
      <c r="V895" s="434"/>
      <c r="W895" s="434"/>
      <c r="X895" s="434"/>
      <c r="Y895" s="434"/>
      <c r="Z895" s="434"/>
      <c r="AA895" s="434"/>
      <c r="AB895" s="434"/>
      <c r="AC895" s="434"/>
      <c r="AD895" s="434"/>
    </row>
    <row r="896">
      <c r="A896" s="434"/>
      <c r="B896" s="528"/>
      <c r="C896" s="528"/>
      <c r="D896" s="528"/>
      <c r="E896" s="528"/>
      <c r="F896" s="528"/>
      <c r="G896" s="528"/>
      <c r="H896" s="528"/>
      <c r="I896" s="528"/>
      <c r="J896" s="528"/>
      <c r="K896" s="528"/>
      <c r="L896" s="528"/>
      <c r="M896" s="528"/>
      <c r="N896" s="528"/>
      <c r="O896" s="528"/>
      <c r="P896" s="528"/>
      <c r="Q896" s="434"/>
      <c r="R896" s="434"/>
      <c r="S896" s="434"/>
      <c r="T896" s="434"/>
      <c r="U896" s="434"/>
      <c r="V896" s="434"/>
      <c r="W896" s="434"/>
      <c r="X896" s="434"/>
      <c r="Y896" s="434"/>
      <c r="Z896" s="434"/>
      <c r="AA896" s="434"/>
      <c r="AB896" s="434"/>
      <c r="AC896" s="434"/>
      <c r="AD896" s="434"/>
    </row>
    <row r="897">
      <c r="A897" s="434"/>
      <c r="B897" s="528"/>
      <c r="C897" s="528"/>
      <c r="D897" s="528"/>
      <c r="E897" s="528"/>
      <c r="F897" s="528"/>
      <c r="G897" s="528"/>
      <c r="H897" s="528"/>
      <c r="I897" s="528"/>
      <c r="J897" s="528"/>
      <c r="K897" s="528"/>
      <c r="L897" s="528"/>
      <c r="M897" s="528"/>
      <c r="N897" s="528"/>
      <c r="O897" s="528"/>
      <c r="P897" s="528"/>
      <c r="Q897" s="434"/>
      <c r="R897" s="434"/>
      <c r="S897" s="434"/>
      <c r="T897" s="434"/>
      <c r="U897" s="434"/>
      <c r="V897" s="434"/>
      <c r="W897" s="434"/>
      <c r="X897" s="434"/>
      <c r="Y897" s="434"/>
      <c r="Z897" s="434"/>
      <c r="AA897" s="434"/>
      <c r="AB897" s="434"/>
      <c r="AC897" s="434"/>
      <c r="AD897" s="434"/>
    </row>
    <row r="898">
      <c r="A898" s="434"/>
      <c r="B898" s="528"/>
      <c r="C898" s="528"/>
      <c r="D898" s="528"/>
      <c r="E898" s="528"/>
      <c r="F898" s="528"/>
      <c r="G898" s="528"/>
      <c r="H898" s="528"/>
      <c r="I898" s="528"/>
      <c r="J898" s="528"/>
      <c r="K898" s="528"/>
      <c r="L898" s="528"/>
      <c r="M898" s="528"/>
      <c r="N898" s="528"/>
      <c r="O898" s="528"/>
      <c r="P898" s="528"/>
      <c r="Q898" s="434"/>
      <c r="R898" s="434"/>
      <c r="S898" s="434"/>
      <c r="T898" s="434"/>
      <c r="U898" s="434"/>
      <c r="V898" s="434"/>
      <c r="W898" s="434"/>
      <c r="X898" s="434"/>
      <c r="Y898" s="434"/>
      <c r="Z898" s="434"/>
      <c r="AA898" s="434"/>
      <c r="AB898" s="434"/>
      <c r="AC898" s="434"/>
      <c r="AD898" s="434"/>
    </row>
    <row r="899">
      <c r="A899" s="434"/>
      <c r="B899" s="528"/>
      <c r="C899" s="528"/>
      <c r="D899" s="528"/>
      <c r="E899" s="528"/>
      <c r="F899" s="528"/>
      <c r="G899" s="528"/>
      <c r="H899" s="528"/>
      <c r="I899" s="528"/>
      <c r="J899" s="528"/>
      <c r="K899" s="528"/>
      <c r="L899" s="528"/>
      <c r="M899" s="528"/>
      <c r="N899" s="528"/>
      <c r="O899" s="528"/>
      <c r="P899" s="528"/>
      <c r="Q899" s="434"/>
      <c r="R899" s="434"/>
      <c r="S899" s="434"/>
      <c r="T899" s="434"/>
      <c r="U899" s="434"/>
      <c r="V899" s="434"/>
      <c r="W899" s="434"/>
      <c r="X899" s="434"/>
      <c r="Y899" s="434"/>
      <c r="Z899" s="434"/>
      <c r="AA899" s="434"/>
      <c r="AB899" s="434"/>
      <c r="AC899" s="434"/>
      <c r="AD899" s="434"/>
    </row>
    <row r="900">
      <c r="A900" s="434"/>
      <c r="B900" s="528"/>
      <c r="C900" s="528"/>
      <c r="D900" s="528"/>
      <c r="E900" s="528"/>
      <c r="F900" s="528"/>
      <c r="G900" s="528"/>
      <c r="H900" s="528"/>
      <c r="I900" s="528"/>
      <c r="J900" s="528"/>
      <c r="K900" s="528"/>
      <c r="L900" s="528"/>
      <c r="M900" s="528"/>
      <c r="N900" s="528"/>
      <c r="O900" s="528"/>
      <c r="P900" s="528"/>
      <c r="Q900" s="434"/>
      <c r="R900" s="434"/>
      <c r="S900" s="434"/>
      <c r="T900" s="434"/>
      <c r="U900" s="434"/>
      <c r="V900" s="434"/>
      <c r="W900" s="434"/>
      <c r="X900" s="434"/>
      <c r="Y900" s="434"/>
      <c r="Z900" s="434"/>
      <c r="AA900" s="434"/>
      <c r="AB900" s="434"/>
      <c r="AC900" s="434"/>
      <c r="AD900" s="434"/>
    </row>
    <row r="901">
      <c r="A901" s="434"/>
      <c r="B901" s="528"/>
      <c r="C901" s="528"/>
      <c r="D901" s="528"/>
      <c r="E901" s="528"/>
      <c r="F901" s="528"/>
      <c r="G901" s="528"/>
      <c r="H901" s="528"/>
      <c r="I901" s="528"/>
      <c r="J901" s="528"/>
      <c r="K901" s="528"/>
      <c r="L901" s="528"/>
      <c r="M901" s="528"/>
      <c r="N901" s="528"/>
      <c r="O901" s="528"/>
      <c r="P901" s="528"/>
      <c r="Q901" s="434"/>
      <c r="R901" s="434"/>
      <c r="S901" s="434"/>
      <c r="T901" s="434"/>
      <c r="U901" s="434"/>
      <c r="V901" s="434"/>
      <c r="W901" s="434"/>
      <c r="X901" s="434"/>
      <c r="Y901" s="434"/>
      <c r="Z901" s="434"/>
      <c r="AA901" s="434"/>
      <c r="AB901" s="434"/>
      <c r="AC901" s="434"/>
      <c r="AD901" s="434"/>
    </row>
    <row r="902">
      <c r="A902" s="434"/>
      <c r="B902" s="528"/>
      <c r="C902" s="528"/>
      <c r="D902" s="528"/>
      <c r="E902" s="528"/>
      <c r="F902" s="528"/>
      <c r="G902" s="528"/>
      <c r="H902" s="528"/>
      <c r="I902" s="528"/>
      <c r="J902" s="528"/>
      <c r="K902" s="528"/>
      <c r="L902" s="528"/>
      <c r="M902" s="528"/>
      <c r="N902" s="528"/>
      <c r="O902" s="528"/>
      <c r="P902" s="528"/>
      <c r="Q902" s="434"/>
      <c r="R902" s="434"/>
      <c r="S902" s="434"/>
      <c r="T902" s="434"/>
      <c r="U902" s="434"/>
      <c r="V902" s="434"/>
      <c r="W902" s="434"/>
      <c r="X902" s="434"/>
      <c r="Y902" s="434"/>
      <c r="Z902" s="434"/>
      <c r="AA902" s="434"/>
      <c r="AB902" s="434"/>
      <c r="AC902" s="434"/>
      <c r="AD902" s="434"/>
    </row>
    <row r="903">
      <c r="A903" s="434"/>
      <c r="B903" s="528"/>
      <c r="C903" s="528"/>
      <c r="D903" s="528"/>
      <c r="E903" s="528"/>
      <c r="F903" s="528"/>
      <c r="G903" s="528"/>
      <c r="H903" s="528"/>
      <c r="I903" s="528"/>
      <c r="J903" s="528"/>
      <c r="K903" s="528"/>
      <c r="L903" s="528"/>
      <c r="M903" s="528"/>
      <c r="N903" s="528"/>
      <c r="O903" s="528"/>
      <c r="P903" s="528"/>
      <c r="Q903" s="434"/>
      <c r="R903" s="434"/>
      <c r="S903" s="434"/>
      <c r="T903" s="434"/>
      <c r="U903" s="434"/>
      <c r="V903" s="434"/>
      <c r="W903" s="434"/>
      <c r="X903" s="434"/>
      <c r="Y903" s="434"/>
      <c r="Z903" s="434"/>
      <c r="AA903" s="434"/>
      <c r="AB903" s="434"/>
      <c r="AC903" s="434"/>
      <c r="AD903" s="434"/>
    </row>
    <row r="904">
      <c r="A904" s="434"/>
      <c r="B904" s="528"/>
      <c r="C904" s="528"/>
      <c r="D904" s="528"/>
      <c r="E904" s="528"/>
      <c r="F904" s="528"/>
      <c r="G904" s="528"/>
      <c r="H904" s="528"/>
      <c r="I904" s="528"/>
      <c r="J904" s="528"/>
      <c r="K904" s="528"/>
      <c r="L904" s="528"/>
      <c r="M904" s="528"/>
      <c r="N904" s="528"/>
      <c r="O904" s="528"/>
      <c r="P904" s="528"/>
      <c r="Q904" s="434"/>
      <c r="R904" s="434"/>
      <c r="S904" s="434"/>
      <c r="T904" s="434"/>
      <c r="U904" s="434"/>
      <c r="V904" s="434"/>
      <c r="W904" s="434"/>
      <c r="X904" s="434"/>
      <c r="Y904" s="434"/>
      <c r="Z904" s="434"/>
      <c r="AA904" s="434"/>
      <c r="AB904" s="434"/>
      <c r="AC904" s="434"/>
      <c r="AD904" s="434"/>
    </row>
    <row r="905">
      <c r="A905" s="434"/>
      <c r="B905" s="528"/>
      <c r="C905" s="528"/>
      <c r="D905" s="528"/>
      <c r="E905" s="528"/>
      <c r="F905" s="528"/>
      <c r="G905" s="528"/>
      <c r="H905" s="528"/>
      <c r="I905" s="528"/>
      <c r="J905" s="528"/>
      <c r="K905" s="528"/>
      <c r="L905" s="528"/>
      <c r="M905" s="528"/>
      <c r="N905" s="528"/>
      <c r="O905" s="528"/>
      <c r="P905" s="528"/>
      <c r="Q905" s="434"/>
      <c r="R905" s="434"/>
      <c r="S905" s="434"/>
      <c r="T905" s="434"/>
      <c r="U905" s="434"/>
      <c r="V905" s="434"/>
      <c r="W905" s="434"/>
      <c r="X905" s="434"/>
      <c r="Y905" s="434"/>
      <c r="Z905" s="434"/>
      <c r="AA905" s="434"/>
      <c r="AB905" s="434"/>
      <c r="AC905" s="434"/>
      <c r="AD905" s="434"/>
    </row>
    <row r="906">
      <c r="A906" s="434"/>
      <c r="B906" s="528"/>
      <c r="C906" s="528"/>
      <c r="D906" s="528"/>
      <c r="E906" s="528"/>
      <c r="F906" s="528"/>
      <c r="G906" s="528"/>
      <c r="H906" s="528"/>
      <c r="I906" s="528"/>
      <c r="J906" s="528"/>
      <c r="K906" s="528"/>
      <c r="L906" s="528"/>
      <c r="M906" s="528"/>
      <c r="N906" s="528"/>
      <c r="O906" s="528"/>
      <c r="P906" s="528"/>
      <c r="Q906" s="434"/>
      <c r="R906" s="434"/>
      <c r="S906" s="434"/>
      <c r="T906" s="434"/>
      <c r="U906" s="434"/>
      <c r="V906" s="434"/>
      <c r="W906" s="434"/>
      <c r="X906" s="434"/>
      <c r="Y906" s="434"/>
      <c r="Z906" s="434"/>
      <c r="AA906" s="434"/>
      <c r="AB906" s="434"/>
      <c r="AC906" s="434"/>
      <c r="AD906" s="434"/>
    </row>
    <row r="907">
      <c r="A907" s="434"/>
      <c r="B907" s="528"/>
      <c r="C907" s="528"/>
      <c r="D907" s="528"/>
      <c r="E907" s="528"/>
      <c r="F907" s="528"/>
      <c r="G907" s="528"/>
      <c r="H907" s="528"/>
      <c r="I907" s="528"/>
      <c r="J907" s="528"/>
      <c r="K907" s="528"/>
      <c r="L907" s="528"/>
      <c r="M907" s="528"/>
      <c r="N907" s="528"/>
      <c r="O907" s="528"/>
      <c r="P907" s="528"/>
      <c r="Q907" s="434"/>
      <c r="R907" s="434"/>
      <c r="S907" s="434"/>
      <c r="T907" s="434"/>
      <c r="U907" s="434"/>
      <c r="V907" s="434"/>
      <c r="W907" s="434"/>
      <c r="X907" s="434"/>
      <c r="Y907" s="434"/>
      <c r="Z907" s="434"/>
      <c r="AA907" s="434"/>
      <c r="AB907" s="434"/>
      <c r="AC907" s="434"/>
      <c r="AD907" s="434"/>
    </row>
    <row r="908">
      <c r="A908" s="434"/>
      <c r="B908" s="528"/>
      <c r="C908" s="528"/>
      <c r="D908" s="528"/>
      <c r="E908" s="528"/>
      <c r="F908" s="528"/>
      <c r="G908" s="528"/>
      <c r="H908" s="528"/>
      <c r="I908" s="528"/>
      <c r="J908" s="528"/>
      <c r="K908" s="528"/>
      <c r="L908" s="528"/>
      <c r="M908" s="528"/>
      <c r="N908" s="528"/>
      <c r="O908" s="528"/>
      <c r="P908" s="528"/>
      <c r="Q908" s="434"/>
      <c r="R908" s="434"/>
      <c r="S908" s="434"/>
      <c r="T908" s="434"/>
      <c r="U908" s="434"/>
      <c r="V908" s="434"/>
      <c r="W908" s="434"/>
      <c r="X908" s="434"/>
      <c r="Y908" s="434"/>
      <c r="Z908" s="434"/>
      <c r="AA908" s="434"/>
      <c r="AB908" s="434"/>
      <c r="AC908" s="434"/>
      <c r="AD908" s="434"/>
    </row>
    <row r="909">
      <c r="A909" s="434"/>
      <c r="B909" s="528"/>
      <c r="C909" s="528"/>
      <c r="D909" s="528"/>
      <c r="E909" s="528"/>
      <c r="F909" s="528"/>
      <c r="G909" s="528"/>
      <c r="H909" s="528"/>
      <c r="I909" s="528"/>
      <c r="J909" s="528"/>
      <c r="K909" s="528"/>
      <c r="L909" s="528"/>
      <c r="M909" s="528"/>
      <c r="N909" s="528"/>
      <c r="O909" s="528"/>
      <c r="P909" s="528"/>
      <c r="Q909" s="434"/>
      <c r="R909" s="434"/>
      <c r="S909" s="434"/>
      <c r="T909" s="434"/>
      <c r="U909" s="434"/>
      <c r="V909" s="434"/>
      <c r="W909" s="434"/>
      <c r="X909" s="434"/>
      <c r="Y909" s="434"/>
      <c r="Z909" s="434"/>
      <c r="AA909" s="434"/>
      <c r="AB909" s="434"/>
      <c r="AC909" s="434"/>
      <c r="AD909" s="434"/>
    </row>
    <row r="910">
      <c r="A910" s="434"/>
      <c r="B910" s="528"/>
      <c r="C910" s="528"/>
      <c r="D910" s="528"/>
      <c r="E910" s="528"/>
      <c r="F910" s="528"/>
      <c r="G910" s="528"/>
      <c r="H910" s="528"/>
      <c r="I910" s="528"/>
      <c r="J910" s="528"/>
      <c r="K910" s="528"/>
      <c r="L910" s="528"/>
      <c r="M910" s="528"/>
      <c r="N910" s="528"/>
      <c r="O910" s="528"/>
      <c r="P910" s="528"/>
      <c r="Q910" s="434"/>
      <c r="R910" s="434"/>
      <c r="S910" s="434"/>
      <c r="T910" s="434"/>
      <c r="U910" s="434"/>
      <c r="V910" s="434"/>
      <c r="W910" s="434"/>
      <c r="X910" s="434"/>
      <c r="Y910" s="434"/>
      <c r="Z910" s="434"/>
      <c r="AA910" s="434"/>
      <c r="AB910" s="434"/>
      <c r="AC910" s="434"/>
      <c r="AD910" s="434"/>
    </row>
    <row r="911">
      <c r="A911" s="434"/>
      <c r="B911" s="528"/>
      <c r="C911" s="528"/>
      <c r="D911" s="528"/>
      <c r="E911" s="528"/>
      <c r="F911" s="528"/>
      <c r="G911" s="528"/>
      <c r="H911" s="528"/>
      <c r="I911" s="528"/>
      <c r="J911" s="528"/>
      <c r="K911" s="528"/>
      <c r="L911" s="528"/>
      <c r="M911" s="528"/>
      <c r="N911" s="528"/>
      <c r="O911" s="528"/>
      <c r="P911" s="528"/>
      <c r="Q911" s="434"/>
      <c r="R911" s="434"/>
      <c r="S911" s="434"/>
      <c r="T911" s="434"/>
      <c r="U911" s="434"/>
      <c r="V911" s="434"/>
      <c r="W911" s="434"/>
      <c r="X911" s="434"/>
      <c r="Y911" s="434"/>
      <c r="Z911" s="434"/>
      <c r="AA911" s="434"/>
      <c r="AB911" s="434"/>
      <c r="AC911" s="434"/>
      <c r="AD911" s="434"/>
    </row>
    <row r="912">
      <c r="A912" s="434"/>
      <c r="B912" s="528"/>
      <c r="C912" s="528"/>
      <c r="D912" s="528"/>
      <c r="E912" s="528"/>
      <c r="F912" s="528"/>
      <c r="G912" s="528"/>
      <c r="H912" s="528"/>
      <c r="I912" s="528"/>
      <c r="J912" s="528"/>
      <c r="K912" s="528"/>
      <c r="L912" s="528"/>
      <c r="M912" s="528"/>
      <c r="N912" s="528"/>
      <c r="O912" s="528"/>
      <c r="P912" s="528"/>
      <c r="Q912" s="434"/>
      <c r="R912" s="434"/>
      <c r="S912" s="434"/>
      <c r="T912" s="434"/>
      <c r="U912" s="434"/>
      <c r="V912" s="434"/>
      <c r="W912" s="434"/>
      <c r="X912" s="434"/>
      <c r="Y912" s="434"/>
      <c r="Z912" s="434"/>
      <c r="AA912" s="434"/>
      <c r="AB912" s="434"/>
      <c r="AC912" s="434"/>
      <c r="AD912" s="434"/>
    </row>
    <row r="913">
      <c r="A913" s="434"/>
      <c r="B913" s="528"/>
      <c r="C913" s="528"/>
      <c r="D913" s="528"/>
      <c r="E913" s="528"/>
      <c r="F913" s="528"/>
      <c r="G913" s="528"/>
      <c r="H913" s="528"/>
      <c r="I913" s="528"/>
      <c r="J913" s="528"/>
      <c r="K913" s="528"/>
      <c r="L913" s="528"/>
      <c r="M913" s="528"/>
      <c r="N913" s="528"/>
      <c r="O913" s="528"/>
      <c r="P913" s="528"/>
      <c r="Q913" s="434"/>
      <c r="R913" s="434"/>
      <c r="S913" s="434"/>
      <c r="T913" s="434"/>
      <c r="U913" s="434"/>
      <c r="V913" s="434"/>
      <c r="W913" s="434"/>
      <c r="X913" s="434"/>
      <c r="Y913" s="434"/>
      <c r="Z913" s="434"/>
      <c r="AA913" s="434"/>
      <c r="AB913" s="434"/>
      <c r="AC913" s="434"/>
      <c r="AD913" s="434"/>
    </row>
    <row r="914">
      <c r="A914" s="434"/>
      <c r="B914" s="528"/>
      <c r="C914" s="528"/>
      <c r="D914" s="528"/>
      <c r="E914" s="528"/>
      <c r="F914" s="528"/>
      <c r="G914" s="528"/>
      <c r="H914" s="528"/>
      <c r="I914" s="528"/>
      <c r="J914" s="528"/>
      <c r="K914" s="528"/>
      <c r="L914" s="528"/>
      <c r="M914" s="528"/>
      <c r="N914" s="528"/>
      <c r="O914" s="528"/>
      <c r="P914" s="528"/>
      <c r="Q914" s="434"/>
      <c r="R914" s="434"/>
      <c r="S914" s="434"/>
      <c r="T914" s="434"/>
      <c r="U914" s="434"/>
      <c r="V914" s="434"/>
      <c r="W914" s="434"/>
      <c r="X914" s="434"/>
      <c r="Y914" s="434"/>
      <c r="Z914" s="434"/>
      <c r="AA914" s="434"/>
      <c r="AB914" s="434"/>
      <c r="AC914" s="434"/>
      <c r="AD914" s="434"/>
    </row>
    <row r="915">
      <c r="A915" s="434"/>
      <c r="B915" s="528"/>
      <c r="C915" s="528"/>
      <c r="D915" s="528"/>
      <c r="E915" s="528"/>
      <c r="F915" s="528"/>
      <c r="G915" s="528"/>
      <c r="H915" s="528"/>
      <c r="I915" s="528"/>
      <c r="J915" s="528"/>
      <c r="K915" s="528"/>
      <c r="L915" s="528"/>
      <c r="M915" s="528"/>
      <c r="N915" s="528"/>
      <c r="O915" s="528"/>
      <c r="P915" s="528"/>
      <c r="Q915" s="434"/>
      <c r="R915" s="434"/>
      <c r="S915" s="434"/>
      <c r="T915" s="434"/>
      <c r="U915" s="434"/>
      <c r="V915" s="434"/>
      <c r="W915" s="434"/>
      <c r="X915" s="434"/>
      <c r="Y915" s="434"/>
      <c r="Z915" s="434"/>
      <c r="AA915" s="434"/>
      <c r="AB915" s="434"/>
      <c r="AC915" s="434"/>
      <c r="AD915" s="434"/>
    </row>
    <row r="916">
      <c r="A916" s="434"/>
      <c r="B916" s="528"/>
      <c r="C916" s="528"/>
      <c r="D916" s="528"/>
      <c r="E916" s="528"/>
      <c r="F916" s="528"/>
      <c r="G916" s="528"/>
      <c r="H916" s="528"/>
      <c r="I916" s="528"/>
      <c r="J916" s="528"/>
      <c r="K916" s="528"/>
      <c r="L916" s="528"/>
      <c r="M916" s="528"/>
      <c r="N916" s="528"/>
      <c r="O916" s="528"/>
      <c r="P916" s="528"/>
      <c r="Q916" s="434"/>
      <c r="R916" s="434"/>
      <c r="S916" s="434"/>
      <c r="T916" s="434"/>
      <c r="U916" s="434"/>
      <c r="V916" s="434"/>
      <c r="W916" s="434"/>
      <c r="X916" s="434"/>
      <c r="Y916" s="434"/>
      <c r="Z916" s="434"/>
      <c r="AA916" s="434"/>
      <c r="AB916" s="434"/>
      <c r="AC916" s="434"/>
      <c r="AD916" s="434"/>
    </row>
    <row r="917">
      <c r="A917" s="434"/>
      <c r="B917" s="528"/>
      <c r="C917" s="528"/>
      <c r="D917" s="528"/>
      <c r="E917" s="528"/>
      <c r="F917" s="528"/>
      <c r="G917" s="528"/>
      <c r="H917" s="528"/>
      <c r="I917" s="528"/>
      <c r="J917" s="528"/>
      <c r="K917" s="528"/>
      <c r="L917" s="528"/>
      <c r="M917" s="528"/>
      <c r="N917" s="528"/>
      <c r="O917" s="528"/>
      <c r="P917" s="528"/>
      <c r="Q917" s="434"/>
      <c r="R917" s="434"/>
      <c r="S917" s="434"/>
      <c r="T917" s="434"/>
      <c r="U917" s="434"/>
      <c r="V917" s="434"/>
      <c r="W917" s="434"/>
      <c r="X917" s="434"/>
      <c r="Y917" s="434"/>
      <c r="Z917" s="434"/>
      <c r="AA917" s="434"/>
      <c r="AB917" s="434"/>
      <c r="AC917" s="434"/>
      <c r="AD917" s="434"/>
    </row>
    <row r="918">
      <c r="A918" s="434"/>
      <c r="B918" s="528"/>
      <c r="C918" s="528"/>
      <c r="D918" s="528"/>
      <c r="E918" s="528"/>
      <c r="F918" s="528"/>
      <c r="G918" s="528"/>
      <c r="H918" s="528"/>
      <c r="I918" s="528"/>
      <c r="J918" s="528"/>
      <c r="K918" s="528"/>
      <c r="L918" s="528"/>
      <c r="M918" s="528"/>
      <c r="N918" s="528"/>
      <c r="O918" s="528"/>
      <c r="P918" s="528"/>
      <c r="Q918" s="434"/>
      <c r="R918" s="434"/>
      <c r="S918" s="434"/>
      <c r="T918" s="434"/>
      <c r="U918" s="434"/>
      <c r="V918" s="434"/>
      <c r="W918" s="434"/>
      <c r="X918" s="434"/>
      <c r="Y918" s="434"/>
      <c r="Z918" s="434"/>
      <c r="AA918" s="434"/>
      <c r="AB918" s="434"/>
      <c r="AC918" s="434"/>
      <c r="AD918" s="434"/>
    </row>
    <row r="919">
      <c r="A919" s="434"/>
      <c r="B919" s="528"/>
      <c r="C919" s="528"/>
      <c r="D919" s="528"/>
      <c r="E919" s="528"/>
      <c r="F919" s="528"/>
      <c r="G919" s="528"/>
      <c r="H919" s="528"/>
      <c r="I919" s="528"/>
      <c r="J919" s="528"/>
      <c r="K919" s="528"/>
      <c r="L919" s="528"/>
      <c r="M919" s="528"/>
      <c r="N919" s="528"/>
      <c r="O919" s="528"/>
      <c r="P919" s="528"/>
      <c r="Q919" s="434"/>
      <c r="R919" s="434"/>
      <c r="S919" s="434"/>
      <c r="T919" s="434"/>
      <c r="U919" s="434"/>
      <c r="V919" s="434"/>
      <c r="W919" s="434"/>
      <c r="X919" s="434"/>
      <c r="Y919" s="434"/>
      <c r="Z919" s="434"/>
      <c r="AA919" s="434"/>
      <c r="AB919" s="434"/>
      <c r="AC919" s="434"/>
      <c r="AD919" s="434"/>
    </row>
    <row r="920">
      <c r="A920" s="434"/>
      <c r="B920" s="528"/>
      <c r="C920" s="528"/>
      <c r="D920" s="528"/>
      <c r="E920" s="528"/>
      <c r="F920" s="528"/>
      <c r="G920" s="528"/>
      <c r="H920" s="528"/>
      <c r="I920" s="528"/>
      <c r="J920" s="528"/>
      <c r="K920" s="528"/>
      <c r="L920" s="528"/>
      <c r="M920" s="528"/>
      <c r="N920" s="528"/>
      <c r="O920" s="528"/>
      <c r="P920" s="528"/>
      <c r="Q920" s="434"/>
      <c r="R920" s="434"/>
      <c r="S920" s="434"/>
      <c r="T920" s="434"/>
      <c r="U920" s="434"/>
      <c r="V920" s="434"/>
      <c r="W920" s="434"/>
      <c r="X920" s="434"/>
      <c r="Y920" s="434"/>
      <c r="Z920" s="434"/>
      <c r="AA920" s="434"/>
      <c r="AB920" s="434"/>
      <c r="AC920" s="434"/>
      <c r="AD920" s="434"/>
    </row>
    <row r="921">
      <c r="A921" s="434"/>
      <c r="B921" s="528"/>
      <c r="C921" s="528"/>
      <c r="D921" s="528"/>
      <c r="E921" s="528"/>
      <c r="F921" s="528"/>
      <c r="G921" s="528"/>
      <c r="H921" s="528"/>
      <c r="I921" s="528"/>
      <c r="J921" s="528"/>
      <c r="K921" s="528"/>
      <c r="L921" s="528"/>
      <c r="M921" s="528"/>
      <c r="N921" s="528"/>
      <c r="O921" s="528"/>
      <c r="P921" s="528"/>
      <c r="Q921" s="434"/>
      <c r="R921" s="434"/>
      <c r="S921" s="434"/>
      <c r="T921" s="434"/>
      <c r="U921" s="434"/>
      <c r="V921" s="434"/>
      <c r="W921" s="434"/>
      <c r="X921" s="434"/>
      <c r="Y921" s="434"/>
      <c r="Z921" s="434"/>
      <c r="AA921" s="434"/>
      <c r="AB921" s="434"/>
      <c r="AC921" s="434"/>
      <c r="AD921" s="434"/>
    </row>
    <row r="922">
      <c r="A922" s="434"/>
      <c r="B922" s="528"/>
      <c r="C922" s="528"/>
      <c r="D922" s="528"/>
      <c r="E922" s="528"/>
      <c r="F922" s="528"/>
      <c r="G922" s="528"/>
      <c r="H922" s="528"/>
      <c r="I922" s="528"/>
      <c r="J922" s="528"/>
      <c r="K922" s="528"/>
      <c r="L922" s="528"/>
      <c r="M922" s="528"/>
      <c r="N922" s="528"/>
      <c r="O922" s="528"/>
      <c r="P922" s="528"/>
      <c r="Q922" s="434"/>
      <c r="R922" s="434"/>
      <c r="S922" s="434"/>
      <c r="T922" s="434"/>
      <c r="U922" s="434"/>
      <c r="V922" s="434"/>
      <c r="W922" s="434"/>
      <c r="X922" s="434"/>
      <c r="Y922" s="434"/>
      <c r="Z922" s="434"/>
      <c r="AA922" s="434"/>
      <c r="AB922" s="434"/>
      <c r="AC922" s="434"/>
      <c r="AD922" s="434"/>
    </row>
    <row r="923">
      <c r="A923" s="434"/>
      <c r="B923" s="528"/>
      <c r="C923" s="528"/>
      <c r="D923" s="528"/>
      <c r="E923" s="528"/>
      <c r="F923" s="528"/>
      <c r="G923" s="528"/>
      <c r="H923" s="528"/>
      <c r="I923" s="528"/>
      <c r="J923" s="528"/>
      <c r="K923" s="528"/>
      <c r="L923" s="528"/>
      <c r="M923" s="528"/>
      <c r="N923" s="528"/>
      <c r="O923" s="528"/>
      <c r="P923" s="528"/>
      <c r="Q923" s="434"/>
      <c r="R923" s="434"/>
      <c r="S923" s="434"/>
      <c r="T923" s="434"/>
      <c r="U923" s="434"/>
      <c r="V923" s="434"/>
      <c r="W923" s="434"/>
      <c r="X923" s="434"/>
      <c r="Y923" s="434"/>
      <c r="Z923" s="434"/>
      <c r="AA923" s="434"/>
      <c r="AB923" s="434"/>
      <c r="AC923" s="434"/>
      <c r="AD923" s="434"/>
    </row>
    <row r="924">
      <c r="A924" s="434"/>
      <c r="B924" s="528"/>
      <c r="C924" s="528"/>
      <c r="D924" s="528"/>
      <c r="E924" s="528"/>
      <c r="F924" s="528"/>
      <c r="G924" s="528"/>
      <c r="H924" s="528"/>
      <c r="I924" s="528"/>
      <c r="J924" s="528"/>
      <c r="K924" s="528"/>
      <c r="L924" s="528"/>
      <c r="M924" s="528"/>
      <c r="N924" s="528"/>
      <c r="O924" s="528"/>
      <c r="P924" s="528"/>
      <c r="Q924" s="434"/>
      <c r="R924" s="434"/>
      <c r="S924" s="434"/>
      <c r="T924" s="434"/>
      <c r="U924" s="434"/>
      <c r="V924" s="434"/>
      <c r="W924" s="434"/>
      <c r="X924" s="434"/>
      <c r="Y924" s="434"/>
      <c r="Z924" s="434"/>
      <c r="AA924" s="434"/>
      <c r="AB924" s="434"/>
      <c r="AC924" s="434"/>
      <c r="AD924" s="434"/>
    </row>
    <row r="925">
      <c r="A925" s="434"/>
      <c r="B925" s="528"/>
      <c r="C925" s="528"/>
      <c r="D925" s="528"/>
      <c r="E925" s="528"/>
      <c r="F925" s="528"/>
      <c r="G925" s="528"/>
      <c r="H925" s="528"/>
      <c r="I925" s="528"/>
      <c r="J925" s="528"/>
      <c r="K925" s="528"/>
      <c r="L925" s="528"/>
      <c r="M925" s="528"/>
      <c r="N925" s="528"/>
      <c r="O925" s="528"/>
      <c r="P925" s="528"/>
      <c r="Q925" s="434"/>
      <c r="R925" s="434"/>
      <c r="S925" s="434"/>
      <c r="T925" s="434"/>
      <c r="U925" s="434"/>
      <c r="V925" s="434"/>
      <c r="W925" s="434"/>
      <c r="X925" s="434"/>
      <c r="Y925" s="434"/>
      <c r="Z925" s="434"/>
      <c r="AA925" s="434"/>
      <c r="AB925" s="434"/>
      <c r="AC925" s="434"/>
      <c r="AD925" s="434"/>
    </row>
    <row r="926">
      <c r="A926" s="434"/>
      <c r="B926" s="528"/>
      <c r="C926" s="528"/>
      <c r="D926" s="528"/>
      <c r="E926" s="528"/>
      <c r="F926" s="528"/>
      <c r="G926" s="528"/>
      <c r="H926" s="528"/>
      <c r="I926" s="528"/>
      <c r="J926" s="528"/>
      <c r="K926" s="528"/>
      <c r="L926" s="528"/>
      <c r="M926" s="528"/>
      <c r="N926" s="528"/>
      <c r="O926" s="528"/>
      <c r="P926" s="528"/>
      <c r="Q926" s="434"/>
      <c r="R926" s="434"/>
      <c r="S926" s="434"/>
      <c r="T926" s="434"/>
      <c r="U926" s="434"/>
      <c r="V926" s="434"/>
      <c r="W926" s="434"/>
      <c r="X926" s="434"/>
      <c r="Y926" s="434"/>
      <c r="Z926" s="434"/>
      <c r="AA926" s="434"/>
      <c r="AB926" s="434"/>
      <c r="AC926" s="434"/>
      <c r="AD926" s="434"/>
    </row>
    <row r="927">
      <c r="A927" s="434"/>
      <c r="B927" s="528"/>
      <c r="C927" s="528"/>
      <c r="D927" s="528"/>
      <c r="E927" s="528"/>
      <c r="F927" s="528"/>
      <c r="G927" s="528"/>
      <c r="H927" s="528"/>
      <c r="I927" s="528"/>
      <c r="J927" s="528"/>
      <c r="K927" s="528"/>
      <c r="L927" s="528"/>
      <c r="M927" s="528"/>
      <c r="N927" s="528"/>
      <c r="O927" s="528"/>
      <c r="P927" s="528"/>
      <c r="Q927" s="434"/>
      <c r="R927" s="434"/>
      <c r="S927" s="434"/>
      <c r="T927" s="434"/>
      <c r="U927" s="434"/>
      <c r="V927" s="434"/>
      <c r="W927" s="434"/>
      <c r="X927" s="434"/>
      <c r="Y927" s="434"/>
      <c r="Z927" s="434"/>
      <c r="AA927" s="434"/>
      <c r="AB927" s="434"/>
      <c r="AC927" s="434"/>
      <c r="AD927" s="434"/>
    </row>
    <row r="928">
      <c r="A928" s="434"/>
      <c r="B928" s="528"/>
      <c r="C928" s="528"/>
      <c r="D928" s="528"/>
      <c r="E928" s="528"/>
      <c r="F928" s="528"/>
      <c r="G928" s="528"/>
      <c r="H928" s="528"/>
      <c r="I928" s="528"/>
      <c r="J928" s="528"/>
      <c r="K928" s="528"/>
      <c r="L928" s="528"/>
      <c r="M928" s="528"/>
      <c r="N928" s="528"/>
      <c r="O928" s="528"/>
      <c r="P928" s="528"/>
      <c r="Q928" s="434"/>
      <c r="R928" s="434"/>
      <c r="S928" s="434"/>
      <c r="T928" s="434"/>
      <c r="U928" s="434"/>
      <c r="V928" s="434"/>
      <c r="W928" s="434"/>
      <c r="X928" s="434"/>
      <c r="Y928" s="434"/>
      <c r="Z928" s="434"/>
      <c r="AA928" s="434"/>
      <c r="AB928" s="434"/>
      <c r="AC928" s="434"/>
      <c r="AD928" s="434"/>
    </row>
    <row r="929">
      <c r="A929" s="434"/>
      <c r="B929" s="528"/>
      <c r="C929" s="528"/>
      <c r="D929" s="528"/>
      <c r="E929" s="528"/>
      <c r="F929" s="528"/>
      <c r="G929" s="528"/>
      <c r="H929" s="528"/>
      <c r="I929" s="528"/>
      <c r="J929" s="528"/>
      <c r="K929" s="528"/>
      <c r="L929" s="528"/>
      <c r="M929" s="528"/>
      <c r="N929" s="528"/>
      <c r="O929" s="528"/>
      <c r="P929" s="528"/>
      <c r="Q929" s="434"/>
      <c r="R929" s="434"/>
      <c r="S929" s="434"/>
      <c r="T929" s="434"/>
      <c r="U929" s="434"/>
      <c r="V929" s="434"/>
      <c r="W929" s="434"/>
      <c r="X929" s="434"/>
      <c r="Y929" s="434"/>
      <c r="Z929" s="434"/>
      <c r="AA929" s="434"/>
      <c r="AB929" s="434"/>
      <c r="AC929" s="434"/>
      <c r="AD929" s="434"/>
    </row>
    <row r="930">
      <c r="A930" s="434"/>
      <c r="B930" s="528"/>
      <c r="C930" s="528"/>
      <c r="D930" s="528"/>
      <c r="E930" s="528"/>
      <c r="F930" s="528"/>
      <c r="G930" s="528"/>
      <c r="H930" s="528"/>
      <c r="I930" s="528"/>
      <c r="J930" s="528"/>
      <c r="K930" s="528"/>
      <c r="L930" s="528"/>
      <c r="M930" s="528"/>
      <c r="N930" s="528"/>
      <c r="O930" s="528"/>
      <c r="P930" s="528"/>
      <c r="Q930" s="434"/>
      <c r="R930" s="434"/>
      <c r="S930" s="434"/>
      <c r="T930" s="434"/>
      <c r="U930" s="434"/>
      <c r="V930" s="434"/>
      <c r="W930" s="434"/>
      <c r="X930" s="434"/>
      <c r="Y930" s="434"/>
      <c r="Z930" s="434"/>
      <c r="AA930" s="434"/>
      <c r="AB930" s="434"/>
      <c r="AC930" s="434"/>
      <c r="AD930" s="434"/>
    </row>
    <row r="931">
      <c r="A931" s="434"/>
      <c r="B931" s="528"/>
      <c r="C931" s="528"/>
      <c r="D931" s="528"/>
      <c r="E931" s="528"/>
      <c r="F931" s="528"/>
      <c r="G931" s="528"/>
      <c r="H931" s="528"/>
      <c r="I931" s="528"/>
      <c r="J931" s="528"/>
      <c r="K931" s="528"/>
      <c r="L931" s="528"/>
      <c r="M931" s="528"/>
      <c r="N931" s="528"/>
      <c r="O931" s="528"/>
      <c r="P931" s="528"/>
      <c r="Q931" s="434"/>
      <c r="R931" s="434"/>
      <c r="S931" s="434"/>
      <c r="T931" s="434"/>
      <c r="U931" s="434"/>
      <c r="V931" s="434"/>
      <c r="W931" s="434"/>
      <c r="X931" s="434"/>
      <c r="Y931" s="434"/>
      <c r="Z931" s="434"/>
      <c r="AA931" s="434"/>
      <c r="AB931" s="434"/>
      <c r="AC931" s="434"/>
      <c r="AD931" s="434"/>
    </row>
    <row r="932">
      <c r="A932" s="434"/>
      <c r="B932" s="528"/>
      <c r="C932" s="528"/>
      <c r="D932" s="528"/>
      <c r="E932" s="528"/>
      <c r="F932" s="528"/>
      <c r="G932" s="528"/>
      <c r="H932" s="528"/>
      <c r="I932" s="528"/>
      <c r="J932" s="528"/>
      <c r="K932" s="528"/>
      <c r="L932" s="528"/>
      <c r="M932" s="528"/>
      <c r="N932" s="528"/>
      <c r="O932" s="528"/>
      <c r="P932" s="528"/>
      <c r="Q932" s="434"/>
      <c r="R932" s="434"/>
      <c r="S932" s="434"/>
      <c r="T932" s="434"/>
      <c r="U932" s="434"/>
      <c r="V932" s="434"/>
      <c r="W932" s="434"/>
      <c r="X932" s="434"/>
      <c r="Y932" s="434"/>
      <c r="Z932" s="434"/>
      <c r="AA932" s="434"/>
      <c r="AB932" s="434"/>
      <c r="AC932" s="434"/>
      <c r="AD932" s="434"/>
    </row>
    <row r="933">
      <c r="A933" s="434"/>
      <c r="B933" s="528"/>
      <c r="C933" s="528"/>
      <c r="D933" s="528"/>
      <c r="E933" s="528"/>
      <c r="F933" s="528"/>
      <c r="G933" s="528"/>
      <c r="H933" s="528"/>
      <c r="I933" s="528"/>
      <c r="J933" s="528"/>
      <c r="K933" s="528"/>
      <c r="L933" s="528"/>
      <c r="M933" s="528"/>
      <c r="N933" s="528"/>
      <c r="O933" s="528"/>
      <c r="P933" s="528"/>
      <c r="Q933" s="434"/>
      <c r="R933" s="434"/>
      <c r="S933" s="434"/>
      <c r="T933" s="434"/>
      <c r="U933" s="434"/>
      <c r="V933" s="434"/>
      <c r="W933" s="434"/>
      <c r="X933" s="434"/>
      <c r="Y933" s="434"/>
      <c r="Z933" s="434"/>
      <c r="AA933" s="434"/>
      <c r="AB933" s="434"/>
      <c r="AC933" s="434"/>
      <c r="AD933" s="434"/>
    </row>
    <row r="934">
      <c r="A934" s="434"/>
      <c r="B934" s="528"/>
      <c r="C934" s="528"/>
      <c r="D934" s="528"/>
      <c r="E934" s="528"/>
      <c r="F934" s="528"/>
      <c r="G934" s="528"/>
      <c r="H934" s="528"/>
      <c r="I934" s="528"/>
      <c r="J934" s="528"/>
      <c r="K934" s="528"/>
      <c r="L934" s="528"/>
      <c r="M934" s="528"/>
      <c r="N934" s="528"/>
      <c r="O934" s="528"/>
      <c r="P934" s="528"/>
      <c r="Q934" s="434"/>
      <c r="R934" s="434"/>
      <c r="S934" s="434"/>
      <c r="T934" s="434"/>
      <c r="U934" s="434"/>
      <c r="V934" s="434"/>
      <c r="W934" s="434"/>
      <c r="X934" s="434"/>
      <c r="Y934" s="434"/>
      <c r="Z934" s="434"/>
      <c r="AA934" s="434"/>
      <c r="AB934" s="434"/>
      <c r="AC934" s="434"/>
      <c r="AD934" s="434"/>
    </row>
    <row r="935">
      <c r="A935" s="434"/>
      <c r="B935" s="528"/>
      <c r="C935" s="528"/>
      <c r="D935" s="528"/>
      <c r="E935" s="528"/>
      <c r="F935" s="528"/>
      <c r="G935" s="528"/>
      <c r="H935" s="528"/>
      <c r="I935" s="528"/>
      <c r="J935" s="528"/>
      <c r="K935" s="528"/>
      <c r="L935" s="528"/>
      <c r="M935" s="528"/>
      <c r="N935" s="528"/>
      <c r="O935" s="528"/>
      <c r="P935" s="528"/>
      <c r="Q935" s="434"/>
      <c r="R935" s="434"/>
      <c r="S935" s="434"/>
      <c r="T935" s="434"/>
      <c r="U935" s="434"/>
      <c r="V935" s="434"/>
      <c r="W935" s="434"/>
      <c r="X935" s="434"/>
      <c r="Y935" s="434"/>
      <c r="Z935" s="434"/>
      <c r="AA935" s="434"/>
      <c r="AB935" s="434"/>
      <c r="AC935" s="434"/>
      <c r="AD935" s="434"/>
    </row>
    <row r="936">
      <c r="A936" s="434"/>
      <c r="B936" s="528"/>
      <c r="C936" s="528"/>
      <c r="D936" s="528"/>
      <c r="E936" s="528"/>
      <c r="F936" s="528"/>
      <c r="G936" s="528"/>
      <c r="H936" s="528"/>
      <c r="I936" s="528"/>
      <c r="J936" s="528"/>
      <c r="K936" s="528"/>
      <c r="L936" s="528"/>
      <c r="M936" s="528"/>
      <c r="N936" s="528"/>
      <c r="O936" s="528"/>
      <c r="P936" s="528"/>
      <c r="Q936" s="434"/>
      <c r="R936" s="434"/>
      <c r="S936" s="434"/>
      <c r="T936" s="434"/>
      <c r="U936" s="434"/>
      <c r="V936" s="434"/>
      <c r="W936" s="434"/>
      <c r="X936" s="434"/>
      <c r="Y936" s="434"/>
      <c r="Z936" s="434"/>
      <c r="AA936" s="434"/>
      <c r="AB936" s="434"/>
      <c r="AC936" s="434"/>
      <c r="AD936" s="434"/>
    </row>
    <row r="937">
      <c r="A937" s="434"/>
      <c r="B937" s="528"/>
      <c r="C937" s="528"/>
      <c r="D937" s="528"/>
      <c r="E937" s="528"/>
      <c r="F937" s="528"/>
      <c r="G937" s="528"/>
      <c r="H937" s="528"/>
      <c r="I937" s="528"/>
      <c r="J937" s="528"/>
      <c r="K937" s="528"/>
      <c r="L937" s="528"/>
      <c r="M937" s="528"/>
      <c r="N937" s="528"/>
      <c r="O937" s="528"/>
      <c r="P937" s="528"/>
      <c r="Q937" s="434"/>
      <c r="R937" s="434"/>
      <c r="S937" s="434"/>
      <c r="T937" s="434"/>
      <c r="U937" s="434"/>
      <c r="V937" s="434"/>
      <c r="W937" s="434"/>
      <c r="X937" s="434"/>
      <c r="Y937" s="434"/>
      <c r="Z937" s="434"/>
      <c r="AA937" s="434"/>
      <c r="AB937" s="434"/>
      <c r="AC937" s="434"/>
      <c r="AD937" s="434"/>
    </row>
    <row r="938">
      <c r="A938" s="434"/>
      <c r="B938" s="528"/>
      <c r="C938" s="528"/>
      <c r="D938" s="528"/>
      <c r="E938" s="528"/>
      <c r="F938" s="528"/>
      <c r="G938" s="528"/>
      <c r="H938" s="528"/>
      <c r="I938" s="528"/>
      <c r="J938" s="528"/>
      <c r="K938" s="528"/>
      <c r="L938" s="528"/>
      <c r="M938" s="528"/>
      <c r="N938" s="528"/>
      <c r="O938" s="528"/>
      <c r="P938" s="528"/>
      <c r="Q938" s="434"/>
      <c r="R938" s="434"/>
      <c r="S938" s="434"/>
      <c r="T938" s="434"/>
      <c r="U938" s="434"/>
      <c r="V938" s="434"/>
      <c r="W938" s="434"/>
      <c r="X938" s="434"/>
      <c r="Y938" s="434"/>
      <c r="Z938" s="434"/>
      <c r="AA938" s="434"/>
      <c r="AB938" s="434"/>
      <c r="AC938" s="434"/>
      <c r="AD938" s="434"/>
    </row>
    <row r="939">
      <c r="A939" s="434"/>
      <c r="B939" s="528"/>
      <c r="C939" s="528"/>
      <c r="D939" s="528"/>
      <c r="E939" s="528"/>
      <c r="F939" s="528"/>
      <c r="G939" s="528"/>
      <c r="H939" s="528"/>
      <c r="I939" s="528"/>
      <c r="J939" s="528"/>
      <c r="K939" s="528"/>
      <c r="L939" s="528"/>
      <c r="M939" s="528"/>
      <c r="N939" s="528"/>
      <c r="O939" s="528"/>
      <c r="P939" s="528"/>
      <c r="Q939" s="434"/>
      <c r="R939" s="434"/>
      <c r="S939" s="434"/>
      <c r="T939" s="434"/>
      <c r="U939" s="434"/>
      <c r="V939" s="434"/>
      <c r="W939" s="434"/>
      <c r="X939" s="434"/>
      <c r="Y939" s="434"/>
      <c r="Z939" s="434"/>
      <c r="AA939" s="434"/>
      <c r="AB939" s="434"/>
      <c r="AC939" s="434"/>
      <c r="AD939" s="434"/>
    </row>
    <row r="940">
      <c r="A940" s="434"/>
      <c r="B940" s="528"/>
      <c r="C940" s="528"/>
      <c r="D940" s="528"/>
      <c r="E940" s="528"/>
      <c r="F940" s="528"/>
      <c r="G940" s="528"/>
      <c r="H940" s="528"/>
      <c r="I940" s="528"/>
      <c r="J940" s="528"/>
      <c r="K940" s="528"/>
      <c r="L940" s="528"/>
      <c r="M940" s="528"/>
      <c r="N940" s="528"/>
      <c r="O940" s="528"/>
      <c r="P940" s="528"/>
      <c r="Q940" s="434"/>
      <c r="R940" s="434"/>
      <c r="S940" s="434"/>
      <c r="T940" s="434"/>
      <c r="U940" s="434"/>
      <c r="V940" s="434"/>
      <c r="W940" s="434"/>
      <c r="X940" s="434"/>
      <c r="Y940" s="434"/>
      <c r="Z940" s="434"/>
      <c r="AA940" s="434"/>
      <c r="AB940" s="434"/>
      <c r="AC940" s="434"/>
      <c r="AD940" s="434"/>
    </row>
    <row r="941">
      <c r="A941" s="434"/>
      <c r="B941" s="528"/>
      <c r="C941" s="528"/>
      <c r="D941" s="528"/>
      <c r="E941" s="528"/>
      <c r="F941" s="528"/>
      <c r="G941" s="528"/>
      <c r="H941" s="528"/>
      <c r="I941" s="528"/>
      <c r="J941" s="528"/>
      <c r="K941" s="528"/>
      <c r="L941" s="528"/>
      <c r="M941" s="528"/>
      <c r="N941" s="528"/>
      <c r="O941" s="528"/>
      <c r="P941" s="528"/>
      <c r="Q941" s="434"/>
      <c r="R941" s="434"/>
      <c r="S941" s="434"/>
      <c r="T941" s="434"/>
      <c r="U941" s="434"/>
      <c r="V941" s="434"/>
      <c r="W941" s="434"/>
      <c r="X941" s="434"/>
      <c r="Y941" s="434"/>
      <c r="Z941" s="434"/>
      <c r="AA941" s="434"/>
      <c r="AB941" s="434"/>
      <c r="AC941" s="434"/>
      <c r="AD941" s="434"/>
    </row>
    <row r="942">
      <c r="A942" s="434"/>
      <c r="B942" s="528"/>
      <c r="C942" s="528"/>
      <c r="D942" s="528"/>
      <c r="E942" s="528"/>
      <c r="F942" s="528"/>
      <c r="G942" s="528"/>
      <c r="H942" s="528"/>
      <c r="I942" s="528"/>
      <c r="J942" s="528"/>
      <c r="K942" s="528"/>
      <c r="L942" s="528"/>
      <c r="M942" s="528"/>
      <c r="N942" s="528"/>
      <c r="O942" s="528"/>
      <c r="P942" s="528"/>
      <c r="Q942" s="434"/>
      <c r="R942" s="434"/>
      <c r="S942" s="434"/>
      <c r="T942" s="434"/>
      <c r="U942" s="434"/>
      <c r="V942" s="434"/>
      <c r="W942" s="434"/>
      <c r="X942" s="434"/>
      <c r="Y942" s="434"/>
      <c r="Z942" s="434"/>
      <c r="AA942" s="434"/>
      <c r="AB942" s="434"/>
      <c r="AC942" s="434"/>
      <c r="AD942" s="434"/>
    </row>
    <row r="943">
      <c r="A943" s="434"/>
      <c r="B943" s="528"/>
      <c r="C943" s="528"/>
      <c r="D943" s="528"/>
      <c r="E943" s="528"/>
      <c r="F943" s="528"/>
      <c r="G943" s="528"/>
      <c r="H943" s="528"/>
      <c r="I943" s="528"/>
      <c r="J943" s="528"/>
      <c r="K943" s="528"/>
      <c r="L943" s="528"/>
      <c r="M943" s="528"/>
      <c r="N943" s="528"/>
      <c r="O943" s="528"/>
      <c r="P943" s="528"/>
      <c r="Q943" s="434"/>
      <c r="R943" s="434"/>
      <c r="S943" s="434"/>
      <c r="T943" s="434"/>
      <c r="U943" s="434"/>
      <c r="V943" s="434"/>
      <c r="W943" s="434"/>
      <c r="X943" s="434"/>
      <c r="Y943" s="434"/>
      <c r="Z943" s="434"/>
      <c r="AA943" s="434"/>
      <c r="AB943" s="434"/>
      <c r="AC943" s="434"/>
      <c r="AD943" s="434"/>
    </row>
    <row r="944">
      <c r="A944" s="434"/>
      <c r="B944" s="528"/>
      <c r="C944" s="528"/>
      <c r="D944" s="528"/>
      <c r="E944" s="528"/>
      <c r="F944" s="528"/>
      <c r="G944" s="528"/>
      <c r="H944" s="528"/>
      <c r="I944" s="528"/>
      <c r="J944" s="528"/>
      <c r="K944" s="528"/>
      <c r="L944" s="528"/>
      <c r="M944" s="528"/>
      <c r="N944" s="528"/>
      <c r="O944" s="528"/>
      <c r="P944" s="528"/>
      <c r="Q944" s="434"/>
      <c r="R944" s="434"/>
      <c r="S944" s="434"/>
      <c r="T944" s="434"/>
      <c r="U944" s="434"/>
      <c r="V944" s="434"/>
      <c r="W944" s="434"/>
      <c r="X944" s="434"/>
      <c r="Y944" s="434"/>
      <c r="Z944" s="434"/>
      <c r="AA944" s="434"/>
      <c r="AB944" s="434"/>
      <c r="AC944" s="434"/>
      <c r="AD944" s="434"/>
    </row>
    <row r="945">
      <c r="A945" s="434"/>
      <c r="B945" s="528"/>
      <c r="C945" s="528"/>
      <c r="D945" s="528"/>
      <c r="E945" s="528"/>
      <c r="F945" s="528"/>
      <c r="G945" s="528"/>
      <c r="H945" s="528"/>
      <c r="I945" s="528"/>
      <c r="J945" s="528"/>
      <c r="K945" s="528"/>
      <c r="L945" s="528"/>
      <c r="M945" s="528"/>
      <c r="N945" s="528"/>
      <c r="O945" s="528"/>
      <c r="P945" s="528"/>
      <c r="Q945" s="434"/>
      <c r="R945" s="434"/>
      <c r="S945" s="434"/>
      <c r="T945" s="434"/>
      <c r="U945" s="434"/>
      <c r="V945" s="434"/>
      <c r="W945" s="434"/>
      <c r="X945" s="434"/>
      <c r="Y945" s="434"/>
      <c r="Z945" s="434"/>
      <c r="AA945" s="434"/>
      <c r="AB945" s="434"/>
      <c r="AC945" s="434"/>
      <c r="AD945" s="434"/>
    </row>
    <row r="946">
      <c r="A946" s="434"/>
      <c r="B946" s="528"/>
      <c r="C946" s="528"/>
      <c r="D946" s="528"/>
      <c r="E946" s="528"/>
      <c r="F946" s="528"/>
      <c r="G946" s="528"/>
      <c r="H946" s="528"/>
      <c r="I946" s="528"/>
      <c r="J946" s="528"/>
      <c r="K946" s="528"/>
      <c r="L946" s="528"/>
      <c r="M946" s="528"/>
      <c r="N946" s="528"/>
      <c r="O946" s="528"/>
      <c r="P946" s="528"/>
      <c r="Q946" s="434"/>
      <c r="R946" s="434"/>
      <c r="S946" s="434"/>
      <c r="T946" s="434"/>
      <c r="U946" s="434"/>
      <c r="V946" s="434"/>
      <c r="W946" s="434"/>
      <c r="X946" s="434"/>
      <c r="Y946" s="434"/>
      <c r="Z946" s="434"/>
      <c r="AA946" s="434"/>
      <c r="AB946" s="434"/>
      <c r="AC946" s="434"/>
      <c r="AD946" s="434"/>
    </row>
    <row r="947">
      <c r="A947" s="434"/>
      <c r="B947" s="528"/>
      <c r="C947" s="528"/>
      <c r="D947" s="528"/>
      <c r="E947" s="528"/>
      <c r="F947" s="528"/>
      <c r="G947" s="528"/>
      <c r="H947" s="528"/>
      <c r="I947" s="528"/>
      <c r="J947" s="528"/>
      <c r="K947" s="528"/>
      <c r="L947" s="528"/>
      <c r="M947" s="528"/>
      <c r="N947" s="528"/>
      <c r="O947" s="528"/>
      <c r="P947" s="528"/>
      <c r="Q947" s="434"/>
      <c r="R947" s="434"/>
      <c r="S947" s="434"/>
      <c r="T947" s="434"/>
      <c r="U947" s="434"/>
      <c r="V947" s="434"/>
      <c r="W947" s="434"/>
      <c r="X947" s="434"/>
      <c r="Y947" s="434"/>
      <c r="Z947" s="434"/>
      <c r="AA947" s="434"/>
      <c r="AB947" s="434"/>
      <c r="AC947" s="434"/>
      <c r="AD947" s="434"/>
    </row>
    <row r="948">
      <c r="A948" s="434"/>
      <c r="B948" s="528"/>
      <c r="C948" s="528"/>
      <c r="D948" s="528"/>
      <c r="E948" s="528"/>
      <c r="F948" s="528"/>
      <c r="G948" s="528"/>
      <c r="H948" s="528"/>
      <c r="I948" s="528"/>
      <c r="J948" s="528"/>
      <c r="K948" s="528"/>
      <c r="L948" s="528"/>
      <c r="M948" s="528"/>
      <c r="N948" s="528"/>
      <c r="O948" s="528"/>
      <c r="P948" s="528"/>
      <c r="Q948" s="434"/>
      <c r="R948" s="434"/>
      <c r="S948" s="434"/>
      <c r="T948" s="434"/>
      <c r="U948" s="434"/>
      <c r="V948" s="434"/>
      <c r="W948" s="434"/>
      <c r="X948" s="434"/>
      <c r="Y948" s="434"/>
      <c r="Z948" s="434"/>
      <c r="AA948" s="434"/>
      <c r="AB948" s="434"/>
      <c r="AC948" s="434"/>
      <c r="AD948" s="434"/>
    </row>
    <row r="949">
      <c r="A949" s="434"/>
      <c r="B949" s="528"/>
      <c r="C949" s="528"/>
      <c r="D949" s="528"/>
      <c r="E949" s="528"/>
      <c r="F949" s="528"/>
      <c r="G949" s="528"/>
      <c r="H949" s="528"/>
      <c r="I949" s="528"/>
      <c r="J949" s="528"/>
      <c r="K949" s="528"/>
      <c r="L949" s="528"/>
      <c r="M949" s="528"/>
      <c r="N949" s="528"/>
      <c r="O949" s="528"/>
      <c r="P949" s="528"/>
      <c r="Q949" s="434"/>
      <c r="R949" s="434"/>
      <c r="S949" s="434"/>
      <c r="T949" s="434"/>
      <c r="U949" s="434"/>
      <c r="V949" s="434"/>
      <c r="W949" s="434"/>
      <c r="X949" s="434"/>
      <c r="Y949" s="434"/>
      <c r="Z949" s="434"/>
      <c r="AA949" s="434"/>
      <c r="AB949" s="434"/>
      <c r="AC949" s="434"/>
      <c r="AD949" s="434"/>
    </row>
    <row r="950">
      <c r="A950" s="434"/>
      <c r="B950" s="528"/>
      <c r="C950" s="528"/>
      <c r="D950" s="528"/>
      <c r="E950" s="528"/>
      <c r="F950" s="528"/>
      <c r="G950" s="528"/>
      <c r="H950" s="528"/>
      <c r="I950" s="528"/>
      <c r="J950" s="528"/>
      <c r="K950" s="528"/>
      <c r="L950" s="528"/>
      <c r="M950" s="528"/>
      <c r="N950" s="528"/>
      <c r="O950" s="528"/>
      <c r="P950" s="528"/>
      <c r="Q950" s="434"/>
      <c r="R950" s="434"/>
      <c r="S950" s="434"/>
      <c r="T950" s="434"/>
      <c r="U950" s="434"/>
      <c r="V950" s="434"/>
      <c r="W950" s="434"/>
      <c r="X950" s="434"/>
      <c r="Y950" s="434"/>
      <c r="Z950" s="434"/>
      <c r="AA950" s="434"/>
      <c r="AB950" s="434"/>
      <c r="AC950" s="434"/>
      <c r="AD950" s="434"/>
    </row>
    <row r="951">
      <c r="A951" s="434"/>
      <c r="B951" s="528"/>
      <c r="C951" s="528"/>
      <c r="D951" s="528"/>
      <c r="E951" s="528"/>
      <c r="F951" s="528"/>
      <c r="G951" s="528"/>
      <c r="H951" s="528"/>
      <c r="I951" s="528"/>
      <c r="J951" s="528"/>
      <c r="K951" s="528"/>
      <c r="L951" s="528"/>
      <c r="M951" s="528"/>
      <c r="N951" s="528"/>
      <c r="O951" s="528"/>
      <c r="P951" s="528"/>
      <c r="Q951" s="434"/>
      <c r="R951" s="434"/>
      <c r="S951" s="434"/>
      <c r="T951" s="434"/>
      <c r="U951" s="434"/>
      <c r="V951" s="434"/>
      <c r="W951" s="434"/>
      <c r="X951" s="434"/>
      <c r="Y951" s="434"/>
      <c r="Z951" s="434"/>
      <c r="AA951" s="434"/>
      <c r="AB951" s="434"/>
      <c r="AC951" s="434"/>
      <c r="AD951" s="434"/>
    </row>
    <row r="952">
      <c r="A952" s="434"/>
      <c r="B952" s="528"/>
      <c r="C952" s="528"/>
      <c r="D952" s="528"/>
      <c r="E952" s="528"/>
      <c r="F952" s="528"/>
      <c r="G952" s="528"/>
      <c r="H952" s="528"/>
      <c r="I952" s="528"/>
      <c r="J952" s="528"/>
      <c r="K952" s="528"/>
      <c r="L952" s="528"/>
      <c r="M952" s="528"/>
      <c r="N952" s="528"/>
      <c r="O952" s="528"/>
      <c r="P952" s="528"/>
      <c r="Q952" s="434"/>
      <c r="R952" s="434"/>
      <c r="S952" s="434"/>
      <c r="T952" s="434"/>
      <c r="U952" s="434"/>
      <c r="V952" s="434"/>
      <c r="W952" s="434"/>
      <c r="X952" s="434"/>
      <c r="Y952" s="434"/>
      <c r="Z952" s="434"/>
      <c r="AA952" s="434"/>
      <c r="AB952" s="434"/>
      <c r="AC952" s="434"/>
      <c r="AD952" s="434"/>
    </row>
    <row r="953">
      <c r="A953" s="434"/>
      <c r="B953" s="528"/>
      <c r="C953" s="528"/>
      <c r="D953" s="528"/>
      <c r="E953" s="528"/>
      <c r="F953" s="528"/>
      <c r="G953" s="528"/>
      <c r="H953" s="528"/>
      <c r="I953" s="528"/>
      <c r="J953" s="528"/>
      <c r="K953" s="528"/>
      <c r="L953" s="528"/>
      <c r="M953" s="528"/>
      <c r="N953" s="528"/>
      <c r="O953" s="528"/>
      <c r="P953" s="528"/>
      <c r="Q953" s="434"/>
      <c r="R953" s="434"/>
      <c r="S953" s="434"/>
      <c r="T953" s="434"/>
      <c r="U953" s="434"/>
      <c r="V953" s="434"/>
      <c r="W953" s="434"/>
      <c r="X953" s="434"/>
      <c r="Y953" s="434"/>
      <c r="Z953" s="434"/>
      <c r="AA953" s="434"/>
      <c r="AB953" s="434"/>
      <c r="AC953" s="434"/>
      <c r="AD953" s="434"/>
    </row>
    <row r="954">
      <c r="A954" s="434"/>
      <c r="B954" s="528"/>
      <c r="C954" s="528"/>
      <c r="D954" s="528"/>
      <c r="E954" s="528"/>
      <c r="F954" s="528"/>
      <c r="G954" s="528"/>
      <c r="H954" s="528"/>
      <c r="I954" s="528"/>
      <c r="J954" s="528"/>
      <c r="K954" s="528"/>
      <c r="L954" s="528"/>
      <c r="M954" s="528"/>
      <c r="N954" s="528"/>
      <c r="O954" s="528"/>
      <c r="P954" s="528"/>
      <c r="Q954" s="434"/>
      <c r="R954" s="434"/>
      <c r="S954" s="434"/>
      <c r="T954" s="434"/>
      <c r="U954" s="434"/>
      <c r="V954" s="434"/>
      <c r="W954" s="434"/>
      <c r="X954" s="434"/>
      <c r="Y954" s="434"/>
      <c r="Z954" s="434"/>
      <c r="AA954" s="434"/>
      <c r="AB954" s="434"/>
      <c r="AC954" s="434"/>
      <c r="AD954" s="434"/>
    </row>
    <row r="955">
      <c r="A955" s="434"/>
      <c r="B955" s="528"/>
      <c r="C955" s="528"/>
      <c r="D955" s="528"/>
      <c r="E955" s="528"/>
      <c r="F955" s="528"/>
      <c r="G955" s="528"/>
      <c r="H955" s="528"/>
      <c r="I955" s="528"/>
      <c r="J955" s="528"/>
      <c r="K955" s="528"/>
      <c r="L955" s="528"/>
      <c r="M955" s="528"/>
      <c r="N955" s="528"/>
      <c r="O955" s="528"/>
      <c r="P955" s="528"/>
      <c r="Q955" s="434"/>
      <c r="R955" s="434"/>
      <c r="S955" s="434"/>
      <c r="T955" s="434"/>
      <c r="U955" s="434"/>
      <c r="V955" s="434"/>
      <c r="W955" s="434"/>
      <c r="X955" s="434"/>
      <c r="Y955" s="434"/>
      <c r="Z955" s="434"/>
      <c r="AA955" s="434"/>
      <c r="AB955" s="434"/>
      <c r="AC955" s="434"/>
      <c r="AD955" s="434"/>
    </row>
    <row r="956">
      <c r="A956" s="434"/>
      <c r="B956" s="528"/>
      <c r="C956" s="528"/>
      <c r="D956" s="528"/>
      <c r="E956" s="528"/>
      <c r="F956" s="528"/>
      <c r="G956" s="528"/>
      <c r="H956" s="528"/>
      <c r="I956" s="528"/>
      <c r="J956" s="528"/>
      <c r="K956" s="528"/>
      <c r="L956" s="528"/>
      <c r="M956" s="528"/>
      <c r="N956" s="528"/>
      <c r="O956" s="528"/>
      <c r="P956" s="528"/>
      <c r="Q956" s="434"/>
      <c r="R956" s="434"/>
      <c r="S956" s="434"/>
      <c r="T956" s="434"/>
      <c r="U956" s="434"/>
      <c r="V956" s="434"/>
      <c r="W956" s="434"/>
      <c r="X956" s="434"/>
      <c r="Y956" s="434"/>
      <c r="Z956" s="434"/>
      <c r="AA956" s="434"/>
      <c r="AB956" s="434"/>
      <c r="AC956" s="434"/>
      <c r="AD956" s="434"/>
    </row>
    <row r="957">
      <c r="A957" s="434"/>
      <c r="B957" s="528"/>
      <c r="C957" s="528"/>
      <c r="D957" s="528"/>
      <c r="E957" s="528"/>
      <c r="F957" s="528"/>
      <c r="G957" s="528"/>
      <c r="H957" s="528"/>
      <c r="I957" s="528"/>
      <c r="J957" s="528"/>
      <c r="K957" s="528"/>
      <c r="L957" s="528"/>
      <c r="M957" s="528"/>
      <c r="N957" s="528"/>
      <c r="O957" s="528"/>
      <c r="P957" s="528"/>
      <c r="Q957" s="434"/>
      <c r="R957" s="434"/>
      <c r="S957" s="434"/>
      <c r="T957" s="434"/>
      <c r="U957" s="434"/>
      <c r="V957" s="434"/>
      <c r="W957" s="434"/>
      <c r="X957" s="434"/>
      <c r="Y957" s="434"/>
      <c r="Z957" s="434"/>
      <c r="AA957" s="434"/>
      <c r="AB957" s="434"/>
      <c r="AC957" s="434"/>
      <c r="AD957" s="434"/>
    </row>
    <row r="958">
      <c r="A958" s="434"/>
      <c r="B958" s="528"/>
      <c r="C958" s="528"/>
      <c r="D958" s="528"/>
      <c r="E958" s="528"/>
      <c r="F958" s="528"/>
      <c r="G958" s="528"/>
      <c r="H958" s="528"/>
      <c r="I958" s="528"/>
      <c r="J958" s="528"/>
      <c r="K958" s="528"/>
      <c r="L958" s="528"/>
      <c r="M958" s="528"/>
      <c r="N958" s="528"/>
      <c r="O958" s="528"/>
      <c r="P958" s="528"/>
      <c r="Q958" s="434"/>
      <c r="R958" s="434"/>
      <c r="S958" s="434"/>
      <c r="T958" s="434"/>
      <c r="U958" s="434"/>
      <c r="V958" s="434"/>
      <c r="W958" s="434"/>
      <c r="X958" s="434"/>
      <c r="Y958" s="434"/>
      <c r="Z958" s="434"/>
      <c r="AA958" s="434"/>
      <c r="AB958" s="434"/>
      <c r="AC958" s="434"/>
      <c r="AD958" s="434"/>
    </row>
    <row r="959">
      <c r="A959" s="434"/>
      <c r="B959" s="528"/>
      <c r="C959" s="528"/>
      <c r="D959" s="528"/>
      <c r="E959" s="528"/>
      <c r="F959" s="528"/>
      <c r="G959" s="528"/>
      <c r="H959" s="528"/>
      <c r="I959" s="528"/>
      <c r="J959" s="528"/>
      <c r="K959" s="528"/>
      <c r="L959" s="528"/>
      <c r="M959" s="528"/>
      <c r="N959" s="528"/>
      <c r="O959" s="528"/>
      <c r="P959" s="528"/>
      <c r="Q959" s="434"/>
      <c r="R959" s="434"/>
      <c r="S959" s="434"/>
      <c r="T959" s="434"/>
      <c r="U959" s="434"/>
      <c r="V959" s="434"/>
      <c r="W959" s="434"/>
      <c r="X959" s="434"/>
      <c r="Y959" s="434"/>
      <c r="Z959" s="434"/>
      <c r="AA959" s="434"/>
      <c r="AB959" s="434"/>
      <c r="AC959" s="434"/>
      <c r="AD959" s="434"/>
    </row>
    <row r="960">
      <c r="A960" s="434"/>
      <c r="B960" s="528"/>
      <c r="C960" s="528"/>
      <c r="D960" s="528"/>
      <c r="E960" s="528"/>
      <c r="F960" s="528"/>
      <c r="G960" s="528"/>
      <c r="H960" s="528"/>
      <c r="I960" s="528"/>
      <c r="J960" s="528"/>
      <c r="K960" s="528"/>
      <c r="L960" s="528"/>
      <c r="M960" s="528"/>
      <c r="N960" s="528"/>
      <c r="O960" s="528"/>
      <c r="P960" s="528"/>
      <c r="Q960" s="434"/>
      <c r="R960" s="434"/>
      <c r="S960" s="434"/>
      <c r="T960" s="434"/>
      <c r="U960" s="434"/>
      <c r="V960" s="434"/>
      <c r="W960" s="434"/>
      <c r="X960" s="434"/>
      <c r="Y960" s="434"/>
      <c r="Z960" s="434"/>
      <c r="AA960" s="434"/>
      <c r="AB960" s="434"/>
      <c r="AC960" s="434"/>
      <c r="AD960" s="434"/>
    </row>
    <row r="961">
      <c r="A961" s="434"/>
      <c r="B961" s="528"/>
      <c r="C961" s="528"/>
      <c r="D961" s="528"/>
      <c r="E961" s="528"/>
      <c r="F961" s="528"/>
      <c r="G961" s="528"/>
      <c r="H961" s="528"/>
      <c r="I961" s="528"/>
      <c r="J961" s="528"/>
      <c r="K961" s="528"/>
      <c r="L961" s="528"/>
      <c r="M961" s="528"/>
      <c r="N961" s="528"/>
      <c r="O961" s="528"/>
      <c r="P961" s="528"/>
      <c r="Q961" s="434"/>
      <c r="R961" s="434"/>
      <c r="S961" s="434"/>
      <c r="T961" s="434"/>
      <c r="U961" s="434"/>
      <c r="V961" s="434"/>
      <c r="W961" s="434"/>
      <c r="X961" s="434"/>
      <c r="Y961" s="434"/>
      <c r="Z961" s="434"/>
      <c r="AA961" s="434"/>
      <c r="AB961" s="434"/>
      <c r="AC961" s="434"/>
      <c r="AD961" s="434"/>
    </row>
    <row r="962">
      <c r="A962" s="434"/>
      <c r="B962" s="528"/>
      <c r="C962" s="528"/>
      <c r="D962" s="528"/>
      <c r="E962" s="528"/>
      <c r="F962" s="528"/>
      <c r="G962" s="528"/>
      <c r="H962" s="528"/>
      <c r="I962" s="528"/>
      <c r="J962" s="528"/>
      <c r="K962" s="528"/>
      <c r="L962" s="528"/>
      <c r="M962" s="528"/>
      <c r="N962" s="528"/>
      <c r="O962" s="528"/>
      <c r="P962" s="528"/>
      <c r="Q962" s="434"/>
      <c r="R962" s="434"/>
      <c r="S962" s="434"/>
      <c r="T962" s="434"/>
      <c r="U962" s="434"/>
      <c r="V962" s="434"/>
      <c r="W962" s="434"/>
      <c r="X962" s="434"/>
      <c r="Y962" s="434"/>
      <c r="Z962" s="434"/>
      <c r="AA962" s="434"/>
      <c r="AB962" s="434"/>
      <c r="AC962" s="434"/>
      <c r="AD962" s="434"/>
    </row>
    <row r="963">
      <c r="A963" s="434"/>
      <c r="B963" s="528"/>
      <c r="C963" s="528"/>
      <c r="D963" s="528"/>
      <c r="E963" s="528"/>
      <c r="F963" s="528"/>
      <c r="G963" s="528"/>
      <c r="H963" s="528"/>
      <c r="I963" s="528"/>
      <c r="J963" s="528"/>
      <c r="K963" s="528"/>
      <c r="L963" s="528"/>
      <c r="M963" s="528"/>
      <c r="N963" s="528"/>
      <c r="O963" s="528"/>
      <c r="P963" s="528"/>
      <c r="Q963" s="434"/>
      <c r="R963" s="434"/>
      <c r="S963" s="434"/>
      <c r="T963" s="434"/>
      <c r="U963" s="434"/>
      <c r="V963" s="434"/>
      <c r="W963" s="434"/>
      <c r="X963" s="434"/>
      <c r="Y963" s="434"/>
      <c r="Z963" s="434"/>
      <c r="AA963" s="434"/>
      <c r="AB963" s="434"/>
      <c r="AC963" s="434"/>
      <c r="AD963" s="434"/>
    </row>
    <row r="964">
      <c r="A964" s="434"/>
      <c r="B964" s="528"/>
      <c r="C964" s="528"/>
      <c r="D964" s="528"/>
      <c r="E964" s="528"/>
      <c r="F964" s="528"/>
      <c r="G964" s="528"/>
      <c r="H964" s="528"/>
      <c r="I964" s="528"/>
      <c r="J964" s="528"/>
      <c r="K964" s="528"/>
      <c r="L964" s="528"/>
      <c r="M964" s="528"/>
      <c r="N964" s="528"/>
      <c r="O964" s="528"/>
      <c r="P964" s="528"/>
      <c r="Q964" s="434"/>
      <c r="R964" s="434"/>
      <c r="S964" s="434"/>
      <c r="T964" s="434"/>
      <c r="U964" s="434"/>
      <c r="V964" s="434"/>
      <c r="W964" s="434"/>
      <c r="X964" s="434"/>
      <c r="Y964" s="434"/>
      <c r="Z964" s="434"/>
      <c r="AA964" s="434"/>
      <c r="AB964" s="434"/>
      <c r="AC964" s="434"/>
      <c r="AD964" s="434"/>
    </row>
    <row r="965">
      <c r="A965" s="434"/>
      <c r="B965" s="528"/>
      <c r="C965" s="528"/>
      <c r="D965" s="528"/>
      <c r="E965" s="528"/>
      <c r="F965" s="528"/>
      <c r="G965" s="528"/>
      <c r="H965" s="528"/>
      <c r="I965" s="528"/>
      <c r="J965" s="528"/>
      <c r="K965" s="528"/>
      <c r="L965" s="528"/>
      <c r="M965" s="528"/>
      <c r="N965" s="528"/>
      <c r="O965" s="528"/>
      <c r="P965" s="528"/>
      <c r="Q965" s="434"/>
      <c r="R965" s="434"/>
      <c r="S965" s="434"/>
      <c r="T965" s="434"/>
      <c r="U965" s="434"/>
      <c r="V965" s="434"/>
      <c r="W965" s="434"/>
      <c r="X965" s="434"/>
      <c r="Y965" s="434"/>
      <c r="Z965" s="434"/>
      <c r="AA965" s="434"/>
      <c r="AB965" s="434"/>
      <c r="AC965" s="434"/>
      <c r="AD965" s="434"/>
    </row>
    <row r="966">
      <c r="A966" s="434"/>
      <c r="B966" s="528"/>
      <c r="C966" s="528"/>
      <c r="D966" s="528"/>
      <c r="E966" s="528"/>
      <c r="F966" s="528"/>
      <c r="G966" s="528"/>
      <c r="H966" s="528"/>
      <c r="I966" s="528"/>
      <c r="J966" s="528"/>
      <c r="K966" s="528"/>
      <c r="L966" s="528"/>
      <c r="M966" s="528"/>
      <c r="N966" s="528"/>
      <c r="O966" s="528"/>
      <c r="P966" s="528"/>
      <c r="Q966" s="434"/>
      <c r="R966" s="434"/>
      <c r="S966" s="434"/>
      <c r="T966" s="434"/>
      <c r="U966" s="434"/>
      <c r="V966" s="434"/>
      <c r="W966" s="434"/>
      <c r="X966" s="434"/>
      <c r="Y966" s="434"/>
      <c r="Z966" s="434"/>
      <c r="AA966" s="434"/>
      <c r="AB966" s="434"/>
      <c r="AC966" s="434"/>
      <c r="AD966" s="434"/>
    </row>
    <row r="967">
      <c r="A967" s="434"/>
      <c r="B967" s="528"/>
      <c r="C967" s="528"/>
      <c r="D967" s="528"/>
      <c r="E967" s="528"/>
      <c r="F967" s="528"/>
      <c r="G967" s="528"/>
      <c r="H967" s="528"/>
      <c r="I967" s="528"/>
      <c r="J967" s="528"/>
      <c r="K967" s="528"/>
      <c r="L967" s="528"/>
      <c r="M967" s="528"/>
      <c r="N967" s="528"/>
      <c r="O967" s="528"/>
      <c r="P967" s="528"/>
      <c r="Q967" s="434"/>
      <c r="R967" s="434"/>
      <c r="S967" s="434"/>
      <c r="T967" s="434"/>
      <c r="U967" s="434"/>
      <c r="V967" s="434"/>
      <c r="W967" s="434"/>
      <c r="X967" s="434"/>
      <c r="Y967" s="434"/>
      <c r="Z967" s="434"/>
      <c r="AA967" s="434"/>
      <c r="AB967" s="434"/>
      <c r="AC967" s="434"/>
      <c r="AD967" s="434"/>
    </row>
    <row r="968">
      <c r="A968" s="434"/>
      <c r="B968" s="528"/>
      <c r="C968" s="528"/>
      <c r="D968" s="528"/>
      <c r="E968" s="528"/>
      <c r="F968" s="528"/>
      <c r="G968" s="528"/>
      <c r="H968" s="528"/>
      <c r="I968" s="528"/>
      <c r="J968" s="528"/>
      <c r="K968" s="528"/>
      <c r="L968" s="528"/>
      <c r="M968" s="528"/>
      <c r="N968" s="528"/>
      <c r="O968" s="528"/>
      <c r="P968" s="528"/>
      <c r="Q968" s="434"/>
      <c r="R968" s="434"/>
      <c r="S968" s="434"/>
      <c r="T968" s="434"/>
      <c r="U968" s="434"/>
      <c r="V968" s="434"/>
      <c r="W968" s="434"/>
      <c r="X968" s="434"/>
      <c r="Y968" s="434"/>
      <c r="Z968" s="434"/>
      <c r="AA968" s="434"/>
      <c r="AB968" s="434"/>
      <c r="AC968" s="434"/>
      <c r="AD968" s="434"/>
    </row>
    <row r="969">
      <c r="A969" s="434"/>
      <c r="B969" s="528"/>
      <c r="C969" s="528"/>
      <c r="D969" s="528"/>
      <c r="E969" s="528"/>
      <c r="F969" s="528"/>
      <c r="G969" s="528"/>
      <c r="H969" s="528"/>
      <c r="I969" s="528"/>
      <c r="J969" s="528"/>
      <c r="K969" s="528"/>
      <c r="L969" s="528"/>
      <c r="M969" s="528"/>
      <c r="N969" s="528"/>
      <c r="O969" s="528"/>
      <c r="P969" s="528"/>
      <c r="Q969" s="434"/>
      <c r="R969" s="434"/>
      <c r="S969" s="434"/>
      <c r="T969" s="434"/>
      <c r="U969" s="434"/>
      <c r="V969" s="434"/>
      <c r="W969" s="434"/>
      <c r="X969" s="434"/>
      <c r="Y969" s="434"/>
      <c r="Z969" s="434"/>
      <c r="AA969" s="434"/>
      <c r="AB969" s="434"/>
      <c r="AC969" s="434"/>
      <c r="AD969" s="434"/>
    </row>
    <row r="970">
      <c r="A970" s="434"/>
      <c r="B970" s="528"/>
      <c r="C970" s="528"/>
      <c r="D970" s="528"/>
      <c r="E970" s="528"/>
      <c r="F970" s="528"/>
      <c r="G970" s="528"/>
      <c r="H970" s="528"/>
      <c r="I970" s="528"/>
      <c r="J970" s="528"/>
      <c r="K970" s="528"/>
      <c r="L970" s="528"/>
      <c r="M970" s="528"/>
      <c r="N970" s="528"/>
      <c r="O970" s="528"/>
      <c r="P970" s="528"/>
      <c r="Q970" s="434"/>
      <c r="R970" s="434"/>
      <c r="S970" s="434"/>
      <c r="T970" s="434"/>
      <c r="U970" s="434"/>
      <c r="V970" s="434"/>
      <c r="W970" s="434"/>
      <c r="X970" s="434"/>
      <c r="Y970" s="434"/>
      <c r="Z970" s="434"/>
      <c r="AA970" s="434"/>
      <c r="AB970" s="434"/>
      <c r="AC970" s="434"/>
      <c r="AD970" s="434"/>
    </row>
    <row r="971">
      <c r="A971" s="434"/>
      <c r="B971" s="528"/>
      <c r="C971" s="528"/>
      <c r="D971" s="528"/>
      <c r="E971" s="528"/>
      <c r="F971" s="528"/>
      <c r="G971" s="528"/>
      <c r="H971" s="528"/>
      <c r="I971" s="528"/>
      <c r="J971" s="528"/>
      <c r="K971" s="528"/>
      <c r="L971" s="528"/>
      <c r="M971" s="528"/>
      <c r="N971" s="528"/>
      <c r="O971" s="528"/>
      <c r="P971" s="528"/>
      <c r="Q971" s="434"/>
      <c r="R971" s="434"/>
      <c r="S971" s="434"/>
      <c r="T971" s="434"/>
      <c r="U971" s="434"/>
      <c r="V971" s="434"/>
      <c r="W971" s="434"/>
      <c r="X971" s="434"/>
      <c r="Y971" s="434"/>
      <c r="Z971" s="434"/>
      <c r="AA971" s="434"/>
      <c r="AB971" s="434"/>
      <c r="AC971" s="434"/>
      <c r="AD971" s="434"/>
    </row>
    <row r="972">
      <c r="A972" s="434"/>
      <c r="B972" s="528"/>
      <c r="C972" s="528"/>
      <c r="D972" s="528"/>
      <c r="E972" s="528"/>
      <c r="F972" s="528"/>
      <c r="G972" s="528"/>
      <c r="H972" s="528"/>
      <c r="I972" s="528"/>
      <c r="J972" s="528"/>
      <c r="K972" s="528"/>
      <c r="L972" s="528"/>
      <c r="M972" s="528"/>
      <c r="N972" s="528"/>
      <c r="O972" s="528"/>
      <c r="P972" s="528"/>
      <c r="Q972" s="434"/>
      <c r="R972" s="434"/>
      <c r="S972" s="434"/>
      <c r="T972" s="434"/>
      <c r="U972" s="434"/>
      <c r="V972" s="434"/>
      <c r="W972" s="434"/>
      <c r="X972" s="434"/>
      <c r="Y972" s="434"/>
      <c r="Z972" s="434"/>
      <c r="AA972" s="434"/>
      <c r="AB972" s="434"/>
      <c r="AC972" s="434"/>
      <c r="AD972" s="434"/>
    </row>
    <row r="973">
      <c r="A973" s="434"/>
      <c r="B973" s="528"/>
      <c r="C973" s="528"/>
      <c r="D973" s="528"/>
      <c r="E973" s="528"/>
      <c r="F973" s="528"/>
      <c r="G973" s="528"/>
      <c r="H973" s="528"/>
      <c r="I973" s="528"/>
      <c r="J973" s="528"/>
      <c r="K973" s="528"/>
      <c r="L973" s="528"/>
      <c r="M973" s="528"/>
      <c r="N973" s="528"/>
      <c r="O973" s="528"/>
      <c r="P973" s="528"/>
      <c r="Q973" s="434"/>
      <c r="R973" s="434"/>
      <c r="S973" s="434"/>
      <c r="T973" s="434"/>
      <c r="U973" s="434"/>
      <c r="V973" s="434"/>
      <c r="W973" s="434"/>
      <c r="X973" s="434"/>
      <c r="Y973" s="434"/>
      <c r="Z973" s="434"/>
      <c r="AA973" s="434"/>
      <c r="AB973" s="434"/>
      <c r="AC973" s="434"/>
      <c r="AD973" s="434"/>
    </row>
    <row r="974">
      <c r="A974" s="434"/>
      <c r="B974" s="528"/>
      <c r="C974" s="528"/>
      <c r="D974" s="528"/>
      <c r="E974" s="528"/>
      <c r="F974" s="528"/>
      <c r="G974" s="528"/>
      <c r="H974" s="528"/>
      <c r="I974" s="528"/>
      <c r="J974" s="528"/>
      <c r="K974" s="528"/>
      <c r="L974" s="528"/>
      <c r="M974" s="528"/>
      <c r="N974" s="528"/>
      <c r="O974" s="528"/>
      <c r="P974" s="528"/>
      <c r="Q974" s="434"/>
      <c r="R974" s="434"/>
      <c r="S974" s="434"/>
      <c r="T974" s="434"/>
      <c r="U974" s="434"/>
      <c r="V974" s="434"/>
      <c r="W974" s="434"/>
      <c r="X974" s="434"/>
      <c r="Y974" s="434"/>
      <c r="Z974" s="434"/>
      <c r="AA974" s="434"/>
      <c r="AB974" s="434"/>
      <c r="AC974" s="434"/>
      <c r="AD974" s="434"/>
    </row>
    <row r="975">
      <c r="A975" s="434"/>
      <c r="B975" s="528"/>
      <c r="C975" s="528"/>
      <c r="D975" s="528"/>
      <c r="E975" s="528"/>
      <c r="F975" s="528"/>
      <c r="G975" s="528"/>
      <c r="H975" s="528"/>
      <c r="I975" s="528"/>
      <c r="J975" s="528"/>
      <c r="K975" s="528"/>
      <c r="L975" s="528"/>
      <c r="M975" s="528"/>
      <c r="N975" s="528"/>
      <c r="O975" s="528"/>
      <c r="P975" s="528"/>
      <c r="Q975" s="434"/>
      <c r="R975" s="434"/>
      <c r="S975" s="434"/>
      <c r="T975" s="434"/>
      <c r="U975" s="434"/>
      <c r="V975" s="434"/>
      <c r="W975" s="434"/>
      <c r="X975" s="434"/>
      <c r="Y975" s="434"/>
      <c r="Z975" s="434"/>
      <c r="AA975" s="434"/>
      <c r="AB975" s="434"/>
      <c r="AC975" s="434"/>
      <c r="AD975" s="434"/>
    </row>
    <row r="976">
      <c r="A976" s="434"/>
      <c r="B976" s="528"/>
      <c r="C976" s="528"/>
      <c r="D976" s="528"/>
      <c r="E976" s="528"/>
      <c r="F976" s="528"/>
      <c r="G976" s="528"/>
      <c r="H976" s="528"/>
      <c r="I976" s="528"/>
      <c r="J976" s="528"/>
      <c r="K976" s="528"/>
      <c r="L976" s="528"/>
      <c r="M976" s="528"/>
      <c r="N976" s="528"/>
      <c r="O976" s="528"/>
      <c r="P976" s="528"/>
      <c r="Q976" s="434"/>
      <c r="R976" s="434"/>
      <c r="S976" s="434"/>
      <c r="T976" s="434"/>
      <c r="U976" s="434"/>
      <c r="V976" s="434"/>
      <c r="W976" s="434"/>
      <c r="X976" s="434"/>
      <c r="Y976" s="434"/>
      <c r="Z976" s="434"/>
      <c r="AA976" s="434"/>
      <c r="AB976" s="434"/>
      <c r="AC976" s="434"/>
      <c r="AD976" s="434"/>
    </row>
    <row r="977">
      <c r="A977" s="434"/>
      <c r="B977" s="528"/>
      <c r="C977" s="528"/>
      <c r="D977" s="528"/>
      <c r="E977" s="528"/>
      <c r="F977" s="528"/>
      <c r="G977" s="528"/>
      <c r="H977" s="528"/>
      <c r="I977" s="528"/>
      <c r="J977" s="528"/>
      <c r="K977" s="528"/>
      <c r="L977" s="528"/>
      <c r="M977" s="528"/>
      <c r="N977" s="528"/>
      <c r="O977" s="528"/>
      <c r="P977" s="528"/>
      <c r="Q977" s="434"/>
      <c r="R977" s="434"/>
      <c r="S977" s="434"/>
      <c r="T977" s="434"/>
      <c r="U977" s="434"/>
      <c r="V977" s="434"/>
      <c r="W977" s="434"/>
      <c r="X977" s="434"/>
      <c r="Y977" s="434"/>
      <c r="Z977" s="434"/>
      <c r="AA977" s="434"/>
      <c r="AB977" s="434"/>
      <c r="AC977" s="434"/>
      <c r="AD977" s="434"/>
    </row>
    <row r="978">
      <c r="A978" s="434"/>
      <c r="B978" s="528"/>
      <c r="C978" s="528"/>
      <c r="D978" s="528"/>
      <c r="E978" s="528"/>
      <c r="F978" s="528"/>
      <c r="G978" s="528"/>
      <c r="H978" s="528"/>
      <c r="I978" s="528"/>
      <c r="J978" s="528"/>
      <c r="K978" s="528"/>
      <c r="L978" s="528"/>
      <c r="M978" s="528"/>
      <c r="N978" s="528"/>
      <c r="O978" s="528"/>
      <c r="P978" s="528"/>
      <c r="Q978" s="434"/>
      <c r="R978" s="434"/>
      <c r="S978" s="434"/>
      <c r="T978" s="434"/>
      <c r="U978" s="434"/>
      <c r="V978" s="434"/>
      <c r="W978" s="434"/>
      <c r="X978" s="434"/>
      <c r="Y978" s="434"/>
      <c r="Z978" s="434"/>
      <c r="AA978" s="434"/>
      <c r="AB978" s="434"/>
      <c r="AC978" s="434"/>
      <c r="AD978" s="434"/>
    </row>
    <row r="979">
      <c r="A979" s="434"/>
      <c r="B979" s="528"/>
      <c r="C979" s="528"/>
      <c r="D979" s="528"/>
      <c r="E979" s="528"/>
      <c r="F979" s="528"/>
      <c r="G979" s="528"/>
      <c r="H979" s="528"/>
      <c r="I979" s="528"/>
      <c r="J979" s="528"/>
      <c r="K979" s="528"/>
      <c r="L979" s="528"/>
      <c r="M979" s="528"/>
      <c r="N979" s="528"/>
      <c r="O979" s="528"/>
      <c r="P979" s="528"/>
      <c r="Q979" s="434"/>
      <c r="R979" s="434"/>
      <c r="S979" s="434"/>
      <c r="T979" s="434"/>
      <c r="U979" s="434"/>
      <c r="V979" s="434"/>
      <c r="W979" s="434"/>
      <c r="X979" s="434"/>
      <c r="Y979" s="434"/>
      <c r="Z979" s="434"/>
      <c r="AA979" s="434"/>
      <c r="AB979" s="434"/>
      <c r="AC979" s="434"/>
      <c r="AD979" s="434"/>
    </row>
    <row r="980">
      <c r="A980" s="434"/>
      <c r="B980" s="528"/>
      <c r="C980" s="528"/>
      <c r="D980" s="528"/>
      <c r="E980" s="528"/>
      <c r="F980" s="528"/>
      <c r="G980" s="528"/>
      <c r="H980" s="528"/>
      <c r="I980" s="528"/>
      <c r="J980" s="528"/>
      <c r="K980" s="528"/>
      <c r="L980" s="528"/>
      <c r="M980" s="528"/>
      <c r="N980" s="528"/>
      <c r="O980" s="528"/>
      <c r="P980" s="528"/>
      <c r="Q980" s="434"/>
      <c r="R980" s="434"/>
      <c r="S980" s="434"/>
      <c r="T980" s="434"/>
      <c r="U980" s="434"/>
      <c r="V980" s="434"/>
      <c r="W980" s="434"/>
      <c r="X980" s="434"/>
      <c r="Y980" s="434"/>
      <c r="Z980" s="434"/>
      <c r="AA980" s="434"/>
      <c r="AB980" s="434"/>
      <c r="AC980" s="434"/>
      <c r="AD980" s="434"/>
    </row>
    <row r="981">
      <c r="A981" s="434"/>
      <c r="B981" s="528"/>
      <c r="C981" s="528"/>
      <c r="D981" s="528"/>
      <c r="E981" s="528"/>
      <c r="F981" s="528"/>
      <c r="G981" s="528"/>
      <c r="H981" s="528"/>
      <c r="I981" s="528"/>
      <c r="J981" s="528"/>
      <c r="K981" s="528"/>
      <c r="L981" s="528"/>
      <c r="M981" s="528"/>
      <c r="N981" s="528"/>
      <c r="O981" s="528"/>
      <c r="P981" s="528"/>
      <c r="Q981" s="434"/>
      <c r="R981" s="434"/>
      <c r="S981" s="434"/>
      <c r="T981" s="434"/>
      <c r="U981" s="434"/>
      <c r="V981" s="434"/>
      <c r="W981" s="434"/>
      <c r="X981" s="434"/>
      <c r="Y981" s="434"/>
      <c r="Z981" s="434"/>
      <c r="AA981" s="434"/>
      <c r="AB981" s="434"/>
      <c r="AC981" s="434"/>
      <c r="AD981" s="434"/>
    </row>
    <row r="982">
      <c r="A982" s="434"/>
      <c r="B982" s="528"/>
      <c r="C982" s="528"/>
      <c r="D982" s="528"/>
      <c r="E982" s="528"/>
      <c r="F982" s="528"/>
      <c r="G982" s="528"/>
      <c r="H982" s="528"/>
      <c r="I982" s="528"/>
      <c r="J982" s="528"/>
      <c r="K982" s="528"/>
      <c r="L982" s="528"/>
      <c r="M982" s="528"/>
      <c r="N982" s="528"/>
      <c r="O982" s="528"/>
      <c r="P982" s="528"/>
      <c r="Q982" s="434"/>
      <c r="R982" s="434"/>
      <c r="S982" s="434"/>
      <c r="T982" s="434"/>
      <c r="U982" s="434"/>
      <c r="V982" s="434"/>
      <c r="W982" s="434"/>
      <c r="X982" s="434"/>
      <c r="Y982" s="434"/>
      <c r="Z982" s="434"/>
      <c r="AA982" s="434"/>
      <c r="AB982" s="434"/>
      <c r="AC982" s="434"/>
      <c r="AD982" s="434"/>
    </row>
    <row r="983">
      <c r="A983" s="434"/>
      <c r="B983" s="528"/>
      <c r="C983" s="528"/>
      <c r="D983" s="528"/>
      <c r="E983" s="528"/>
      <c r="F983" s="528"/>
      <c r="G983" s="528"/>
      <c r="H983" s="528"/>
      <c r="I983" s="528"/>
      <c r="J983" s="528"/>
      <c r="K983" s="528"/>
      <c r="L983" s="528"/>
      <c r="M983" s="528"/>
      <c r="N983" s="528"/>
      <c r="O983" s="528"/>
      <c r="P983" s="528"/>
      <c r="Q983" s="434"/>
      <c r="R983" s="434"/>
      <c r="S983" s="434"/>
      <c r="T983" s="434"/>
      <c r="U983" s="434"/>
      <c r="V983" s="434"/>
      <c r="W983" s="434"/>
      <c r="X983" s="434"/>
      <c r="Y983" s="434"/>
      <c r="Z983" s="434"/>
      <c r="AA983" s="434"/>
      <c r="AB983" s="434"/>
      <c r="AC983" s="434"/>
      <c r="AD983" s="434"/>
    </row>
    <row r="984">
      <c r="A984" s="434"/>
      <c r="B984" s="528"/>
      <c r="C984" s="528"/>
      <c r="D984" s="528"/>
      <c r="E984" s="528"/>
      <c r="F984" s="528"/>
      <c r="G984" s="528"/>
      <c r="H984" s="528"/>
      <c r="I984" s="528"/>
      <c r="J984" s="528"/>
      <c r="K984" s="528"/>
      <c r="L984" s="528"/>
      <c r="M984" s="528"/>
      <c r="N984" s="528"/>
      <c r="O984" s="528"/>
      <c r="P984" s="528"/>
      <c r="Q984" s="434"/>
      <c r="R984" s="434"/>
      <c r="S984" s="434"/>
      <c r="T984" s="434"/>
      <c r="U984" s="434"/>
      <c r="V984" s="434"/>
      <c r="W984" s="434"/>
      <c r="X984" s="434"/>
      <c r="Y984" s="434"/>
      <c r="Z984" s="434"/>
      <c r="AA984" s="434"/>
      <c r="AB984" s="434"/>
      <c r="AC984" s="434"/>
      <c r="AD984" s="434"/>
    </row>
    <row r="985">
      <c r="A985" s="434"/>
      <c r="B985" s="528"/>
      <c r="C985" s="528"/>
      <c r="D985" s="528"/>
      <c r="E985" s="528"/>
      <c r="F985" s="528"/>
      <c r="G985" s="528"/>
      <c r="H985" s="528"/>
      <c r="I985" s="528"/>
      <c r="J985" s="528"/>
      <c r="K985" s="528"/>
      <c r="L985" s="528"/>
      <c r="M985" s="528"/>
      <c r="N985" s="528"/>
      <c r="O985" s="528"/>
      <c r="P985" s="528"/>
      <c r="Q985" s="434"/>
      <c r="R985" s="434"/>
      <c r="S985" s="434"/>
      <c r="T985" s="434"/>
      <c r="U985" s="434"/>
      <c r="V985" s="434"/>
      <c r="W985" s="434"/>
      <c r="X985" s="434"/>
      <c r="Y985" s="434"/>
      <c r="Z985" s="434"/>
      <c r="AA985" s="434"/>
      <c r="AB985" s="434"/>
      <c r="AC985" s="434"/>
      <c r="AD985" s="434"/>
    </row>
    <row r="986">
      <c r="A986" s="434"/>
      <c r="B986" s="528"/>
      <c r="C986" s="528"/>
      <c r="D986" s="528"/>
      <c r="E986" s="528"/>
      <c r="F986" s="528"/>
      <c r="G986" s="528"/>
      <c r="H986" s="528"/>
      <c r="I986" s="528"/>
      <c r="J986" s="528"/>
      <c r="K986" s="528"/>
      <c r="L986" s="528"/>
      <c r="M986" s="528"/>
      <c r="N986" s="528"/>
      <c r="O986" s="528"/>
      <c r="P986" s="528"/>
      <c r="Q986" s="434"/>
      <c r="R986" s="434"/>
      <c r="S986" s="434"/>
      <c r="T986" s="434"/>
      <c r="U986" s="434"/>
      <c r="V986" s="434"/>
      <c r="W986" s="434"/>
      <c r="X986" s="434"/>
      <c r="Y986" s="434"/>
      <c r="Z986" s="434"/>
      <c r="AA986" s="434"/>
      <c r="AB986" s="434"/>
      <c r="AC986" s="434"/>
      <c r="AD986" s="434"/>
    </row>
    <row r="987">
      <c r="A987" s="434"/>
      <c r="B987" s="528"/>
      <c r="C987" s="528"/>
      <c r="D987" s="528"/>
      <c r="E987" s="528"/>
      <c r="F987" s="528"/>
      <c r="G987" s="528"/>
      <c r="H987" s="528"/>
      <c r="I987" s="528"/>
      <c r="J987" s="528"/>
      <c r="K987" s="528"/>
      <c r="L987" s="528"/>
      <c r="M987" s="528"/>
      <c r="N987" s="528"/>
      <c r="O987" s="528"/>
      <c r="P987" s="528"/>
      <c r="Q987" s="434"/>
      <c r="R987" s="434"/>
      <c r="S987" s="434"/>
      <c r="T987" s="434"/>
      <c r="U987" s="434"/>
      <c r="V987" s="434"/>
      <c r="W987" s="434"/>
      <c r="X987" s="434"/>
      <c r="Y987" s="434"/>
      <c r="Z987" s="434"/>
      <c r="AA987" s="434"/>
      <c r="AB987" s="434"/>
      <c r="AC987" s="434"/>
      <c r="AD987" s="434"/>
    </row>
    <row r="988">
      <c r="A988" s="434"/>
      <c r="B988" s="528"/>
      <c r="C988" s="528"/>
      <c r="D988" s="528"/>
      <c r="E988" s="528"/>
      <c r="F988" s="528"/>
      <c r="G988" s="528"/>
      <c r="H988" s="528"/>
      <c r="I988" s="528"/>
      <c r="J988" s="528"/>
      <c r="K988" s="528"/>
      <c r="L988" s="528"/>
      <c r="M988" s="528"/>
      <c r="N988" s="528"/>
      <c r="O988" s="528"/>
      <c r="P988" s="528"/>
      <c r="Q988" s="434"/>
      <c r="R988" s="434"/>
      <c r="S988" s="434"/>
      <c r="T988" s="434"/>
      <c r="U988" s="434"/>
      <c r="V988" s="434"/>
      <c r="W988" s="434"/>
      <c r="X988" s="434"/>
      <c r="Y988" s="434"/>
      <c r="Z988" s="434"/>
      <c r="AA988" s="434"/>
      <c r="AB988" s="434"/>
      <c r="AC988" s="434"/>
      <c r="AD988" s="434"/>
    </row>
    <row r="989">
      <c r="A989" s="434"/>
      <c r="B989" s="528"/>
      <c r="C989" s="528"/>
      <c r="D989" s="528"/>
      <c r="E989" s="528"/>
      <c r="F989" s="528"/>
      <c r="G989" s="528"/>
      <c r="H989" s="528"/>
      <c r="I989" s="528"/>
      <c r="J989" s="528"/>
      <c r="K989" s="528"/>
      <c r="L989" s="528"/>
      <c r="M989" s="528"/>
      <c r="N989" s="528"/>
      <c r="O989" s="528"/>
      <c r="P989" s="528"/>
      <c r="Q989" s="434"/>
      <c r="R989" s="434"/>
      <c r="S989" s="434"/>
      <c r="T989" s="434"/>
      <c r="U989" s="434"/>
      <c r="V989" s="434"/>
      <c r="W989" s="434"/>
      <c r="X989" s="434"/>
      <c r="Y989" s="434"/>
      <c r="Z989" s="434"/>
      <c r="AA989" s="434"/>
      <c r="AB989" s="434"/>
      <c r="AC989" s="434"/>
      <c r="AD989" s="434"/>
    </row>
    <row r="990">
      <c r="A990" s="434"/>
      <c r="B990" s="528"/>
      <c r="C990" s="528"/>
      <c r="D990" s="528"/>
      <c r="E990" s="528"/>
      <c r="F990" s="528"/>
      <c r="G990" s="528"/>
      <c r="H990" s="528"/>
      <c r="I990" s="528"/>
      <c r="J990" s="528"/>
      <c r="K990" s="528"/>
      <c r="L990" s="528"/>
      <c r="M990" s="528"/>
      <c r="N990" s="528"/>
      <c r="O990" s="528"/>
      <c r="P990" s="528"/>
      <c r="Q990" s="434"/>
      <c r="R990" s="434"/>
      <c r="S990" s="434"/>
      <c r="T990" s="434"/>
      <c r="U990" s="434"/>
      <c r="V990" s="434"/>
      <c r="W990" s="434"/>
      <c r="X990" s="434"/>
      <c r="Y990" s="434"/>
      <c r="Z990" s="434"/>
      <c r="AA990" s="434"/>
      <c r="AB990" s="434"/>
      <c r="AC990" s="434"/>
      <c r="AD990" s="434"/>
    </row>
    <row r="991">
      <c r="A991" s="434"/>
      <c r="B991" s="528"/>
      <c r="C991" s="528"/>
      <c r="D991" s="528"/>
      <c r="E991" s="528"/>
      <c r="F991" s="528"/>
      <c r="G991" s="528"/>
      <c r="H991" s="528"/>
      <c r="I991" s="528"/>
      <c r="J991" s="528"/>
      <c r="K991" s="528"/>
      <c r="L991" s="528"/>
      <c r="M991" s="528"/>
      <c r="N991" s="528"/>
      <c r="O991" s="528"/>
      <c r="P991" s="528"/>
      <c r="Q991" s="434"/>
      <c r="R991" s="434"/>
      <c r="S991" s="434"/>
      <c r="T991" s="434"/>
      <c r="U991" s="434"/>
      <c r="V991" s="434"/>
      <c r="W991" s="434"/>
      <c r="X991" s="434"/>
      <c r="Y991" s="434"/>
      <c r="Z991" s="434"/>
      <c r="AA991" s="434"/>
      <c r="AB991" s="434"/>
      <c r="AC991" s="434"/>
      <c r="AD991" s="434"/>
    </row>
    <row r="992">
      <c r="A992" s="434"/>
      <c r="B992" s="528"/>
      <c r="C992" s="528"/>
      <c r="D992" s="528"/>
      <c r="E992" s="528"/>
      <c r="F992" s="528"/>
      <c r="G992" s="528"/>
      <c r="H992" s="528"/>
      <c r="I992" s="528"/>
      <c r="J992" s="528"/>
      <c r="K992" s="528"/>
      <c r="L992" s="528"/>
      <c r="M992" s="528"/>
      <c r="N992" s="528"/>
      <c r="O992" s="528"/>
      <c r="P992" s="528"/>
      <c r="Q992" s="434"/>
      <c r="R992" s="434"/>
      <c r="S992" s="434"/>
      <c r="T992" s="434"/>
      <c r="U992" s="434"/>
      <c r="V992" s="434"/>
      <c r="W992" s="434"/>
      <c r="X992" s="434"/>
      <c r="Y992" s="434"/>
      <c r="Z992" s="434"/>
      <c r="AA992" s="434"/>
      <c r="AB992" s="434"/>
      <c r="AC992" s="434"/>
      <c r="AD992" s="434"/>
    </row>
    <row r="993">
      <c r="A993" s="434"/>
      <c r="B993" s="528"/>
      <c r="C993" s="528"/>
      <c r="D993" s="528"/>
      <c r="E993" s="528"/>
      <c r="F993" s="528"/>
      <c r="G993" s="528"/>
      <c r="H993" s="528"/>
      <c r="I993" s="528"/>
      <c r="J993" s="528"/>
      <c r="K993" s="528"/>
      <c r="L993" s="528"/>
      <c r="M993" s="528"/>
      <c r="N993" s="528"/>
      <c r="O993" s="528"/>
      <c r="P993" s="528"/>
      <c r="Q993" s="434"/>
      <c r="R993" s="434"/>
      <c r="S993" s="434"/>
      <c r="T993" s="434"/>
      <c r="U993" s="434"/>
      <c r="V993" s="434"/>
      <c r="W993" s="434"/>
      <c r="X993" s="434"/>
      <c r="Y993" s="434"/>
      <c r="Z993" s="434"/>
      <c r="AA993" s="434"/>
      <c r="AB993" s="434"/>
      <c r="AC993" s="434"/>
      <c r="AD993" s="434"/>
    </row>
    <row r="994">
      <c r="A994" s="434"/>
      <c r="B994" s="528"/>
      <c r="C994" s="528"/>
      <c r="D994" s="528"/>
      <c r="E994" s="528"/>
      <c r="F994" s="528"/>
      <c r="G994" s="528"/>
      <c r="H994" s="528"/>
      <c r="I994" s="528"/>
      <c r="J994" s="528"/>
      <c r="K994" s="528"/>
      <c r="L994" s="528"/>
      <c r="M994" s="528"/>
      <c r="N994" s="528"/>
      <c r="O994" s="528"/>
      <c r="P994" s="528"/>
      <c r="Q994" s="434"/>
      <c r="R994" s="434"/>
      <c r="S994" s="434"/>
      <c r="T994" s="434"/>
      <c r="U994" s="434"/>
      <c r="V994" s="434"/>
      <c r="W994" s="434"/>
      <c r="X994" s="434"/>
      <c r="Y994" s="434"/>
      <c r="Z994" s="434"/>
      <c r="AA994" s="434"/>
      <c r="AB994" s="434"/>
      <c r="AC994" s="434"/>
      <c r="AD994" s="434"/>
    </row>
    <row r="995">
      <c r="A995" s="434"/>
      <c r="B995" s="528"/>
      <c r="C995" s="528"/>
      <c r="D995" s="528"/>
      <c r="E995" s="528"/>
      <c r="F995" s="528"/>
      <c r="G995" s="528"/>
      <c r="H995" s="528"/>
      <c r="I995" s="528"/>
      <c r="J995" s="528"/>
      <c r="K995" s="528"/>
      <c r="L995" s="528"/>
      <c r="M995" s="528"/>
      <c r="N995" s="528"/>
      <c r="O995" s="528"/>
      <c r="P995" s="528"/>
      <c r="Q995" s="434"/>
      <c r="R995" s="434"/>
      <c r="S995" s="434"/>
      <c r="T995" s="434"/>
      <c r="U995" s="434"/>
      <c r="V995" s="434"/>
      <c r="W995" s="434"/>
      <c r="X995" s="434"/>
      <c r="Y995" s="434"/>
      <c r="Z995" s="434"/>
      <c r="AA995" s="434"/>
      <c r="AB995" s="434"/>
      <c r="AC995" s="434"/>
      <c r="AD995" s="434"/>
    </row>
    <row r="996">
      <c r="A996" s="434"/>
      <c r="B996" s="528"/>
      <c r="C996" s="528"/>
      <c r="D996" s="528"/>
      <c r="E996" s="528"/>
      <c r="F996" s="528"/>
      <c r="G996" s="528"/>
      <c r="H996" s="528"/>
      <c r="I996" s="528"/>
      <c r="J996" s="528"/>
      <c r="K996" s="528"/>
      <c r="L996" s="528"/>
      <c r="M996" s="528"/>
      <c r="N996" s="528"/>
      <c r="O996" s="528"/>
      <c r="P996" s="528"/>
      <c r="Q996" s="434"/>
      <c r="R996" s="434"/>
      <c r="S996" s="434"/>
      <c r="T996" s="434"/>
      <c r="U996" s="434"/>
      <c r="V996" s="434"/>
      <c r="W996" s="434"/>
      <c r="X996" s="434"/>
      <c r="Y996" s="434"/>
      <c r="Z996" s="434"/>
      <c r="AA996" s="434"/>
      <c r="AB996" s="434"/>
      <c r="AC996" s="434"/>
      <c r="AD996" s="434"/>
    </row>
    <row r="997">
      <c r="A997" s="434"/>
      <c r="B997" s="528"/>
      <c r="C997" s="528"/>
      <c r="D997" s="528"/>
      <c r="E997" s="528"/>
      <c r="F997" s="528"/>
      <c r="G997" s="528"/>
      <c r="H997" s="528"/>
      <c r="I997" s="528"/>
      <c r="J997" s="528"/>
      <c r="K997" s="528"/>
      <c r="L997" s="528"/>
      <c r="M997" s="528"/>
      <c r="N997" s="528"/>
      <c r="O997" s="528"/>
      <c r="P997" s="528"/>
      <c r="Q997" s="434"/>
      <c r="R997" s="434"/>
      <c r="S997" s="434"/>
      <c r="T997" s="434"/>
      <c r="U997" s="434"/>
      <c r="V997" s="434"/>
      <c r="W997" s="434"/>
      <c r="X997" s="434"/>
      <c r="Y997" s="434"/>
      <c r="Z997" s="434"/>
      <c r="AA997" s="434"/>
      <c r="AB997" s="434"/>
      <c r="AC997" s="434"/>
      <c r="AD997" s="434"/>
    </row>
    <row r="998">
      <c r="A998" s="434"/>
      <c r="B998" s="528"/>
      <c r="C998" s="528"/>
      <c r="D998" s="528"/>
      <c r="E998" s="528"/>
      <c r="F998" s="528"/>
      <c r="G998" s="528"/>
      <c r="H998" s="528"/>
      <c r="I998" s="528"/>
      <c r="J998" s="528"/>
      <c r="K998" s="528"/>
      <c r="L998" s="528"/>
      <c r="M998" s="528"/>
      <c r="N998" s="528"/>
      <c r="O998" s="528"/>
      <c r="P998" s="528"/>
      <c r="Q998" s="434"/>
      <c r="R998" s="434"/>
      <c r="S998" s="434"/>
      <c r="T998" s="434"/>
      <c r="U998" s="434"/>
      <c r="V998" s="434"/>
      <c r="W998" s="434"/>
      <c r="X998" s="434"/>
      <c r="Y998" s="434"/>
      <c r="Z998" s="434"/>
      <c r="AA998" s="434"/>
      <c r="AB998" s="434"/>
      <c r="AC998" s="434"/>
      <c r="AD998" s="434"/>
    </row>
    <row r="999">
      <c r="A999" s="434"/>
      <c r="B999" s="528"/>
      <c r="C999" s="528"/>
      <c r="D999" s="528"/>
      <c r="E999" s="528"/>
      <c r="F999" s="528"/>
      <c r="G999" s="528"/>
      <c r="H999" s="528"/>
      <c r="I999" s="528"/>
      <c r="J999" s="528"/>
      <c r="K999" s="528"/>
      <c r="L999" s="528"/>
      <c r="M999" s="528"/>
      <c r="N999" s="528"/>
      <c r="O999" s="528"/>
      <c r="P999" s="528"/>
      <c r="Q999" s="434"/>
      <c r="R999" s="434"/>
      <c r="S999" s="434"/>
      <c r="T999" s="434"/>
      <c r="U999" s="434"/>
      <c r="V999" s="434"/>
      <c r="W999" s="434"/>
      <c r="X999" s="434"/>
      <c r="Y999" s="434"/>
      <c r="Z999" s="434"/>
      <c r="AA999" s="434"/>
      <c r="AB999" s="434"/>
      <c r="AC999" s="434"/>
      <c r="AD999" s="434"/>
    </row>
    <row r="1000">
      <c r="A1000" s="434"/>
      <c r="B1000" s="528"/>
      <c r="C1000" s="528"/>
      <c r="D1000" s="528"/>
      <c r="E1000" s="528"/>
      <c r="F1000" s="528"/>
      <c r="G1000" s="528"/>
      <c r="H1000" s="528"/>
      <c r="I1000" s="528"/>
      <c r="J1000" s="528"/>
      <c r="K1000" s="528"/>
      <c r="L1000" s="528"/>
      <c r="M1000" s="528"/>
      <c r="N1000" s="528"/>
      <c r="O1000" s="528"/>
      <c r="P1000" s="528"/>
      <c r="Q1000" s="434"/>
      <c r="R1000" s="434"/>
      <c r="S1000" s="434"/>
      <c r="T1000" s="434"/>
      <c r="U1000" s="434"/>
      <c r="V1000" s="434"/>
      <c r="W1000" s="434"/>
      <c r="X1000" s="434"/>
      <c r="Y1000" s="434"/>
      <c r="Z1000" s="434"/>
      <c r="AA1000" s="434"/>
      <c r="AB1000" s="434"/>
      <c r="AC1000" s="434"/>
      <c r="AD1000" s="434"/>
    </row>
    <row r="1001">
      <c r="A1001" s="434"/>
      <c r="B1001" s="528"/>
      <c r="C1001" s="528"/>
      <c r="D1001" s="528"/>
      <c r="E1001" s="528"/>
      <c r="F1001" s="528"/>
      <c r="G1001" s="528"/>
      <c r="H1001" s="528"/>
      <c r="I1001" s="528"/>
      <c r="J1001" s="528"/>
      <c r="K1001" s="528"/>
      <c r="L1001" s="528"/>
      <c r="M1001" s="528"/>
      <c r="N1001" s="528"/>
      <c r="O1001" s="528"/>
      <c r="P1001" s="528"/>
      <c r="Q1001" s="434"/>
      <c r="R1001" s="434"/>
      <c r="S1001" s="434"/>
      <c r="T1001" s="434"/>
      <c r="U1001" s="434"/>
      <c r="V1001" s="434"/>
      <c r="W1001" s="434"/>
      <c r="X1001" s="434"/>
      <c r="Y1001" s="434"/>
      <c r="Z1001" s="434"/>
      <c r="AA1001" s="434"/>
      <c r="AB1001" s="434"/>
      <c r="AC1001" s="434"/>
      <c r="AD1001" s="434"/>
    </row>
  </sheetData>
  <mergeCells count="12">
    <mergeCell ref="B20:B28"/>
    <mergeCell ref="B29:B37"/>
    <mergeCell ref="B38:B46"/>
    <mergeCell ref="P29:P37"/>
    <mergeCell ref="P38:P46"/>
    <mergeCell ref="B1:P1"/>
    <mergeCell ref="B2:B10"/>
    <mergeCell ref="P2:P10"/>
    <mergeCell ref="R6:Z7"/>
    <mergeCell ref="B11:B19"/>
    <mergeCell ref="P11:P19"/>
    <mergeCell ref="P20:P2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2" width="10.13"/>
    <col customWidth="1" min="13" max="13" width="17.88"/>
    <col customWidth="1" min="14" max="14" width="18.38"/>
    <col customWidth="1" min="21" max="21" width="13.13"/>
  </cols>
  <sheetData>
    <row r="1" ht="24.0" customHeight="1">
      <c r="A1" s="529" t="s">
        <v>158</v>
      </c>
      <c r="M1" s="530"/>
      <c r="N1" s="531" t="s">
        <v>159</v>
      </c>
      <c r="U1" s="532"/>
    </row>
    <row r="2" ht="18.0" customHeight="1">
      <c r="A2" s="8" t="s">
        <v>25</v>
      </c>
      <c r="B2" s="9" t="s">
        <v>6</v>
      </c>
      <c r="C2" s="10" t="s">
        <v>7</v>
      </c>
      <c r="D2" s="11" t="s">
        <v>33</v>
      </c>
      <c r="E2" s="12" t="s">
        <v>36</v>
      </c>
      <c r="F2" s="16" t="s">
        <v>12</v>
      </c>
      <c r="G2" s="17" t="s">
        <v>13</v>
      </c>
      <c r="H2" s="18" t="s">
        <v>14</v>
      </c>
      <c r="I2" s="19" t="s">
        <v>15</v>
      </c>
      <c r="J2" s="20" t="s">
        <v>16</v>
      </c>
      <c r="K2" s="118" t="s">
        <v>17</v>
      </c>
      <c r="L2" s="119" t="s">
        <v>18</v>
      </c>
      <c r="M2" s="533" t="s">
        <v>66</v>
      </c>
      <c r="N2" s="534" t="s">
        <v>104</v>
      </c>
      <c r="O2" s="535" t="s">
        <v>105</v>
      </c>
      <c r="Q2" s="536" t="s">
        <v>46</v>
      </c>
      <c r="S2" s="537" t="s">
        <v>47</v>
      </c>
    </row>
    <row r="3">
      <c r="A3" s="538">
        <v>5999.429056</v>
      </c>
      <c r="B3" s="538">
        <v>5059.398762</v>
      </c>
      <c r="C3" s="539">
        <v>0.0</v>
      </c>
      <c r="D3" s="538">
        <v>4858.6938370416</v>
      </c>
      <c r="E3" s="539">
        <v>0.0</v>
      </c>
      <c r="F3" s="539">
        <v>0.0</v>
      </c>
      <c r="G3" s="539">
        <v>0.0</v>
      </c>
      <c r="H3" s="539">
        <v>0.0</v>
      </c>
      <c r="I3" s="539">
        <f>'QUANTITE DETENUES'!X11</f>
        <v>645.78248</v>
      </c>
      <c r="J3" s="539">
        <f>'QUANTITE DETENUES'!X12</f>
        <v>244.016</v>
      </c>
      <c r="K3" s="539">
        <v>0.0</v>
      </c>
      <c r="L3" s="539">
        <v>0.0</v>
      </c>
      <c r="M3" s="540">
        <f>ARBITRAGES!E3</f>
        <v>45515</v>
      </c>
      <c r="N3" s="541">
        <f>IF(M3="","", SUM(A3:H3)+ARBITRAGES!$K$3)</f>
        <v>37467.52166</v>
      </c>
      <c r="O3" s="542">
        <f>IF(M3="","",PRIX!U3)</f>
        <v>37684.60626</v>
      </c>
      <c r="Q3" s="543">
        <f t="shared" ref="Q3:Q202" si="1">IF(M3="","",((O3-N3)/N3))</f>
        <v>0.005793940843</v>
      </c>
      <c r="S3" s="544">
        <f t="shared" ref="S3:S242" si="2">IF(M3="","",(O3-N3))</f>
        <v>217.084604</v>
      </c>
    </row>
    <row r="4">
      <c r="A4" s="545">
        <f>IF($M4="","", IF(ARBITRAGES!$G4&gt;0,IF(ARBITRAGES!$H4="btc",A3+ARBITRAGES!$G4,A3),A3))</f>
        <v>5999.429056</v>
      </c>
      <c r="B4" s="545">
        <f>IF($M4="","", IF(ARBITRAGES!$G4&gt;0,IF(ARBITRAGES!$H4="eth",B3+ARBITRAGES!$G4,B3),B3))</f>
        <v>5059.398762</v>
      </c>
      <c r="C4" s="545">
        <f>IF($M4="","", IF(ARBITRAGES!$G4&gt;0,IF(ARBITRAGES!$H4="ondo",C3+ARBITRAGES!$G4,C3),C3))</f>
        <v>0</v>
      </c>
      <c r="D4" s="545">
        <f>IF($M4="","", IF(ARBITRAGES!$G4&gt;0,IF(ARBITRAGES!$H4="sol",D3+ARBITRAGES!$G4,D3),D3))</f>
        <v>4858.693837</v>
      </c>
      <c r="E4" s="545">
        <f>IF($M4="","", IF(ARBITRAGES!$G4&gt;0,IF(ARBITRAGES!$H4="tao",E3+ARBITRAGES!$G4,E3),E3))</f>
        <v>0</v>
      </c>
      <c r="F4" s="545">
        <f>IF($M4="","", IF(ARBITRAGES!$G4&gt;0,IF(ARBITRAGES!$H4="ron",F3+ARBITRAGES!$G4,F3),F3))</f>
        <v>0</v>
      </c>
      <c r="G4" s="545">
        <f>IF($M4="","", IF(ARBITRAGES!$G4&gt;0,IF(ARBITRAGES!$H4="link",G3+ARBITRAGES!$G4,G3),G3))</f>
        <v>0</v>
      </c>
      <c r="H4" s="545">
        <f>IF($M4="","", IF(ARBITRAGES!$G4&gt;0,IF(ARBITRAGES!$H4="doge",H3+ARBITRAGES!$G4,H3),H3))</f>
        <v>0</v>
      </c>
      <c r="I4" s="545">
        <f t="shared" ref="I4:I30" si="3">I3</f>
        <v>645.78248</v>
      </c>
      <c r="J4" s="545">
        <f t="shared" ref="J4:J30" si="4">IF(I4="","",J3)</f>
        <v>244.016</v>
      </c>
      <c r="K4" s="545">
        <f>IF($M4="","", IF(ARBITRAGES!$G4&gt;0,IF(ARBITRAGES!$H4="*jup*",K3+ARBITRAGES!$G4,K3),K3))</f>
        <v>0</v>
      </c>
      <c r="L4" s="545">
        <f>IF($M4="","", IF(ARBITRAGES!$G4&gt;0,IF(ARBITRAGES!$H4="*aave*",L3+ARBITRAGES!$G4,L3),L3))</f>
        <v>0</v>
      </c>
      <c r="M4" s="540">
        <f>IF(ARBITRAGES!E4=0,"",ARBITRAGES!E4)</f>
        <v>45515</v>
      </c>
      <c r="N4" s="541">
        <f>IF(M4="","", SUM(A4:H4)+ARBITRAGES!$K$3)</f>
        <v>37467.52166</v>
      </c>
      <c r="O4" s="542">
        <f>IF(M4="","",PRIX!U4)</f>
        <v>39187.93921</v>
      </c>
      <c r="Q4" s="543">
        <f t="shared" si="1"/>
        <v>0.04591757026</v>
      </c>
      <c r="S4" s="544">
        <f t="shared" si="2"/>
        <v>1720.417558</v>
      </c>
    </row>
    <row r="5">
      <c r="A5" s="545">
        <f>IF($M5="","", IF(ARBITRAGES!$G5&gt;0,IF(ARBITRAGES!$H5="btc",A4+ARBITRAGES!$G5,A4),A4))</f>
        <v>5999.429056</v>
      </c>
      <c r="B5" s="545">
        <f>IF($M5="","", IF(ARBITRAGES!$G5&gt;0,IF(ARBITRAGES!$H5="eth",B4+ARBITRAGES!$G5,B4),B4))</f>
        <v>5059.398762</v>
      </c>
      <c r="C5" s="545">
        <f>IF($M5="","", IF(ARBITRAGES!$G5&gt;0,IF(ARBITRAGES!$H5="ondo",C4+ARBITRAGES!$G5,C4),C4))</f>
        <v>0</v>
      </c>
      <c r="D5" s="545">
        <f>IF($M5="","", IF(ARBITRAGES!$G5&gt;0,IF(ARBITRAGES!$H5="sol",D4+ARBITRAGES!$G5,D4),D4))</f>
        <v>4858.693837</v>
      </c>
      <c r="E5" s="545">
        <f>IF($M5="","", IF(ARBITRAGES!$G5&gt;0,IF(ARBITRAGES!$H5="tao",E4+ARBITRAGES!$G5,E4),E4))</f>
        <v>0</v>
      </c>
      <c r="F5" s="545">
        <f>IF($M5="","", IF(ARBITRAGES!$G5&gt;0,IF(ARBITRAGES!$H5="ron",F4+ARBITRAGES!$G5,F4),F4))</f>
        <v>0</v>
      </c>
      <c r="G5" s="545">
        <f>IF($M5="","", IF(ARBITRAGES!$G5&gt;0,IF(ARBITRAGES!$H5="link",G4+ARBITRAGES!$G5,G4),G4))</f>
        <v>0</v>
      </c>
      <c r="H5" s="545">
        <f>IF($M5="","", IF(ARBITRAGES!$G5&gt;0,IF(ARBITRAGES!$H5="doge",H4+ARBITRAGES!$G5,H4),H4))</f>
        <v>0</v>
      </c>
      <c r="I5" s="545">
        <f t="shared" si="3"/>
        <v>645.78248</v>
      </c>
      <c r="J5" s="545">
        <f t="shared" si="4"/>
        <v>244.016</v>
      </c>
      <c r="K5" s="545">
        <f>IF($M5="","", IF(ARBITRAGES!$G5&gt;0,IF(ARBITRAGES!$H5="*jup*",K4+ARBITRAGES!$G5,K4),K4))</f>
        <v>0</v>
      </c>
      <c r="L5" s="545">
        <f>IF($M5="","", IF(ARBITRAGES!$G5&gt;0,IF(ARBITRAGES!$H5="*aave*",L4+ARBITRAGES!$G5,L4),L4))</f>
        <v>0</v>
      </c>
      <c r="M5" s="540">
        <f>IF(ARBITRAGES!E5=0,"",ARBITRAGES!E5)</f>
        <v>45516</v>
      </c>
      <c r="N5" s="541">
        <f>IF(M5="","", SUM(A5:H5)+ARBITRAGES!$K$3)</f>
        <v>37467.52166</v>
      </c>
      <c r="O5" s="542">
        <f>IF(M5="","",PRIX!U5)</f>
        <v>38425.05791</v>
      </c>
      <c r="Q5" s="543">
        <f t="shared" si="1"/>
        <v>0.02555643416</v>
      </c>
      <c r="S5" s="544">
        <f t="shared" si="2"/>
        <v>957.5362504</v>
      </c>
    </row>
    <row r="6">
      <c r="A6" s="545">
        <f>IF($M6="","", IF(ARBITRAGES!$G6&gt;0,IF(ARBITRAGES!$H6="btc",A5+ARBITRAGES!$G6,A5),A5))</f>
        <v>5999.429056</v>
      </c>
      <c r="B6" s="545">
        <f>IF($M6="","", IF(ARBITRAGES!$G6&gt;0,IF(ARBITRAGES!$H6="eth",B5+ARBITRAGES!$G6,B5),B5))</f>
        <v>5059.398762</v>
      </c>
      <c r="C6" s="545">
        <f>IF($M6="","", IF(ARBITRAGES!$G6&gt;0,IF(ARBITRAGES!$H6="ondo",C5+ARBITRAGES!$G6,C5),C5))</f>
        <v>0</v>
      </c>
      <c r="D6" s="545">
        <f>IF($M6="","", IF(ARBITRAGES!$G6&gt;0,IF(ARBITRAGES!$H6="sol",D5+ARBITRAGES!$G6,D5),D5))</f>
        <v>4858.693837</v>
      </c>
      <c r="E6" s="545">
        <f>IF($M6="","", IF(ARBITRAGES!$G6&gt;0,IF(ARBITRAGES!$H6="tao",E5+ARBITRAGES!$G6,E5),E5))</f>
        <v>0</v>
      </c>
      <c r="F6" s="545">
        <f>IF($M6="","", IF(ARBITRAGES!$G6&gt;0,IF(ARBITRAGES!$H6="ron",F5+ARBITRAGES!$G6,F5),F5))</f>
        <v>0</v>
      </c>
      <c r="G6" s="545">
        <f>IF($M6="","", IF(ARBITRAGES!$G6&gt;0,IF(ARBITRAGES!$H6="link",G5+ARBITRAGES!$G6,G5),G5))</f>
        <v>0</v>
      </c>
      <c r="H6" s="545">
        <f>IF($M6="","", IF(ARBITRAGES!$G6&gt;0,IF(ARBITRAGES!$H6="doge",H5+ARBITRAGES!$G6,H5),H5))</f>
        <v>0</v>
      </c>
      <c r="I6" s="545">
        <f t="shared" si="3"/>
        <v>645.78248</v>
      </c>
      <c r="J6" s="545">
        <f t="shared" si="4"/>
        <v>244.016</v>
      </c>
      <c r="K6" s="545">
        <f>IF($M6="","", IF(ARBITRAGES!$G6&gt;0,IF(ARBITRAGES!$H6="*jup*",K5+ARBITRAGES!$G6,K5),K5))</f>
        <v>0</v>
      </c>
      <c r="L6" s="545">
        <f>IF($M6="","", IF(ARBITRAGES!$G6&gt;0,IF(ARBITRAGES!$H6="*aave*",L5+ARBITRAGES!$G6,L5),L5))</f>
        <v>0</v>
      </c>
      <c r="M6" s="540">
        <f>IF(ARBITRAGES!E6=0,"",ARBITRAGES!E6)</f>
        <v>45517</v>
      </c>
      <c r="N6" s="541">
        <f>IF(M6="","", SUM(A6:H6)+ARBITRAGES!$K$3)</f>
        <v>37467.52166</v>
      </c>
      <c r="O6" s="542">
        <f>IF(M6="","",PRIX!U6)</f>
        <v>38797.4525</v>
      </c>
      <c r="Q6" s="543">
        <f t="shared" si="1"/>
        <v>0.03549556489</v>
      </c>
      <c r="S6" s="544">
        <f t="shared" si="2"/>
        <v>1329.930846</v>
      </c>
    </row>
    <row r="7">
      <c r="A7" s="545">
        <f>IF($M7="","", IF(ARBITRAGES!$G7&gt;0,IF(ARBITRAGES!$H7="btc",A6+ARBITRAGES!$G7,A6),A6))</f>
        <v>5999.429056</v>
      </c>
      <c r="B7" s="545">
        <f>IF($M7="","", IF(ARBITRAGES!$G7&gt;0,IF(ARBITRAGES!$H7="eth",B6+ARBITRAGES!$G7,B6),B6))</f>
        <v>5059.398762</v>
      </c>
      <c r="C7" s="545">
        <f>IF($M7="","", IF(ARBITRAGES!$G7&gt;0,IF(ARBITRAGES!$H7="ondo",C6+ARBITRAGES!$G7,C6),C6))</f>
        <v>0</v>
      </c>
      <c r="D7" s="545">
        <f>IF($M7="","", IF(ARBITRAGES!$G7&gt;0,IF(ARBITRAGES!$H7="sol",D6+ARBITRAGES!$G7,D6),D6))</f>
        <v>4858.693837</v>
      </c>
      <c r="E7" s="545">
        <f>IF($M7="","", IF(ARBITRAGES!$G7&gt;0,IF(ARBITRAGES!$H7="tao",E6+ARBITRAGES!$G7,E6),E6))</f>
        <v>0</v>
      </c>
      <c r="F7" s="545">
        <f>IF($M7="","", IF(ARBITRAGES!$G7&gt;0,IF(ARBITRAGES!$H7="ron",F6+ARBITRAGES!$G7,F6),F6))</f>
        <v>0</v>
      </c>
      <c r="G7" s="545">
        <f>IF($M7="","", IF(ARBITRAGES!$G7&gt;0,IF(ARBITRAGES!$H7="link",G6+ARBITRAGES!$G7,G6),G6))</f>
        <v>0</v>
      </c>
      <c r="H7" s="545">
        <f>IF($M7="","", IF(ARBITRAGES!$G7&gt;0,IF(ARBITRAGES!$H7="doge",H6+ARBITRAGES!$G7,H6),H6))</f>
        <v>0</v>
      </c>
      <c r="I7" s="545">
        <f t="shared" si="3"/>
        <v>645.78248</v>
      </c>
      <c r="J7" s="545">
        <f t="shared" si="4"/>
        <v>244.016</v>
      </c>
      <c r="K7" s="545">
        <f>IF($M7="","", IF(ARBITRAGES!$G7&gt;0,IF(ARBITRAGES!$H7="*jup*",K6+ARBITRAGES!$G7,K6),K6))</f>
        <v>0</v>
      </c>
      <c r="L7" s="545">
        <f>IF($M7="","", IF(ARBITRAGES!$G7&gt;0,IF(ARBITRAGES!$H7="*aave*",L6+ARBITRAGES!$G7,L6),L6))</f>
        <v>0</v>
      </c>
      <c r="M7" s="540">
        <f>IF(ARBITRAGES!E7=0,"",ARBITRAGES!E7)</f>
        <v>45518</v>
      </c>
      <c r="N7" s="541">
        <f>IF(M7="","", SUM(A7:H7)+ARBITRAGES!$K$3)</f>
        <v>37467.52166</v>
      </c>
      <c r="O7" s="542">
        <f>IF(M7="","",PRIX!U7)</f>
        <v>38816.26487</v>
      </c>
      <c r="Q7" s="543">
        <f t="shared" si="1"/>
        <v>0.0359976629</v>
      </c>
      <c r="S7" s="544">
        <f t="shared" si="2"/>
        <v>1348.743214</v>
      </c>
    </row>
    <row r="8">
      <c r="A8" s="545">
        <f>IF($M8="","", IF(ARBITRAGES!$G8&gt;0,IF(ARBITRAGES!$H8="btc",A7+ARBITRAGES!$G8,A7),A7))</f>
        <v>5999.429056</v>
      </c>
      <c r="B8" s="545">
        <f>IF($M8="","", IF(ARBITRAGES!$G8&gt;0,IF(ARBITRAGES!$H8="eth",B7+ARBITRAGES!$G8,B7),B7))</f>
        <v>5059.398762</v>
      </c>
      <c r="C8" s="545">
        <f>IF($M8="","", IF(ARBITRAGES!$G8&gt;0,IF(ARBITRAGES!$H8="ondo",C7+ARBITRAGES!$G8,C7),C7))</f>
        <v>0</v>
      </c>
      <c r="D8" s="545">
        <f>IF($M8="","", IF(ARBITRAGES!$G8&gt;0,IF(ARBITRAGES!$H8="sol",D7+ARBITRAGES!$G8,D7),D7))</f>
        <v>4858.693837</v>
      </c>
      <c r="E8" s="545">
        <f>IF($M8="","", IF(ARBITRAGES!$G8&gt;0,IF(ARBITRAGES!$H8="tao",E7+ARBITRAGES!$G8,E7),E7))</f>
        <v>0</v>
      </c>
      <c r="F8" s="545">
        <f>IF($M8="","", IF(ARBITRAGES!$G8&gt;0,IF(ARBITRAGES!$H8="ron",F7+ARBITRAGES!$G8,F7),F7))</f>
        <v>0</v>
      </c>
      <c r="G8" s="545">
        <f>IF($M8="","", IF(ARBITRAGES!$G8&gt;0,IF(ARBITRAGES!$H8="link",G7+ARBITRAGES!$G8,G7),G7))</f>
        <v>0</v>
      </c>
      <c r="H8" s="545">
        <f>IF($M8="","", IF(ARBITRAGES!$G8&gt;0,IF(ARBITRAGES!$H8="doge",H7+ARBITRAGES!$G8,H7),H7))</f>
        <v>0</v>
      </c>
      <c r="I8" s="545">
        <f t="shared" si="3"/>
        <v>645.78248</v>
      </c>
      <c r="J8" s="545">
        <f t="shared" si="4"/>
        <v>244.016</v>
      </c>
      <c r="K8" s="545">
        <f>IF($M8="","", IF(ARBITRAGES!$G8&gt;0,IF(ARBITRAGES!$H8="*jup*",K7+ARBITRAGES!$G8,K7),K7))</f>
        <v>0</v>
      </c>
      <c r="L8" s="545">
        <f>IF($M8="","", IF(ARBITRAGES!$G8&gt;0,IF(ARBITRAGES!$H8="*aave*",L7+ARBITRAGES!$G8,L7),L7))</f>
        <v>0</v>
      </c>
      <c r="M8" s="540">
        <f>IF(ARBITRAGES!E8=0,"",ARBITRAGES!E8)</f>
        <v>45518</v>
      </c>
      <c r="N8" s="541">
        <f>IF(M8="","", SUM(A8:H8)+ARBITRAGES!$K$3)</f>
        <v>37467.52166</v>
      </c>
      <c r="O8" s="542">
        <f>IF(M8="","",PRIX!U8)</f>
        <v>38836.26487</v>
      </c>
      <c r="Q8" s="543">
        <f t="shared" si="1"/>
        <v>0.03653145854</v>
      </c>
      <c r="S8" s="544">
        <f t="shared" si="2"/>
        <v>1368.743214</v>
      </c>
    </row>
    <row r="9">
      <c r="A9" s="545">
        <f>IF($M9="","", IF(ARBITRAGES!$G9&gt;0,IF(ARBITRAGES!$H9="btc",A8+ARBITRAGES!$G9,A8),A8))</f>
        <v>5999.429056</v>
      </c>
      <c r="B9" s="545">
        <f>IF($M9="","", IF(ARBITRAGES!$G9&gt;0,IF(ARBITRAGES!$H9="eth",B8+ARBITRAGES!$G9,B8),B8))</f>
        <v>5059.398762</v>
      </c>
      <c r="C9" s="545">
        <f>IF($M9="","", IF(ARBITRAGES!$G9&gt;0,IF(ARBITRAGES!$H9="ton",C8+ARBITRAGES!$G9,C8),C8))</f>
        <v>0</v>
      </c>
      <c r="D9" s="545">
        <f>IF($M9="","", IF(ARBITRAGES!$G9&gt;0,IF(ARBITRAGES!$H9="sol",D8+ARBITRAGES!$G9,D8),D8))</f>
        <v>4858.693837</v>
      </c>
      <c r="E9" s="545">
        <f>IF($M9="","", IF(ARBITRAGES!$G9&gt;0,IF(ARBITRAGES!$H9="tao",E8+ARBITRAGES!$G9,E8),E8))</f>
        <v>0</v>
      </c>
      <c r="F9" s="545">
        <f>IF($M9="","", IF(ARBITRAGES!$G9&gt;0,IF(ARBITRAGES!$H9="ron",F8+ARBITRAGES!$G9,F8),F8))</f>
        <v>0</v>
      </c>
      <c r="G9" s="545">
        <f>IF($M9="","", IF(ARBITRAGES!$G9&gt;0,IF(ARBITRAGES!$H9="link",G8+ARBITRAGES!$G9,G8),G8))</f>
        <v>0</v>
      </c>
      <c r="H9" s="545">
        <f>IF($M9="","", IF(ARBITRAGES!$G9&gt;0,IF(ARBITRAGES!$H9="doge",H8+ARBITRAGES!$G9,H8),H8))</f>
        <v>0</v>
      </c>
      <c r="I9" s="545">
        <f t="shared" si="3"/>
        <v>645.78248</v>
      </c>
      <c r="J9" s="545">
        <f t="shared" si="4"/>
        <v>244.016</v>
      </c>
      <c r="K9" s="545">
        <f>IF($M9="","", IF(ARBITRAGES!$G9&gt;0,IF(ARBITRAGES!$H9="*jup*",K8+ARBITRAGES!$G9,K8),K8))</f>
        <v>0</v>
      </c>
      <c r="L9" s="545">
        <f>IF($M9="","", IF(ARBITRAGES!$G9&gt;0,IF(ARBITRAGES!$H9="*aave*",L8+ARBITRAGES!$G9,L8),L8))</f>
        <v>0</v>
      </c>
      <c r="M9" s="540">
        <f>IF(ARBITRAGES!E9=0,"",ARBITRAGES!E9)</f>
        <v>45519</v>
      </c>
      <c r="N9" s="541">
        <f>IF(M9="","", SUM(A9:H9)+ARBITRAGES!$K$3)</f>
        <v>37467.52166</v>
      </c>
      <c r="O9" s="542">
        <f>IF(M9="","",PRIX!U9)</f>
        <v>37999.57198</v>
      </c>
      <c r="Q9" s="543">
        <f t="shared" si="1"/>
        <v>0.01420030735</v>
      </c>
      <c r="S9" s="544">
        <f t="shared" si="2"/>
        <v>532.0503231</v>
      </c>
    </row>
    <row r="10">
      <c r="A10" s="545">
        <f>IF($M10="","", IF(ARBITRAGES!$G10&gt;0,IF(ARBITRAGES!$H10="btc",A9+ARBITRAGES!$G10,A9),A9))</f>
        <v>5999.429056</v>
      </c>
      <c r="B10" s="545">
        <f>IF($M10="","", IF(ARBITRAGES!$G10&gt;0,IF(ARBITRAGES!$H10="eth",B9+ARBITRAGES!$G10,B9),B9))</f>
        <v>5059.398762</v>
      </c>
      <c r="C10" s="545">
        <f>IF($M10="","", IF(ARBITRAGES!$G10&gt;0,IF(ARBITRAGES!$H10="ton",C9+ARBITRAGES!$G10,C9),C9))</f>
        <v>0</v>
      </c>
      <c r="D10" s="545">
        <f>IF($M10="","", IF(ARBITRAGES!$G10&gt;0,IF(ARBITRAGES!$H10="sol",D9+ARBITRAGES!$G10,D9),D9))</f>
        <v>4858.693837</v>
      </c>
      <c r="E10" s="545">
        <f>IF($M10="","", IF(ARBITRAGES!$G10&gt;0,IF(ARBITRAGES!$H10="tao",E9+ARBITRAGES!$G10,E9),E9))</f>
        <v>0</v>
      </c>
      <c r="F10" s="545">
        <f>IF($M10="","", IF(ARBITRAGES!$G10&gt;0,IF(ARBITRAGES!$H10="ron",F9+ARBITRAGES!$G10,F9),F9))</f>
        <v>0</v>
      </c>
      <c r="G10" s="545">
        <f>IF($M10="","", IF(ARBITRAGES!$G10&gt;0,IF(ARBITRAGES!$H10="link",G9+ARBITRAGES!$G10,G9),G9))</f>
        <v>0</v>
      </c>
      <c r="H10" s="545">
        <f>IF($M10="","", IF(ARBITRAGES!$G10&gt;0,IF(ARBITRAGES!$H10="doge",H9+ARBITRAGES!$G10,H9),H9))</f>
        <v>0</v>
      </c>
      <c r="I10" s="545">
        <f t="shared" si="3"/>
        <v>645.78248</v>
      </c>
      <c r="J10" s="545">
        <f t="shared" si="4"/>
        <v>244.016</v>
      </c>
      <c r="K10" s="545">
        <f>IF($M10="","", IF(ARBITRAGES!$G10&gt;0,IF(ARBITRAGES!$H10="*jup*",K9+ARBITRAGES!$G10,K9),K9))</f>
        <v>0</v>
      </c>
      <c r="L10" s="545">
        <f>IF($M10="","", IF(ARBITRAGES!$G10&gt;0,IF(ARBITRAGES!$H10="*aave*",L9+ARBITRAGES!$G10,L9),L9))</f>
        <v>0</v>
      </c>
      <c r="M10" s="540">
        <f>IF(ARBITRAGES!E10="","",ARBITRAGES!E10)</f>
        <v>45522</v>
      </c>
      <c r="N10" s="541">
        <f>IF(M10="","", SUM(A10:H10)+ARBITRAGES!$K$3)</f>
        <v>37467.52166</v>
      </c>
      <c r="O10" s="542">
        <f>IF(M10="","",PRIX!U10)</f>
        <v>38621.63</v>
      </c>
      <c r="Q10" s="543">
        <f t="shared" si="1"/>
        <v>0.03080290066</v>
      </c>
      <c r="S10" s="544">
        <f t="shared" si="2"/>
        <v>1154.108348</v>
      </c>
    </row>
    <row r="11">
      <c r="A11" s="545">
        <f>IF($M11="","", IF(ARBITRAGES!$G11&gt;0,IF(ARBITRAGES!$H11="btc",A10+ARBITRAGES!$G11,A10),A10))</f>
        <v>5999.429056</v>
      </c>
      <c r="B11" s="545">
        <f>IF($M11="","", IF(ARBITRAGES!$G11&gt;0,IF(ARBITRAGES!$H11="eth",B10+ARBITRAGES!$G11,B10),B10))</f>
        <v>5059.398762</v>
      </c>
      <c r="C11" s="545">
        <f>IF($M11="","", IF(ARBITRAGES!$G11&gt;0,IF(ARBITRAGES!$H11="ton",C10+ARBITRAGES!$G11,C10),C10))</f>
        <v>0</v>
      </c>
      <c r="D11" s="545">
        <f>IF($M11="","", IF(ARBITRAGES!$G11&gt;0,IF(ARBITRAGES!$H11="sol",D10+ARBITRAGES!$G11,D10),D10))</f>
        <v>4858.693837</v>
      </c>
      <c r="E11" s="545">
        <f>IF($M11="","", IF(ARBITRAGES!$G11&gt;0,IF(ARBITRAGES!$H11="tao",E10+ARBITRAGES!$G11,E10),E10))</f>
        <v>0</v>
      </c>
      <c r="F11" s="545">
        <f>IF($M11="","", IF(ARBITRAGES!$G11&gt;0,IF(ARBITRAGES!$H11="ron",F10+ARBITRAGES!$G11,F10),F10))</f>
        <v>0</v>
      </c>
      <c r="G11" s="545">
        <f>IF($M11="","", IF(ARBITRAGES!$G11&gt;0,IF(ARBITRAGES!$H11="link",G10+ARBITRAGES!$G11,G10),G10))</f>
        <v>0</v>
      </c>
      <c r="H11" s="545">
        <f>IF($M11="","", IF(ARBITRAGES!$G11&gt;0,IF(ARBITRAGES!$H11="doge",H10+ARBITRAGES!$G11,H10),H10))</f>
        <v>0</v>
      </c>
      <c r="I11" s="545">
        <f t="shared" si="3"/>
        <v>645.78248</v>
      </c>
      <c r="J11" s="545">
        <f t="shared" si="4"/>
        <v>244.016</v>
      </c>
      <c r="K11" s="545">
        <f>IF($M11="","", IF(ARBITRAGES!$G11&gt;0,IF(ARBITRAGES!$H11="*jup*",K10+ARBITRAGES!$G11,K10),K10))</f>
        <v>0</v>
      </c>
      <c r="L11" s="545">
        <f>IF($M11="","", IF(ARBITRAGES!$G11&gt;0,IF(ARBITRAGES!$H11="*aave*",L10+ARBITRAGES!$G11,L10),L10))</f>
        <v>0</v>
      </c>
      <c r="M11" s="540">
        <f>IF(ARBITRAGES!E11="","",ARBITRAGES!E11)</f>
        <v>45527</v>
      </c>
      <c r="N11" s="541">
        <f>IF(M11="","", SUM(A11:H11)+ARBITRAGES!$K$3)</f>
        <v>37467.52166</v>
      </c>
      <c r="O11" s="542">
        <f>IF(M11="","",PRIX!U11)</f>
        <v>40071.08671</v>
      </c>
      <c r="Q11" s="543">
        <f t="shared" si="1"/>
        <v>0.06948858485</v>
      </c>
      <c r="S11" s="544">
        <f t="shared" si="2"/>
        <v>2603.565058</v>
      </c>
    </row>
    <row r="12">
      <c r="A12" s="545">
        <f>IF($M12="","", IF(ARBITRAGES!$G12&gt;0,IF(ARBITRAGES!$H12="btc",A11+ARBITRAGES!$G12,A11),A11))</f>
        <v>5999.429056</v>
      </c>
      <c r="B12" s="545">
        <f>IF($M12="","", IF(ARBITRAGES!$G12&gt;0,IF(ARBITRAGES!$H12="eth",B11+ARBITRAGES!$G12,B11),B11))</f>
        <v>5059.398762</v>
      </c>
      <c r="C12" s="545">
        <f>IF($M12="","", IF(ARBITRAGES!$G12&gt;0,IF(ARBITRAGES!$H12="ton",C11+ARBITRAGES!$G12,C11),C11))</f>
        <v>0</v>
      </c>
      <c r="D12" s="545">
        <f>IF($M12="","", IF(ARBITRAGES!$G12&gt;0,IF(ARBITRAGES!$H12="sol",D11+ARBITRAGES!$G12,D11),D11))</f>
        <v>4858.693837</v>
      </c>
      <c r="E12" s="545">
        <f>IF($M12="","", IF(ARBITRAGES!$G12&gt;0,IF(ARBITRAGES!$H12="tao",E11+ARBITRAGES!$G12,E11),E11))</f>
        <v>0</v>
      </c>
      <c r="F12" s="545">
        <f>IF($M12="","", IF(ARBITRAGES!$G12&gt;0,IF(ARBITRAGES!$H12="ron",F11+ARBITRAGES!$G12,F11),F11))</f>
        <v>0</v>
      </c>
      <c r="G12" s="545">
        <f>IF($M12="","", IF(ARBITRAGES!$G12&gt;0,IF(ARBITRAGES!$H12="link",G11+ARBITRAGES!$G12,G11),G11))</f>
        <v>0</v>
      </c>
      <c r="H12" s="545">
        <f>IF($M12="","", IF(ARBITRAGES!$G12&gt;0,IF(ARBITRAGES!$H12="doge",H11+ARBITRAGES!$G12,H11),H11))</f>
        <v>0</v>
      </c>
      <c r="I12" s="545">
        <f t="shared" si="3"/>
        <v>645.78248</v>
      </c>
      <c r="J12" s="545">
        <f t="shared" si="4"/>
        <v>244.016</v>
      </c>
      <c r="K12" s="545">
        <f>IF($M12="","", IF(ARBITRAGES!$G12&gt;0,IF(ARBITRAGES!$H12="*jup*",K11+ARBITRAGES!$G12,K11),K11))</f>
        <v>0</v>
      </c>
      <c r="L12" s="545">
        <f>IF($M12="","", IF(ARBITRAGES!$G12&gt;0,IF(ARBITRAGES!$H12="*aave*",L11+ARBITRAGES!$G12,L11),L11))</f>
        <v>0</v>
      </c>
      <c r="M12" s="540">
        <f>IF(ARBITRAGES!E12="","",ARBITRAGES!E12)</f>
        <v>45527</v>
      </c>
      <c r="N12" s="541">
        <f>IF(M12="","", SUM(A12:H12)+ARBITRAGES!$K$3)</f>
        <v>37467.52166</v>
      </c>
      <c r="O12" s="542">
        <f>IF(M12="","",PRIX!U12)</f>
        <v>40130.79639</v>
      </c>
      <c r="Q12" s="543">
        <f t="shared" si="1"/>
        <v>0.07108222315</v>
      </c>
      <c r="S12" s="544">
        <f t="shared" si="2"/>
        <v>2663.274735</v>
      </c>
    </row>
    <row r="13">
      <c r="A13" s="545">
        <f>IF($M13="","", IF(ARBITRAGES!$G13&gt;0,IF(ARBITRAGES!$H13="btc",A12+ARBITRAGES!$G13,A12),A12))</f>
        <v>5999.429056</v>
      </c>
      <c r="B13" s="545">
        <f>IF($M13="","", IF(ARBITRAGES!$G13&gt;0,IF(ARBITRAGES!$H13="eth",B12+ARBITRAGES!$G13,B12),B12))</f>
        <v>5059.398762</v>
      </c>
      <c r="C13" s="545">
        <f>IF($M13="","", IF(ARBITRAGES!$G13&gt;0,IF(ARBITRAGES!$H13="ton",C12+ARBITRAGES!$G13,C12),C12))</f>
        <v>0</v>
      </c>
      <c r="D13" s="545">
        <f>IF($M13="","", IF(ARBITRAGES!$G13&gt;0,IF(ARBITRAGES!$H13="sol",D12+ARBITRAGES!$G13,D12),D12))</f>
        <v>4858.693837</v>
      </c>
      <c r="E13" s="545">
        <f>IF($M13="","", IF(ARBITRAGES!$G13&gt;0,IF(ARBITRAGES!$H13="tao",E12+ARBITRAGES!$G13,E12),E12))</f>
        <v>0</v>
      </c>
      <c r="F13" s="545">
        <f>IF($M13="","", IF(ARBITRAGES!$G13&gt;0,IF(ARBITRAGES!$H13="ron",F12+ARBITRAGES!$G13,F12),F12))</f>
        <v>0</v>
      </c>
      <c r="G13" s="545">
        <f>IF($M13="","", IF(ARBITRAGES!$G13&gt;0,IF(ARBITRAGES!$H13="link",G12+ARBITRAGES!$G13,G12),G12))</f>
        <v>0</v>
      </c>
      <c r="H13" s="545">
        <f>IF($M13="","", IF(ARBITRAGES!$G13&gt;0,IF(ARBITRAGES!$H13="doge",H12+ARBITRAGES!$G13,H12),H12))</f>
        <v>0</v>
      </c>
      <c r="I13" s="545">
        <f t="shared" si="3"/>
        <v>645.78248</v>
      </c>
      <c r="J13" s="545">
        <f t="shared" si="4"/>
        <v>244.016</v>
      </c>
      <c r="K13" s="545">
        <f>IF($M13="","", IF(ARBITRAGES!$G13&gt;0,IF(ARBITRAGES!$H13="*jup*",K12+ARBITRAGES!$G13,K12),K12))</f>
        <v>0</v>
      </c>
      <c r="L13" s="545">
        <f>IF($M13="","", IF(ARBITRAGES!$G13&gt;0,IF(ARBITRAGES!$H13="*aave*",L12+ARBITRAGES!$G13,L12),L12))</f>
        <v>0</v>
      </c>
      <c r="M13" s="540">
        <f>IF(ARBITRAGES!E13="","",ARBITRAGES!E13)</f>
        <v>45528</v>
      </c>
      <c r="N13" s="541">
        <f>IF(M13="","", SUM(A13:H13)+ARBITRAGES!$K$3)</f>
        <v>37467.52166</v>
      </c>
      <c r="O13" s="542">
        <f>IF(M13="","",PRIX!U13)</f>
        <v>40893.77506</v>
      </c>
      <c r="Q13" s="543">
        <f t="shared" si="1"/>
        <v>0.09144595792</v>
      </c>
      <c r="S13" s="544">
        <f t="shared" si="2"/>
        <v>3426.253409</v>
      </c>
    </row>
    <row r="14">
      <c r="A14" s="545">
        <f>IF($M14="","", IF(ARBITRAGES!$G14&gt;0,IF(ARBITRAGES!$H14="btc",A13+ARBITRAGES!$G14,A13),A13))</f>
        <v>5999.429056</v>
      </c>
      <c r="B14" s="545">
        <f>IF($M14="","", IF(ARBITRAGES!$G14&gt;0,IF(ARBITRAGES!$H14="eth",B13+ARBITRAGES!$G14,B13),B13))</f>
        <v>5059.398762</v>
      </c>
      <c r="C14" s="545">
        <f>IF($M14="","", IF(ARBITRAGES!$G14&gt;0,IF(ARBITRAGES!$H14="ton",C13+ARBITRAGES!$G14,C13),C13))</f>
        <v>0</v>
      </c>
      <c r="D14" s="545">
        <f>IF($M14="","", IF(ARBITRAGES!$G14&gt;0,IF(ARBITRAGES!$H14="sol",D13+ARBITRAGES!$G14,D13),D13))</f>
        <v>4858.693837</v>
      </c>
      <c r="E14" s="545">
        <f>IF($M14="","", IF(ARBITRAGES!$G14&gt;0,IF(ARBITRAGES!$H14="tao",E13+ARBITRAGES!$G14,E13),E13))</f>
        <v>0</v>
      </c>
      <c r="F14" s="545">
        <f>IF($M14="","", IF(ARBITRAGES!$G14&gt;0,IF(ARBITRAGES!$H14="ron",F13+ARBITRAGES!$G14,F13),F13))</f>
        <v>0</v>
      </c>
      <c r="G14" s="545">
        <f>IF($M14="","", IF(ARBITRAGES!$G14&gt;0,IF(ARBITRAGES!$H14="link",G13+ARBITRAGES!$G14,G13),G13))</f>
        <v>0</v>
      </c>
      <c r="H14" s="545">
        <f>IF($M14="","", IF(ARBITRAGES!$G14&gt;0,IF(ARBITRAGES!$H14="doge",H13+ARBITRAGES!$G14,H13),H13))</f>
        <v>0</v>
      </c>
      <c r="I14" s="545">
        <f t="shared" si="3"/>
        <v>645.78248</v>
      </c>
      <c r="J14" s="545">
        <f t="shared" si="4"/>
        <v>244.016</v>
      </c>
      <c r="K14" s="545">
        <f>IF($M14="","", IF(ARBITRAGES!$G14&gt;0,IF(ARBITRAGES!$H14="*jup*",K13+ARBITRAGES!$G14,K13),K13))</f>
        <v>0</v>
      </c>
      <c r="L14" s="545">
        <f>IF($M14="","", IF(ARBITRAGES!$G14&gt;0,IF(ARBITRAGES!$H14="*aave*",L13+ARBITRAGES!$G14,L13),L13))</f>
        <v>0</v>
      </c>
      <c r="M14" s="540">
        <f>IF(ARBITRAGES!E14="","",ARBITRAGES!E14)</f>
        <v>45529</v>
      </c>
      <c r="N14" s="541">
        <f>IF(M14="","", SUM(A14:H14)+ARBITRAGES!$K$3)</f>
        <v>37467.52166</v>
      </c>
      <c r="O14" s="542">
        <f>IF(M14="","",PRIX!U14)</f>
        <v>40117.45953</v>
      </c>
      <c r="Q14" s="543">
        <f t="shared" si="1"/>
        <v>0.07072626539</v>
      </c>
      <c r="S14" s="544">
        <f t="shared" si="2"/>
        <v>2649.93788</v>
      </c>
    </row>
    <row r="15">
      <c r="A15" s="545">
        <f>IF($M15="","", IF(ARBITRAGES!$G15&gt;0,IF(ARBITRAGES!$H15="btc",A14+ARBITRAGES!$G15,A14),A14))</f>
        <v>5999.429056</v>
      </c>
      <c r="B15" s="545">
        <f>IF($M15="","", IF(ARBITRAGES!$G15&gt;0,IF(ARBITRAGES!$H15="eth",B14+ARBITRAGES!$G15,B14),B14))</f>
        <v>5059.398762</v>
      </c>
      <c r="C15" s="545">
        <f>IF($M15="","", IF(ARBITRAGES!$G15&gt;0,IF(ARBITRAGES!$H15="ton",C14+ARBITRAGES!$G15,C14),C14))</f>
        <v>0</v>
      </c>
      <c r="D15" s="545">
        <f>IF($M15="","", IF(ARBITRAGES!$G15&gt;0,IF(ARBITRAGES!$H15="sol",D14+ARBITRAGES!$G15,D14),D14))</f>
        <v>4858.693837</v>
      </c>
      <c r="E15" s="545">
        <f>IF($M15="","", IF(ARBITRAGES!$G15&gt;0,IF(ARBITRAGES!$H15="tao",E14+ARBITRAGES!$G15,E14),E14))</f>
        <v>0</v>
      </c>
      <c r="F15" s="545">
        <f>IF($M15="","", IF(ARBITRAGES!$G15&gt;0,IF(ARBITRAGES!$H15="ron",F14+ARBITRAGES!$G15,F14),F14))</f>
        <v>0</v>
      </c>
      <c r="G15" s="545">
        <f>IF($M15="","", IF(ARBITRAGES!$G15&gt;0,IF(ARBITRAGES!$H15="link",G14+ARBITRAGES!$G15,G14),G14))</f>
        <v>0</v>
      </c>
      <c r="H15" s="545">
        <f>IF($M15="","", IF(ARBITRAGES!$G15&gt;0,IF(ARBITRAGES!$H15="doge",H14+ARBITRAGES!$G15,H14),H14))</f>
        <v>0</v>
      </c>
      <c r="I15" s="545">
        <f t="shared" si="3"/>
        <v>645.78248</v>
      </c>
      <c r="J15" s="545">
        <f t="shared" si="4"/>
        <v>244.016</v>
      </c>
      <c r="K15" s="545">
        <f>IF($M15="","", IF(ARBITRAGES!$G15&gt;0,IF(ARBITRAGES!$H15="*jup*",K14+ARBITRAGES!$G15,K14),K14))</f>
        <v>0</v>
      </c>
      <c r="L15" s="545">
        <f>IF($M15="","", IF(ARBITRAGES!$G15&gt;0,IF(ARBITRAGES!$H15="*aave*",L14+ARBITRAGES!$G15,L14),L14))</f>
        <v>0</v>
      </c>
      <c r="M15" s="540">
        <f>IF(ARBITRAGES!E15="","",ARBITRAGES!E15)</f>
        <v>45530</v>
      </c>
      <c r="N15" s="541">
        <f>IF(M15="","", SUM(A15:H15)+ARBITRAGES!$K$3)</f>
        <v>37467.52166</v>
      </c>
      <c r="O15" s="542">
        <f>IF(M15="","",PRIX!U15)</f>
        <v>38900.62381</v>
      </c>
      <c r="Q15" s="543">
        <f t="shared" si="1"/>
        <v>0.03824918476</v>
      </c>
      <c r="S15" s="544">
        <f t="shared" si="2"/>
        <v>1433.102158</v>
      </c>
    </row>
    <row r="16">
      <c r="A16" s="545">
        <f>IF($M16="","", IF(ARBITRAGES!$G16&gt;0,IF(ARBITRAGES!$H16="btc",A15+ARBITRAGES!$G16,A15),A15))</f>
        <v>5999.429056</v>
      </c>
      <c r="B16" s="545">
        <f>IF($M16="","", IF(ARBITRAGES!$G16&gt;0,IF(ARBITRAGES!$H16="eth",B15+ARBITRAGES!$G16,B15),B15))</f>
        <v>5059.398762</v>
      </c>
      <c r="C16" s="545">
        <f>IF($M16="","", IF(ARBITRAGES!$G16&gt;0,IF(ARBITRAGES!$H16="ton",C15+ARBITRAGES!$G16,C15),C15))</f>
        <v>0</v>
      </c>
      <c r="D16" s="545">
        <f>IF($M16="","", IF(ARBITRAGES!$G16&gt;0,IF(ARBITRAGES!$H16="sol",D15+ARBITRAGES!$G16,D15),D15))</f>
        <v>4858.693837</v>
      </c>
      <c r="E16" s="545">
        <f>IF($M16="","", IF(ARBITRAGES!$G16&gt;0,IF(ARBITRAGES!$H16="tao",E15+ARBITRAGES!$G16,E15),E15))</f>
        <v>0</v>
      </c>
      <c r="F16" s="545">
        <f>IF($M16="","", IF(ARBITRAGES!$G16&gt;0,IF(ARBITRAGES!$H16="ron",F15+ARBITRAGES!$G16,F15),F15))</f>
        <v>0</v>
      </c>
      <c r="G16" s="545">
        <f>IF($M16="","", IF(ARBITRAGES!$G16&gt;0,IF(ARBITRAGES!$H16="link",G15+ARBITRAGES!$G16,G15),G15))</f>
        <v>0</v>
      </c>
      <c r="H16" s="545">
        <f>IF($M16="","", IF(ARBITRAGES!$G16&gt;0,IF(ARBITRAGES!$H16="doge",H15+ARBITRAGES!$G16,H15),H15))</f>
        <v>0</v>
      </c>
      <c r="I16" s="545">
        <f t="shared" si="3"/>
        <v>645.78248</v>
      </c>
      <c r="J16" s="545">
        <f t="shared" si="4"/>
        <v>244.016</v>
      </c>
      <c r="K16" s="545">
        <f>IF($M16="","", IF(ARBITRAGES!$G16&gt;0,IF(ARBITRAGES!$H16="*jup*",K15+ARBITRAGES!$G16,K15),K15))</f>
        <v>0</v>
      </c>
      <c r="L16" s="545">
        <f>IF($M16="","", IF(ARBITRAGES!$G16&gt;0,IF(ARBITRAGES!$H16="*aave*",L15+ARBITRAGES!$G16,L15),L15))</f>
        <v>0</v>
      </c>
      <c r="M16" s="540">
        <f>IF(ARBITRAGES!E16="","",ARBITRAGES!E16)</f>
        <v>45531</v>
      </c>
      <c r="N16" s="541">
        <f>IF(M16="","", SUM(A16:H16)+ARBITRAGES!$K$3)</f>
        <v>37467.52166</v>
      </c>
      <c r="O16" s="542">
        <f>IF(M16="","",PRIX!U16)</f>
        <v>38851.50839</v>
      </c>
      <c r="Q16" s="543">
        <f t="shared" si="1"/>
        <v>0.03693830478</v>
      </c>
      <c r="S16" s="544">
        <f t="shared" si="2"/>
        <v>1383.986734</v>
      </c>
    </row>
    <row r="17">
      <c r="A17" s="545">
        <f>IF($M17="","", IF(ARBITRAGES!$G17&gt;0,IF(ARBITRAGES!$H17="btc",A16+ARBITRAGES!$G17,A16),A16))</f>
        <v>5999.429056</v>
      </c>
      <c r="B17" s="545">
        <f>IF($M17="","", IF(ARBITRAGES!$G17&gt;0,IF(ARBITRAGES!$H17="eth",B16+ARBITRAGES!$G17,B16),B16))</f>
        <v>5059.398762</v>
      </c>
      <c r="C17" s="545">
        <f>IF($M17="","", IF(ARBITRAGES!$G17&gt;0,IF(ARBITRAGES!$H17="ton",C16+ARBITRAGES!$G17,C16),C16))</f>
        <v>0</v>
      </c>
      <c r="D17" s="545">
        <f>IF($M17="","", IF(ARBITRAGES!$G17&gt;0,IF(ARBITRAGES!$H17="sol",D16+ARBITRAGES!$G17,D16),D16))</f>
        <v>4858.693837</v>
      </c>
      <c r="E17" s="545">
        <f>IF($M17="","", IF(ARBITRAGES!$G17&gt;0,IF(ARBITRAGES!$H17="tao",E16+ARBITRAGES!$G17,E16),E16))</f>
        <v>0</v>
      </c>
      <c r="F17" s="545">
        <f>IF($M17="","", IF(ARBITRAGES!$G17&gt;0,IF(ARBITRAGES!$H17="ron",F16+ARBITRAGES!$G17,F16),F16))</f>
        <v>0</v>
      </c>
      <c r="G17" s="545">
        <f>IF($M17="","", IF(ARBITRAGES!$G17&gt;0,IF(ARBITRAGES!$H17="link",G16+ARBITRAGES!$G17,G16),G16))</f>
        <v>0</v>
      </c>
      <c r="H17" s="545">
        <f>IF($M17="","", IF(ARBITRAGES!$G17&gt;0,IF(ARBITRAGES!$H17="doge",H16+ARBITRAGES!$G17,H16),H16))</f>
        <v>0</v>
      </c>
      <c r="I17" s="545">
        <f t="shared" si="3"/>
        <v>645.78248</v>
      </c>
      <c r="J17" s="545">
        <f t="shared" si="4"/>
        <v>244.016</v>
      </c>
      <c r="K17" s="545">
        <f>IF($M17="","", IF(ARBITRAGES!$G17&gt;0,IF(ARBITRAGES!$H17="*jup*",K16+ARBITRAGES!$G17,K16),K16))</f>
        <v>0</v>
      </c>
      <c r="L17" s="545">
        <f>IF($M17="","", IF(ARBITRAGES!$G17&gt;0,IF(ARBITRAGES!$H17="*aave*",L16+ARBITRAGES!$G17,L16),L16))</f>
        <v>0</v>
      </c>
      <c r="M17" s="540">
        <f>IF(ARBITRAGES!E17="","",ARBITRAGES!E17)</f>
        <v>45531</v>
      </c>
      <c r="N17" s="541">
        <f>IF(M17="","", SUM(A17:H17)+ARBITRAGES!$K$3)</f>
        <v>37467.52166</v>
      </c>
      <c r="O17" s="542">
        <f>IF(M17="","",PRIX!U17)</f>
        <v>38876.00839</v>
      </c>
      <c r="Q17" s="543">
        <f t="shared" si="1"/>
        <v>0.03759220445</v>
      </c>
      <c r="S17" s="544">
        <f t="shared" si="2"/>
        <v>1408.486734</v>
      </c>
    </row>
    <row r="18">
      <c r="A18" s="545">
        <f>IF($M18="","", IF(ARBITRAGES!$G18&gt;0,IF(ARBITRAGES!$H18="btc",A17+ARBITRAGES!$G18,A17),A17))</f>
        <v>5999.429056</v>
      </c>
      <c r="B18" s="545">
        <f>IF($M18="","", IF(ARBITRAGES!$G18&gt;0,IF(ARBITRAGES!$H18="eth",B17+ARBITRAGES!$G18,B17),B17))</f>
        <v>5059.398762</v>
      </c>
      <c r="C18" s="545">
        <f>IF($M18="","", IF(ARBITRAGES!$G18&gt;0,IF(ARBITRAGES!$H18="ton",C17+ARBITRAGES!$G18,C17),C17))</f>
        <v>0</v>
      </c>
      <c r="D18" s="545">
        <f>IF($M18="","", IF(ARBITRAGES!$G18&gt;0,IF(ARBITRAGES!$H18="sol",D17+ARBITRAGES!$G18,D17),D17))</f>
        <v>4858.693837</v>
      </c>
      <c r="E18" s="545">
        <f>IF($M18="","", IF(ARBITRAGES!$G18&gt;0,IF(ARBITRAGES!$H18="tao",E17+ARBITRAGES!$G18,E17),E17))</f>
        <v>0</v>
      </c>
      <c r="F18" s="545">
        <f>IF($M18="","", IF(ARBITRAGES!$G18&gt;0,IF(ARBITRAGES!$H18="ron",F17+ARBITRAGES!$G18,F17),F17))</f>
        <v>0</v>
      </c>
      <c r="G18" s="545">
        <f>IF($M18="","", IF(ARBITRAGES!$G18&gt;0,IF(ARBITRAGES!$H18="link",G17+ARBITRAGES!$G18,G17),G17))</f>
        <v>0</v>
      </c>
      <c r="H18" s="545">
        <f>IF($M18="","", IF(ARBITRAGES!$G18&gt;0,IF(ARBITRAGES!$H18="doge",H17+ARBITRAGES!$G18,H17),H17))</f>
        <v>0</v>
      </c>
      <c r="I18" s="545">
        <f t="shared" si="3"/>
        <v>645.78248</v>
      </c>
      <c r="J18" s="545">
        <f t="shared" si="4"/>
        <v>244.016</v>
      </c>
      <c r="K18" s="545">
        <f>IF($M18="","", IF(ARBITRAGES!$G18&gt;0,IF(ARBITRAGES!$H18="*jup*",K17+ARBITRAGES!$G18,K17),K17))</f>
        <v>0</v>
      </c>
      <c r="L18" s="545">
        <f>IF($M18="","", IF(ARBITRAGES!$G18&gt;0,IF(ARBITRAGES!$H18="*aave*",L17+ARBITRAGES!$G18,L17),L17))</f>
        <v>0</v>
      </c>
      <c r="M18" s="540">
        <f>IF(ARBITRAGES!E18="","",ARBITRAGES!E18)</f>
        <v>45531</v>
      </c>
      <c r="N18" s="541">
        <f>IF(M18="","", SUM(A18:H18)+ARBITRAGES!$K$3)</f>
        <v>37467.52166</v>
      </c>
      <c r="O18" s="542">
        <f>IF(M18="","",PRIX!U18)</f>
        <v>38881.50839</v>
      </c>
      <c r="Q18" s="543">
        <f t="shared" si="1"/>
        <v>0.03773899825</v>
      </c>
      <c r="S18" s="544">
        <f t="shared" si="2"/>
        <v>1413.986734</v>
      </c>
    </row>
    <row r="19">
      <c r="A19" s="545">
        <f>IF($M19="","", IF(ARBITRAGES!$G19&gt;0,IF(ARBITRAGES!$H19="btc",A18+ARBITRAGES!$G19,A18),A18))</f>
        <v>5999.429056</v>
      </c>
      <c r="B19" s="545">
        <f>IF($M19="","", IF(ARBITRAGES!$G19&gt;0,IF(ARBITRAGES!$H19="eth",B18+ARBITRAGES!$G19,B18),B18))</f>
        <v>5059.398762</v>
      </c>
      <c r="C19" s="545">
        <f>IF($M19="","", IF(ARBITRAGES!$G19&gt;0,IF(ARBITRAGES!$H19="ton",C18+ARBITRAGES!$G19,C18),C18))</f>
        <v>0</v>
      </c>
      <c r="D19" s="545">
        <f>IF($M19="","", IF(ARBITRAGES!$G19&gt;0,IF(ARBITRAGES!$H19="sol",D18+ARBITRAGES!$G19,D18),D18))</f>
        <v>4858.693837</v>
      </c>
      <c r="E19" s="545">
        <f>IF($M19="","", IF(ARBITRAGES!$G19&gt;0,IF(ARBITRAGES!$H19="tao",E18+ARBITRAGES!$G19,E18),E18))</f>
        <v>0</v>
      </c>
      <c r="F19" s="545">
        <f>IF($M19="","", IF(ARBITRAGES!$G19&gt;0,IF(ARBITRAGES!$H19="ron",F18+ARBITRAGES!$G19,F18),F18))</f>
        <v>0</v>
      </c>
      <c r="G19" s="545">
        <f>IF($M19="","", IF(ARBITRAGES!$G19&gt;0,IF(ARBITRAGES!$H19="link",G18+ARBITRAGES!$G19,G18),G18))</f>
        <v>0</v>
      </c>
      <c r="H19" s="545">
        <f>IF($M19="","", IF(ARBITRAGES!$G19&gt;0,IF(ARBITRAGES!$H19="doge",H18+ARBITRAGES!$G19,H18),H18))</f>
        <v>0</v>
      </c>
      <c r="I19" s="545">
        <f t="shared" si="3"/>
        <v>645.78248</v>
      </c>
      <c r="J19" s="545">
        <f t="shared" si="4"/>
        <v>244.016</v>
      </c>
      <c r="K19" s="545">
        <f>IF($M19="","", IF(ARBITRAGES!$G19&gt;0,IF(ARBITRAGES!$H19="*jup*",K18+ARBITRAGES!$G19,K18),K18))</f>
        <v>0</v>
      </c>
      <c r="L19" s="545">
        <f>IF($M19="","", IF(ARBITRAGES!$G19&gt;0,IF(ARBITRAGES!$H19="*aave*",L18+ARBITRAGES!$G19,L18),L18))</f>
        <v>0</v>
      </c>
      <c r="M19" s="540">
        <f>IF(ARBITRAGES!E19="","",ARBITRAGES!E19)</f>
        <v>45531</v>
      </c>
      <c r="N19" s="541">
        <f>IF(M19="","", SUM(A19:H19)+ARBITRAGES!$K$3)</f>
        <v>37467.52166</v>
      </c>
      <c r="O19" s="542">
        <f>IF(M19="","",PRIX!U19)</f>
        <v>38937.50839</v>
      </c>
      <c r="Q19" s="543">
        <f t="shared" si="1"/>
        <v>0.03923362606</v>
      </c>
      <c r="S19" s="544">
        <f t="shared" si="2"/>
        <v>1469.986734</v>
      </c>
    </row>
    <row r="20">
      <c r="A20" s="545">
        <f>IF($M20="","", IF(ARBITRAGES!$G20&gt;0,IF(ARBITRAGES!$H20="btc",A19+ARBITRAGES!$G20,A19),A19))</f>
        <v>5999.429056</v>
      </c>
      <c r="B20" s="545">
        <f>IF($M20="","", IF(ARBITRAGES!$G20&gt;0,IF(ARBITRAGES!$H20="eth",B19+ARBITRAGES!$G20,B19),B19))</f>
        <v>5059.398762</v>
      </c>
      <c r="C20" s="545">
        <f>IF($M20="","", IF(ARBITRAGES!$G20&gt;0,IF(ARBITRAGES!$H20="ton",C19+ARBITRAGES!$G20,C19),C19))</f>
        <v>0</v>
      </c>
      <c r="D20" s="545">
        <f>IF($M20="","", IF(ARBITRAGES!$G20&gt;0,IF(ARBITRAGES!$H20="sol",D19+ARBITRAGES!$G20,D19),D19))</f>
        <v>4858.693837</v>
      </c>
      <c r="E20" s="545">
        <f>IF($M20="","", IF(ARBITRAGES!$G20&gt;0,IF(ARBITRAGES!$H20="tao",E19+ARBITRAGES!$G20,E19),E19))</f>
        <v>0</v>
      </c>
      <c r="F20" s="545">
        <f>IF($M20="","", IF(ARBITRAGES!$G20&gt;0,IF(ARBITRAGES!$H20="ron",F19+ARBITRAGES!$G20,F19),F19))</f>
        <v>0</v>
      </c>
      <c r="G20" s="545">
        <f>IF($M20="","", IF(ARBITRAGES!$G20&gt;0,IF(ARBITRAGES!$H20="link",G19+ARBITRAGES!$G20,G19),G19))</f>
        <v>0</v>
      </c>
      <c r="H20" s="545">
        <f>IF($M20="","", IF(ARBITRAGES!$G20&gt;0,IF(ARBITRAGES!$H20="doge",H19+ARBITRAGES!$G20,H19),H19))</f>
        <v>0</v>
      </c>
      <c r="I20" s="545">
        <f t="shared" si="3"/>
        <v>645.78248</v>
      </c>
      <c r="J20" s="545">
        <f t="shared" si="4"/>
        <v>244.016</v>
      </c>
      <c r="K20" s="545">
        <f>IF($M20="","", IF(ARBITRAGES!$G20&gt;0,IF(ARBITRAGES!$H20="*jup*",K19+ARBITRAGES!$G20,K19),K19))</f>
        <v>0</v>
      </c>
      <c r="L20" s="545">
        <f>IF($M20="","", IF(ARBITRAGES!$G20&gt;0,IF(ARBITRAGES!$H20="*aave*",L19+ARBITRAGES!$G20,L19),L19))</f>
        <v>0</v>
      </c>
      <c r="M20" s="540">
        <f>IF(ARBITRAGES!E20="","",ARBITRAGES!E20)</f>
        <v>45532</v>
      </c>
      <c r="N20" s="541">
        <f>IF(M20="","", SUM(A20:H20)+ARBITRAGES!$K$3)</f>
        <v>37467.52166</v>
      </c>
      <c r="O20" s="542">
        <f>IF(M20="","",PRIX!U20)</f>
        <v>37571.82377</v>
      </c>
      <c r="Q20" s="543">
        <f t="shared" si="1"/>
        <v>0.002783800735</v>
      </c>
      <c r="S20" s="544">
        <f t="shared" si="2"/>
        <v>104.3021143</v>
      </c>
    </row>
    <row r="21">
      <c r="A21" s="545">
        <f>IF($M21="","", IF(ARBITRAGES!$G21&gt;0,IF(ARBITRAGES!$H21="btc",A20+ARBITRAGES!$G21,A20),A20))</f>
        <v>5999.429056</v>
      </c>
      <c r="B21" s="545">
        <f>IF($M21="","", IF(ARBITRAGES!$G21&gt;0,IF(ARBITRAGES!$H21="eth",B20+ARBITRAGES!$G21,B20),B20))</f>
        <v>5059.398762</v>
      </c>
      <c r="C21" s="545">
        <f>IF($M21="","", IF(ARBITRAGES!$G21&gt;0,IF(ARBITRAGES!$H21="ton",C20+ARBITRAGES!$G21,C20),C20))</f>
        <v>0</v>
      </c>
      <c r="D21" s="545">
        <f>IF($M21="","", IF(ARBITRAGES!$G21&gt;0,IF(ARBITRAGES!$H21="sol",D20+ARBITRAGES!$G21,D20),D20))</f>
        <v>4858.693837</v>
      </c>
      <c r="E21" s="545">
        <f>IF($M21="","", IF(ARBITRAGES!$G21&gt;0,IF(ARBITRAGES!$H21="tao",E20+ARBITRAGES!$G21,E20),E20))</f>
        <v>0</v>
      </c>
      <c r="F21" s="545">
        <f>IF($M21="","", IF(ARBITRAGES!$G21&gt;0,IF(ARBITRAGES!$H21="ron",F20+ARBITRAGES!$G21,F20),F20))</f>
        <v>0</v>
      </c>
      <c r="G21" s="545">
        <f>IF($M21="","", IF(ARBITRAGES!$G21&gt;0,IF(ARBITRAGES!$H21="link",G20+ARBITRAGES!$G21,G20),G20))</f>
        <v>0</v>
      </c>
      <c r="H21" s="545">
        <f>IF($M21="","", IF(ARBITRAGES!$G21&gt;0,IF(ARBITRAGES!$H21="doge",H20+ARBITRAGES!$G21,H20),H20))</f>
        <v>0</v>
      </c>
      <c r="I21" s="545">
        <f t="shared" si="3"/>
        <v>645.78248</v>
      </c>
      <c r="J21" s="545">
        <f t="shared" si="4"/>
        <v>244.016</v>
      </c>
      <c r="K21" s="545">
        <f>IF($M21="","", IF(ARBITRAGES!$G21&gt;0,IF(ARBITRAGES!$H21="*jup*",K20+ARBITRAGES!$G21,K20),K20))</f>
        <v>0</v>
      </c>
      <c r="L21" s="545">
        <f>IF($M21="","", IF(ARBITRAGES!$G21&gt;0,IF(ARBITRAGES!$H21="*aave*",L20+ARBITRAGES!$G21,L20),L20))</f>
        <v>0</v>
      </c>
      <c r="M21" s="540">
        <f>IF(ARBITRAGES!E21="","",ARBITRAGES!E21)</f>
        <v>45545</v>
      </c>
      <c r="N21" s="541">
        <f>IF(M21="","", SUM(A21:H21)+ARBITRAGES!$K$3)</f>
        <v>37467.52166</v>
      </c>
      <c r="O21" s="542">
        <f>IF(M21="","",PRIX!U21)</f>
        <v>35856.03699</v>
      </c>
      <c r="Q21" s="543">
        <f t="shared" si="1"/>
        <v>-0.04301017517</v>
      </c>
      <c r="S21" s="544">
        <f t="shared" si="2"/>
        <v>-1611.48467</v>
      </c>
    </row>
    <row r="22">
      <c r="A22" s="545">
        <f>IF($M22="","", IF(ARBITRAGES!$G22&gt;0,IF(ARBITRAGES!$H22="btc",A21+ARBITRAGES!$G22,A21),A21))</f>
        <v>5999.429056</v>
      </c>
      <c r="B22" s="545">
        <f>IF($M22="","", IF(ARBITRAGES!$G22&gt;0,IF(ARBITRAGES!$H22="eth",B21+ARBITRAGES!$G22,B21),B21))</f>
        <v>5059.398762</v>
      </c>
      <c r="C22" s="545">
        <f>IF($M22="","", IF(ARBITRAGES!$G22&gt;0,IF(ARBITRAGES!$H22="ton",C21+ARBITRAGES!$G22,C21),C21))</f>
        <v>0</v>
      </c>
      <c r="D22" s="545">
        <f>IF($M22="","", IF(ARBITRAGES!$G22&gt;0,IF(ARBITRAGES!$H22="sol",D21+ARBITRAGES!$G22,D21),D21))</f>
        <v>4858.693837</v>
      </c>
      <c r="E22" s="545">
        <f>IF($M22="","", IF(ARBITRAGES!$G22&gt;0,IF(ARBITRAGES!$H22="tao",E21+ARBITRAGES!$G22,E21),E21))</f>
        <v>0</v>
      </c>
      <c r="F22" s="545">
        <f>IF($M22="","", IF(ARBITRAGES!$G22&gt;0,IF(ARBITRAGES!$H22="ron",F21+ARBITRAGES!$G22,F21),F21))</f>
        <v>0</v>
      </c>
      <c r="G22" s="545">
        <f>IF($M22="","", IF(ARBITRAGES!$G22&gt;0,IF(ARBITRAGES!$H22="link",G21+ARBITRAGES!$G22,G21),G21))</f>
        <v>0</v>
      </c>
      <c r="H22" s="545">
        <f>IF($M22="","", IF(ARBITRAGES!$G22&gt;0,IF(ARBITRAGES!$H22="doge",H21+ARBITRAGES!$G22,H21),H21))</f>
        <v>0</v>
      </c>
      <c r="I22" s="545">
        <f t="shared" si="3"/>
        <v>645.78248</v>
      </c>
      <c r="J22" s="545">
        <f t="shared" si="4"/>
        <v>244.016</v>
      </c>
      <c r="K22" s="545">
        <f>IF($M22="","", IF(ARBITRAGES!$G22&gt;0,IF(ARBITRAGES!$H22="*jup*",K21+ARBITRAGES!$G22,K21),K21))</f>
        <v>0</v>
      </c>
      <c r="L22" s="545">
        <f>IF($M22="","", IF(ARBITRAGES!$G22&gt;0,IF(ARBITRAGES!$H22="*aave*",L21+ARBITRAGES!$G22,L21),L21))</f>
        <v>0</v>
      </c>
      <c r="M22" s="540">
        <f>IF(ARBITRAGES!E22="","",ARBITRAGES!E22)</f>
        <v>45551</v>
      </c>
      <c r="N22" s="541">
        <f>IF(M22="","", SUM(A22:H22)+ARBITRAGES!$K$3)</f>
        <v>37467.52166</v>
      </c>
      <c r="O22" s="542">
        <f>IF(M22="","",PRIX!U22)</f>
        <v>36696.80664</v>
      </c>
      <c r="Q22" s="543">
        <f t="shared" si="1"/>
        <v>-0.02057021613</v>
      </c>
      <c r="S22" s="544">
        <f t="shared" si="2"/>
        <v>-770.7150183</v>
      </c>
    </row>
    <row r="23">
      <c r="A23" s="545">
        <f>IF($M23="","", IF(ARBITRAGES!$G23&gt;0,IF(ARBITRAGES!$H23="btc",A22+ARBITRAGES!$G23,A22),A22))</f>
        <v>5999.429056</v>
      </c>
      <c r="B23" s="545">
        <f>IF($M23="","", IF(ARBITRAGES!$G23&gt;0,IF(ARBITRAGES!$H23="eth",B22+ARBITRAGES!$G23,B22),B22))</f>
        <v>5059.398762</v>
      </c>
      <c r="C23" s="545">
        <f>IF($M23="","", IF(ARBITRAGES!$G23&gt;0,IF(ARBITRAGES!$H23="ton",C22+ARBITRAGES!$G23,C22),C22))</f>
        <v>0</v>
      </c>
      <c r="D23" s="545">
        <f>IF($M23="","", IF(ARBITRAGES!$G23&gt;0,IF(ARBITRAGES!$H23="sol",D22+ARBITRAGES!$G23,D22),D22))</f>
        <v>4858.693837</v>
      </c>
      <c r="E23" s="545">
        <f>IF($M23="","", IF(ARBITRAGES!$G23&gt;0,IF(ARBITRAGES!$H23="tao",E22+ARBITRAGES!$G23,E22),E22))</f>
        <v>0</v>
      </c>
      <c r="F23" s="545">
        <f>IF($M23="","", IF(ARBITRAGES!$G23&gt;0,IF(ARBITRAGES!$H23="ron",F22+ARBITRAGES!$G23,F22),F22))</f>
        <v>0</v>
      </c>
      <c r="G23" s="545">
        <f>IF($M23="","", IF(ARBITRAGES!$G23&gt;0,IF(ARBITRAGES!$H23="link",G22+ARBITRAGES!$G23,G22),G22))</f>
        <v>0</v>
      </c>
      <c r="H23" s="545">
        <f>IF($M23="","", IF(ARBITRAGES!$G23&gt;0,IF(ARBITRAGES!$H23="doge",H22+ARBITRAGES!$G23,H22),H22))</f>
        <v>0</v>
      </c>
      <c r="I23" s="545">
        <f t="shared" si="3"/>
        <v>645.78248</v>
      </c>
      <c r="J23" s="545">
        <f t="shared" si="4"/>
        <v>244.016</v>
      </c>
      <c r="K23" s="545">
        <f>IF($M23="","", IF(ARBITRAGES!$G23&gt;0,IF(ARBITRAGES!$H23="*jup*",K22+ARBITRAGES!$G23,K22),K22))</f>
        <v>0</v>
      </c>
      <c r="L23" s="545">
        <f>IF($M23="","", IF(ARBITRAGES!$G23&gt;0,IF(ARBITRAGES!$H23="*aave*",L22+ARBITRAGES!$G23,L22),L22))</f>
        <v>0</v>
      </c>
      <c r="M23" s="540">
        <f>IF(ARBITRAGES!E23="","",ARBITRAGES!E23)</f>
        <v>45552</v>
      </c>
      <c r="N23" s="541">
        <f>IF(M23="","", SUM(A23:H23)+ARBITRAGES!$K$3)</f>
        <v>37467.52166</v>
      </c>
      <c r="O23" s="542">
        <f>IF(M23="","",PRIX!U23)</f>
        <v>37935.51998</v>
      </c>
      <c r="Q23" s="543">
        <f t="shared" si="1"/>
        <v>0.01249077344</v>
      </c>
      <c r="S23" s="544">
        <f t="shared" si="2"/>
        <v>467.9983243</v>
      </c>
    </row>
    <row r="24">
      <c r="A24" s="545">
        <f>IF($M24="","", IF(ARBITRAGES!$G24&gt;0,IF(ARBITRAGES!$H24="btc",A23+ARBITRAGES!$G24,A23),A23))</f>
        <v>5999.429056</v>
      </c>
      <c r="B24" s="545">
        <f>IF($M24="","", IF(ARBITRAGES!$G24&gt;0,IF(ARBITRAGES!$H24="eth",B23+ARBITRAGES!$G24,B23),B23))</f>
        <v>5059.398762</v>
      </c>
      <c r="C24" s="545">
        <f>IF($M24="","", IF(ARBITRAGES!$G24&gt;0,IF(ARBITRAGES!$H24="ton",C23+ARBITRAGES!$G24,C23),C23))</f>
        <v>0</v>
      </c>
      <c r="D24" s="545">
        <f>IF($M24="","", IF(ARBITRAGES!$G24&gt;0,IF(ARBITRAGES!$H24="sol",D23+ARBITRAGES!$G24,D23),D23))</f>
        <v>4858.693837</v>
      </c>
      <c r="E24" s="545">
        <f>IF($M24="","", IF(ARBITRAGES!$G24&gt;0,IF(ARBITRAGES!$H24="tao",E23+ARBITRAGES!$G24,E23),E23))</f>
        <v>0</v>
      </c>
      <c r="F24" s="545">
        <f>IF($M24="","", IF(ARBITRAGES!$G24&gt;0,IF(ARBITRAGES!$H24="ron",F23+ARBITRAGES!$G24,F23),F23))</f>
        <v>0</v>
      </c>
      <c r="G24" s="545">
        <f>IF($M24="","", IF(ARBITRAGES!$G24&gt;0,IF(ARBITRAGES!$H24="link",G23+ARBITRAGES!$G24,G23),G23))</f>
        <v>0</v>
      </c>
      <c r="H24" s="545">
        <f>IF($M24="","", IF(ARBITRAGES!$G24&gt;0,IF(ARBITRAGES!$H24="doge",H23+ARBITRAGES!$G24,H23),H23))</f>
        <v>0</v>
      </c>
      <c r="I24" s="545">
        <f t="shared" si="3"/>
        <v>645.78248</v>
      </c>
      <c r="J24" s="545">
        <f t="shared" si="4"/>
        <v>244.016</v>
      </c>
      <c r="K24" s="545">
        <f>IF($M24="","", IF(ARBITRAGES!$G24&gt;0,IF(ARBITRAGES!$H24="*jup*",K23+ARBITRAGES!$G24,K23),K23))</f>
        <v>0</v>
      </c>
      <c r="L24" s="545">
        <f>IF($M24="","", IF(ARBITRAGES!$G24&gt;0,IF(ARBITRAGES!$H24="*aave*",L23+ARBITRAGES!$G24,L23),L23))</f>
        <v>0</v>
      </c>
      <c r="M24" s="540">
        <f>IF(ARBITRAGES!E24="","",ARBITRAGES!E24)</f>
        <v>45555</v>
      </c>
      <c r="N24" s="541">
        <f>IF(M24="","", SUM(A24:H24)+ARBITRAGES!$K$3)</f>
        <v>37467.52166</v>
      </c>
      <c r="O24" s="542">
        <f>IF(M24="","",PRIX!U24)</f>
        <v>40252.67797</v>
      </c>
      <c r="Q24" s="543">
        <f t="shared" si="1"/>
        <v>0.07433521594</v>
      </c>
      <c r="S24" s="544">
        <f t="shared" si="2"/>
        <v>2785.156313</v>
      </c>
    </row>
    <row r="25">
      <c r="A25" s="545">
        <f>IF($M25="","", IF(ARBITRAGES!$G25&gt;0,IF(ARBITRAGES!$H25="btc",A24+ARBITRAGES!$G25,A24),A24))</f>
        <v>5999.429056</v>
      </c>
      <c r="B25" s="545">
        <f>IF($M25="","", IF(ARBITRAGES!$G25&gt;0,IF(ARBITRAGES!$H25="eth",B24+ARBITRAGES!$G25,B24),B24))</f>
        <v>5059.398762</v>
      </c>
      <c r="C25" s="545">
        <f>IF($M25="","", IF(ARBITRAGES!$G25&gt;0,IF(ARBITRAGES!$H25="ton",C24+ARBITRAGES!$G25,C24),C24))</f>
        <v>0</v>
      </c>
      <c r="D25" s="545">
        <f>IF($M25="","", IF(ARBITRAGES!$G25&gt;0,IF(ARBITRAGES!$H25="sol",D24+ARBITRAGES!$G25,D24),D24))</f>
        <v>4858.693837</v>
      </c>
      <c r="E25" s="545">
        <f>IF($M25="","", IF(ARBITRAGES!$G25&gt;0,IF(ARBITRAGES!$H25="tao",E24+ARBITRAGES!$G25,E24),E24))</f>
        <v>0</v>
      </c>
      <c r="F25" s="545">
        <f>IF($M25="","", IF(ARBITRAGES!$G25&gt;0,IF(ARBITRAGES!$H25="ron",F24+ARBITRAGES!$G25,F24),F24))</f>
        <v>0</v>
      </c>
      <c r="G25" s="545">
        <f>IF($M25="","", IF(ARBITRAGES!$G25&gt;0,IF(ARBITRAGES!$H25="link",G24+ARBITRAGES!$G25,G24),G24))</f>
        <v>0</v>
      </c>
      <c r="H25" s="545">
        <f>IF($M25="","", IF(ARBITRAGES!$G25&gt;0,IF(ARBITRAGES!$H25="doge",H24+ARBITRAGES!$G25,H24),H24))</f>
        <v>0</v>
      </c>
      <c r="I25" s="545">
        <f t="shared" si="3"/>
        <v>645.78248</v>
      </c>
      <c r="J25" s="545">
        <f t="shared" si="4"/>
        <v>244.016</v>
      </c>
      <c r="K25" s="545">
        <f>IF($M25="","", IF(ARBITRAGES!$G25&gt;0,IF(ARBITRAGES!$H25="*jup*",K24+ARBITRAGES!$G25,K24),K24))</f>
        <v>0</v>
      </c>
      <c r="L25" s="545">
        <f>IF($M25="","", IF(ARBITRAGES!$G25&gt;0,IF(ARBITRAGES!$H25="*aave*",L24+ARBITRAGES!$G25,L24),L24))</f>
        <v>0</v>
      </c>
      <c r="M25" s="540">
        <f>IF(ARBITRAGES!E25="","",ARBITRAGES!E25)</f>
        <v>45557</v>
      </c>
      <c r="N25" s="541">
        <f>IF(M25="","", SUM(A25:H25)+ARBITRAGES!$K$3)</f>
        <v>37467.52166</v>
      </c>
      <c r="O25" s="542">
        <f>IF(M25="","",PRIX!U25)</f>
        <v>41372.68005</v>
      </c>
      <c r="Q25" s="543">
        <f t="shared" si="1"/>
        <v>0.1042278277</v>
      </c>
      <c r="S25" s="544">
        <f t="shared" si="2"/>
        <v>3905.158393</v>
      </c>
    </row>
    <row r="26">
      <c r="A26" s="545">
        <f>IF($M26="","", IF(ARBITRAGES!$G26&gt;0,IF(ARBITRAGES!$H26="btc",A25+ARBITRAGES!$G26,A25),A25))</f>
        <v>5999.429056</v>
      </c>
      <c r="B26" s="545">
        <f>IF($M26="","", IF(ARBITRAGES!$G26&gt;0,IF(ARBITRAGES!$H26="eth",B25+ARBITRAGES!$G26,B25),B25))</f>
        <v>5059.398762</v>
      </c>
      <c r="C26" s="545">
        <f>IF($M26="","", IF(ARBITRAGES!$G26&gt;0,IF(ARBITRAGES!$H26="ton",C25+ARBITRAGES!$G26,C25),C25))</f>
        <v>0</v>
      </c>
      <c r="D26" s="545">
        <f>IF($M26="","", IF(ARBITRAGES!$G26&gt;0,IF(ARBITRAGES!$H26="sol",D25+ARBITRAGES!$G26,D25),D25))</f>
        <v>4858.693837</v>
      </c>
      <c r="E26" s="545">
        <f>IF($M26="","", IF(ARBITRAGES!$G26&gt;0,IF(ARBITRAGES!$H26="tao",E25+ARBITRAGES!$G26,E25),E25))</f>
        <v>0</v>
      </c>
      <c r="F26" s="545">
        <f>IF($M26="","", IF(ARBITRAGES!$G26&gt;0,IF(ARBITRAGES!$H26="ron",F25+ARBITRAGES!$G26,F25),F25))</f>
        <v>0</v>
      </c>
      <c r="G26" s="545">
        <f>IF($M26="","", IF(ARBITRAGES!$G26&gt;0,IF(ARBITRAGES!$H26="link",G25+ARBITRAGES!$G26,G25),G25))</f>
        <v>0</v>
      </c>
      <c r="H26" s="545">
        <f>IF($M26="","", IF(ARBITRAGES!$G26&gt;0,IF(ARBITRAGES!$H26="doge",H25+ARBITRAGES!$G26,H25),H25))</f>
        <v>0</v>
      </c>
      <c r="I26" s="545">
        <f t="shared" si="3"/>
        <v>645.78248</v>
      </c>
      <c r="J26" s="545">
        <f t="shared" si="4"/>
        <v>244.016</v>
      </c>
      <c r="K26" s="545">
        <f>IF($M26="","", IF(ARBITRAGES!$G26&gt;0,IF(ARBITRAGES!$H26="*jup*",K25+ARBITRAGES!$G26,K25),K25))</f>
        <v>0</v>
      </c>
      <c r="L26" s="545">
        <f>IF($M26="","", IF(ARBITRAGES!$G26&gt;0,IF(ARBITRAGES!$H26="*aave*",L25+ARBITRAGES!$G26,L25),L25))</f>
        <v>0</v>
      </c>
      <c r="M26" s="540">
        <f>IF(ARBITRAGES!E26="","",ARBITRAGES!E26)</f>
        <v>45558</v>
      </c>
      <c r="N26" s="541">
        <f>IF(M26="","", SUM(A26:H26)+ARBITRAGES!$K$3)</f>
        <v>37467.52166</v>
      </c>
      <c r="O26" s="542">
        <f>IF(M26="","",PRIX!U26)</f>
        <v>40838.91522</v>
      </c>
      <c r="Q26" s="543">
        <f t="shared" si="1"/>
        <v>0.08998176064</v>
      </c>
      <c r="S26" s="544">
        <f t="shared" si="2"/>
        <v>3371.393565</v>
      </c>
    </row>
    <row r="27">
      <c r="A27" s="545">
        <f>IF($M27="","", IF(ARBITRAGES!$G27&gt;0,IF(ARBITRAGES!$H27="btc",A26+ARBITRAGES!$G27,A26),A26))</f>
        <v>5999.429056</v>
      </c>
      <c r="B27" s="545">
        <f>IF($M27="","", IF(ARBITRAGES!$G27&gt;0,IF(ARBITRAGES!$H27="eth",B26+ARBITRAGES!$G27,B26),B26))</f>
        <v>5059.398762</v>
      </c>
      <c r="C27" s="545">
        <f>IF($M27="","", IF(ARBITRAGES!$G27&gt;0,IF(ARBITRAGES!$H27="ton",C26+ARBITRAGES!$G27,C26),C26))</f>
        <v>0</v>
      </c>
      <c r="D27" s="545">
        <f>IF($M27="","", IF(ARBITRAGES!$G27&gt;0,IF(ARBITRAGES!$H27="sol",D26+ARBITRAGES!$G27,D26),D26))</f>
        <v>4858.693837</v>
      </c>
      <c r="E27" s="545">
        <f>IF($M27="","", IF(ARBITRAGES!$G27&gt;0,IF(ARBITRAGES!$H27="tao",E26+ARBITRAGES!$G27,E26),E26))</f>
        <v>0</v>
      </c>
      <c r="F27" s="545">
        <f>IF($M27="","", IF(ARBITRAGES!$G27&gt;0,IF(ARBITRAGES!$H27="ron",F26+ARBITRAGES!$G27,F26),F26))</f>
        <v>0</v>
      </c>
      <c r="G27" s="545">
        <f>IF($M27="","", IF(ARBITRAGES!$G27&gt;0,IF(ARBITRAGES!$H27="link",G26+ARBITRAGES!$G27,G26),G26))</f>
        <v>0</v>
      </c>
      <c r="H27" s="545">
        <f>IF($M27="","", IF(ARBITRAGES!$G27&gt;0,IF(ARBITRAGES!$H27="doge",H26+ARBITRAGES!$G27,H26),H26))</f>
        <v>0</v>
      </c>
      <c r="I27" s="545">
        <f t="shared" si="3"/>
        <v>645.78248</v>
      </c>
      <c r="J27" s="545">
        <f t="shared" si="4"/>
        <v>244.016</v>
      </c>
      <c r="K27" s="545">
        <f>IF($M27="","", IF(ARBITRAGES!$G27&gt;0,IF(ARBITRAGES!$H27="*jup*",K26+ARBITRAGES!$G27,K26),K26))</f>
        <v>0</v>
      </c>
      <c r="L27" s="545">
        <f>IF($M27="","", IF(ARBITRAGES!$G27&gt;0,IF(ARBITRAGES!$H27="*aave*",L26+ARBITRAGES!$G27,L26),L26))</f>
        <v>0</v>
      </c>
      <c r="M27" s="540">
        <f>IF(ARBITRAGES!E27="","",ARBITRAGES!E27)</f>
        <v>45568</v>
      </c>
      <c r="N27" s="541">
        <f>IF(M27="","", SUM(A27:H27)+ARBITRAGES!$K$3)</f>
        <v>37467.52166</v>
      </c>
      <c r="O27" s="542">
        <f>IF(M27="","",PRIX!U27)</f>
        <v>38996.08912</v>
      </c>
      <c r="Q27" s="543">
        <f t="shared" si="1"/>
        <v>0.04079713301</v>
      </c>
      <c r="S27" s="544">
        <f t="shared" si="2"/>
        <v>1528.567465</v>
      </c>
    </row>
    <row r="28">
      <c r="A28" s="545">
        <f>IF($M28="","", IF(ARBITRAGES!$G28&gt;0,IF(ARBITRAGES!$H28="btc",A27+ARBITRAGES!$G28,A27),A27))</f>
        <v>5999.429056</v>
      </c>
      <c r="B28" s="545">
        <f>IF($M28="","", IF(ARBITRAGES!$G28&gt;0,IF(ARBITRAGES!$H28="eth",B27+ARBITRAGES!$G28,B27),B27))</f>
        <v>5059.398762</v>
      </c>
      <c r="C28" s="545">
        <f>IF($M28="","", IF(ARBITRAGES!$G28&gt;0,IF(ARBITRAGES!$H28="ton",C27+ARBITRAGES!$G28,C27),C27))</f>
        <v>0</v>
      </c>
      <c r="D28" s="545">
        <f>IF($M28="","", IF(ARBITRAGES!$G28&gt;0,IF(ARBITRAGES!$H28="sol",D27+ARBITRAGES!$G28,D27),D27))</f>
        <v>4858.693837</v>
      </c>
      <c r="E28" s="545">
        <f>IF($M28="","", IF(ARBITRAGES!$G28&gt;0,IF(ARBITRAGES!$H28="tao",E27+ARBITRAGES!$G28,E27),E27))</f>
        <v>0</v>
      </c>
      <c r="F28" s="545">
        <f>IF($M28="","", IF(ARBITRAGES!$G28&gt;0,IF(ARBITRAGES!$H28="ron",F27+ARBITRAGES!$G28,F27),F27))</f>
        <v>0</v>
      </c>
      <c r="G28" s="545">
        <f>IF($M28="","", IF(ARBITRAGES!$G28&gt;0,IF(ARBITRAGES!$H28="link",G27+ARBITRAGES!$G28,G27),G27))</f>
        <v>0</v>
      </c>
      <c r="H28" s="545">
        <f>IF($M28="","", IF(ARBITRAGES!$G28&gt;0,IF(ARBITRAGES!$H28="doge",H27+ARBITRAGES!$G28,H27),H27))</f>
        <v>0</v>
      </c>
      <c r="I28" s="545">
        <f t="shared" si="3"/>
        <v>645.78248</v>
      </c>
      <c r="J28" s="545">
        <f t="shared" si="4"/>
        <v>244.016</v>
      </c>
      <c r="K28" s="545">
        <f>IF($M28="","", IF(ARBITRAGES!$G28&gt;0,IF(ARBITRAGES!$H28="*jup*",K27+ARBITRAGES!$G28,K27),K27))</f>
        <v>0</v>
      </c>
      <c r="L28" s="545">
        <f>IF($M28="","", IF(ARBITRAGES!$G28&gt;0,IF(ARBITRAGES!$H28="*aave*",L27+ARBITRAGES!$G28,L27),L27))</f>
        <v>0</v>
      </c>
      <c r="M28" s="540">
        <f>IF(ARBITRAGES!E28="","",ARBITRAGES!E28)</f>
        <v>45586</v>
      </c>
      <c r="N28" s="541">
        <f>IF(M28="","", SUM(A28:H28)+ARBITRAGES!$K$3)</f>
        <v>37467.52166</v>
      </c>
      <c r="O28" s="542">
        <f>IF(M28="","",PRIX!U28)</f>
        <v>43650.54392</v>
      </c>
      <c r="Q28" s="543">
        <f t="shared" si="1"/>
        <v>0.165023519</v>
      </c>
      <c r="S28" s="544">
        <f t="shared" si="2"/>
        <v>6183.02227</v>
      </c>
    </row>
    <row r="29">
      <c r="A29" s="545">
        <f>IF($M29="","", IF(ARBITRAGES!$G29&gt;0,IF(ARBITRAGES!$H29="btc",A28+ARBITRAGES!$G29,A28),A28))</f>
        <v>5999.429056</v>
      </c>
      <c r="B29" s="545">
        <f>IF($M29="","", IF(ARBITRAGES!$G29&gt;0,IF(ARBITRAGES!$H29="eth",B28+ARBITRAGES!$G29,B28),B28))</f>
        <v>5059.398762</v>
      </c>
      <c r="C29" s="545">
        <f>IF($M29="","", IF(ARBITRAGES!$G29&gt;0,IF(ARBITRAGES!$H29="ton",C28+ARBITRAGES!$G29,C28),C28))</f>
        <v>0</v>
      </c>
      <c r="D29" s="545">
        <f>IF($M29="","", IF(ARBITRAGES!$G29&gt;0,IF(ARBITRAGES!$H29="sol",D28+ARBITRAGES!$G29,D28),D28))</f>
        <v>4858.693837</v>
      </c>
      <c r="E29" s="545">
        <f>IF($M29="","", IF(ARBITRAGES!$G29&gt;0,IF(ARBITRAGES!$H29="tao",E28+ARBITRAGES!$G29,E28),E28))</f>
        <v>0</v>
      </c>
      <c r="F29" s="545">
        <f>IF($M29="","", IF(ARBITRAGES!$G29&gt;0,IF(ARBITRAGES!$H29="ron",F28+ARBITRAGES!$G29,F28),F28))</f>
        <v>0</v>
      </c>
      <c r="G29" s="545">
        <f>IF($M29="","", IF(ARBITRAGES!$G29&gt;0,IF(ARBITRAGES!$H29="link",G28+ARBITRAGES!$G29,G28),G28))</f>
        <v>0</v>
      </c>
      <c r="H29" s="545">
        <f>IF($M29="","", IF(ARBITRAGES!$G29&gt;0,IF(ARBITRAGES!$H29="doge",H28+ARBITRAGES!$G29,H28),H28))</f>
        <v>0</v>
      </c>
      <c r="I29" s="545">
        <f t="shared" si="3"/>
        <v>645.78248</v>
      </c>
      <c r="J29" s="545">
        <f t="shared" si="4"/>
        <v>244.016</v>
      </c>
      <c r="K29" s="545">
        <f>IF($M29="","", IF(ARBITRAGES!$G29&gt;0,IF(ARBITRAGES!$H29="*jup*",K28+ARBITRAGES!$G29,K28),K28))</f>
        <v>0</v>
      </c>
      <c r="L29" s="545">
        <f>IF($M29="","", IF(ARBITRAGES!$G29&gt;0,IF(ARBITRAGES!$H29="*aave*",L28+ARBITRAGES!$G29,L28),L28))</f>
        <v>0</v>
      </c>
      <c r="M29" s="540">
        <f>IF(ARBITRAGES!E29="","",ARBITRAGES!E29)</f>
        <v>45591</v>
      </c>
      <c r="N29" s="541">
        <f>IF(M29="","", SUM(A29:H29)+ARBITRAGES!$K$3)</f>
        <v>37467.52166</v>
      </c>
      <c r="O29" s="542">
        <f>IF(M29="","",PRIX!U29)</f>
        <v>44302.28453</v>
      </c>
      <c r="Q29" s="543">
        <f t="shared" si="1"/>
        <v>0.1824183338</v>
      </c>
      <c r="S29" s="544">
        <f t="shared" si="2"/>
        <v>6834.762872</v>
      </c>
    </row>
    <row r="30">
      <c r="A30" s="545">
        <f>IF($M30="","", IF(ARBITRAGES!$G30&gt;0,IF(ARBITRAGES!$H30="btc",A29+ARBITRAGES!$G30,A29),A29))</f>
        <v>5999.429056</v>
      </c>
      <c r="B30" s="545">
        <f>IF($M30="","", IF(ARBITRAGES!$G30&gt;0,IF(ARBITRAGES!$H30="eth",B29+ARBITRAGES!$G30,B29),B29))</f>
        <v>5059.398762</v>
      </c>
      <c r="C30" s="545">
        <f>IF($M30="","", IF(ARBITRAGES!$G30&gt;0,IF(ARBITRAGES!$H30="ton",C29+ARBITRAGES!$G30,C29),C29))</f>
        <v>0</v>
      </c>
      <c r="D30" s="545">
        <f>IF($M30="","", IF(ARBITRAGES!$G30&gt;0,IF(ARBITRAGES!$H30="sol",D29+ARBITRAGES!$G30,D29),D29))</f>
        <v>4858.693837</v>
      </c>
      <c r="E30" s="545">
        <f>IF($M30="","", IF(ARBITRAGES!$G30&gt;0,IF(ARBITRAGES!$H30="tao",E29+ARBITRAGES!$G30,E29),E29))</f>
        <v>0</v>
      </c>
      <c r="F30" s="545">
        <f>IF($M30="","", IF(ARBITRAGES!$G30&gt;0,IF(ARBITRAGES!$H30="ron",F29+ARBITRAGES!$G30,F29),F29))</f>
        <v>0</v>
      </c>
      <c r="G30" s="545">
        <f>IF($M30="","", IF(ARBITRAGES!$G30&gt;0,IF(ARBITRAGES!$H30="link",G29+ARBITRAGES!$G30,G29),G29))</f>
        <v>0</v>
      </c>
      <c r="H30" s="545">
        <f>IF($M30="","", IF(ARBITRAGES!$G30&gt;0,IF(ARBITRAGES!$H30="doge",H29+ARBITRAGES!$G30,H29),H29))</f>
        <v>0</v>
      </c>
      <c r="I30" s="545">
        <f t="shared" si="3"/>
        <v>645.78248</v>
      </c>
      <c r="J30" s="545">
        <f t="shared" si="4"/>
        <v>244.016</v>
      </c>
      <c r="K30" s="545">
        <f>IF($M30="","", IF(ARBITRAGES!$G30&gt;0,IF(ARBITRAGES!$H30="*jup*",K29+ARBITRAGES!$G30,K29),K29))</f>
        <v>0</v>
      </c>
      <c r="L30" s="545">
        <f>IF($M30="","", IF(ARBITRAGES!$G30&gt;0,IF(ARBITRAGES!$H30="*aave*",L29+ARBITRAGES!$G30,L29),L29))</f>
        <v>0</v>
      </c>
      <c r="M30" s="540">
        <f>IF(ARBITRAGES!E30="","",ARBITRAGES!E30)</f>
        <v>45594</v>
      </c>
      <c r="N30" s="541">
        <f>IF(M30="","", SUM(A30:H30)+ARBITRAGES!$K$3)</f>
        <v>37467.52166</v>
      </c>
      <c r="O30" s="542">
        <f>IF(M30="","",PRIX!U30)</f>
        <v>44166.08036</v>
      </c>
      <c r="Q30" s="543">
        <f t="shared" si="1"/>
        <v>0.1787830743</v>
      </c>
      <c r="S30" s="544">
        <f t="shared" si="2"/>
        <v>6698.558707</v>
      </c>
    </row>
    <row r="31">
      <c r="A31" s="545">
        <f>IF($M31="","", IF(ARBITRAGES!$G31&gt;0,IF(ARBITRAGES!$H31="btc",A30+ARBITRAGES!$G31,A30),A30))</f>
        <v>5999.429056</v>
      </c>
      <c r="B31" s="545">
        <f>IF($M31="","", IF(ARBITRAGES!$G31&gt;0,IF(ARBITRAGES!$H31="eth",B30+ARBITRAGES!$G31,B30),B30))</f>
        <v>5059.398762</v>
      </c>
      <c r="C31" s="545">
        <f>IF($M31="","", IF(ARBITRAGES!$G31&gt;0,IF(ARBITRAGES!$H31="ton",C30+ARBITRAGES!$G31,C30),C30))</f>
        <v>0</v>
      </c>
      <c r="D31" s="545">
        <f>IF($M31="","", IF(ARBITRAGES!$G31&gt;0,IF(ARBITRAGES!$H31="sol",D30+ARBITRAGES!$G31,D30),D30))</f>
        <v>4858.693837</v>
      </c>
      <c r="E31" s="545">
        <f>IF($M31="","", IF(ARBITRAGES!$G31&gt;0,IF(ARBITRAGES!$H31="tao",E30+ARBITRAGES!$G31,E30),E30))</f>
        <v>0</v>
      </c>
      <c r="F31" s="545">
        <f>IF($M31="","", IF(ARBITRAGES!$G31&gt;0,IF(ARBITRAGES!$H31="ron",F30+ARBITRAGES!$G31,F30),F30))</f>
        <v>0</v>
      </c>
      <c r="G31" s="545">
        <f>IF($M31="","", IF(ARBITRAGES!$G31&gt;0,IF(ARBITRAGES!$H31="link",G30+ARBITRAGES!$G31,G30),G30))</f>
        <v>0</v>
      </c>
      <c r="H31" s="545">
        <f>IF($M31="","", IF(ARBITRAGES!$G31&gt;0,IF(ARBITRAGES!$H31="doge",H30+ARBITRAGES!$G31,H30),H30))</f>
        <v>0</v>
      </c>
      <c r="I31" s="545">
        <f t="shared" ref="I31:J31" si="5">IF(H31="","",I30)</f>
        <v>645.78248</v>
      </c>
      <c r="J31" s="545">
        <f t="shared" si="5"/>
        <v>244.016</v>
      </c>
      <c r="K31" s="545">
        <f>IF($M31="","", IF(ARBITRAGES!$G31&gt;0,IF(ARBITRAGES!$H31="*jup*",K30+ARBITRAGES!$G31,K30),K30))</f>
        <v>0</v>
      </c>
      <c r="L31" s="545">
        <f>IF($M31="","", IF(ARBITRAGES!$G31&gt;0,IF(ARBITRAGES!$H31="*aave*",L30+ARBITRAGES!$G31,L30),L30))</f>
        <v>0</v>
      </c>
      <c r="M31" s="540">
        <f>IF(ARBITRAGES!E31="","",ARBITRAGES!E31)</f>
        <v>45595</v>
      </c>
      <c r="N31" s="541">
        <f>IF(M31="","", SUM(A31:H31)+ARBITRAGES!$K$3)</f>
        <v>37467.52166</v>
      </c>
      <c r="O31" s="542">
        <f>IF(M31="","",PRIX!U31)</f>
        <v>41963.67533</v>
      </c>
      <c r="Q31" s="543">
        <f t="shared" si="1"/>
        <v>0.1200013632</v>
      </c>
      <c r="S31" s="544">
        <f t="shared" si="2"/>
        <v>4496.153673</v>
      </c>
    </row>
    <row r="32">
      <c r="A32" s="545">
        <f>IF($M32="","", IF(ARBITRAGES!$G32&gt;0,IF(ARBITRAGES!$H32="btc",A31+ARBITRAGES!$G32,A31),A31))</f>
        <v>5999.429056</v>
      </c>
      <c r="B32" s="545">
        <f>IF($M32="","", IF(ARBITRAGES!$G32&gt;0,IF(ARBITRAGES!$H32="eth",B31+ARBITRAGES!$G32,B31),B31))</f>
        <v>5059.398762</v>
      </c>
      <c r="C32" s="545">
        <f>IF($M32="","", IF(ARBITRAGES!$G32&gt;0,IF(ARBITRAGES!$H32="ton",C31+ARBITRAGES!$G32,C31),C31))</f>
        <v>0</v>
      </c>
      <c r="D32" s="545">
        <f>IF($M32="","", IF(ARBITRAGES!$G32&gt;0,IF(ARBITRAGES!$H32="sol",D31+ARBITRAGES!$G32,D31),D31))</f>
        <v>4858.693837</v>
      </c>
      <c r="E32" s="545">
        <f>IF($M32="","", IF(ARBITRAGES!$G32&gt;0,IF(ARBITRAGES!$H32="tao",E31+ARBITRAGES!$G32,E31),E31))</f>
        <v>0</v>
      </c>
      <c r="F32" s="545">
        <f>IF($M32="","", IF(ARBITRAGES!$G32&gt;0,IF(ARBITRAGES!$H32="ron",F31+ARBITRAGES!$G32,F31),F31))</f>
        <v>0</v>
      </c>
      <c r="G32" s="545">
        <f>IF($M32="","", IF(ARBITRAGES!$G32&gt;0,IF(ARBITRAGES!$H32="link",G31+ARBITRAGES!$G32,G31),G31))</f>
        <v>0</v>
      </c>
      <c r="H32" s="545">
        <f>IF($M32="","", IF(ARBITRAGES!$G32&gt;0,IF(ARBITRAGES!$H32="doge",H31+ARBITRAGES!$G32,H31),H31))</f>
        <v>0</v>
      </c>
      <c r="I32" s="545">
        <f t="shared" ref="I32:J32" si="6">IF(H32="","",I31)</f>
        <v>645.78248</v>
      </c>
      <c r="J32" s="545">
        <f t="shared" si="6"/>
        <v>244.016</v>
      </c>
      <c r="K32" s="545">
        <f>IF($M32="","", IF(ARBITRAGES!$G32&gt;0,IF(ARBITRAGES!$H32="*jup*",K31+ARBITRAGES!$G32,K31),K31))</f>
        <v>0</v>
      </c>
      <c r="L32" s="545">
        <f>IF($M32="","", IF(ARBITRAGES!$G32&gt;0,IF(ARBITRAGES!$H32="*aave*",L31+ARBITRAGES!$G32,L31),L31))</f>
        <v>0</v>
      </c>
      <c r="M32" s="540">
        <f>IF(ARBITRAGES!E32="","",ARBITRAGES!E32)</f>
        <v>45598</v>
      </c>
      <c r="N32" s="541">
        <f>IF(M32="","", SUM(A32:H32)+ARBITRAGES!$K$3)</f>
        <v>37467.52166</v>
      </c>
      <c r="O32" s="542">
        <f>IF(M32="","",PRIX!U32)</f>
        <v>40654.55668</v>
      </c>
      <c r="Q32" s="543">
        <f t="shared" si="1"/>
        <v>0.08506127125</v>
      </c>
      <c r="S32" s="544">
        <f t="shared" si="2"/>
        <v>3187.035023</v>
      </c>
    </row>
    <row r="33">
      <c r="A33" s="545">
        <f>IF($M33="","", IF(ARBITRAGES!$G33&gt;0,IF(ARBITRAGES!$H33="btc",A32+ARBITRAGES!$G33,A32),A32))</f>
        <v>5999.429056</v>
      </c>
      <c r="B33" s="545">
        <f>IF($M33="","", IF(ARBITRAGES!$G33&gt;0,IF(ARBITRAGES!$H33="eth",B32+ARBITRAGES!$G33,B32),B32))</f>
        <v>5059.398762</v>
      </c>
      <c r="C33" s="545">
        <f>IF($M33="","", IF(ARBITRAGES!$G33&gt;0,IF(ARBITRAGES!$H33="ton",C32+ARBITRAGES!$G33,C32),C32))</f>
        <v>0</v>
      </c>
      <c r="D33" s="545">
        <f>IF($M33="","", IF(ARBITRAGES!$G33&gt;0,IF(ARBITRAGES!$H33="sol",D32+ARBITRAGES!$G33,D32),D32))</f>
        <v>4858.693837</v>
      </c>
      <c r="E33" s="545">
        <f>IF($M33="","", IF(ARBITRAGES!$G33&gt;0,IF(ARBITRAGES!$H33="tao",E32+ARBITRAGES!$G33,E32),E32))</f>
        <v>0</v>
      </c>
      <c r="F33" s="545">
        <f>IF($M33="","", IF(ARBITRAGES!$G33&gt;0,IF(ARBITRAGES!$H33="ron",F32+ARBITRAGES!$G33,F32),F32))</f>
        <v>0</v>
      </c>
      <c r="G33" s="545">
        <f>IF($M33="","", IF(ARBITRAGES!$G33&gt;0,IF(ARBITRAGES!$H33="link",G32+ARBITRAGES!$G33,G32),G32))</f>
        <v>0</v>
      </c>
      <c r="H33" s="545">
        <f>IF($M33="","", IF(ARBITRAGES!$G33&gt;0,IF(ARBITRAGES!$H33="doge",H32+ARBITRAGES!$G33,H32),H32))</f>
        <v>0</v>
      </c>
      <c r="I33" s="545">
        <f t="shared" ref="I33:J33" si="7">IF(H33="","",I32)</f>
        <v>645.78248</v>
      </c>
      <c r="J33" s="545">
        <f t="shared" si="7"/>
        <v>244.016</v>
      </c>
      <c r="K33" s="545">
        <f>IF($M33="","", IF(ARBITRAGES!$G33&gt;0,IF(ARBITRAGES!$H33="*jup*",K32+ARBITRAGES!$G33,K32),K32))</f>
        <v>0</v>
      </c>
      <c r="L33" s="545">
        <f>IF($M33="","", IF(ARBITRAGES!$G33&gt;0,IF(ARBITRAGES!$H33="*aave*",L32+ARBITRAGES!$G33,L32),L32))</f>
        <v>0</v>
      </c>
      <c r="M33" s="540">
        <f>IF(ARBITRAGES!E33="","",ARBITRAGES!E33)</f>
        <v>45599</v>
      </c>
      <c r="N33" s="541">
        <f>IF(M33="","", SUM(A33:H33)+ARBITRAGES!$K$3)</f>
        <v>37467.52166</v>
      </c>
      <c r="O33" s="542">
        <f>IF(M33="","",PRIX!U33)</f>
        <v>40932.40497</v>
      </c>
      <c r="Q33" s="543">
        <f t="shared" si="1"/>
        <v>0.09247698161</v>
      </c>
      <c r="S33" s="544">
        <f t="shared" si="2"/>
        <v>3464.883311</v>
      </c>
    </row>
    <row r="34">
      <c r="A34" s="545">
        <f>IF($M34="","", IF(ARBITRAGES!$G34&gt;0,IF(ARBITRAGES!$H34="btc",A33+ARBITRAGES!$G34,A33),A33))</f>
        <v>5999.429056</v>
      </c>
      <c r="B34" s="545">
        <f>IF($M34="","", IF(ARBITRAGES!$G34&gt;0,IF(ARBITRAGES!$H34="eth",B33+ARBITRAGES!$G34,B33),B33))</f>
        <v>5059.398762</v>
      </c>
      <c r="C34" s="545">
        <f>IF($M34="","", IF(ARBITRAGES!$G34&gt;0,IF(ARBITRAGES!$H34="ton",C33+ARBITRAGES!$G34,C33),C33))</f>
        <v>0</v>
      </c>
      <c r="D34" s="545">
        <f>IF($M34="","", IF(ARBITRAGES!$G34&gt;0,IF(ARBITRAGES!$H34="sol",D33+ARBITRAGES!$G34,D33),D33))</f>
        <v>4858.693837</v>
      </c>
      <c r="E34" s="545">
        <f>IF($M34="","", IF(ARBITRAGES!$G34&gt;0,IF(ARBITRAGES!$H34="tao",E33+ARBITRAGES!$G34,E33),E33))</f>
        <v>0</v>
      </c>
      <c r="F34" s="545">
        <f>IF($M34="","", IF(ARBITRAGES!$G34&gt;0,IF(ARBITRAGES!$H34="ron",F33+ARBITRAGES!$G34,F33),F33))</f>
        <v>0</v>
      </c>
      <c r="G34" s="545">
        <f>IF($M34="","", IF(ARBITRAGES!$G34&gt;0,IF(ARBITRAGES!$H34="link",G33+ARBITRAGES!$G34,G33),G33))</f>
        <v>0</v>
      </c>
      <c r="H34" s="545">
        <f>IF($M34="","", IF(ARBITRAGES!$G34&gt;0,IF(ARBITRAGES!$H34="doge",H33+ARBITRAGES!$G34,H33),H33))</f>
        <v>0</v>
      </c>
      <c r="I34" s="545">
        <f t="shared" ref="I34:J34" si="8">IF(H34="","",I33)</f>
        <v>645.78248</v>
      </c>
      <c r="J34" s="545">
        <f t="shared" si="8"/>
        <v>244.016</v>
      </c>
      <c r="K34" s="545">
        <f>IF($M34="","", IF(ARBITRAGES!$G34&gt;0,IF(ARBITRAGES!$H34="*jup*",K33+ARBITRAGES!$G34,K33),K33))</f>
        <v>0</v>
      </c>
      <c r="L34" s="545">
        <f>IF($M34="","", IF(ARBITRAGES!$G34&gt;0,IF(ARBITRAGES!$H34="*aave*",L33+ARBITRAGES!$G34,L33),L33))</f>
        <v>0</v>
      </c>
      <c r="M34" s="540">
        <f>IF(ARBITRAGES!E34="","",ARBITRAGES!E34)</f>
        <v>45602</v>
      </c>
      <c r="N34" s="541">
        <f>IF(M34="","", SUM(A34:H34)+ARBITRAGES!$K$3)</f>
        <v>37467.52166</v>
      </c>
      <c r="O34" s="542">
        <f>IF(M34="","",PRIX!U34)</f>
        <v>45167.98138</v>
      </c>
      <c r="Q34" s="543">
        <f t="shared" si="1"/>
        <v>0.2055235945</v>
      </c>
      <c r="S34" s="544">
        <f t="shared" si="2"/>
        <v>7700.459727</v>
      </c>
    </row>
    <row r="35">
      <c r="A35" s="545">
        <f>IF($M35="","", IF(ARBITRAGES!$G35&gt;0,IF(ARBITRAGES!$H35="btc",A34+ARBITRAGES!$G35,A34),A34))</f>
        <v>5999.429056</v>
      </c>
      <c r="B35" s="545">
        <f>IF($M35="","", IF(ARBITRAGES!$G35&gt;0,IF(ARBITRAGES!$H35="eth",B34+ARBITRAGES!$G35,B34),B34))</f>
        <v>5059.398762</v>
      </c>
      <c r="C35" s="545">
        <f>IF($M35="","", IF(ARBITRAGES!$G35&gt;0,IF(ARBITRAGES!$H35="ton",C34+ARBITRAGES!$G35,C34),C34))</f>
        <v>0</v>
      </c>
      <c r="D35" s="545">
        <f>IF($M35="","", IF(ARBITRAGES!$G35&gt;0,IF(ARBITRAGES!$H35="sol",D34+ARBITRAGES!$G35,D34),D34))</f>
        <v>4858.693837</v>
      </c>
      <c r="E35" s="545">
        <f>IF($M35="","", IF(ARBITRAGES!$G35&gt;0,IF(ARBITRAGES!$H35="tao",E34+ARBITRAGES!$G35,E34),E34))</f>
        <v>0</v>
      </c>
      <c r="F35" s="545">
        <f>IF($M35="","", IF(ARBITRAGES!$G35&gt;0,IF(ARBITRAGES!$H35="ron",F34+ARBITRAGES!$G35,F34),F34))</f>
        <v>0</v>
      </c>
      <c r="G35" s="545">
        <f>IF($M35="","", IF(ARBITRAGES!$G35&gt;0,IF(ARBITRAGES!$H35="link",G34+ARBITRAGES!$G35,G34),G34))</f>
        <v>0</v>
      </c>
      <c r="H35" s="545">
        <f>IF($M35="","", IF(ARBITRAGES!$G35&gt;0,IF(ARBITRAGES!$H35="doge",H34+ARBITRAGES!$G35,H34),H34))</f>
        <v>0</v>
      </c>
      <c r="I35" s="545">
        <f t="shared" ref="I35:J35" si="9">IF(H35="","",I34)</f>
        <v>645.78248</v>
      </c>
      <c r="J35" s="545">
        <f t="shared" si="9"/>
        <v>244.016</v>
      </c>
      <c r="K35" s="545">
        <f>IF($M35="","", IF(ARBITRAGES!$G35&gt;0,IF(ARBITRAGES!$H35="*jup*",K34+ARBITRAGES!$G35,K34),K34))</f>
        <v>0</v>
      </c>
      <c r="L35" s="545">
        <f>IF($M35="","", IF(ARBITRAGES!$G35&gt;0,IF(ARBITRAGES!$H35="*aave*",L34+ARBITRAGES!$G35,L34),L34))</f>
        <v>0</v>
      </c>
      <c r="M35" s="540">
        <f>IF(ARBITRAGES!E35="","",ARBITRAGES!E35)</f>
        <v>45606</v>
      </c>
      <c r="N35" s="541">
        <f>IF(M35="","", SUM(A35:H35)+ARBITRAGES!$K$3)</f>
        <v>37467.52166</v>
      </c>
      <c r="O35" s="542">
        <f>IF(M35="","",PRIX!U35)</f>
        <v>50381.22143</v>
      </c>
      <c r="Q35" s="543">
        <f t="shared" si="1"/>
        <v>0.3446638368</v>
      </c>
      <c r="S35" s="544">
        <f t="shared" si="2"/>
        <v>12913.69977</v>
      </c>
    </row>
    <row r="36">
      <c r="A36" s="545">
        <f>IF($M36="","", IF(ARBITRAGES!$G36&gt;0,IF(ARBITRAGES!$H36="btc",A35+ARBITRAGES!$G36,A35),A35))</f>
        <v>5999.429056</v>
      </c>
      <c r="B36" s="545">
        <f>IF($M36="","", IF(ARBITRAGES!$G36&gt;0,IF(ARBITRAGES!$H36="eth",B35+ARBITRAGES!$G36,B35),B35))</f>
        <v>5059.398762</v>
      </c>
      <c r="C36" s="545">
        <f>IF($M36="","", IF(ARBITRAGES!$G36&gt;0,IF(ARBITRAGES!$H36="ton",C35+ARBITRAGES!$G36,C35),C35))</f>
        <v>0</v>
      </c>
      <c r="D36" s="545">
        <f>IF($M36="","", IF(ARBITRAGES!$G36&gt;0,IF(ARBITRAGES!$H36="sol",D35+ARBITRAGES!$G36,D35),D35))</f>
        <v>4858.693837</v>
      </c>
      <c r="E36" s="545">
        <f>IF($M36="","", IF(ARBITRAGES!$G36&gt;0,IF(ARBITRAGES!$H36="tao",E35+ARBITRAGES!$G36,E35),E35))</f>
        <v>0</v>
      </c>
      <c r="F36" s="545">
        <f>IF($M36="","", IF(ARBITRAGES!$G36&gt;0,IF(ARBITRAGES!$H36="ron",F35+ARBITRAGES!$G36,F35),F35))</f>
        <v>0</v>
      </c>
      <c r="G36" s="545">
        <f>IF($M36="","", IF(ARBITRAGES!$G36&gt;0,IF(ARBITRAGES!$H36="link",G35+ARBITRAGES!$G36,G35),G35))</f>
        <v>0</v>
      </c>
      <c r="H36" s="545">
        <f>IF($M36="","", IF(ARBITRAGES!$G36&gt;0,IF(ARBITRAGES!$H36="doge",H35+ARBITRAGES!$G36,H35),H35))</f>
        <v>0</v>
      </c>
      <c r="I36" s="545">
        <f t="shared" ref="I36:J36" si="10">IF(H36="","",I35)</f>
        <v>645.78248</v>
      </c>
      <c r="J36" s="545">
        <f t="shared" si="10"/>
        <v>244.016</v>
      </c>
      <c r="K36" s="545">
        <f>IF($M36="","", IF(ARBITRAGES!$G36&gt;0,IF(ARBITRAGES!$H36="*jup*",K35+ARBITRAGES!$G36,K35),K35))</f>
        <v>0</v>
      </c>
      <c r="L36" s="545">
        <f>IF($M36="","", IF(ARBITRAGES!$G36&gt;0,IF(ARBITRAGES!$H36="*aave*",L35+ARBITRAGES!$G36,L35),L35))</f>
        <v>0</v>
      </c>
      <c r="M36" s="540">
        <f>IF(ARBITRAGES!E36="","",ARBITRAGES!E36)</f>
        <v>45576</v>
      </c>
      <c r="N36" s="541">
        <f>IF(M36="","", SUM(A36:H36)+ARBITRAGES!$K$3)</f>
        <v>37467.52166</v>
      </c>
      <c r="O36" s="542">
        <f>IF(M36="","",PRIX!U36)</f>
        <v>52869.46053</v>
      </c>
      <c r="Q36" s="543">
        <f t="shared" si="1"/>
        <v>0.4110743971</v>
      </c>
      <c r="S36" s="544">
        <f t="shared" si="2"/>
        <v>15401.93887</v>
      </c>
    </row>
    <row r="37">
      <c r="A37" s="545">
        <f>IF($M37="","", IF(ARBITRAGES!$G37&gt;0,IF(ARBITRAGES!$H37="btc",A36+ARBITRAGES!$G37,A36),A36))</f>
        <v>5999.429056</v>
      </c>
      <c r="B37" s="545">
        <f>IF($M37="","", IF(ARBITRAGES!$G37&gt;0,IF(ARBITRAGES!$H37="eth",B36+ARBITRAGES!$G37,B36),B36))</f>
        <v>5059.398762</v>
      </c>
      <c r="C37" s="545">
        <f>IF($M37="","", IF(ARBITRAGES!$G37&gt;0,IF(ARBITRAGES!$H37="ton",C36+ARBITRAGES!$G37,C36),C36))</f>
        <v>0</v>
      </c>
      <c r="D37" s="545">
        <f>IF($M37="","", IF(ARBITRAGES!$G37&gt;0,IF(ARBITRAGES!$H37="sol",D36+ARBITRAGES!$G37,D36),D36))</f>
        <v>4858.693837</v>
      </c>
      <c r="E37" s="545">
        <f>IF($M37="","", IF(ARBITRAGES!$G37&gt;0,IF(ARBITRAGES!$H37="tao",E36+ARBITRAGES!$G37,E36),E36))</f>
        <v>0</v>
      </c>
      <c r="F37" s="545">
        <f>IF($M37="","", IF(ARBITRAGES!$G37&gt;0,IF(ARBITRAGES!$H37="ron",F36+ARBITRAGES!$G37,F36),F36))</f>
        <v>0</v>
      </c>
      <c r="G37" s="545">
        <f>IF($M37="","", IF(ARBITRAGES!$G37&gt;0,IF(ARBITRAGES!$H37="link",G36+ARBITRAGES!$G37,G36),G36))</f>
        <v>0</v>
      </c>
      <c r="H37" s="545">
        <f>IF($M37="","", IF(ARBITRAGES!$G37&gt;0,IF(ARBITRAGES!$H37="doge",H36+ARBITRAGES!$G37,H36),H36))</f>
        <v>0</v>
      </c>
      <c r="I37" s="545">
        <f t="shared" ref="I37:J37" si="11">IF(H37="","",I36)</f>
        <v>645.78248</v>
      </c>
      <c r="J37" s="545">
        <f t="shared" si="11"/>
        <v>244.016</v>
      </c>
      <c r="K37" s="545">
        <f>IF($M37="","", IF(ARBITRAGES!$G37&gt;0,IF(ARBITRAGES!$H37="*jup*",K36+ARBITRAGES!$G37,K36),K36))</f>
        <v>0</v>
      </c>
      <c r="L37" s="545">
        <f>IF($M37="","", IF(ARBITRAGES!$G37&gt;0,IF(ARBITRAGES!$H37="*aave*",L36+ARBITRAGES!$G37,L36),L36))</f>
        <v>0</v>
      </c>
      <c r="M37" s="540">
        <f>IF(ARBITRAGES!E37="","",ARBITRAGES!E37)</f>
        <v>45608</v>
      </c>
      <c r="N37" s="541">
        <f>IF(M37="","", SUM(A37:H37)+ARBITRAGES!$K$3)</f>
        <v>37467.52166</v>
      </c>
      <c r="O37" s="542">
        <f>IF(M37="","",PRIX!U37)</f>
        <v>54208.65594</v>
      </c>
      <c r="Q37" s="543">
        <f t="shared" si="1"/>
        <v>0.4468172313</v>
      </c>
      <c r="S37" s="544">
        <f t="shared" si="2"/>
        <v>16741.13429</v>
      </c>
    </row>
    <row r="38">
      <c r="A38" s="545">
        <f>IF($M38="","", IF(ARBITRAGES!$G38&gt;0,IF(ARBITRAGES!$H38="btc",A37+ARBITRAGES!$G38,A37),A37))</f>
        <v>5999.429056</v>
      </c>
      <c r="B38" s="545">
        <f>IF($M38="","", IF(ARBITRAGES!$G38&gt;0,IF(ARBITRAGES!$H38="eth",B37+ARBITRAGES!$G38,B37),B37))</f>
        <v>5059.398762</v>
      </c>
      <c r="C38" s="545">
        <f>IF($M38="","", IF(ARBITRAGES!$G38&gt;0,IF(ARBITRAGES!$H38="ton",C37+ARBITRAGES!$G38,C37),C37))</f>
        <v>0</v>
      </c>
      <c r="D38" s="545">
        <f>IF($M38="","", IF(ARBITRAGES!$G38&gt;0,IF(ARBITRAGES!$H38="sol",D37+ARBITRAGES!$G38,D37),D37))</f>
        <v>4858.693837</v>
      </c>
      <c r="E38" s="545">
        <f>IF($M38="","", IF(ARBITRAGES!$G38&gt;0,IF(ARBITRAGES!$H38="tao",E37+ARBITRAGES!$G38,E37),E37))</f>
        <v>0</v>
      </c>
      <c r="F38" s="545">
        <f>IF($M38="","", IF(ARBITRAGES!$G38&gt;0,IF(ARBITRAGES!$H38="ron",F37+ARBITRAGES!$G38,F37),F37))</f>
        <v>0</v>
      </c>
      <c r="G38" s="545">
        <f>IF($M38="","", IF(ARBITRAGES!$G38&gt;0,IF(ARBITRAGES!$H38="link",G37+ARBITRAGES!$G38,G37),G37))</f>
        <v>0</v>
      </c>
      <c r="H38" s="545">
        <f>IF($M38="","", IF(ARBITRAGES!$G38&gt;0,IF(ARBITRAGES!$H38="doge",H37+ARBITRAGES!$G38,H37),H37))</f>
        <v>0</v>
      </c>
      <c r="I38" s="545">
        <f t="shared" ref="I38:J38" si="12">IF(H38="","",I37)</f>
        <v>645.78248</v>
      </c>
      <c r="J38" s="545">
        <f t="shared" si="12"/>
        <v>244.016</v>
      </c>
      <c r="K38" s="545">
        <f>IF($M38="","", IF(ARBITRAGES!$G38&gt;0,IF(ARBITRAGES!$H38="*jup*",K37+ARBITRAGES!$G38,K37),K37))</f>
        <v>0</v>
      </c>
      <c r="L38" s="545">
        <f>IF($M38="","", IF(ARBITRAGES!$G38&gt;0,IF(ARBITRAGES!$H38="*aave*",L37+ARBITRAGES!$G38,L37),L37))</f>
        <v>0</v>
      </c>
      <c r="M38" s="540">
        <f>IF(ARBITRAGES!E38="","",ARBITRAGES!E38)</f>
        <v>45609</v>
      </c>
      <c r="N38" s="541">
        <f>IF(M38="","", SUM(A38:H38)+ARBITRAGES!$K$3)</f>
        <v>37467.52166</v>
      </c>
      <c r="O38" s="542">
        <f>IF(M38="","",PRIX!U38)</f>
        <v>51415.19244</v>
      </c>
      <c r="Q38" s="543">
        <f t="shared" si="1"/>
        <v>0.3722602983</v>
      </c>
      <c r="S38" s="544">
        <f t="shared" si="2"/>
        <v>13947.67079</v>
      </c>
    </row>
    <row r="39">
      <c r="A39" s="545">
        <f>IF($M39="","", IF(ARBITRAGES!$G39&gt;0,IF(ARBITRAGES!$H39="btc",A38+ARBITRAGES!$G39,A38),A38))</f>
        <v>5999.429056</v>
      </c>
      <c r="B39" s="545">
        <f>IF($M39="","", IF(ARBITRAGES!$G39&gt;0,IF(ARBITRAGES!$H39="eth",B38+ARBITRAGES!$G39,B38),B38))</f>
        <v>5059.398762</v>
      </c>
      <c r="C39" s="545">
        <f>IF($M39="","", IF(ARBITRAGES!$G39&gt;0,IF(ARBITRAGES!$H39="ton",C38+ARBITRAGES!$G39,C38),C38))</f>
        <v>0</v>
      </c>
      <c r="D39" s="545">
        <f>IF($M39="","", IF(ARBITRAGES!$G39&gt;0,IF(ARBITRAGES!$H39="sol",D38+ARBITRAGES!$G39,D38),D38))</f>
        <v>4858.693837</v>
      </c>
      <c r="E39" s="545">
        <f>IF($M39="","", IF(ARBITRAGES!$G39&gt;0,IF(ARBITRAGES!$H39="tao",E38+ARBITRAGES!$G39,E38),E38))</f>
        <v>0</v>
      </c>
      <c r="F39" s="545">
        <f>IF($M39="","", IF(ARBITRAGES!$G39&gt;0,IF(ARBITRAGES!$H39="ron",F38+ARBITRAGES!$G39,F38),F38))</f>
        <v>0</v>
      </c>
      <c r="G39" s="545">
        <f>IF($M39="","", IF(ARBITRAGES!$G39&gt;0,IF(ARBITRAGES!$H39="link",G38+ARBITRAGES!$G39,G38),G38))</f>
        <v>0</v>
      </c>
      <c r="H39" s="545">
        <f>IF($M39="","", IF(ARBITRAGES!$G39&gt;0,IF(ARBITRAGES!$H39="doge",H38+ARBITRAGES!$G39,H38),H38))</f>
        <v>0</v>
      </c>
      <c r="I39" s="545">
        <f t="shared" ref="I39:J39" si="13">IF(H39="","",I38)</f>
        <v>645.78248</v>
      </c>
      <c r="J39" s="545">
        <f t="shared" si="13"/>
        <v>244.016</v>
      </c>
      <c r="K39" s="545">
        <f>IF($M39="","", IF(ARBITRAGES!$G39&gt;0,IF(ARBITRAGES!$H39="*jup*",K38+ARBITRAGES!$G39,K38),K38))</f>
        <v>0</v>
      </c>
      <c r="L39" s="545">
        <f>IF($M39="","", IF(ARBITRAGES!$G39&gt;0,IF(ARBITRAGES!$H39="*aave*",L38+ARBITRAGES!$G39,L38),L38))</f>
        <v>0</v>
      </c>
      <c r="M39" s="540">
        <f>IF(ARBITRAGES!E39="","",ARBITRAGES!E39)</f>
        <v>45609</v>
      </c>
      <c r="N39" s="541">
        <f>IF(M39="","", SUM(A39:H39)+ARBITRAGES!$K$3)</f>
        <v>37467.52166</v>
      </c>
      <c r="O39" s="542">
        <f>IF(M39="","",PRIX!U39)</f>
        <v>51415.19244</v>
      </c>
      <c r="Q39" s="543">
        <f t="shared" si="1"/>
        <v>0.3722602983</v>
      </c>
      <c r="S39" s="544">
        <f t="shared" si="2"/>
        <v>13947.67079</v>
      </c>
    </row>
    <row r="40">
      <c r="A40" s="545">
        <f>IF($M40="","", IF(ARBITRAGES!$G40&gt;0,IF(ARBITRAGES!$H40="btc",A39+ARBITRAGES!$G40,A39),A39))</f>
        <v>5999.429056</v>
      </c>
      <c r="B40" s="545">
        <f>IF($M40="","", IF(ARBITRAGES!$G40&gt;0,IF(ARBITRAGES!$H40="eth",B39+ARBITRAGES!$G40,B39),B39))</f>
        <v>5059.398762</v>
      </c>
      <c r="C40" s="545">
        <f>IF($M40="","", IF(ARBITRAGES!$G40&gt;0,IF(ARBITRAGES!$H40="ton",C39+ARBITRAGES!$G40,C39),C39))</f>
        <v>0</v>
      </c>
      <c r="D40" s="545">
        <f>IF($M40="","", IF(ARBITRAGES!$G40&gt;0,IF(ARBITRAGES!$H40="sol",D39+ARBITRAGES!$G40,D39),D39))</f>
        <v>4858.693837</v>
      </c>
      <c r="E40" s="545">
        <f>IF($M40="","", IF(ARBITRAGES!$G40&gt;0,IF(ARBITRAGES!$H40="tao",E39+ARBITRAGES!$G40,E39),E39))</f>
        <v>0</v>
      </c>
      <c r="F40" s="545">
        <f>IF($M40="","", IF(ARBITRAGES!$G40&gt;0,IF(ARBITRAGES!$H40="ron",F39+ARBITRAGES!$G40,F39),F39))</f>
        <v>0</v>
      </c>
      <c r="G40" s="545">
        <f>IF($M40="","", IF(ARBITRAGES!$G40&gt;0,IF(ARBITRAGES!$H40="link",G39+ARBITRAGES!$G40,G39),G39))</f>
        <v>0</v>
      </c>
      <c r="H40" s="545">
        <f>IF($M40="","", IF(ARBITRAGES!$G40&gt;0,IF(ARBITRAGES!$H40="doge",H39+ARBITRAGES!$G40,H39),H39))</f>
        <v>0</v>
      </c>
      <c r="I40" s="545">
        <f t="shared" ref="I40:J40" si="14">IF(H40="","",I39)</f>
        <v>645.78248</v>
      </c>
      <c r="J40" s="545">
        <f t="shared" si="14"/>
        <v>244.016</v>
      </c>
      <c r="K40" s="545">
        <f>IF($M40="","", IF(ARBITRAGES!$G40&gt;0,IF(ARBITRAGES!$H40="*jup*",K39+ARBITRAGES!$G40,K39),K39))</f>
        <v>0</v>
      </c>
      <c r="L40" s="545">
        <f>IF($M40="","", IF(ARBITRAGES!$G40&gt;0,IF(ARBITRAGES!$H40="*aave*",L39+ARBITRAGES!$G40,L39),L39))</f>
        <v>0</v>
      </c>
      <c r="M40" s="540">
        <f>IF(ARBITRAGES!E40="","",ARBITRAGES!E40)</f>
        <v>45609</v>
      </c>
      <c r="N40" s="541">
        <f>IF(M40="","", SUM(A40:H40)+ARBITRAGES!$K$3)</f>
        <v>37467.52166</v>
      </c>
      <c r="O40" s="542">
        <f>IF(M40="","",PRIX!U40)</f>
        <v>51415.19244</v>
      </c>
      <c r="Q40" s="543">
        <f t="shared" si="1"/>
        <v>0.3722602983</v>
      </c>
      <c r="S40" s="544">
        <f t="shared" si="2"/>
        <v>13947.67079</v>
      </c>
    </row>
    <row r="41">
      <c r="A41" s="545">
        <f>IF($M41="","", IF(ARBITRAGES!$G41&gt;0,IF(ARBITRAGES!$H41="btc",A40+ARBITRAGES!$G41,A40),A40))</f>
        <v>5999.429056</v>
      </c>
      <c r="B41" s="545">
        <f>IF($M41="","", IF(ARBITRAGES!$G41&gt;0,IF(ARBITRAGES!$H41="eth",B40+ARBITRAGES!$G41,B40),B40))</f>
        <v>5059.398762</v>
      </c>
      <c r="C41" s="545">
        <f>IF($M41="","", IF(ARBITRAGES!$G41&gt;0,IF(ARBITRAGES!$H41="ton",C40+ARBITRAGES!$G41,C40),C40))</f>
        <v>0</v>
      </c>
      <c r="D41" s="545">
        <f>IF($M41="","", IF(ARBITRAGES!$G41&gt;0,IF(ARBITRAGES!$H41="sol",D40+ARBITRAGES!$G41,D40),D40))</f>
        <v>4858.693837</v>
      </c>
      <c r="E41" s="545">
        <f>IF($M41="","", IF(ARBITRAGES!$G41&gt;0,IF(ARBITRAGES!$H41="tao",E40+ARBITRAGES!$G41,E40),E40))</f>
        <v>0</v>
      </c>
      <c r="F41" s="545">
        <f>IF($M41="","", IF(ARBITRAGES!$G41&gt;0,IF(ARBITRAGES!$H41="ron",F40+ARBITRAGES!$G41,F40),F40))</f>
        <v>0</v>
      </c>
      <c r="G41" s="545">
        <f>IF($M41="","", IF(ARBITRAGES!$G41&gt;0,IF(ARBITRAGES!$H41="link",G40+ARBITRAGES!$G41,G40),G40))</f>
        <v>0</v>
      </c>
      <c r="H41" s="545">
        <f>IF($M41="","", IF(ARBITRAGES!$G41&gt;0,IF(ARBITRAGES!$H41="doge",H40+ARBITRAGES!$G41,H40),H40))</f>
        <v>0</v>
      </c>
      <c r="I41" s="545">
        <f t="shared" ref="I41:J41" si="15">IF(H41="","",I40)</f>
        <v>645.78248</v>
      </c>
      <c r="J41" s="545">
        <f t="shared" si="15"/>
        <v>244.016</v>
      </c>
      <c r="K41" s="545">
        <f>IF($M41="","", IF(ARBITRAGES!$G41&gt;0,IF(ARBITRAGES!$H41="*jup*",K40+ARBITRAGES!$G41,K40),K40))</f>
        <v>0</v>
      </c>
      <c r="L41" s="545">
        <f>IF($M41="","", IF(ARBITRAGES!$G41&gt;0,IF(ARBITRAGES!$H41="*aave*",L40+ARBITRAGES!$G41,L40),L40))</f>
        <v>0</v>
      </c>
      <c r="M41" s="540">
        <f>IF(ARBITRAGES!E41="","",ARBITRAGES!E41)</f>
        <v>45610</v>
      </c>
      <c r="N41" s="541">
        <f>IF(M41="","", SUM(A41:H41)+ARBITRAGES!$K$3)</f>
        <v>37467.52166</v>
      </c>
      <c r="O41" s="542">
        <f>IF(M41="","",PRIX!U41)</f>
        <v>53867.70671</v>
      </c>
      <c r="Q41" s="543">
        <f t="shared" si="1"/>
        <v>0.4377173704</v>
      </c>
      <c r="S41" s="544">
        <f t="shared" si="2"/>
        <v>16400.18506</v>
      </c>
    </row>
    <row r="42">
      <c r="A42" s="545">
        <f>IF($M42="","", IF(ARBITRAGES!$G42&gt;0,IF(ARBITRAGES!$H42="btc",A41+ARBITRAGES!$G42,A41),A41))</f>
        <v>5999.429056</v>
      </c>
      <c r="B42" s="545">
        <f>IF($M42="","", IF(ARBITRAGES!$G42&gt;0,IF(ARBITRAGES!$H42="eth",B41+ARBITRAGES!$G42,B41),B41))</f>
        <v>5059.398762</v>
      </c>
      <c r="C42" s="545">
        <f>IF($M42="","", IF(ARBITRAGES!$G42&gt;0,IF(ARBITRAGES!$H42="ton",C41+ARBITRAGES!$G42,C41),C41))</f>
        <v>0</v>
      </c>
      <c r="D42" s="545">
        <f>IF($M42="","", IF(ARBITRAGES!$G42&gt;0,IF(ARBITRAGES!$H42="sol",D41+ARBITRAGES!$G42,D41),D41))</f>
        <v>4858.693837</v>
      </c>
      <c r="E42" s="545">
        <f>IF($M42="","", IF(ARBITRAGES!$G42&gt;0,IF(ARBITRAGES!$H42="tao",E41+ARBITRAGES!$G42,E41),E41))</f>
        <v>0</v>
      </c>
      <c r="F42" s="545">
        <f>IF($M42="","", IF(ARBITRAGES!$G42&gt;0,IF(ARBITRAGES!$H42="ron",F41+ARBITRAGES!$G42,F41),F41))</f>
        <v>0</v>
      </c>
      <c r="G42" s="545">
        <f>IF($M42="","", IF(ARBITRAGES!$G42&gt;0,IF(ARBITRAGES!$H42="link",G41+ARBITRAGES!$G42,G41),G41))</f>
        <v>0</v>
      </c>
      <c r="H42" s="545">
        <f>IF($M42="","", IF(ARBITRAGES!$G42&gt;0,IF(ARBITRAGES!$H42="doge",H41+ARBITRAGES!$G42,H41),H41))</f>
        <v>0</v>
      </c>
      <c r="I42" s="545">
        <f t="shared" ref="I42:J42" si="16">IF(H42="","",I41)</f>
        <v>645.78248</v>
      </c>
      <c r="J42" s="545">
        <f t="shared" si="16"/>
        <v>244.016</v>
      </c>
      <c r="K42" s="545">
        <f>IF($M42="","", IF(ARBITRAGES!$G42&gt;0,IF(ARBITRAGES!$H42="*jup*",K41+ARBITRAGES!$G42,K41),K41))</f>
        <v>0</v>
      </c>
      <c r="L42" s="545">
        <f>IF($M42="","", IF(ARBITRAGES!$G42&gt;0,IF(ARBITRAGES!$H42="*aave*",L41+ARBITRAGES!$G42,L41),L41))</f>
        <v>0</v>
      </c>
      <c r="M42" s="540">
        <f>IF(ARBITRAGES!E42="","",ARBITRAGES!E42)</f>
        <v>45615</v>
      </c>
      <c r="N42" s="541">
        <f>IF(M42="","", SUM(A42:H42)+ARBITRAGES!$K$3)</f>
        <v>37467.52166</v>
      </c>
      <c r="O42" s="542">
        <f>IF(M42="","",PRIX!U42)</f>
        <v>53874.95671</v>
      </c>
      <c r="Q42" s="543">
        <f t="shared" si="1"/>
        <v>0.4379108714</v>
      </c>
      <c r="S42" s="544">
        <f t="shared" si="2"/>
        <v>16407.43506</v>
      </c>
    </row>
    <row r="43">
      <c r="A43" s="545">
        <f>IF($M43="","", IF(ARBITRAGES!$G43&gt;0,IF(ARBITRAGES!$H43="btc",A42+ARBITRAGES!$G43,A42),A42))</f>
        <v>5999.429056</v>
      </c>
      <c r="B43" s="545">
        <f>IF($M43="","", IF(ARBITRAGES!$G43&gt;0,IF(ARBITRAGES!$H43="eth",B42+ARBITRAGES!$G43,B42),B42))</f>
        <v>5059.398762</v>
      </c>
      <c r="C43" s="545">
        <f>IF($M43="","", IF(ARBITRAGES!$G43&gt;0,IF(ARBITRAGES!$H43="ton",C42+ARBITRAGES!$G43,C42),C42))</f>
        <v>0</v>
      </c>
      <c r="D43" s="545">
        <f>IF($M43="","", IF(ARBITRAGES!$G43&gt;0,IF(ARBITRAGES!$H43="sol",D42+ARBITRAGES!$G43,D42),D42))</f>
        <v>4858.693837</v>
      </c>
      <c r="E43" s="545">
        <f>IF($M43="","", IF(ARBITRAGES!$G43&gt;0,IF(ARBITRAGES!$H43="tao",E42+ARBITRAGES!$G43,E42),E42))</f>
        <v>0</v>
      </c>
      <c r="F43" s="545">
        <f>IF($M43="","", IF(ARBITRAGES!$G43&gt;0,IF(ARBITRAGES!$H43="ron",F42+ARBITRAGES!$G43,F42),F42))</f>
        <v>0</v>
      </c>
      <c r="G43" s="545">
        <f>IF($M43="","", IF(ARBITRAGES!$G43&gt;0,IF(ARBITRAGES!$H43="link",G42+ARBITRAGES!$G43,G42),G42))</f>
        <v>0</v>
      </c>
      <c r="H43" s="545">
        <f>IF($M43="","", IF(ARBITRAGES!$G43&gt;0,IF(ARBITRAGES!$H43="doge",H42+ARBITRAGES!$G43,H42),H42))</f>
        <v>0</v>
      </c>
      <c r="I43" s="545">
        <f t="shared" ref="I43:J43" si="17">IF(H43="","",I42)</f>
        <v>645.78248</v>
      </c>
      <c r="J43" s="545">
        <f t="shared" si="17"/>
        <v>244.016</v>
      </c>
      <c r="K43" s="545">
        <f>IF($M43="","", IF(ARBITRAGES!$G43&gt;0,IF(ARBITRAGES!$H43="*jup*",K42+ARBITRAGES!$G43,K42),K42))</f>
        <v>0</v>
      </c>
      <c r="L43" s="545">
        <f>IF($M43="","", IF(ARBITRAGES!$G43&gt;0,IF(ARBITRAGES!$H43="*aave*",L42+ARBITRAGES!$G43,L42),L42))</f>
        <v>0</v>
      </c>
      <c r="M43" s="540">
        <f>IF(ARBITRAGES!E43="","",ARBITRAGES!E43)</f>
        <v>45618</v>
      </c>
      <c r="N43" s="541">
        <f>IF(M43="","", SUM(A43:H43)+ARBITRAGES!$K$3)</f>
        <v>37467.52166</v>
      </c>
      <c r="O43" s="542">
        <f>IF(M43="","",PRIX!U43)</f>
        <v>58333.00437</v>
      </c>
      <c r="Q43" s="543">
        <f t="shared" si="1"/>
        <v>0.5568951933</v>
      </c>
      <c r="S43" s="544">
        <f t="shared" si="2"/>
        <v>20865.48272</v>
      </c>
    </row>
    <row r="44">
      <c r="A44" s="545">
        <f>IF($M44="","", IF(ARBITRAGES!$G44&gt;0,IF(ARBITRAGES!$H44="btc",A43+ARBITRAGES!$G44,A43),A43))</f>
        <v>5999.429056</v>
      </c>
      <c r="B44" s="545">
        <f>IF($M44="","", IF(ARBITRAGES!$G44&gt;0,IF(ARBITRAGES!$H44="eth",B43+ARBITRAGES!$G44,B43),B43))</f>
        <v>5059.398762</v>
      </c>
      <c r="C44" s="545">
        <f>IF($M44="","", IF(ARBITRAGES!$G44&gt;0,IF(ARBITRAGES!$H44="ton",C43+ARBITRAGES!$G44,C43),C43))</f>
        <v>0</v>
      </c>
      <c r="D44" s="545">
        <f>IF($M44="","", IF(ARBITRAGES!$G44&gt;0,IF(ARBITRAGES!$H44="sol",D43+ARBITRAGES!$G44,D43),D43))</f>
        <v>4858.693837</v>
      </c>
      <c r="E44" s="545">
        <f>IF($M44="","", IF(ARBITRAGES!$G44&gt;0,IF(ARBITRAGES!$H44="tao",E43+ARBITRAGES!$G44,E43),E43))</f>
        <v>0</v>
      </c>
      <c r="F44" s="545">
        <f>IF($M44="","", IF(ARBITRAGES!$G44&gt;0,IF(ARBITRAGES!$H44="ron",F43+ARBITRAGES!$G44,F43),F43))</f>
        <v>0</v>
      </c>
      <c r="G44" s="545">
        <f>IF($M44="","", IF(ARBITRAGES!$G44&gt;0,IF(ARBITRAGES!$H44="link",G43+ARBITRAGES!$G44,G43),G43))</f>
        <v>0</v>
      </c>
      <c r="H44" s="545">
        <f>IF($M44="","", IF(ARBITRAGES!$G44&gt;0,IF(ARBITRAGES!$H44="doge",H43+ARBITRAGES!$G44,H43),H43))</f>
        <v>0</v>
      </c>
      <c r="I44" s="545">
        <f t="shared" ref="I44:J44" si="18">IF(H44="","",I43)</f>
        <v>645.78248</v>
      </c>
      <c r="J44" s="545">
        <f t="shared" si="18"/>
        <v>244.016</v>
      </c>
      <c r="K44" s="545">
        <f>IF($M44="","", IF(ARBITRAGES!$G44&gt;0,IF(ARBITRAGES!$H44="*jup*",K43+ARBITRAGES!$G44,K43),K43))</f>
        <v>0</v>
      </c>
      <c r="L44" s="545">
        <f>IF($M44="","", IF(ARBITRAGES!$G44&gt;0,IF(ARBITRAGES!$H44="*aave*",L43+ARBITRAGES!$G44,L43),L43))</f>
        <v>0</v>
      </c>
      <c r="M44" s="540">
        <f>IF(ARBITRAGES!E44="","",ARBITRAGES!E44)</f>
        <v>45619</v>
      </c>
      <c r="N44" s="541">
        <f>IF(M44="","", SUM(A44:H44)+ARBITRAGES!$K$3)</f>
        <v>37467.52166</v>
      </c>
      <c r="O44" s="542">
        <f>IF(M44="","",PRIX!U44)</f>
        <v>58333.00437</v>
      </c>
      <c r="Q44" s="543">
        <f t="shared" si="1"/>
        <v>0.5568951933</v>
      </c>
      <c r="S44" s="544">
        <f t="shared" si="2"/>
        <v>20865.48272</v>
      </c>
    </row>
    <row r="45">
      <c r="A45" s="545">
        <f>IF($M45="","", IF(ARBITRAGES!$G45&gt;0,IF(ARBITRAGES!$H45="btc",A44+ARBITRAGES!$G45,A44),A44))</f>
        <v>5999.429056</v>
      </c>
      <c r="B45" s="545">
        <f>IF($M45="","", IF(ARBITRAGES!$G45&gt;0,IF(ARBITRAGES!$H45="eth",B44+ARBITRAGES!$G45,B44),B44))</f>
        <v>5059.398762</v>
      </c>
      <c r="C45" s="545">
        <f>IF($M45="","", IF(ARBITRAGES!$G45&gt;0,IF(ARBITRAGES!$H45="ton",C44+ARBITRAGES!$G45,C44),C44))</f>
        <v>0</v>
      </c>
      <c r="D45" s="545">
        <f>IF($M45="","", IF(ARBITRAGES!$G45&gt;0,IF(ARBITRAGES!$H45="sol",D44+ARBITRAGES!$G45,D44),D44))</f>
        <v>4858.693837</v>
      </c>
      <c r="E45" s="545">
        <f>IF($M45="","", IF(ARBITRAGES!$G45&gt;0,IF(ARBITRAGES!$H45="tao",E44+ARBITRAGES!$G45,E44),E44))</f>
        <v>0</v>
      </c>
      <c r="F45" s="545">
        <f>IF($M45="","", IF(ARBITRAGES!$G45&gt;0,IF(ARBITRAGES!$H45="ron",F44+ARBITRAGES!$G45,F44),F44))</f>
        <v>0</v>
      </c>
      <c r="G45" s="545">
        <f>IF($M45="","", IF(ARBITRAGES!$G45&gt;0,IF(ARBITRAGES!$H45="link",G44+ARBITRAGES!$G45,G44),G44))</f>
        <v>0</v>
      </c>
      <c r="H45" s="545">
        <f>IF($M45="","", IF(ARBITRAGES!$G45&gt;0,IF(ARBITRAGES!$H45="doge",H44+ARBITRAGES!$G45,H44),H44))</f>
        <v>0</v>
      </c>
      <c r="I45" s="545">
        <f t="shared" ref="I45:J45" si="19">IF(H45="","",I44)</f>
        <v>645.78248</v>
      </c>
      <c r="J45" s="545">
        <f t="shared" si="19"/>
        <v>244.016</v>
      </c>
      <c r="K45" s="545">
        <f>IF($M45="","", IF(ARBITRAGES!$G45&gt;0,IF(ARBITRAGES!$H45="*jup*",K44+ARBITRAGES!$G45,K44),K44))</f>
        <v>0</v>
      </c>
      <c r="L45" s="545">
        <f>IF($M45="","", IF(ARBITRAGES!$G45&gt;0,IF(ARBITRAGES!$H45="*aave*",L44+ARBITRAGES!$G45,L44),L44))</f>
        <v>0</v>
      </c>
      <c r="M45" s="540">
        <f>IF(ARBITRAGES!E45="","",ARBITRAGES!E45)</f>
        <v>45622</v>
      </c>
      <c r="N45" s="541">
        <f>IF(M45="","", SUM(A45:H45)+ARBITRAGES!$K$3)</f>
        <v>37467.52166</v>
      </c>
      <c r="O45" s="542">
        <f>IF(M45="","",PRIX!U45)</f>
        <v>55137.78634</v>
      </c>
      <c r="Q45" s="543">
        <f t="shared" si="1"/>
        <v>0.4716155193</v>
      </c>
      <c r="S45" s="544">
        <f t="shared" si="2"/>
        <v>17670.26468</v>
      </c>
    </row>
    <row r="46">
      <c r="A46" s="545">
        <f>IF($M46="","", IF(ARBITRAGES!$G46&gt;0,IF(ARBITRAGES!$H46="btc",A45+ARBITRAGES!$G46,A45),A45))</f>
        <v>5999.429056</v>
      </c>
      <c r="B46" s="545">
        <f>IF($M46="","", IF(ARBITRAGES!$G46&gt;0,IF(ARBITRAGES!$H46="eth",B45+ARBITRAGES!$G46,B45),B45))</f>
        <v>5059.398762</v>
      </c>
      <c r="C46" s="545">
        <f>IF($M46="","", IF(ARBITRAGES!$G46&gt;0,IF(ARBITRAGES!$H46="ton",C45+ARBITRAGES!$G46,C45),C45))</f>
        <v>0</v>
      </c>
      <c r="D46" s="545">
        <f>IF($M46="","", IF(ARBITRAGES!$G46&gt;0,IF(ARBITRAGES!$H46="sol",D45+ARBITRAGES!$G46,D45),D45))</f>
        <v>4858.693837</v>
      </c>
      <c r="E46" s="545">
        <f>IF($M46="","", IF(ARBITRAGES!$G46&gt;0,IF(ARBITRAGES!$H46="tao",E45+ARBITRAGES!$G46,E45),E45))</f>
        <v>0</v>
      </c>
      <c r="F46" s="545">
        <f>IF($M46="","", IF(ARBITRAGES!$G46&gt;0,IF(ARBITRAGES!$H46="ron",F45+ARBITRAGES!$G46,F45),F45))</f>
        <v>0</v>
      </c>
      <c r="G46" s="545">
        <f>IF($M46="","", IF(ARBITRAGES!$G46&gt;0,IF(ARBITRAGES!$H46="link",G45+ARBITRAGES!$G46,G45),G45))</f>
        <v>0</v>
      </c>
      <c r="H46" s="545">
        <f>IF($M46="","", IF(ARBITRAGES!$G46&gt;0,IF(ARBITRAGES!$H46="doge",H45+ARBITRAGES!$G46,H45),H45))</f>
        <v>0</v>
      </c>
      <c r="I46" s="545">
        <f t="shared" ref="I46:J46" si="20">IF(H46="","",I45)</f>
        <v>645.78248</v>
      </c>
      <c r="J46" s="545">
        <f t="shared" si="20"/>
        <v>244.016</v>
      </c>
      <c r="K46" s="545">
        <f>IF($M46="","", IF(ARBITRAGES!$G46&gt;0,IF(ARBITRAGES!$H46="*jup*",K45+ARBITRAGES!$G46,K45),K45))</f>
        <v>0</v>
      </c>
      <c r="L46" s="545">
        <f>IF($M46="","", IF(ARBITRAGES!$G46&gt;0,IF(ARBITRAGES!$H46="*aave*",L45+ARBITRAGES!$G46,L45),L45))</f>
        <v>0</v>
      </c>
      <c r="M46" s="540">
        <f>IF(ARBITRAGES!E46="","",ARBITRAGES!E46)</f>
        <v>45630</v>
      </c>
      <c r="N46" s="541">
        <f>IF(M46="","", SUM(A46:H46)+ARBITRAGES!$K$3)</f>
        <v>37467.52166</v>
      </c>
      <c r="O46" s="542">
        <f>IF(M46="","",PRIX!U46)</f>
        <v>61473.7625</v>
      </c>
      <c r="Q46" s="543">
        <f t="shared" si="1"/>
        <v>0.6407213443</v>
      </c>
      <c r="S46" s="544">
        <f t="shared" si="2"/>
        <v>24006.24084</v>
      </c>
    </row>
    <row r="47">
      <c r="A47" s="545">
        <f>IF($M47="","", IF(ARBITRAGES!$G47&gt;0,IF(ARBITRAGES!$H47="btc",A46+ARBITRAGES!$G47,A46),A46))</f>
        <v>5999.429056</v>
      </c>
      <c r="B47" s="545">
        <f>IF($M47="","", IF(ARBITRAGES!$G47&gt;0,IF(ARBITRAGES!$H47="eth",B46+ARBITRAGES!$G47,B46),B46))</f>
        <v>5059.398762</v>
      </c>
      <c r="C47" s="545">
        <f>IF($M47="","", IF(ARBITRAGES!$G47&gt;0,IF(ARBITRAGES!$H47="ton",C46+ARBITRAGES!$G47,C46),C46))</f>
        <v>0</v>
      </c>
      <c r="D47" s="545">
        <f>IF($M47="","", IF(ARBITRAGES!$G47&gt;0,IF(ARBITRAGES!$H47="sol",D46+ARBITRAGES!$G47,D46),D46))</f>
        <v>4858.693837</v>
      </c>
      <c r="E47" s="545">
        <f>IF($M47="","", IF(ARBITRAGES!$G47&gt;0,IF(ARBITRAGES!$H47="tao",E46+ARBITRAGES!$G47,E46),E46))</f>
        <v>0</v>
      </c>
      <c r="F47" s="545">
        <f>IF($M47="","", IF(ARBITRAGES!$G47&gt;0,IF(ARBITRAGES!$H47="ron",F46+ARBITRAGES!$G47,F46),F46))</f>
        <v>0</v>
      </c>
      <c r="G47" s="545">
        <f>IF($M47="","", IF(ARBITRAGES!$G47&gt;0,IF(ARBITRAGES!$H47="link",G46+ARBITRAGES!$G47,G46),G46))</f>
        <v>0</v>
      </c>
      <c r="H47" s="545">
        <f>IF($M47="","", IF(ARBITRAGES!$G47&gt;0,IF(ARBITRAGES!$H47="doge",H46+ARBITRAGES!$G47,H46),H46))</f>
        <v>0</v>
      </c>
      <c r="I47" s="545">
        <f t="shared" ref="I47:J47" si="21">IF(H47="","",I46)</f>
        <v>645.78248</v>
      </c>
      <c r="J47" s="545">
        <f t="shared" si="21"/>
        <v>244.016</v>
      </c>
      <c r="K47" s="545">
        <f>IF($M47="","", IF(ARBITRAGES!$G47&gt;0,IF(ARBITRAGES!$H47="*jup*",K46+ARBITRAGES!$G47,K46),K46))</f>
        <v>0</v>
      </c>
      <c r="L47" s="545">
        <f>IF($M47="","", IF(ARBITRAGES!$G47&gt;0,IF(ARBITRAGES!$H47="*aave*",L46+ARBITRAGES!$G47,L46),L46))</f>
        <v>0</v>
      </c>
      <c r="M47" s="540">
        <f>IF(ARBITRAGES!E47="","",ARBITRAGES!E47)</f>
        <v>45636</v>
      </c>
      <c r="N47" s="541">
        <f>IF(M47="","", SUM(A47:H47)+ARBITRAGES!$K$3)</f>
        <v>37467.52166</v>
      </c>
      <c r="O47" s="542">
        <f>IF(M47="","",PRIX!U47)</f>
        <v>60076.06217</v>
      </c>
      <c r="Q47" s="543">
        <f t="shared" si="1"/>
        <v>0.6034170268</v>
      </c>
      <c r="S47" s="544">
        <f t="shared" si="2"/>
        <v>22608.54052</v>
      </c>
    </row>
    <row r="48">
      <c r="A48" s="545">
        <f>IF($M48="","", IF(ARBITRAGES!$G48&gt;0,IF(ARBITRAGES!$H48="btc",A47+ARBITRAGES!$G48,A47),A47))</f>
        <v>5999.429056</v>
      </c>
      <c r="B48" s="545">
        <f>IF($M48="","", IF(ARBITRAGES!$G48&gt;0,IF(ARBITRAGES!$H48="eth",B47+ARBITRAGES!$G48,B47),B47))</f>
        <v>5059.398762</v>
      </c>
      <c r="C48" s="545">
        <f>IF($M48="","", IF(ARBITRAGES!$G48&gt;0,IF(ARBITRAGES!$H48="ton",C47+ARBITRAGES!$G48,C47),C47))</f>
        <v>0</v>
      </c>
      <c r="D48" s="545">
        <f>IF($M48="","", IF(ARBITRAGES!$G48&gt;0,IF(ARBITRAGES!$H48="sol",D47+ARBITRAGES!$G48,D47),D47))</f>
        <v>4858.693837</v>
      </c>
      <c r="E48" s="545">
        <f>IF($M48="","", IF(ARBITRAGES!$G48&gt;0,IF(ARBITRAGES!$H48="tao",E47+ARBITRAGES!$G48,E47),E47))</f>
        <v>0</v>
      </c>
      <c r="F48" s="545">
        <f>IF($M48="","", IF(ARBITRAGES!$G48&gt;0,IF(ARBITRAGES!$H48="ron",F47+ARBITRAGES!$G48,F47),F47))</f>
        <v>0</v>
      </c>
      <c r="G48" s="545">
        <f>IF($M48="","", IF(ARBITRAGES!$G48&gt;0,IF(ARBITRAGES!$H48="link",G47+ARBITRAGES!$G48,G47),G47))</f>
        <v>0</v>
      </c>
      <c r="H48" s="545">
        <f>IF($M48="","", IF(ARBITRAGES!$G48&gt;0,IF(ARBITRAGES!$H48="doge",H47+ARBITRAGES!$G48,H47),H47))</f>
        <v>0</v>
      </c>
      <c r="I48" s="545">
        <f t="shared" ref="I48:J48" si="22">IF(H48="","",I47)</f>
        <v>645.78248</v>
      </c>
      <c r="J48" s="545">
        <f t="shared" si="22"/>
        <v>244.016</v>
      </c>
      <c r="K48" s="545">
        <f>IF($M48="","", IF(ARBITRAGES!$G48&gt;0,IF(ARBITRAGES!$H48="*jup*",K47+ARBITRAGES!$G48,K47),K47))</f>
        <v>0</v>
      </c>
      <c r="L48" s="545">
        <f>IF($M48="","", IF(ARBITRAGES!$G48&gt;0,IF(ARBITRAGES!$H48="*aave*",L47+ARBITRAGES!$G48,L47),L47))</f>
        <v>0</v>
      </c>
      <c r="M48" s="540">
        <f>IF(ARBITRAGES!E48="","",ARBITRAGES!E48)</f>
        <v>45644</v>
      </c>
      <c r="N48" s="541">
        <f>IF(M48="","", SUM(A48:H48)+ARBITRAGES!$K$3)</f>
        <v>37467.52166</v>
      </c>
      <c r="O48" s="542">
        <f>IF(M48="","",PRIX!U48)</f>
        <v>56800.4764</v>
      </c>
      <c r="Q48" s="543">
        <f t="shared" si="1"/>
        <v>0.5159923553</v>
      </c>
      <c r="S48" s="544">
        <f t="shared" si="2"/>
        <v>19332.95474</v>
      </c>
    </row>
    <row r="49">
      <c r="A49" s="545">
        <f>IF($M49="","", IF(ARBITRAGES!$G49&gt;0,IF(ARBITRAGES!$H49="btc",A48+ARBITRAGES!$G49,A48),A48))</f>
        <v>5999.429056</v>
      </c>
      <c r="B49" s="545">
        <f>IF($M49="","", IF(ARBITRAGES!$G49&gt;0,IF(ARBITRAGES!$H49="eth",B48+ARBITRAGES!$G49,B48),B48))</f>
        <v>5059.398762</v>
      </c>
      <c r="C49" s="545">
        <f>IF($M49="","", IF(ARBITRAGES!$G49&gt;0,IF(ARBITRAGES!$H49="ton",C48+ARBITRAGES!$G49,C48),C48))</f>
        <v>0</v>
      </c>
      <c r="D49" s="545">
        <f>IF($M49="","", IF(ARBITRAGES!$G49&gt;0,IF(ARBITRAGES!$H49="sol",D48+ARBITRAGES!$G49,D48),D48))</f>
        <v>4858.693837</v>
      </c>
      <c r="E49" s="545">
        <f>IF($M49="","", IF(ARBITRAGES!$G49&gt;0,IF(ARBITRAGES!$H49="tao",E48+ARBITRAGES!$G49,E48),E48))</f>
        <v>0</v>
      </c>
      <c r="F49" s="545">
        <f>IF($M49="","", IF(ARBITRAGES!$G49&gt;0,IF(ARBITRAGES!$H49="ron",F48+ARBITRAGES!$G49,F48),F48))</f>
        <v>0</v>
      </c>
      <c r="G49" s="545">
        <f>IF($M49="","", IF(ARBITRAGES!$G49&gt;0,IF(ARBITRAGES!$H49="link",G48+ARBITRAGES!$G49,G48),G48))</f>
        <v>0</v>
      </c>
      <c r="H49" s="545">
        <f>IF($M49="","", IF(ARBITRAGES!$G49&gt;0,IF(ARBITRAGES!$H49="doge",H48+ARBITRAGES!$G49,H48),H48))</f>
        <v>0</v>
      </c>
      <c r="I49" s="545">
        <f t="shared" ref="I49:J49" si="23">IF(H49="","",I48)</f>
        <v>645.78248</v>
      </c>
      <c r="J49" s="545">
        <f t="shared" si="23"/>
        <v>244.016</v>
      </c>
      <c r="K49" s="545">
        <f>IF($M49="","", IF(ARBITRAGES!$G49&gt;0,IF(ARBITRAGES!$H49="*jup*",K48+ARBITRAGES!$G49,K48),K48))</f>
        <v>0</v>
      </c>
      <c r="L49" s="545">
        <f>IF($M49="","", IF(ARBITRAGES!$G49&gt;0,IF(ARBITRAGES!$H49="*aave*",L48+ARBITRAGES!$G49,L48),L48))</f>
        <v>0</v>
      </c>
      <c r="M49" s="540">
        <f>IF(ARBITRAGES!E49="","",ARBITRAGES!E49)</f>
        <v>45646</v>
      </c>
      <c r="N49" s="541">
        <f>IF(M49="","", SUM(A49:H49)+ARBITRAGES!$K$3)</f>
        <v>37467.52166</v>
      </c>
      <c r="O49" s="542">
        <f>IF(M49="","",PRIX!U49)</f>
        <v>54086.40919</v>
      </c>
      <c r="Q49" s="543">
        <f t="shared" si="1"/>
        <v>0.443554492</v>
      </c>
      <c r="S49" s="544">
        <f t="shared" si="2"/>
        <v>16618.88753</v>
      </c>
    </row>
    <row r="50">
      <c r="A50" s="545">
        <f>IF($M50="","", IF(ARBITRAGES!$G50&gt;0,IF(ARBITRAGES!$H50="btc",A49+ARBITRAGES!$G50,A49),A49))</f>
        <v>5999.429056</v>
      </c>
      <c r="B50" s="545">
        <f>IF($M50="","", IF(ARBITRAGES!$G50&gt;0,IF(ARBITRAGES!$H50="eth",B49+ARBITRAGES!$G50,B49),B49))</f>
        <v>5059.398762</v>
      </c>
      <c r="C50" s="545">
        <f>IF($M50="","", IF(ARBITRAGES!$G50&gt;0,IF(ARBITRAGES!$H50="ton",C49+ARBITRAGES!$G50,C49),C49))</f>
        <v>0</v>
      </c>
      <c r="D50" s="545">
        <f>IF($M50="","", IF(ARBITRAGES!$G50&gt;0,IF(ARBITRAGES!$H50="sol",D49+ARBITRAGES!$G50,D49),D49))</f>
        <v>4858.693837</v>
      </c>
      <c r="E50" s="545">
        <f>IF($M50="","", IF(ARBITRAGES!$G50&gt;0,IF(ARBITRAGES!$H50="tao",E49+ARBITRAGES!$G50,E49),E49))</f>
        <v>0</v>
      </c>
      <c r="F50" s="545">
        <f>IF($M50="","", IF(ARBITRAGES!$G50&gt;0,IF(ARBITRAGES!$H50="ron",F49+ARBITRAGES!$G50,F49),F49))</f>
        <v>0</v>
      </c>
      <c r="G50" s="545">
        <f>IF($M50="","", IF(ARBITRAGES!$G50&gt;0,IF(ARBITRAGES!$H50="link",G49+ARBITRAGES!$G50,G49),G49))</f>
        <v>0</v>
      </c>
      <c r="H50" s="545">
        <f>IF($M50="","", IF(ARBITRAGES!$G50&gt;0,IF(ARBITRAGES!$H50="doge",H49+ARBITRAGES!$G50,H49),H49))</f>
        <v>0</v>
      </c>
      <c r="I50" s="545">
        <f t="shared" ref="I50:J50" si="24">IF(H50="","",I49)</f>
        <v>645.78248</v>
      </c>
      <c r="J50" s="545">
        <f t="shared" si="24"/>
        <v>244.016</v>
      </c>
      <c r="K50" s="545">
        <f>IF($M50="","", IF(ARBITRAGES!$G50&gt;0,IF(ARBITRAGES!$H50="*jup*",K49+ARBITRAGES!$G50,K49),K49))</f>
        <v>0</v>
      </c>
      <c r="L50" s="545">
        <f>IF($M50="","", IF(ARBITRAGES!$G50&gt;0,IF(ARBITRAGES!$H50="*aave*",L49+ARBITRAGES!$G50,L49),L49))</f>
        <v>0</v>
      </c>
      <c r="M50" s="540">
        <f>IF(ARBITRAGES!E50="","",ARBITRAGES!E50)</f>
        <v>45658</v>
      </c>
      <c r="N50" s="541">
        <f>IF(M50="","", SUM(A50:H50)+ARBITRAGES!$K$3)</f>
        <v>37467.52166</v>
      </c>
      <c r="O50" s="542">
        <f>IF(M50="","",PRIX!U50)</f>
        <v>52919.58283</v>
      </c>
      <c r="Q50" s="543">
        <f t="shared" si="1"/>
        <v>0.4124121504</v>
      </c>
      <c r="S50" s="544">
        <f t="shared" si="2"/>
        <v>15452.06118</v>
      </c>
    </row>
    <row r="51">
      <c r="A51" s="545">
        <f>IF($M51="","", IF(ARBITRAGES!$G51&gt;0,IF(ARBITRAGES!$H51="btc",A50+ARBITRAGES!$G51,A50),A50))</f>
        <v>5999.429056</v>
      </c>
      <c r="B51" s="545">
        <f>IF($M51="","", IF(ARBITRAGES!$G51&gt;0,IF(ARBITRAGES!$H51="eth",B50+ARBITRAGES!$G51,B50),B50))</f>
        <v>5059.398762</v>
      </c>
      <c r="C51" s="545">
        <f>IF($M51="","", IF(ARBITRAGES!$G51&gt;0,IF(ARBITRAGES!$H51="ton",C50+ARBITRAGES!$G51,C50),C50))</f>
        <v>0</v>
      </c>
      <c r="D51" s="545">
        <f>IF($M51="","", IF(ARBITRAGES!$G51&gt;0,IF(ARBITRAGES!$H51="sol",D50+ARBITRAGES!$G51,D50),D50))</f>
        <v>4858.693837</v>
      </c>
      <c r="E51" s="545">
        <f>IF($M51="","", IF(ARBITRAGES!$G51&gt;0,IF(ARBITRAGES!$H51="tao",E50+ARBITRAGES!$G51,E50),E50))</f>
        <v>0</v>
      </c>
      <c r="F51" s="545">
        <f>IF($M51="","", IF(ARBITRAGES!$G51&gt;0,IF(ARBITRAGES!$H51="ron",F50+ARBITRAGES!$G51,F50),F50))</f>
        <v>0</v>
      </c>
      <c r="G51" s="545">
        <f>IF($M51="","", IF(ARBITRAGES!$G51&gt;0,IF(ARBITRAGES!$H51="link",G50+ARBITRAGES!$G51,G50),G50))</f>
        <v>0</v>
      </c>
      <c r="H51" s="545">
        <f>IF($M51="","", IF(ARBITRAGES!$G51&gt;0,IF(ARBITRAGES!$H51="doge",H50+ARBITRAGES!$G51,H50),H50))</f>
        <v>0</v>
      </c>
      <c r="I51" s="545">
        <f t="shared" ref="I51:J51" si="25">IF(H51="","",I50)</f>
        <v>645.78248</v>
      </c>
      <c r="J51" s="545">
        <f t="shared" si="25"/>
        <v>244.016</v>
      </c>
      <c r="K51" s="545">
        <f>IF($M51="","", IF(ARBITRAGES!$G51&gt;0,IF(ARBITRAGES!$H51="*jup*",K50+ARBITRAGES!$G51,K50),K50))</f>
        <v>0</v>
      </c>
      <c r="L51" s="545">
        <f>IF($M51="","", IF(ARBITRAGES!$G51&gt;0,IF(ARBITRAGES!$H51="*aave*",L50+ARBITRAGES!$G51,L50),L50))</f>
        <v>0</v>
      </c>
      <c r="M51" s="540">
        <f>IF(ARBITRAGES!E51="","",ARBITRAGES!E51)</f>
        <v>45666</v>
      </c>
      <c r="N51" s="541">
        <f>IF(M51="","", SUM(A51:H51)+ARBITRAGES!$K$3)</f>
        <v>37467.52166</v>
      </c>
      <c r="O51" s="542">
        <f>IF(M51="","",PRIX!U51)</f>
        <v>55303.26532</v>
      </c>
      <c r="Q51" s="543">
        <f t="shared" si="1"/>
        <v>0.4760321172</v>
      </c>
      <c r="S51" s="544">
        <f t="shared" si="2"/>
        <v>17835.74366</v>
      </c>
    </row>
    <row r="52">
      <c r="A52" s="545">
        <f>IF($M52="","", IF(ARBITRAGES!$G52&gt;0,IF(ARBITRAGES!$H52="btc",A51+ARBITRAGES!$G52,A51),A51))</f>
        <v>5999.429056</v>
      </c>
      <c r="B52" s="545">
        <f>IF($M52="","", IF(ARBITRAGES!$G52&gt;0,IF(ARBITRAGES!$H52="eth",B51+ARBITRAGES!$G52,B51),B51))</f>
        <v>5059.398762</v>
      </c>
      <c r="C52" s="545">
        <f>IF($M52="","", IF(ARBITRAGES!$G52&gt;0,IF(ARBITRAGES!$H52="ton",C51+ARBITRAGES!$G52,C51),C51))</f>
        <v>0</v>
      </c>
      <c r="D52" s="545">
        <f>IF($M52="","", IF(ARBITRAGES!$G52&gt;0,IF(ARBITRAGES!$H52="sol",D51+ARBITRAGES!$G52,D51),D51))</f>
        <v>4858.693837</v>
      </c>
      <c r="E52" s="545">
        <f>IF($M52="","", IF(ARBITRAGES!$G52&gt;0,IF(ARBITRAGES!$H52="tao",E51+ARBITRAGES!$G52,E51),E51))</f>
        <v>0</v>
      </c>
      <c r="F52" s="545">
        <f>IF($M52="","", IF(ARBITRAGES!$G52&gt;0,IF(ARBITRAGES!$H52="ron",F51+ARBITRAGES!$G52,F51),F51))</f>
        <v>0</v>
      </c>
      <c r="G52" s="545">
        <f>IF($M52="","", IF(ARBITRAGES!$G52&gt;0,IF(ARBITRAGES!$H52="link",G51+ARBITRAGES!$G52,G51),G51))</f>
        <v>0</v>
      </c>
      <c r="H52" s="545">
        <f>IF($M52="","", IF(ARBITRAGES!$G52&gt;0,IF(ARBITRAGES!$H52="doge",H51+ARBITRAGES!$G52,H51),H51))</f>
        <v>0</v>
      </c>
      <c r="I52" s="545">
        <f t="shared" ref="I52:J52" si="26">IF(H52="","",I51)</f>
        <v>645.78248</v>
      </c>
      <c r="J52" s="545">
        <f t="shared" si="26"/>
        <v>244.016</v>
      </c>
      <c r="K52" s="545">
        <f>IF($M52="","", IF(ARBITRAGES!$G52&gt;0,IF(ARBITRAGES!$H52="*jup*",K51+ARBITRAGES!$G52,K51),K51))</f>
        <v>0</v>
      </c>
      <c r="L52" s="545">
        <f>IF($M52="","", IF(ARBITRAGES!$G52&gt;0,IF(ARBITRAGES!$H52="*aave*",L51+ARBITRAGES!$G52,L51),L51))</f>
        <v>0</v>
      </c>
      <c r="M52" s="540">
        <f>IF(ARBITRAGES!E52="","",ARBITRAGES!E52)</f>
        <v>45676</v>
      </c>
      <c r="N52" s="541">
        <f>IF(M52="","", SUM(A52:H52)+ARBITRAGES!$K$3)</f>
        <v>37467.52166</v>
      </c>
      <c r="O52" s="542">
        <f>IF(M52="","",PRIX!U52)</f>
        <v>54210.27247</v>
      </c>
      <c r="Q52" s="543">
        <f t="shared" si="1"/>
        <v>0.4468603761</v>
      </c>
      <c r="S52" s="544">
        <f t="shared" si="2"/>
        <v>16742.75082</v>
      </c>
    </row>
    <row r="53">
      <c r="A53" s="545">
        <f>IF($M53="","", IF(ARBITRAGES!$G53&gt;0,IF(ARBITRAGES!$H53="btc",A52+ARBITRAGES!$G53,A52),A52))</f>
        <v>5999.429056</v>
      </c>
      <c r="B53" s="545">
        <f>IF($M53="","", IF(ARBITRAGES!$G53&gt;0,IF(ARBITRAGES!$H53="eth",B52+ARBITRAGES!$G53,B52),B52))</f>
        <v>5059.398762</v>
      </c>
      <c r="C53" s="545">
        <f>IF($M53="","", IF(ARBITRAGES!$G53&gt;0,IF(ARBITRAGES!$H53="ton",C52+ARBITRAGES!$G53,C52),C52))</f>
        <v>0</v>
      </c>
      <c r="D53" s="545">
        <f>IF($M53="","", IF(ARBITRAGES!$G53&gt;0,IF(ARBITRAGES!$H53="sol",D52+ARBITRAGES!$G53,D52),D52))</f>
        <v>4858.693837</v>
      </c>
      <c r="E53" s="545">
        <f>IF($M53="","", IF(ARBITRAGES!$G53&gt;0,IF(ARBITRAGES!$H53="tao",E52+ARBITRAGES!$G53,E52),E52))</f>
        <v>0</v>
      </c>
      <c r="F53" s="545">
        <f>IF($M53="","", IF(ARBITRAGES!$G53&gt;0,IF(ARBITRAGES!$H53="ron",F52+ARBITRAGES!$G53,F52),F52))</f>
        <v>0</v>
      </c>
      <c r="G53" s="545">
        <f>IF($M53="","", IF(ARBITRAGES!$G53&gt;0,IF(ARBITRAGES!$H53="link",G52+ARBITRAGES!$G53,G52),G52))</f>
        <v>0</v>
      </c>
      <c r="H53" s="545">
        <f>IF($M53="","", IF(ARBITRAGES!$G53&gt;0,IF(ARBITRAGES!$H53="doge",H52+ARBITRAGES!$G53,H52),H52))</f>
        <v>0</v>
      </c>
      <c r="I53" s="545">
        <f t="shared" ref="I53:J53" si="27">IF(H53="","",I52)</f>
        <v>645.78248</v>
      </c>
      <c r="J53" s="545">
        <f t="shared" si="27"/>
        <v>244.016</v>
      </c>
      <c r="K53" s="545">
        <f>IF($M53="","", IF(ARBITRAGES!$G53&gt;0,IF(ARBITRAGES!$H53="*jup*",K52+ARBITRAGES!$G53,K52),K52))</f>
        <v>0</v>
      </c>
      <c r="L53" s="545">
        <f>IF($M53="","", IF(ARBITRAGES!$G53&gt;0,IF(ARBITRAGES!$H53="*aave*",L52+ARBITRAGES!$G53,L52),L52))</f>
        <v>0</v>
      </c>
      <c r="M53" s="540">
        <f>IF(ARBITRAGES!E53="","",ARBITRAGES!E53)</f>
        <v>45677</v>
      </c>
      <c r="N53" s="541">
        <f>IF(M53="","", SUM(A53:H53)+ARBITRAGES!$K$3)</f>
        <v>37467.52166</v>
      </c>
      <c r="O53" s="542">
        <f>IF(M53="","",PRIX!U53)</f>
        <v>53954.96817</v>
      </c>
      <c r="Q53" s="543">
        <f t="shared" si="1"/>
        <v>0.4400463597</v>
      </c>
      <c r="S53" s="544">
        <f t="shared" si="2"/>
        <v>16487.44651</v>
      </c>
    </row>
    <row r="54">
      <c r="A54" s="545">
        <f>IF($M54="","", IF(ARBITRAGES!$G54&gt;0,IF(ARBITRAGES!$H54="btc",A53+ARBITRAGES!$G54,A53),A53))</f>
        <v>5999.429056</v>
      </c>
      <c r="B54" s="545">
        <f>IF($M54="","", IF(ARBITRAGES!$G54&gt;0,IF(ARBITRAGES!$H54="eth",B53+ARBITRAGES!$G54,B53),B53))</f>
        <v>5059.398762</v>
      </c>
      <c r="C54" s="545">
        <f>IF($M54="","", IF(ARBITRAGES!$G54&gt;0,IF(ARBITRAGES!$H54="ton",C53+ARBITRAGES!$G54,C53),C53))</f>
        <v>0</v>
      </c>
      <c r="D54" s="545">
        <f>IF($M54="","", IF(ARBITRAGES!$G54&gt;0,IF(ARBITRAGES!$H54="sol",D53+ARBITRAGES!$G54,D53),D53))</f>
        <v>4858.693837</v>
      </c>
      <c r="E54" s="545">
        <f>IF($M54="","", IF(ARBITRAGES!$G54&gt;0,IF(ARBITRAGES!$H54="tao",E53+ARBITRAGES!$G54,E53),E53))</f>
        <v>0</v>
      </c>
      <c r="F54" s="545">
        <f>IF($M54="","", IF(ARBITRAGES!$G54&gt;0,IF(ARBITRAGES!$H54="ron",F53+ARBITRAGES!$G54,F53),F53))</f>
        <v>0</v>
      </c>
      <c r="G54" s="545">
        <f>IF($M54="","", IF(ARBITRAGES!$G54&gt;0,IF(ARBITRAGES!$H54="link",G53+ARBITRAGES!$G54,G53),G53))</f>
        <v>0</v>
      </c>
      <c r="H54" s="545">
        <f>IF($M54="","", IF(ARBITRAGES!$G54&gt;0,IF(ARBITRAGES!$H54="doge",H53+ARBITRAGES!$G54,H53),H53))</f>
        <v>0</v>
      </c>
      <c r="I54" s="545">
        <f t="shared" ref="I54:J54" si="28">IF(H54="","",I53)</f>
        <v>645.78248</v>
      </c>
      <c r="J54" s="545">
        <f t="shared" si="28"/>
        <v>244.016</v>
      </c>
      <c r="K54" s="545">
        <f>IF($M54="","", IF(ARBITRAGES!$G54&gt;0,IF(ARBITRAGES!$H54="*jup*",K53+ARBITRAGES!$G54,K53),K53))</f>
        <v>0</v>
      </c>
      <c r="L54" s="545">
        <f>IF($M54="","", IF(ARBITRAGES!$G54&gt;0,IF(ARBITRAGES!$H54="*aave*",L53+ARBITRAGES!$G54,L53),L53))</f>
        <v>0</v>
      </c>
      <c r="M54" s="540">
        <f>IF(ARBITRAGES!E54="","",ARBITRAGES!E54)</f>
        <v>45718</v>
      </c>
      <c r="N54" s="541">
        <f>IF(M54="","", SUM(A54:H54)+ARBITRAGES!$K$3)</f>
        <v>37467.52166</v>
      </c>
      <c r="O54" s="542">
        <f>IF(M54="","",PRIX!U54)</f>
        <v>50501.98855</v>
      </c>
      <c r="Q54" s="543">
        <f t="shared" si="1"/>
        <v>0.3478870852</v>
      </c>
      <c r="S54" s="544">
        <f t="shared" si="2"/>
        <v>13034.4669</v>
      </c>
    </row>
    <row r="55">
      <c r="A55" s="545">
        <f>IF($M55="","", IF(ARBITRAGES!$G55&gt;0,IF(ARBITRAGES!$H55="btc",A54+ARBITRAGES!$G55,A54),A54))</f>
        <v>5999.429056</v>
      </c>
      <c r="B55" s="545">
        <f>IF($M55="","", IF(ARBITRAGES!$G55&gt;0,IF(ARBITRAGES!$H55="eth",B54+ARBITRAGES!$G55,B54),B54))</f>
        <v>5059.398762</v>
      </c>
      <c r="C55" s="545">
        <f>IF($M55="","", IF(ARBITRAGES!$G55&gt;0,IF(ARBITRAGES!$H55="ton",C54+ARBITRAGES!$G55,C54),C54))</f>
        <v>0</v>
      </c>
      <c r="D55" s="545">
        <f>IF($M55="","", IF(ARBITRAGES!$G55&gt;0,IF(ARBITRAGES!$H55="sol",D54+ARBITRAGES!$G55,D54),D54))</f>
        <v>4858.693837</v>
      </c>
      <c r="E55" s="545">
        <f>IF($M55="","", IF(ARBITRAGES!$G55&gt;0,IF(ARBITRAGES!$H55="tao",E54+ARBITRAGES!$G55,E54),E54))</f>
        <v>0</v>
      </c>
      <c r="F55" s="545">
        <f>IF($M55="","", IF(ARBITRAGES!$G55&gt;0,IF(ARBITRAGES!$H55="ron",F54+ARBITRAGES!$G55,F54),F54))</f>
        <v>0</v>
      </c>
      <c r="G55" s="545">
        <f>IF($M55="","", IF(ARBITRAGES!$G55&gt;0,IF(ARBITRAGES!$H55="link",G54+ARBITRAGES!$G55,G54),G54))</f>
        <v>0</v>
      </c>
      <c r="H55" s="545">
        <f>IF($M55="","", IF(ARBITRAGES!$G55&gt;0,IF(ARBITRAGES!$H55="doge",H54+ARBITRAGES!$G55,H54),H54))</f>
        <v>0</v>
      </c>
      <c r="I55" s="545">
        <f t="shared" ref="I55:J55" si="29">IF(H55="","",I54)</f>
        <v>645.78248</v>
      </c>
      <c r="J55" s="545">
        <f t="shared" si="29"/>
        <v>244.016</v>
      </c>
      <c r="K55" s="545">
        <f>IF($M55="","", IF(ARBITRAGES!$G55&gt;0,IF(ARBITRAGES!$H55="*jup*",K54+ARBITRAGES!$G55,K54),K54))</f>
        <v>0</v>
      </c>
      <c r="L55" s="545">
        <f>IF($M55="","", IF(ARBITRAGES!$G55&gt;0,IF(ARBITRAGES!$H55="*aave*",L54+ARBITRAGES!$G55,L54),L54))</f>
        <v>0</v>
      </c>
      <c r="M55" s="540">
        <f>IF(ARBITRAGES!E55="","",ARBITRAGES!E55)</f>
        <v>45719</v>
      </c>
      <c r="N55" s="541">
        <f>IF(M55="","", SUM(A55:H55)+ARBITRAGES!$K$3)</f>
        <v>37467.52166</v>
      </c>
      <c r="O55" s="542">
        <f>IF(M55="","",PRIX!U55)</f>
        <v>46003.50692</v>
      </c>
      <c r="Q55" s="543">
        <f t="shared" si="1"/>
        <v>0.2278235894</v>
      </c>
      <c r="S55" s="544">
        <f t="shared" si="2"/>
        <v>8535.985269</v>
      </c>
    </row>
    <row r="56">
      <c r="A56" s="545">
        <f>IF($M56="","", IF(ARBITRAGES!$G56&gt;0,IF(ARBITRAGES!$H56="btc",A55+ARBITRAGES!$G56,A55),A55))</f>
        <v>5999.429056</v>
      </c>
      <c r="B56" s="545">
        <f>IF($M56="","", IF(ARBITRAGES!$G56&gt;0,IF(ARBITRAGES!$H56="eth",B55+ARBITRAGES!$G56,B55),B55))</f>
        <v>5059.398762</v>
      </c>
      <c r="C56" s="545">
        <f>IF($M56="","", IF(ARBITRAGES!$G56&gt;0,IF(ARBITRAGES!$H56="ton",C55+ARBITRAGES!$G56,C55),C55))</f>
        <v>0</v>
      </c>
      <c r="D56" s="545">
        <f>IF($M56="","", IF(ARBITRAGES!$G56&gt;0,IF(ARBITRAGES!$H56="sol",D55+ARBITRAGES!$G56,D55),D55))</f>
        <v>4858.693837</v>
      </c>
      <c r="E56" s="545">
        <f>IF($M56="","", IF(ARBITRAGES!$G56&gt;0,IF(ARBITRAGES!$H56="tao",E55+ARBITRAGES!$G56,E55),E55))</f>
        <v>0</v>
      </c>
      <c r="F56" s="545">
        <f>IF($M56="","", IF(ARBITRAGES!$G56&gt;0,IF(ARBITRAGES!$H56="ron",F55+ARBITRAGES!$G56,F55),F55))</f>
        <v>0</v>
      </c>
      <c r="G56" s="545">
        <f>IF($M56="","", IF(ARBITRAGES!$G56&gt;0,IF(ARBITRAGES!$H56="link",G55+ARBITRAGES!$G56,G55),G55))</f>
        <v>0</v>
      </c>
      <c r="H56" s="545">
        <f>IF($M56="","", IF(ARBITRAGES!$G56&gt;0,IF(ARBITRAGES!$H56="doge",H55+ARBITRAGES!$G56,H55),H55))</f>
        <v>0</v>
      </c>
      <c r="I56" s="545">
        <f t="shared" ref="I56:J56" si="30">IF(H56="","",I55)</f>
        <v>645.78248</v>
      </c>
      <c r="J56" s="545">
        <f t="shared" si="30"/>
        <v>244.016</v>
      </c>
      <c r="K56" s="545">
        <f>IF($M56="","", IF(ARBITRAGES!$G56&gt;0,IF(ARBITRAGES!$H56="*jup*",K55+ARBITRAGES!$G56,K55),K55))</f>
        <v>0</v>
      </c>
      <c r="L56" s="545">
        <f>IF($M56="","", IF(ARBITRAGES!$G56&gt;0,IF(ARBITRAGES!$H56="*aave*",L55+ARBITRAGES!$G56,L55),L55))</f>
        <v>0</v>
      </c>
      <c r="M56" s="540">
        <f>IF(ARBITRAGES!E56="","",ARBITRAGES!E56)</f>
        <v>45719</v>
      </c>
      <c r="N56" s="541">
        <f>IF(M56="","", SUM(A56:H56)+ARBITRAGES!$K$3)</f>
        <v>37467.52166</v>
      </c>
      <c r="O56" s="542">
        <f>IF(M56="","",PRIX!U56)</f>
        <v>46010.47398</v>
      </c>
      <c r="Q56" s="543">
        <f t="shared" si="1"/>
        <v>0.2280095385</v>
      </c>
      <c r="S56" s="544">
        <f t="shared" si="2"/>
        <v>8542.952322</v>
      </c>
    </row>
    <row r="57">
      <c r="A57" s="545">
        <f>IF($M57="","", IF(ARBITRAGES!$G57&gt;0,IF(ARBITRAGES!$H57="btc",A56+ARBITRAGES!$G57,A56),A56))</f>
        <v>5999.429056</v>
      </c>
      <c r="B57" s="545">
        <f>IF($M57="","", IF(ARBITRAGES!$G57&gt;0,IF(ARBITRAGES!$H57="eth",B56+ARBITRAGES!$G57,B56),B56))</f>
        <v>5059.398762</v>
      </c>
      <c r="C57" s="545">
        <f>IF($M57="","", IF(ARBITRAGES!$G57&gt;0,IF(ARBITRAGES!$H57="ton",C56+ARBITRAGES!$G57,C56),C56))</f>
        <v>0</v>
      </c>
      <c r="D57" s="545">
        <f>IF($M57="","", IF(ARBITRAGES!$G57&gt;0,IF(ARBITRAGES!$H57="sol",D56+ARBITRAGES!$G57,D56),D56))</f>
        <v>4858.693837</v>
      </c>
      <c r="E57" s="545">
        <f>IF($M57="","", IF(ARBITRAGES!$G57&gt;0,IF(ARBITRAGES!$H57="tao",E56+ARBITRAGES!$G57,E56),E56))</f>
        <v>0</v>
      </c>
      <c r="F57" s="545">
        <f>IF($M57="","", IF(ARBITRAGES!$G57&gt;0,IF(ARBITRAGES!$H57="ron",F56+ARBITRAGES!$G57,F56),F56))</f>
        <v>0</v>
      </c>
      <c r="G57" s="545">
        <f>IF($M57="","", IF(ARBITRAGES!$G57&gt;0,IF(ARBITRAGES!$H57="link",G56+ARBITRAGES!$G57,G56),G56))</f>
        <v>0</v>
      </c>
      <c r="H57" s="545">
        <f>IF($M57="","", IF(ARBITRAGES!$G57&gt;0,IF(ARBITRAGES!$H57="doge",H56+ARBITRAGES!$G57,H56),H56))</f>
        <v>0</v>
      </c>
      <c r="I57" s="545">
        <f t="shared" ref="I57:J57" si="31">IF(H57="","",I56)</f>
        <v>645.78248</v>
      </c>
      <c r="J57" s="545">
        <f t="shared" si="31"/>
        <v>244.016</v>
      </c>
      <c r="K57" s="545">
        <f>IF($M57="","", IF(ARBITRAGES!$G57&gt;0,IF(ARBITRAGES!$H57="*jup*",K56+ARBITRAGES!$G57,K56),K56))</f>
        <v>0</v>
      </c>
      <c r="L57" s="545">
        <f>IF($M57="","", IF(ARBITRAGES!$G57&gt;0,IF(ARBITRAGES!$H57="*aave*",L56+ARBITRAGES!$G57,L56),L56))</f>
        <v>0</v>
      </c>
      <c r="M57" s="540">
        <f>IF(ARBITRAGES!E57="","",ARBITRAGES!E57)</f>
        <v>45719</v>
      </c>
      <c r="N57" s="541">
        <f>IF(M57="","", SUM(A57:H57)+ARBITRAGES!$K$3)</f>
        <v>37467.52166</v>
      </c>
      <c r="O57" s="542">
        <f>IF(M57="","",PRIX!U57)</f>
        <v>46015.67629</v>
      </c>
      <c r="Q57" s="543">
        <f t="shared" si="1"/>
        <v>0.2281483871</v>
      </c>
      <c r="S57" s="544">
        <f t="shared" si="2"/>
        <v>8548.154634</v>
      </c>
    </row>
    <row r="58">
      <c r="A58" s="545">
        <f>IF($M58="","", IF(ARBITRAGES!$G58&gt;0,IF(ARBITRAGES!$H58="btc",A57+ARBITRAGES!$G58,A57),A57))</f>
        <v>5999.429056</v>
      </c>
      <c r="B58" s="545">
        <f>IF($M58="","", IF(ARBITRAGES!$G58&gt;0,IF(ARBITRAGES!$H58="eth",B57+ARBITRAGES!$G58,B57),B57))</f>
        <v>5059.398762</v>
      </c>
      <c r="C58" s="545">
        <f>IF($M58="","", IF(ARBITRAGES!$G58&gt;0,IF(ARBITRAGES!$H58="ton",C57+ARBITRAGES!$G58,C57),C57))</f>
        <v>0</v>
      </c>
      <c r="D58" s="545">
        <f>IF($M58="","", IF(ARBITRAGES!$G58&gt;0,IF(ARBITRAGES!$H58="sol",D57+ARBITRAGES!$G58,D57),D57))</f>
        <v>4858.693837</v>
      </c>
      <c r="E58" s="545">
        <f>IF($M58="","", IF(ARBITRAGES!$G58&gt;0,IF(ARBITRAGES!$H58="tao",E57+ARBITRAGES!$G58,E57),E57))</f>
        <v>0</v>
      </c>
      <c r="F58" s="545">
        <f>IF($M58="","", IF(ARBITRAGES!$G58&gt;0,IF(ARBITRAGES!$H58="ron",F57+ARBITRAGES!$G58,F57),F57))</f>
        <v>0</v>
      </c>
      <c r="G58" s="545">
        <f>IF($M58="","", IF(ARBITRAGES!$G58&gt;0,IF(ARBITRAGES!$H58="link",G57+ARBITRAGES!$G58,G57),G57))</f>
        <v>0</v>
      </c>
      <c r="H58" s="545">
        <f>IF($M58="","", IF(ARBITRAGES!$G58&gt;0,IF(ARBITRAGES!$H58="doge",H57+ARBITRAGES!$G58,H57),H57))</f>
        <v>0</v>
      </c>
      <c r="I58" s="545">
        <f t="shared" ref="I58:J58" si="32">IF(H58="","",I57)</f>
        <v>645.78248</v>
      </c>
      <c r="J58" s="545">
        <f t="shared" si="32"/>
        <v>244.016</v>
      </c>
      <c r="K58" s="545">
        <f>IF($M58="","", IF(ARBITRAGES!$G58&gt;0,IF(ARBITRAGES!$H58="*jup*",K57+ARBITRAGES!$G58,K57),K57))</f>
        <v>0</v>
      </c>
      <c r="L58" s="545">
        <f>IF($M58="","", IF(ARBITRAGES!$G58&gt;0,IF(ARBITRAGES!$H58="*aave*",L57+ARBITRAGES!$G58,L57),L57))</f>
        <v>0</v>
      </c>
      <c r="M58" s="540">
        <f>IF(ARBITRAGES!E58="","",ARBITRAGES!E58)</f>
        <v>45719</v>
      </c>
      <c r="N58" s="541">
        <f>IF(M58="","", SUM(A58:H58)+ARBITRAGES!$K$3)</f>
        <v>37467.52166</v>
      </c>
      <c r="O58" s="542">
        <f>IF(M58="","",PRIX!U58)</f>
        <v>46028.67629</v>
      </c>
      <c r="Q58" s="543">
        <f t="shared" si="1"/>
        <v>0.2284953543</v>
      </c>
      <c r="S58" s="544">
        <f t="shared" si="2"/>
        <v>8561.154634</v>
      </c>
    </row>
    <row r="59">
      <c r="A59" s="545">
        <f>IF($M59="","", IF(ARBITRAGES!$G59&gt;0,IF(ARBITRAGES!$H59="btc",A58+ARBITRAGES!$G59,A58),A58))</f>
        <v>5999.429056</v>
      </c>
      <c r="B59" s="545">
        <f>IF($M59="","", IF(ARBITRAGES!$G59&gt;0,IF(ARBITRAGES!$H59="eth",B58+ARBITRAGES!$G59,B58),B58))</f>
        <v>5059.398762</v>
      </c>
      <c r="C59" s="545">
        <f>IF($M59="","", IF(ARBITRAGES!$G59&gt;0,IF(ARBITRAGES!$H59="ton",C58+ARBITRAGES!$G59,C58),C58))</f>
        <v>0</v>
      </c>
      <c r="D59" s="545">
        <f>IF($M59="","", IF(ARBITRAGES!$G59&gt;0,IF(ARBITRAGES!$H59="sol",D58+ARBITRAGES!$G59,D58),D58))</f>
        <v>4858.693837</v>
      </c>
      <c r="E59" s="545">
        <f>IF($M59="","", IF(ARBITRAGES!$G59&gt;0,IF(ARBITRAGES!$H59="tao",E58+ARBITRAGES!$G59,E58),E58))</f>
        <v>0</v>
      </c>
      <c r="F59" s="545">
        <f>IF($M59="","", IF(ARBITRAGES!$G59&gt;0,IF(ARBITRAGES!$H59="ron",F58+ARBITRAGES!$G59,F58),F58))</f>
        <v>0</v>
      </c>
      <c r="G59" s="545">
        <f>IF($M59="","", IF(ARBITRAGES!$G59&gt;0,IF(ARBITRAGES!$H59="link",G58+ARBITRAGES!$G59,G58),G58))</f>
        <v>0</v>
      </c>
      <c r="H59" s="545">
        <f>IF($M59="","", IF(ARBITRAGES!$G59&gt;0,IF(ARBITRAGES!$H59="doge",H58+ARBITRAGES!$G59,H58),H58))</f>
        <v>0</v>
      </c>
      <c r="I59" s="545">
        <f t="shared" ref="I59:J59" si="33">IF(H59="","",I58)</f>
        <v>645.78248</v>
      </c>
      <c r="J59" s="545">
        <f t="shared" si="33"/>
        <v>244.016</v>
      </c>
      <c r="K59" s="545">
        <f>IF($M59="","", IF(ARBITRAGES!$G59&gt;0,IF(ARBITRAGES!$H59="*jup*",K58+ARBITRAGES!$G59,K58),K58))</f>
        <v>0</v>
      </c>
      <c r="L59" s="545">
        <f>IF($M59="","", IF(ARBITRAGES!$G59&gt;0,IF(ARBITRAGES!$H59="*aave*",L58+ARBITRAGES!$G59,L58),L58))</f>
        <v>0</v>
      </c>
      <c r="M59" s="540">
        <f>IF(ARBITRAGES!E59="","",ARBITRAGES!E59)</f>
        <v>45720</v>
      </c>
      <c r="N59" s="541">
        <f>IF(M59="","", SUM(A59:H59)+ARBITRAGES!$K$3)</f>
        <v>37467.52166</v>
      </c>
      <c r="O59" s="542">
        <f>IF(M59="","",PRIX!U59)</f>
        <v>44004.98237</v>
      </c>
      <c r="Q59" s="543">
        <f t="shared" si="1"/>
        <v>0.1744834038</v>
      </c>
      <c r="S59" s="544">
        <f t="shared" si="2"/>
        <v>6537.460712</v>
      </c>
    </row>
    <row r="60">
      <c r="A60" s="545">
        <f>IF($M60="","", IF(ARBITRAGES!$G60&gt;0,IF(ARBITRAGES!$H60="btc",A59+ARBITRAGES!$G60,A59),A59))</f>
        <v>5999.429056</v>
      </c>
      <c r="B60" s="545">
        <f>IF($M60="","", IF(ARBITRAGES!$G60&gt;0,IF(ARBITRAGES!$H60="eth",B59+ARBITRAGES!$G60,B59),B59))</f>
        <v>5059.398762</v>
      </c>
      <c r="C60" s="545">
        <f>IF($M60="","", IF(ARBITRAGES!$G60&gt;0,IF(ARBITRAGES!$H60="ton",C59+ARBITRAGES!$G60,C59),C59))</f>
        <v>0</v>
      </c>
      <c r="D60" s="545">
        <f>IF($M60="","", IF(ARBITRAGES!$G60&gt;0,IF(ARBITRAGES!$H60="sol",D59+ARBITRAGES!$G60,D59),D59))</f>
        <v>4858.693837</v>
      </c>
      <c r="E60" s="545">
        <f>IF($M60="","", IF(ARBITRAGES!$G60&gt;0,IF(ARBITRAGES!$H60="tao",E59+ARBITRAGES!$G60,E59),E59))</f>
        <v>0</v>
      </c>
      <c r="F60" s="545">
        <f>IF($M60="","", IF(ARBITRAGES!$G60&gt;0,IF(ARBITRAGES!$H60="ron",F59+ARBITRAGES!$G60,F59),F59))</f>
        <v>0</v>
      </c>
      <c r="G60" s="545">
        <f>IF($M60="","", IF(ARBITRAGES!$G60&gt;0,IF(ARBITRAGES!$H60="link",G59+ARBITRAGES!$G60,G59),G59))</f>
        <v>0</v>
      </c>
      <c r="H60" s="545">
        <f>IF($M60="","", IF(ARBITRAGES!$G60&gt;0,IF(ARBITRAGES!$H60="doge",H59+ARBITRAGES!$G60,H59),H59))</f>
        <v>0</v>
      </c>
      <c r="I60" s="545">
        <f t="shared" ref="I60:J60" si="34">IF(H60="","",I59)</f>
        <v>645.78248</v>
      </c>
      <c r="J60" s="545">
        <f t="shared" si="34"/>
        <v>244.016</v>
      </c>
      <c r="K60" s="545">
        <f>IF($M60="","", IF(ARBITRAGES!$G60&gt;0,IF(ARBITRAGES!$H60="*jup*",K59+ARBITRAGES!$G60,K59),K59))</f>
        <v>0</v>
      </c>
      <c r="L60" s="545">
        <f>IF($M60="","", IF(ARBITRAGES!$G60&gt;0,IF(ARBITRAGES!$H60="*aave*",L59+ARBITRAGES!$G60,L59),L59))</f>
        <v>0</v>
      </c>
      <c r="M60" s="540">
        <f>IF(ARBITRAGES!E60="","",ARBITRAGES!E60)</f>
        <v>45725</v>
      </c>
      <c r="N60" s="541">
        <f>IF(M60="","", SUM(A60:H60)+ARBITRAGES!$K$3)</f>
        <v>37467.52166</v>
      </c>
      <c r="O60" s="542">
        <f>IF(M60="","",PRIX!U60)</f>
        <v>42004.47623</v>
      </c>
      <c r="Q60" s="543">
        <f t="shared" si="1"/>
        <v>0.1210903303</v>
      </c>
      <c r="S60" s="544">
        <f t="shared" si="2"/>
        <v>4536.954572</v>
      </c>
    </row>
    <row r="61">
      <c r="A61" s="545">
        <f>IF($M61="","", IF(ARBITRAGES!$G61&gt;0,IF(ARBITRAGES!$H61="btc",A60+ARBITRAGES!$G61,A60),A60))</f>
        <v>5999.429056</v>
      </c>
      <c r="B61" s="545">
        <f>IF($M61="","", IF(ARBITRAGES!$G61&gt;0,IF(ARBITRAGES!$H61="eth",B60+ARBITRAGES!$G61,B60),B60))</f>
        <v>5059.398762</v>
      </c>
      <c r="C61" s="545">
        <f>IF($M61="","", IF(ARBITRAGES!$G61&gt;0,IF(ARBITRAGES!$H61="ton",C60+ARBITRAGES!$G61,C60),C60))</f>
        <v>0</v>
      </c>
      <c r="D61" s="545">
        <f>IF($M61="","", IF(ARBITRAGES!$G61&gt;0,IF(ARBITRAGES!$H61="sol",D60+ARBITRAGES!$G61,D60),D60))</f>
        <v>4858.693837</v>
      </c>
      <c r="E61" s="545">
        <f>IF($M61="","", IF(ARBITRAGES!$G61&gt;0,IF(ARBITRAGES!$H61="tao",E60+ARBITRAGES!$G61,E60),E60))</f>
        <v>0</v>
      </c>
      <c r="F61" s="545">
        <f>IF($M61="","", IF(ARBITRAGES!$G61&gt;0,IF(ARBITRAGES!$H61="ron",F60+ARBITRAGES!$G61,F60),F60))</f>
        <v>0</v>
      </c>
      <c r="G61" s="545">
        <f>IF($M61="","", IF(ARBITRAGES!$G61&gt;0,IF(ARBITRAGES!$H61="link",G60+ARBITRAGES!$G61,G60),G60))</f>
        <v>0</v>
      </c>
      <c r="H61" s="545">
        <f>IF($M61="","", IF(ARBITRAGES!$G61&gt;0,IF(ARBITRAGES!$H61="doge",H60+ARBITRAGES!$G61,H60),H60))</f>
        <v>0</v>
      </c>
      <c r="I61" s="545">
        <f t="shared" ref="I61:J61" si="35">IF(H61="","",I60)</f>
        <v>645.78248</v>
      </c>
      <c r="J61" s="545">
        <f t="shared" si="35"/>
        <v>244.016</v>
      </c>
      <c r="K61" s="545">
        <f>IF($M61="","", IF(ARBITRAGES!$G61&gt;0,IF(ARBITRAGES!$H61="*jup*",K60+ARBITRAGES!$G61,K60),K60))</f>
        <v>0</v>
      </c>
      <c r="L61" s="545">
        <f>IF($M61="","", IF(ARBITRAGES!$G61&gt;0,IF(ARBITRAGES!$H61="*aave*",L60+ARBITRAGES!$G61,L60),L60))</f>
        <v>0</v>
      </c>
      <c r="M61" s="540">
        <f>IF(ARBITRAGES!E61="","",ARBITRAGES!E61)</f>
        <v>45734</v>
      </c>
      <c r="N61" s="541">
        <f>IF(M61="","", SUM(A61:H61)+ARBITRAGES!$K$3)</f>
        <v>37467.52166</v>
      </c>
      <c r="O61" s="542">
        <f>IF(M61="","",PRIX!U61)</f>
        <v>43548.6634</v>
      </c>
      <c r="Q61" s="543">
        <f t="shared" si="1"/>
        <v>0.1623043499</v>
      </c>
      <c r="S61" s="544">
        <f t="shared" si="2"/>
        <v>6081.141745</v>
      </c>
    </row>
    <row r="62">
      <c r="A62" s="545">
        <f>IF($M62="","", IF(ARBITRAGES!$G62&gt;0,IF(ARBITRAGES!$H62="btc",A61+ARBITRAGES!$G62,A61),A61))</f>
        <v>5999.429056</v>
      </c>
      <c r="B62" s="545">
        <f>IF($M62="","", IF(ARBITRAGES!$G62&gt;0,IF(ARBITRAGES!$H62="eth",B61+ARBITRAGES!$G62,B61),B61))</f>
        <v>5059.398762</v>
      </c>
      <c r="C62" s="545">
        <f>IF($M62="","", IF(ARBITRAGES!$G62&gt;0,IF(ARBITRAGES!$H62="ton",C61+ARBITRAGES!$G62,C61),C61))</f>
        <v>0</v>
      </c>
      <c r="D62" s="545">
        <f>IF($M62="","", IF(ARBITRAGES!$G62&gt;0,IF(ARBITRAGES!$H62="sol",D61+ARBITRAGES!$G62,D61),D61))</f>
        <v>4858.693837</v>
      </c>
      <c r="E62" s="545">
        <f>IF($M62="","", IF(ARBITRAGES!$G62&gt;0,IF(ARBITRAGES!$H62="tao",E61+ARBITRAGES!$G62,E61),E61))</f>
        <v>0</v>
      </c>
      <c r="F62" s="545">
        <f>IF($M62="","", IF(ARBITRAGES!$G62&gt;0,IF(ARBITRAGES!$H62="ron",F61+ARBITRAGES!$G62,F61),F61))</f>
        <v>0</v>
      </c>
      <c r="G62" s="545">
        <f>IF($M62="","", IF(ARBITRAGES!$G62&gt;0,IF(ARBITRAGES!$H62="link",G61+ARBITRAGES!$G62,G61),G61))</f>
        <v>0</v>
      </c>
      <c r="H62" s="545">
        <f>IF($M62="","", IF(ARBITRAGES!$G62&gt;0,IF(ARBITRAGES!$H62="doge",H61+ARBITRAGES!$G62,H61),H61))</f>
        <v>0</v>
      </c>
      <c r="I62" s="545">
        <f t="shared" ref="I62:J62" si="36">IF(H62="","",I61)</f>
        <v>645.78248</v>
      </c>
      <c r="J62" s="545">
        <f t="shared" si="36"/>
        <v>244.016</v>
      </c>
      <c r="K62" s="545">
        <f>IF($M62="","", IF(ARBITRAGES!$G62&gt;0,IF(ARBITRAGES!$H62="*jup*",K61+ARBITRAGES!$G62,K61),K61))</f>
        <v>0</v>
      </c>
      <c r="L62" s="545">
        <f>IF($M62="","", IF(ARBITRAGES!$G62&gt;0,IF(ARBITRAGES!$H62="*aave*",L61+ARBITRAGES!$G62,L61),L61))</f>
        <v>0</v>
      </c>
      <c r="M62" s="540">
        <f>IF(ARBITRAGES!E62="","",ARBITRAGES!E62)</f>
        <v>45749</v>
      </c>
      <c r="N62" s="541">
        <f>IF(M62="","", SUM(A62:H62)+ARBITRAGES!$K$3)</f>
        <v>37467.52166</v>
      </c>
      <c r="O62" s="542">
        <f>IF(M62="","",PRIX!U62)</f>
        <v>40154.82361</v>
      </c>
      <c r="Q62" s="543">
        <f t="shared" si="1"/>
        <v>0.07172350452</v>
      </c>
      <c r="S62" s="544">
        <f t="shared" si="2"/>
        <v>2687.301959</v>
      </c>
    </row>
    <row r="63">
      <c r="A63" s="545">
        <f>IF($M63="","", IF(ARBITRAGES!$G63&gt;0,IF(ARBITRAGES!$H63="btc",A62+ARBITRAGES!$G63,A62),A62))</f>
        <v>5999.429056</v>
      </c>
      <c r="B63" s="545">
        <f>IF($M63="","", IF(ARBITRAGES!$G63&gt;0,IF(ARBITRAGES!$H63="eth",B62+ARBITRAGES!$G63,B62),B62))</f>
        <v>5059.398762</v>
      </c>
      <c r="C63" s="545">
        <f>IF($M63="","", IF(ARBITRAGES!$G63&gt;0,IF(ARBITRAGES!$H63="ton",C62+ARBITRAGES!$G63,C62),C62))</f>
        <v>0</v>
      </c>
      <c r="D63" s="545">
        <f>IF($M63="","", IF(ARBITRAGES!$G63&gt;0,IF(ARBITRAGES!$H63="sol",D62+ARBITRAGES!$G63,D62),D62))</f>
        <v>4858.693837</v>
      </c>
      <c r="E63" s="545">
        <f>IF($M63="","", IF(ARBITRAGES!$G63&gt;0,IF(ARBITRAGES!$H63="tao",E62+ARBITRAGES!$G63,E62),E62))</f>
        <v>0</v>
      </c>
      <c r="F63" s="545">
        <f>IF($M63="","", IF(ARBITRAGES!$G63&gt;0,IF(ARBITRAGES!$H63="ron",F62+ARBITRAGES!$G63,F62),F62))</f>
        <v>0</v>
      </c>
      <c r="G63" s="545">
        <f>IF($M63="","", IF(ARBITRAGES!$G63&gt;0,IF(ARBITRAGES!$H63="link",G62+ARBITRAGES!$G63,G62),G62))</f>
        <v>0</v>
      </c>
      <c r="H63" s="545">
        <f>IF($M63="","", IF(ARBITRAGES!$G63&gt;0,IF(ARBITRAGES!$H63="doge",H62+ARBITRAGES!$G63,H62),H62))</f>
        <v>0</v>
      </c>
      <c r="I63" s="545">
        <f t="shared" ref="I63:J63" si="37">IF(H63="","",I62)</f>
        <v>645.78248</v>
      </c>
      <c r="J63" s="545">
        <f t="shared" si="37"/>
        <v>244.016</v>
      </c>
      <c r="K63" s="545">
        <f>IF($M63="","", IF(ARBITRAGES!$G63&gt;0,IF(ARBITRAGES!$H63="*jup*",K62+ARBITRAGES!$G63,K62),K62))</f>
        <v>0</v>
      </c>
      <c r="L63" s="545">
        <f>IF($M63="","", IF(ARBITRAGES!$G63&gt;0,IF(ARBITRAGES!$H63="*aave*",L62+ARBITRAGES!$G63,L62),L62))</f>
        <v>0</v>
      </c>
      <c r="M63" s="540">
        <f>IF(ARBITRAGES!E63="","",ARBITRAGES!E63)</f>
        <v>45751</v>
      </c>
      <c r="N63" s="541">
        <f>IF(M63="","", SUM(A63:H63)+ARBITRAGES!$K$3)</f>
        <v>37467.52166</v>
      </c>
      <c r="O63" s="542">
        <f>IF(M63="","",PRIX!U63)</f>
        <v>39162.77362</v>
      </c>
      <c r="Q63" s="543">
        <f t="shared" si="1"/>
        <v>0.04524590598</v>
      </c>
      <c r="S63" s="544">
        <f t="shared" si="2"/>
        <v>1695.251962</v>
      </c>
    </row>
    <row r="64">
      <c r="A64" s="545">
        <f>IF($M64="","", IF(ARBITRAGES!$G64&gt;0,IF(ARBITRAGES!$H64="btc",A63+ARBITRAGES!$G64,A63),A63))</f>
        <v>5999.429056</v>
      </c>
      <c r="B64" s="545">
        <f>IF($M64="","", IF(ARBITRAGES!$G64&gt;0,IF(ARBITRAGES!$H64="eth",B63+ARBITRAGES!$G64,B63),B63))</f>
        <v>5059.398762</v>
      </c>
      <c r="C64" s="545">
        <f>IF($M64="","", IF(ARBITRAGES!$G64&gt;0,IF(ARBITRAGES!$H64="ton",C63+ARBITRAGES!$G64,C63),C63))</f>
        <v>0</v>
      </c>
      <c r="D64" s="545">
        <f>IF($M64="","", IF(ARBITRAGES!$G64&gt;0,IF(ARBITRAGES!$H64="sol",D63+ARBITRAGES!$G64,D63),D63))</f>
        <v>4858.693837</v>
      </c>
      <c r="E64" s="545">
        <f>IF($M64="","", IF(ARBITRAGES!$G64&gt;0,IF(ARBITRAGES!$H64="tao",E63+ARBITRAGES!$G64,E63),E63))</f>
        <v>0</v>
      </c>
      <c r="F64" s="545">
        <f>IF($M64="","", IF(ARBITRAGES!$G64&gt;0,IF(ARBITRAGES!$H64="ron",F63+ARBITRAGES!$G64,F63),F63))</f>
        <v>0</v>
      </c>
      <c r="G64" s="545">
        <f>IF($M64="","", IF(ARBITRAGES!$G64&gt;0,IF(ARBITRAGES!$H64="link",G63+ARBITRAGES!$G64,G63),G63))</f>
        <v>0</v>
      </c>
      <c r="H64" s="545">
        <f>IF($M64="","", IF(ARBITRAGES!$G64&gt;0,IF(ARBITRAGES!$H64="doge",H63+ARBITRAGES!$G64,H63),H63))</f>
        <v>0</v>
      </c>
      <c r="I64" s="545">
        <f t="shared" ref="I64:J64" si="38">IF(H64="","",I63)</f>
        <v>645.78248</v>
      </c>
      <c r="J64" s="545">
        <f t="shared" si="38"/>
        <v>244.016</v>
      </c>
      <c r="K64" s="545">
        <f>IF($M64="","", IF(ARBITRAGES!$G64&gt;0,IF(ARBITRAGES!$H64="*jup*",K63+ARBITRAGES!$G64,K63),K63))</f>
        <v>0</v>
      </c>
      <c r="L64" s="545">
        <f>IF($M64="","", IF(ARBITRAGES!$G64&gt;0,IF(ARBITRAGES!$H64="*aave*",L63+ARBITRAGES!$G64,L63),L63))</f>
        <v>0</v>
      </c>
      <c r="M64" s="540">
        <f>IF(ARBITRAGES!E64="","",ARBITRAGES!E64)</f>
        <v>45753</v>
      </c>
      <c r="N64" s="541">
        <f>IF(M64="","", SUM(A64:H64)+ARBITRAGES!$K$3)</f>
        <v>37467.52166</v>
      </c>
      <c r="O64" s="542">
        <f>IF(M64="","",PRIX!U64)</f>
        <v>36867.23552</v>
      </c>
      <c r="Q64" s="543">
        <f t="shared" si="1"/>
        <v>-0.01602150645</v>
      </c>
      <c r="S64" s="544">
        <f t="shared" si="2"/>
        <v>-600.28614</v>
      </c>
    </row>
    <row r="65">
      <c r="A65" s="545">
        <f>IF($M65="","", IF(ARBITRAGES!$G65&gt;0,IF(ARBITRAGES!$H65="btc",A64+ARBITRAGES!$G65,A64),A64))</f>
        <v>5999.429056</v>
      </c>
      <c r="B65" s="545">
        <f>IF($M65="","", IF(ARBITRAGES!$G65&gt;0,IF(ARBITRAGES!$H65="eth",B64+ARBITRAGES!$G65,B64),B64))</f>
        <v>5059.398762</v>
      </c>
      <c r="C65" s="545">
        <f>IF($M65="","", IF(ARBITRAGES!$G65&gt;0,IF(ARBITRAGES!$H65="ton",C64+ARBITRAGES!$G65,C64),C64))</f>
        <v>0</v>
      </c>
      <c r="D65" s="545">
        <f>IF($M65="","", IF(ARBITRAGES!$G65&gt;0,IF(ARBITRAGES!$H65="sol",D64+ARBITRAGES!$G65,D64),D64))</f>
        <v>4858.693837</v>
      </c>
      <c r="E65" s="545">
        <f>IF($M65="","", IF(ARBITRAGES!$G65&gt;0,IF(ARBITRAGES!$H65="tao",E64+ARBITRAGES!$G65,E64),E64))</f>
        <v>0</v>
      </c>
      <c r="F65" s="545">
        <f>IF($M65="","", IF(ARBITRAGES!$G65&gt;0,IF(ARBITRAGES!$H65="ron",F64+ARBITRAGES!$G65,F64),F64))</f>
        <v>0</v>
      </c>
      <c r="G65" s="545">
        <f>IF($M65="","", IF(ARBITRAGES!$G65&gt;0,IF(ARBITRAGES!$H65="link",G64+ARBITRAGES!$G65,G64),G64))</f>
        <v>0</v>
      </c>
      <c r="H65" s="545">
        <f>IF($M65="","", IF(ARBITRAGES!$G65&gt;0,IF(ARBITRAGES!$H65="doge",H64+ARBITRAGES!$G65,H64),H64))</f>
        <v>0</v>
      </c>
      <c r="I65" s="545">
        <f t="shared" ref="I65:J65" si="39">IF(H65="","",I64)</f>
        <v>645.78248</v>
      </c>
      <c r="J65" s="545">
        <f t="shared" si="39"/>
        <v>244.016</v>
      </c>
      <c r="K65" s="545">
        <f>IF($M65="","", IF(ARBITRAGES!$G65&gt;0,IF(ARBITRAGES!$H65="*jup*",K64+ARBITRAGES!$G65,K64),K64))</f>
        <v>0</v>
      </c>
      <c r="L65" s="545">
        <f>IF($M65="","", IF(ARBITRAGES!$G65&gt;0,IF(ARBITRAGES!$H65="*aave*",L64+ARBITRAGES!$G65,L64),L64))</f>
        <v>0</v>
      </c>
      <c r="M65" s="540">
        <f>IF(ARBITRAGES!E65="","",ARBITRAGES!E65)</f>
        <v>45753</v>
      </c>
      <c r="N65" s="541">
        <f>IF(M65="","", SUM(A65:H65)+ARBITRAGES!$K$3)</f>
        <v>37467.52166</v>
      </c>
      <c r="O65" s="542">
        <f>IF(M65="","",PRIX!U65)</f>
        <v>36887.23552</v>
      </c>
      <c r="Q65" s="543">
        <f t="shared" si="1"/>
        <v>-0.0154877108</v>
      </c>
      <c r="S65" s="544">
        <f t="shared" si="2"/>
        <v>-580.28614</v>
      </c>
    </row>
    <row r="66">
      <c r="A66" s="545">
        <f>IF($M66="","", IF(ARBITRAGES!$G66&gt;0,IF(ARBITRAGES!$H66="btc",A65+ARBITRAGES!$G66,A65),A65))</f>
        <v>5999.429056</v>
      </c>
      <c r="B66" s="545">
        <f>IF($M66="","", IF(ARBITRAGES!$G66&gt;0,IF(ARBITRAGES!$H66="eth",B65+ARBITRAGES!$G66,B65),B65))</f>
        <v>5059.398762</v>
      </c>
      <c r="C66" s="545">
        <f>IF($M66="","", IF(ARBITRAGES!$G66&gt;0,IF(ARBITRAGES!$H66="ton",C65+ARBITRAGES!$G66,C65),C65))</f>
        <v>0</v>
      </c>
      <c r="D66" s="545">
        <f>IF($M66="","", IF(ARBITRAGES!$G66&gt;0,IF(ARBITRAGES!$H66="sol",D65+ARBITRAGES!$G66,D65),D65))</f>
        <v>4858.693837</v>
      </c>
      <c r="E66" s="545">
        <f>IF($M66="","", IF(ARBITRAGES!$G66&gt;0,IF(ARBITRAGES!$H66="tao",E65+ARBITRAGES!$G66,E65),E65))</f>
        <v>0</v>
      </c>
      <c r="F66" s="545">
        <f>IF($M66="","", IF(ARBITRAGES!$G66&gt;0,IF(ARBITRAGES!$H66="ron",F65+ARBITRAGES!$G66,F65),F65))</f>
        <v>0</v>
      </c>
      <c r="G66" s="545">
        <f>IF($M66="","", IF(ARBITRAGES!$G66&gt;0,IF(ARBITRAGES!$H66="link",G65+ARBITRAGES!$G66,G65),G65))</f>
        <v>0</v>
      </c>
      <c r="H66" s="545">
        <f>IF($M66="","", IF(ARBITRAGES!$G66&gt;0,IF(ARBITRAGES!$H66="doge",H65+ARBITRAGES!$G66,H65),H65))</f>
        <v>0</v>
      </c>
      <c r="I66" s="545">
        <f t="shared" ref="I66:J66" si="40">IF(H66="","",I65)</f>
        <v>645.78248</v>
      </c>
      <c r="J66" s="545">
        <f t="shared" si="40"/>
        <v>244.016</v>
      </c>
      <c r="K66" s="545">
        <f>IF($M66="","", IF(ARBITRAGES!$G66&gt;0,IF(ARBITRAGES!$H66="*jup*",K65+ARBITRAGES!$G66,K65),K65))</f>
        <v>0</v>
      </c>
      <c r="L66" s="545">
        <f>IF($M66="","", IF(ARBITRAGES!$G66&gt;0,IF(ARBITRAGES!$H66="*aave*",L65+ARBITRAGES!$G66,L65),L65))</f>
        <v>0</v>
      </c>
      <c r="M66" s="540">
        <f>IF(ARBITRAGES!E66="","",ARBITRAGES!E66)</f>
        <v>45754</v>
      </c>
      <c r="N66" s="541">
        <f>IF(M66="","", SUM(A66:H66)+ARBITRAGES!$K$3)</f>
        <v>37467.52166</v>
      </c>
      <c r="O66" s="542">
        <f>IF(M66="","",PRIX!U66)</f>
        <v>36631.22302</v>
      </c>
      <c r="Q66" s="543">
        <f t="shared" si="1"/>
        <v>-0.0223206287</v>
      </c>
      <c r="S66" s="544">
        <f t="shared" si="2"/>
        <v>-836.298639</v>
      </c>
    </row>
    <row r="67">
      <c r="A67" s="545">
        <f>IF($M67="","", IF(ARBITRAGES!$G67&gt;0,IF(ARBITRAGES!$H67="btc",A66+ARBITRAGES!$G67,A66),A66))</f>
        <v>5999.429056</v>
      </c>
      <c r="B67" s="545">
        <f>IF($M67="","", IF(ARBITRAGES!$G67&gt;0,IF(ARBITRAGES!$H67="eth",B66+ARBITRAGES!$G67,B66),B66))</f>
        <v>5059.398762</v>
      </c>
      <c r="C67" s="545">
        <f>IF($M67="","", IF(ARBITRAGES!$G67&gt;0,IF(ARBITRAGES!$H67="ton",C66+ARBITRAGES!$G67,C66),C66))</f>
        <v>0</v>
      </c>
      <c r="D67" s="545">
        <f>IF($M67="","", IF(ARBITRAGES!$G67&gt;0,IF(ARBITRAGES!$H67="sol",D66+ARBITRAGES!$G67,D66),D66))</f>
        <v>4858.693837</v>
      </c>
      <c r="E67" s="545">
        <f>IF($M67="","", IF(ARBITRAGES!$G67&gt;0,IF(ARBITRAGES!$H67="tao",E66+ARBITRAGES!$G67,E66),E66))</f>
        <v>0</v>
      </c>
      <c r="F67" s="545">
        <f>IF($M67="","", IF(ARBITRAGES!$G67&gt;0,IF(ARBITRAGES!$H67="ron",F66+ARBITRAGES!$G67,F66),F66))</f>
        <v>0</v>
      </c>
      <c r="G67" s="545">
        <f>IF($M67="","", IF(ARBITRAGES!$G67&gt;0,IF(ARBITRAGES!$H67="link",G66+ARBITRAGES!$G67,G66),G66))</f>
        <v>0</v>
      </c>
      <c r="H67" s="545">
        <f>IF($M67="","", IF(ARBITRAGES!$G67&gt;0,IF(ARBITRAGES!$H67="doge",H66+ARBITRAGES!$G67,H66),H66))</f>
        <v>0</v>
      </c>
      <c r="I67" s="545">
        <f t="shared" ref="I67:J67" si="41">IF(H67="","",I66)</f>
        <v>645.78248</v>
      </c>
      <c r="J67" s="545">
        <f t="shared" si="41"/>
        <v>244.016</v>
      </c>
      <c r="K67" s="545">
        <f>IF($M67="","", IF(ARBITRAGES!$G67&gt;0,IF(ARBITRAGES!$H67="*jup*",K66+ARBITRAGES!$G67,K66),K66))</f>
        <v>0</v>
      </c>
      <c r="L67" s="545">
        <f>IF($M67="","", IF(ARBITRAGES!$G67&gt;0,IF(ARBITRAGES!$H67="*aave*",L66+ARBITRAGES!$G67,L66),L66))</f>
        <v>0</v>
      </c>
      <c r="M67" s="540">
        <f>IF(ARBITRAGES!E67="","",ARBITRAGES!E67)</f>
        <v>45756</v>
      </c>
      <c r="N67" s="541">
        <f>IF(M67="","", SUM(A67:H67)+ARBITRAGES!$K$3)</f>
        <v>37467.52166</v>
      </c>
      <c r="O67" s="542">
        <f>IF(M67="","",PRIX!U67)</f>
        <v>36443.71052</v>
      </c>
      <c r="Q67" s="543">
        <f t="shared" si="1"/>
        <v>-0.02732529649</v>
      </c>
      <c r="S67" s="544">
        <f t="shared" si="2"/>
        <v>-1023.811138</v>
      </c>
    </row>
    <row r="68">
      <c r="A68" s="545">
        <f>IF($M68="","", IF(ARBITRAGES!$G68&gt;0,IF(ARBITRAGES!$H68="btc",A67+ARBITRAGES!$G68,A67),A67))</f>
        <v>5999.429056</v>
      </c>
      <c r="B68" s="545">
        <f>IF($M68="","", IF(ARBITRAGES!$G68&gt;0,IF(ARBITRAGES!$H68="eth",B67+ARBITRAGES!$G68,B67),B67))</f>
        <v>5059.398762</v>
      </c>
      <c r="C68" s="545">
        <f>IF($M68="","", IF(ARBITRAGES!$G68&gt;0,IF(ARBITRAGES!$H68="ton",C67+ARBITRAGES!$G68,C67),C67))</f>
        <v>0</v>
      </c>
      <c r="D68" s="545">
        <f>IF($M68="","", IF(ARBITRAGES!$G68&gt;0,IF(ARBITRAGES!$H68="sol",D67+ARBITRAGES!$G68,D67),D67))</f>
        <v>4858.693837</v>
      </c>
      <c r="E68" s="545">
        <f>IF($M68="","", IF(ARBITRAGES!$G68&gt;0,IF(ARBITRAGES!$H68="tao",E67+ARBITRAGES!$G68,E67),E67))</f>
        <v>0</v>
      </c>
      <c r="F68" s="545">
        <f>IF($M68="","", IF(ARBITRAGES!$G68&gt;0,IF(ARBITRAGES!$H68="ron",F67+ARBITRAGES!$G68,F67),F67))</f>
        <v>0</v>
      </c>
      <c r="G68" s="545">
        <f>IF($M68="","", IF(ARBITRAGES!$G68&gt;0,IF(ARBITRAGES!$H68="link",G67+ARBITRAGES!$G68,G67),G67))</f>
        <v>0</v>
      </c>
      <c r="H68" s="545">
        <f>IF($M68="","", IF(ARBITRAGES!$G68&gt;0,IF(ARBITRAGES!$H68="doge",H67+ARBITRAGES!$G68,H67),H67))</f>
        <v>0</v>
      </c>
      <c r="I68" s="545">
        <f t="shared" ref="I68:J68" si="42">IF(H68="","",I67)</f>
        <v>645.78248</v>
      </c>
      <c r="J68" s="545">
        <f t="shared" si="42"/>
        <v>244.016</v>
      </c>
      <c r="K68" s="545">
        <f>IF($M68="","", IF(ARBITRAGES!$G68&gt;0,IF(ARBITRAGES!$H68="*jup*",K67+ARBITRAGES!$G68,K67),K67))</f>
        <v>0</v>
      </c>
      <c r="L68" s="545">
        <f>IF($M68="","", IF(ARBITRAGES!$G68&gt;0,IF(ARBITRAGES!$H68="*aave*",L67+ARBITRAGES!$G68,L67),L67))</f>
        <v>0</v>
      </c>
      <c r="M68" s="540">
        <f>IF(ARBITRAGES!E68="","",ARBITRAGES!E68)</f>
        <v>45757</v>
      </c>
      <c r="N68" s="541">
        <f>IF(M68="","", SUM(A68:H68)+ARBITRAGES!$K$3)</f>
        <v>37467.52166</v>
      </c>
      <c r="O68" s="542">
        <f>IF(M68="","",PRIX!U68)</f>
        <v>38502.14361</v>
      </c>
      <c r="Q68" s="543">
        <f t="shared" si="1"/>
        <v>0.02761383492</v>
      </c>
      <c r="S68" s="544">
        <f t="shared" si="2"/>
        <v>1034.621958</v>
      </c>
    </row>
    <row r="69">
      <c r="A69" s="545">
        <f>IF($M69="","", IF(ARBITRAGES!$G69&gt;0,IF(ARBITRAGES!$H69="btc",A68+ARBITRAGES!$G69,A68),A68))</f>
        <v>5999.429056</v>
      </c>
      <c r="B69" s="545">
        <f>IF($M69="","", IF(ARBITRAGES!$G69&gt;0,IF(ARBITRAGES!$H69="eth",B68+ARBITRAGES!$G69,B68),B68))</f>
        <v>5059.398762</v>
      </c>
      <c r="C69" s="545">
        <f>IF($M69="","", IF(ARBITRAGES!$G69&gt;0,IF(ARBITRAGES!$H69="ton",C68+ARBITRAGES!$G69,C68),C68))</f>
        <v>0</v>
      </c>
      <c r="D69" s="545">
        <f>IF($M69="","", IF(ARBITRAGES!$G69&gt;0,IF(ARBITRAGES!$H69="sol",D68+ARBITRAGES!$G69,D68),D68))</f>
        <v>4858.693837</v>
      </c>
      <c r="E69" s="545">
        <f>IF($M69="","", IF(ARBITRAGES!$G69&gt;0,IF(ARBITRAGES!$H69="tao",E68+ARBITRAGES!$G69,E68),E68))</f>
        <v>0</v>
      </c>
      <c r="F69" s="545">
        <f>IF($M69="","", IF(ARBITRAGES!$G69&gt;0,IF(ARBITRAGES!$H69="ron",F68+ARBITRAGES!$G69,F68),F68))</f>
        <v>0</v>
      </c>
      <c r="G69" s="545">
        <f>IF($M69="","", IF(ARBITRAGES!$G69&gt;0,IF(ARBITRAGES!$H69="link",G68+ARBITRAGES!$G69,G68),G68))</f>
        <v>0</v>
      </c>
      <c r="H69" s="545">
        <f>IF($M69="","", IF(ARBITRAGES!$G69&gt;0,IF(ARBITRAGES!$H69="doge",H68+ARBITRAGES!$G69,H68),H68))</f>
        <v>0</v>
      </c>
      <c r="I69" s="545">
        <f t="shared" ref="I69:J69" si="43">IF(H69="","",I68)</f>
        <v>645.78248</v>
      </c>
      <c r="J69" s="545">
        <f t="shared" si="43"/>
        <v>244.016</v>
      </c>
      <c r="K69" s="545">
        <f>IF($M69="","", IF(ARBITRAGES!$G69&gt;0,IF(ARBITRAGES!$H69="*jup*",K68+ARBITRAGES!$G69,K68),K68))</f>
        <v>0</v>
      </c>
      <c r="L69" s="545">
        <f>IF($M69="","", IF(ARBITRAGES!$G69&gt;0,IF(ARBITRAGES!$H69="*aave*",L68+ARBITRAGES!$G69,L68),L68))</f>
        <v>0</v>
      </c>
      <c r="M69" s="540">
        <f>IF(ARBITRAGES!E69="","",ARBITRAGES!E69)</f>
        <v>45757</v>
      </c>
      <c r="N69" s="541">
        <f>IF(M69="","", SUM(A69:H69)+ARBITRAGES!$K$3)</f>
        <v>37467.52166</v>
      </c>
      <c r="O69" s="542">
        <f>IF(M69="","",PRIX!U69)</f>
        <v>38493.93879</v>
      </c>
      <c r="Q69" s="543">
        <f t="shared" si="1"/>
        <v>0.02739485007</v>
      </c>
      <c r="S69" s="544">
        <f t="shared" si="2"/>
        <v>1026.417138</v>
      </c>
    </row>
    <row r="70">
      <c r="A70" s="545">
        <f>IF($M70="","", IF(ARBITRAGES!$G70&gt;0,IF(ARBITRAGES!$H70="btc",A69+ARBITRAGES!$G70,A69),A69))</f>
        <v>5999.429056</v>
      </c>
      <c r="B70" s="545">
        <f>IF($M70="","", IF(ARBITRAGES!$G70&gt;0,IF(ARBITRAGES!$H70="eth",B69+ARBITRAGES!$G70,B69),B69))</f>
        <v>5059.398762</v>
      </c>
      <c r="C70" s="545">
        <f>IF($M70="","", IF(ARBITRAGES!$G70&gt;0,IF(ARBITRAGES!$H70="ton",C69+ARBITRAGES!$G70,C69),C69))</f>
        <v>0</v>
      </c>
      <c r="D70" s="545">
        <f>IF($M70="","", IF(ARBITRAGES!$G70&gt;0,IF(ARBITRAGES!$H70="sol",D69+ARBITRAGES!$G70,D69),D69))</f>
        <v>4858.693837</v>
      </c>
      <c r="E70" s="545">
        <f>IF($M70="","", IF(ARBITRAGES!$G70&gt;0,IF(ARBITRAGES!$H70="tao",E69+ARBITRAGES!$G70,E69),E69))</f>
        <v>0</v>
      </c>
      <c r="F70" s="545">
        <f>IF($M70="","", IF(ARBITRAGES!$G70&gt;0,IF(ARBITRAGES!$H70="ron",F69+ARBITRAGES!$G70,F69),F69))</f>
        <v>0</v>
      </c>
      <c r="G70" s="545">
        <f>IF($M70="","", IF(ARBITRAGES!$G70&gt;0,IF(ARBITRAGES!$H70="link",G69+ARBITRAGES!$G70,G69),G69))</f>
        <v>0</v>
      </c>
      <c r="H70" s="545">
        <f>IF($M70="","", IF(ARBITRAGES!$G70&gt;0,IF(ARBITRAGES!$H70="doge",H69+ARBITRAGES!$G70,H69),H69))</f>
        <v>0</v>
      </c>
      <c r="I70" s="545">
        <f t="shared" ref="I70:J70" si="44">IF(H70="","",I69)</f>
        <v>645.78248</v>
      </c>
      <c r="J70" s="545">
        <f t="shared" si="44"/>
        <v>244.016</v>
      </c>
      <c r="K70" s="545">
        <f>IF($M70="","", IF(ARBITRAGES!$G70&gt;0,IF(ARBITRAGES!$H70="*jup*",K69+ARBITRAGES!$G70,K69),K69))</f>
        <v>0</v>
      </c>
      <c r="L70" s="545">
        <f>IF($M70="","", IF(ARBITRAGES!$G70&gt;0,IF(ARBITRAGES!$H70="*aave*",L69+ARBITRAGES!$G70,L69),L69))</f>
        <v>0</v>
      </c>
      <c r="M70" s="540">
        <f>IF(ARBITRAGES!E70="","",ARBITRAGES!E70)</f>
        <v>45758</v>
      </c>
      <c r="N70" s="541">
        <f>IF(M70="","", SUM(A70:H70)+ARBITRAGES!$K$3)</f>
        <v>37467.52166</v>
      </c>
      <c r="O70" s="542">
        <f>IF(M70="","",PRIX!U70)</f>
        <v>40128.97563</v>
      </c>
      <c r="Q70" s="543">
        <f t="shared" si="1"/>
        <v>0.07103362737</v>
      </c>
      <c r="S70" s="544">
        <f t="shared" si="2"/>
        <v>2661.453972</v>
      </c>
    </row>
    <row r="71">
      <c r="A71" s="545">
        <f>IF($M71="","", IF(ARBITRAGES!$G71&gt;0,IF(ARBITRAGES!$H71="btc",A70+ARBITRAGES!$G71,A70),A70))</f>
        <v>5999.429056</v>
      </c>
      <c r="B71" s="545">
        <f>IF($M71="","", IF(ARBITRAGES!$G71&gt;0,IF(ARBITRAGES!$H71="eth",B70+ARBITRAGES!$G71,B70),B70))</f>
        <v>5059.398762</v>
      </c>
      <c r="C71" s="545">
        <f>IF($M71="","", IF(ARBITRAGES!$G71&gt;0,IF(ARBITRAGES!$H71="ton",C70+ARBITRAGES!$G71,C70),C70))</f>
        <v>0</v>
      </c>
      <c r="D71" s="545">
        <f>IF($M71="","", IF(ARBITRAGES!$G71&gt;0,IF(ARBITRAGES!$H71="sol",D70+ARBITRAGES!$G71,D70),D70))</f>
        <v>4858.693837</v>
      </c>
      <c r="E71" s="545">
        <f>IF($M71="","", IF(ARBITRAGES!$G71&gt;0,IF(ARBITRAGES!$H71="tao",E70+ARBITRAGES!$G71,E70),E70))</f>
        <v>0</v>
      </c>
      <c r="F71" s="545">
        <f>IF($M71="","", IF(ARBITRAGES!$G71&gt;0,IF(ARBITRAGES!$H71="ron",F70+ARBITRAGES!$G71,F70),F70))</f>
        <v>0</v>
      </c>
      <c r="G71" s="545">
        <f>IF($M71="","", IF(ARBITRAGES!$G71&gt;0,IF(ARBITRAGES!$H71="link",G70+ARBITRAGES!$G71,G70),G70))</f>
        <v>0</v>
      </c>
      <c r="H71" s="545">
        <f>IF($M71="","", IF(ARBITRAGES!$G71&gt;0,IF(ARBITRAGES!$H71="doge",H70+ARBITRAGES!$G71,H70),H70))</f>
        <v>0</v>
      </c>
      <c r="I71" s="545">
        <f t="shared" ref="I71:J71" si="45">IF(H71="","",I70)</f>
        <v>645.78248</v>
      </c>
      <c r="J71" s="545">
        <f t="shared" si="45"/>
        <v>244.016</v>
      </c>
      <c r="K71" s="545">
        <f>IF($M71="","", IF(ARBITRAGES!$G71&gt;0,IF(ARBITRAGES!$H71="*jup*",K70+ARBITRAGES!$G71,K70),K70))</f>
        <v>0</v>
      </c>
      <c r="L71" s="545">
        <f>IF($M71="","", IF(ARBITRAGES!$G71&gt;0,IF(ARBITRAGES!$H71="*aave*",L70+ARBITRAGES!$G71,L70),L70))</f>
        <v>0</v>
      </c>
      <c r="M71" s="540">
        <f>IF(ARBITRAGES!E71="","",ARBITRAGES!E71)</f>
        <v>45760</v>
      </c>
      <c r="N71" s="541">
        <f>IF(M71="","", SUM(A71:H71)+ARBITRAGES!$K$3)</f>
        <v>37467.52166</v>
      </c>
      <c r="O71" s="542">
        <f>IF(M71="","",PRIX!U71)</f>
        <v>40133.47613</v>
      </c>
      <c r="Q71" s="543">
        <f t="shared" si="1"/>
        <v>0.0711537447</v>
      </c>
      <c r="S71" s="544">
        <f t="shared" si="2"/>
        <v>2665.95447</v>
      </c>
    </row>
    <row r="72">
      <c r="A72" s="545">
        <f>IF($M72="","", IF(ARBITRAGES!$G72&gt;0,IF(ARBITRAGES!$H72="btc",A71+ARBITRAGES!$G72,A71),A71))</f>
        <v>5999.429056</v>
      </c>
      <c r="B72" s="545">
        <f>IF($M72="","", IF(ARBITRAGES!$G72&gt;0,IF(ARBITRAGES!$H72="eth",B71+ARBITRAGES!$G72,B71),B71))</f>
        <v>5059.398762</v>
      </c>
      <c r="C72" s="545">
        <f>IF($M72="","", IF(ARBITRAGES!$G72&gt;0,IF(ARBITRAGES!$H72="ton",C71+ARBITRAGES!$G72,C71),C71))</f>
        <v>0</v>
      </c>
      <c r="D72" s="545">
        <f>IF($M72="","", IF(ARBITRAGES!$G72&gt;0,IF(ARBITRAGES!$H72="sol",D71+ARBITRAGES!$G72,D71),D71))</f>
        <v>4858.693837</v>
      </c>
      <c r="E72" s="545">
        <f>IF($M72="","", IF(ARBITRAGES!$G72&gt;0,IF(ARBITRAGES!$H72="tao",E71+ARBITRAGES!$G72,E71),E71))</f>
        <v>0</v>
      </c>
      <c r="F72" s="545">
        <f>IF($M72="","", IF(ARBITRAGES!$G72&gt;0,IF(ARBITRAGES!$H72="ron",F71+ARBITRAGES!$G72,F71),F71))</f>
        <v>0</v>
      </c>
      <c r="G72" s="545">
        <f>IF($M72="","", IF(ARBITRAGES!$G72&gt;0,IF(ARBITRAGES!$H72="link",G71+ARBITRAGES!$G72,G71),G71))</f>
        <v>0</v>
      </c>
      <c r="H72" s="545">
        <f>IF($M72="","", IF(ARBITRAGES!$G72&gt;0,IF(ARBITRAGES!$H72="doge",H71+ARBITRAGES!$G72,H71),H71))</f>
        <v>0</v>
      </c>
      <c r="I72" s="545">
        <f t="shared" ref="I72:J72" si="46">IF(H72="","",I71)</f>
        <v>645.78248</v>
      </c>
      <c r="J72" s="545">
        <f t="shared" si="46"/>
        <v>244.016</v>
      </c>
      <c r="K72" s="545">
        <f>IF($M72="","", IF(ARBITRAGES!$G72&gt;0,IF(ARBITRAGES!$H72="*jup*",K71+ARBITRAGES!$G72,K71),K71))</f>
        <v>0</v>
      </c>
      <c r="L72" s="545">
        <f>IF($M72="","", IF(ARBITRAGES!$G72&gt;0,IF(ARBITRAGES!$H72="*aave*",L71+ARBITRAGES!$G72,L71),L71))</f>
        <v>0</v>
      </c>
      <c r="M72" s="540">
        <f>IF(ARBITRAGES!E72="","",ARBITRAGES!E72)</f>
        <v>45779</v>
      </c>
      <c r="N72" s="541">
        <f>IF(M72="","", SUM(A72:H72)+ARBITRAGES!$K$3)</f>
        <v>37467.52166</v>
      </c>
      <c r="O72" s="542">
        <f>IF(M72="","",PRIX!U72)</f>
        <v>44107.81914</v>
      </c>
      <c r="Q72" s="543">
        <f t="shared" si="1"/>
        <v>0.177228095</v>
      </c>
      <c r="S72" s="544">
        <f t="shared" si="2"/>
        <v>6640.297488</v>
      </c>
    </row>
    <row r="73">
      <c r="A73" s="545">
        <f>IF($M73="","", IF(ARBITRAGES!$G73&gt;0,IF(ARBITRAGES!$H73="btc",A72+ARBITRAGES!$G73,A72),A72))</f>
        <v>5999.429056</v>
      </c>
      <c r="B73" s="545">
        <f>IF($M73="","", IF(ARBITRAGES!$G73&gt;0,IF(ARBITRAGES!$H73="eth",B72+ARBITRAGES!$G73,B72),B72))</f>
        <v>5059.398762</v>
      </c>
      <c r="C73" s="545">
        <f>IF($M73="","", IF(ARBITRAGES!$G73&gt;0,IF(ARBITRAGES!$H73="ton",C72+ARBITRAGES!$G73,C72),C72))</f>
        <v>0</v>
      </c>
      <c r="D73" s="545">
        <f>IF($M73="","", IF(ARBITRAGES!$G73&gt;0,IF(ARBITRAGES!$H73="sol",D72+ARBITRAGES!$G73,D72),D72))</f>
        <v>4858.693837</v>
      </c>
      <c r="E73" s="545">
        <f>IF($M73="","", IF(ARBITRAGES!$G73&gt;0,IF(ARBITRAGES!$H73="tao",E72+ARBITRAGES!$G73,E72),E72))</f>
        <v>0</v>
      </c>
      <c r="F73" s="545">
        <f>IF($M73="","", IF(ARBITRAGES!$G73&gt;0,IF(ARBITRAGES!$H73="ron",F72+ARBITRAGES!$G73,F72),F72))</f>
        <v>0</v>
      </c>
      <c r="G73" s="545">
        <f>IF($M73="","", IF(ARBITRAGES!$G73&gt;0,IF(ARBITRAGES!$H73="link",G72+ARBITRAGES!$G73,G72),G72))</f>
        <v>0</v>
      </c>
      <c r="H73" s="545">
        <f>IF($M73="","", IF(ARBITRAGES!$G73&gt;0,IF(ARBITRAGES!$H73="doge",H72+ARBITRAGES!$G73,H72),H72))</f>
        <v>0</v>
      </c>
      <c r="I73" s="545">
        <f t="shared" ref="I73:J73" si="47">IF(H73="","",I72)</f>
        <v>645.78248</v>
      </c>
      <c r="J73" s="545">
        <f t="shared" si="47"/>
        <v>244.016</v>
      </c>
      <c r="K73" s="545">
        <f>IF($M73="","", IF(ARBITRAGES!$G73&gt;0,IF(ARBITRAGES!$H73="*jup*",K72+ARBITRAGES!$G73,K72),K72))</f>
        <v>0</v>
      </c>
      <c r="L73" s="545">
        <f>IF($M73="","", IF(ARBITRAGES!$G73&gt;0,IF(ARBITRAGES!$H73="*aave*",L72+ARBITRAGES!$G73,L72),L72))</f>
        <v>0</v>
      </c>
      <c r="M73" s="540">
        <f>IF(ARBITRAGES!E73="","",ARBITRAGES!E73)</f>
        <v>45779</v>
      </c>
      <c r="N73" s="541">
        <f>IF(M73="","", SUM(A73:H73)+ARBITRAGES!$K$3)</f>
        <v>37467.52166</v>
      </c>
      <c r="O73" s="542">
        <f>IF(M73="","",PRIX!U73)</f>
        <v>44157.81914</v>
      </c>
      <c r="Q73" s="543">
        <f t="shared" si="1"/>
        <v>0.1785625841</v>
      </c>
      <c r="S73" s="544">
        <f t="shared" si="2"/>
        <v>6690.297488</v>
      </c>
    </row>
    <row r="74">
      <c r="A74" s="545">
        <f>IF($M74="","", IF(ARBITRAGES!$G74&gt;0,IF(ARBITRAGES!$H74="btc",A73+ARBITRAGES!$G74,A73),A73))</f>
        <v>5999.429056</v>
      </c>
      <c r="B74" s="545">
        <f>IF($M74="","", IF(ARBITRAGES!$G74&gt;0,IF(ARBITRAGES!$H74="eth",B73+ARBITRAGES!$G74,B73),B73))</f>
        <v>5059.398762</v>
      </c>
      <c r="C74" s="545">
        <f>IF($M74="","", IF(ARBITRAGES!$G74&gt;0,IF(ARBITRAGES!$H74="ton",C73+ARBITRAGES!$G74,C73),C73))</f>
        <v>0</v>
      </c>
      <c r="D74" s="545">
        <f>IF($M74="","", IF(ARBITRAGES!$G74&gt;0,IF(ARBITRAGES!$H74="sol",D73+ARBITRAGES!$G74,D73),D73))</f>
        <v>4858.693837</v>
      </c>
      <c r="E74" s="545">
        <f>IF($M74="","", IF(ARBITRAGES!$G74&gt;0,IF(ARBITRAGES!$H74="tao",E73+ARBITRAGES!$G74,E73),E73))</f>
        <v>0</v>
      </c>
      <c r="F74" s="545">
        <f>IF($M74="","", IF(ARBITRAGES!$G74&gt;0,IF(ARBITRAGES!$H74="ron",F73+ARBITRAGES!$G74,F73),F73))</f>
        <v>0</v>
      </c>
      <c r="G74" s="545">
        <f>IF($M74="","", IF(ARBITRAGES!$G74&gt;0,IF(ARBITRAGES!$H74="link",G73+ARBITRAGES!$G74,G73),G73))</f>
        <v>0</v>
      </c>
      <c r="H74" s="545">
        <f>IF($M74="","", IF(ARBITRAGES!$G74&gt;0,IF(ARBITRAGES!$H74="doge",H73+ARBITRAGES!$G74,H73),H73))</f>
        <v>0</v>
      </c>
      <c r="I74" s="545">
        <f t="shared" ref="I74:J74" si="48">IF(H74="","",I73)</f>
        <v>645.78248</v>
      </c>
      <c r="J74" s="545">
        <f t="shared" si="48"/>
        <v>244.016</v>
      </c>
      <c r="K74" s="545">
        <f>IF($M74="","", IF(ARBITRAGES!$G74&gt;0,IF(ARBITRAGES!$H74="*jup*",K73+ARBITRAGES!$G74,K73),K73))</f>
        <v>0</v>
      </c>
      <c r="L74" s="545">
        <f>IF($M74="","", IF(ARBITRAGES!$G74&gt;0,IF(ARBITRAGES!$H74="*aave*",L73+ARBITRAGES!$G74,L73),L73))</f>
        <v>0</v>
      </c>
      <c r="M74" s="540">
        <f>IF(ARBITRAGES!E74="","",ARBITRAGES!E74)</f>
        <v>45785</v>
      </c>
      <c r="N74" s="541">
        <f>IF(M74="","", SUM(A74:H74)+ARBITRAGES!$K$3)</f>
        <v>37467.52166</v>
      </c>
      <c r="O74" s="542">
        <f>IF(M74="","",PRIX!U74)</f>
        <v>51138.53977</v>
      </c>
      <c r="Q74" s="543">
        <f t="shared" si="1"/>
        <v>0.3648764986</v>
      </c>
      <c r="S74" s="544">
        <f t="shared" si="2"/>
        <v>13671.01811</v>
      </c>
    </row>
    <row r="75">
      <c r="A75" s="545">
        <f>IF($M75="","", IF(ARBITRAGES!$G75&gt;0,IF(ARBITRAGES!$H75="btc",A74+ARBITRAGES!$G75,A74),A74))</f>
        <v>5999.429056</v>
      </c>
      <c r="B75" s="545">
        <f>IF($M75="","", IF(ARBITRAGES!$G75&gt;0,IF(ARBITRAGES!$H75="eth",B74+ARBITRAGES!$G75,B74),B74))</f>
        <v>5059.398762</v>
      </c>
      <c r="C75" s="545">
        <f>IF($M75="","", IF(ARBITRAGES!$G75&gt;0,IF(ARBITRAGES!$H75="ton",C74+ARBITRAGES!$G75,C74),C74))</f>
        <v>0</v>
      </c>
      <c r="D75" s="545">
        <f>IF($M75="","", IF(ARBITRAGES!$G75&gt;0,IF(ARBITRAGES!$H75="sol",D74+ARBITRAGES!$G75,D74),D74))</f>
        <v>4858.693837</v>
      </c>
      <c r="E75" s="545">
        <f>IF($M75="","", IF(ARBITRAGES!$G75&gt;0,IF(ARBITRAGES!$H75="tao",E74+ARBITRAGES!$G75,E74),E74))</f>
        <v>0</v>
      </c>
      <c r="F75" s="545">
        <f>IF($M75="","", IF(ARBITRAGES!$G75&gt;0,IF(ARBITRAGES!$H75="ron",F74+ARBITRAGES!$G75,F74),F74))</f>
        <v>0</v>
      </c>
      <c r="G75" s="545">
        <f>IF($M75="","", IF(ARBITRAGES!$G75&gt;0,IF(ARBITRAGES!$H75="link",G74+ARBITRAGES!$G75,G74),G74))</f>
        <v>0</v>
      </c>
      <c r="H75" s="545">
        <f>IF($M75="","", IF(ARBITRAGES!$G75&gt;0,IF(ARBITRAGES!$H75="doge",H74+ARBITRAGES!$G75,H74),H74))</f>
        <v>0</v>
      </c>
      <c r="I75" s="545">
        <f t="shared" ref="I75:J75" si="49">IF(H75="","",I74)</f>
        <v>645.78248</v>
      </c>
      <c r="J75" s="545">
        <f t="shared" si="49"/>
        <v>244.016</v>
      </c>
      <c r="K75" s="545">
        <f>IF($M75="","", IF(ARBITRAGES!$G75&gt;0,IF(ARBITRAGES!$H75="*jup*",K74+ARBITRAGES!$G75,K74),K74))</f>
        <v>0</v>
      </c>
      <c r="L75" s="545">
        <f>IF($M75="","", IF(ARBITRAGES!$G75&gt;0,IF(ARBITRAGES!$H75="*aave*",L74+ARBITRAGES!$G75,L74),L74))</f>
        <v>0</v>
      </c>
      <c r="M75" s="540">
        <f>IF(ARBITRAGES!E75="","",ARBITRAGES!E75)</f>
        <v>45785</v>
      </c>
      <c r="N75" s="541">
        <f>IF(M75="","", SUM(A75:H75)+ARBITRAGES!$K$3)</f>
        <v>37467.52166</v>
      </c>
      <c r="O75" s="542">
        <f>IF(M75="","",PRIX!U75)</f>
        <v>51120.01076</v>
      </c>
      <c r="Q75" s="543">
        <f t="shared" si="1"/>
        <v>0.3643819635</v>
      </c>
      <c r="S75" s="544">
        <f t="shared" si="2"/>
        <v>13652.48911</v>
      </c>
    </row>
    <row r="76">
      <c r="A76" s="545">
        <f>IF($M76="","", IF(ARBITRAGES!$G76&gt;0,IF(ARBITRAGES!$H76="btc",A75+ARBITRAGES!$G76,A75),A75))</f>
        <v>5999.429056</v>
      </c>
      <c r="B76" s="545">
        <f>IF($M76="","", IF(ARBITRAGES!$G76&gt;0,IF(ARBITRAGES!$H76="eth",B75+ARBITRAGES!$G76,B75),B75))</f>
        <v>5059.398762</v>
      </c>
      <c r="C76" s="545">
        <f>IF($M76="","", IF(ARBITRAGES!$G76&gt;0,IF(ARBITRAGES!$H76="ton",C75+ARBITRAGES!$G76,C75),C75))</f>
        <v>0</v>
      </c>
      <c r="D76" s="545">
        <f>IF($M76="","", IF(ARBITRAGES!$G76&gt;0,IF(ARBITRAGES!$H76="sol",D75+ARBITRAGES!$G76,D75),D75))</f>
        <v>4858.693837</v>
      </c>
      <c r="E76" s="545">
        <f>IF($M76="","", IF(ARBITRAGES!$G76&gt;0,IF(ARBITRAGES!$H76="tao",E75+ARBITRAGES!$G76,E75),E75))</f>
        <v>0</v>
      </c>
      <c r="F76" s="545">
        <f>IF($M76="","", IF(ARBITRAGES!$G76&gt;0,IF(ARBITRAGES!$H76="ron",F75+ARBITRAGES!$G76,F75),F75))</f>
        <v>0</v>
      </c>
      <c r="G76" s="545">
        <f>IF($M76="","", IF(ARBITRAGES!$G76&gt;0,IF(ARBITRAGES!$H76="link",G75+ARBITRAGES!$G76,G75),G75))</f>
        <v>0</v>
      </c>
      <c r="H76" s="545">
        <f>IF($M76="","", IF(ARBITRAGES!$G76&gt;0,IF(ARBITRAGES!$H76="doge",H75+ARBITRAGES!$G76,H75),H75))</f>
        <v>0</v>
      </c>
      <c r="I76" s="545">
        <f t="shared" ref="I76:J76" si="50">IF(H76="","",I75)</f>
        <v>645.78248</v>
      </c>
      <c r="J76" s="545">
        <f t="shared" si="50"/>
        <v>244.016</v>
      </c>
      <c r="K76" s="545">
        <f>IF($M76="","", IF(ARBITRAGES!$G76&gt;0,IF(ARBITRAGES!$H76="*jup*",K75+ARBITRAGES!$G76,K75),K75))</f>
        <v>0</v>
      </c>
      <c r="L76" s="545">
        <f>IF($M76="","", IF(ARBITRAGES!$G76&gt;0,IF(ARBITRAGES!$H76="*aave*",L75+ARBITRAGES!$G76,L75),L75))</f>
        <v>0</v>
      </c>
      <c r="M76" s="540">
        <f>IF(ARBITRAGES!E76="","",ARBITRAGES!E76)</f>
        <v>45054</v>
      </c>
      <c r="N76" s="541">
        <f>IF(M76="","", SUM(A76:H76)+ARBITRAGES!$K$3)</f>
        <v>37467.52166</v>
      </c>
      <c r="O76" s="542">
        <f>IF(M76="","",PRIX!U76)</f>
        <v>51104.18706</v>
      </c>
      <c r="Q76" s="543">
        <f t="shared" si="1"/>
        <v>0.3639596322</v>
      </c>
      <c r="S76" s="544">
        <f t="shared" si="2"/>
        <v>13636.6654</v>
      </c>
    </row>
    <row r="77">
      <c r="A77" s="545">
        <f>IF($M77="","", IF(ARBITRAGES!$G77&gt;0,IF(ARBITRAGES!$H77="btc",A76+ARBITRAGES!$G77,A76),A76))</f>
        <v>5999.429056</v>
      </c>
      <c r="B77" s="545">
        <f>IF($M77="","", IF(ARBITRAGES!$G77&gt;0,IF(ARBITRAGES!$H77="eth",B76+ARBITRAGES!$G77,B76),B76))</f>
        <v>5059.398762</v>
      </c>
      <c r="C77" s="545">
        <f>IF($M77="","", IF(ARBITRAGES!$G77&gt;0,IF(ARBITRAGES!$H77="ton",C76+ARBITRAGES!$G77,C76),C76))</f>
        <v>0</v>
      </c>
      <c r="D77" s="545">
        <f>IF($M77="","", IF(ARBITRAGES!$G77&gt;0,IF(ARBITRAGES!$H77="sol",D76+ARBITRAGES!$G77,D76),D76))</f>
        <v>4858.693837</v>
      </c>
      <c r="E77" s="545">
        <f>IF($M77="","", IF(ARBITRAGES!$G77&gt;0,IF(ARBITRAGES!$H77="tao",E76+ARBITRAGES!$G77,E76),E76))</f>
        <v>0</v>
      </c>
      <c r="F77" s="545">
        <f>IF($M77="","", IF(ARBITRAGES!$G77&gt;0,IF(ARBITRAGES!$H77="ron",F76+ARBITRAGES!$G77,F76),F76))</f>
        <v>0</v>
      </c>
      <c r="G77" s="545">
        <f>IF($M77="","", IF(ARBITRAGES!$G77&gt;0,IF(ARBITRAGES!$H77="link",G76+ARBITRAGES!$G77,G76),G76))</f>
        <v>0</v>
      </c>
      <c r="H77" s="545">
        <f>IF($M77="","", IF(ARBITRAGES!$G77&gt;0,IF(ARBITRAGES!$H77="doge",H76+ARBITRAGES!$G77,H76),H76))</f>
        <v>0</v>
      </c>
      <c r="I77" s="545">
        <f t="shared" ref="I77:J77" si="51">IF(H77="","",I76)</f>
        <v>645.78248</v>
      </c>
      <c r="J77" s="545">
        <f t="shared" si="51"/>
        <v>244.016</v>
      </c>
      <c r="K77" s="545">
        <f>IF($M77="","", IF(ARBITRAGES!$G77&gt;0,IF(ARBITRAGES!$H77="*jup*",K76+ARBITRAGES!$G77,K76),K76))</f>
        <v>0</v>
      </c>
      <c r="L77" s="545">
        <f>IF($M77="","", IF(ARBITRAGES!$G77&gt;0,IF(ARBITRAGES!$H77="*aave*",L76+ARBITRAGES!$G77,L76),L76))</f>
        <v>0</v>
      </c>
      <c r="M77" s="540">
        <f>IF(ARBITRAGES!E77="","",ARBITRAGES!E77)</f>
        <v>45786</v>
      </c>
      <c r="N77" s="541">
        <f>IF(M77="","", SUM(A77:H77)+ARBITRAGES!$K$3)</f>
        <v>37467.52166</v>
      </c>
      <c r="O77" s="542">
        <f>IF(M77="","",PRIX!U77)</f>
        <v>51062.16706</v>
      </c>
      <c r="Q77" s="543">
        <f t="shared" si="1"/>
        <v>0.3628381276</v>
      </c>
      <c r="S77" s="544">
        <f t="shared" si="2"/>
        <v>13594.6454</v>
      </c>
    </row>
    <row r="78">
      <c r="A78" s="545">
        <f>IF($M78="","", IF(ARBITRAGES!$G78&gt;0,IF(ARBITRAGES!$H78="btc",A77+ARBITRAGES!$G78,A77),A77))</f>
        <v>5999.429056</v>
      </c>
      <c r="B78" s="545">
        <f>IF($M78="","", IF(ARBITRAGES!$G78&gt;0,IF(ARBITRAGES!$H78="eth",B77+ARBITRAGES!$G78,B77),B77))</f>
        <v>5059.398762</v>
      </c>
      <c r="C78" s="545">
        <f>IF($M78="","", IF(ARBITRAGES!$G78&gt;0,IF(ARBITRAGES!$H78="ton",C77+ARBITRAGES!$G78,C77),C77))</f>
        <v>0</v>
      </c>
      <c r="D78" s="545">
        <f>IF($M78="","", IF(ARBITRAGES!$G78&gt;0,IF(ARBITRAGES!$H78="sol",D77+ARBITRAGES!$G78,D77),D77))</f>
        <v>4858.693837</v>
      </c>
      <c r="E78" s="545">
        <f>IF($M78="","", IF(ARBITRAGES!$G78&gt;0,IF(ARBITRAGES!$H78="tao",E77+ARBITRAGES!$G78,E77),E77))</f>
        <v>0</v>
      </c>
      <c r="F78" s="545">
        <f>IF($M78="","", IF(ARBITRAGES!$G78&gt;0,IF(ARBITRAGES!$H78="ron",F77+ARBITRAGES!$G78,F77),F77))</f>
        <v>0</v>
      </c>
      <c r="G78" s="545">
        <f>IF($M78="","", IF(ARBITRAGES!$G78&gt;0,IF(ARBITRAGES!$H78="link",G77+ARBITRAGES!$G78,G77),G77))</f>
        <v>0</v>
      </c>
      <c r="H78" s="545">
        <f>IF($M78="","", IF(ARBITRAGES!$G78&gt;0,IF(ARBITRAGES!$H78="doge",H77+ARBITRAGES!$G78,H77),H77))</f>
        <v>0</v>
      </c>
      <c r="I78" s="545">
        <f t="shared" ref="I78:J78" si="52">IF(H78="","",I77)</f>
        <v>645.78248</v>
      </c>
      <c r="J78" s="545">
        <f t="shared" si="52"/>
        <v>244.016</v>
      </c>
      <c r="K78" s="545">
        <f>IF($M78="","", IF(ARBITRAGES!$G78&gt;0,IF(ARBITRAGES!$H78="*jup*",K77+ARBITRAGES!$G78,K77),K77))</f>
        <v>0</v>
      </c>
      <c r="L78" s="545">
        <f>IF($M78="","", IF(ARBITRAGES!$G78&gt;0,IF(ARBITRAGES!$H78="*aave*",L77+ARBITRAGES!$G78,L77),L77))</f>
        <v>0</v>
      </c>
      <c r="M78" s="540">
        <f>IF(ARBITRAGES!E78="","",ARBITRAGES!E78)</f>
        <v>45789</v>
      </c>
      <c r="N78" s="541">
        <f>IF(M78="","", SUM(A78:H78)+ARBITRAGES!$K$3)</f>
        <v>37467.52166</v>
      </c>
      <c r="O78" s="542">
        <f>IF(M78="","",PRIX!U78)</f>
        <v>52809.09666</v>
      </c>
      <c r="Q78" s="543">
        <f t="shared" si="1"/>
        <v>0.4094632985</v>
      </c>
      <c r="S78" s="544">
        <f t="shared" si="2"/>
        <v>15341.575</v>
      </c>
    </row>
    <row r="79">
      <c r="A79" s="545">
        <f>IF($M79="","", IF(ARBITRAGES!$G79&gt;0,IF(ARBITRAGES!$H79="btc",A78+ARBITRAGES!$G79,A78),A78))</f>
        <v>5999.429056</v>
      </c>
      <c r="B79" s="545">
        <f>IF($M79="","", IF(ARBITRAGES!$G79&gt;0,IF(ARBITRAGES!$H79="eth",B78+ARBITRAGES!$G79,B78),B78))</f>
        <v>5059.398762</v>
      </c>
      <c r="C79" s="545">
        <f>IF($M79="","", IF(ARBITRAGES!$G79&gt;0,IF(ARBITRAGES!$H79="ton",C78+ARBITRAGES!$G79,C78),C78))</f>
        <v>0</v>
      </c>
      <c r="D79" s="545">
        <f>IF($M79="","", IF(ARBITRAGES!$G79&gt;0,IF(ARBITRAGES!$H79="sol",D78+ARBITRAGES!$G79,D78),D78))</f>
        <v>4858.693837</v>
      </c>
      <c r="E79" s="545">
        <f>IF($M79="","", IF(ARBITRAGES!$G79&gt;0,IF(ARBITRAGES!$H79="tao",E78+ARBITRAGES!$G79,E78),E78))</f>
        <v>0</v>
      </c>
      <c r="F79" s="545">
        <f>IF($M79="","", IF(ARBITRAGES!$G79&gt;0,IF(ARBITRAGES!$H79="ron",F78+ARBITRAGES!$G79,F78),F78))</f>
        <v>0</v>
      </c>
      <c r="G79" s="545">
        <f>IF($M79="","", IF(ARBITRAGES!$G79&gt;0,IF(ARBITRAGES!$H79="link",G78+ARBITRAGES!$G79,G78),G78))</f>
        <v>0</v>
      </c>
      <c r="H79" s="545">
        <f>IF($M79="","", IF(ARBITRAGES!$G79&gt;0,IF(ARBITRAGES!$H79="doge",H78+ARBITRAGES!$G79,H78),H78))</f>
        <v>0</v>
      </c>
      <c r="I79" s="545">
        <f t="shared" ref="I79:J79" si="53">IF(H79="","",I78)</f>
        <v>645.78248</v>
      </c>
      <c r="J79" s="545">
        <f t="shared" si="53"/>
        <v>244.016</v>
      </c>
      <c r="K79" s="545">
        <f>IF($M79="","", IF(ARBITRAGES!$G79&gt;0,IF(ARBITRAGES!$H79="*jup*",K78+ARBITRAGES!$G79,K78),K78))</f>
        <v>0</v>
      </c>
      <c r="L79" s="545">
        <f>IF($M79="","", IF(ARBITRAGES!$G79&gt;0,IF(ARBITRAGES!$H79="*aave*",L78+ARBITRAGES!$G79,L78),L78))</f>
        <v>0</v>
      </c>
      <c r="M79" s="540">
        <f>IF(ARBITRAGES!E79="","",ARBITRAGES!E79)</f>
        <v>45790</v>
      </c>
      <c r="N79" s="541">
        <f>IF(M79="","", SUM(A79:H79)+ARBITRAGES!$K$3)</f>
        <v>37467.52166</v>
      </c>
      <c r="O79" s="542">
        <f>IF(M79="","",PRIX!U79)</f>
        <v>51891.13917</v>
      </c>
      <c r="Q79" s="543">
        <f t="shared" si="1"/>
        <v>0.3849632128</v>
      </c>
      <c r="S79" s="544">
        <f t="shared" si="2"/>
        <v>14423.61751</v>
      </c>
    </row>
    <row r="80">
      <c r="A80" s="545">
        <f>IF($M80="","", IF(ARBITRAGES!$G80&gt;0,IF(ARBITRAGES!$H80="btc",A79+ARBITRAGES!$G80,A79),A79))</f>
        <v>5999.429056</v>
      </c>
      <c r="B80" s="545">
        <f>IF($M80="","", IF(ARBITRAGES!$G80&gt;0,IF(ARBITRAGES!$H80="eth",B79+ARBITRAGES!$G80,B79),B79))</f>
        <v>5059.398762</v>
      </c>
      <c r="C80" s="545">
        <f>IF($M80="","", IF(ARBITRAGES!$G80&gt;0,IF(ARBITRAGES!$H80="ton",C79+ARBITRAGES!$G80,C79),C79))</f>
        <v>0</v>
      </c>
      <c r="D80" s="545">
        <f>IF($M80="","", IF(ARBITRAGES!$G80&gt;0,IF(ARBITRAGES!$H80="sol",D79+ARBITRAGES!$G80,D79),D79))</f>
        <v>4858.693837</v>
      </c>
      <c r="E80" s="545">
        <f>IF($M80="","", IF(ARBITRAGES!$G80&gt;0,IF(ARBITRAGES!$H80="tao",E79+ARBITRAGES!$G80,E79),E79))</f>
        <v>0</v>
      </c>
      <c r="F80" s="545">
        <f>IF($M80="","", IF(ARBITRAGES!$G80&gt;0,IF(ARBITRAGES!$H80="ron",F79+ARBITRAGES!$G80,F79),F79))</f>
        <v>0</v>
      </c>
      <c r="G80" s="545">
        <f>IF($M80="","", IF(ARBITRAGES!$G80&gt;0,IF(ARBITRAGES!$H80="link",G79+ARBITRAGES!$G80,G79),G79))</f>
        <v>0</v>
      </c>
      <c r="H80" s="545">
        <f>IF($M80="","", IF(ARBITRAGES!$G80&gt;0,IF(ARBITRAGES!$H80="doge",H79+ARBITRAGES!$G80,H79),H79))</f>
        <v>0</v>
      </c>
      <c r="I80" s="545">
        <f t="shared" ref="I80:J80" si="54">IF(H80="","",I79)</f>
        <v>645.78248</v>
      </c>
      <c r="J80" s="545">
        <f t="shared" si="54"/>
        <v>244.016</v>
      </c>
      <c r="K80" s="545">
        <f>IF($M80="","", IF(ARBITRAGES!$G80&gt;0,IF(ARBITRAGES!$H80="*jup*",K79+ARBITRAGES!$G80,K79),K79))</f>
        <v>0</v>
      </c>
      <c r="L80" s="545">
        <f>IF($M80="","", IF(ARBITRAGES!$G80&gt;0,IF(ARBITRAGES!$H80="*aave*",L79+ARBITRAGES!$G80,L79),L79))</f>
        <v>0</v>
      </c>
      <c r="M80" s="540">
        <f>IF(ARBITRAGES!E80="","",ARBITRAGES!E80)</f>
        <v>45808</v>
      </c>
      <c r="N80" s="541">
        <f>IF(M80="","", SUM(A80:H80)+ARBITRAGES!$K$3)</f>
        <v>37467.52166</v>
      </c>
      <c r="O80" s="542">
        <f>IF(M80="","",PRIX!U80)</f>
        <v>50774.01778</v>
      </c>
      <c r="Q80" s="543">
        <f t="shared" si="1"/>
        <v>0.3551474861</v>
      </c>
      <c r="S80" s="544">
        <f t="shared" si="2"/>
        <v>13306.49613</v>
      </c>
    </row>
    <row r="81">
      <c r="A81" s="545">
        <f>IF($M81="","", IF(ARBITRAGES!$G81&gt;0,IF(ARBITRAGES!$H81="btc",A80+ARBITRAGES!$G81,A80),A80))</f>
        <v>5999.429056</v>
      </c>
      <c r="B81" s="545">
        <f>IF($M81="","", IF(ARBITRAGES!$G81&gt;0,IF(ARBITRAGES!$H81="eth",B80+ARBITRAGES!$G81,B80),B80))</f>
        <v>5059.398762</v>
      </c>
      <c r="C81" s="545">
        <f>IF($M81="","", IF(ARBITRAGES!$G81&gt;0,IF(ARBITRAGES!$H81="ton",C80+ARBITRAGES!$G81,C80),C80))</f>
        <v>0</v>
      </c>
      <c r="D81" s="545">
        <f>IF($M81="","", IF(ARBITRAGES!$G81&gt;0,IF(ARBITRAGES!$H81="sol",D80+ARBITRAGES!$G81,D80),D80))</f>
        <v>4858.693837</v>
      </c>
      <c r="E81" s="545">
        <f>IF($M81="","", IF(ARBITRAGES!$G81&gt;0,IF(ARBITRAGES!$H81="tao",E80+ARBITRAGES!$G81,E80),E80))</f>
        <v>0</v>
      </c>
      <c r="F81" s="545">
        <f>IF($M81="","", IF(ARBITRAGES!$G81&gt;0,IF(ARBITRAGES!$H81="ron",F80+ARBITRAGES!$G81,F80),F80))</f>
        <v>0</v>
      </c>
      <c r="G81" s="545">
        <f>IF($M81="","", IF(ARBITRAGES!$G81&gt;0,IF(ARBITRAGES!$H81="link",G80+ARBITRAGES!$G81,G80),G80))</f>
        <v>0</v>
      </c>
      <c r="H81" s="545">
        <f>IF($M81="","", IF(ARBITRAGES!$G81&gt;0,IF(ARBITRAGES!$H81="doge",H80+ARBITRAGES!$G81,H80),H80))</f>
        <v>0</v>
      </c>
      <c r="I81" s="545">
        <f t="shared" ref="I81:J81" si="55">IF(H81="","",I80)</f>
        <v>645.78248</v>
      </c>
      <c r="J81" s="545">
        <f t="shared" si="55"/>
        <v>244.016</v>
      </c>
      <c r="K81" s="545">
        <f>IF($M81="","", IF(ARBITRAGES!$G81&gt;0,IF(ARBITRAGES!$H81="*jup*",K80+ARBITRAGES!$G81,K80),K80))</f>
        <v>0</v>
      </c>
      <c r="L81" s="545">
        <f>IF($M81="","", IF(ARBITRAGES!$G81&gt;0,IF(ARBITRAGES!$H81="*aave*",L80+ARBITRAGES!$G81,L80),L80))</f>
        <v>0</v>
      </c>
      <c r="M81" s="540">
        <f>IF(ARBITRAGES!E81="","",ARBITRAGES!E81)</f>
        <v>45817</v>
      </c>
      <c r="N81" s="541">
        <f>IF(M81="","", SUM(A81:H81)+ARBITRAGES!$K$3)</f>
        <v>37467.52166</v>
      </c>
      <c r="O81" s="542">
        <f>IF(M81="","",PRIX!U81)</f>
        <v>53696.27562</v>
      </c>
      <c r="Q81" s="543">
        <f t="shared" si="1"/>
        <v>0.433141912</v>
      </c>
      <c r="S81" s="544">
        <f t="shared" si="2"/>
        <v>16228.75397</v>
      </c>
    </row>
    <row r="82">
      <c r="A82" s="545">
        <f>IF($M82="","", IF(ARBITRAGES!$G82&gt;0,IF(ARBITRAGES!$H82="btc",A81+ARBITRAGES!$G82,A81),A81))</f>
        <v>5999.429056</v>
      </c>
      <c r="B82" s="545">
        <f>IF($M82="","", IF(ARBITRAGES!$G82&gt;0,IF(ARBITRAGES!$H82="eth",B81+ARBITRAGES!$G82,B81),B81))</f>
        <v>5059.398762</v>
      </c>
      <c r="C82" s="545">
        <f>IF($M82="","", IF(ARBITRAGES!$G82&gt;0,IF(ARBITRAGES!$H82="ton",C81+ARBITRAGES!$G82,C81),C81))</f>
        <v>0</v>
      </c>
      <c r="D82" s="545">
        <f>IF($M82="","", IF(ARBITRAGES!$G82&gt;0,IF(ARBITRAGES!$H82="sol",D81+ARBITRAGES!$G82,D81),D81))</f>
        <v>4858.693837</v>
      </c>
      <c r="E82" s="545">
        <f>IF($M82="","", IF(ARBITRAGES!$G82&gt;0,IF(ARBITRAGES!$H82="tao",E81+ARBITRAGES!$G82,E81),E81))</f>
        <v>0</v>
      </c>
      <c r="F82" s="545">
        <f>IF($M82="","", IF(ARBITRAGES!$G82&gt;0,IF(ARBITRAGES!$H82="ron",F81+ARBITRAGES!$G82,F81),F81))</f>
        <v>0</v>
      </c>
      <c r="G82" s="545">
        <f>IF($M82="","", IF(ARBITRAGES!$G82&gt;0,IF(ARBITRAGES!$H82="link",G81+ARBITRAGES!$G82,G81),G81))</f>
        <v>0</v>
      </c>
      <c r="H82" s="545">
        <f>IF($M82="","", IF(ARBITRAGES!$G82&gt;0,IF(ARBITRAGES!$H82="doge",H81+ARBITRAGES!$G82,H81),H81))</f>
        <v>0</v>
      </c>
      <c r="I82" s="545">
        <f t="shared" ref="I82:J82" si="56">IF(H82="","",I81)</f>
        <v>645.78248</v>
      </c>
      <c r="J82" s="545">
        <f t="shared" si="56"/>
        <v>244.016</v>
      </c>
      <c r="K82" s="545">
        <f>IF($M82="","", IF(ARBITRAGES!$G82&gt;0,IF(ARBITRAGES!$H82="*jup*",K81+ARBITRAGES!$G82,K81),K81))</f>
        <v>0</v>
      </c>
      <c r="L82" s="545">
        <f>IF($M82="","", IF(ARBITRAGES!$G82&gt;0,IF(ARBITRAGES!$H82="*aave*",L81+ARBITRAGES!$G82,L81),L81))</f>
        <v>0</v>
      </c>
      <c r="M82" s="540">
        <f>IF(ARBITRAGES!E82="","",ARBITRAGES!E82)</f>
        <v>45817</v>
      </c>
      <c r="N82" s="541">
        <f>IF(M82="","", SUM(A82:H82)+ARBITRAGES!$K$3)</f>
        <v>37467.52166</v>
      </c>
      <c r="O82" s="542">
        <f>IF(M82="","",PRIX!U82)</f>
        <v>53721.82851</v>
      </c>
      <c r="Q82" s="543">
        <f t="shared" si="1"/>
        <v>0.4338239131</v>
      </c>
      <c r="S82" s="544">
        <f t="shared" si="2"/>
        <v>16254.30686</v>
      </c>
    </row>
    <row r="83">
      <c r="A83" s="545">
        <f>IF($M83="","", IF(ARBITRAGES!$G83&gt;0,IF(ARBITRAGES!$H83="btc",A82+ARBITRAGES!$G83,A82),A82))</f>
        <v>5999.429056</v>
      </c>
      <c r="B83" s="545">
        <f>IF($M83="","", IF(ARBITRAGES!$G83&gt;0,IF(ARBITRAGES!$H83="eth",B82+ARBITRAGES!$G83,B82),B82))</f>
        <v>5059.398762</v>
      </c>
      <c r="C83" s="545">
        <f>IF($M83="","", IF(ARBITRAGES!$G83&gt;0,IF(ARBITRAGES!$H83="ton",C82+ARBITRAGES!$G83,C82),C82))</f>
        <v>0</v>
      </c>
      <c r="D83" s="545">
        <f>IF($M83="","", IF(ARBITRAGES!$G83&gt;0,IF(ARBITRAGES!$H83="sol",D82+ARBITRAGES!$G83,D82),D82))</f>
        <v>4858.693837</v>
      </c>
      <c r="E83" s="545">
        <f>IF($M83="","", IF(ARBITRAGES!$G83&gt;0,IF(ARBITRAGES!$H83="tao",E82+ARBITRAGES!$G83,E82),E82))</f>
        <v>0</v>
      </c>
      <c r="F83" s="545">
        <f>IF($M83="","", IF(ARBITRAGES!$G83&gt;0,IF(ARBITRAGES!$H83="ron",F82+ARBITRAGES!$G83,F82),F82))</f>
        <v>0</v>
      </c>
      <c r="G83" s="545">
        <f>IF($M83="","", IF(ARBITRAGES!$G83&gt;0,IF(ARBITRAGES!$H83="link",G82+ARBITRAGES!$G83,G82),G82))</f>
        <v>0</v>
      </c>
      <c r="H83" s="545">
        <f>IF($M83="","", IF(ARBITRAGES!$G83&gt;0,IF(ARBITRAGES!$H83="doge",H82+ARBITRAGES!$G83,H82),H82))</f>
        <v>0</v>
      </c>
      <c r="I83" s="545">
        <f t="shared" ref="I83:J83" si="57">IF(H83="","",I82)</f>
        <v>645.78248</v>
      </c>
      <c r="J83" s="545">
        <f t="shared" si="57"/>
        <v>244.016</v>
      </c>
      <c r="K83" s="545">
        <f>IF($M83="","", IF(ARBITRAGES!$G83&gt;0,IF(ARBITRAGES!$H83="*jup*",K82+ARBITRAGES!$G83,K82),K82))</f>
        <v>0</v>
      </c>
      <c r="L83" s="545">
        <f>IF($M83="","", IF(ARBITRAGES!$G83&gt;0,IF(ARBITRAGES!$H83="*aave*",L82+ARBITRAGES!$G83,L82),L82))</f>
        <v>0</v>
      </c>
      <c r="M83" s="540">
        <f>IF(ARBITRAGES!E83="","",ARBITRAGES!E83)</f>
        <v>45818</v>
      </c>
      <c r="N83" s="541">
        <f>IF(M83="","", SUM(A83:H83)+ARBITRAGES!$K$3)</f>
        <v>37467.52166</v>
      </c>
      <c r="O83" s="542">
        <f>IF(M83="","",PRIX!U83)</f>
        <v>53968.13422</v>
      </c>
      <c r="Q83" s="543">
        <f t="shared" si="1"/>
        <v>0.4403977589</v>
      </c>
      <c r="S83" s="544">
        <f t="shared" si="2"/>
        <v>16500.61257</v>
      </c>
    </row>
    <row r="84">
      <c r="A84" s="545">
        <f>IF($M84="","", IF(ARBITRAGES!$G84&gt;0,IF(ARBITRAGES!$H84="btc",A83+ARBITRAGES!$G84,A83),A83))</f>
        <v>5999.429056</v>
      </c>
      <c r="B84" s="545">
        <f>IF($M84="","", IF(ARBITRAGES!$G84&gt;0,IF(ARBITRAGES!$H84="eth",B83+ARBITRAGES!$G84,B83),B83))</f>
        <v>5059.398762</v>
      </c>
      <c r="C84" s="545">
        <f>IF($M84="","", IF(ARBITRAGES!$G84&gt;0,IF(ARBITRAGES!$H84="ton",C83+ARBITRAGES!$G84,C83),C83))</f>
        <v>0</v>
      </c>
      <c r="D84" s="545">
        <f>IF($M84="","", IF(ARBITRAGES!$G84&gt;0,IF(ARBITRAGES!$H84="sol",D83+ARBITRAGES!$G84,D83),D83))</f>
        <v>4858.693837</v>
      </c>
      <c r="E84" s="545">
        <f>IF($M84="","", IF(ARBITRAGES!$G84&gt;0,IF(ARBITRAGES!$H84="tao",E83+ARBITRAGES!$G84,E83),E83))</f>
        <v>0</v>
      </c>
      <c r="F84" s="545">
        <f>IF($M84="","", IF(ARBITRAGES!$G84&gt;0,IF(ARBITRAGES!$H84="ron",F83+ARBITRAGES!$G84,F83),F83))</f>
        <v>0</v>
      </c>
      <c r="G84" s="545">
        <f>IF($M84="","", IF(ARBITRAGES!$G84&gt;0,IF(ARBITRAGES!$H84="link",G83+ARBITRAGES!$G84,G83),G83))</f>
        <v>0</v>
      </c>
      <c r="H84" s="545">
        <f>IF($M84="","", IF(ARBITRAGES!$G84&gt;0,IF(ARBITRAGES!$H84="doge",H83+ARBITRAGES!$G84,H83),H83))</f>
        <v>0</v>
      </c>
      <c r="I84" s="545">
        <f t="shared" ref="I84:J84" si="58">IF(H84="","",I83)</f>
        <v>645.78248</v>
      </c>
      <c r="J84" s="545">
        <f t="shared" si="58"/>
        <v>244.016</v>
      </c>
      <c r="K84" s="545">
        <f>IF($M84="","", IF(ARBITRAGES!$G84&gt;0,IF(ARBITRAGES!$H84="*jup*",K83+ARBITRAGES!$G84,K83),K83))</f>
        <v>0</v>
      </c>
      <c r="L84" s="545">
        <f>IF($M84="","", IF(ARBITRAGES!$G84&gt;0,IF(ARBITRAGES!$H84="*aave*",L83+ARBITRAGES!$G84,L83),L83))</f>
        <v>0</v>
      </c>
      <c r="M84" s="540">
        <f>IF(ARBITRAGES!E84="","",ARBITRAGES!E84)</f>
        <v>45831</v>
      </c>
      <c r="N84" s="541">
        <f>IF(M84="","", SUM(A84:H84)+ARBITRAGES!$K$3)</f>
        <v>37467.52166</v>
      </c>
      <c r="O84" s="542">
        <f>IF(M84="","",PRIX!U84)</f>
        <v>50244.47274</v>
      </c>
      <c r="Q84" s="543">
        <f t="shared" si="1"/>
        <v>0.3410140442</v>
      </c>
      <c r="S84" s="544">
        <f t="shared" si="2"/>
        <v>12776.95108</v>
      </c>
    </row>
    <row r="85">
      <c r="A85" s="545">
        <f>IF($M85="","", IF(ARBITRAGES!$G85&gt;0,IF(ARBITRAGES!$H85="btc",A84+ARBITRAGES!$G85,A84),A84))</f>
        <v>5999.429056</v>
      </c>
      <c r="B85" s="545">
        <f>IF($M85="","", IF(ARBITRAGES!$G85&gt;0,IF(ARBITRAGES!$H85="eth",B84+ARBITRAGES!$G85,B84),B84))</f>
        <v>5059.398762</v>
      </c>
      <c r="C85" s="545">
        <f>IF($M85="","", IF(ARBITRAGES!$G85&gt;0,IF(ARBITRAGES!$H85="ton",C84+ARBITRAGES!$G85,C84),C84))</f>
        <v>0</v>
      </c>
      <c r="D85" s="545">
        <f>IF($M85="","", IF(ARBITRAGES!$G85&gt;0,IF(ARBITRAGES!$H85="sol",D84+ARBITRAGES!$G85,D84),D84))</f>
        <v>4858.693837</v>
      </c>
      <c r="E85" s="545">
        <f>IF($M85="","", IF(ARBITRAGES!$G85&gt;0,IF(ARBITRAGES!$H85="tao",E84+ARBITRAGES!$G85,E84),E84))</f>
        <v>0</v>
      </c>
      <c r="F85" s="545">
        <f>IF($M85="","", IF(ARBITRAGES!$G85&gt;0,IF(ARBITRAGES!$H85="ron",F84+ARBITRAGES!$G85,F84),F84))</f>
        <v>0</v>
      </c>
      <c r="G85" s="545">
        <f>IF($M85="","", IF(ARBITRAGES!$G85&gt;0,IF(ARBITRAGES!$H85="link",G84+ARBITRAGES!$G85,G84),G84))</f>
        <v>0</v>
      </c>
      <c r="H85" s="545">
        <f>IF($M85="","", IF(ARBITRAGES!$G85&gt;0,IF(ARBITRAGES!$H85="doge",H84+ARBITRAGES!$G85,H84),H84))</f>
        <v>0</v>
      </c>
      <c r="I85" s="545">
        <f t="shared" ref="I85:J85" si="59">IF(H85="","",I84)</f>
        <v>645.78248</v>
      </c>
      <c r="J85" s="545">
        <f t="shared" si="59"/>
        <v>244.016</v>
      </c>
      <c r="K85" s="545">
        <f>IF($M85="","", IF(ARBITRAGES!$G85&gt;0,IF(ARBITRAGES!$H85="*jup*",K84+ARBITRAGES!$G85,K84),K84))</f>
        <v>0</v>
      </c>
      <c r="L85" s="545">
        <f>IF($M85="","", IF(ARBITRAGES!$G85&gt;0,IF(ARBITRAGES!$H85="*aave*",L84+ARBITRAGES!$G85,L84),L84))</f>
        <v>0</v>
      </c>
      <c r="M85" s="540">
        <f>IF(ARBITRAGES!E85="","",ARBITRAGES!E85)</f>
        <v>45831</v>
      </c>
      <c r="N85" s="541">
        <f>IF(M85="","", SUM(A85:H85)+ARBITRAGES!$K$3)</f>
        <v>37467.52166</v>
      </c>
      <c r="O85" s="542">
        <f>IF(M85="","",PRIX!U85)</f>
        <v>50244.47274</v>
      </c>
      <c r="Q85" s="543">
        <f t="shared" si="1"/>
        <v>0.3410140442</v>
      </c>
      <c r="S85" s="544">
        <f t="shared" si="2"/>
        <v>12776.95108</v>
      </c>
    </row>
    <row r="86">
      <c r="A86" s="545">
        <f>IF($M86="","", IF(ARBITRAGES!$G86&gt;0,IF(ARBITRAGES!$H86="btc",A85+ARBITRAGES!$G86,A85),A85))</f>
        <v>5999.429056</v>
      </c>
      <c r="B86" s="545">
        <f>IF($M86="","", IF(ARBITRAGES!$G86&gt;0,IF(ARBITRAGES!$H86="eth",B85+ARBITRAGES!$G86,B85),B85))</f>
        <v>5059.398762</v>
      </c>
      <c r="C86" s="545">
        <f>IF($M86="","", IF(ARBITRAGES!$G86&gt;0,IF(ARBITRAGES!$H86="ton",C85+ARBITRAGES!$G86,C85),C85))</f>
        <v>0</v>
      </c>
      <c r="D86" s="545">
        <f>IF($M86="","", IF(ARBITRAGES!$G86&gt;0,IF(ARBITRAGES!$H86="sol",D85+ARBITRAGES!$G86,D85),D85))</f>
        <v>4858.693837</v>
      </c>
      <c r="E86" s="545">
        <f>IF($M86="","", IF(ARBITRAGES!$G86&gt;0,IF(ARBITRAGES!$H86="tao",E85+ARBITRAGES!$G86,E85),E85))</f>
        <v>0</v>
      </c>
      <c r="F86" s="545">
        <f>IF($M86="","", IF(ARBITRAGES!$G86&gt;0,IF(ARBITRAGES!$H86="ron",F85+ARBITRAGES!$G86,F85),F85))</f>
        <v>0</v>
      </c>
      <c r="G86" s="545">
        <f>IF($M86="","", IF(ARBITRAGES!$G86&gt;0,IF(ARBITRAGES!$H86="link",G85+ARBITRAGES!$G86,G85),G85))</f>
        <v>0</v>
      </c>
      <c r="H86" s="545">
        <f>IF($M86="","", IF(ARBITRAGES!$G86&gt;0,IF(ARBITRAGES!$H86="doge",H85+ARBITRAGES!$G86,H85),H85))</f>
        <v>0</v>
      </c>
      <c r="I86" s="545">
        <f t="shared" ref="I86:J86" si="60">IF(H86="","",I85)</f>
        <v>645.78248</v>
      </c>
      <c r="J86" s="545">
        <f t="shared" si="60"/>
        <v>244.016</v>
      </c>
      <c r="K86" s="545">
        <f>IF($M86="","", IF(ARBITRAGES!$G86&gt;0,IF(ARBITRAGES!$H86="*jup*",K85+ARBITRAGES!$G86,K85),K85))</f>
        <v>0</v>
      </c>
      <c r="L86" s="545">
        <f>IF($M86="","", IF(ARBITRAGES!$G86&gt;0,IF(ARBITRAGES!$H86="*aave*",L85+ARBITRAGES!$G86,L85),L85))</f>
        <v>0</v>
      </c>
      <c r="M86" s="540">
        <f>IF(ARBITRAGES!E86="","",ARBITRAGES!E86)</f>
        <v>45831</v>
      </c>
      <c r="N86" s="541">
        <f>IF(M86="","", SUM(A86:H86)+ARBITRAGES!$K$3)</f>
        <v>37467.52166</v>
      </c>
      <c r="O86" s="542">
        <f>IF(M86="","",PRIX!U86)</f>
        <v>50252.47274</v>
      </c>
      <c r="Q86" s="543">
        <f t="shared" si="1"/>
        <v>0.3412275624</v>
      </c>
      <c r="S86" s="544">
        <f t="shared" si="2"/>
        <v>12784.95108</v>
      </c>
    </row>
    <row r="87">
      <c r="A87" s="545">
        <f>IF($M87="","", IF(ARBITRAGES!$G87&gt;0,IF(ARBITRAGES!$H87="btc",A86+ARBITRAGES!$G87,A86),A86))</f>
        <v>5999.429056</v>
      </c>
      <c r="B87" s="545">
        <f>IF($M87="","", IF(ARBITRAGES!$G87&gt;0,IF(ARBITRAGES!$H87="eth",B86+ARBITRAGES!$G87,B86),B86))</f>
        <v>5059.398762</v>
      </c>
      <c r="C87" s="545">
        <f>IF($M87="","", IF(ARBITRAGES!$G87&gt;0,IF(ARBITRAGES!$H87="ton",C86+ARBITRAGES!$G87,C86),C86))</f>
        <v>0</v>
      </c>
      <c r="D87" s="545">
        <f>IF($M87="","", IF(ARBITRAGES!$G87&gt;0,IF(ARBITRAGES!$H87="sol",D86+ARBITRAGES!$G87,D86),D86))</f>
        <v>4858.693837</v>
      </c>
      <c r="E87" s="545">
        <f>IF($M87="","", IF(ARBITRAGES!$G87&gt;0,IF(ARBITRAGES!$H87="tao",E86+ARBITRAGES!$G87,E86),E86))</f>
        <v>0</v>
      </c>
      <c r="F87" s="545">
        <f>IF($M87="","", IF(ARBITRAGES!$G87&gt;0,IF(ARBITRAGES!$H87="ron",F86+ARBITRAGES!$G87,F86),F86))</f>
        <v>0</v>
      </c>
      <c r="G87" s="545">
        <f>IF($M87="","", IF(ARBITRAGES!$G87&gt;0,IF(ARBITRAGES!$H87="link",G86+ARBITRAGES!$G87,G86),G86))</f>
        <v>0</v>
      </c>
      <c r="H87" s="545">
        <f>IF($M87="","", IF(ARBITRAGES!$G87&gt;0,IF(ARBITRAGES!$H87="doge",H86+ARBITRAGES!$G87,H86),H86))</f>
        <v>0</v>
      </c>
      <c r="I87" s="545">
        <f t="shared" ref="I87:J87" si="61">IF(H87="","",I86)</f>
        <v>645.78248</v>
      </c>
      <c r="J87" s="545">
        <f t="shared" si="61"/>
        <v>244.016</v>
      </c>
      <c r="K87" s="545">
        <f>IF($M87="","", IF(ARBITRAGES!$G87&gt;0,IF(ARBITRAGES!$H87="*jup*",K86+ARBITRAGES!$G87,K86),K86))</f>
        <v>0</v>
      </c>
      <c r="L87" s="545">
        <f>IF($M87="","", IF(ARBITRAGES!$G87&gt;0,IF(ARBITRAGES!$H87="*aave*",L86+ARBITRAGES!$G87,L86),L86))</f>
        <v>0</v>
      </c>
      <c r="M87" s="540">
        <f>IF(ARBITRAGES!E87="","",ARBITRAGES!E87)</f>
        <v>45831</v>
      </c>
      <c r="N87" s="541">
        <f>IF(M87="","", SUM(A87:H87)+ARBITRAGES!$K$3)</f>
        <v>37467.52166</v>
      </c>
      <c r="O87" s="542">
        <f>IF(M87="","",PRIX!U87)</f>
        <v>50252.42274</v>
      </c>
      <c r="Q87" s="543">
        <f t="shared" si="1"/>
        <v>0.3412262279</v>
      </c>
      <c r="S87" s="544">
        <f t="shared" si="2"/>
        <v>12784.90108</v>
      </c>
    </row>
    <row r="88">
      <c r="A88" s="545">
        <f>IF($M88="","", IF(ARBITRAGES!$G88&gt;0,IF(ARBITRAGES!$H88="btc",A87+ARBITRAGES!$G88,A87),A87))</f>
        <v>5999.429056</v>
      </c>
      <c r="B88" s="545">
        <f>IF($M88="","", IF(ARBITRAGES!$G88&gt;0,IF(ARBITRAGES!$H88="eth",B87+ARBITRAGES!$G88,B87),B87))</f>
        <v>5059.398762</v>
      </c>
      <c r="C88" s="545">
        <f>IF($M88="","", IF(ARBITRAGES!$G88&gt;0,IF(ARBITRAGES!$H88="ton",C87+ARBITRAGES!$G88,C87),C87))</f>
        <v>0</v>
      </c>
      <c r="D88" s="545">
        <f>IF($M88="","", IF(ARBITRAGES!$G88&gt;0,IF(ARBITRAGES!$H88="sol",D87+ARBITRAGES!$G88,D87),D87))</f>
        <v>4858.693837</v>
      </c>
      <c r="E88" s="545">
        <f>IF($M88="","", IF(ARBITRAGES!$G88&gt;0,IF(ARBITRAGES!$H88="tao",E87+ARBITRAGES!$G88,E87),E87))</f>
        <v>0</v>
      </c>
      <c r="F88" s="545">
        <f>IF($M88="","", IF(ARBITRAGES!$G88&gt;0,IF(ARBITRAGES!$H88="ron",F87+ARBITRAGES!$G88,F87),F87))</f>
        <v>0</v>
      </c>
      <c r="G88" s="545">
        <f>IF($M88="","", IF(ARBITRAGES!$G88&gt;0,IF(ARBITRAGES!$H88="link",G87+ARBITRAGES!$G88,G87),G87))</f>
        <v>0</v>
      </c>
      <c r="H88" s="545">
        <f>IF($M88="","", IF(ARBITRAGES!$G88&gt;0,IF(ARBITRAGES!$H88="doge",H87+ARBITRAGES!$G88,H87),H87))</f>
        <v>0</v>
      </c>
      <c r="I88" s="545">
        <f t="shared" ref="I88:J88" si="62">IF(H88="","",I87)</f>
        <v>645.78248</v>
      </c>
      <c r="J88" s="545">
        <f t="shared" si="62"/>
        <v>244.016</v>
      </c>
      <c r="K88" s="545">
        <f>IF($M88="","", IF(ARBITRAGES!$G88&gt;0,IF(ARBITRAGES!$H88="*jup*",K87+ARBITRAGES!$G88,K87),K87))</f>
        <v>0</v>
      </c>
      <c r="L88" s="545">
        <f>IF($M88="","", IF(ARBITRAGES!$G88&gt;0,IF(ARBITRAGES!$H88="*aave*",L87+ARBITRAGES!$G88,L87),L87))</f>
        <v>0</v>
      </c>
      <c r="M88" s="540">
        <f>IF(ARBITRAGES!E88="","",ARBITRAGES!E88)</f>
        <v>45831</v>
      </c>
      <c r="N88" s="541">
        <f>IF(M88="","", SUM(A88:H88)+ARBITRAGES!$K$3)</f>
        <v>37467.52166</v>
      </c>
      <c r="O88" s="542">
        <f>IF(M88="","",PRIX!U88)</f>
        <v>50262.57278</v>
      </c>
      <c r="Q88" s="543">
        <f t="shared" si="1"/>
        <v>0.3414971303</v>
      </c>
      <c r="S88" s="544">
        <f t="shared" si="2"/>
        <v>12795.05112</v>
      </c>
    </row>
    <row r="89">
      <c r="A89" s="545">
        <f>IF($M89="","", IF(ARBITRAGES!$G89&gt;0,IF(ARBITRAGES!$H89="btc",A88+ARBITRAGES!$G89,A88),A88))</f>
        <v>5999.429056</v>
      </c>
      <c r="B89" s="545">
        <f>IF($M89="","", IF(ARBITRAGES!$G89&gt;0,IF(ARBITRAGES!$H89="eth",B88+ARBITRAGES!$G89,B88),B88))</f>
        <v>5059.398762</v>
      </c>
      <c r="C89" s="545">
        <f>IF($M89="","", IF(ARBITRAGES!$G89&gt;0,IF(ARBITRAGES!$H89="ton",C88+ARBITRAGES!$G89,C88),C88))</f>
        <v>0</v>
      </c>
      <c r="D89" s="545">
        <f>IF($M89="","", IF(ARBITRAGES!$G89&gt;0,IF(ARBITRAGES!$H89="sol",D88+ARBITRAGES!$G89,D88),D88))</f>
        <v>4858.693837</v>
      </c>
      <c r="E89" s="545">
        <f>IF($M89="","", IF(ARBITRAGES!$G89&gt;0,IF(ARBITRAGES!$H89="tao",E88+ARBITRAGES!$G89,E88),E88))</f>
        <v>0</v>
      </c>
      <c r="F89" s="545">
        <f>IF($M89="","", IF(ARBITRAGES!$G89&gt;0,IF(ARBITRAGES!$H89="ron",F88+ARBITRAGES!$G89,F88),F88))</f>
        <v>0</v>
      </c>
      <c r="G89" s="545">
        <f>IF($M89="","", IF(ARBITRAGES!$G89&gt;0,IF(ARBITRAGES!$H89="link",G88+ARBITRAGES!$G89,G88),G88))</f>
        <v>0</v>
      </c>
      <c r="H89" s="545">
        <f>IF($M89="","", IF(ARBITRAGES!$G89&gt;0,IF(ARBITRAGES!$H89="doge",H88+ARBITRAGES!$G89,H88),H88))</f>
        <v>0</v>
      </c>
      <c r="I89" s="545">
        <f t="shared" ref="I89:J89" si="63">IF(H89="","",I88)</f>
        <v>645.78248</v>
      </c>
      <c r="J89" s="545">
        <f t="shared" si="63"/>
        <v>244.016</v>
      </c>
      <c r="K89" s="545">
        <f>IF($M89="","", IF(ARBITRAGES!$G89&gt;0,IF(ARBITRAGES!$H89="*jup*",K88+ARBITRAGES!$G89,K88),K88))</f>
        <v>0</v>
      </c>
      <c r="L89" s="545">
        <f>IF($M89="","", IF(ARBITRAGES!$G89&gt;0,IF(ARBITRAGES!$H89="*aave*",L88+ARBITRAGES!$G89,L88),L88))</f>
        <v>0</v>
      </c>
      <c r="M89" s="540">
        <f>IF(ARBITRAGES!E89="","",ARBITRAGES!E89)</f>
        <v>45832</v>
      </c>
      <c r="N89" s="541">
        <f>IF(M89="","", SUM(A89:H89)+ARBITRAGES!$K$3)</f>
        <v>37467.52166</v>
      </c>
      <c r="O89" s="542">
        <f>IF(M89="","",PRIX!U89)</f>
        <v>49783.28497</v>
      </c>
      <c r="Q89" s="543">
        <f t="shared" si="1"/>
        <v>0.3287050431</v>
      </c>
      <c r="S89" s="544">
        <f t="shared" si="2"/>
        <v>12315.76332</v>
      </c>
    </row>
    <row r="90">
      <c r="A90" s="545">
        <f>IF($M90="","", IF(ARBITRAGES!$G90&gt;0,IF(ARBITRAGES!$H90="btc",A89+ARBITRAGES!$G90,A89),A89))</f>
        <v>5999.429056</v>
      </c>
      <c r="B90" s="545">
        <f>IF($M90="","", IF(ARBITRAGES!$G90&gt;0,IF(ARBITRAGES!$H90="eth",B89+ARBITRAGES!$G90,B89),B89))</f>
        <v>5059.398762</v>
      </c>
      <c r="C90" s="545">
        <f>IF($M90="","", IF(ARBITRAGES!$G90&gt;0,IF(ARBITRAGES!$H90="ton",C89+ARBITRAGES!$G90,C89),C89))</f>
        <v>0</v>
      </c>
      <c r="D90" s="545">
        <f>IF($M90="","", IF(ARBITRAGES!$G90&gt;0,IF(ARBITRAGES!$H90="sol",D89+ARBITRAGES!$G90,D89),D89))</f>
        <v>4858.693837</v>
      </c>
      <c r="E90" s="545">
        <f>IF($M90="","", IF(ARBITRAGES!$G90&gt;0,IF(ARBITRAGES!$H90="tao",E89+ARBITRAGES!$G90,E89),E89))</f>
        <v>0</v>
      </c>
      <c r="F90" s="545">
        <f>IF($M90="","", IF(ARBITRAGES!$G90&gt;0,IF(ARBITRAGES!$H90="ron",F89+ARBITRAGES!$G90,F89),F89))</f>
        <v>0</v>
      </c>
      <c r="G90" s="545">
        <f>IF($M90="","", IF(ARBITRAGES!$G90&gt;0,IF(ARBITRAGES!$H90="link",G89+ARBITRAGES!$G90,G89),G89))</f>
        <v>0</v>
      </c>
      <c r="H90" s="545">
        <f>IF($M90="","", IF(ARBITRAGES!$G90&gt;0,IF(ARBITRAGES!$H90="doge",H89+ARBITRAGES!$G90,H89),H89))</f>
        <v>0</v>
      </c>
      <c r="I90" s="545">
        <f t="shared" ref="I90:J90" si="64">IF(H90="","",I89)</f>
        <v>645.78248</v>
      </c>
      <c r="J90" s="545">
        <f t="shared" si="64"/>
        <v>244.016</v>
      </c>
      <c r="K90" s="545">
        <f>IF($M90="","", IF(ARBITRAGES!$G90&gt;0,IF(ARBITRAGES!$H90="*jup*",K89+ARBITRAGES!$G90,K89),K89))</f>
        <v>0</v>
      </c>
      <c r="L90" s="545">
        <f>IF($M90="","", IF(ARBITRAGES!$G90&gt;0,IF(ARBITRAGES!$H90="*aave*",L89+ARBITRAGES!$G90,L89),L89))</f>
        <v>0</v>
      </c>
      <c r="M90" s="540">
        <f>IF(ARBITRAGES!E90="","",ARBITRAGES!E90)</f>
        <v>45847</v>
      </c>
      <c r="N90" s="541">
        <f>IF(M90="","", SUM(A90:H90)+ARBITRAGES!$K$3)</f>
        <v>37467.52166</v>
      </c>
      <c r="O90" s="542">
        <f>IF(M90="","",PRIX!U90)</f>
        <v>52535.11227</v>
      </c>
      <c r="Q90" s="543">
        <f t="shared" si="1"/>
        <v>0.4021507149</v>
      </c>
      <c r="S90" s="544">
        <f t="shared" si="2"/>
        <v>15067.59062</v>
      </c>
    </row>
    <row r="91">
      <c r="A91" s="545">
        <f>IF($M91="","", IF(ARBITRAGES!$G91&gt;0,IF(ARBITRAGES!$H91="btc",A90+ARBITRAGES!$G91,A90),A90))</f>
        <v>5999.429056</v>
      </c>
      <c r="B91" s="545">
        <f>IF($M91="","", IF(ARBITRAGES!$G91&gt;0,IF(ARBITRAGES!$H91="eth",B90+ARBITRAGES!$G91,B90),B90))</f>
        <v>5059.398762</v>
      </c>
      <c r="C91" s="545">
        <f>IF($M91="","", IF(ARBITRAGES!$G91&gt;0,IF(ARBITRAGES!$H91="ton",C90+ARBITRAGES!$G91,C90),C90))</f>
        <v>0</v>
      </c>
      <c r="D91" s="545">
        <f>IF($M91="","", IF(ARBITRAGES!$G91&gt;0,IF(ARBITRAGES!$H91="sol",D90+ARBITRAGES!$G91,D90),D90))</f>
        <v>4858.693837</v>
      </c>
      <c r="E91" s="545">
        <f>IF($M91="","", IF(ARBITRAGES!$G91&gt;0,IF(ARBITRAGES!$H91="tao",E90+ARBITRAGES!$G91,E90),E90))</f>
        <v>0</v>
      </c>
      <c r="F91" s="545">
        <f>IF($M91="","", IF(ARBITRAGES!$G91&gt;0,IF(ARBITRAGES!$H91="ron",F90+ARBITRAGES!$G91,F90),F90))</f>
        <v>0</v>
      </c>
      <c r="G91" s="545">
        <f>IF($M91="","", IF(ARBITRAGES!$G91&gt;0,IF(ARBITRAGES!$H91="link",G90+ARBITRAGES!$G91,G90),G90))</f>
        <v>0</v>
      </c>
      <c r="H91" s="545">
        <f>IF($M91="","", IF(ARBITRAGES!$G91&gt;0,IF(ARBITRAGES!$H91="doge",H90+ARBITRAGES!$G91,H90),H90))</f>
        <v>0</v>
      </c>
      <c r="I91" s="545">
        <f t="shared" ref="I91:J91" si="65">IF(H91="","",I90)</f>
        <v>645.78248</v>
      </c>
      <c r="J91" s="545">
        <f t="shared" si="65"/>
        <v>244.016</v>
      </c>
      <c r="K91" s="545">
        <f>IF($M91="","", IF(ARBITRAGES!$G91&gt;0,IF(ARBITRAGES!$H91="*jup*",K90+ARBITRAGES!$G91,K90),K90))</f>
        <v>0</v>
      </c>
      <c r="L91" s="545">
        <f>IF($M91="","", IF(ARBITRAGES!$G91&gt;0,IF(ARBITRAGES!$H91="*aave*",L90+ARBITRAGES!$G91,L90),L90))</f>
        <v>0</v>
      </c>
      <c r="M91" s="540">
        <f>IF(ARBITRAGES!E91="","",ARBITRAGES!E91)</f>
        <v>45848</v>
      </c>
      <c r="N91" s="541">
        <f>IF(M91="","", SUM(A91:H91)+ARBITRAGES!$K$3)</f>
        <v>37467.52166</v>
      </c>
      <c r="O91" s="542">
        <f>IF(M91="","",PRIX!U91)</f>
        <v>55609.70236</v>
      </c>
      <c r="Q91" s="543">
        <f t="shared" si="1"/>
        <v>0.4842108553</v>
      </c>
      <c r="S91" s="544">
        <f t="shared" si="2"/>
        <v>18142.18071</v>
      </c>
    </row>
    <row r="92">
      <c r="A92" s="545">
        <f>IF($M92="","", IF(ARBITRAGES!$G92&gt;0,IF(ARBITRAGES!$H92="btc",A91+ARBITRAGES!$G92,A91),A91))</f>
        <v>5999.429056</v>
      </c>
      <c r="B92" s="545">
        <f>IF($M92="","", IF(ARBITRAGES!$G92&gt;0,IF(ARBITRAGES!$H92="eth",B91+ARBITRAGES!$G92,B91),B91))</f>
        <v>5059.398762</v>
      </c>
      <c r="C92" s="545">
        <f>IF($M92="","", IF(ARBITRAGES!$G92&gt;0,IF(ARBITRAGES!$H92="ton",C91+ARBITRAGES!$G92,C91),C91))</f>
        <v>0</v>
      </c>
      <c r="D92" s="545">
        <f>IF($M92="","", IF(ARBITRAGES!$G92&gt;0,IF(ARBITRAGES!$H92="sol",D91+ARBITRAGES!$G92,D91),D91))</f>
        <v>4858.693837</v>
      </c>
      <c r="E92" s="545">
        <f>IF($M92="","", IF(ARBITRAGES!$G92&gt;0,IF(ARBITRAGES!$H92="tao",E91+ARBITRAGES!$G92,E91),E91))</f>
        <v>0</v>
      </c>
      <c r="F92" s="545">
        <f>IF($M92="","", IF(ARBITRAGES!$G92&gt;0,IF(ARBITRAGES!$H92="ron",F91+ARBITRAGES!$G92,F91),F91))</f>
        <v>0</v>
      </c>
      <c r="G92" s="545">
        <f>IF($M92="","", IF(ARBITRAGES!$G92&gt;0,IF(ARBITRAGES!$H92="link",G91+ARBITRAGES!$G92,G91),G91))</f>
        <v>0</v>
      </c>
      <c r="H92" s="545">
        <f>IF($M92="","", IF(ARBITRAGES!$G92&gt;0,IF(ARBITRAGES!$H92="doge",H91+ARBITRAGES!$G92,H91),H91))</f>
        <v>0</v>
      </c>
      <c r="I92" s="545">
        <f t="shared" ref="I92:J92" si="66">IF(H92="","",I91)</f>
        <v>645.78248</v>
      </c>
      <c r="J92" s="545">
        <f t="shared" si="66"/>
        <v>244.016</v>
      </c>
      <c r="K92" s="545">
        <f>IF($M92="","", IF(ARBITRAGES!$G92&gt;0,IF(ARBITRAGES!$H92="*jup*",K91+ARBITRAGES!$G92,K91),K91))</f>
        <v>0</v>
      </c>
      <c r="L92" s="545">
        <f>IF($M92="","", IF(ARBITRAGES!$G92&gt;0,IF(ARBITRAGES!$H92="*aave*",L91+ARBITRAGES!$G92,L91),L91))</f>
        <v>0</v>
      </c>
      <c r="M92" s="540">
        <f>IF(ARBITRAGES!E92="","",ARBITRAGES!E92)</f>
        <v>45849</v>
      </c>
      <c r="N92" s="541">
        <f>IF(M92="","", SUM(A92:H92)+ARBITRAGES!$K$3)</f>
        <v>37467.52166</v>
      </c>
      <c r="O92" s="542">
        <f>IF(M92="","",PRIX!U92)</f>
        <v>55610.38426</v>
      </c>
      <c r="Q92" s="543">
        <f t="shared" si="1"/>
        <v>0.4842290551</v>
      </c>
      <c r="S92" s="544">
        <f t="shared" si="2"/>
        <v>18142.86261</v>
      </c>
    </row>
    <row r="93">
      <c r="A93" s="545">
        <f>IF($M93="","", IF(ARBITRAGES!$G93&gt;0,IF(ARBITRAGES!$H93="btc",A92+ARBITRAGES!$G93,A92),A92))</f>
        <v>5999.429056</v>
      </c>
      <c r="B93" s="545">
        <f>IF($M93="","", IF(ARBITRAGES!$G93&gt;0,IF(ARBITRAGES!$H93="eth",B92+ARBITRAGES!$G93,B92),B92))</f>
        <v>5059.398762</v>
      </c>
      <c r="C93" s="545">
        <f>IF($M93="","", IF(ARBITRAGES!$G93&gt;0,IF(ARBITRAGES!$H93="ton",C92+ARBITRAGES!$G93,C92),C92))</f>
        <v>0</v>
      </c>
      <c r="D93" s="545">
        <f>IF($M93="","", IF(ARBITRAGES!$G93&gt;0,IF(ARBITRAGES!$H93="sol",D92+ARBITRAGES!$G93,D92),D92))</f>
        <v>4858.693837</v>
      </c>
      <c r="E93" s="545">
        <f>IF($M93="","", IF(ARBITRAGES!$G93&gt;0,IF(ARBITRAGES!$H93="tao",E92+ARBITRAGES!$G93,E92),E92))</f>
        <v>0</v>
      </c>
      <c r="F93" s="545">
        <f>IF($M93="","", IF(ARBITRAGES!$G93&gt;0,IF(ARBITRAGES!$H93="ron",F92+ARBITRAGES!$G93,F92),F92))</f>
        <v>0</v>
      </c>
      <c r="G93" s="545">
        <f>IF($M93="","", IF(ARBITRAGES!$G93&gt;0,IF(ARBITRAGES!$H93="link",G92+ARBITRAGES!$G93,G92),G92))</f>
        <v>0</v>
      </c>
      <c r="H93" s="545">
        <f>IF($M93="","", IF(ARBITRAGES!$G93&gt;0,IF(ARBITRAGES!$H93="doge",H92+ARBITRAGES!$G93,H92),H92))</f>
        <v>0</v>
      </c>
      <c r="I93" s="545">
        <f t="shared" ref="I93:J93" si="67">IF(H93="","",I92)</f>
        <v>645.78248</v>
      </c>
      <c r="J93" s="545">
        <f t="shared" si="67"/>
        <v>244.016</v>
      </c>
      <c r="K93" s="545">
        <f>IF($M93="","", IF(ARBITRAGES!$G93&gt;0,IF(ARBITRAGES!$H93="*jup*",K92+ARBITRAGES!$G93,K92),K92))</f>
        <v>0</v>
      </c>
      <c r="L93" s="545">
        <f>IF($M93="","", IF(ARBITRAGES!$G93&gt;0,IF(ARBITRAGES!$H93="*aave*",L92+ARBITRAGES!$G93,L92),L92))</f>
        <v>0</v>
      </c>
      <c r="M93" s="540">
        <f>IF(ARBITRAGES!E93="","",ARBITRAGES!E93)</f>
        <v>45849</v>
      </c>
      <c r="N93" s="541">
        <f>IF(M93="","", SUM(A93:H93)+ARBITRAGES!$K$3)</f>
        <v>37467.52166</v>
      </c>
      <c r="O93" s="542">
        <f>IF(M93="","",PRIX!U93)</f>
        <v>55612.49397</v>
      </c>
      <c r="Q93" s="543">
        <f t="shared" si="1"/>
        <v>0.4842853626</v>
      </c>
      <c r="S93" s="544">
        <f t="shared" si="2"/>
        <v>18144.97231</v>
      </c>
    </row>
    <row r="94">
      <c r="A94" s="545">
        <f>IF($M94="","", IF(ARBITRAGES!$G94&gt;0,IF(ARBITRAGES!$H94="btc",A93+ARBITRAGES!$G94,A93),A93))</f>
        <v>5999.429056</v>
      </c>
      <c r="B94" s="545">
        <f>IF($M94="","", IF(ARBITRAGES!$G94&gt;0,IF(ARBITRAGES!$H94="eth",B93+ARBITRAGES!$G94,B93),B93))</f>
        <v>5059.398762</v>
      </c>
      <c r="C94" s="545">
        <f>IF($M94="","", IF(ARBITRAGES!$G94&gt;0,IF(ARBITRAGES!$H94="ton",C93+ARBITRAGES!$G94,C93),C93))</f>
        <v>0</v>
      </c>
      <c r="D94" s="545">
        <f>IF($M94="","", IF(ARBITRAGES!$G94&gt;0,IF(ARBITRAGES!$H94="sol",D93+ARBITRAGES!$G94,D93),D93))</f>
        <v>4858.693837</v>
      </c>
      <c r="E94" s="545">
        <f>IF($M94="","", IF(ARBITRAGES!$G94&gt;0,IF(ARBITRAGES!$H94="tao",E93+ARBITRAGES!$G94,E93),E93))</f>
        <v>0</v>
      </c>
      <c r="F94" s="545">
        <f>IF($M94="","", IF(ARBITRAGES!$G94&gt;0,IF(ARBITRAGES!$H94="ron",F93+ARBITRAGES!$G94,F93),F93))</f>
        <v>0</v>
      </c>
      <c r="G94" s="545">
        <f>IF($M94="","", IF(ARBITRAGES!$G94&gt;0,IF(ARBITRAGES!$H94="link",G93+ARBITRAGES!$G94,G93),G93))</f>
        <v>0</v>
      </c>
      <c r="H94" s="545">
        <f>IF($M94="","", IF(ARBITRAGES!$G94&gt;0,IF(ARBITRAGES!$H94="doge",H93+ARBITRAGES!$G94,H93),H93))</f>
        <v>0</v>
      </c>
      <c r="I94" s="545">
        <f t="shared" ref="I94:J94" si="68">IF(H94="","",I93)</f>
        <v>645.78248</v>
      </c>
      <c r="J94" s="545">
        <f t="shared" si="68"/>
        <v>244.016</v>
      </c>
      <c r="K94" s="545">
        <f>IF($M94="","", IF(ARBITRAGES!$G94&gt;0,IF(ARBITRAGES!$H94="*jup*",K93+ARBITRAGES!$G94,K93),K93))</f>
        <v>0</v>
      </c>
      <c r="L94" s="545">
        <f>IF($M94="","", IF(ARBITRAGES!$G94&gt;0,IF(ARBITRAGES!$H94="*aave*",L93+ARBITRAGES!$G94,L93),L93))</f>
        <v>0</v>
      </c>
      <c r="M94" s="540">
        <f>IF(ARBITRAGES!E94="","",ARBITRAGES!E94)</f>
        <v>45850</v>
      </c>
      <c r="N94" s="541">
        <f>IF(M94="","", SUM(A94:H94)+ARBITRAGES!$K$3)</f>
        <v>37467.52166</v>
      </c>
      <c r="O94" s="542">
        <f>IF(M94="","",PRIX!U94)</f>
        <v>55614.84797</v>
      </c>
      <c r="Q94" s="543">
        <f t="shared" si="1"/>
        <v>0.4843481906</v>
      </c>
      <c r="S94" s="544">
        <f t="shared" si="2"/>
        <v>18147.32632</v>
      </c>
    </row>
    <row r="95">
      <c r="A95" s="545">
        <f>IF($M95="","", IF(ARBITRAGES!$G95&gt;0,IF(ARBITRAGES!$H95="btc",A94+ARBITRAGES!$G95,A94),A94))</f>
        <v>5999.429056</v>
      </c>
      <c r="B95" s="545">
        <f>IF($M95="","", IF(ARBITRAGES!$G95&gt;0,IF(ARBITRAGES!$H95="eth",B94+ARBITRAGES!$G95,B94),B94))</f>
        <v>5059.398762</v>
      </c>
      <c r="C95" s="545">
        <f>IF($M95="","", IF(ARBITRAGES!$G95&gt;0,IF(ARBITRAGES!$H95="ton",C94+ARBITRAGES!$G95,C94),C94))</f>
        <v>0</v>
      </c>
      <c r="D95" s="545">
        <f>IF($M95="","", IF(ARBITRAGES!$G95&gt;0,IF(ARBITRAGES!$H95="sol",D94+ARBITRAGES!$G95,D94),D94))</f>
        <v>4858.693837</v>
      </c>
      <c r="E95" s="545">
        <f>IF($M95="","", IF(ARBITRAGES!$G95&gt;0,IF(ARBITRAGES!$H95="tao",E94+ARBITRAGES!$G95,E94),E94))</f>
        <v>0</v>
      </c>
      <c r="F95" s="545">
        <f>IF($M95="","", IF(ARBITRAGES!$G95&gt;0,IF(ARBITRAGES!$H95="ron",F94+ARBITRAGES!$G95,F94),F94))</f>
        <v>0</v>
      </c>
      <c r="G95" s="545">
        <f>IF($M95="","", IF(ARBITRAGES!$G95&gt;0,IF(ARBITRAGES!$H95="link",G94+ARBITRAGES!$G95,G94),G94))</f>
        <v>0</v>
      </c>
      <c r="H95" s="545">
        <f>IF($M95="","", IF(ARBITRAGES!$G95&gt;0,IF(ARBITRAGES!$H95="doge",H94+ARBITRAGES!$G95,H94),H94))</f>
        <v>0</v>
      </c>
      <c r="I95" s="545">
        <f t="shared" ref="I95:J95" si="69">IF(H95="","",I94)</f>
        <v>645.78248</v>
      </c>
      <c r="J95" s="545">
        <f t="shared" si="69"/>
        <v>244.016</v>
      </c>
      <c r="K95" s="545">
        <f>IF($M95="","", IF(ARBITRAGES!$G95&gt;0,IF(ARBITRAGES!$H95="*jup*",K94+ARBITRAGES!$G95,K94),K94))</f>
        <v>0</v>
      </c>
      <c r="L95" s="545">
        <f>IF($M95="","", IF(ARBITRAGES!$G95&gt;0,IF(ARBITRAGES!$H95="*aave*",L94+ARBITRAGES!$G95,L94),L94))</f>
        <v>0</v>
      </c>
      <c r="M95" s="540">
        <f>IF(ARBITRAGES!E95="","",ARBITRAGES!E95)</f>
        <v>45852</v>
      </c>
      <c r="N95" s="541">
        <f>IF(M95="","", SUM(A95:H95)+ARBITRAGES!$K$3)</f>
        <v>37467.52166</v>
      </c>
      <c r="O95" s="542">
        <f>IF(M95="","",PRIX!U95)</f>
        <v>58302.68636</v>
      </c>
      <c r="Q95" s="543">
        <f t="shared" si="1"/>
        <v>0.5560860122</v>
      </c>
      <c r="S95" s="544">
        <f t="shared" si="2"/>
        <v>20835.1647</v>
      </c>
    </row>
    <row r="96">
      <c r="A96" s="545">
        <f>IF($M96="","", IF(ARBITRAGES!$G96&gt;0,IF(ARBITRAGES!$H96="btc",A95+ARBITRAGES!$G96,A95),A95))</f>
        <v>5999.429056</v>
      </c>
      <c r="B96" s="545">
        <f>IF($M96="","", IF(ARBITRAGES!$G96&gt;0,IF(ARBITRAGES!$H96="eth",B95+ARBITRAGES!$G96,B95),B95))</f>
        <v>5059.398762</v>
      </c>
      <c r="C96" s="545">
        <f>IF($M96="","", IF(ARBITRAGES!$G96&gt;0,IF(ARBITRAGES!$H96="ton",C95+ARBITRAGES!$G96,C95),C95))</f>
        <v>0</v>
      </c>
      <c r="D96" s="545">
        <f>IF($M96="","", IF(ARBITRAGES!$G96&gt;0,IF(ARBITRAGES!$H96="sol",D95+ARBITRAGES!$G96,D95),D95))</f>
        <v>4858.693837</v>
      </c>
      <c r="E96" s="545">
        <f>IF($M96="","", IF(ARBITRAGES!$G96&gt;0,IF(ARBITRAGES!$H96="tao",E95+ARBITRAGES!$G96,E95),E95))</f>
        <v>0</v>
      </c>
      <c r="F96" s="545">
        <f>IF($M96="","", IF(ARBITRAGES!$G96&gt;0,IF(ARBITRAGES!$H96="ron",F95+ARBITRAGES!$G96,F95),F95))</f>
        <v>0</v>
      </c>
      <c r="G96" s="545">
        <f>IF($M96="","", IF(ARBITRAGES!$G96&gt;0,IF(ARBITRAGES!$H96="link",G95+ARBITRAGES!$G96,G95),G95))</f>
        <v>0</v>
      </c>
      <c r="H96" s="545">
        <f>IF($M96="","", IF(ARBITRAGES!$G96&gt;0,IF(ARBITRAGES!$H96="doge",H95+ARBITRAGES!$G96,H95),H95))</f>
        <v>0</v>
      </c>
      <c r="I96" s="545">
        <f t="shared" ref="I96:J96" si="70">IF(H96="","",I95)</f>
        <v>645.78248</v>
      </c>
      <c r="J96" s="545">
        <f t="shared" si="70"/>
        <v>244.016</v>
      </c>
      <c r="K96" s="545">
        <f>IF($M96="","", IF(ARBITRAGES!$G96&gt;0,IF(ARBITRAGES!$H96="*jup*",K95+ARBITRAGES!$G96,K95),K95))</f>
        <v>0</v>
      </c>
      <c r="L96" s="545">
        <f>IF($M96="","", IF(ARBITRAGES!$G96&gt;0,IF(ARBITRAGES!$H96="*aave*",L95+ARBITRAGES!$G96,L95),L95))</f>
        <v>0</v>
      </c>
      <c r="M96" s="540">
        <f>IF(ARBITRAGES!E96="","",ARBITRAGES!E96)</f>
        <v>45852</v>
      </c>
      <c r="N96" s="541">
        <f>IF(M96="","", SUM(A96:H96)+ARBITRAGES!$K$3)</f>
        <v>37467.52166</v>
      </c>
      <c r="O96" s="542">
        <f>IF(M96="","",PRIX!U96)</f>
        <v>58315.19336</v>
      </c>
      <c r="Q96" s="543">
        <f t="shared" si="1"/>
        <v>0.5564198213</v>
      </c>
      <c r="S96" s="544">
        <f t="shared" si="2"/>
        <v>20847.6717</v>
      </c>
    </row>
    <row r="97">
      <c r="A97" s="545">
        <f>IF($M97="","", IF(ARBITRAGES!$G97&gt;0,IF(ARBITRAGES!$H97="btc",A96+ARBITRAGES!$G97,A96),A96))</f>
        <v>5999.429056</v>
      </c>
      <c r="B97" s="545">
        <f>IF($M97="","", IF(ARBITRAGES!$G97&gt;0,IF(ARBITRAGES!$H97="eth",B96+ARBITRAGES!$G97,B96),B96))</f>
        <v>5059.398762</v>
      </c>
      <c r="C97" s="545">
        <f>IF($M97="","", IF(ARBITRAGES!$G97&gt;0,IF(ARBITRAGES!$H97="ton",C96+ARBITRAGES!$G97,C96),C96))</f>
        <v>0</v>
      </c>
      <c r="D97" s="545">
        <f>IF($M97="","", IF(ARBITRAGES!$G97&gt;0,IF(ARBITRAGES!$H97="sol",D96+ARBITRAGES!$G97,D96),D96))</f>
        <v>4858.693837</v>
      </c>
      <c r="E97" s="545">
        <f>IF($M97="","", IF(ARBITRAGES!$G97&gt;0,IF(ARBITRAGES!$H97="tao",E96+ARBITRAGES!$G97,E96),E96))</f>
        <v>0</v>
      </c>
      <c r="F97" s="545">
        <f>IF($M97="","", IF(ARBITRAGES!$G97&gt;0,IF(ARBITRAGES!$H97="ron",F96+ARBITRAGES!$G97,F96),F96))</f>
        <v>0</v>
      </c>
      <c r="G97" s="545">
        <f>IF($M97="","", IF(ARBITRAGES!$G97&gt;0,IF(ARBITRAGES!$H97="link",G96+ARBITRAGES!$G97,G96),G96))</f>
        <v>0</v>
      </c>
      <c r="H97" s="545">
        <f>IF($M97="","", IF(ARBITRAGES!$G97&gt;0,IF(ARBITRAGES!$H97="doge",H96+ARBITRAGES!$G97,H96),H96))</f>
        <v>0</v>
      </c>
      <c r="I97" s="545">
        <f t="shared" ref="I97:J97" si="71">IF(H97="","",I96)</f>
        <v>645.78248</v>
      </c>
      <c r="J97" s="545">
        <f t="shared" si="71"/>
        <v>244.016</v>
      </c>
      <c r="K97" s="545">
        <f>IF($M97="","", IF(ARBITRAGES!$G97&gt;0,IF(ARBITRAGES!$H97="*jup*",K96+ARBITRAGES!$G97,K96),K96))</f>
        <v>0</v>
      </c>
      <c r="L97" s="545">
        <f>IF($M97="","", IF(ARBITRAGES!$G97&gt;0,IF(ARBITRAGES!$H97="*aave*",L96+ARBITRAGES!$G97,L96),L96))</f>
        <v>0</v>
      </c>
      <c r="M97" s="540">
        <f>IF(ARBITRAGES!E97="","",ARBITRAGES!E97)</f>
        <v>45852</v>
      </c>
      <c r="N97" s="541">
        <f>IF(M97="","", SUM(A97:H97)+ARBITRAGES!$K$3)</f>
        <v>37467.52166</v>
      </c>
      <c r="O97" s="542">
        <f>IF(M97="","",PRIX!U97)</f>
        <v>58340.06293</v>
      </c>
      <c r="Q97" s="543">
        <f t="shared" si="1"/>
        <v>0.5570835846</v>
      </c>
      <c r="S97" s="544">
        <f t="shared" si="2"/>
        <v>20872.54127</v>
      </c>
    </row>
    <row r="98">
      <c r="A98" s="545">
        <f>IF($M98="","", IF(ARBITRAGES!$G98&gt;0,IF(ARBITRAGES!$H98="btc",A97+ARBITRAGES!$G98,A97),A97))</f>
        <v>5999.429056</v>
      </c>
      <c r="B98" s="545">
        <f>IF($M98="","", IF(ARBITRAGES!$G98&gt;0,IF(ARBITRAGES!$H98="eth",B97+ARBITRAGES!$G98,B97),B97))</f>
        <v>5059.398762</v>
      </c>
      <c r="C98" s="545">
        <f>IF($M98="","", IF(ARBITRAGES!$G98&gt;0,IF(ARBITRAGES!$H98="ton",C97+ARBITRAGES!$G98,C97),C97))</f>
        <v>0</v>
      </c>
      <c r="D98" s="545">
        <f>IF($M98="","", IF(ARBITRAGES!$G98&gt;0,IF(ARBITRAGES!$H98="sol",D97+ARBITRAGES!$G98,D97),D97))</f>
        <v>4858.693837</v>
      </c>
      <c r="E98" s="545">
        <f>IF($M98="","", IF(ARBITRAGES!$G98&gt;0,IF(ARBITRAGES!$H98="tao",E97+ARBITRAGES!$G98,E97),E97))</f>
        <v>0</v>
      </c>
      <c r="F98" s="545">
        <f>IF($M98="","", IF(ARBITRAGES!$G98&gt;0,IF(ARBITRAGES!$H98="ron",F97+ARBITRAGES!$G98,F97),F97))</f>
        <v>0</v>
      </c>
      <c r="G98" s="545">
        <f>IF($M98="","", IF(ARBITRAGES!$G98&gt;0,IF(ARBITRAGES!$H98="link",G97+ARBITRAGES!$G98,G97),G97))</f>
        <v>0</v>
      </c>
      <c r="H98" s="545">
        <f>IF($M98="","", IF(ARBITRAGES!$G98&gt;0,IF(ARBITRAGES!$H98="doge",H97+ARBITRAGES!$G98,H97),H97))</f>
        <v>0</v>
      </c>
      <c r="I98" s="545">
        <f t="shared" ref="I98:J98" si="72">IF(H98="","",I97)</f>
        <v>645.78248</v>
      </c>
      <c r="J98" s="545">
        <f t="shared" si="72"/>
        <v>244.016</v>
      </c>
      <c r="K98" s="545">
        <f>IF($M98="","", IF(ARBITRAGES!$G98&gt;0,IF(ARBITRAGES!$H98="*jup*",K97+ARBITRAGES!$G98,K97),K97))</f>
        <v>0</v>
      </c>
      <c r="L98" s="545">
        <f>IF($M98="","", IF(ARBITRAGES!$G98&gt;0,IF(ARBITRAGES!$H98="*aave*",L97+ARBITRAGES!$G98,L97),L97))</f>
        <v>0</v>
      </c>
      <c r="M98" s="540">
        <f>IF(ARBITRAGES!E98="","",ARBITRAGES!E98)</f>
        <v>45852</v>
      </c>
      <c r="N98" s="541">
        <f>IF(M98="","", SUM(A98:H98)+ARBITRAGES!$K$3)</f>
        <v>37467.52166</v>
      </c>
      <c r="O98" s="542">
        <f>IF(M98="","",PRIX!U98)</f>
        <v>58344.86155</v>
      </c>
      <c r="Q98" s="543">
        <f t="shared" si="1"/>
        <v>0.557211659</v>
      </c>
      <c r="S98" s="544">
        <f t="shared" si="2"/>
        <v>20877.3399</v>
      </c>
    </row>
    <row r="99">
      <c r="A99" s="545">
        <f>IF($M99="","", IF(ARBITRAGES!$G99&gt;0,IF(ARBITRAGES!$H99="btc",A98+ARBITRAGES!$G99,A98),A98))</f>
        <v>5999.429056</v>
      </c>
      <c r="B99" s="545">
        <f>IF($M99="","", IF(ARBITRAGES!$G99&gt;0,IF(ARBITRAGES!$H99="eth",B98+ARBITRAGES!$G99,B98),B98))</f>
        <v>5059.398762</v>
      </c>
      <c r="C99" s="545">
        <f>IF($M99="","", IF(ARBITRAGES!$G99&gt;0,IF(ARBITRAGES!$H99="ton",C98+ARBITRAGES!$G99,C98),C98))</f>
        <v>0</v>
      </c>
      <c r="D99" s="545">
        <f>IF($M99="","", IF(ARBITRAGES!$G99&gt;0,IF(ARBITRAGES!$H99="sol",D98+ARBITRAGES!$G99,D98),D98))</f>
        <v>4858.693837</v>
      </c>
      <c r="E99" s="545">
        <f>IF($M99="","", IF(ARBITRAGES!$G99&gt;0,IF(ARBITRAGES!$H99="tao",E98+ARBITRAGES!$G99,E98),E98))</f>
        <v>0</v>
      </c>
      <c r="F99" s="545">
        <f>IF($M99="","", IF(ARBITRAGES!$G99&gt;0,IF(ARBITRAGES!$H99="ron",F98+ARBITRAGES!$G99,F98),F98))</f>
        <v>0</v>
      </c>
      <c r="G99" s="545">
        <f>IF($M99="","", IF(ARBITRAGES!$G99&gt;0,IF(ARBITRAGES!$H99="link",G98+ARBITRAGES!$G99,G98),G98))</f>
        <v>0</v>
      </c>
      <c r="H99" s="545">
        <f>IF($M99="","", IF(ARBITRAGES!$G99&gt;0,IF(ARBITRAGES!$H99="doge",H98+ARBITRAGES!$G99,H98),H98))</f>
        <v>0</v>
      </c>
      <c r="I99" s="545">
        <f t="shared" ref="I99:J99" si="73">IF(H99="","",I98)</f>
        <v>645.78248</v>
      </c>
      <c r="J99" s="545">
        <f t="shared" si="73"/>
        <v>244.016</v>
      </c>
      <c r="K99" s="545">
        <f>IF($M99="","", IF(ARBITRAGES!$G99&gt;0,IF(ARBITRAGES!$H99="*jup*",K98+ARBITRAGES!$G99,K98),K98))</f>
        <v>0</v>
      </c>
      <c r="L99" s="545">
        <f>IF($M99="","", IF(ARBITRAGES!$G99&gt;0,IF(ARBITRAGES!$H99="*aave*",L98+ARBITRAGES!$G99,L98),L98))</f>
        <v>0</v>
      </c>
      <c r="M99" s="540">
        <f>IF(ARBITRAGES!E99="","",ARBITRAGES!E99)</f>
        <v>45853</v>
      </c>
      <c r="N99" s="541">
        <f>IF(M99="","", SUM(A99:H99)+ARBITRAGES!$K$3)</f>
        <v>37467.52166</v>
      </c>
      <c r="O99" s="542">
        <f>IF(M99="","",PRIX!U99)</f>
        <v>57309.23725</v>
      </c>
      <c r="Q99" s="543">
        <f t="shared" si="1"/>
        <v>0.5295710717</v>
      </c>
      <c r="S99" s="544">
        <f t="shared" si="2"/>
        <v>19841.7156</v>
      </c>
    </row>
    <row r="100">
      <c r="A100" s="545">
        <f>IF($M100="","", IF(ARBITRAGES!$G100&gt;0,IF(ARBITRAGES!$H100="btc",A99+ARBITRAGES!$G100,A99),A99))</f>
        <v>5999.429056</v>
      </c>
      <c r="B100" s="545">
        <f>IF($M100="","", IF(ARBITRAGES!$G100&gt;0,IF(ARBITRAGES!$H100="eth",B99+ARBITRAGES!$G100,B99),B99))</f>
        <v>5059.398762</v>
      </c>
      <c r="C100" s="545">
        <f>IF($M100="","", IF(ARBITRAGES!$G100&gt;0,IF(ARBITRAGES!$H100="ton",C99+ARBITRAGES!$G100,C99),C99))</f>
        <v>0</v>
      </c>
      <c r="D100" s="545">
        <f>IF($M100="","", IF(ARBITRAGES!$G100&gt;0,IF(ARBITRAGES!$H100="sol",D99+ARBITRAGES!$G100,D99),D99))</f>
        <v>4858.693837</v>
      </c>
      <c r="E100" s="545">
        <f>IF($M100="","", IF(ARBITRAGES!$G100&gt;0,IF(ARBITRAGES!$H100="tao",E99+ARBITRAGES!$G100,E99),E99))</f>
        <v>0</v>
      </c>
      <c r="F100" s="545">
        <f>IF($M100="","", IF(ARBITRAGES!$G100&gt;0,IF(ARBITRAGES!$H100="ron",F99+ARBITRAGES!$G100,F99),F99))</f>
        <v>0</v>
      </c>
      <c r="G100" s="545">
        <f>IF($M100="","", IF(ARBITRAGES!$G100&gt;0,IF(ARBITRAGES!$H100="link",G99+ARBITRAGES!$G100,G99),G99))</f>
        <v>0</v>
      </c>
      <c r="H100" s="545">
        <f>IF($M100="","", IF(ARBITRAGES!$G100&gt;0,IF(ARBITRAGES!$H100="doge",H99+ARBITRAGES!$G100,H99),H99))</f>
        <v>0</v>
      </c>
      <c r="I100" s="545">
        <f t="shared" ref="I100:J100" si="74">IF(H100="","",I99)</f>
        <v>645.78248</v>
      </c>
      <c r="J100" s="545">
        <f t="shared" si="74"/>
        <v>244.016</v>
      </c>
      <c r="K100" s="545">
        <f>IF($M100="","", IF(ARBITRAGES!$G100&gt;0,IF(ARBITRAGES!$H100="*jup*",K99+ARBITRAGES!$G100,K99),K99))</f>
        <v>0</v>
      </c>
      <c r="L100" s="545">
        <f>IF($M100="","", IF(ARBITRAGES!$G100&gt;0,IF(ARBITRAGES!$H100="*aave*",L99+ARBITRAGES!$G100,L99),L99))</f>
        <v>0</v>
      </c>
      <c r="M100" s="540">
        <f>IF(ARBITRAGES!E100="","",ARBITRAGES!E100)</f>
        <v>45854</v>
      </c>
      <c r="N100" s="541">
        <f>IF(M100="","", SUM(A100:H100)+ARBITRAGES!$K$3)</f>
        <v>37467.52166</v>
      </c>
      <c r="O100" s="542">
        <f>IF(M100="","",PRIX!U100)</f>
        <v>58367.67308</v>
      </c>
      <c r="Q100" s="543">
        <f t="shared" si="1"/>
        <v>0.5578204937</v>
      </c>
      <c r="S100" s="544">
        <f t="shared" si="2"/>
        <v>20900.15143</v>
      </c>
    </row>
    <row r="101">
      <c r="A101" s="545">
        <f>IF($M101="","", IF(ARBITRAGES!$G101&gt;0,IF(ARBITRAGES!$H101="btc",A100+ARBITRAGES!$G101,A100),A100))</f>
        <v>5999.429056</v>
      </c>
      <c r="B101" s="545">
        <f>IF($M101="","", IF(ARBITRAGES!$G101&gt;0,IF(ARBITRAGES!$H101="eth",B100+ARBITRAGES!$G101,B100),B100))</f>
        <v>5059.398762</v>
      </c>
      <c r="C101" s="545">
        <f>IF($M101="","", IF(ARBITRAGES!$G101&gt;0,IF(ARBITRAGES!$H101="ton",C100+ARBITRAGES!$G101,C100),C100))</f>
        <v>0</v>
      </c>
      <c r="D101" s="545">
        <f>IF($M101="","", IF(ARBITRAGES!$G101&gt;0,IF(ARBITRAGES!$H101="sol",D100+ARBITRAGES!$G101,D100),D100))</f>
        <v>4858.693837</v>
      </c>
      <c r="E101" s="545">
        <f>IF($M101="","", IF(ARBITRAGES!$G101&gt;0,IF(ARBITRAGES!$H101="tao",E100+ARBITRAGES!$G101,E100),E100))</f>
        <v>0</v>
      </c>
      <c r="F101" s="545">
        <f>IF($M101="","", IF(ARBITRAGES!$G101&gt;0,IF(ARBITRAGES!$H101="ron",F100+ARBITRAGES!$G101,F100),F100))</f>
        <v>0</v>
      </c>
      <c r="G101" s="545">
        <f>IF($M101="","", IF(ARBITRAGES!$G101&gt;0,IF(ARBITRAGES!$H101="link",G100+ARBITRAGES!$G101,G100),G100))</f>
        <v>0</v>
      </c>
      <c r="H101" s="545">
        <f>IF($M101="","", IF(ARBITRAGES!$G101&gt;0,IF(ARBITRAGES!$H101="doge",H100+ARBITRAGES!$G101,H100),H100))</f>
        <v>0</v>
      </c>
      <c r="I101" s="545">
        <f t="shared" ref="I101:J101" si="75">IF(H101="","",I100)</f>
        <v>645.78248</v>
      </c>
      <c r="J101" s="545">
        <f t="shared" si="75"/>
        <v>244.016</v>
      </c>
      <c r="K101" s="545">
        <f>IF($M101="","", IF(ARBITRAGES!$G101&gt;0,IF(ARBITRAGES!$H101="*jup*",K100+ARBITRAGES!$G101,K100),K100))</f>
        <v>0</v>
      </c>
      <c r="L101" s="545">
        <f>IF($M101="","", IF(ARBITRAGES!$G101&gt;0,IF(ARBITRAGES!$H101="*aave*",L100+ARBITRAGES!$G101,L100),L100))</f>
        <v>0</v>
      </c>
      <c r="M101" s="540">
        <f>IF(ARBITRAGES!E101="","",ARBITRAGES!E101)</f>
        <v>45856</v>
      </c>
      <c r="N101" s="541">
        <f>IF(M101="","", SUM(A101:H101)+ARBITRAGES!$K$3)</f>
        <v>37467.52166</v>
      </c>
      <c r="O101" s="542">
        <f>IF(M101="","",PRIX!U101)</f>
        <v>59627.83598</v>
      </c>
      <c r="Q101" s="543">
        <f t="shared" si="1"/>
        <v>0.5914539672</v>
      </c>
      <c r="S101" s="544">
        <f t="shared" si="2"/>
        <v>22160.31432</v>
      </c>
    </row>
    <row r="102">
      <c r="A102" s="545">
        <f>IF($M102="","", IF(ARBITRAGES!$G102&gt;0,IF(ARBITRAGES!$H102="btc",A101+ARBITRAGES!$G102,A101),A101))</f>
        <v>5999.429056</v>
      </c>
      <c r="B102" s="545">
        <f>IF($M102="","", IF(ARBITRAGES!$G102&gt;0,IF(ARBITRAGES!$H102="eth",B101+ARBITRAGES!$G102,B101),B101))</f>
        <v>5059.398762</v>
      </c>
      <c r="C102" s="545">
        <f>IF($M102="","", IF(ARBITRAGES!$G102&gt;0,IF(ARBITRAGES!$H102="ton",C101+ARBITRAGES!$G102,C101),C101))</f>
        <v>0</v>
      </c>
      <c r="D102" s="545">
        <f>IF($M102="","", IF(ARBITRAGES!$G102&gt;0,IF(ARBITRAGES!$H102="sol",D101+ARBITRAGES!$G102,D101),D101))</f>
        <v>4858.693837</v>
      </c>
      <c r="E102" s="545">
        <f>IF($M102="","", IF(ARBITRAGES!$G102&gt;0,IF(ARBITRAGES!$H102="tao",E101+ARBITRAGES!$G102,E101),E101))</f>
        <v>0</v>
      </c>
      <c r="F102" s="545">
        <f>IF($M102="","", IF(ARBITRAGES!$G102&gt;0,IF(ARBITRAGES!$H102="ron",F101+ARBITRAGES!$G102,F101),F101))</f>
        <v>0</v>
      </c>
      <c r="G102" s="545">
        <f>IF($M102="","", IF(ARBITRAGES!$G102&gt;0,IF(ARBITRAGES!$H102="link",G101+ARBITRAGES!$G102,G101),G101))</f>
        <v>0</v>
      </c>
      <c r="H102" s="545">
        <f>IF($M102="","", IF(ARBITRAGES!$G102&gt;0,IF(ARBITRAGES!$H102="doge",H101+ARBITRAGES!$G102,H101),H101))</f>
        <v>0</v>
      </c>
      <c r="I102" s="545">
        <f t="shared" ref="I102:J102" si="76">IF(H102="","",I101)</f>
        <v>645.78248</v>
      </c>
      <c r="J102" s="545">
        <f t="shared" si="76"/>
        <v>244.016</v>
      </c>
      <c r="K102" s="545">
        <f>IF($M102="","", IF(ARBITRAGES!$G102&gt;0,IF(ARBITRAGES!$H102="*jup*",K101+ARBITRAGES!$G102,K101),K101))</f>
        <v>0</v>
      </c>
      <c r="L102" s="545">
        <f>IF($M102="","", IF(ARBITRAGES!$G102&gt;0,IF(ARBITRAGES!$H102="*aave*",L101+ARBITRAGES!$G102,L101),L101))</f>
        <v>0</v>
      </c>
      <c r="M102" s="540">
        <f>IF(ARBITRAGES!E102="","",ARBITRAGES!E102)</f>
        <v>45856</v>
      </c>
      <c r="N102" s="541">
        <f>IF(M102="","", SUM(A102:H102)+ARBITRAGES!$K$3)</f>
        <v>37467.52166</v>
      </c>
      <c r="O102" s="542">
        <f>IF(M102="","",PRIX!U102)</f>
        <v>59793.41733</v>
      </c>
      <c r="Q102" s="543">
        <f t="shared" si="1"/>
        <v>0.5958732973</v>
      </c>
      <c r="S102" s="544">
        <f t="shared" si="2"/>
        <v>22325.89567</v>
      </c>
    </row>
    <row r="103">
      <c r="A103" s="545">
        <f>IF($M103="","", IF(ARBITRAGES!$G103&gt;0,IF(ARBITRAGES!$H103="btc",A102+ARBITRAGES!$G103,A102),A102))</f>
        <v>5999.429056</v>
      </c>
      <c r="B103" s="545">
        <f>IF($M103="","", IF(ARBITRAGES!$G103&gt;0,IF(ARBITRAGES!$H103="eth",B102+ARBITRAGES!$G103,B102),B102))</f>
        <v>5059.398762</v>
      </c>
      <c r="C103" s="545">
        <f>IF($M103="","", IF(ARBITRAGES!$G103&gt;0,IF(ARBITRAGES!$H103="ton",C102+ARBITRAGES!$G103,C102),C102))</f>
        <v>0</v>
      </c>
      <c r="D103" s="545">
        <f>IF($M103="","", IF(ARBITRAGES!$G103&gt;0,IF(ARBITRAGES!$H103="sol",D102+ARBITRAGES!$G103,D102),D102))</f>
        <v>4858.693837</v>
      </c>
      <c r="E103" s="545">
        <f>IF($M103="","", IF(ARBITRAGES!$G103&gt;0,IF(ARBITRAGES!$H103="tao",E102+ARBITRAGES!$G103,E102),E102))</f>
        <v>0</v>
      </c>
      <c r="F103" s="545">
        <f>IF($M103="","", IF(ARBITRAGES!$G103&gt;0,IF(ARBITRAGES!$H103="ron",F102+ARBITRAGES!$G103,F102),F102))</f>
        <v>0</v>
      </c>
      <c r="G103" s="545">
        <f>IF($M103="","", IF(ARBITRAGES!$G103&gt;0,IF(ARBITRAGES!$H103="link",G102+ARBITRAGES!$G103,G102),G102))</f>
        <v>0</v>
      </c>
      <c r="H103" s="545">
        <f>IF($M103="","", IF(ARBITRAGES!$G103&gt;0,IF(ARBITRAGES!$H103="doge",H102+ARBITRAGES!$G103,H102),H102))</f>
        <v>0</v>
      </c>
      <c r="I103" s="545">
        <f t="shared" ref="I103:J103" si="77">IF(H103="","",I102)</f>
        <v>645.78248</v>
      </c>
      <c r="J103" s="545">
        <f t="shared" si="77"/>
        <v>244.016</v>
      </c>
      <c r="K103" s="545">
        <f>IF($M103="","", IF(ARBITRAGES!$G103&gt;0,IF(ARBITRAGES!$H103="*jup*",K102+ARBITRAGES!$G103,K102),K102))</f>
        <v>0</v>
      </c>
      <c r="L103" s="545">
        <f>IF($M103="","", IF(ARBITRAGES!$G103&gt;0,IF(ARBITRAGES!$H103="*aave*",L102+ARBITRAGES!$G103,L102),L102))</f>
        <v>0</v>
      </c>
      <c r="M103" s="540">
        <f>IF(ARBITRAGES!E103="","",ARBITRAGES!E103)</f>
        <v>45857</v>
      </c>
      <c r="N103" s="541">
        <f>IF(M103="","", SUM(A103:H103)+ARBITRAGES!$K$3)</f>
        <v>37467.52166</v>
      </c>
      <c r="O103" s="542">
        <f>IF(M103="","",PRIX!U103)</f>
        <v>59959.08351</v>
      </c>
      <c r="Q103" s="543">
        <f t="shared" si="1"/>
        <v>0.6002948917</v>
      </c>
      <c r="S103" s="544">
        <f t="shared" si="2"/>
        <v>22491.56185</v>
      </c>
    </row>
    <row r="104">
      <c r="A104" s="545">
        <f>IF($M104="","", IF(ARBITRAGES!$G104&gt;0,IF(ARBITRAGES!$H104="btc",A103+ARBITRAGES!$G104,A103),A103))</f>
        <v>5999.429056</v>
      </c>
      <c r="B104" s="545">
        <f>IF($M104="","", IF(ARBITRAGES!$G104&gt;0,IF(ARBITRAGES!$H104="eth",B103+ARBITRAGES!$G104,B103),B103))</f>
        <v>5059.398762</v>
      </c>
      <c r="C104" s="545">
        <f>IF($M104="","", IF(ARBITRAGES!$G104&gt;0,IF(ARBITRAGES!$H104="ton",C103+ARBITRAGES!$G104,C103),C103))</f>
        <v>0</v>
      </c>
      <c r="D104" s="545">
        <f>IF($M104="","", IF(ARBITRAGES!$G104&gt;0,IF(ARBITRAGES!$H104="sol",D103+ARBITRAGES!$G104,D103),D103))</f>
        <v>4858.693837</v>
      </c>
      <c r="E104" s="545">
        <f>IF($M104="","", IF(ARBITRAGES!$G104&gt;0,IF(ARBITRAGES!$H104="tao",E103+ARBITRAGES!$G104,E103),E103))</f>
        <v>0</v>
      </c>
      <c r="F104" s="545">
        <f>IF($M104="","", IF(ARBITRAGES!$G104&gt;0,IF(ARBITRAGES!$H104="ron",F103+ARBITRAGES!$G104,F103),F103))</f>
        <v>0</v>
      </c>
      <c r="G104" s="545">
        <f>IF($M104="","", IF(ARBITRAGES!$G104&gt;0,IF(ARBITRAGES!$H104="link",G103+ARBITRAGES!$G104,G103),G103))</f>
        <v>0</v>
      </c>
      <c r="H104" s="545">
        <f>IF($M104="","", IF(ARBITRAGES!$G104&gt;0,IF(ARBITRAGES!$H104="doge",H103+ARBITRAGES!$G104,H103),H103))</f>
        <v>0</v>
      </c>
      <c r="I104" s="545">
        <f t="shared" ref="I104:J104" si="78">IF(H104="","",I103)</f>
        <v>645.78248</v>
      </c>
      <c r="J104" s="545">
        <f t="shared" si="78"/>
        <v>244.016</v>
      </c>
      <c r="K104" s="545">
        <f>IF($M104="","", IF(ARBITRAGES!$G104&gt;0,IF(ARBITRAGES!$H104="*jup*",K103+ARBITRAGES!$G104,K103),K103))</f>
        <v>0</v>
      </c>
      <c r="L104" s="545">
        <f>IF($M104="","", IF(ARBITRAGES!$G104&gt;0,IF(ARBITRAGES!$H104="*aave*",L103+ARBITRAGES!$G104,L103),L103))</f>
        <v>0</v>
      </c>
      <c r="M104" s="540">
        <f>IF(ARBITRAGES!E104="","",ARBITRAGES!E104)</f>
        <v>45858</v>
      </c>
      <c r="N104" s="541">
        <f>IF(M104="","", SUM(A104:H104)+ARBITRAGES!$K$3)</f>
        <v>37467.52166</v>
      </c>
      <c r="O104" s="542">
        <f>IF(M104="","",PRIX!U104)</f>
        <v>60002.07732</v>
      </c>
      <c r="Q104" s="543">
        <f t="shared" si="1"/>
        <v>0.6014423873</v>
      </c>
      <c r="S104" s="544">
        <f t="shared" si="2"/>
        <v>22534.55567</v>
      </c>
    </row>
    <row r="105">
      <c r="A105" s="545">
        <f>IF($M105="","", IF(ARBITRAGES!$G105&gt;0,IF(ARBITRAGES!$H105="btc",A104+ARBITRAGES!$G105,A104),A104))</f>
        <v>5999.429056</v>
      </c>
      <c r="B105" s="545">
        <f>IF($M105="","", IF(ARBITRAGES!$G105&gt;0,IF(ARBITRAGES!$H105="eth",B104+ARBITRAGES!$G105,B104),B104))</f>
        <v>5059.398762</v>
      </c>
      <c r="C105" s="545">
        <f>IF($M105="","", IF(ARBITRAGES!$G105&gt;0,IF(ARBITRAGES!$H105="ton",C104+ARBITRAGES!$G105,C104),C104))</f>
        <v>0</v>
      </c>
      <c r="D105" s="545">
        <f>IF($M105="","", IF(ARBITRAGES!$G105&gt;0,IF(ARBITRAGES!$H105="sol",D104+ARBITRAGES!$G105,D104),D104))</f>
        <v>4858.693837</v>
      </c>
      <c r="E105" s="545">
        <f>IF($M105="","", IF(ARBITRAGES!$G105&gt;0,IF(ARBITRAGES!$H105="tao",E104+ARBITRAGES!$G105,E104),E104))</f>
        <v>0</v>
      </c>
      <c r="F105" s="545">
        <f>IF($M105="","", IF(ARBITRAGES!$G105&gt;0,IF(ARBITRAGES!$H105="ron",F104+ARBITRAGES!$G105,F104),F104))</f>
        <v>0</v>
      </c>
      <c r="G105" s="545">
        <f>IF($M105="","", IF(ARBITRAGES!$G105&gt;0,IF(ARBITRAGES!$H105="link",G104+ARBITRAGES!$G105,G104),G104))</f>
        <v>0</v>
      </c>
      <c r="H105" s="545">
        <f>IF($M105="","", IF(ARBITRAGES!$G105&gt;0,IF(ARBITRAGES!$H105="doge",H104+ARBITRAGES!$G105,H104),H104))</f>
        <v>0</v>
      </c>
      <c r="I105" s="545">
        <f t="shared" ref="I105:J105" si="79">IF(H105="","",I104)</f>
        <v>645.78248</v>
      </c>
      <c r="J105" s="545">
        <f t="shared" si="79"/>
        <v>244.016</v>
      </c>
      <c r="K105" s="545">
        <f>IF($M105="","", IF(ARBITRAGES!$G105&gt;0,IF(ARBITRAGES!$H105="*jup*",K104+ARBITRAGES!$G105,K104),K104))</f>
        <v>0</v>
      </c>
      <c r="L105" s="545">
        <f>IF($M105="","", IF(ARBITRAGES!$G105&gt;0,IF(ARBITRAGES!$H105="*aave*",L104+ARBITRAGES!$G105,L104),L104))</f>
        <v>0</v>
      </c>
      <c r="M105" s="540">
        <f>IF(ARBITRAGES!E105="","",ARBITRAGES!E105)</f>
        <v>45858</v>
      </c>
      <c r="N105" s="541">
        <f>IF(M105="","", SUM(A105:H105)+ARBITRAGES!$K$3)</f>
        <v>37467.52166</v>
      </c>
      <c r="O105" s="542">
        <f>IF(M105="","",PRIX!U105)</f>
        <v>60004.08732</v>
      </c>
      <c r="Q105" s="543">
        <f t="shared" si="1"/>
        <v>0.6014960337</v>
      </c>
      <c r="S105" s="544">
        <f t="shared" si="2"/>
        <v>22536.56567</v>
      </c>
    </row>
    <row r="106">
      <c r="A106" s="545">
        <f>IF($M106="","", IF(ARBITRAGES!$G106&gt;0,IF(ARBITRAGES!$H106="btc",A105+ARBITRAGES!$G106,A105),A105))</f>
        <v>5999.429056</v>
      </c>
      <c r="B106" s="545">
        <f>IF($M106="","", IF(ARBITRAGES!$G106&gt;0,IF(ARBITRAGES!$H106="eth",B105+ARBITRAGES!$G106,B105),B105))</f>
        <v>5059.398762</v>
      </c>
      <c r="C106" s="545">
        <f>IF($M106="","", IF(ARBITRAGES!$G106&gt;0,IF(ARBITRAGES!$H106="ton",C105+ARBITRAGES!$G106,C105),C105))</f>
        <v>0</v>
      </c>
      <c r="D106" s="545">
        <f>IF($M106="","", IF(ARBITRAGES!$G106&gt;0,IF(ARBITRAGES!$H106="sol",D105+ARBITRAGES!$G106,D105),D105))</f>
        <v>4858.693837</v>
      </c>
      <c r="E106" s="545">
        <f>IF($M106="","", IF(ARBITRAGES!$G106&gt;0,IF(ARBITRAGES!$H106="tao",E105+ARBITRAGES!$G106,E105),E105))</f>
        <v>0</v>
      </c>
      <c r="F106" s="545">
        <f>IF($M106="","", IF(ARBITRAGES!$G106&gt;0,IF(ARBITRAGES!$H106="ron",F105+ARBITRAGES!$G106,F105),F105))</f>
        <v>0</v>
      </c>
      <c r="G106" s="545">
        <f>IF($M106="","", IF(ARBITRAGES!$G106&gt;0,IF(ARBITRAGES!$H106="link",G105+ARBITRAGES!$G106,G105),G105))</f>
        <v>0</v>
      </c>
      <c r="H106" s="545">
        <f>IF($M106="","", IF(ARBITRAGES!$G106&gt;0,IF(ARBITRAGES!$H106="doge",H105+ARBITRAGES!$G106,H105),H105))</f>
        <v>0</v>
      </c>
      <c r="I106" s="545">
        <f t="shared" ref="I106:J106" si="80">IF(H106="","",I105)</f>
        <v>645.78248</v>
      </c>
      <c r="J106" s="545">
        <f t="shared" si="80"/>
        <v>244.016</v>
      </c>
      <c r="K106" s="545">
        <f>IF($M106="","", IF(ARBITRAGES!$G106&gt;0,IF(ARBITRAGES!$H106="*jup*",K105+ARBITRAGES!$G106,K105),K105))</f>
        <v>0</v>
      </c>
      <c r="L106" s="545">
        <f>IF($M106="","", IF(ARBITRAGES!$G106&gt;0,IF(ARBITRAGES!$H106="*aave*",L105+ARBITRAGES!$G106,L105),L105))</f>
        <v>0</v>
      </c>
      <c r="M106" s="540">
        <f>IF(ARBITRAGES!E106="","",ARBITRAGES!E106)</f>
        <v>45858</v>
      </c>
      <c r="N106" s="541">
        <f>IF(M106="","", SUM(A106:H106)+ARBITRAGES!$K$3)</f>
        <v>37467.52166</v>
      </c>
      <c r="O106" s="542">
        <f>IF(M106="","",PRIX!U106)</f>
        <v>60009.08732</v>
      </c>
      <c r="Q106" s="543">
        <f t="shared" si="1"/>
        <v>0.6016294826</v>
      </c>
      <c r="S106" s="544">
        <f t="shared" si="2"/>
        <v>22541.56567</v>
      </c>
    </row>
    <row r="107">
      <c r="A107" s="545">
        <f>IF($M107="","", IF(ARBITRAGES!$G107&gt;0,IF(ARBITRAGES!$H107="btc",A106+ARBITRAGES!$G107,A106),A106))</f>
        <v>5999.429056</v>
      </c>
      <c r="B107" s="545">
        <f>IF($M107="","", IF(ARBITRAGES!$G107&gt;0,IF(ARBITRAGES!$H107="eth",B106+ARBITRAGES!$G107,B106),B106))</f>
        <v>5059.398762</v>
      </c>
      <c r="C107" s="545">
        <f>IF($M107="","", IF(ARBITRAGES!$G107&gt;0,IF(ARBITRAGES!$H107="ton",C106+ARBITRAGES!$G107,C106),C106))</f>
        <v>0</v>
      </c>
      <c r="D107" s="545">
        <f>IF($M107="","", IF(ARBITRAGES!$G107&gt;0,IF(ARBITRAGES!$H107="sol",D106+ARBITRAGES!$G107,D106),D106))</f>
        <v>4858.693837</v>
      </c>
      <c r="E107" s="545">
        <f>IF($M107="","", IF(ARBITRAGES!$G107&gt;0,IF(ARBITRAGES!$H107="tao",E106+ARBITRAGES!$G107,E106),E106))</f>
        <v>0</v>
      </c>
      <c r="F107" s="545">
        <f>IF($M107="","", IF(ARBITRAGES!$G107&gt;0,IF(ARBITRAGES!$H107="ron",F106+ARBITRAGES!$G107,F106),F106))</f>
        <v>0</v>
      </c>
      <c r="G107" s="545">
        <f>IF($M107="","", IF(ARBITRAGES!$G107&gt;0,IF(ARBITRAGES!$H107="link",G106+ARBITRAGES!$G107,G106),G106))</f>
        <v>0</v>
      </c>
      <c r="H107" s="545">
        <f>IF($M107="","", IF(ARBITRAGES!$G107&gt;0,IF(ARBITRAGES!$H107="doge",H106+ARBITRAGES!$G107,H106),H106))</f>
        <v>0</v>
      </c>
      <c r="I107" s="545">
        <f t="shared" ref="I107:J107" si="81">IF(H107="","",I106)</f>
        <v>645.78248</v>
      </c>
      <c r="J107" s="545">
        <f t="shared" si="81"/>
        <v>244.016</v>
      </c>
      <c r="K107" s="545">
        <f>IF($M107="","", IF(ARBITRAGES!$G107&gt;0,IF(ARBITRAGES!$H107="*jup*",K106+ARBITRAGES!$G107,K106),K106))</f>
        <v>0</v>
      </c>
      <c r="L107" s="545">
        <f>IF($M107="","", IF(ARBITRAGES!$G107&gt;0,IF(ARBITRAGES!$H107="*aave*",L106+ARBITRAGES!$G107,L106),L106))</f>
        <v>0</v>
      </c>
      <c r="M107" s="540">
        <f>IF(ARBITRAGES!E107="","",ARBITRAGES!E107)</f>
        <v>45858</v>
      </c>
      <c r="N107" s="541">
        <f>IF(M107="","", SUM(A107:H107)+ARBITRAGES!$K$3)</f>
        <v>37467.52166</v>
      </c>
      <c r="O107" s="542">
        <f>IF(M107="","",PRIX!U107)</f>
        <v>60012.62328</v>
      </c>
      <c r="Q107" s="543">
        <f t="shared" si="1"/>
        <v>0.6017238564</v>
      </c>
      <c r="S107" s="544">
        <f t="shared" si="2"/>
        <v>22545.10162</v>
      </c>
    </row>
    <row r="108">
      <c r="A108" s="545">
        <f>IF($M108="","", IF(ARBITRAGES!$G108&gt;0,IF(ARBITRAGES!$H108="btc",A107+ARBITRAGES!$G108,A107),A107))</f>
        <v>5999.429056</v>
      </c>
      <c r="B108" s="545">
        <f>IF($M108="","", IF(ARBITRAGES!$G108&gt;0,IF(ARBITRAGES!$H108="eth",B107+ARBITRAGES!$G108,B107),B107))</f>
        <v>5059.398762</v>
      </c>
      <c r="C108" s="545">
        <f>IF($M108="","", IF(ARBITRAGES!$G108&gt;0,IF(ARBITRAGES!$H108="ton",C107+ARBITRAGES!$G108,C107),C107))</f>
        <v>0</v>
      </c>
      <c r="D108" s="545">
        <f>IF($M108="","", IF(ARBITRAGES!$G108&gt;0,IF(ARBITRAGES!$H108="sol",D107+ARBITRAGES!$G108,D107),D107))</f>
        <v>4858.693837</v>
      </c>
      <c r="E108" s="545">
        <f>IF($M108="","", IF(ARBITRAGES!$G108&gt;0,IF(ARBITRAGES!$H108="tao",E107+ARBITRAGES!$G108,E107),E107))</f>
        <v>0</v>
      </c>
      <c r="F108" s="545">
        <f>IF($M108="","", IF(ARBITRAGES!$G108&gt;0,IF(ARBITRAGES!$H108="ron",F107+ARBITRAGES!$G108,F107),F107))</f>
        <v>0</v>
      </c>
      <c r="G108" s="545">
        <f>IF($M108="","", IF(ARBITRAGES!$G108&gt;0,IF(ARBITRAGES!$H108="link",G107+ARBITRAGES!$G108,G107),G107))</f>
        <v>0</v>
      </c>
      <c r="H108" s="545">
        <f>IF($M108="","", IF(ARBITRAGES!$G108&gt;0,IF(ARBITRAGES!$H108="doge",H107+ARBITRAGES!$G108,H107),H107))</f>
        <v>0</v>
      </c>
      <c r="I108" s="545">
        <f t="shared" ref="I108:J108" si="82">IF(H108="","",I107)</f>
        <v>645.78248</v>
      </c>
      <c r="J108" s="545">
        <f t="shared" si="82"/>
        <v>244.016</v>
      </c>
      <c r="K108" s="545">
        <f>IF($M108="","", IF(ARBITRAGES!$G108&gt;0,IF(ARBITRAGES!$H108="*jup*",K107+ARBITRAGES!$G108,K107),K107))</f>
        <v>0</v>
      </c>
      <c r="L108" s="545">
        <f>IF($M108="","", IF(ARBITRAGES!$G108&gt;0,IF(ARBITRAGES!$H108="*aave*",L107+ARBITRAGES!$G108,L107),L107))</f>
        <v>0</v>
      </c>
      <c r="M108" s="540">
        <f>IF(ARBITRAGES!E108="","",ARBITRAGES!E108)</f>
        <v>45859</v>
      </c>
      <c r="N108" s="541">
        <f>IF(M108="","", SUM(A108:H108)+ARBITRAGES!$K$3)</f>
        <v>37467.52166</v>
      </c>
      <c r="O108" s="542">
        <f>IF(M108="","",PRIX!U108)</f>
        <v>60313.6292</v>
      </c>
      <c r="Q108" s="543">
        <f t="shared" si="1"/>
        <v>0.6097576391</v>
      </c>
      <c r="S108" s="544">
        <f t="shared" si="2"/>
        <v>22846.10755</v>
      </c>
    </row>
    <row r="109">
      <c r="A109" s="545">
        <f>IF($M109="","", IF(ARBITRAGES!$G109&gt;0,IF(ARBITRAGES!$H109="btc",A108+ARBITRAGES!$G109,A108),A108))</f>
        <v>5999.429056</v>
      </c>
      <c r="B109" s="545">
        <f>IF($M109="","", IF(ARBITRAGES!$G109&gt;0,IF(ARBITRAGES!$H109="eth",B108+ARBITRAGES!$G109,B108),B108))</f>
        <v>5059.398762</v>
      </c>
      <c r="C109" s="545">
        <f>IF($M109="","", IF(ARBITRAGES!$G109&gt;0,IF(ARBITRAGES!$H109="ton",C108+ARBITRAGES!$G109,C108),C108))</f>
        <v>0</v>
      </c>
      <c r="D109" s="545">
        <f>IF($M109="","", IF(ARBITRAGES!$G109&gt;0,IF(ARBITRAGES!$H109="sol",D108+ARBITRAGES!$G109,D108),D108))</f>
        <v>4858.693837</v>
      </c>
      <c r="E109" s="545">
        <f>IF($M109="","", IF(ARBITRAGES!$G109&gt;0,IF(ARBITRAGES!$H109="tao",E108+ARBITRAGES!$G109,E108),E108))</f>
        <v>0</v>
      </c>
      <c r="F109" s="545">
        <f>IF($M109="","", IF(ARBITRAGES!$G109&gt;0,IF(ARBITRAGES!$H109="ron",F108+ARBITRAGES!$G109,F108),F108))</f>
        <v>0</v>
      </c>
      <c r="G109" s="545">
        <f>IF($M109="","", IF(ARBITRAGES!$G109&gt;0,IF(ARBITRAGES!$H109="link",G108+ARBITRAGES!$G109,G108),G108))</f>
        <v>0</v>
      </c>
      <c r="H109" s="545">
        <f>IF($M109="","", IF(ARBITRAGES!$G109&gt;0,IF(ARBITRAGES!$H109="doge",H108+ARBITRAGES!$G109,H108),H108))</f>
        <v>0</v>
      </c>
      <c r="I109" s="545">
        <f t="shared" ref="I109:J109" si="83">IF(H109="","",I108)</f>
        <v>645.78248</v>
      </c>
      <c r="J109" s="545">
        <f t="shared" si="83"/>
        <v>244.016</v>
      </c>
      <c r="K109" s="545">
        <f>IF($M109="","", IF(ARBITRAGES!$G109&gt;0,IF(ARBITRAGES!$H109="*jup*",K108+ARBITRAGES!$G109,K108),K108))</f>
        <v>0</v>
      </c>
      <c r="L109" s="545">
        <f>IF($M109="","", IF(ARBITRAGES!$G109&gt;0,IF(ARBITRAGES!$H109="*aave*",L108+ARBITRAGES!$G109,L108),L108))</f>
        <v>0</v>
      </c>
      <c r="M109" s="540">
        <f>IF(ARBITRAGES!E109="","",ARBITRAGES!E109)</f>
        <v>45860</v>
      </c>
      <c r="N109" s="541">
        <f>IF(M109="","", SUM(A109:H109)+ARBITRAGES!$K$3)</f>
        <v>37467.52166</v>
      </c>
      <c r="O109" s="542">
        <f>IF(M109="","",PRIX!U109)</f>
        <v>57734.626</v>
      </c>
      <c r="Q109" s="543">
        <f t="shared" si="1"/>
        <v>0.5409246049</v>
      </c>
      <c r="S109" s="544">
        <f t="shared" si="2"/>
        <v>20267.10435</v>
      </c>
    </row>
    <row r="110">
      <c r="A110" s="545">
        <f>IF($M110="","", IF(ARBITRAGES!$G110&gt;0,IF(ARBITRAGES!$H110="btc",A109+ARBITRAGES!$G110,A109),A109))</f>
        <v>5999.429056</v>
      </c>
      <c r="B110" s="545">
        <f>IF($M110="","", IF(ARBITRAGES!$G110&gt;0,IF(ARBITRAGES!$H110="eth",B109+ARBITRAGES!$G110,B109),B109))</f>
        <v>5059.398762</v>
      </c>
      <c r="C110" s="545">
        <f>IF($M110="","", IF(ARBITRAGES!$G110&gt;0,IF(ARBITRAGES!$H110="ton",C109+ARBITRAGES!$G110,C109),C109))</f>
        <v>0</v>
      </c>
      <c r="D110" s="545">
        <f>IF($M110="","", IF(ARBITRAGES!$G110&gt;0,IF(ARBITRAGES!$H110="sol",D109+ARBITRAGES!$G110,D109),D109))</f>
        <v>4858.693837</v>
      </c>
      <c r="E110" s="545">
        <f>IF($M110="","", IF(ARBITRAGES!$G110&gt;0,IF(ARBITRAGES!$H110="tao",E109+ARBITRAGES!$G110,E109),E109))</f>
        <v>0</v>
      </c>
      <c r="F110" s="545">
        <f>IF($M110="","", IF(ARBITRAGES!$G110&gt;0,IF(ARBITRAGES!$H110="ron",F109+ARBITRAGES!$G110,F109),F109))</f>
        <v>0</v>
      </c>
      <c r="G110" s="545">
        <f>IF($M110="","", IF(ARBITRAGES!$G110&gt;0,IF(ARBITRAGES!$H110="link",G109+ARBITRAGES!$G110,G109),G109))</f>
        <v>0</v>
      </c>
      <c r="H110" s="545">
        <f>IF($M110="","", IF(ARBITRAGES!$G110&gt;0,IF(ARBITRAGES!$H110="doge",H109+ARBITRAGES!$G110,H109),H109))</f>
        <v>0</v>
      </c>
      <c r="I110" s="545">
        <f t="shared" ref="I110:J110" si="84">IF(H110="","",I109)</f>
        <v>645.78248</v>
      </c>
      <c r="J110" s="545">
        <f t="shared" si="84"/>
        <v>244.016</v>
      </c>
      <c r="K110" s="545">
        <f>IF($M110="","", IF(ARBITRAGES!$G110&gt;0,IF(ARBITRAGES!$H110="*jup*",K109+ARBITRAGES!$G110,K109),K109))</f>
        <v>0</v>
      </c>
      <c r="L110" s="545">
        <f>IF($M110="","", IF(ARBITRAGES!$G110&gt;0,IF(ARBITRAGES!$H110="*aave*",L109+ARBITRAGES!$G110,L109),L109))</f>
        <v>0</v>
      </c>
      <c r="M110" s="540">
        <f>IF(ARBITRAGES!E110="","",ARBITRAGES!E110)</f>
        <v>45861</v>
      </c>
      <c r="N110" s="541">
        <f>IF(M110="","", SUM(A110:H110)+ARBITRAGES!$K$3)</f>
        <v>37467.52166</v>
      </c>
      <c r="O110" s="542">
        <f>IF(M110="","",PRIX!U110)</f>
        <v>57751.126</v>
      </c>
      <c r="Q110" s="543">
        <f t="shared" si="1"/>
        <v>0.5413649863</v>
      </c>
      <c r="S110" s="544">
        <f t="shared" si="2"/>
        <v>20283.60435</v>
      </c>
    </row>
    <row r="111">
      <c r="A111" s="545">
        <f>IF($M111="","", IF(ARBITRAGES!$G111&gt;0,IF(ARBITRAGES!$H111="btc",A110+ARBITRAGES!$G111,A110),A110))</f>
        <v>5999.429056</v>
      </c>
      <c r="B111" s="545">
        <f>IF($M111="","", IF(ARBITRAGES!$G111&gt;0,IF(ARBITRAGES!$H111="eth",B110+ARBITRAGES!$G111,B110),B110))</f>
        <v>5059.398762</v>
      </c>
      <c r="C111" s="545">
        <f>IF($M111="","", IF(ARBITRAGES!$G111&gt;0,IF(ARBITRAGES!$H111="ton",C110+ARBITRAGES!$G111,C110),C110))</f>
        <v>0</v>
      </c>
      <c r="D111" s="545">
        <f>IF($M111="","", IF(ARBITRAGES!$G111&gt;0,IF(ARBITRAGES!$H111="sol",D110+ARBITRAGES!$G111,D110),D110))</f>
        <v>4858.693837</v>
      </c>
      <c r="E111" s="545">
        <f>IF($M111="","", IF(ARBITRAGES!$G111&gt;0,IF(ARBITRAGES!$H111="tao",E110+ARBITRAGES!$G111,E110),E110))</f>
        <v>0</v>
      </c>
      <c r="F111" s="545">
        <f>IF($M111="","", IF(ARBITRAGES!$G111&gt;0,IF(ARBITRAGES!$H111="ron",F110+ARBITRAGES!$G111,F110),F110))</f>
        <v>0</v>
      </c>
      <c r="G111" s="545">
        <f>IF($M111="","", IF(ARBITRAGES!$G111&gt;0,IF(ARBITRAGES!$H111="link",G110+ARBITRAGES!$G111,G110),G110))</f>
        <v>0</v>
      </c>
      <c r="H111" s="545">
        <f>IF($M111="","", IF(ARBITRAGES!$G111&gt;0,IF(ARBITRAGES!$H111="doge",H110+ARBITRAGES!$G111,H110),H110))</f>
        <v>0</v>
      </c>
      <c r="I111" s="545">
        <f t="shared" ref="I111:J111" si="85">IF(H111="","",I110)</f>
        <v>645.78248</v>
      </c>
      <c r="J111" s="545">
        <f t="shared" si="85"/>
        <v>244.016</v>
      </c>
      <c r="K111" s="545">
        <f>IF($M111="","", IF(ARBITRAGES!$G111&gt;0,IF(ARBITRAGES!$H111="*jup*",K110+ARBITRAGES!$G111,K110),K110))</f>
        <v>0</v>
      </c>
      <c r="L111" s="545">
        <f>IF($M111="","", IF(ARBITRAGES!$G111&gt;0,IF(ARBITRAGES!$H111="*aave*",L110+ARBITRAGES!$G111,L110),L110))</f>
        <v>0</v>
      </c>
      <c r="M111" s="540">
        <f>IF(ARBITRAGES!E111="","",ARBITRAGES!E111)</f>
        <v>45863</v>
      </c>
      <c r="N111" s="541">
        <f>IF(M111="","", SUM(A111:H111)+ARBITRAGES!$K$3)</f>
        <v>37467.52166</v>
      </c>
      <c r="O111" s="542">
        <f>IF(M111="","",PRIX!U111)</f>
        <v>59204.67145</v>
      </c>
      <c r="Q111" s="543">
        <f t="shared" si="1"/>
        <v>0.5801597979</v>
      </c>
      <c r="S111" s="544">
        <f t="shared" si="2"/>
        <v>21737.14979</v>
      </c>
    </row>
    <row r="112">
      <c r="A112" s="545">
        <f>IF($M112="","", IF(ARBITRAGES!$G112&gt;0,IF(ARBITRAGES!$H112="btc",A111+ARBITRAGES!$G112,A111),A111))</f>
        <v>5999.429056</v>
      </c>
      <c r="B112" s="545">
        <f>IF($M112="","", IF(ARBITRAGES!$G112&gt;0,IF(ARBITRAGES!$H112="eth",B111+ARBITRAGES!$G112,B111),B111))</f>
        <v>5059.398762</v>
      </c>
      <c r="C112" s="545">
        <f>IF($M112="","", IF(ARBITRAGES!$G112&gt;0,IF(ARBITRAGES!$H112="ton",C111+ARBITRAGES!$G112,C111),C111))</f>
        <v>0</v>
      </c>
      <c r="D112" s="545">
        <f>IF($M112="","", IF(ARBITRAGES!$G112&gt;0,IF(ARBITRAGES!$H112="sol",D111+ARBITRAGES!$G112,D111),D111))</f>
        <v>4858.693837</v>
      </c>
      <c r="E112" s="545">
        <f>IF($M112="","", IF(ARBITRAGES!$G112&gt;0,IF(ARBITRAGES!$H112="tao",E111+ARBITRAGES!$G112,E111),E111))</f>
        <v>0</v>
      </c>
      <c r="F112" s="545">
        <f>IF($M112="","", IF(ARBITRAGES!$G112&gt;0,IF(ARBITRAGES!$H112="ron",F111+ARBITRAGES!$G112,F111),F111))</f>
        <v>0</v>
      </c>
      <c r="G112" s="545">
        <f>IF($M112="","", IF(ARBITRAGES!$G112&gt;0,IF(ARBITRAGES!$H112="link",G111+ARBITRAGES!$G112,G111),G111))</f>
        <v>0</v>
      </c>
      <c r="H112" s="545">
        <f>IF($M112="","", IF(ARBITRAGES!$G112&gt;0,IF(ARBITRAGES!$H112="doge",H111+ARBITRAGES!$G112,H111),H111))</f>
        <v>0</v>
      </c>
      <c r="I112" s="545">
        <f t="shared" ref="I112:J112" si="86">IF(H112="","",I111)</f>
        <v>645.78248</v>
      </c>
      <c r="J112" s="545">
        <f t="shared" si="86"/>
        <v>244.016</v>
      </c>
      <c r="K112" s="545">
        <f>IF($M112="","", IF(ARBITRAGES!$G112&gt;0,IF(ARBITRAGES!$H112="*jup*",K111+ARBITRAGES!$G112,K111),K111))</f>
        <v>0</v>
      </c>
      <c r="L112" s="545">
        <f>IF($M112="","", IF(ARBITRAGES!$G112&gt;0,IF(ARBITRAGES!$H112="*aave*",L111+ARBITRAGES!$G112,L111),L111))</f>
        <v>0</v>
      </c>
      <c r="M112" s="540">
        <f>IF(ARBITRAGES!E112="","",ARBITRAGES!E112)</f>
        <v>45867</v>
      </c>
      <c r="N112" s="541">
        <f>IF(M112="","", SUM(A112:H112)+ARBITRAGES!$K$3)</f>
        <v>37467.52166</v>
      </c>
      <c r="O112" s="542">
        <f>IF(M112="","",PRIX!U112)</f>
        <v>60132.91956</v>
      </c>
      <c r="Q112" s="543">
        <f t="shared" si="1"/>
        <v>0.604934538</v>
      </c>
      <c r="S112" s="544">
        <f t="shared" si="2"/>
        <v>22665.3979</v>
      </c>
    </row>
    <row r="113">
      <c r="A113" s="545">
        <f>IF($M113="","", IF(ARBITRAGES!$G113&gt;0,IF(ARBITRAGES!$H113="btc",A112+ARBITRAGES!$G113,A112),A112))</f>
        <v>5999.429056</v>
      </c>
      <c r="B113" s="545">
        <f>IF($M113="","", IF(ARBITRAGES!$G113&gt;0,IF(ARBITRAGES!$H113="eth",B112+ARBITRAGES!$G113,B112),B112))</f>
        <v>5059.398762</v>
      </c>
      <c r="C113" s="545">
        <f>IF($M113="","", IF(ARBITRAGES!$G113&gt;0,IF(ARBITRAGES!$H113="ton",C112+ARBITRAGES!$G113,C112),C112))</f>
        <v>0</v>
      </c>
      <c r="D113" s="545">
        <f>IF($M113="","", IF(ARBITRAGES!$G113&gt;0,IF(ARBITRAGES!$H113="sol",D112+ARBITRAGES!$G113,D112),D112))</f>
        <v>4858.693837</v>
      </c>
      <c r="E113" s="545">
        <f>IF($M113="","", IF(ARBITRAGES!$G113&gt;0,IF(ARBITRAGES!$H113="tao",E112+ARBITRAGES!$G113,E112),E112))</f>
        <v>0</v>
      </c>
      <c r="F113" s="545">
        <f>IF($M113="","", IF(ARBITRAGES!$G113&gt;0,IF(ARBITRAGES!$H113="ron",F112+ARBITRAGES!$G113,F112),F112))</f>
        <v>0</v>
      </c>
      <c r="G113" s="545">
        <f>IF($M113="","", IF(ARBITRAGES!$G113&gt;0,IF(ARBITRAGES!$H113="link",G112+ARBITRAGES!$G113,G112),G112))</f>
        <v>0</v>
      </c>
      <c r="H113" s="545">
        <f>IF($M113="","", IF(ARBITRAGES!$G113&gt;0,IF(ARBITRAGES!$H113="doge",H112+ARBITRAGES!$G113,H112),H112))</f>
        <v>0</v>
      </c>
      <c r="I113" s="545">
        <f t="shared" ref="I113:J113" si="87">IF(H113="","",I112)</f>
        <v>645.78248</v>
      </c>
      <c r="J113" s="545">
        <f t="shared" si="87"/>
        <v>244.016</v>
      </c>
      <c r="K113" s="545">
        <f>IF($M113="","", IF(ARBITRAGES!$G113&gt;0,IF(ARBITRAGES!$H113="*jup*",K112+ARBITRAGES!$G113,K112),K112))</f>
        <v>0</v>
      </c>
      <c r="L113" s="545">
        <f>IF($M113="","", IF(ARBITRAGES!$G113&gt;0,IF(ARBITRAGES!$H113="*aave*",L112+ARBITRAGES!$G113,L112),L112))</f>
        <v>0</v>
      </c>
      <c r="M113" s="540">
        <f>IF(ARBITRAGES!E113="","",ARBITRAGES!E113)</f>
        <v>45868</v>
      </c>
      <c r="N113" s="541">
        <f>IF(M113="","", SUM(A113:H113)+ARBITRAGES!$K$3)</f>
        <v>37467.52166</v>
      </c>
      <c r="O113" s="542">
        <f>IF(M113="","",PRIX!U113)</f>
        <v>58941.80655</v>
      </c>
      <c r="Q113" s="543">
        <f t="shared" si="1"/>
        <v>0.573143991</v>
      </c>
      <c r="S113" s="544">
        <f t="shared" si="2"/>
        <v>21474.28489</v>
      </c>
    </row>
    <row r="114">
      <c r="A114" s="545">
        <f>IF($M114="","", IF(ARBITRAGES!$G114&gt;0,IF(ARBITRAGES!$H114="btc",A113+ARBITRAGES!$G114,A113),A113))</f>
        <v>5999.429056</v>
      </c>
      <c r="B114" s="545">
        <f>IF($M114="","", IF(ARBITRAGES!$G114&gt;0,IF(ARBITRAGES!$H114="eth",B113+ARBITRAGES!$G114,B113),B113))</f>
        <v>5059.398762</v>
      </c>
      <c r="C114" s="545">
        <f>IF($M114="","", IF(ARBITRAGES!$G114&gt;0,IF(ARBITRAGES!$H114="ton",C113+ARBITRAGES!$G114,C113),C113))</f>
        <v>0</v>
      </c>
      <c r="D114" s="545">
        <f>IF($M114="","", IF(ARBITRAGES!$G114&gt;0,IF(ARBITRAGES!$H114="sol",D113+ARBITRAGES!$G114,D113),D113))</f>
        <v>4858.693837</v>
      </c>
      <c r="E114" s="545">
        <f>IF($M114="","", IF(ARBITRAGES!$G114&gt;0,IF(ARBITRAGES!$H114="tao",E113+ARBITRAGES!$G114,E113),E113))</f>
        <v>0</v>
      </c>
      <c r="F114" s="545">
        <f>IF($M114="","", IF(ARBITRAGES!$G114&gt;0,IF(ARBITRAGES!$H114="ron",F113+ARBITRAGES!$G114,F113),F113))</f>
        <v>0</v>
      </c>
      <c r="G114" s="545">
        <f>IF($M114="","", IF(ARBITRAGES!$G114&gt;0,IF(ARBITRAGES!$H114="link",G113+ARBITRAGES!$G114,G113),G113))</f>
        <v>0</v>
      </c>
      <c r="H114" s="545">
        <f>IF($M114="","", IF(ARBITRAGES!$G114&gt;0,IF(ARBITRAGES!$H114="doge",H113+ARBITRAGES!$G114,H113),H113))</f>
        <v>0</v>
      </c>
      <c r="I114" s="545">
        <f t="shared" ref="I114:J114" si="88">IF(H114="","",I113)</f>
        <v>645.78248</v>
      </c>
      <c r="J114" s="545">
        <f t="shared" si="88"/>
        <v>244.016</v>
      </c>
      <c r="K114" s="545">
        <f>IF($M114="","", IF(ARBITRAGES!$G114&gt;0,IF(ARBITRAGES!$H114="*jup*",K113+ARBITRAGES!$G114,K113),K113))</f>
        <v>0</v>
      </c>
      <c r="L114" s="545">
        <f>IF($M114="","", IF(ARBITRAGES!$G114&gt;0,IF(ARBITRAGES!$H114="*aave*",L113+ARBITRAGES!$G114,L113),L113))</f>
        <v>0</v>
      </c>
      <c r="M114" s="540">
        <f>IF(ARBITRAGES!E114="","",ARBITRAGES!E114)</f>
        <v>45869</v>
      </c>
      <c r="N114" s="541">
        <f>IF(M114="","", SUM(A114:H114)+ARBITRAGES!$K$3)</f>
        <v>37467.52166</v>
      </c>
      <c r="O114" s="542">
        <f>IF(M114="","",PRIX!U114)</f>
        <v>56872.72876</v>
      </c>
      <c r="Q114" s="543">
        <f t="shared" si="1"/>
        <v>0.5179207551</v>
      </c>
      <c r="S114" s="544">
        <f t="shared" si="2"/>
        <v>19405.20711</v>
      </c>
    </row>
    <row r="115">
      <c r="A115" s="545">
        <f>IF($M115="","", IF(ARBITRAGES!$G115&gt;0,IF(ARBITRAGES!$H115="btc",A114+ARBITRAGES!$G115,A114),A114))</f>
        <v>5999.429056</v>
      </c>
      <c r="B115" s="545">
        <f>IF($M115="","", IF(ARBITRAGES!$G115&gt;0,IF(ARBITRAGES!$H115="eth",B114+ARBITRAGES!$G115,B114),B114))</f>
        <v>5059.398762</v>
      </c>
      <c r="C115" s="545">
        <f>IF($M115="","", IF(ARBITRAGES!$G115&gt;0,IF(ARBITRAGES!$H115="ton",C114+ARBITRAGES!$G115,C114),C114))</f>
        <v>0</v>
      </c>
      <c r="D115" s="545">
        <f>IF($M115="","", IF(ARBITRAGES!$G115&gt;0,IF(ARBITRAGES!$H115="sol",D114+ARBITRAGES!$G115,D114),D114))</f>
        <v>4858.693837</v>
      </c>
      <c r="E115" s="545">
        <f>IF($M115="","", IF(ARBITRAGES!$G115&gt;0,IF(ARBITRAGES!$H115="tao",E114+ARBITRAGES!$G115,E114),E114))</f>
        <v>0</v>
      </c>
      <c r="F115" s="545">
        <f>IF($M115="","", IF(ARBITRAGES!$G115&gt;0,IF(ARBITRAGES!$H115="ron",F114+ARBITRAGES!$G115,F114),F114))</f>
        <v>0</v>
      </c>
      <c r="G115" s="545">
        <f>IF($M115="","", IF(ARBITRAGES!$G115&gt;0,IF(ARBITRAGES!$H115="link",G114+ARBITRAGES!$G115,G114),G114))</f>
        <v>0</v>
      </c>
      <c r="H115" s="545">
        <f>IF($M115="","", IF(ARBITRAGES!$G115&gt;0,IF(ARBITRAGES!$H115="doge",H114+ARBITRAGES!$G115,H114),H114))</f>
        <v>0</v>
      </c>
      <c r="I115" s="545">
        <f t="shared" ref="I115:J115" si="89">IF(H115="","",I114)</f>
        <v>645.78248</v>
      </c>
      <c r="J115" s="545">
        <f t="shared" si="89"/>
        <v>244.016</v>
      </c>
      <c r="K115" s="545">
        <f>IF($M115="","", IF(ARBITRAGES!$G115&gt;0,IF(ARBITRAGES!$H115="*jup*",K114+ARBITRAGES!$G115,K114),K114))</f>
        <v>0</v>
      </c>
      <c r="L115" s="545">
        <f>IF($M115="","", IF(ARBITRAGES!$G115&gt;0,IF(ARBITRAGES!$H115="*aave*",L114+ARBITRAGES!$G115,L114),L114))</f>
        <v>0</v>
      </c>
      <c r="M115" s="540">
        <f>IF(ARBITRAGES!E115="","",ARBITRAGES!E115)</f>
        <v>45869</v>
      </c>
      <c r="N115" s="541">
        <f>IF(M115="","", SUM(A115:H115)+ARBITRAGES!$K$3)</f>
        <v>37467.52166</v>
      </c>
      <c r="O115" s="542">
        <f>IF(M115="","",PRIX!U115)</f>
        <v>56869.25376</v>
      </c>
      <c r="Q115" s="543">
        <f t="shared" si="1"/>
        <v>0.5178280081</v>
      </c>
      <c r="S115" s="544">
        <f t="shared" si="2"/>
        <v>19401.73211</v>
      </c>
    </row>
    <row r="116">
      <c r="A116" s="545">
        <f>IF($M116="","", IF(ARBITRAGES!$G116&gt;0,IF(ARBITRAGES!$H116="btc",A115+ARBITRAGES!$G116,A115),A115))</f>
        <v>5999.429056</v>
      </c>
      <c r="B116" s="545">
        <f>IF($M116="","", IF(ARBITRAGES!$G116&gt;0,IF(ARBITRAGES!$H116="eth",B115+ARBITRAGES!$G116,B115),B115))</f>
        <v>5059.398762</v>
      </c>
      <c r="C116" s="545">
        <f>IF($M116="","", IF(ARBITRAGES!$G116&gt;0,IF(ARBITRAGES!$H116="ton",C115+ARBITRAGES!$G116,C115),C115))</f>
        <v>0</v>
      </c>
      <c r="D116" s="545">
        <f>IF($M116="","", IF(ARBITRAGES!$G116&gt;0,IF(ARBITRAGES!$H116="sol",D115+ARBITRAGES!$G116,D115),D115))</f>
        <v>4858.693837</v>
      </c>
      <c r="E116" s="545">
        <f>IF($M116="","", IF(ARBITRAGES!$G116&gt;0,IF(ARBITRAGES!$H116="tao",E115+ARBITRAGES!$G116,E115),E115))</f>
        <v>0</v>
      </c>
      <c r="F116" s="545">
        <f>IF($M116="","", IF(ARBITRAGES!$G116&gt;0,IF(ARBITRAGES!$H116="ron",F115+ARBITRAGES!$G116,F115),F115))</f>
        <v>0</v>
      </c>
      <c r="G116" s="545">
        <f>IF($M116="","", IF(ARBITRAGES!$G116&gt;0,IF(ARBITRAGES!$H116="link",G115+ARBITRAGES!$G116,G115),G115))</f>
        <v>0</v>
      </c>
      <c r="H116" s="545">
        <f>IF($M116="","", IF(ARBITRAGES!$G116&gt;0,IF(ARBITRAGES!$H116="doge",H115+ARBITRAGES!$G116,H115),H115))</f>
        <v>0</v>
      </c>
      <c r="I116" s="545">
        <f t="shared" ref="I116:J116" si="90">IF(H116="","",I115)</f>
        <v>645.78248</v>
      </c>
      <c r="J116" s="545">
        <f t="shared" si="90"/>
        <v>244.016</v>
      </c>
      <c r="K116" s="545">
        <f>IF($M116="","", IF(ARBITRAGES!$G116&gt;0,IF(ARBITRAGES!$H116="*jup*",K115+ARBITRAGES!$G116,K115),K115))</f>
        <v>0</v>
      </c>
      <c r="L116" s="545">
        <f>IF($M116="","", IF(ARBITRAGES!$G116&gt;0,IF(ARBITRAGES!$H116="*aave*",L115+ARBITRAGES!$G116,L115),L115))</f>
        <v>0</v>
      </c>
      <c r="M116" s="540">
        <f>IF(ARBITRAGES!E116="","",ARBITRAGES!E116)</f>
        <v>45869</v>
      </c>
      <c r="N116" s="541">
        <f>IF(M116="","", SUM(A116:H116)+ARBITRAGES!$K$3)</f>
        <v>37467.52166</v>
      </c>
      <c r="O116" s="542">
        <f>IF(M116="","",PRIX!U116)</f>
        <v>56869.25376</v>
      </c>
      <c r="Q116" s="543">
        <f t="shared" si="1"/>
        <v>0.5178280081</v>
      </c>
      <c r="S116" s="544">
        <f t="shared" si="2"/>
        <v>19401.73211</v>
      </c>
    </row>
    <row r="117">
      <c r="A117" s="545">
        <f>IF($M117="","", IF(ARBITRAGES!$G117&gt;0,IF(ARBITRAGES!$H117="btc",A116+ARBITRAGES!$G117,A116),A116))</f>
        <v>5999.429056</v>
      </c>
      <c r="B117" s="545">
        <f>IF($M117="","", IF(ARBITRAGES!$G117&gt;0,IF(ARBITRAGES!$H117="eth",B116+ARBITRAGES!$G117,B116),B116))</f>
        <v>5059.398762</v>
      </c>
      <c r="C117" s="545">
        <f>IF($M117="","", IF(ARBITRAGES!$G117&gt;0,IF(ARBITRAGES!$H117="ton",C116+ARBITRAGES!$G117,C116),C116))</f>
        <v>0</v>
      </c>
      <c r="D117" s="545">
        <f>IF($M117="","", IF(ARBITRAGES!$G117&gt;0,IF(ARBITRAGES!$H117="sol",D116+ARBITRAGES!$G117,D116),D116))</f>
        <v>4858.693837</v>
      </c>
      <c r="E117" s="545">
        <f>IF($M117="","", IF(ARBITRAGES!$G117&gt;0,IF(ARBITRAGES!$H117="tao",E116+ARBITRAGES!$G117,E116),E116))</f>
        <v>0</v>
      </c>
      <c r="F117" s="545">
        <f>IF($M117="","", IF(ARBITRAGES!$G117&gt;0,IF(ARBITRAGES!$H117="ron",F116+ARBITRAGES!$G117,F116),F116))</f>
        <v>0</v>
      </c>
      <c r="G117" s="545">
        <f>IF($M117="","", IF(ARBITRAGES!$G117&gt;0,IF(ARBITRAGES!$H117="link",G116+ARBITRAGES!$G117,G116),G116))</f>
        <v>0</v>
      </c>
      <c r="H117" s="545">
        <f>IF($M117="","", IF(ARBITRAGES!$G117&gt;0,IF(ARBITRAGES!$H117="doge",H116+ARBITRAGES!$G117,H116),H116))</f>
        <v>0</v>
      </c>
      <c r="I117" s="545">
        <f t="shared" ref="I117:J117" si="91">IF(H117="","",I116)</f>
        <v>645.78248</v>
      </c>
      <c r="J117" s="545">
        <f t="shared" si="91"/>
        <v>244.016</v>
      </c>
      <c r="K117" s="545">
        <f>IF($M117="","", IF(ARBITRAGES!$G117&gt;0,IF(ARBITRAGES!$H117="*jup*",K116+ARBITRAGES!$G117,K116),K116))</f>
        <v>0</v>
      </c>
      <c r="L117" s="545">
        <f>IF($M117="","", IF(ARBITRAGES!$G117&gt;0,IF(ARBITRAGES!$H117="*aave*",L116+ARBITRAGES!$G117,L116),L116))</f>
        <v>0</v>
      </c>
      <c r="M117" s="540">
        <f>IF(ARBITRAGES!E117="","",ARBITRAGES!E117)</f>
        <v>45870</v>
      </c>
      <c r="N117" s="541">
        <f>IF(M117="","", SUM(A117:H117)+ARBITRAGES!$K$3)</f>
        <v>37467.52166</v>
      </c>
      <c r="O117" s="542">
        <f>IF(M117="","",PRIX!U117)</f>
        <v>56871.87385</v>
      </c>
      <c r="Q117" s="543">
        <f t="shared" si="1"/>
        <v>0.5178979376</v>
      </c>
      <c r="S117" s="544">
        <f t="shared" si="2"/>
        <v>19404.35219</v>
      </c>
    </row>
    <row r="118">
      <c r="A118" s="545">
        <f>IF($M118="","", IF(ARBITRAGES!$G118&gt;0,IF(ARBITRAGES!$H118="btc",A117+ARBITRAGES!$G118,A117),A117))</f>
        <v>5999.429056</v>
      </c>
      <c r="B118" s="545">
        <f>IF($M118="","", IF(ARBITRAGES!$G118&gt;0,IF(ARBITRAGES!$H118="eth",B117+ARBITRAGES!$G118,B117),B117))</f>
        <v>5059.398762</v>
      </c>
      <c r="C118" s="545">
        <f>IF($M118="","", IF(ARBITRAGES!$G118&gt;0,IF(ARBITRAGES!$H118="ton",C117+ARBITRAGES!$G118,C117),C117))</f>
        <v>0</v>
      </c>
      <c r="D118" s="545">
        <f>IF($M118="","", IF(ARBITRAGES!$G118&gt;0,IF(ARBITRAGES!$H118="sol",D117+ARBITRAGES!$G118,D117),D117))</f>
        <v>4858.693837</v>
      </c>
      <c r="E118" s="545">
        <f>IF($M118="","", IF(ARBITRAGES!$G118&gt;0,IF(ARBITRAGES!$H118="tao",E117+ARBITRAGES!$G118,E117),E117))</f>
        <v>0</v>
      </c>
      <c r="F118" s="545">
        <f>IF($M118="","", IF(ARBITRAGES!$G118&gt;0,IF(ARBITRAGES!$H118="ron",F117+ARBITRAGES!$G118,F117),F117))</f>
        <v>0</v>
      </c>
      <c r="G118" s="545">
        <f>IF($M118="","", IF(ARBITRAGES!$G118&gt;0,IF(ARBITRAGES!$H118="link",G117+ARBITRAGES!$G118,G117),G117))</f>
        <v>0</v>
      </c>
      <c r="H118" s="545">
        <f>IF($M118="","", IF(ARBITRAGES!$G118&gt;0,IF(ARBITRAGES!$H118="doge",H117+ARBITRAGES!$G118,H117),H117))</f>
        <v>0</v>
      </c>
      <c r="I118" s="545">
        <f t="shared" ref="I118:J118" si="92">IF(H118="","",I117)</f>
        <v>645.78248</v>
      </c>
      <c r="J118" s="545">
        <f t="shared" si="92"/>
        <v>244.016</v>
      </c>
      <c r="K118" s="545">
        <f>IF($M118="","", IF(ARBITRAGES!$G118&gt;0,IF(ARBITRAGES!$H118="*jup*",K117+ARBITRAGES!$G118,K117),K117))</f>
        <v>0</v>
      </c>
      <c r="L118" s="545">
        <f>IF($M118="","", IF(ARBITRAGES!$G118&gt;0,IF(ARBITRAGES!$H118="*aave*",L117+ARBITRAGES!$G118,L117),L117))</f>
        <v>0</v>
      </c>
      <c r="M118" s="540">
        <f>IF(ARBITRAGES!E118="","",ARBITRAGES!E118)</f>
        <v>45871</v>
      </c>
      <c r="N118" s="541">
        <f>IF(M118="","", SUM(A118:H118)+ARBITRAGES!$K$3)</f>
        <v>37467.52166</v>
      </c>
      <c r="O118" s="542">
        <f>IF(M118="","",PRIX!U118)</f>
        <v>56296.031</v>
      </c>
      <c r="Q118" s="543">
        <f t="shared" si="1"/>
        <v>0.5025288172</v>
      </c>
      <c r="S118" s="544">
        <f t="shared" si="2"/>
        <v>18828.50934</v>
      </c>
    </row>
    <row r="119">
      <c r="A119" s="545">
        <f>IF($M119="","", IF(ARBITRAGES!$G119&gt;0,IF(ARBITRAGES!$H119="btc",A118+ARBITRAGES!$G119,A118),A118))</f>
        <v>5999.429056</v>
      </c>
      <c r="B119" s="545">
        <f>IF($M119="","", IF(ARBITRAGES!$G119&gt;0,IF(ARBITRAGES!$H119="eth",B118+ARBITRAGES!$G119,B118),B118))</f>
        <v>5059.398762</v>
      </c>
      <c r="C119" s="545">
        <f>IF($M119="","", IF(ARBITRAGES!$G119&gt;0,IF(ARBITRAGES!$H119="ton",C118+ARBITRAGES!$G119,C118),C118))</f>
        <v>0</v>
      </c>
      <c r="D119" s="545">
        <f>IF($M119="","", IF(ARBITRAGES!$G119&gt;0,IF(ARBITRAGES!$H119="sol",D118+ARBITRAGES!$G119,D118),D118))</f>
        <v>4858.693837</v>
      </c>
      <c r="E119" s="545">
        <f>IF($M119="","", IF(ARBITRAGES!$G119&gt;0,IF(ARBITRAGES!$H119="tao",E118+ARBITRAGES!$G119,E118),E118))</f>
        <v>0</v>
      </c>
      <c r="F119" s="545">
        <f>IF($M119="","", IF(ARBITRAGES!$G119&gt;0,IF(ARBITRAGES!$H119="ron",F118+ARBITRAGES!$G119,F118),F118))</f>
        <v>0</v>
      </c>
      <c r="G119" s="545">
        <f>IF($M119="","", IF(ARBITRAGES!$G119&gt;0,IF(ARBITRAGES!$H119="link",G118+ARBITRAGES!$G119,G118),G118))</f>
        <v>0</v>
      </c>
      <c r="H119" s="545">
        <f>IF($M119="","", IF(ARBITRAGES!$G119&gt;0,IF(ARBITRAGES!$H119="doge",H118+ARBITRAGES!$G119,H118),H118))</f>
        <v>0</v>
      </c>
      <c r="I119" s="545">
        <f t="shared" ref="I119:J119" si="93">IF(H119="","",I118)</f>
        <v>645.78248</v>
      </c>
      <c r="J119" s="545">
        <f t="shared" si="93"/>
        <v>244.016</v>
      </c>
      <c r="K119" s="545">
        <f>IF($M119="","", IF(ARBITRAGES!$G119&gt;0,IF(ARBITRAGES!$H119="*jup*",K118+ARBITRAGES!$G119,K118),K118))</f>
        <v>0</v>
      </c>
      <c r="L119" s="545">
        <f>IF($M119="","", IF(ARBITRAGES!$G119&gt;0,IF(ARBITRAGES!$H119="*aave*",L118+ARBITRAGES!$G119,L118),L118))</f>
        <v>0</v>
      </c>
      <c r="M119" s="540">
        <f>IF(ARBITRAGES!E119="","",ARBITRAGES!E119)</f>
        <v>45875</v>
      </c>
      <c r="N119" s="541">
        <f>IF(M119="","", SUM(A119:H119)+ARBITRAGES!$K$3)</f>
        <v>37467.52166</v>
      </c>
      <c r="O119" s="542">
        <f>IF(M119="","",PRIX!U119)</f>
        <v>56561.971</v>
      </c>
      <c r="Q119" s="543">
        <f t="shared" si="1"/>
        <v>0.5096266979</v>
      </c>
      <c r="S119" s="544">
        <f t="shared" si="2"/>
        <v>19094.44934</v>
      </c>
    </row>
    <row r="120">
      <c r="A120" s="545">
        <f>IF($M120="","", IF(ARBITRAGES!$G120&gt;0,IF(ARBITRAGES!$H120="btc",A119+ARBITRAGES!$G120,A119),A119))</f>
        <v>5999.429056</v>
      </c>
      <c r="B120" s="545">
        <f>IF($M120="","", IF(ARBITRAGES!$G120&gt;0,IF(ARBITRAGES!$H120="eth",B119+ARBITRAGES!$G120,B119),B119))</f>
        <v>5059.398762</v>
      </c>
      <c r="C120" s="545">
        <f>IF($M120="","", IF(ARBITRAGES!$G120&gt;0,IF(ARBITRAGES!$H120="ton",C119+ARBITRAGES!$G120,C119),C119))</f>
        <v>0</v>
      </c>
      <c r="D120" s="545">
        <f>IF($M120="","", IF(ARBITRAGES!$G120&gt;0,IF(ARBITRAGES!$H120="sol",D119+ARBITRAGES!$G120,D119),D119))</f>
        <v>4858.693837</v>
      </c>
      <c r="E120" s="545">
        <f>IF($M120="","", IF(ARBITRAGES!$G120&gt;0,IF(ARBITRAGES!$H120="tao",E119+ARBITRAGES!$G120,E119),E119))</f>
        <v>0</v>
      </c>
      <c r="F120" s="545">
        <f>IF($M120="","", IF(ARBITRAGES!$G120&gt;0,IF(ARBITRAGES!$H120="ron",F119+ARBITRAGES!$G120,F119),F119))</f>
        <v>0</v>
      </c>
      <c r="G120" s="545">
        <f>IF($M120="","", IF(ARBITRAGES!$G120&gt;0,IF(ARBITRAGES!$H120="link",G119+ARBITRAGES!$G120,G119),G119))</f>
        <v>0</v>
      </c>
      <c r="H120" s="545">
        <f>IF($M120="","", IF(ARBITRAGES!$G120&gt;0,IF(ARBITRAGES!$H120="doge",H119+ARBITRAGES!$G120,H119),H119))</f>
        <v>0</v>
      </c>
      <c r="I120" s="545">
        <f t="shared" ref="I120:J120" si="94">IF(H120="","",I119)</f>
        <v>645.78248</v>
      </c>
      <c r="J120" s="545">
        <f t="shared" si="94"/>
        <v>244.016</v>
      </c>
      <c r="K120" s="545">
        <f>IF($M120="","", IF(ARBITRAGES!$G120&gt;0,IF(ARBITRAGES!$H120="*jup*",K119+ARBITRAGES!$G120,K119),K119))</f>
        <v>0</v>
      </c>
      <c r="L120" s="545">
        <f>IF($M120="","", IF(ARBITRAGES!$G120&gt;0,IF(ARBITRAGES!$H120="*aave*",L119+ARBITRAGES!$G120,L119),L119))</f>
        <v>0</v>
      </c>
      <c r="M120" s="540">
        <f>IF(ARBITRAGES!E120="","",ARBITRAGES!E120)</f>
        <v>45876</v>
      </c>
      <c r="N120" s="541">
        <f>IF(M120="","", SUM(A120:H120)+ARBITRAGES!$K$3)</f>
        <v>37467.52166</v>
      </c>
      <c r="O120" s="542">
        <f>IF(M120="","",PRIX!U120)</f>
        <v>61068.90436</v>
      </c>
      <c r="Q120" s="543">
        <f t="shared" si="1"/>
        <v>0.6299157687</v>
      </c>
      <c r="S120" s="544">
        <f t="shared" si="2"/>
        <v>23601.3827</v>
      </c>
    </row>
    <row r="121">
      <c r="A121" s="545">
        <f>IF($M121="","", IF(ARBITRAGES!$G121&gt;0,IF(ARBITRAGES!$H121="btc",A120+ARBITRAGES!$G121,A120),A120))</f>
        <v>5999.429056</v>
      </c>
      <c r="B121" s="545">
        <f>IF($M121="","", IF(ARBITRAGES!$G121&gt;0,IF(ARBITRAGES!$H121="eth",B120+ARBITRAGES!$G121,B120),B120))</f>
        <v>5059.398762</v>
      </c>
      <c r="C121" s="545">
        <f>IF($M121="","", IF(ARBITRAGES!$G121&gt;0,IF(ARBITRAGES!$H121="ton",C120+ARBITRAGES!$G121,C120),C120))</f>
        <v>0</v>
      </c>
      <c r="D121" s="545">
        <f>IF($M121="","", IF(ARBITRAGES!$G121&gt;0,IF(ARBITRAGES!$H121="sol",D120+ARBITRAGES!$G121,D120),D120))</f>
        <v>4858.693837</v>
      </c>
      <c r="E121" s="545">
        <f>IF($M121="","", IF(ARBITRAGES!$G121&gt;0,IF(ARBITRAGES!$H121="tao",E120+ARBITRAGES!$G121,E120),E120))</f>
        <v>0</v>
      </c>
      <c r="F121" s="545">
        <f>IF($M121="","", IF(ARBITRAGES!$G121&gt;0,IF(ARBITRAGES!$H121="ron",F120+ARBITRAGES!$G121,F120),F120))</f>
        <v>0</v>
      </c>
      <c r="G121" s="545">
        <f>IF($M121="","", IF(ARBITRAGES!$G121&gt;0,IF(ARBITRAGES!$H121="link",G120+ARBITRAGES!$G121,G120),G120))</f>
        <v>0</v>
      </c>
      <c r="H121" s="545">
        <f>IF($M121="","", IF(ARBITRAGES!$G121&gt;0,IF(ARBITRAGES!$H121="doge",H120+ARBITRAGES!$G121,H120),H120))</f>
        <v>0</v>
      </c>
      <c r="I121" s="545">
        <f t="shared" ref="I121:J121" si="95">IF(H121="","",I120)</f>
        <v>645.78248</v>
      </c>
      <c r="J121" s="545">
        <f t="shared" si="95"/>
        <v>244.016</v>
      </c>
      <c r="K121" s="545">
        <f>IF($M121="","", IF(ARBITRAGES!$G121&gt;0,IF(ARBITRAGES!$H121="*jup*",K120+ARBITRAGES!$G121,K120),K120))</f>
        <v>0</v>
      </c>
      <c r="L121" s="545">
        <f>IF($M121="","", IF(ARBITRAGES!$G121&gt;0,IF(ARBITRAGES!$H121="*aave*",L120+ARBITRAGES!$G121,L120),L120))</f>
        <v>0</v>
      </c>
      <c r="M121" s="540">
        <f>IF(ARBITRAGES!E121="","",ARBITRAGES!E121)</f>
        <v>45876</v>
      </c>
      <c r="N121" s="541">
        <f>IF(M121="","", SUM(A121:H121)+ARBITRAGES!$K$3)</f>
        <v>37467.52166</v>
      </c>
      <c r="O121" s="542">
        <f>IF(M121="","",PRIX!U121)</f>
        <v>60963.90436</v>
      </c>
      <c r="Q121" s="543">
        <f t="shared" si="1"/>
        <v>0.6271133415</v>
      </c>
      <c r="S121" s="544">
        <f t="shared" si="2"/>
        <v>23496.3827</v>
      </c>
    </row>
    <row r="122">
      <c r="A122" s="545">
        <f>IF($M122="","", IF(ARBITRAGES!$G122&gt;0,IF(ARBITRAGES!$H122="btc",A121+ARBITRAGES!$G122,A121),A121))</f>
        <v>5999.429056</v>
      </c>
      <c r="B122" s="545">
        <f>IF($M122="","", IF(ARBITRAGES!$G122&gt;0,IF(ARBITRAGES!$H122="eth",B121+ARBITRAGES!$G122,B121),B121))</f>
        <v>5059.398762</v>
      </c>
      <c r="C122" s="545">
        <f>IF($M122="","", IF(ARBITRAGES!$G122&gt;0,IF(ARBITRAGES!$H122="ton",C121+ARBITRAGES!$G122,C121),C121))</f>
        <v>0</v>
      </c>
      <c r="D122" s="545">
        <f>IF($M122="","", IF(ARBITRAGES!$G122&gt;0,IF(ARBITRAGES!$H122="sol",D121+ARBITRAGES!$G122,D121),D121))</f>
        <v>4858.693837</v>
      </c>
      <c r="E122" s="545">
        <f>IF($M122="","", IF(ARBITRAGES!$G122&gt;0,IF(ARBITRAGES!$H122="tao",E121+ARBITRAGES!$G122,E121),E121))</f>
        <v>0</v>
      </c>
      <c r="F122" s="545">
        <f>IF($M122="","", IF(ARBITRAGES!$G122&gt;0,IF(ARBITRAGES!$H122="ron",F121+ARBITRAGES!$G122,F121),F121))</f>
        <v>0</v>
      </c>
      <c r="G122" s="545">
        <f>IF($M122="","", IF(ARBITRAGES!$G122&gt;0,IF(ARBITRAGES!$H122="link",G121+ARBITRAGES!$G122,G121),G121))</f>
        <v>0</v>
      </c>
      <c r="H122" s="545">
        <f>IF($M122="","", IF(ARBITRAGES!$G122&gt;0,IF(ARBITRAGES!$H122="doge",H121+ARBITRAGES!$G122,H121),H121))</f>
        <v>0</v>
      </c>
      <c r="I122" s="545">
        <f t="shared" ref="I122:J122" si="96">IF(H122="","",I121)</f>
        <v>645.78248</v>
      </c>
      <c r="J122" s="545">
        <f t="shared" si="96"/>
        <v>244.016</v>
      </c>
      <c r="K122" s="545">
        <f>IF($M122="","", IF(ARBITRAGES!$G122&gt;0,IF(ARBITRAGES!$H122="*jup*",K121+ARBITRAGES!$G122,K121),K121))</f>
        <v>0</v>
      </c>
      <c r="L122" s="545">
        <f>IF($M122="","", IF(ARBITRAGES!$G122&gt;0,IF(ARBITRAGES!$H122="*aave*",L121+ARBITRAGES!$G122,L121),L121))</f>
        <v>0</v>
      </c>
      <c r="M122" s="540">
        <f>IF(ARBITRAGES!E122="","",ARBITRAGES!E122)</f>
        <v>45877</v>
      </c>
      <c r="N122" s="541">
        <f>IF(M122="","", SUM(A122:H122)+ARBITRAGES!$K$3)</f>
        <v>37467.52166</v>
      </c>
      <c r="O122" s="542">
        <f>IF(M122="","",PRIX!U122)</f>
        <v>60888.90436</v>
      </c>
      <c r="Q122" s="543">
        <f t="shared" si="1"/>
        <v>0.6251116078</v>
      </c>
      <c r="S122" s="544">
        <f t="shared" si="2"/>
        <v>23421.3827</v>
      </c>
    </row>
    <row r="123">
      <c r="A123" s="545">
        <f>IF($M123="","", IF(ARBITRAGES!$G123&gt;0,IF(ARBITRAGES!$H123="btc",A122+ARBITRAGES!$G123,A122),A122))</f>
        <v>5999.429056</v>
      </c>
      <c r="B123" s="545">
        <f>IF($M123="","", IF(ARBITRAGES!$G123&gt;0,IF(ARBITRAGES!$H123="eth",B122+ARBITRAGES!$G123,B122),B122))</f>
        <v>5059.398762</v>
      </c>
      <c r="C123" s="545">
        <f>IF($M123="","", IF(ARBITRAGES!$G123&gt;0,IF(ARBITRAGES!$H123="ton",C122+ARBITRAGES!$G123,C122),C122))</f>
        <v>0</v>
      </c>
      <c r="D123" s="545">
        <f>IF($M123="","", IF(ARBITRAGES!$G123&gt;0,IF(ARBITRAGES!$H123="sol",D122+ARBITRAGES!$G123,D122),D122))</f>
        <v>4858.693837</v>
      </c>
      <c r="E123" s="545">
        <f>IF($M123="","", IF(ARBITRAGES!$G123&gt;0,IF(ARBITRAGES!$H123="tao",E122+ARBITRAGES!$G123,E122),E122))</f>
        <v>0</v>
      </c>
      <c r="F123" s="545">
        <f>IF($M123="","", IF(ARBITRAGES!$G123&gt;0,IF(ARBITRAGES!$H123="ron",F122+ARBITRAGES!$G123,F122),F122))</f>
        <v>0</v>
      </c>
      <c r="G123" s="545">
        <f>IF($M123="","", IF(ARBITRAGES!$G123&gt;0,IF(ARBITRAGES!$H123="link",G122+ARBITRAGES!$G123,G122),G122))</f>
        <v>0</v>
      </c>
      <c r="H123" s="545">
        <f>IF($M123="","", IF(ARBITRAGES!$G123&gt;0,IF(ARBITRAGES!$H123="doge",H122+ARBITRAGES!$G123,H122),H122))</f>
        <v>0</v>
      </c>
      <c r="I123" s="545">
        <f t="shared" ref="I123:J123" si="97">IF(H123="","",I122)</f>
        <v>645.78248</v>
      </c>
      <c r="J123" s="545">
        <f t="shared" si="97"/>
        <v>244.016</v>
      </c>
      <c r="K123" s="545">
        <f>IF($M123="","", IF(ARBITRAGES!$G123&gt;0,IF(ARBITRAGES!$H123="*jup*",K122+ARBITRAGES!$G123,K122),K122))</f>
        <v>0</v>
      </c>
      <c r="L123" s="545">
        <f>IF($M123="","", IF(ARBITRAGES!$G123&gt;0,IF(ARBITRAGES!$H123="*aave*",L122+ARBITRAGES!$G123,L122),L122))</f>
        <v>0</v>
      </c>
      <c r="M123" s="540">
        <f>IF(ARBITRAGES!E123="","",ARBITRAGES!E123)</f>
        <v>45877</v>
      </c>
      <c r="N123" s="541">
        <f>IF(M123="","", SUM(A123:H123)+ARBITRAGES!$K$3)</f>
        <v>37467.52166</v>
      </c>
      <c r="O123" s="542">
        <f>IF(M123="","",PRIX!U123)</f>
        <v>60873.85424</v>
      </c>
      <c r="Q123" s="543">
        <f t="shared" si="1"/>
        <v>0.6247099235</v>
      </c>
      <c r="S123" s="544">
        <f t="shared" si="2"/>
        <v>23406.33259</v>
      </c>
    </row>
    <row r="124">
      <c r="A124" s="545">
        <f>IF($M124="","", IF(ARBITRAGES!$G124&gt;0,IF(ARBITRAGES!$H124="btc",A123+ARBITRAGES!$G124,A123),A123))</f>
        <v>5999.429056</v>
      </c>
      <c r="B124" s="545">
        <f>IF($M124="","", IF(ARBITRAGES!$G124&gt;0,IF(ARBITRAGES!$H124="eth",B123+ARBITRAGES!$G124,B123),B123))</f>
        <v>5059.398762</v>
      </c>
      <c r="C124" s="545">
        <f>IF($M124="","", IF(ARBITRAGES!$G124&gt;0,IF(ARBITRAGES!$H124="ton",C123+ARBITRAGES!$G124,C123),C123))</f>
        <v>0</v>
      </c>
      <c r="D124" s="545">
        <f>IF($M124="","", IF(ARBITRAGES!$G124&gt;0,IF(ARBITRAGES!$H124="sol",D123+ARBITRAGES!$G124,D123),D123))</f>
        <v>4858.693837</v>
      </c>
      <c r="E124" s="545">
        <f>IF($M124="","", IF(ARBITRAGES!$G124&gt;0,IF(ARBITRAGES!$H124="tao",E123+ARBITRAGES!$G124,E123),E123))</f>
        <v>0</v>
      </c>
      <c r="F124" s="545">
        <f>IF($M124="","", IF(ARBITRAGES!$G124&gt;0,IF(ARBITRAGES!$H124="ron",F123+ARBITRAGES!$G124,F123),F123))</f>
        <v>0</v>
      </c>
      <c r="G124" s="545">
        <f>IF($M124="","", IF(ARBITRAGES!$G124&gt;0,IF(ARBITRAGES!$H124="link",G123+ARBITRAGES!$G124,G123),G123))</f>
        <v>0</v>
      </c>
      <c r="H124" s="545">
        <f>IF($M124="","", IF(ARBITRAGES!$G124&gt;0,IF(ARBITRAGES!$H124="doge",H123+ARBITRAGES!$G124,H123),H123))</f>
        <v>0</v>
      </c>
      <c r="I124" s="545">
        <f t="shared" ref="I124:J124" si="98">IF(H124="","",I123)</f>
        <v>645.78248</v>
      </c>
      <c r="J124" s="545">
        <f t="shared" si="98"/>
        <v>244.016</v>
      </c>
      <c r="K124" s="545">
        <f>IF($M124="","", IF(ARBITRAGES!$G124&gt;0,IF(ARBITRAGES!$H124="*jup*",K123+ARBITRAGES!$G124,K123),K123))</f>
        <v>0</v>
      </c>
      <c r="L124" s="545">
        <f>IF($M124="","", IF(ARBITRAGES!$G124&gt;0,IF(ARBITRAGES!$H124="*aave*",L123+ARBITRAGES!$G124,L123),L123))</f>
        <v>0</v>
      </c>
      <c r="M124" s="540">
        <f>IF(ARBITRAGES!E124="","",ARBITRAGES!E124)</f>
        <v>45878</v>
      </c>
      <c r="N124" s="541">
        <f>IF(M124="","", SUM(A124:H124)+ARBITRAGES!$K$3)</f>
        <v>37467.52166</v>
      </c>
      <c r="O124" s="542">
        <f>IF(M124="","",PRIX!U124)</f>
        <v>60858.85417</v>
      </c>
      <c r="Q124" s="543">
        <f t="shared" si="1"/>
        <v>0.6243095748</v>
      </c>
      <c r="S124" s="544">
        <f t="shared" si="2"/>
        <v>23391.33251</v>
      </c>
    </row>
    <row r="125">
      <c r="A125" s="545">
        <f>IF($M125="","", IF(ARBITRAGES!$G125&gt;0,IF(ARBITRAGES!$H125="btc",A124+ARBITRAGES!$G125,A124),A124))</f>
        <v>5999.429056</v>
      </c>
      <c r="B125" s="545">
        <f>IF($M125="","", IF(ARBITRAGES!$G125&gt;0,IF(ARBITRAGES!$H125="eth",B124+ARBITRAGES!$G125,B124),B124))</f>
        <v>5059.398762</v>
      </c>
      <c r="C125" s="545">
        <f>IF($M125="","", IF(ARBITRAGES!$G125&gt;0,IF(ARBITRAGES!$H125="ton",C124+ARBITRAGES!$G125,C124),C124))</f>
        <v>0</v>
      </c>
      <c r="D125" s="545">
        <f>IF($M125="","", IF(ARBITRAGES!$G125&gt;0,IF(ARBITRAGES!$H125="sol",D124+ARBITRAGES!$G125,D124),D124))</f>
        <v>4858.693837</v>
      </c>
      <c r="E125" s="545">
        <f>IF($M125="","", IF(ARBITRAGES!$G125&gt;0,IF(ARBITRAGES!$H125="tao",E124+ARBITRAGES!$G125,E124),E124))</f>
        <v>0</v>
      </c>
      <c r="F125" s="545">
        <f>IF($M125="","", IF(ARBITRAGES!$G125&gt;0,IF(ARBITRAGES!$H125="ron",F124+ARBITRAGES!$G125,F124),F124))</f>
        <v>0</v>
      </c>
      <c r="G125" s="545">
        <f>IF($M125="","", IF(ARBITRAGES!$G125&gt;0,IF(ARBITRAGES!$H125="link",G124+ARBITRAGES!$G125,G124),G124))</f>
        <v>0</v>
      </c>
      <c r="H125" s="545">
        <f>IF($M125="","", IF(ARBITRAGES!$G125&gt;0,IF(ARBITRAGES!$H125="doge",H124+ARBITRAGES!$G125,H124),H124))</f>
        <v>0</v>
      </c>
      <c r="I125" s="545">
        <f t="shared" ref="I125:J125" si="99">IF(H125="","",I124)</f>
        <v>645.78248</v>
      </c>
      <c r="J125" s="545">
        <f t="shared" si="99"/>
        <v>244.016</v>
      </c>
      <c r="K125" s="545">
        <f>IF($M125="","", IF(ARBITRAGES!$G125&gt;0,IF(ARBITRAGES!$H125="*jup*",K124+ARBITRAGES!$G125,K124),K124))</f>
        <v>0</v>
      </c>
      <c r="L125" s="545">
        <f>IF($M125="","", IF(ARBITRAGES!$G125&gt;0,IF(ARBITRAGES!$H125="*aave*",L124+ARBITRAGES!$G125,L124),L124))</f>
        <v>0</v>
      </c>
      <c r="M125" s="540">
        <f>IF(ARBITRAGES!E125="","",ARBITRAGES!E125)</f>
        <v>45879</v>
      </c>
      <c r="N125" s="541">
        <f>IF(M125="","", SUM(A125:H125)+ARBITRAGES!$K$3)</f>
        <v>37467.52166</v>
      </c>
      <c r="O125" s="542">
        <f>IF(M125="","",PRIX!U125)</f>
        <v>60857.35417</v>
      </c>
      <c r="Q125" s="543">
        <f t="shared" si="1"/>
        <v>0.6242695401</v>
      </c>
      <c r="S125" s="544">
        <f t="shared" si="2"/>
        <v>23389.83251</v>
      </c>
    </row>
    <row r="126">
      <c r="A126" s="545">
        <f>IF($M126="","", IF(ARBITRAGES!$G126&gt;0,IF(ARBITRAGES!$H126="btc",A125+ARBITRAGES!$G126,A125),A125))</f>
        <v>5999.429056</v>
      </c>
      <c r="B126" s="545">
        <f>IF($M126="","", IF(ARBITRAGES!$G126&gt;0,IF(ARBITRAGES!$H126="eth",B125+ARBITRAGES!$G126,B125),B125))</f>
        <v>5059.398762</v>
      </c>
      <c r="C126" s="545">
        <f>IF($M126="","", IF(ARBITRAGES!$G126&gt;0,IF(ARBITRAGES!$H126="ton",C125+ARBITRAGES!$G126,C125),C125))</f>
        <v>0</v>
      </c>
      <c r="D126" s="545">
        <f>IF($M126="","", IF(ARBITRAGES!$G126&gt;0,IF(ARBITRAGES!$H126="sol",D125+ARBITRAGES!$G126,D125),D125))</f>
        <v>4858.693837</v>
      </c>
      <c r="E126" s="545">
        <f>IF($M126="","", IF(ARBITRAGES!$G126&gt;0,IF(ARBITRAGES!$H126="tao",E125+ARBITRAGES!$G126,E125),E125))</f>
        <v>0</v>
      </c>
      <c r="F126" s="545">
        <f>IF($M126="","", IF(ARBITRAGES!$G126&gt;0,IF(ARBITRAGES!$H126="ron",F125+ARBITRAGES!$G126,F125),F125))</f>
        <v>0</v>
      </c>
      <c r="G126" s="545">
        <f>IF($M126="","", IF(ARBITRAGES!$G126&gt;0,IF(ARBITRAGES!$H126="link",G125+ARBITRAGES!$G126,G125),G125))</f>
        <v>0</v>
      </c>
      <c r="H126" s="545">
        <f>IF($M126="","", IF(ARBITRAGES!$G126&gt;0,IF(ARBITRAGES!$H126="doge",H125+ARBITRAGES!$G126,H125),H125))</f>
        <v>0</v>
      </c>
      <c r="I126" s="545">
        <f t="shared" ref="I126:J126" si="100">IF(H126="","",I125)</f>
        <v>645.78248</v>
      </c>
      <c r="J126" s="545">
        <f t="shared" si="100"/>
        <v>244.016</v>
      </c>
      <c r="K126" s="545">
        <f>IF($M126="","", IF(ARBITRAGES!$G126&gt;0,IF(ARBITRAGES!$H126="*jup*",K125+ARBITRAGES!$G126,K125),K125))</f>
        <v>0</v>
      </c>
      <c r="L126" s="545">
        <f>IF($M126="","", IF(ARBITRAGES!$G126&gt;0,IF(ARBITRAGES!$H126="*aave*",L125+ARBITRAGES!$G126,L125),L125))</f>
        <v>0</v>
      </c>
      <c r="M126" s="540">
        <f>IF(ARBITRAGES!E126="","",ARBITRAGES!E126)</f>
        <v>45880</v>
      </c>
      <c r="N126" s="541">
        <f>IF(M126="","", SUM(A126:H126)+ARBITRAGES!$K$3)</f>
        <v>37467.52166</v>
      </c>
      <c r="O126" s="542">
        <f>IF(M126="","",PRIX!U126)</f>
        <v>61863.37888</v>
      </c>
      <c r="Q126" s="543">
        <f t="shared" si="1"/>
        <v>0.6511201207</v>
      </c>
      <c r="S126" s="544">
        <f t="shared" si="2"/>
        <v>24395.85722</v>
      </c>
    </row>
    <row r="127">
      <c r="A127" s="545">
        <f>IF($M127="","", IF(ARBITRAGES!$G127&gt;0,IF(ARBITRAGES!$H127="btc",A126+ARBITRAGES!$G127,A126),A126))</f>
        <v>5999.429056</v>
      </c>
      <c r="B127" s="545">
        <f>IF($M127="","", IF(ARBITRAGES!$G127&gt;0,IF(ARBITRAGES!$H127="eth",B126+ARBITRAGES!$G127,B126),B126))</f>
        <v>5059.398762</v>
      </c>
      <c r="C127" s="545">
        <f>IF($M127="","", IF(ARBITRAGES!$G127&gt;0,IF(ARBITRAGES!$H127="ton",C126+ARBITRAGES!$G127,C126),C126))</f>
        <v>0</v>
      </c>
      <c r="D127" s="545">
        <f>IF($M127="","", IF(ARBITRAGES!$G127&gt;0,IF(ARBITRAGES!$H127="sol",D126+ARBITRAGES!$G127,D126),D126))</f>
        <v>4858.693837</v>
      </c>
      <c r="E127" s="545">
        <f>IF($M127="","", IF(ARBITRAGES!$G127&gt;0,IF(ARBITRAGES!$H127="tao",E126+ARBITRAGES!$G127,E126),E126))</f>
        <v>0</v>
      </c>
      <c r="F127" s="545">
        <f>IF($M127="","", IF(ARBITRAGES!$G127&gt;0,IF(ARBITRAGES!$H127="ron",F126+ARBITRAGES!$G127,F126),F126))</f>
        <v>0</v>
      </c>
      <c r="G127" s="545">
        <f>IF($M127="","", IF(ARBITRAGES!$G127&gt;0,IF(ARBITRAGES!$H127="link",G126+ARBITRAGES!$G127,G126),G126))</f>
        <v>0</v>
      </c>
      <c r="H127" s="545">
        <f>IF($M127="","", IF(ARBITRAGES!$G127&gt;0,IF(ARBITRAGES!$H127="doge",H126+ARBITRAGES!$G127,H126),H126))</f>
        <v>0</v>
      </c>
      <c r="I127" s="545">
        <f t="shared" ref="I127:J127" si="101">IF(H127="","",I126)</f>
        <v>645.78248</v>
      </c>
      <c r="J127" s="545">
        <f t="shared" si="101"/>
        <v>244.016</v>
      </c>
      <c r="K127" s="545">
        <f>IF($M127="","", IF(ARBITRAGES!$G127&gt;0,IF(ARBITRAGES!$H127="*jup*",K126+ARBITRAGES!$G127,K126),K126))</f>
        <v>0</v>
      </c>
      <c r="L127" s="545">
        <f>IF($M127="","", IF(ARBITRAGES!$G127&gt;0,IF(ARBITRAGES!$H127="*aave*",L126+ARBITRAGES!$G127,L126),L126))</f>
        <v>0</v>
      </c>
      <c r="M127" s="540">
        <f>IF(ARBITRAGES!E127="","",ARBITRAGES!E127)</f>
        <v>45880</v>
      </c>
      <c r="N127" s="541">
        <f>IF(M127="","", SUM(A127:H127)+ARBITRAGES!$K$3)</f>
        <v>37467.52166</v>
      </c>
      <c r="O127" s="542">
        <f>IF(M127="","",PRIX!U127)</f>
        <v>61866.37888</v>
      </c>
      <c r="Q127" s="543">
        <f t="shared" si="1"/>
        <v>0.65120019</v>
      </c>
      <c r="S127" s="544">
        <f t="shared" si="2"/>
        <v>24398.85722</v>
      </c>
    </row>
    <row r="128">
      <c r="A128" s="545">
        <f>IF($M128="","", IF(ARBITRAGES!$G128&gt;0,IF(ARBITRAGES!$H128="btc",A127+ARBITRAGES!$G128,A127),A127))</f>
        <v>5999.429056</v>
      </c>
      <c r="B128" s="545">
        <f>IF($M128="","", IF(ARBITRAGES!$G128&gt;0,IF(ARBITRAGES!$H128="eth",B127+ARBITRAGES!$G128,B127),B127))</f>
        <v>5059.398762</v>
      </c>
      <c r="C128" s="545">
        <f>IF($M128="","", IF(ARBITRAGES!$G128&gt;0,IF(ARBITRAGES!$H128="ton",C127+ARBITRAGES!$G128,C127),C127))</f>
        <v>0</v>
      </c>
      <c r="D128" s="545">
        <f>IF($M128="","", IF(ARBITRAGES!$G128&gt;0,IF(ARBITRAGES!$H128="sol",D127+ARBITRAGES!$G128,D127),D127))</f>
        <v>4858.693837</v>
      </c>
      <c r="E128" s="545">
        <f>IF($M128="","", IF(ARBITRAGES!$G128&gt;0,IF(ARBITRAGES!$H128="tao",E127+ARBITRAGES!$G128,E127),E127))</f>
        <v>0</v>
      </c>
      <c r="F128" s="545">
        <f>IF($M128="","", IF(ARBITRAGES!$G128&gt;0,IF(ARBITRAGES!$H128="ron",F127+ARBITRAGES!$G128,F127),F127))</f>
        <v>0</v>
      </c>
      <c r="G128" s="545">
        <f>IF($M128="","", IF(ARBITRAGES!$G128&gt;0,IF(ARBITRAGES!$H128="link",G127+ARBITRAGES!$G128,G127),G127))</f>
        <v>0</v>
      </c>
      <c r="H128" s="545">
        <f>IF($M128="","", IF(ARBITRAGES!$G128&gt;0,IF(ARBITRAGES!$H128="doge",H127+ARBITRAGES!$G128,H127),H127))</f>
        <v>0</v>
      </c>
      <c r="I128" s="545">
        <f t="shared" ref="I128:J128" si="102">IF(H128="","",I127)</f>
        <v>645.78248</v>
      </c>
      <c r="J128" s="545">
        <f t="shared" si="102"/>
        <v>244.016</v>
      </c>
      <c r="K128" s="545">
        <f>IF($M128="","", IF(ARBITRAGES!$G128&gt;0,IF(ARBITRAGES!$H128="*jup*",K127+ARBITRAGES!$G128,K127),K127))</f>
        <v>0</v>
      </c>
      <c r="L128" s="545">
        <f>IF($M128="","", IF(ARBITRAGES!$G128&gt;0,IF(ARBITRAGES!$H128="*aave*",L127+ARBITRAGES!$G128,L127),L127))</f>
        <v>0</v>
      </c>
      <c r="M128" s="540">
        <f>IF(ARBITRAGES!E128="","",ARBITRAGES!E128)</f>
        <v>45880</v>
      </c>
      <c r="N128" s="541">
        <f>IF(M128="","", SUM(A128:H128)+ARBITRAGES!$K$3)</f>
        <v>37467.52166</v>
      </c>
      <c r="O128" s="542">
        <f>IF(M128="","",PRIX!U128)</f>
        <v>61878.88034</v>
      </c>
      <c r="Q128" s="543">
        <f t="shared" si="1"/>
        <v>0.6515338514</v>
      </c>
      <c r="S128" s="544">
        <f t="shared" si="2"/>
        <v>24411.35869</v>
      </c>
    </row>
    <row r="129">
      <c r="A129" s="545">
        <f>IF($M129="","", IF(ARBITRAGES!$G129&gt;0,IF(ARBITRAGES!$H129="btc",A128+ARBITRAGES!$G129,A128),A128))</f>
        <v>5999.429056</v>
      </c>
      <c r="B129" s="545">
        <f>IF($M129="","", IF(ARBITRAGES!$G129&gt;0,IF(ARBITRAGES!$H129="eth",B128+ARBITRAGES!$G129,B128),B128))</f>
        <v>5059.398762</v>
      </c>
      <c r="C129" s="545">
        <f>IF($M129="","", IF(ARBITRAGES!$G129&gt;0,IF(ARBITRAGES!$H129="ton",C128+ARBITRAGES!$G129,C128),C128))</f>
        <v>0</v>
      </c>
      <c r="D129" s="545">
        <f>IF($M129="","", IF(ARBITRAGES!$G129&gt;0,IF(ARBITRAGES!$H129="sol",D128+ARBITRAGES!$G129,D128),D128))</f>
        <v>4858.693837</v>
      </c>
      <c r="E129" s="545">
        <f>IF($M129="","", IF(ARBITRAGES!$G129&gt;0,IF(ARBITRAGES!$H129="tao",E128+ARBITRAGES!$G129,E128),E128))</f>
        <v>0</v>
      </c>
      <c r="F129" s="545">
        <f>IF($M129="","", IF(ARBITRAGES!$G129&gt;0,IF(ARBITRAGES!$H129="ron",F128+ARBITRAGES!$G129,F128),F128))</f>
        <v>0</v>
      </c>
      <c r="G129" s="545">
        <f>IF($M129="","", IF(ARBITRAGES!$G129&gt;0,IF(ARBITRAGES!$H129="link",G128+ARBITRAGES!$G129,G128),G128))</f>
        <v>0</v>
      </c>
      <c r="H129" s="545">
        <f>IF($M129="","", IF(ARBITRAGES!$G129&gt;0,IF(ARBITRAGES!$H129="doge",H128+ARBITRAGES!$G129,H128),H128))</f>
        <v>0</v>
      </c>
      <c r="I129" s="545">
        <f t="shared" ref="I129:J129" si="103">IF(H129="","",I128)</f>
        <v>645.78248</v>
      </c>
      <c r="J129" s="545">
        <f t="shared" si="103"/>
        <v>244.016</v>
      </c>
      <c r="K129" s="545">
        <f>IF($M129="","", IF(ARBITRAGES!$G129&gt;0,IF(ARBITRAGES!$H129="*jup*",K128+ARBITRAGES!$G129,K128),K128))</f>
        <v>0</v>
      </c>
      <c r="L129" s="545">
        <f>IF($M129="","", IF(ARBITRAGES!$G129&gt;0,IF(ARBITRAGES!$H129="*aave*",L128+ARBITRAGES!$G129,L128),L128))</f>
        <v>0</v>
      </c>
      <c r="M129" s="540">
        <f>IF(ARBITRAGES!E129="","",ARBITRAGES!E129)</f>
        <v>45881</v>
      </c>
      <c r="N129" s="541">
        <f>IF(M129="","", SUM(A129:H129)+ARBITRAGES!$K$3)</f>
        <v>37467.52166</v>
      </c>
      <c r="O129" s="542">
        <f>IF(M129="","",PRIX!U129)</f>
        <v>63504.65168</v>
      </c>
      <c r="Q129" s="543">
        <f t="shared" si="1"/>
        <v>0.6949253346</v>
      </c>
      <c r="S129" s="544">
        <f t="shared" si="2"/>
        <v>26037.13002</v>
      </c>
    </row>
    <row r="130">
      <c r="A130" s="545">
        <f>IF($M130="","", IF(ARBITRAGES!$G130&gt;0,IF(ARBITRAGES!$H130="btc",A129+ARBITRAGES!$G130,A129),A129))</f>
        <v>5999.429056</v>
      </c>
      <c r="B130" s="545">
        <f>IF($M130="","", IF(ARBITRAGES!$G130&gt;0,IF(ARBITRAGES!$H130="eth",B129+ARBITRAGES!$G130,B129),B129))</f>
        <v>5059.398762</v>
      </c>
      <c r="C130" s="545">
        <f>IF($M130="","", IF(ARBITRAGES!$G130&gt;0,IF(ARBITRAGES!$H130="ton",C129+ARBITRAGES!$G130,C129),C129))</f>
        <v>0</v>
      </c>
      <c r="D130" s="545">
        <f>IF($M130="","", IF(ARBITRAGES!$G130&gt;0,IF(ARBITRAGES!$H130="sol",D129+ARBITRAGES!$G130,D129),D129))</f>
        <v>4858.693837</v>
      </c>
      <c r="E130" s="545">
        <f>IF($M130="","", IF(ARBITRAGES!$G130&gt;0,IF(ARBITRAGES!$H130="tao",E129+ARBITRAGES!$G130,E129),E129))</f>
        <v>0</v>
      </c>
      <c r="F130" s="545">
        <f>IF($M130="","", IF(ARBITRAGES!$G130&gt;0,IF(ARBITRAGES!$H130="ron",F129+ARBITRAGES!$G130,F129),F129))</f>
        <v>0</v>
      </c>
      <c r="G130" s="545">
        <f>IF($M130="","", IF(ARBITRAGES!$G130&gt;0,IF(ARBITRAGES!$H130="link",G129+ARBITRAGES!$G130,G129),G129))</f>
        <v>0</v>
      </c>
      <c r="H130" s="545">
        <f>IF($M130="","", IF(ARBITRAGES!$G130&gt;0,IF(ARBITRAGES!$H130="doge",H129+ARBITRAGES!$G130,H129),H129))</f>
        <v>0</v>
      </c>
      <c r="I130" s="545">
        <f t="shared" ref="I130:J130" si="104">IF(H130="","",I129)</f>
        <v>645.78248</v>
      </c>
      <c r="J130" s="545">
        <f t="shared" si="104"/>
        <v>244.016</v>
      </c>
      <c r="K130" s="545">
        <f>IF($M130="","", IF(ARBITRAGES!$G130&gt;0,IF(ARBITRAGES!$H130="*jup*",K129+ARBITRAGES!$G130,K129),K129))</f>
        <v>0</v>
      </c>
      <c r="L130" s="545">
        <f>IF($M130="","", IF(ARBITRAGES!$G130&gt;0,IF(ARBITRAGES!$H130="*aave*",L129+ARBITRAGES!$G130,L129),L129))</f>
        <v>0</v>
      </c>
      <c r="M130" s="540">
        <f>IF(ARBITRAGES!E130="","",ARBITRAGES!E130)</f>
        <v>45882</v>
      </c>
      <c r="N130" s="541">
        <f>IF(M130="","", SUM(A130:H130)+ARBITRAGES!$K$3)</f>
        <v>37467.52166</v>
      </c>
      <c r="O130" s="542">
        <f>IF(M130="","",PRIX!U130)</f>
        <v>63506.75168</v>
      </c>
      <c r="Q130" s="543">
        <f t="shared" si="1"/>
        <v>0.6949813831</v>
      </c>
      <c r="S130" s="544">
        <f t="shared" si="2"/>
        <v>26039.23002</v>
      </c>
    </row>
    <row r="131">
      <c r="A131" s="545">
        <f>IF($M131="","", IF(ARBITRAGES!$G131&gt;0,IF(ARBITRAGES!$H131="btc",A130+ARBITRAGES!$G131,A130),A130))</f>
        <v>5999.429056</v>
      </c>
      <c r="B131" s="545">
        <f>IF($M131="","", IF(ARBITRAGES!$G131&gt;0,IF(ARBITRAGES!$H131="eth",B130+ARBITRAGES!$G131,B130),B130))</f>
        <v>5059.398762</v>
      </c>
      <c r="C131" s="545">
        <f>IF($M131="","", IF(ARBITRAGES!$G131&gt;0,IF(ARBITRAGES!$H131="ton",C130+ARBITRAGES!$G131,C130),C130))</f>
        <v>0</v>
      </c>
      <c r="D131" s="545">
        <f>IF($M131="","", IF(ARBITRAGES!$G131&gt;0,IF(ARBITRAGES!$H131="sol",D130+ARBITRAGES!$G131,D130),D130))</f>
        <v>4858.693837</v>
      </c>
      <c r="E131" s="545">
        <f>IF($M131="","", IF(ARBITRAGES!$G131&gt;0,IF(ARBITRAGES!$H131="tao",E130+ARBITRAGES!$G131,E130),E130))</f>
        <v>0</v>
      </c>
      <c r="F131" s="545">
        <f>IF($M131="","", IF(ARBITRAGES!$G131&gt;0,IF(ARBITRAGES!$H131="ron",F130+ARBITRAGES!$G131,F130),F130))</f>
        <v>0</v>
      </c>
      <c r="G131" s="545">
        <f>IF($M131="","", IF(ARBITRAGES!$G131&gt;0,IF(ARBITRAGES!$H131="link",G130+ARBITRAGES!$G131,G130),G130))</f>
        <v>0</v>
      </c>
      <c r="H131" s="545">
        <f>IF($M131="","", IF(ARBITRAGES!$G131&gt;0,IF(ARBITRAGES!$H131="doge",H130+ARBITRAGES!$G131,H130),H130))</f>
        <v>0</v>
      </c>
      <c r="I131" s="545">
        <f t="shared" ref="I131:J131" si="105">IF(H131="","",I130)</f>
        <v>645.78248</v>
      </c>
      <c r="J131" s="545">
        <f t="shared" si="105"/>
        <v>244.016</v>
      </c>
      <c r="K131" s="545">
        <f>IF($M131="","", IF(ARBITRAGES!$G131&gt;0,IF(ARBITRAGES!$H131="*jup*",K130+ARBITRAGES!$G131,K130),K130))</f>
        <v>0</v>
      </c>
      <c r="L131" s="545">
        <f>IF($M131="","", IF(ARBITRAGES!$G131&gt;0,IF(ARBITRAGES!$H131="*aave*",L130+ARBITRAGES!$G131,L130),L130))</f>
        <v>0</v>
      </c>
      <c r="M131" s="540">
        <f>IF(ARBITRAGES!E131="","",ARBITRAGES!E131)</f>
        <v>45882</v>
      </c>
      <c r="N131" s="541">
        <f>IF(M131="","", SUM(A131:H131)+ARBITRAGES!$K$3)</f>
        <v>37467.52166</v>
      </c>
      <c r="O131" s="542">
        <f>IF(M131="","",PRIX!U131)</f>
        <v>63775.15911</v>
      </c>
      <c r="Q131" s="543">
        <f t="shared" si="1"/>
        <v>0.7021451191</v>
      </c>
      <c r="S131" s="544">
        <f t="shared" si="2"/>
        <v>26307.63745</v>
      </c>
    </row>
    <row r="132">
      <c r="A132" s="545">
        <f>IF($M132="","", IF(ARBITRAGES!$G132&gt;0,IF(ARBITRAGES!$H132="btc",A131+ARBITRAGES!$G132,A131),A131))</f>
        <v>5999.429056</v>
      </c>
      <c r="B132" s="545">
        <f>IF($M132="","", IF(ARBITRAGES!$G132&gt;0,IF(ARBITRAGES!$H132="eth",B131+ARBITRAGES!$G132,B131),B131))</f>
        <v>5059.398762</v>
      </c>
      <c r="C132" s="545">
        <f>IF($M132="","", IF(ARBITRAGES!$G132&gt;0,IF(ARBITRAGES!$H132="ton",C131+ARBITRAGES!$G132,C131),C131))</f>
        <v>0</v>
      </c>
      <c r="D132" s="545">
        <f>IF($M132="","", IF(ARBITRAGES!$G132&gt;0,IF(ARBITRAGES!$H132="sol",D131+ARBITRAGES!$G132,D131),D131))</f>
        <v>4858.693837</v>
      </c>
      <c r="E132" s="545">
        <f>IF($M132="","", IF(ARBITRAGES!$G132&gt;0,IF(ARBITRAGES!$H132="tao",E131+ARBITRAGES!$G132,E131),E131))</f>
        <v>0</v>
      </c>
      <c r="F132" s="545">
        <f>IF($M132="","", IF(ARBITRAGES!$G132&gt;0,IF(ARBITRAGES!$H132="ron",F131+ARBITRAGES!$G132,F131),F131))</f>
        <v>0</v>
      </c>
      <c r="G132" s="545">
        <f>IF($M132="","", IF(ARBITRAGES!$G132&gt;0,IF(ARBITRAGES!$H132="link",G131+ARBITRAGES!$G132,G131),G131))</f>
        <v>0</v>
      </c>
      <c r="H132" s="545">
        <f>IF($M132="","", IF(ARBITRAGES!$G132&gt;0,IF(ARBITRAGES!$H132="doge",H131+ARBITRAGES!$G132,H131),H131))</f>
        <v>0</v>
      </c>
      <c r="I132" s="545">
        <f t="shared" ref="I132:J132" si="106">IF(H132="","",I131)</f>
        <v>645.78248</v>
      </c>
      <c r="J132" s="545">
        <f t="shared" si="106"/>
        <v>244.016</v>
      </c>
      <c r="K132" s="545">
        <f>IF($M132="","", IF(ARBITRAGES!$G132&gt;0,IF(ARBITRAGES!$H132="*jup*",K131+ARBITRAGES!$G132,K131),K131))</f>
        <v>0</v>
      </c>
      <c r="L132" s="545">
        <f>IF($M132="","", IF(ARBITRAGES!$G132&gt;0,IF(ARBITRAGES!$H132="*aave*",L131+ARBITRAGES!$G132,L131),L131))</f>
        <v>0</v>
      </c>
      <c r="M132" s="540">
        <f>IF(ARBITRAGES!E132="","",ARBITRAGES!E132)</f>
        <v>45882</v>
      </c>
      <c r="N132" s="541">
        <f>IF(M132="","", SUM(A132:H132)+ARBITRAGES!$K$3)</f>
        <v>37467.52166</v>
      </c>
      <c r="O132" s="542">
        <f>IF(M132="","",PRIX!U132)</f>
        <v>63786.08411</v>
      </c>
      <c r="Q132" s="543">
        <f t="shared" si="1"/>
        <v>0.7024367049</v>
      </c>
      <c r="S132" s="544">
        <f t="shared" si="2"/>
        <v>26318.56245</v>
      </c>
    </row>
    <row r="133">
      <c r="A133" s="545">
        <f>IF($M133="","", IF(ARBITRAGES!$G133&gt;0,IF(ARBITRAGES!$H133="btc",A132+ARBITRAGES!$G133,A132),A132))</f>
        <v>5999.429056</v>
      </c>
      <c r="B133" s="545">
        <f>IF($M133="","", IF(ARBITRAGES!$G133&gt;0,IF(ARBITRAGES!$H133="eth",B132+ARBITRAGES!$G133,B132),B132))</f>
        <v>5059.398762</v>
      </c>
      <c r="C133" s="545">
        <f>IF($M133="","", IF(ARBITRAGES!$G133&gt;0,IF(ARBITRAGES!$H133="ton",C132+ARBITRAGES!$G133,C132),C132))</f>
        <v>0</v>
      </c>
      <c r="D133" s="545">
        <f>IF($M133="","", IF(ARBITRAGES!$G133&gt;0,IF(ARBITRAGES!$H133="sol",D132+ARBITRAGES!$G133,D132),D132))</f>
        <v>4858.693837</v>
      </c>
      <c r="E133" s="545">
        <f>IF($M133="","", IF(ARBITRAGES!$G133&gt;0,IF(ARBITRAGES!$H133="tao",E132+ARBITRAGES!$G133,E132),E132))</f>
        <v>0</v>
      </c>
      <c r="F133" s="545">
        <f>IF($M133="","", IF(ARBITRAGES!$G133&gt;0,IF(ARBITRAGES!$H133="ron",F132+ARBITRAGES!$G133,F132),F132))</f>
        <v>0</v>
      </c>
      <c r="G133" s="545">
        <f>IF($M133="","", IF(ARBITRAGES!$G133&gt;0,IF(ARBITRAGES!$H133="link",G132+ARBITRAGES!$G133,G132),G132))</f>
        <v>0</v>
      </c>
      <c r="H133" s="545">
        <f>IF($M133="","", IF(ARBITRAGES!$G133&gt;0,IF(ARBITRAGES!$H133="doge",H132+ARBITRAGES!$G133,H132),H132))</f>
        <v>0</v>
      </c>
      <c r="I133" s="545">
        <f t="shared" ref="I133:J133" si="107">IF(H133="","",I132)</f>
        <v>645.78248</v>
      </c>
      <c r="J133" s="545">
        <f t="shared" si="107"/>
        <v>244.016</v>
      </c>
      <c r="K133" s="545">
        <f>IF($M133="","", IF(ARBITRAGES!$G133&gt;0,IF(ARBITRAGES!$H133="*jup*",K132+ARBITRAGES!$G133,K132),K132))</f>
        <v>0</v>
      </c>
      <c r="L133" s="545">
        <f>IF($M133="","", IF(ARBITRAGES!$G133&gt;0,IF(ARBITRAGES!$H133="*aave*",L132+ARBITRAGES!$G133,L132),L132))</f>
        <v>0</v>
      </c>
      <c r="M133" s="540">
        <f>IF(ARBITRAGES!E133="","",ARBITRAGES!E133)</f>
        <v>45883</v>
      </c>
      <c r="N133" s="541">
        <f>IF(M133="","", SUM(A133:H133)+ARBITRAGES!$K$3)</f>
        <v>37467.52166</v>
      </c>
      <c r="O133" s="542">
        <f>IF(M133="","",PRIX!U133)</f>
        <v>63782.66411</v>
      </c>
      <c r="Q133" s="543">
        <f t="shared" si="1"/>
        <v>0.7023454259</v>
      </c>
      <c r="S133" s="544">
        <f t="shared" si="2"/>
        <v>26315.14245</v>
      </c>
    </row>
    <row r="134">
      <c r="A134" s="545">
        <f>IF($M134="","", IF(ARBITRAGES!$G134&gt;0,IF(ARBITRAGES!$H134="btc",A133+ARBITRAGES!$G134,A133),A133))</f>
        <v>5999.429056</v>
      </c>
      <c r="B134" s="545">
        <f>IF($M134="","", IF(ARBITRAGES!$G134&gt;0,IF(ARBITRAGES!$H134="eth",B133+ARBITRAGES!$G134,B133),B133))</f>
        <v>5059.398762</v>
      </c>
      <c r="C134" s="545">
        <f>IF($M134="","", IF(ARBITRAGES!$G134&gt;0,IF(ARBITRAGES!$H134="ton",C133+ARBITRAGES!$G134,C133),C133))</f>
        <v>0</v>
      </c>
      <c r="D134" s="545">
        <f>IF($M134="","", IF(ARBITRAGES!$G134&gt;0,IF(ARBITRAGES!$H134="sol",D133+ARBITRAGES!$G134,D133),D133))</f>
        <v>4858.693837</v>
      </c>
      <c r="E134" s="545">
        <f>IF($M134="","", IF(ARBITRAGES!$G134&gt;0,IF(ARBITRAGES!$H134="tao",E133+ARBITRAGES!$G134,E133),E133))</f>
        <v>0</v>
      </c>
      <c r="F134" s="545">
        <f>IF($M134="","", IF(ARBITRAGES!$G134&gt;0,IF(ARBITRAGES!$H134="ron",F133+ARBITRAGES!$G134,F133),F133))</f>
        <v>0</v>
      </c>
      <c r="G134" s="545">
        <f>IF($M134="","", IF(ARBITRAGES!$G134&gt;0,IF(ARBITRAGES!$H134="link",G133+ARBITRAGES!$G134,G133),G133))</f>
        <v>0</v>
      </c>
      <c r="H134" s="545">
        <f>IF($M134="","", IF(ARBITRAGES!$G134&gt;0,IF(ARBITRAGES!$H134="doge",H133+ARBITRAGES!$G134,H133),H133))</f>
        <v>0</v>
      </c>
      <c r="I134" s="545">
        <f t="shared" ref="I134:J134" si="108">IF(H134="","",I133)</f>
        <v>645.78248</v>
      </c>
      <c r="J134" s="545">
        <f t="shared" si="108"/>
        <v>244.016</v>
      </c>
      <c r="K134" s="545">
        <f>IF($M134="","", IF(ARBITRAGES!$G134&gt;0,IF(ARBITRAGES!$H134="*jup*",K133+ARBITRAGES!$G134,K133),K133))</f>
        <v>0</v>
      </c>
      <c r="L134" s="545">
        <f>IF($M134="","", IF(ARBITRAGES!$G134&gt;0,IF(ARBITRAGES!$H134="*aave*",L133+ARBITRAGES!$G134,L133),L133))</f>
        <v>0</v>
      </c>
      <c r="M134" s="540">
        <f>IF(ARBITRAGES!E134="","",ARBITRAGES!E134)</f>
        <v>45886</v>
      </c>
      <c r="N134" s="541">
        <f>IF(M134="","", SUM(A134:H134)+ARBITRAGES!$K$3)</f>
        <v>37467.52166</v>
      </c>
      <c r="O134" s="542">
        <f>IF(M134="","",PRIX!U134)</f>
        <v>62371.57494</v>
      </c>
      <c r="Q134" s="543">
        <f t="shared" si="1"/>
        <v>0.664683763</v>
      </c>
      <c r="S134" s="544">
        <f t="shared" si="2"/>
        <v>24904.05328</v>
      </c>
    </row>
    <row r="135">
      <c r="A135" s="545">
        <f>IF($M135="","", IF(ARBITRAGES!$G135&gt;0,IF(ARBITRAGES!$H135="btc",A134+ARBITRAGES!$G135,A134),A134))</f>
        <v>5999.429056</v>
      </c>
      <c r="B135" s="545">
        <f>IF($M135="","", IF(ARBITRAGES!$G135&gt;0,IF(ARBITRAGES!$H135="eth",B134+ARBITRAGES!$G135,B134),B134))</f>
        <v>5059.398762</v>
      </c>
      <c r="C135" s="545">
        <f>IF($M135="","", IF(ARBITRAGES!$G135&gt;0,IF(ARBITRAGES!$H135="ton",C134+ARBITRAGES!$G135,C134),C134))</f>
        <v>0</v>
      </c>
      <c r="D135" s="545">
        <f>IF($M135="","", IF(ARBITRAGES!$G135&gt;0,IF(ARBITRAGES!$H135="sol",D134+ARBITRAGES!$G135,D134),D134))</f>
        <v>4858.693837</v>
      </c>
      <c r="E135" s="545">
        <f>IF($M135="","", IF(ARBITRAGES!$G135&gt;0,IF(ARBITRAGES!$H135="tao",E134+ARBITRAGES!$G135,E134),E134))</f>
        <v>0</v>
      </c>
      <c r="F135" s="545">
        <f>IF($M135="","", IF(ARBITRAGES!$G135&gt;0,IF(ARBITRAGES!$H135="ron",F134+ARBITRAGES!$G135,F134),F134))</f>
        <v>0</v>
      </c>
      <c r="G135" s="545">
        <f>IF($M135="","", IF(ARBITRAGES!$G135&gt;0,IF(ARBITRAGES!$H135="link",G134+ARBITRAGES!$G135,G134),G134))</f>
        <v>0</v>
      </c>
      <c r="H135" s="545">
        <f>IF($M135="","", IF(ARBITRAGES!$G135&gt;0,IF(ARBITRAGES!$H135="doge",H134+ARBITRAGES!$G135,H134),H134))</f>
        <v>0</v>
      </c>
      <c r="I135" s="545">
        <f t="shared" ref="I135:J135" si="109">IF(H135="","",I134)</f>
        <v>645.78248</v>
      </c>
      <c r="J135" s="545">
        <f t="shared" si="109"/>
        <v>244.016</v>
      </c>
      <c r="K135" s="545">
        <f>IF($M135="","", IF(ARBITRAGES!$G135&gt;0,IF(ARBITRAGES!$H135="*jup*",K134+ARBITRAGES!$G135,K134),K134))</f>
        <v>0</v>
      </c>
      <c r="L135" s="545">
        <f>IF($M135="","", IF(ARBITRAGES!$G135&gt;0,IF(ARBITRAGES!$H135="*aave*",L134+ARBITRAGES!$G135,L134),L134))</f>
        <v>0</v>
      </c>
      <c r="M135" s="540">
        <f>IF(ARBITRAGES!E135="","",ARBITRAGES!E135)</f>
        <v>45887</v>
      </c>
      <c r="N135" s="541">
        <f>IF(M135="","", SUM(A135:H135)+ARBITRAGES!$K$3)</f>
        <v>37467.52166</v>
      </c>
      <c r="O135" s="542">
        <f>IF(M135="","",PRIX!U135)</f>
        <v>60469.59993</v>
      </c>
      <c r="Q135" s="543">
        <f t="shared" si="1"/>
        <v>0.613920464</v>
      </c>
      <c r="S135" s="544">
        <f t="shared" si="2"/>
        <v>23002.07828</v>
      </c>
    </row>
    <row r="136">
      <c r="A136" s="545">
        <f>IF($M136="","", IF(ARBITRAGES!$G136&gt;0,IF(ARBITRAGES!$H136="btc",A135+ARBITRAGES!$G136,A135),A135))</f>
        <v>5999.429056</v>
      </c>
      <c r="B136" s="545">
        <f>IF($M136="","", IF(ARBITRAGES!$G136&gt;0,IF(ARBITRAGES!$H136="eth",B135+ARBITRAGES!$G136,B135),B135))</f>
        <v>5059.398762</v>
      </c>
      <c r="C136" s="545">
        <f>IF($M136="","", IF(ARBITRAGES!$G136&gt;0,IF(ARBITRAGES!$H136="ton",C135+ARBITRAGES!$G136,C135),C135))</f>
        <v>0</v>
      </c>
      <c r="D136" s="545">
        <f>IF($M136="","", IF(ARBITRAGES!$G136&gt;0,IF(ARBITRAGES!$H136="sol",D135+ARBITRAGES!$G136,D135),D135))</f>
        <v>4858.693837</v>
      </c>
      <c r="E136" s="545">
        <f>IF($M136="","", IF(ARBITRAGES!$G136&gt;0,IF(ARBITRAGES!$H136="tao",E135+ARBITRAGES!$G136,E135),E135))</f>
        <v>0</v>
      </c>
      <c r="F136" s="545">
        <f>IF($M136="","", IF(ARBITRAGES!$G136&gt;0,IF(ARBITRAGES!$H136="ron",F135+ARBITRAGES!$G136,F135),F135))</f>
        <v>0</v>
      </c>
      <c r="G136" s="545">
        <f>IF($M136="","", IF(ARBITRAGES!$G136&gt;0,IF(ARBITRAGES!$H136="link",G135+ARBITRAGES!$G136,G135),G135))</f>
        <v>0</v>
      </c>
      <c r="H136" s="545">
        <f>IF($M136="","", IF(ARBITRAGES!$G136&gt;0,IF(ARBITRAGES!$H136="doge",H135+ARBITRAGES!$G136,H135),H135))</f>
        <v>0</v>
      </c>
      <c r="I136" s="545">
        <f t="shared" ref="I136:J136" si="110">IF(H136="","",I135)</f>
        <v>645.78248</v>
      </c>
      <c r="J136" s="545">
        <f t="shared" si="110"/>
        <v>244.016</v>
      </c>
      <c r="K136" s="545">
        <f>IF($M136="","", IF(ARBITRAGES!$G136&gt;0,IF(ARBITRAGES!$H136="*jup*",K135+ARBITRAGES!$G136,K135),K135))</f>
        <v>0</v>
      </c>
      <c r="L136" s="545">
        <f>IF($M136="","", IF(ARBITRAGES!$G136&gt;0,IF(ARBITRAGES!$H136="*aave*",L135+ARBITRAGES!$G136,L135),L135))</f>
        <v>0</v>
      </c>
      <c r="M136" s="540">
        <f>IF(ARBITRAGES!E136="","",ARBITRAGES!E136)</f>
        <v>45887</v>
      </c>
      <c r="N136" s="541">
        <f>IF(M136="","", SUM(A136:H136)+ARBITRAGES!$K$3)</f>
        <v>37467.52166</v>
      </c>
      <c r="O136" s="542">
        <f>IF(M136="","",PRIX!U136)</f>
        <v>60474.59993</v>
      </c>
      <c r="Q136" s="543">
        <f t="shared" si="1"/>
        <v>0.6140539129</v>
      </c>
      <c r="S136" s="544">
        <f t="shared" si="2"/>
        <v>23007.07828</v>
      </c>
    </row>
    <row r="137">
      <c r="A137" s="545">
        <f>IF($M137="","", IF(ARBITRAGES!$G137&gt;0,IF(ARBITRAGES!$H137="btc",A136+ARBITRAGES!$G137,A136),A136))</f>
        <v>5999.429056</v>
      </c>
      <c r="B137" s="545">
        <f>IF($M137="","", IF(ARBITRAGES!$G137&gt;0,IF(ARBITRAGES!$H137="eth",B136+ARBITRAGES!$G137,B136),B136))</f>
        <v>5059.398762</v>
      </c>
      <c r="C137" s="545">
        <f>IF($M137="","", IF(ARBITRAGES!$G137&gt;0,IF(ARBITRAGES!$H137="ton",C136+ARBITRAGES!$G137,C136),C136))</f>
        <v>0</v>
      </c>
      <c r="D137" s="545">
        <f>IF($M137="","", IF(ARBITRAGES!$G137&gt;0,IF(ARBITRAGES!$H137="sol",D136+ARBITRAGES!$G137,D136),D136))</f>
        <v>4858.693837</v>
      </c>
      <c r="E137" s="545">
        <f>IF($M137="","", IF(ARBITRAGES!$G137&gt;0,IF(ARBITRAGES!$H137="tao",E136+ARBITRAGES!$G137,E136),E136))</f>
        <v>0</v>
      </c>
      <c r="F137" s="545">
        <f>IF($M137="","", IF(ARBITRAGES!$G137&gt;0,IF(ARBITRAGES!$H137="ron",F136+ARBITRAGES!$G137,F136),F136))</f>
        <v>0</v>
      </c>
      <c r="G137" s="545">
        <f>IF($M137="","", IF(ARBITRAGES!$G137&gt;0,IF(ARBITRAGES!$H137="link",G136+ARBITRAGES!$G137,G136),G136))</f>
        <v>0</v>
      </c>
      <c r="H137" s="545">
        <f>IF($M137="","", IF(ARBITRAGES!$G137&gt;0,IF(ARBITRAGES!$H137="doge",H136+ARBITRAGES!$G137,H136),H136))</f>
        <v>0</v>
      </c>
      <c r="I137" s="545">
        <f t="shared" ref="I137:J137" si="111">IF(H137="","",I136)</f>
        <v>645.78248</v>
      </c>
      <c r="J137" s="545">
        <f t="shared" si="111"/>
        <v>244.016</v>
      </c>
      <c r="K137" s="545">
        <f>IF($M137="","", IF(ARBITRAGES!$G137&gt;0,IF(ARBITRAGES!$H137="*jup*",K136+ARBITRAGES!$G137,K136),K136))</f>
        <v>0</v>
      </c>
      <c r="L137" s="545">
        <f>IF($M137="","", IF(ARBITRAGES!$G137&gt;0,IF(ARBITRAGES!$H137="*aave*",L136+ARBITRAGES!$G137,L136),L136))</f>
        <v>0</v>
      </c>
      <c r="M137" s="540">
        <f>IF(ARBITRAGES!E137="","",ARBITRAGES!E137)</f>
        <v>45887</v>
      </c>
      <c r="N137" s="541">
        <f>IF(M137="","", SUM(A137:H137)+ARBITRAGES!$K$3)</f>
        <v>37467.52166</v>
      </c>
      <c r="O137" s="542">
        <f>IF(M137="","",PRIX!U137)</f>
        <v>60474.59993</v>
      </c>
      <c r="Q137" s="543">
        <f t="shared" si="1"/>
        <v>0.6140539129</v>
      </c>
      <c r="S137" s="544">
        <f t="shared" si="2"/>
        <v>23007.07828</v>
      </c>
    </row>
    <row r="138">
      <c r="A138" s="545">
        <f>IF($M138="","", IF(ARBITRAGES!$G138&gt;0,IF(ARBITRAGES!$H138="btc",A137+ARBITRAGES!$G138,A137),A137))</f>
        <v>5999.429056</v>
      </c>
      <c r="B138" s="545">
        <f>IF($M138="","", IF(ARBITRAGES!$G138&gt;0,IF(ARBITRAGES!$H138="eth",B137+ARBITRAGES!$G138,B137),B137))</f>
        <v>5059.398762</v>
      </c>
      <c r="C138" s="545">
        <f>IF($M138="","", IF(ARBITRAGES!$G138&gt;0,IF(ARBITRAGES!$H138="ton",C137+ARBITRAGES!$G138,C137),C137))</f>
        <v>0</v>
      </c>
      <c r="D138" s="545">
        <f>IF($M138="","", IF(ARBITRAGES!$G138&gt;0,IF(ARBITRAGES!$H138="sol",D137+ARBITRAGES!$G138,D137),D137))</f>
        <v>4858.693837</v>
      </c>
      <c r="E138" s="545">
        <f>IF($M138="","", IF(ARBITRAGES!$G138&gt;0,IF(ARBITRAGES!$H138="tao",E137+ARBITRAGES!$G138,E137),E137))</f>
        <v>0</v>
      </c>
      <c r="F138" s="545">
        <f>IF($M138="","", IF(ARBITRAGES!$G138&gt;0,IF(ARBITRAGES!$H138="ron",F137+ARBITRAGES!$G138,F137),F137))</f>
        <v>0</v>
      </c>
      <c r="G138" s="545">
        <f>IF($M138="","", IF(ARBITRAGES!$G138&gt;0,IF(ARBITRAGES!$H138="link",G137+ARBITRAGES!$G138,G137),G137))</f>
        <v>0</v>
      </c>
      <c r="H138" s="545">
        <f>IF($M138="","", IF(ARBITRAGES!$G138&gt;0,IF(ARBITRAGES!$H138="doge",H137+ARBITRAGES!$G138,H137),H137))</f>
        <v>0</v>
      </c>
      <c r="I138" s="545">
        <f t="shared" ref="I138:J138" si="112">IF(H138="","",I137)</f>
        <v>645.78248</v>
      </c>
      <c r="J138" s="545">
        <f t="shared" si="112"/>
        <v>244.016</v>
      </c>
      <c r="K138" s="545">
        <f>IF($M138="","", IF(ARBITRAGES!$G138&gt;0,IF(ARBITRAGES!$H138="*jup*",K137+ARBITRAGES!$G138,K137),K137))</f>
        <v>0</v>
      </c>
      <c r="L138" s="545">
        <f>IF($M138="","", IF(ARBITRAGES!$G138&gt;0,IF(ARBITRAGES!$H138="*aave*",L137+ARBITRAGES!$G138,L137),L137))</f>
        <v>0</v>
      </c>
      <c r="M138" s="540">
        <f>IF(ARBITRAGES!E138="","",ARBITRAGES!E138)</f>
        <v>45888</v>
      </c>
      <c r="N138" s="541">
        <f>IF(M138="","", SUM(A138:H138)+ARBITRAGES!$K$3)</f>
        <v>37467.52166</v>
      </c>
      <c r="O138" s="542">
        <f>IF(M138="","",PRIX!U138)</f>
        <v>60473.59993</v>
      </c>
      <c r="Q138" s="543">
        <f t="shared" si="1"/>
        <v>0.6140272231</v>
      </c>
      <c r="S138" s="544">
        <f t="shared" si="2"/>
        <v>23006.07828</v>
      </c>
    </row>
    <row r="139">
      <c r="A139" s="545">
        <f>IF($M139="","", IF(ARBITRAGES!$G139&gt;0,IF(ARBITRAGES!$H139="btc",A138+ARBITRAGES!$G139,A138),A138))</f>
        <v>5999.429056</v>
      </c>
      <c r="B139" s="545">
        <f>IF($M139="","", IF(ARBITRAGES!$G139&gt;0,IF(ARBITRAGES!$H139="eth",B138+ARBITRAGES!$G139,B138),B138))</f>
        <v>5059.398762</v>
      </c>
      <c r="C139" s="545">
        <f>IF($M139="","", IF(ARBITRAGES!$G139&gt;0,IF(ARBITRAGES!$H139="ton",C138+ARBITRAGES!$G139,C138),C138))</f>
        <v>0</v>
      </c>
      <c r="D139" s="545">
        <f>IF($M139="","", IF(ARBITRAGES!$G139&gt;0,IF(ARBITRAGES!$H139="sol",D138+ARBITRAGES!$G139,D138),D138))</f>
        <v>4858.693837</v>
      </c>
      <c r="E139" s="545">
        <f>IF($M139="","", IF(ARBITRAGES!$G139&gt;0,IF(ARBITRAGES!$H139="tao",E138+ARBITRAGES!$G139,E138),E138))</f>
        <v>0</v>
      </c>
      <c r="F139" s="545">
        <f>IF($M139="","", IF(ARBITRAGES!$G139&gt;0,IF(ARBITRAGES!$H139="ron",F138+ARBITRAGES!$G139,F138),F138))</f>
        <v>0</v>
      </c>
      <c r="G139" s="545">
        <f>IF($M139="","", IF(ARBITRAGES!$G139&gt;0,IF(ARBITRAGES!$H139="link",G138+ARBITRAGES!$G139,G138),G138))</f>
        <v>0</v>
      </c>
      <c r="H139" s="545">
        <f>IF($M139="","", IF(ARBITRAGES!$G139&gt;0,IF(ARBITRAGES!$H139="doge",H138+ARBITRAGES!$G139,H138),H138))</f>
        <v>0</v>
      </c>
      <c r="I139" s="545">
        <f t="shared" ref="I139:J139" si="113">IF(H139="","",I138)</f>
        <v>645.78248</v>
      </c>
      <c r="J139" s="545">
        <f t="shared" si="113"/>
        <v>244.016</v>
      </c>
      <c r="K139" s="545">
        <f>IF($M139="","", IF(ARBITRAGES!$G139&gt;0,IF(ARBITRAGES!$H139="*jup*",K138+ARBITRAGES!$G139,K138),K138))</f>
        <v>0</v>
      </c>
      <c r="L139" s="545">
        <f>IF($M139="","", IF(ARBITRAGES!$G139&gt;0,IF(ARBITRAGES!$H139="*aave*",L138+ARBITRAGES!$G139,L138),L138))</f>
        <v>0</v>
      </c>
      <c r="M139" s="540">
        <f>IF(ARBITRAGES!E139="","",ARBITRAGES!E139)</f>
        <v>45888</v>
      </c>
      <c r="N139" s="541">
        <f>IF(M139="","", SUM(A139:H139)+ARBITRAGES!$K$3)</f>
        <v>37467.52166</v>
      </c>
      <c r="O139" s="542">
        <f>IF(M139="","",PRIX!U139)</f>
        <v>59958.34681</v>
      </c>
      <c r="Q139" s="543">
        <f t="shared" si="1"/>
        <v>0.6002752293</v>
      </c>
      <c r="S139" s="544">
        <f t="shared" si="2"/>
        <v>22490.82515</v>
      </c>
    </row>
    <row r="140">
      <c r="A140" s="545">
        <f>IF($M140="","", IF(ARBITRAGES!$G140&gt;0,IF(ARBITRAGES!$H140="btc",A139+ARBITRAGES!$G140,A139),A139))</f>
        <v>5999.429056</v>
      </c>
      <c r="B140" s="545">
        <f>IF($M140="","", IF(ARBITRAGES!$G140&gt;0,IF(ARBITRAGES!$H140="eth",B139+ARBITRAGES!$G140,B139),B139))</f>
        <v>5059.398762</v>
      </c>
      <c r="C140" s="545">
        <f>IF($M140="","", IF(ARBITRAGES!$G140&gt;0,IF(ARBITRAGES!$H140="ton",C139+ARBITRAGES!$G140,C139),C139))</f>
        <v>0</v>
      </c>
      <c r="D140" s="545">
        <f>IF($M140="","", IF(ARBITRAGES!$G140&gt;0,IF(ARBITRAGES!$H140="sol",D139+ARBITRAGES!$G140,D139),D139))</f>
        <v>4858.693837</v>
      </c>
      <c r="E140" s="545">
        <f>IF($M140="","", IF(ARBITRAGES!$G140&gt;0,IF(ARBITRAGES!$H140="tao",E139+ARBITRAGES!$G140,E139),E139))</f>
        <v>0</v>
      </c>
      <c r="F140" s="545">
        <f>IF($M140="","", IF(ARBITRAGES!$G140&gt;0,IF(ARBITRAGES!$H140="ron",F139+ARBITRAGES!$G140,F139),F139))</f>
        <v>0</v>
      </c>
      <c r="G140" s="545">
        <f>IF($M140="","", IF(ARBITRAGES!$G140&gt;0,IF(ARBITRAGES!$H140="link",G139+ARBITRAGES!$G140,G139),G139))</f>
        <v>0</v>
      </c>
      <c r="H140" s="545">
        <f>IF($M140="","", IF(ARBITRAGES!$G140&gt;0,IF(ARBITRAGES!$H140="doge",H139+ARBITRAGES!$G140,H139),H139))</f>
        <v>0</v>
      </c>
      <c r="I140" s="545">
        <f t="shared" ref="I140:J140" si="114">IF(H140="","",I139)</f>
        <v>645.78248</v>
      </c>
      <c r="J140" s="545">
        <f t="shared" si="114"/>
        <v>244.016</v>
      </c>
      <c r="K140" s="545">
        <f>IF($M140="","", IF(ARBITRAGES!$G140&gt;0,IF(ARBITRAGES!$H140="*jup*",K139+ARBITRAGES!$G140,K139),K139))</f>
        <v>0</v>
      </c>
      <c r="L140" s="545">
        <f>IF($M140="","", IF(ARBITRAGES!$G140&gt;0,IF(ARBITRAGES!$H140="*aave*",L139+ARBITRAGES!$G140,L139),L139))</f>
        <v>0</v>
      </c>
      <c r="M140" s="540">
        <f>IF(ARBITRAGES!E140="","",ARBITRAGES!E140)</f>
        <v>45889</v>
      </c>
      <c r="N140" s="541">
        <f>IF(M140="","", SUM(A140:H140)+ARBITRAGES!$K$3)</f>
        <v>37467.52166</v>
      </c>
      <c r="O140" s="542">
        <f>IF(M140="","",PRIX!U140)</f>
        <v>59962.34681</v>
      </c>
      <c r="Q140" s="543">
        <f t="shared" si="1"/>
        <v>0.6003819884</v>
      </c>
      <c r="S140" s="544">
        <f t="shared" si="2"/>
        <v>22494.82515</v>
      </c>
    </row>
    <row r="141">
      <c r="A141" s="545">
        <f>IF($M141="","", IF(ARBITRAGES!$G141&gt;0,IF(ARBITRAGES!$H141="btc",A140+ARBITRAGES!$G141,A140),A140))</f>
        <v>5999.429056</v>
      </c>
      <c r="B141" s="545">
        <f>IF($M141="","", IF(ARBITRAGES!$G141&gt;0,IF(ARBITRAGES!$H141="eth",B140+ARBITRAGES!$G141,B140),B140))</f>
        <v>5059.398762</v>
      </c>
      <c r="C141" s="545">
        <f>IF($M141="","", IF(ARBITRAGES!$G141&gt;0,IF(ARBITRAGES!$H141="ton",C140+ARBITRAGES!$G141,C140),C140))</f>
        <v>0</v>
      </c>
      <c r="D141" s="545">
        <f>IF($M141="","", IF(ARBITRAGES!$G141&gt;0,IF(ARBITRAGES!$H141="sol",D140+ARBITRAGES!$G141,D140),D140))</f>
        <v>4858.693837</v>
      </c>
      <c r="E141" s="545">
        <f>IF($M141="","", IF(ARBITRAGES!$G141&gt;0,IF(ARBITRAGES!$H141="tao",E140+ARBITRAGES!$G141,E140),E140))</f>
        <v>0</v>
      </c>
      <c r="F141" s="545">
        <f>IF($M141="","", IF(ARBITRAGES!$G141&gt;0,IF(ARBITRAGES!$H141="ron",F140+ARBITRAGES!$G141,F140),F140))</f>
        <v>0</v>
      </c>
      <c r="G141" s="545">
        <f>IF($M141="","", IF(ARBITRAGES!$G141&gt;0,IF(ARBITRAGES!$H141="link",G140+ARBITRAGES!$G141,G140),G140))</f>
        <v>0</v>
      </c>
      <c r="H141" s="545">
        <f>IF($M141="","", IF(ARBITRAGES!$G141&gt;0,IF(ARBITRAGES!$H141="doge",H140+ARBITRAGES!$G141,H140),H140))</f>
        <v>0</v>
      </c>
      <c r="I141" s="545">
        <f t="shared" ref="I141:J141" si="115">IF(H141="","",I140)</f>
        <v>645.78248</v>
      </c>
      <c r="J141" s="545">
        <f t="shared" si="115"/>
        <v>244.016</v>
      </c>
      <c r="K141" s="545">
        <f>IF($M141="","", IF(ARBITRAGES!$G141&gt;0,IF(ARBITRAGES!$H141="*jup*",K140+ARBITRAGES!$G141,K140),K140))</f>
        <v>0</v>
      </c>
      <c r="L141" s="545">
        <f>IF($M141="","", IF(ARBITRAGES!$G141&gt;0,IF(ARBITRAGES!$H141="*aave*",L140+ARBITRAGES!$G141,L140),L140))</f>
        <v>0</v>
      </c>
      <c r="M141" s="540">
        <f>IF(ARBITRAGES!E141="","",ARBITRAGES!E141)</f>
        <v>45891</v>
      </c>
      <c r="N141" s="541">
        <f>IF(M141="","", SUM(A141:H141)+ARBITRAGES!$K$3)</f>
        <v>37467.52166</v>
      </c>
      <c r="O141" s="542">
        <f>IF(M141="","",PRIX!U141)</f>
        <v>62926.3</v>
      </c>
      <c r="Q141" s="543">
        <f t="shared" si="1"/>
        <v>0.6794892541</v>
      </c>
      <c r="S141" s="544">
        <f t="shared" si="2"/>
        <v>25458.77834</v>
      </c>
    </row>
    <row r="142">
      <c r="A142" s="545">
        <f>IF($M142="","", IF(ARBITRAGES!$G142&gt;0,IF(ARBITRAGES!$H142="btc",A141+ARBITRAGES!$G142,A141),A141))</f>
        <v>5999.429056</v>
      </c>
      <c r="B142" s="545">
        <f>IF($M142="","", IF(ARBITRAGES!$G142&gt;0,IF(ARBITRAGES!$H142="eth",B141+ARBITRAGES!$G142,B141),B141))</f>
        <v>5059.398762</v>
      </c>
      <c r="C142" s="545">
        <f>IF($M142="","", IF(ARBITRAGES!$G142&gt;0,IF(ARBITRAGES!$H142="ton",C141+ARBITRAGES!$G142,C141),C141))</f>
        <v>0</v>
      </c>
      <c r="D142" s="545">
        <f>IF($M142="","", IF(ARBITRAGES!$G142&gt;0,IF(ARBITRAGES!$H142="sol",D141+ARBITRAGES!$G142,D141),D141))</f>
        <v>4858.693837</v>
      </c>
      <c r="E142" s="545">
        <f>IF($M142="","", IF(ARBITRAGES!$G142&gt;0,IF(ARBITRAGES!$H142="tao",E141+ARBITRAGES!$G142,E141),E141))</f>
        <v>0</v>
      </c>
      <c r="F142" s="545">
        <f>IF($M142="","", IF(ARBITRAGES!$G142&gt;0,IF(ARBITRAGES!$H142="ron",F141+ARBITRAGES!$G142,F141),F141))</f>
        <v>0</v>
      </c>
      <c r="G142" s="545">
        <f>IF($M142="","", IF(ARBITRAGES!$G142&gt;0,IF(ARBITRAGES!$H142="link",G141+ARBITRAGES!$G142,G141),G141))</f>
        <v>0</v>
      </c>
      <c r="H142" s="545">
        <f>IF($M142="","", IF(ARBITRAGES!$G142&gt;0,IF(ARBITRAGES!$H142="doge",H141+ARBITRAGES!$G142,H141),H141))</f>
        <v>0</v>
      </c>
      <c r="I142" s="545">
        <f t="shared" ref="I142:J142" si="116">IF(H142="","",I141)</f>
        <v>645.78248</v>
      </c>
      <c r="J142" s="545">
        <f t="shared" si="116"/>
        <v>244.016</v>
      </c>
      <c r="K142" s="545">
        <f>IF($M142="","", IF(ARBITRAGES!$G142&gt;0,IF(ARBITRAGES!$H142="*jup*",K141+ARBITRAGES!$G142,K141),K141))</f>
        <v>0</v>
      </c>
      <c r="L142" s="545">
        <f>IF($M142="","", IF(ARBITRAGES!$G142&gt;0,IF(ARBITRAGES!$H142="*aave*",L141+ARBITRAGES!$G142,L141),L141))</f>
        <v>0</v>
      </c>
      <c r="M142" s="540">
        <f>IF(ARBITRAGES!E142="","",ARBITRAGES!E142)</f>
        <v>45891</v>
      </c>
      <c r="N142" s="541">
        <f>IF(M142="","", SUM(A142:H142)+ARBITRAGES!$K$3)</f>
        <v>37467.52166</v>
      </c>
      <c r="O142" s="542">
        <f>IF(M142="","",PRIX!U142)</f>
        <v>62926.3</v>
      </c>
      <c r="Q142" s="543">
        <f t="shared" si="1"/>
        <v>0.6794892541</v>
      </c>
      <c r="S142" s="544">
        <f t="shared" si="2"/>
        <v>25458.77834</v>
      </c>
    </row>
    <row r="143">
      <c r="A143" s="545">
        <f>IF($M143="","", IF(ARBITRAGES!$G143&gt;0,IF(ARBITRAGES!$H143="btc",A142+ARBITRAGES!$G143,A142),A142))</f>
        <v>5999.429056</v>
      </c>
      <c r="B143" s="545">
        <f>IF($M143="","", IF(ARBITRAGES!$G143&gt;0,IF(ARBITRAGES!$H143="eth",B142+ARBITRAGES!$G143,B142),B142))</f>
        <v>5059.398762</v>
      </c>
      <c r="C143" s="545">
        <f>IF($M143="","", IF(ARBITRAGES!$G143&gt;0,IF(ARBITRAGES!$H143="ton",C142+ARBITRAGES!$G143,C142),C142))</f>
        <v>0</v>
      </c>
      <c r="D143" s="545">
        <f>IF($M143="","", IF(ARBITRAGES!$G143&gt;0,IF(ARBITRAGES!$H143="sol",D142+ARBITRAGES!$G143,D142),D142))</f>
        <v>4858.693837</v>
      </c>
      <c r="E143" s="545">
        <f>IF($M143="","", IF(ARBITRAGES!$G143&gt;0,IF(ARBITRAGES!$H143="tao",E142+ARBITRAGES!$G143,E142),E142))</f>
        <v>0</v>
      </c>
      <c r="F143" s="545">
        <f>IF($M143="","", IF(ARBITRAGES!$G143&gt;0,IF(ARBITRAGES!$H143="ron",F142+ARBITRAGES!$G143,F142),F142))</f>
        <v>0</v>
      </c>
      <c r="G143" s="545">
        <f>IF($M143="","", IF(ARBITRAGES!$G143&gt;0,IF(ARBITRAGES!$H143="link",G142+ARBITRAGES!$G143,G142),G142))</f>
        <v>0</v>
      </c>
      <c r="H143" s="545">
        <f>IF($M143="","", IF(ARBITRAGES!$G143&gt;0,IF(ARBITRAGES!$H143="doge",H142+ARBITRAGES!$G143,H142),H142))</f>
        <v>0</v>
      </c>
      <c r="I143" s="545">
        <f t="shared" ref="I143:J143" si="117">IF(H143="","",I142)</f>
        <v>645.78248</v>
      </c>
      <c r="J143" s="545">
        <f t="shared" si="117"/>
        <v>244.016</v>
      </c>
      <c r="K143" s="545">
        <f>IF($M143="","", IF(ARBITRAGES!$G143&gt;0,IF(ARBITRAGES!$H143="*jup*",K142+ARBITRAGES!$G143,K142),K142))</f>
        <v>0</v>
      </c>
      <c r="L143" s="545">
        <f>IF($M143="","", IF(ARBITRAGES!$G143&gt;0,IF(ARBITRAGES!$H143="*aave*",L142+ARBITRAGES!$G143,L142),L142))</f>
        <v>0</v>
      </c>
      <c r="M143" s="540">
        <f>IF(ARBITRAGES!E143="","",ARBITRAGES!E143)</f>
        <v>45892</v>
      </c>
      <c r="N143" s="541">
        <f>IF(M143="","", SUM(A143:H143)+ARBITRAGES!$K$3)</f>
        <v>37467.52166</v>
      </c>
      <c r="O143" s="542">
        <f>IF(M143="","",PRIX!U143)</f>
        <v>62971.3</v>
      </c>
      <c r="Q143" s="543">
        <f t="shared" si="1"/>
        <v>0.6806902943</v>
      </c>
      <c r="S143" s="544">
        <f t="shared" si="2"/>
        <v>25503.77834</v>
      </c>
    </row>
    <row r="144">
      <c r="A144" s="545">
        <f>IF($M144="","", IF(ARBITRAGES!$G144&gt;0,IF(ARBITRAGES!$H144="btc",A143+ARBITRAGES!$G144,A143),A143))</f>
        <v>5999.429056</v>
      </c>
      <c r="B144" s="545">
        <f>IF($M144="","", IF(ARBITRAGES!$G144&gt;0,IF(ARBITRAGES!$H144="eth",B143+ARBITRAGES!$G144,B143),B143))</f>
        <v>5059.398762</v>
      </c>
      <c r="C144" s="545">
        <f>IF($M144="","", IF(ARBITRAGES!$G144&gt;0,IF(ARBITRAGES!$H144="ton",C143+ARBITRAGES!$G144,C143),C143))</f>
        <v>0</v>
      </c>
      <c r="D144" s="545">
        <f>IF($M144="","", IF(ARBITRAGES!$G144&gt;0,IF(ARBITRAGES!$H144="sol",D143+ARBITRAGES!$G144,D143),D143))</f>
        <v>4858.693837</v>
      </c>
      <c r="E144" s="545">
        <f>IF($M144="","", IF(ARBITRAGES!$G144&gt;0,IF(ARBITRAGES!$H144="tao",E143+ARBITRAGES!$G144,E143),E143))</f>
        <v>0</v>
      </c>
      <c r="F144" s="545">
        <f>IF($M144="","", IF(ARBITRAGES!$G144&gt;0,IF(ARBITRAGES!$H144="ron",F143+ARBITRAGES!$G144,F143),F143))</f>
        <v>0</v>
      </c>
      <c r="G144" s="545">
        <f>IF($M144="","", IF(ARBITRAGES!$G144&gt;0,IF(ARBITRAGES!$H144="link",G143+ARBITRAGES!$G144,G143),G143))</f>
        <v>0</v>
      </c>
      <c r="H144" s="545">
        <f>IF($M144="","", IF(ARBITRAGES!$G144&gt;0,IF(ARBITRAGES!$H144="doge",H143+ARBITRAGES!$G144,H143),H143))</f>
        <v>0</v>
      </c>
      <c r="I144" s="545">
        <f t="shared" ref="I144:J144" si="118">IF(H144="","",I143)</f>
        <v>645.78248</v>
      </c>
      <c r="J144" s="545">
        <f t="shared" si="118"/>
        <v>244.016</v>
      </c>
      <c r="K144" s="545">
        <f>IF($M144="","", IF(ARBITRAGES!$G144&gt;0,IF(ARBITRAGES!$H144="*jup*",K143+ARBITRAGES!$G144,K143),K143))</f>
        <v>0</v>
      </c>
      <c r="L144" s="545">
        <f>IF($M144="","", IF(ARBITRAGES!$G144&gt;0,IF(ARBITRAGES!$H144="*aave*",L143+ARBITRAGES!$G144,L143),L143))</f>
        <v>0</v>
      </c>
      <c r="M144" s="540">
        <f>IF(ARBITRAGES!E144="","",ARBITRAGES!E144)</f>
        <v>45894</v>
      </c>
      <c r="N144" s="541">
        <f>IF(M144="","", SUM(A144:H144)+ARBITRAGES!$K$3)</f>
        <v>37467.52166</v>
      </c>
      <c r="O144" s="542">
        <f>IF(M144="","",PRIX!U144)</f>
        <v>59614.91091</v>
      </c>
      <c r="Q144" s="543">
        <f t="shared" si="1"/>
        <v>0.5911089999</v>
      </c>
      <c r="S144" s="544">
        <f t="shared" si="2"/>
        <v>22147.38925</v>
      </c>
    </row>
    <row r="145">
      <c r="A145" s="545">
        <f>IF($M145="","", IF(ARBITRAGES!$G145&gt;0,IF(ARBITRAGES!$H145="btc",A144+ARBITRAGES!$G145,A144),A144))</f>
        <v>5999.429056</v>
      </c>
      <c r="B145" s="545">
        <f>IF($M145="","", IF(ARBITRAGES!$G145&gt;0,IF(ARBITRAGES!$H145="eth",B144+ARBITRAGES!$G145,B144),B144))</f>
        <v>5059.398762</v>
      </c>
      <c r="C145" s="545">
        <f>IF($M145="","", IF(ARBITRAGES!$G145&gt;0,IF(ARBITRAGES!$H145="ton",C144+ARBITRAGES!$G145,C144),C144))</f>
        <v>0</v>
      </c>
      <c r="D145" s="545">
        <f>IF($M145="","", IF(ARBITRAGES!$G145&gt;0,IF(ARBITRAGES!$H145="sol",D144+ARBITRAGES!$G145,D144),D144))</f>
        <v>4858.693837</v>
      </c>
      <c r="E145" s="545">
        <f>IF($M145="","", IF(ARBITRAGES!$G145&gt;0,IF(ARBITRAGES!$H145="tao",E144+ARBITRAGES!$G145,E144),E144))</f>
        <v>0</v>
      </c>
      <c r="F145" s="545">
        <f>IF($M145="","", IF(ARBITRAGES!$G145&gt;0,IF(ARBITRAGES!$H145="ron",F144+ARBITRAGES!$G145,F144),F144))</f>
        <v>0</v>
      </c>
      <c r="G145" s="545">
        <f>IF($M145="","", IF(ARBITRAGES!$G145&gt;0,IF(ARBITRAGES!$H145="link",G144+ARBITRAGES!$G145,G144),G144))</f>
        <v>0</v>
      </c>
      <c r="H145" s="545">
        <f>IF($M145="","", IF(ARBITRAGES!$G145&gt;0,IF(ARBITRAGES!$H145="doge",H144+ARBITRAGES!$G145,H144),H144))</f>
        <v>0</v>
      </c>
      <c r="I145" s="545">
        <f t="shared" ref="I145:J145" si="119">IF(H145="","",I144)</f>
        <v>645.78248</v>
      </c>
      <c r="J145" s="545">
        <f t="shared" si="119"/>
        <v>244.016</v>
      </c>
      <c r="K145" s="545">
        <f>IF($M145="","", IF(ARBITRAGES!$G145&gt;0,IF(ARBITRAGES!$H145="*jup*",K144+ARBITRAGES!$G145,K144),K144))</f>
        <v>0</v>
      </c>
      <c r="L145" s="545">
        <f>IF($M145="","", IF(ARBITRAGES!$G145&gt;0,IF(ARBITRAGES!$H145="*aave*",L144+ARBITRAGES!$G145,L144),L144))</f>
        <v>0</v>
      </c>
      <c r="M145" s="540">
        <f>IF(ARBITRAGES!E145="","",ARBITRAGES!E145)</f>
        <v>45894</v>
      </c>
      <c r="N145" s="541">
        <f>IF(M145="","", SUM(A145:H145)+ARBITRAGES!$K$3)</f>
        <v>37467.52166</v>
      </c>
      <c r="O145" s="542">
        <f>IF(M145="","",PRIX!U145)</f>
        <v>59615.33091</v>
      </c>
      <c r="Q145" s="543">
        <f t="shared" si="1"/>
        <v>0.5911202096</v>
      </c>
      <c r="S145" s="544">
        <f t="shared" si="2"/>
        <v>22147.80925</v>
      </c>
    </row>
    <row r="146">
      <c r="A146" s="545">
        <f>IF($M146="","", IF(ARBITRAGES!$G146&gt;0,IF(ARBITRAGES!$H146="btc",A145+ARBITRAGES!$G146,A145),A145))</f>
        <v>5999.429056</v>
      </c>
      <c r="B146" s="545">
        <f>IF($M146="","", IF(ARBITRAGES!$G146&gt;0,IF(ARBITRAGES!$H146="eth",B145+ARBITRAGES!$G146,B145),B145))</f>
        <v>5059.398762</v>
      </c>
      <c r="C146" s="545">
        <f>IF($M146="","", IF(ARBITRAGES!$G146&gt;0,IF(ARBITRAGES!$H146="ton",C145+ARBITRAGES!$G146,C145),C145))</f>
        <v>0</v>
      </c>
      <c r="D146" s="545">
        <f>IF($M146="","", IF(ARBITRAGES!$G146&gt;0,IF(ARBITRAGES!$H146="sol",D145+ARBITRAGES!$G146,D145),D145))</f>
        <v>4858.693837</v>
      </c>
      <c r="E146" s="545">
        <f>IF($M146="","", IF(ARBITRAGES!$G146&gt;0,IF(ARBITRAGES!$H146="tao",E145+ARBITRAGES!$G146,E145),E145))</f>
        <v>0</v>
      </c>
      <c r="F146" s="545">
        <f>IF($M146="","", IF(ARBITRAGES!$G146&gt;0,IF(ARBITRAGES!$H146="ron",F145+ARBITRAGES!$G146,F145),F145))</f>
        <v>0</v>
      </c>
      <c r="G146" s="545">
        <f>IF($M146="","", IF(ARBITRAGES!$G146&gt;0,IF(ARBITRAGES!$H146="link",G145+ARBITRAGES!$G146,G145),G145))</f>
        <v>0</v>
      </c>
      <c r="H146" s="545">
        <f>IF($M146="","", IF(ARBITRAGES!$G146&gt;0,IF(ARBITRAGES!$H146="doge",H145+ARBITRAGES!$G146,H145),H145))</f>
        <v>0</v>
      </c>
      <c r="I146" s="545">
        <f t="shared" ref="I146:J146" si="120">IF(H146="","",I145)</f>
        <v>645.78248</v>
      </c>
      <c r="J146" s="545">
        <f t="shared" si="120"/>
        <v>244.016</v>
      </c>
      <c r="K146" s="545">
        <f>IF($M146="","", IF(ARBITRAGES!$G146&gt;0,IF(ARBITRAGES!$H146="*jup*",K145+ARBITRAGES!$G146,K145),K145))</f>
        <v>0</v>
      </c>
      <c r="L146" s="545">
        <f>IF($M146="","", IF(ARBITRAGES!$G146&gt;0,IF(ARBITRAGES!$H146="*aave*",L145+ARBITRAGES!$G146,L145),L145))</f>
        <v>0</v>
      </c>
      <c r="M146" s="540">
        <f>IF(ARBITRAGES!E146="","",ARBITRAGES!E146)</f>
        <v>45894</v>
      </c>
      <c r="N146" s="541">
        <f>IF(M146="","", SUM(A146:H146)+ARBITRAGES!$K$3)</f>
        <v>37467.52166</v>
      </c>
      <c r="O146" s="542">
        <f>IF(M146="","",PRIX!U146)</f>
        <v>59614.25299</v>
      </c>
      <c r="Q146" s="543">
        <f t="shared" si="1"/>
        <v>0.5910914403</v>
      </c>
      <c r="S146" s="544">
        <f t="shared" si="2"/>
        <v>22146.73134</v>
      </c>
    </row>
    <row r="147">
      <c r="A147" s="545">
        <f>IF($M147="","", IF(ARBITRAGES!$G147&gt;0,IF(ARBITRAGES!$H147="btc",A146+ARBITRAGES!$G147,A146),A146))</f>
        <v>5999.429056</v>
      </c>
      <c r="B147" s="545">
        <f>IF($M147="","", IF(ARBITRAGES!$G147&gt;0,IF(ARBITRAGES!$H147="eth",B146+ARBITRAGES!$G147,B146),B146))</f>
        <v>5059.398762</v>
      </c>
      <c r="C147" s="545">
        <f>IF($M147="","", IF(ARBITRAGES!$G147&gt;0,IF(ARBITRAGES!$H147="ton",C146+ARBITRAGES!$G147,C146),C146))</f>
        <v>0</v>
      </c>
      <c r="D147" s="545">
        <f>IF($M147="","", IF(ARBITRAGES!$G147&gt;0,IF(ARBITRAGES!$H147="sol",D146+ARBITRAGES!$G147,D146),D146))</f>
        <v>4858.693837</v>
      </c>
      <c r="E147" s="545">
        <f>IF($M147="","", IF(ARBITRAGES!$G147&gt;0,IF(ARBITRAGES!$H147="tao",E146+ARBITRAGES!$G147,E146),E146))</f>
        <v>0</v>
      </c>
      <c r="F147" s="545">
        <f>IF($M147="","", IF(ARBITRAGES!$G147&gt;0,IF(ARBITRAGES!$H147="ron",F146+ARBITRAGES!$G147,F146),F146))</f>
        <v>0</v>
      </c>
      <c r="G147" s="545">
        <f>IF($M147="","", IF(ARBITRAGES!$G147&gt;0,IF(ARBITRAGES!$H147="link",G146+ARBITRAGES!$G147,G146),G146))</f>
        <v>0</v>
      </c>
      <c r="H147" s="545">
        <f>IF($M147="","", IF(ARBITRAGES!$G147&gt;0,IF(ARBITRAGES!$H147="doge",H146+ARBITRAGES!$G147,H146),H146))</f>
        <v>0</v>
      </c>
      <c r="I147" s="545">
        <f t="shared" ref="I147:J147" si="121">IF(H147="","",I146)</f>
        <v>645.78248</v>
      </c>
      <c r="J147" s="545">
        <f t="shared" si="121"/>
        <v>244.016</v>
      </c>
      <c r="K147" s="545">
        <f>IF($M147="","", IF(ARBITRAGES!$G147&gt;0,IF(ARBITRAGES!$H147="*jup*",K146+ARBITRAGES!$G147,K146),K146))</f>
        <v>0</v>
      </c>
      <c r="L147" s="545">
        <f>IF($M147="","", IF(ARBITRAGES!$G147&gt;0,IF(ARBITRAGES!$H147="*aave*",L146+ARBITRAGES!$G147,L146),L146))</f>
        <v>0</v>
      </c>
      <c r="M147" s="540">
        <f>IF(ARBITRAGES!E147="","",ARBITRAGES!E147)</f>
        <v>45894</v>
      </c>
      <c r="N147" s="541">
        <f>IF(M147="","", SUM(A147:H147)+ARBITRAGES!$K$3)</f>
        <v>37467.52166</v>
      </c>
      <c r="O147" s="542">
        <f>IF(M147="","",PRIX!U147)</f>
        <v>59602.25299</v>
      </c>
      <c r="Q147" s="543">
        <f t="shared" si="1"/>
        <v>0.5907711629</v>
      </c>
      <c r="S147" s="544">
        <f t="shared" si="2"/>
        <v>22134.73134</v>
      </c>
    </row>
    <row r="148">
      <c r="A148" s="545">
        <f>IF($M148="","", IF(ARBITRAGES!$G148&gt;0,IF(ARBITRAGES!$H148="btc",A147+ARBITRAGES!$G148,A147),A147))</f>
        <v>5999.429056</v>
      </c>
      <c r="B148" s="545">
        <f>IF($M148="","", IF(ARBITRAGES!$G148&gt;0,IF(ARBITRAGES!$H148="eth",B147+ARBITRAGES!$G148,B147),B147))</f>
        <v>5059.398762</v>
      </c>
      <c r="C148" s="545">
        <f>IF($M148="","", IF(ARBITRAGES!$G148&gt;0,IF(ARBITRAGES!$H148="ton",C147+ARBITRAGES!$G148,C147),C147))</f>
        <v>0</v>
      </c>
      <c r="D148" s="545">
        <f>IF($M148="","", IF(ARBITRAGES!$G148&gt;0,IF(ARBITRAGES!$H148="sol",D147+ARBITRAGES!$G148,D147),D147))</f>
        <v>4858.693837</v>
      </c>
      <c r="E148" s="545">
        <f>IF($M148="","", IF(ARBITRAGES!$G148&gt;0,IF(ARBITRAGES!$H148="tao",E147+ARBITRAGES!$G148,E147),E147))</f>
        <v>0</v>
      </c>
      <c r="F148" s="545">
        <f>IF($M148="","", IF(ARBITRAGES!$G148&gt;0,IF(ARBITRAGES!$H148="ron",F147+ARBITRAGES!$G148,F147),F147))</f>
        <v>0</v>
      </c>
      <c r="G148" s="545">
        <f>IF($M148="","", IF(ARBITRAGES!$G148&gt;0,IF(ARBITRAGES!$H148="link",G147+ARBITRAGES!$G148,G147),G147))</f>
        <v>0</v>
      </c>
      <c r="H148" s="545">
        <f>IF($M148="","", IF(ARBITRAGES!$G148&gt;0,IF(ARBITRAGES!$H148="doge",H147+ARBITRAGES!$G148,H147),H147))</f>
        <v>0</v>
      </c>
      <c r="I148" s="545">
        <f t="shared" ref="I148:J148" si="122">IF(H148="","",I147)</f>
        <v>645.78248</v>
      </c>
      <c r="J148" s="545">
        <f t="shared" si="122"/>
        <v>244.016</v>
      </c>
      <c r="K148" s="545">
        <f>IF($M148="","", IF(ARBITRAGES!$G148&gt;0,IF(ARBITRAGES!$H148="*jup*",K147+ARBITRAGES!$G148,K147),K147))</f>
        <v>0</v>
      </c>
      <c r="L148" s="545">
        <f>IF($M148="","", IF(ARBITRAGES!$G148&gt;0,IF(ARBITRAGES!$H148="*aave*",L147+ARBITRAGES!$G148,L147),L147))</f>
        <v>0</v>
      </c>
      <c r="M148" s="540">
        <f>IF(ARBITRAGES!E148="","",ARBITRAGES!E148)</f>
        <v>45895</v>
      </c>
      <c r="N148" s="541">
        <f>IF(M148="","", SUM(A148:H148)+ARBITRAGES!$K$3)</f>
        <v>37467.52166</v>
      </c>
      <c r="O148" s="542">
        <f>IF(M148="","",PRIX!U148)</f>
        <v>59864.82955</v>
      </c>
      <c r="Q148" s="543">
        <f t="shared" si="1"/>
        <v>0.5977792741</v>
      </c>
      <c r="S148" s="544">
        <f t="shared" si="2"/>
        <v>22397.3079</v>
      </c>
    </row>
    <row r="149">
      <c r="A149" s="545">
        <f>IF($M149="","", IF(ARBITRAGES!$G149&gt;0,IF(ARBITRAGES!$H149="btc",A148+ARBITRAGES!$G149,A148),A148))</f>
        <v>5999.429056</v>
      </c>
      <c r="B149" s="545">
        <f>IF($M149="","", IF(ARBITRAGES!$G149&gt;0,IF(ARBITRAGES!$H149="eth",B148+ARBITRAGES!$G149,B148),B148))</f>
        <v>5059.398762</v>
      </c>
      <c r="C149" s="545">
        <f>IF($M149="","", IF(ARBITRAGES!$G149&gt;0,IF(ARBITRAGES!$H149="ton",C148+ARBITRAGES!$G149,C148),C148))</f>
        <v>0</v>
      </c>
      <c r="D149" s="545">
        <f>IF($M149="","", IF(ARBITRAGES!$G149&gt;0,IF(ARBITRAGES!$H149="sol",D148+ARBITRAGES!$G149,D148),D148))</f>
        <v>4858.693837</v>
      </c>
      <c r="E149" s="545">
        <f>IF($M149="","", IF(ARBITRAGES!$G149&gt;0,IF(ARBITRAGES!$H149="tao",E148+ARBITRAGES!$G149,E148),E148))</f>
        <v>0</v>
      </c>
      <c r="F149" s="545">
        <f>IF($M149="","", IF(ARBITRAGES!$G149&gt;0,IF(ARBITRAGES!$H149="ron",F148+ARBITRAGES!$G149,F148),F148))</f>
        <v>0</v>
      </c>
      <c r="G149" s="545">
        <f>IF($M149="","", IF(ARBITRAGES!$G149&gt;0,IF(ARBITRAGES!$H149="link",G148+ARBITRAGES!$G149,G148),G148))</f>
        <v>0</v>
      </c>
      <c r="H149" s="545">
        <f>IF($M149="","", IF(ARBITRAGES!$G149&gt;0,IF(ARBITRAGES!$H149="doge",H148+ARBITRAGES!$G149,H148),H148))</f>
        <v>0</v>
      </c>
      <c r="I149" s="545">
        <f t="shared" ref="I149:J149" si="123">IF(H149="","",I148)</f>
        <v>645.78248</v>
      </c>
      <c r="J149" s="545">
        <f t="shared" si="123"/>
        <v>244.016</v>
      </c>
      <c r="K149" s="545">
        <f>IF($M149="","", IF(ARBITRAGES!$G149&gt;0,IF(ARBITRAGES!$H149="*jup*",K148+ARBITRAGES!$G149,K148),K148))</f>
        <v>0</v>
      </c>
      <c r="L149" s="545">
        <f>IF($M149="","", IF(ARBITRAGES!$G149&gt;0,IF(ARBITRAGES!$H149="*aave*",L148+ARBITRAGES!$G149,L148),L148))</f>
        <v>0</v>
      </c>
      <c r="M149" s="540">
        <f>IF(ARBITRAGES!E149="","",ARBITRAGES!E149)</f>
        <v>45908</v>
      </c>
      <c r="N149" s="541">
        <f>IF(M149="","", SUM(A149:H149)+ARBITRAGES!$K$3)</f>
        <v>37467.52166</v>
      </c>
      <c r="O149" s="542">
        <f>IF(M149="","",PRIX!U149)</f>
        <v>59805.95069</v>
      </c>
      <c r="Q149" s="543">
        <f t="shared" si="1"/>
        <v>0.5962078102</v>
      </c>
      <c r="S149" s="544">
        <f t="shared" si="2"/>
        <v>22338.42904</v>
      </c>
    </row>
    <row r="150">
      <c r="A150" s="545">
        <f>IF($M150="","", IF(ARBITRAGES!$G150&gt;0,IF(ARBITRAGES!$H150="btc",A149+ARBITRAGES!$G150,A149),A149))</f>
        <v>5999.429056</v>
      </c>
      <c r="B150" s="545">
        <f>IF($M150="","", IF(ARBITRAGES!$G150&gt;0,IF(ARBITRAGES!$H150="eth",B149+ARBITRAGES!$G150,B149),B149))</f>
        <v>5059.398762</v>
      </c>
      <c r="C150" s="545">
        <f>IF($M150="","", IF(ARBITRAGES!$G150&gt;0,IF(ARBITRAGES!$H150="ton",C149+ARBITRAGES!$G150,C149),C149))</f>
        <v>0</v>
      </c>
      <c r="D150" s="545">
        <f>IF($M150="","", IF(ARBITRAGES!$G150&gt;0,IF(ARBITRAGES!$H150="sol",D149+ARBITRAGES!$G150,D149),D149))</f>
        <v>4858.693837</v>
      </c>
      <c r="E150" s="545">
        <f>IF($M150="","", IF(ARBITRAGES!$G150&gt;0,IF(ARBITRAGES!$H150="tao",E149+ARBITRAGES!$G150,E149),E149))</f>
        <v>0</v>
      </c>
      <c r="F150" s="545">
        <f>IF($M150="","", IF(ARBITRAGES!$G150&gt;0,IF(ARBITRAGES!$H150="ron",F149+ARBITRAGES!$G150,F149),F149))</f>
        <v>0</v>
      </c>
      <c r="G150" s="545">
        <f>IF($M150="","", IF(ARBITRAGES!$G150&gt;0,IF(ARBITRAGES!$H150="link",G149+ARBITRAGES!$G150,G149),G149))</f>
        <v>0</v>
      </c>
      <c r="H150" s="545">
        <f>IF($M150="","", IF(ARBITRAGES!$G150&gt;0,IF(ARBITRAGES!$H150="doge",H149+ARBITRAGES!$G150,H149),H149))</f>
        <v>0</v>
      </c>
      <c r="I150" s="545">
        <f t="shared" ref="I150:J150" si="124">IF(H150="","",I149)</f>
        <v>645.78248</v>
      </c>
      <c r="J150" s="545">
        <f t="shared" si="124"/>
        <v>244.016</v>
      </c>
      <c r="K150" s="545">
        <f>IF($M150="","", IF(ARBITRAGES!$G150&gt;0,IF(ARBITRAGES!$H150="*jup*",K149+ARBITRAGES!$G150,K149),K149))</f>
        <v>0</v>
      </c>
      <c r="L150" s="545">
        <f>IF($M150="","", IF(ARBITRAGES!$G150&gt;0,IF(ARBITRAGES!$H150="*aave*",L149+ARBITRAGES!$G150,L149),L149))</f>
        <v>0</v>
      </c>
      <c r="M150" s="540">
        <f>IF(ARBITRAGES!E150="","",ARBITRAGES!E150)</f>
        <v>45908</v>
      </c>
      <c r="N150" s="541">
        <f>IF(M150="","", SUM(A150:H150)+ARBITRAGES!$K$3)</f>
        <v>37467.52166</v>
      </c>
      <c r="O150" s="542">
        <f>IF(M150="","",PRIX!U150)</f>
        <v>59814.62121</v>
      </c>
      <c r="Q150" s="543">
        <f t="shared" si="1"/>
        <v>0.5964392245</v>
      </c>
      <c r="S150" s="544">
        <f t="shared" si="2"/>
        <v>22347.09956</v>
      </c>
    </row>
    <row r="151">
      <c r="A151" s="545">
        <f>IF($M151="","", IF(ARBITRAGES!$G151&gt;0,IF(ARBITRAGES!$H151="btc",A150+ARBITRAGES!$G151,A150),A150))</f>
        <v>5999.429056</v>
      </c>
      <c r="B151" s="545">
        <f>IF($M151="","", IF(ARBITRAGES!$G151&gt;0,IF(ARBITRAGES!$H151="eth",B150+ARBITRAGES!$G151,B150),B150))</f>
        <v>5059.398762</v>
      </c>
      <c r="C151" s="545">
        <f>IF($M151="","", IF(ARBITRAGES!$G151&gt;0,IF(ARBITRAGES!$H151="ton",C150+ARBITRAGES!$G151,C150),C150))</f>
        <v>0</v>
      </c>
      <c r="D151" s="545">
        <f>IF($M151="","", IF(ARBITRAGES!$G151&gt;0,IF(ARBITRAGES!$H151="sol",D150+ARBITRAGES!$G151,D150),D150))</f>
        <v>4858.693837</v>
      </c>
      <c r="E151" s="545">
        <f>IF($M151="","", IF(ARBITRAGES!$G151&gt;0,IF(ARBITRAGES!$H151="tao",E150+ARBITRAGES!$G151,E150),E150))</f>
        <v>0</v>
      </c>
      <c r="F151" s="545">
        <f>IF($M151="","", IF(ARBITRAGES!$G151&gt;0,IF(ARBITRAGES!$H151="ron",F150+ARBITRAGES!$G151,F150),F150))</f>
        <v>0</v>
      </c>
      <c r="G151" s="545">
        <f>IF($M151="","", IF(ARBITRAGES!$G151&gt;0,IF(ARBITRAGES!$H151="link",G150+ARBITRAGES!$G151,G150),G150))</f>
        <v>0</v>
      </c>
      <c r="H151" s="545">
        <f>IF($M151="","", IF(ARBITRAGES!$G151&gt;0,IF(ARBITRAGES!$H151="doge",H150+ARBITRAGES!$G151,H150),H150))</f>
        <v>0</v>
      </c>
      <c r="I151" s="545">
        <f t="shared" ref="I151:J151" si="125">IF(H151="","",I150)</f>
        <v>645.78248</v>
      </c>
      <c r="J151" s="545">
        <f t="shared" si="125"/>
        <v>244.016</v>
      </c>
      <c r="K151" s="545">
        <f>IF($M151="","", IF(ARBITRAGES!$G151&gt;0,IF(ARBITRAGES!$H151="*jup*",K150+ARBITRAGES!$G151,K150),K150))</f>
        <v>0</v>
      </c>
      <c r="L151" s="545">
        <f>IF($M151="","", IF(ARBITRAGES!$G151&gt;0,IF(ARBITRAGES!$H151="*aave*",L150+ARBITRAGES!$G151,L150),L150))</f>
        <v>0</v>
      </c>
      <c r="M151" s="540">
        <f>IF(ARBITRAGES!E151="","",ARBITRAGES!E151)</f>
        <v>45909</v>
      </c>
      <c r="N151" s="541">
        <f>IF(M151="","", SUM(A151:H151)+ARBITRAGES!$K$3)</f>
        <v>37467.52166</v>
      </c>
      <c r="O151" s="542">
        <f>IF(M151="","",PRIX!U151)</f>
        <v>59843.93736</v>
      </c>
      <c r="Q151" s="543">
        <f t="shared" si="1"/>
        <v>0.5972216661</v>
      </c>
      <c r="S151" s="544">
        <f t="shared" si="2"/>
        <v>22376.41571</v>
      </c>
    </row>
    <row r="152">
      <c r="A152" s="545">
        <f>IF($M152="","", IF(ARBITRAGES!$G152&gt;0,IF(ARBITRAGES!$H152="btc",A151+ARBITRAGES!$G152,A151),A151))</f>
        <v>5999.429056</v>
      </c>
      <c r="B152" s="545">
        <f>IF($M152="","", IF(ARBITRAGES!$G152&gt;0,IF(ARBITRAGES!$H152="eth",B151+ARBITRAGES!$G152,B151),B151))</f>
        <v>5059.398762</v>
      </c>
      <c r="C152" s="545">
        <f>IF($M152="","", IF(ARBITRAGES!$G152&gt;0,IF(ARBITRAGES!$H152="ton",C151+ARBITRAGES!$G152,C151),C151))</f>
        <v>0</v>
      </c>
      <c r="D152" s="545">
        <f>IF($M152="","", IF(ARBITRAGES!$G152&gt;0,IF(ARBITRAGES!$H152="sol",D151+ARBITRAGES!$G152,D151),D151))</f>
        <v>4858.693837</v>
      </c>
      <c r="E152" s="545">
        <f>IF($M152="","", IF(ARBITRAGES!$G152&gt;0,IF(ARBITRAGES!$H152="tao",E151+ARBITRAGES!$G152,E151),E151))</f>
        <v>0</v>
      </c>
      <c r="F152" s="545">
        <f>IF($M152="","", IF(ARBITRAGES!$G152&gt;0,IF(ARBITRAGES!$H152="ron",F151+ARBITRAGES!$G152,F151),F151))</f>
        <v>0</v>
      </c>
      <c r="G152" s="545">
        <f>IF($M152="","", IF(ARBITRAGES!$G152&gt;0,IF(ARBITRAGES!$H152="link",G151+ARBITRAGES!$G152,G151),G151))</f>
        <v>0</v>
      </c>
      <c r="H152" s="545">
        <f>IF($M152="","", IF(ARBITRAGES!$G152&gt;0,IF(ARBITRAGES!$H152="doge",H151+ARBITRAGES!$G152,H151),H151))</f>
        <v>0</v>
      </c>
      <c r="I152" s="545">
        <f t="shared" ref="I152:J152" si="126">IF(H152="","",I151)</f>
        <v>645.78248</v>
      </c>
      <c r="J152" s="545">
        <f t="shared" si="126"/>
        <v>244.016</v>
      </c>
      <c r="K152" s="545">
        <f>IF($M152="","", IF(ARBITRAGES!$G152&gt;0,IF(ARBITRAGES!$H152="*jup*",K151+ARBITRAGES!$G152,K151),K151))</f>
        <v>0</v>
      </c>
      <c r="L152" s="545">
        <f>IF($M152="","", IF(ARBITRAGES!$G152&gt;0,IF(ARBITRAGES!$H152="*aave*",L151+ARBITRAGES!$G152,L151),L151))</f>
        <v>0</v>
      </c>
      <c r="M152" s="540">
        <f>IF(ARBITRAGES!E152="","",ARBITRAGES!E152)</f>
        <v>45911</v>
      </c>
      <c r="N152" s="541">
        <f>IF(M152="","", SUM(A152:H152)+ARBITRAGES!$K$3)</f>
        <v>37467.52166</v>
      </c>
      <c r="O152" s="542">
        <f>IF(M152="","",PRIX!U152)</f>
        <v>63068.19267</v>
      </c>
      <c r="Q152" s="543">
        <f t="shared" si="1"/>
        <v>0.6832763386</v>
      </c>
      <c r="S152" s="544">
        <f t="shared" si="2"/>
        <v>25600.67101</v>
      </c>
    </row>
    <row r="153">
      <c r="A153" s="545">
        <f>IF($M153="","", IF(ARBITRAGES!$G153&gt;0,IF(ARBITRAGES!$H153="btc",A152+ARBITRAGES!$G153,A152),A152))</f>
        <v>5999.429056</v>
      </c>
      <c r="B153" s="545">
        <f>IF($M153="","", IF(ARBITRAGES!$G153&gt;0,IF(ARBITRAGES!$H153="eth",B152+ARBITRAGES!$G153,B152),B152))</f>
        <v>5059.398762</v>
      </c>
      <c r="C153" s="545">
        <f>IF($M153="","", IF(ARBITRAGES!$G153&gt;0,IF(ARBITRAGES!$H153="ton",C152+ARBITRAGES!$G153,C152),C152))</f>
        <v>0</v>
      </c>
      <c r="D153" s="545">
        <f>IF($M153="","", IF(ARBITRAGES!$G153&gt;0,IF(ARBITRAGES!$H153="sol",D152+ARBITRAGES!$G153,D152),D152))</f>
        <v>4858.693837</v>
      </c>
      <c r="E153" s="545">
        <f>IF($M153="","", IF(ARBITRAGES!$G153&gt;0,IF(ARBITRAGES!$H153="tao",E152+ARBITRAGES!$G153,E152),E152))</f>
        <v>0</v>
      </c>
      <c r="F153" s="545">
        <f>IF($M153="","", IF(ARBITRAGES!$G153&gt;0,IF(ARBITRAGES!$H153="ron",F152+ARBITRAGES!$G153,F152),F152))</f>
        <v>0</v>
      </c>
      <c r="G153" s="545">
        <f>IF($M153="","", IF(ARBITRAGES!$G153&gt;0,IF(ARBITRAGES!$H153="link",G152+ARBITRAGES!$G153,G152),G152))</f>
        <v>0</v>
      </c>
      <c r="H153" s="545">
        <f>IF($M153="","", IF(ARBITRAGES!$G153&gt;0,IF(ARBITRAGES!$H153="doge",H152+ARBITRAGES!$G153,H152),H152))</f>
        <v>0</v>
      </c>
      <c r="I153" s="545">
        <f t="shared" ref="I153:J153" si="127">IF(H153="","",I152)</f>
        <v>645.78248</v>
      </c>
      <c r="J153" s="545">
        <f t="shared" si="127"/>
        <v>244.016</v>
      </c>
      <c r="K153" s="545">
        <f>IF($M153="","", IF(ARBITRAGES!$G153&gt;0,IF(ARBITRAGES!$H153="*jup*",K152+ARBITRAGES!$G153,K152),K152))</f>
        <v>0</v>
      </c>
      <c r="L153" s="545">
        <f>IF($M153="","", IF(ARBITRAGES!$G153&gt;0,IF(ARBITRAGES!$H153="*aave*",L152+ARBITRAGES!$G153,L152),L152))</f>
        <v>0</v>
      </c>
      <c r="M153" s="540">
        <f>IF(ARBITRAGES!E153="","",ARBITRAGES!E153)</f>
        <v>45911</v>
      </c>
      <c r="N153" s="541">
        <f>IF(M153="","", SUM(A153:H153)+ARBITRAGES!$K$3)</f>
        <v>37467.52166</v>
      </c>
      <c r="O153" s="542">
        <f>IF(M153="","",PRIX!U153)</f>
        <v>63402.30545</v>
      </c>
      <c r="Q153" s="543">
        <f t="shared" si="1"/>
        <v>0.6921937361</v>
      </c>
      <c r="S153" s="544">
        <f t="shared" si="2"/>
        <v>25934.7838</v>
      </c>
    </row>
    <row r="154">
      <c r="A154" s="545">
        <f>IF($M154="","", IF(ARBITRAGES!$G154&gt;0,IF(ARBITRAGES!$H154="btc",A153+ARBITRAGES!$G154,A153),A153))</f>
        <v>5999.429056</v>
      </c>
      <c r="B154" s="545">
        <f>IF($M154="","", IF(ARBITRAGES!$G154&gt;0,IF(ARBITRAGES!$H154="eth",B153+ARBITRAGES!$G154,B153),B153))</f>
        <v>5059.398762</v>
      </c>
      <c r="C154" s="545">
        <f>IF($M154="","", IF(ARBITRAGES!$G154&gt;0,IF(ARBITRAGES!$H154="ton",C153+ARBITRAGES!$G154,C153),C153))</f>
        <v>0</v>
      </c>
      <c r="D154" s="545">
        <f>IF($M154="","", IF(ARBITRAGES!$G154&gt;0,IF(ARBITRAGES!$H154="sol",D153+ARBITRAGES!$G154,D153),D153))</f>
        <v>4858.693837</v>
      </c>
      <c r="E154" s="545">
        <f>IF($M154="","", IF(ARBITRAGES!$G154&gt;0,IF(ARBITRAGES!$H154="tao",E153+ARBITRAGES!$G154,E153),E153))</f>
        <v>0</v>
      </c>
      <c r="F154" s="545">
        <f>IF($M154="","", IF(ARBITRAGES!$G154&gt;0,IF(ARBITRAGES!$H154="ron",F153+ARBITRAGES!$G154,F153),F153))</f>
        <v>0</v>
      </c>
      <c r="G154" s="545">
        <f>IF($M154="","", IF(ARBITRAGES!$G154&gt;0,IF(ARBITRAGES!$H154="link",G153+ARBITRAGES!$G154,G153),G153))</f>
        <v>0</v>
      </c>
      <c r="H154" s="545">
        <f>IF($M154="","", IF(ARBITRAGES!$G154&gt;0,IF(ARBITRAGES!$H154="doge",H153+ARBITRAGES!$G154,H153),H153))</f>
        <v>0</v>
      </c>
      <c r="I154" s="545">
        <f t="shared" ref="I154:J154" si="128">IF(H154="","",I153)</f>
        <v>645.78248</v>
      </c>
      <c r="J154" s="545">
        <f t="shared" si="128"/>
        <v>244.016</v>
      </c>
      <c r="K154" s="545">
        <f>IF($M154="","", IF(ARBITRAGES!$G154&gt;0,IF(ARBITRAGES!$H154="*jup*",K153+ARBITRAGES!$G154,K153),K153))</f>
        <v>0</v>
      </c>
      <c r="L154" s="545">
        <f>IF($M154="","", IF(ARBITRAGES!$G154&gt;0,IF(ARBITRAGES!$H154="*aave*",L153+ARBITRAGES!$G154,L153),L153))</f>
        <v>0</v>
      </c>
      <c r="M154" s="540">
        <f>IF(ARBITRAGES!E154="","",ARBITRAGES!E154)</f>
        <v>45911</v>
      </c>
      <c r="N154" s="541">
        <f>IF(M154="","", SUM(A154:H154)+ARBITRAGES!$K$3)</f>
        <v>37467.52166</v>
      </c>
      <c r="O154" s="542">
        <f>IF(M154="","",PRIX!U154)</f>
        <v>63397.30545</v>
      </c>
      <c r="Q154" s="543">
        <f t="shared" si="1"/>
        <v>0.6920602871</v>
      </c>
      <c r="S154" s="544">
        <f t="shared" si="2"/>
        <v>25929.7838</v>
      </c>
    </row>
    <row r="155">
      <c r="A155" s="545">
        <f>IF($M155="","", IF(ARBITRAGES!$G155&gt;0,IF(ARBITRAGES!$H155="btc",A154+ARBITRAGES!$G155,A154),A154))</f>
        <v>5999.429056</v>
      </c>
      <c r="B155" s="545">
        <f>IF($M155="","", IF(ARBITRAGES!$G155&gt;0,IF(ARBITRAGES!$H155="eth",B154+ARBITRAGES!$G155,B154),B154))</f>
        <v>5059.398762</v>
      </c>
      <c r="C155" s="545">
        <f>IF($M155="","", IF(ARBITRAGES!$G155&gt;0,IF(ARBITRAGES!$H155="ton",C154+ARBITRAGES!$G155,C154),C154))</f>
        <v>0</v>
      </c>
      <c r="D155" s="545">
        <f>IF($M155="","", IF(ARBITRAGES!$G155&gt;0,IF(ARBITRAGES!$H155="sol",D154+ARBITRAGES!$G155,D154),D154))</f>
        <v>4858.693837</v>
      </c>
      <c r="E155" s="545">
        <f>IF($M155="","", IF(ARBITRAGES!$G155&gt;0,IF(ARBITRAGES!$H155="tao",E154+ARBITRAGES!$G155,E154),E154))</f>
        <v>0</v>
      </c>
      <c r="F155" s="545">
        <f>IF($M155="","", IF(ARBITRAGES!$G155&gt;0,IF(ARBITRAGES!$H155="ron",F154+ARBITRAGES!$G155,F154),F154))</f>
        <v>0</v>
      </c>
      <c r="G155" s="545">
        <f>IF($M155="","", IF(ARBITRAGES!$G155&gt;0,IF(ARBITRAGES!$H155="link",G154+ARBITRAGES!$G155,G154),G154))</f>
        <v>0</v>
      </c>
      <c r="H155" s="545">
        <f>IF($M155="","", IF(ARBITRAGES!$G155&gt;0,IF(ARBITRAGES!$H155="doge",H154+ARBITRAGES!$G155,H154),H154))</f>
        <v>0</v>
      </c>
      <c r="I155" s="545">
        <f t="shared" ref="I155:J155" si="129">IF(H155="","",I154)</f>
        <v>645.78248</v>
      </c>
      <c r="J155" s="545">
        <f t="shared" si="129"/>
        <v>244.016</v>
      </c>
      <c r="K155" s="545">
        <f>IF($M155="","", IF(ARBITRAGES!$G155&gt;0,IF(ARBITRAGES!$H155="*jup*",K154+ARBITRAGES!$G155,K154),K154))</f>
        <v>0</v>
      </c>
      <c r="L155" s="545">
        <f>IF($M155="","", IF(ARBITRAGES!$G155&gt;0,IF(ARBITRAGES!$H155="*aave*",L154+ARBITRAGES!$G155,L154),L154))</f>
        <v>0</v>
      </c>
      <c r="M155" s="540">
        <f>IF(ARBITRAGES!E155=0,"",ARBITRAGES!E155)</f>
        <v>45912</v>
      </c>
      <c r="N155" s="541">
        <f>IF(M155="","", SUM(A155:H155)+ARBITRAGES!$K$3)</f>
        <v>37467.52166</v>
      </c>
      <c r="O155" s="542">
        <f>IF(M155="","",PRIX!U155)</f>
        <v>63116.34295</v>
      </c>
      <c r="Q155" s="543">
        <f t="shared" si="1"/>
        <v>0.6845614592</v>
      </c>
      <c r="S155" s="544">
        <f t="shared" si="2"/>
        <v>25648.8213</v>
      </c>
    </row>
    <row r="156">
      <c r="A156" s="545">
        <f>IF($M156="","", IF(ARBITRAGES!$G156&gt;0,IF(ARBITRAGES!$H156="btc",A155+ARBITRAGES!$G156,A155),A155))</f>
        <v>5999.429056</v>
      </c>
      <c r="B156" s="545">
        <f>IF($M156="","", IF(ARBITRAGES!$G156&gt;0,IF(ARBITRAGES!$H156="eth",B155+ARBITRAGES!$G156,B155),B155))</f>
        <v>5059.398762</v>
      </c>
      <c r="C156" s="545">
        <f>IF($M156="","", IF(ARBITRAGES!$G156&gt;0,IF(ARBITRAGES!$H156="ton",C155+ARBITRAGES!$G156,C155),C155))</f>
        <v>0</v>
      </c>
      <c r="D156" s="545">
        <f>IF($M156="","", IF(ARBITRAGES!$G156&gt;0,IF(ARBITRAGES!$H156="sol",D155+ARBITRAGES!$G156,D155),D155))</f>
        <v>4858.693837</v>
      </c>
      <c r="E156" s="545">
        <f>IF($M156="","", IF(ARBITRAGES!$G156&gt;0,IF(ARBITRAGES!$H156="tao",E155+ARBITRAGES!$G156,E155),E155))</f>
        <v>0</v>
      </c>
      <c r="F156" s="545">
        <f>IF($M156="","", IF(ARBITRAGES!$G156&gt;0,IF(ARBITRAGES!$H156="ron",F155+ARBITRAGES!$G156,F155),F155))</f>
        <v>0</v>
      </c>
      <c r="G156" s="545">
        <f>IF($M156="","", IF(ARBITRAGES!$G156&gt;0,IF(ARBITRAGES!$H156="link",G155+ARBITRAGES!$G156,G155),G155))</f>
        <v>0</v>
      </c>
      <c r="H156" s="545">
        <f>IF($M156="","", IF(ARBITRAGES!$G156&gt;0,IF(ARBITRAGES!$H156="doge",H155+ARBITRAGES!$G156,H155),H155))</f>
        <v>0</v>
      </c>
      <c r="I156" s="545">
        <f t="shared" ref="I156:J156" si="130">IF(H156="","",I155)</f>
        <v>645.78248</v>
      </c>
      <c r="J156" s="545">
        <f t="shared" si="130"/>
        <v>244.016</v>
      </c>
      <c r="K156" s="545">
        <f>IF($M156="","", IF(ARBITRAGES!$G156&gt;0,IF(ARBITRAGES!$H156="*jup*",K155+ARBITRAGES!$G156,K155),K155))</f>
        <v>0</v>
      </c>
      <c r="L156" s="545">
        <f>IF($M156="","", IF(ARBITRAGES!$G156&gt;0,IF(ARBITRAGES!$H156="*aave*",L155+ARBITRAGES!$G156,L155),L155))</f>
        <v>0</v>
      </c>
      <c r="M156" s="540">
        <f>IF(ARBITRAGES!E156=0,"",ARBITRAGES!E156)</f>
        <v>45914</v>
      </c>
      <c r="N156" s="541">
        <f>IF(M156="","", SUM(A156:H156)+ARBITRAGES!$K$3)</f>
        <v>37467.52166</v>
      </c>
      <c r="O156" s="542">
        <f>IF(M156="","",PRIX!U156)</f>
        <v>63628.93254</v>
      </c>
      <c r="Q156" s="543">
        <f t="shared" si="1"/>
        <v>0.6982423639</v>
      </c>
      <c r="S156" s="544">
        <f t="shared" si="2"/>
        <v>26161.41089</v>
      </c>
    </row>
    <row r="157">
      <c r="A157" s="545">
        <f>IF($M157="","", IF(ARBITRAGES!$G157&gt;0,IF(ARBITRAGES!$H157="btc",A156+ARBITRAGES!$G157,A156),A156))</f>
        <v>5999.429056</v>
      </c>
      <c r="B157" s="545">
        <f>IF($M157="","", IF(ARBITRAGES!$G157&gt;0,IF(ARBITRAGES!$H157="eth",B156+ARBITRAGES!$G157,B156),B156))</f>
        <v>5059.398762</v>
      </c>
      <c r="C157" s="545">
        <f>IF($M157="","", IF(ARBITRAGES!$G157&gt;0,IF(ARBITRAGES!$H157="ton",C156+ARBITRAGES!$G157,C156),C156))</f>
        <v>0</v>
      </c>
      <c r="D157" s="545">
        <f>IF($M157="","", IF(ARBITRAGES!$G157&gt;0,IF(ARBITRAGES!$H157="sol",D156+ARBITRAGES!$G157,D156),D156))</f>
        <v>4858.693837</v>
      </c>
      <c r="E157" s="545">
        <f>IF($M157="","", IF(ARBITRAGES!$G157&gt;0,IF(ARBITRAGES!$H157="tao",E156+ARBITRAGES!$G157,E156),E156))</f>
        <v>0</v>
      </c>
      <c r="F157" s="545">
        <f>IF($M157="","", IF(ARBITRAGES!$G157&gt;0,IF(ARBITRAGES!$H157="ron",F156+ARBITRAGES!$G157,F156),F156))</f>
        <v>0</v>
      </c>
      <c r="G157" s="545">
        <f>IF($M157="","", IF(ARBITRAGES!$G157&gt;0,IF(ARBITRAGES!$H157="link",G156+ARBITRAGES!$G157,G156),G156))</f>
        <v>0</v>
      </c>
      <c r="H157" s="545">
        <f>IF($M157="","", IF(ARBITRAGES!$G157&gt;0,IF(ARBITRAGES!$H157="doge",H156+ARBITRAGES!$G157,H156),H156))</f>
        <v>0</v>
      </c>
      <c r="I157" s="545">
        <f t="shared" ref="I157:J157" si="131">IF(H157="","",I156)</f>
        <v>645.78248</v>
      </c>
      <c r="J157" s="545">
        <f t="shared" si="131"/>
        <v>244.016</v>
      </c>
      <c r="K157" s="545">
        <f>IF($M157="","", IF(ARBITRAGES!$G157&gt;0,IF(ARBITRAGES!$H157="*jup*",K156+ARBITRAGES!$G157,K156),K156))</f>
        <v>0</v>
      </c>
      <c r="L157" s="545">
        <f>IF($M157="","", IF(ARBITRAGES!$G157&gt;0,IF(ARBITRAGES!$H157="*aave*",L156+ARBITRAGES!$G157,L156),L156))</f>
        <v>0</v>
      </c>
      <c r="M157" s="540">
        <f>IF(ARBITRAGES!E157=0,"",ARBITRAGES!E157)</f>
        <v>45918</v>
      </c>
      <c r="N157" s="541">
        <f>IF(M157="","", SUM(A157:H157)+ARBITRAGES!$K$3)</f>
        <v>37467.52166</v>
      </c>
      <c r="O157" s="542">
        <f>IF(M157="","",PRIX!U157)</f>
        <v>62622.14299</v>
      </c>
      <c r="Q157" s="543">
        <f t="shared" si="1"/>
        <v>0.6713713697</v>
      </c>
      <c r="S157" s="544">
        <f t="shared" si="2"/>
        <v>25154.62133</v>
      </c>
    </row>
    <row r="158">
      <c r="A158" s="545">
        <f>IF($M158="","", IF(ARBITRAGES!$G158&gt;0,IF(ARBITRAGES!$H158="btc",A157+ARBITRAGES!$G158,A157),A157))</f>
        <v>5999.429056</v>
      </c>
      <c r="B158" s="545">
        <f>IF($M158="","", IF(ARBITRAGES!$G158&gt;0,IF(ARBITRAGES!$H158="eth",B157+ARBITRAGES!$G158,B157),B157))</f>
        <v>5059.398762</v>
      </c>
      <c r="C158" s="545">
        <f>IF($M158="","", IF(ARBITRAGES!$G158&gt;0,IF(ARBITRAGES!$H158="ton",C157+ARBITRAGES!$G158,C157),C157))</f>
        <v>0</v>
      </c>
      <c r="D158" s="545">
        <f>IF($M158="","", IF(ARBITRAGES!$G158&gt;0,IF(ARBITRAGES!$H158="sol",D157+ARBITRAGES!$G158,D157),D157))</f>
        <v>4858.693837</v>
      </c>
      <c r="E158" s="545">
        <f>IF($M158="","", IF(ARBITRAGES!$G158&gt;0,IF(ARBITRAGES!$H158="tao",E157+ARBITRAGES!$G158,E157),E157))</f>
        <v>0</v>
      </c>
      <c r="F158" s="545">
        <f>IF($M158="","", IF(ARBITRAGES!$G158&gt;0,IF(ARBITRAGES!$H158="ron",F157+ARBITRAGES!$G158,F157),F157))</f>
        <v>0</v>
      </c>
      <c r="G158" s="545">
        <f>IF($M158="","", IF(ARBITRAGES!$G158&gt;0,IF(ARBITRAGES!$H158="link",G157+ARBITRAGES!$G158,G157),G157))</f>
        <v>0</v>
      </c>
      <c r="H158" s="545">
        <f>IF($M158="","", IF(ARBITRAGES!$G158&gt;0,IF(ARBITRAGES!$H158="doge",H157+ARBITRAGES!$G158,H157),H157))</f>
        <v>0</v>
      </c>
      <c r="I158" s="545">
        <f t="shared" ref="I158:J158" si="132">IF(H158="","",I157)</f>
        <v>645.78248</v>
      </c>
      <c r="J158" s="545">
        <f t="shared" si="132"/>
        <v>244.016</v>
      </c>
      <c r="K158" s="545">
        <f>IF($M158="","", IF(ARBITRAGES!$G158&gt;0,IF(ARBITRAGES!$H158="*jup*",K157+ARBITRAGES!$G158,K157),K157))</f>
        <v>0</v>
      </c>
      <c r="L158" s="545">
        <f>IF($M158="","", IF(ARBITRAGES!$G158&gt;0,IF(ARBITRAGES!$H158="*aave*",L157+ARBITRAGES!$G158,L157),L157))</f>
        <v>0</v>
      </c>
      <c r="M158" s="540">
        <f>IF(ARBITRAGES!E158=0,"",ARBITRAGES!E158)</f>
        <v>45918</v>
      </c>
      <c r="N158" s="541">
        <f>IF(M158="","", SUM(A158:H158)+ARBITRAGES!$K$3)</f>
        <v>37467.52166</v>
      </c>
      <c r="O158" s="542">
        <f>IF(M158="","",PRIX!U158)</f>
        <v>62637.14299</v>
      </c>
      <c r="Q158" s="543">
        <f t="shared" si="1"/>
        <v>0.6717717165</v>
      </c>
      <c r="S158" s="544">
        <f t="shared" si="2"/>
        <v>25169.62133</v>
      </c>
    </row>
    <row r="159">
      <c r="A159" s="545">
        <f>IF($M159="","", IF(ARBITRAGES!$G159&gt;0,IF(ARBITRAGES!$H159="btc",A158+ARBITRAGES!$G159,A158),A158))</f>
        <v>5999.429056</v>
      </c>
      <c r="B159" s="545">
        <f>IF($M159="","", IF(ARBITRAGES!$G159&gt;0,IF(ARBITRAGES!$H159="eth",B158+ARBITRAGES!$G159,B158),B158))</f>
        <v>5059.398762</v>
      </c>
      <c r="C159" s="545">
        <f>IF($M159="","", IF(ARBITRAGES!$G159&gt;0,IF(ARBITRAGES!$H159="ton",C158+ARBITRAGES!$G159,C158),C158))</f>
        <v>0</v>
      </c>
      <c r="D159" s="545">
        <f>IF($M159="","", IF(ARBITRAGES!$G159&gt;0,IF(ARBITRAGES!$H159="sol",D158+ARBITRAGES!$G159,D158),D158))</f>
        <v>4858.693837</v>
      </c>
      <c r="E159" s="545">
        <f>IF($M159="","", IF(ARBITRAGES!$G159&gt;0,IF(ARBITRAGES!$H159="tao",E158+ARBITRAGES!$G159,E158),E158))</f>
        <v>0</v>
      </c>
      <c r="F159" s="545">
        <f>IF($M159="","", IF(ARBITRAGES!$G159&gt;0,IF(ARBITRAGES!$H159="ron",F158+ARBITRAGES!$G159,F158),F158))</f>
        <v>0</v>
      </c>
      <c r="G159" s="545">
        <f>IF($M159="","", IF(ARBITRAGES!$G159&gt;0,IF(ARBITRAGES!$H159="link",G158+ARBITRAGES!$G159,G158),G158))</f>
        <v>0</v>
      </c>
      <c r="H159" s="545">
        <f>IF($M159="","", IF(ARBITRAGES!$G159&gt;0,IF(ARBITRAGES!$H159="doge",H158+ARBITRAGES!$G159,H158),H158))</f>
        <v>0</v>
      </c>
      <c r="I159" s="545">
        <f t="shared" ref="I159:J159" si="133">IF(H159="","",I158)</f>
        <v>645.78248</v>
      </c>
      <c r="J159" s="545">
        <f t="shared" si="133"/>
        <v>244.016</v>
      </c>
      <c r="K159" s="545">
        <f>IF($M159="","", IF(ARBITRAGES!$G159&gt;0,IF(ARBITRAGES!$H159="*jup*",K158+ARBITRAGES!$G159,K158),K158))</f>
        <v>0</v>
      </c>
      <c r="L159" s="545">
        <f>IF($M159="","", IF(ARBITRAGES!$G159&gt;0,IF(ARBITRAGES!$H159="*aave*",L158+ARBITRAGES!$G159,L158),L158))</f>
        <v>0</v>
      </c>
      <c r="M159" s="540">
        <f>IF(ARBITRAGES!E159=0,"",ARBITRAGES!E159)</f>
        <v>45919</v>
      </c>
      <c r="N159" s="541">
        <f>IF(M159="","", SUM(A159:H159)+ARBITRAGES!$K$3)</f>
        <v>37467.52166</v>
      </c>
      <c r="O159" s="542">
        <f>IF(M159="","",PRIX!U159)</f>
        <v>62642.39299</v>
      </c>
      <c r="Q159" s="543">
        <f t="shared" si="1"/>
        <v>0.6719118378</v>
      </c>
      <c r="S159" s="544">
        <f t="shared" si="2"/>
        <v>25174.87133</v>
      </c>
    </row>
    <row r="160">
      <c r="A160" s="545">
        <f>IF($M160="","", IF(ARBITRAGES!$G160&gt;0,IF(ARBITRAGES!$H160="btc",A159+ARBITRAGES!$G160,A159),A159))</f>
        <v>5999.429056</v>
      </c>
      <c r="B160" s="545">
        <f>IF($M160="","", IF(ARBITRAGES!$G160&gt;0,IF(ARBITRAGES!$H160="eth",B159+ARBITRAGES!$G160,B159),B159))</f>
        <v>5059.398762</v>
      </c>
      <c r="C160" s="545">
        <f>IF($M160="","", IF(ARBITRAGES!$G160&gt;0,IF(ARBITRAGES!$H160="ton",C159+ARBITRAGES!$G160,C159),C159))</f>
        <v>0</v>
      </c>
      <c r="D160" s="545">
        <f>IF($M160="","", IF(ARBITRAGES!$G160&gt;0,IF(ARBITRAGES!$H160="sol",D159+ARBITRAGES!$G160,D159),D159))</f>
        <v>4858.693837</v>
      </c>
      <c r="E160" s="545">
        <f>IF($M160="","", IF(ARBITRAGES!$G160&gt;0,IF(ARBITRAGES!$H160="tao",E159+ARBITRAGES!$G160,E159),E159))</f>
        <v>0</v>
      </c>
      <c r="F160" s="545">
        <f>IF($M160="","", IF(ARBITRAGES!$G160&gt;0,IF(ARBITRAGES!$H160="ron",F159+ARBITRAGES!$G160,F159),F159))</f>
        <v>0</v>
      </c>
      <c r="G160" s="545">
        <f>IF($M160="","", IF(ARBITRAGES!$G160&gt;0,IF(ARBITRAGES!$H160="link",G159+ARBITRAGES!$G160,G159),G159))</f>
        <v>0</v>
      </c>
      <c r="H160" s="545">
        <f>IF($M160="","", IF(ARBITRAGES!$G160&gt;0,IF(ARBITRAGES!$H160="doge",H159+ARBITRAGES!$G160,H159),H159))</f>
        <v>0</v>
      </c>
      <c r="I160" s="545">
        <f t="shared" ref="I160:J160" si="134">IF(H160="","",I159)</f>
        <v>645.78248</v>
      </c>
      <c r="J160" s="545">
        <f t="shared" si="134"/>
        <v>244.016</v>
      </c>
      <c r="K160" s="545">
        <f>IF($M160="","", IF(ARBITRAGES!$G160&gt;0,IF(ARBITRAGES!$H160="*jup*",K159+ARBITRAGES!$G160,K159),K159))</f>
        <v>0</v>
      </c>
      <c r="L160" s="545">
        <f>IF($M160="","", IF(ARBITRAGES!$G160&gt;0,IF(ARBITRAGES!$H160="*aave*",L159+ARBITRAGES!$G160,L159),L159))</f>
        <v>0</v>
      </c>
      <c r="M160" s="540">
        <f>IF(ARBITRAGES!E160=0,"",ARBITRAGES!E160)</f>
        <v>45922</v>
      </c>
      <c r="N160" s="541">
        <f>IF(M160="","", SUM(A160:H160)+ARBITRAGES!$K$3)</f>
        <v>37467.52166</v>
      </c>
      <c r="O160" s="542">
        <f>IF(M160="","",PRIX!U160)</f>
        <v>60659.23884</v>
      </c>
      <c r="Q160" s="543">
        <f t="shared" si="1"/>
        <v>0.6189818851</v>
      </c>
      <c r="S160" s="544">
        <f t="shared" si="2"/>
        <v>23191.71718</v>
      </c>
    </row>
    <row r="161">
      <c r="A161" s="545">
        <f>IF($M161="","", IF(ARBITRAGES!$G161&gt;0,IF(ARBITRAGES!$H161="btc",A160+ARBITRAGES!$G161,A160),A160))</f>
        <v>5999.429056</v>
      </c>
      <c r="B161" s="545">
        <f>IF($M161="","", IF(ARBITRAGES!$G161&gt;0,IF(ARBITRAGES!$H161="eth",B160+ARBITRAGES!$G161,B160),B160))</f>
        <v>5059.398762</v>
      </c>
      <c r="C161" s="545">
        <f>IF($M161="","", IF(ARBITRAGES!$G161&gt;0,IF(ARBITRAGES!$H161="ton",C160+ARBITRAGES!$G161,C160),C160))</f>
        <v>0</v>
      </c>
      <c r="D161" s="545">
        <f>IF($M161="","", IF(ARBITRAGES!$G161&gt;0,IF(ARBITRAGES!$H161="sol",D160+ARBITRAGES!$G161,D160),D160))</f>
        <v>4858.693837</v>
      </c>
      <c r="E161" s="545">
        <f>IF($M161="","", IF(ARBITRAGES!$G161&gt;0,IF(ARBITRAGES!$H161="tao",E160+ARBITRAGES!$G161,E160),E160))</f>
        <v>0</v>
      </c>
      <c r="F161" s="545">
        <f>IF($M161="","", IF(ARBITRAGES!$G161&gt;0,IF(ARBITRAGES!$H161="ron",F160+ARBITRAGES!$G161,F160),F160))</f>
        <v>0</v>
      </c>
      <c r="G161" s="545">
        <f>IF($M161="","", IF(ARBITRAGES!$G161&gt;0,IF(ARBITRAGES!$H161="link",G160+ARBITRAGES!$G161,G160),G160))</f>
        <v>0</v>
      </c>
      <c r="H161" s="545">
        <f>IF($M161="","", IF(ARBITRAGES!$G161&gt;0,IF(ARBITRAGES!$H161="doge",H160+ARBITRAGES!$G161,H160),H160))</f>
        <v>0</v>
      </c>
      <c r="I161" s="545">
        <f t="shared" ref="I161:J161" si="135">IF(H161="","",I160)</f>
        <v>645.78248</v>
      </c>
      <c r="J161" s="545">
        <f t="shared" si="135"/>
        <v>244.016</v>
      </c>
      <c r="K161" s="545">
        <f>IF($M161="","", IF(ARBITRAGES!$G161&gt;0,IF(ARBITRAGES!$H161="*jup*",K160+ARBITRAGES!$G161,K160),K160))</f>
        <v>0</v>
      </c>
      <c r="L161" s="545">
        <f>IF($M161="","", IF(ARBITRAGES!$G161&gt;0,IF(ARBITRAGES!$H161="*aave*",L160+ARBITRAGES!$G161,L160),L160))</f>
        <v>0</v>
      </c>
      <c r="M161" s="540">
        <f>IF(ARBITRAGES!E161=0,"",ARBITRAGES!E161)</f>
        <v>45923</v>
      </c>
      <c r="N161" s="541">
        <f>IF(M161="","", SUM(A161:H161)+ARBITRAGES!$K$3)</f>
        <v>37467.52166</v>
      </c>
      <c r="O161" s="542">
        <f>IF(M161="","",PRIX!U161)</f>
        <v>60664.44284</v>
      </c>
      <c r="Q161" s="543">
        <f t="shared" si="1"/>
        <v>0.6191207787</v>
      </c>
      <c r="S161" s="544">
        <f t="shared" si="2"/>
        <v>23196.92118</v>
      </c>
    </row>
    <row r="162">
      <c r="A162" s="545">
        <f>IF($M162="","", IF(ARBITRAGES!$G162&gt;0,IF(ARBITRAGES!$H162="btc",A161+ARBITRAGES!$G162,A161),A161))</f>
        <v>5999.429056</v>
      </c>
      <c r="B162" s="545">
        <f>IF($M162="","", IF(ARBITRAGES!$G162&gt;0,IF(ARBITRAGES!$H162="eth",B161+ARBITRAGES!$G162,B161),B161))</f>
        <v>5059.398762</v>
      </c>
      <c r="C162" s="545">
        <f>IF($M162="","", IF(ARBITRAGES!$G162&gt;0,IF(ARBITRAGES!$H162="ton",C161+ARBITRAGES!$G162,C161),C161))</f>
        <v>0</v>
      </c>
      <c r="D162" s="545">
        <f>IF($M162="","", IF(ARBITRAGES!$G162&gt;0,IF(ARBITRAGES!$H162="sol",D161+ARBITRAGES!$G162,D161),D161))</f>
        <v>4858.693837</v>
      </c>
      <c r="E162" s="545">
        <f>IF($M162="","", IF(ARBITRAGES!$G162&gt;0,IF(ARBITRAGES!$H162="tao",E161+ARBITRAGES!$G162,E161),E161))</f>
        <v>0</v>
      </c>
      <c r="F162" s="545">
        <f>IF($M162="","", IF(ARBITRAGES!$G162&gt;0,IF(ARBITRAGES!$H162="ron",F161+ARBITRAGES!$G162,F161),F161))</f>
        <v>0</v>
      </c>
      <c r="G162" s="545">
        <f>IF($M162="","", IF(ARBITRAGES!$G162&gt;0,IF(ARBITRAGES!$H162="link",G161+ARBITRAGES!$G162,G161),G161))</f>
        <v>0</v>
      </c>
      <c r="H162" s="545">
        <f>IF($M162="","", IF(ARBITRAGES!$G162&gt;0,IF(ARBITRAGES!$H162="doge",H161+ARBITRAGES!$G162,H161),H161))</f>
        <v>0</v>
      </c>
      <c r="I162" s="545">
        <f t="shared" ref="I162:J162" si="136">IF(H162="","",I161)</f>
        <v>645.78248</v>
      </c>
      <c r="J162" s="545">
        <f t="shared" si="136"/>
        <v>244.016</v>
      </c>
      <c r="K162" s="545">
        <f>IF($M162="","", IF(ARBITRAGES!$G162&gt;0,IF(ARBITRAGES!$H162="*jup*",K161+ARBITRAGES!$G162,K161),K161))</f>
        <v>0</v>
      </c>
      <c r="L162" s="545">
        <f>IF($M162="","", IF(ARBITRAGES!$G162&gt;0,IF(ARBITRAGES!$H162="*aave*",L161+ARBITRAGES!$G162,L161),L161))</f>
        <v>0</v>
      </c>
      <c r="M162" s="540">
        <f>IF(ARBITRAGES!E162=0,"",ARBITRAGES!E162)</f>
        <v>45924</v>
      </c>
      <c r="N162" s="541">
        <f>IF(M162="","", SUM(A162:H162)+ARBITRAGES!$K$3)</f>
        <v>37467.52166</v>
      </c>
      <c r="O162" s="542">
        <f>IF(M162="","",PRIX!U162)</f>
        <v>59207.2624</v>
      </c>
      <c r="Q162" s="543">
        <f t="shared" si="1"/>
        <v>0.5802289498</v>
      </c>
      <c r="S162" s="544">
        <f t="shared" si="2"/>
        <v>21739.74074</v>
      </c>
    </row>
    <row r="163">
      <c r="A163" s="545">
        <f>IF($M163="","", IF(ARBITRAGES!$G163&gt;0,IF(ARBITRAGES!$H163="btc",A162+ARBITRAGES!$G163,A162),A162))</f>
        <v>5999.429056</v>
      </c>
      <c r="B163" s="545">
        <f>IF($M163="","", IF(ARBITRAGES!$G163&gt;0,IF(ARBITRAGES!$H163="eth",B162+ARBITRAGES!$G163,B162),B162))</f>
        <v>5059.398762</v>
      </c>
      <c r="C163" s="545">
        <f>IF($M163="","", IF(ARBITRAGES!$G163&gt;0,IF(ARBITRAGES!$H163="ton",C162+ARBITRAGES!$G163,C162),C162))</f>
        <v>0</v>
      </c>
      <c r="D163" s="545">
        <f>IF($M163="","", IF(ARBITRAGES!$G163&gt;0,IF(ARBITRAGES!$H163="sol",D162+ARBITRAGES!$G163,D162),D162))</f>
        <v>4858.693837</v>
      </c>
      <c r="E163" s="545">
        <f>IF($M163="","", IF(ARBITRAGES!$G163&gt;0,IF(ARBITRAGES!$H163="tao",E162+ARBITRAGES!$G163,E162),E162))</f>
        <v>0</v>
      </c>
      <c r="F163" s="545">
        <f>IF($M163="","", IF(ARBITRAGES!$G163&gt;0,IF(ARBITRAGES!$H163="ron",F162+ARBITRAGES!$G163,F162),F162))</f>
        <v>0</v>
      </c>
      <c r="G163" s="545">
        <f>IF($M163="","", IF(ARBITRAGES!$G163&gt;0,IF(ARBITRAGES!$H163="link",G162+ARBITRAGES!$G163,G162),G162))</f>
        <v>0</v>
      </c>
      <c r="H163" s="545">
        <f>IF($M163="","", IF(ARBITRAGES!$G163&gt;0,IF(ARBITRAGES!$H163="doge",H162+ARBITRAGES!$G163,H162),H162))</f>
        <v>0</v>
      </c>
      <c r="I163" s="545">
        <f t="shared" ref="I163:J163" si="137">IF(H163="","",I162)</f>
        <v>645.78248</v>
      </c>
      <c r="J163" s="545">
        <f t="shared" si="137"/>
        <v>244.016</v>
      </c>
      <c r="K163" s="545">
        <f>IF($M163="","", IF(ARBITRAGES!$G163&gt;0,IF(ARBITRAGES!$H163="*jup*",K162+ARBITRAGES!$G163,K162),K162))</f>
        <v>0</v>
      </c>
      <c r="L163" s="545">
        <f>IF($M163="","", IF(ARBITRAGES!$G163&gt;0,IF(ARBITRAGES!$H163="*aave*",L162+ARBITRAGES!$G163,L162),L162))</f>
        <v>0</v>
      </c>
      <c r="M163" s="540">
        <f>IF(ARBITRAGES!E163=0,"",ARBITRAGES!E163)</f>
        <v>45925</v>
      </c>
      <c r="N163" s="541">
        <f>IF(M163="","", SUM(A163:H163)+ARBITRAGES!$K$3)</f>
        <v>37467.52166</v>
      </c>
      <c r="O163" s="542">
        <f>IF(M163="","",PRIX!U163)</f>
        <v>59207.9944</v>
      </c>
      <c r="Q163" s="543">
        <f t="shared" si="1"/>
        <v>0.5802484867</v>
      </c>
      <c r="S163" s="544">
        <f t="shared" si="2"/>
        <v>21740.47274</v>
      </c>
    </row>
    <row r="164">
      <c r="A164" s="545">
        <f>IF($M164="","", IF(ARBITRAGES!$G164&gt;0,IF(ARBITRAGES!$H164="btc",A163+ARBITRAGES!$G164,A163),A163))</f>
        <v>5999.429056</v>
      </c>
      <c r="B164" s="545">
        <f>IF($M164="","", IF(ARBITRAGES!$G164&gt;0,IF(ARBITRAGES!$H164="eth",B163+ARBITRAGES!$G164,B163),B163))</f>
        <v>5059.398762</v>
      </c>
      <c r="C164" s="545">
        <f>IF($M164="","", IF(ARBITRAGES!$G164&gt;0,IF(ARBITRAGES!$H164="ton",C163+ARBITRAGES!$G164,C163),C163))</f>
        <v>0</v>
      </c>
      <c r="D164" s="545">
        <f>IF($M164="","", IF(ARBITRAGES!$G164&gt;0,IF(ARBITRAGES!$H164="sol",D163+ARBITRAGES!$G164,D163),D163))</f>
        <v>4858.693837</v>
      </c>
      <c r="E164" s="545">
        <f>IF($M164="","", IF(ARBITRAGES!$G164&gt;0,IF(ARBITRAGES!$H164="tao",E163+ARBITRAGES!$G164,E163),E163))</f>
        <v>0</v>
      </c>
      <c r="F164" s="545">
        <f>IF($M164="","", IF(ARBITRAGES!$G164&gt;0,IF(ARBITRAGES!$H164="ron",F163+ARBITRAGES!$G164,F163),F163))</f>
        <v>0</v>
      </c>
      <c r="G164" s="545">
        <f>IF($M164="","", IF(ARBITRAGES!$G164&gt;0,IF(ARBITRAGES!$H164="link",G163+ARBITRAGES!$G164,G163),G163))</f>
        <v>0</v>
      </c>
      <c r="H164" s="545">
        <f>IF($M164="","", IF(ARBITRAGES!$G164&gt;0,IF(ARBITRAGES!$H164="doge",H163+ARBITRAGES!$G164,H163),H163))</f>
        <v>0</v>
      </c>
      <c r="I164" s="545">
        <f t="shared" ref="I164:J164" si="138">IF(H164="","",I163)</f>
        <v>645.78248</v>
      </c>
      <c r="J164" s="545">
        <f t="shared" si="138"/>
        <v>244.016</v>
      </c>
      <c r="K164" s="545">
        <f>IF($M164="","", IF(ARBITRAGES!$G164&gt;0,IF(ARBITRAGES!$H164="*jup*",K163+ARBITRAGES!$G164,K163),K163))</f>
        <v>0</v>
      </c>
      <c r="L164" s="545">
        <f>IF($M164="","", IF(ARBITRAGES!$G164&gt;0,IF(ARBITRAGES!$H164="*aave*",L163+ARBITRAGES!$G164,L163),L163))</f>
        <v>0</v>
      </c>
      <c r="M164" s="540">
        <f>IF(ARBITRAGES!E164=0,"",ARBITRAGES!E164)</f>
        <v>45928</v>
      </c>
      <c r="N164" s="541">
        <f>IF(M164="","", SUM(A164:H164)+ARBITRAGES!$K$3)</f>
        <v>37467.52166</v>
      </c>
      <c r="O164" s="542">
        <f>IF(M164="","",PRIX!U164)</f>
        <v>58803.84076</v>
      </c>
      <c r="Q164" s="543">
        <f t="shared" si="1"/>
        <v>0.5694617142</v>
      </c>
      <c r="S164" s="544">
        <f t="shared" si="2"/>
        <v>21336.31911</v>
      </c>
    </row>
    <row r="165">
      <c r="A165" s="545">
        <f>IF($M165="","", IF(ARBITRAGES!$G165&gt;0,IF(ARBITRAGES!$H165="btc",A164+ARBITRAGES!$G165,A164),A164))</f>
        <v>5999.429056</v>
      </c>
      <c r="B165" s="545">
        <f>IF($M165="","", IF(ARBITRAGES!$G165&gt;0,IF(ARBITRAGES!$H165="eth",B164+ARBITRAGES!$G165,B164),B164))</f>
        <v>5059.398762</v>
      </c>
      <c r="C165" s="545">
        <f>IF($M165="","", IF(ARBITRAGES!$G165&gt;0,IF(ARBITRAGES!$H165="ton",C164+ARBITRAGES!$G165,C164),C164))</f>
        <v>0</v>
      </c>
      <c r="D165" s="545">
        <f>IF($M165="","", IF(ARBITRAGES!$G165&gt;0,IF(ARBITRAGES!$H165="sol",D164+ARBITRAGES!$G165,D164),D164))</f>
        <v>4858.693837</v>
      </c>
      <c r="E165" s="545">
        <f>IF($M165="","", IF(ARBITRAGES!$G165&gt;0,IF(ARBITRAGES!$H165="tao",E164+ARBITRAGES!$G165,E164),E164))</f>
        <v>0</v>
      </c>
      <c r="F165" s="545">
        <f>IF($M165="","", IF(ARBITRAGES!$G165&gt;0,IF(ARBITRAGES!$H165="ron",F164+ARBITRAGES!$G165,F164),F164))</f>
        <v>0</v>
      </c>
      <c r="G165" s="545">
        <f>IF($M165="","", IF(ARBITRAGES!$G165&gt;0,IF(ARBITRAGES!$H165="link",G164+ARBITRAGES!$G165,G164),G164))</f>
        <v>0</v>
      </c>
      <c r="H165" s="545">
        <f>IF($M165="","", IF(ARBITRAGES!$G165&gt;0,IF(ARBITRAGES!$H165="doge",H164+ARBITRAGES!$G165,H164),H164))</f>
        <v>0</v>
      </c>
      <c r="I165" s="545">
        <f t="shared" ref="I165:J165" si="139">IF(H165="","",I164)</f>
        <v>645.78248</v>
      </c>
      <c r="J165" s="545">
        <f t="shared" si="139"/>
        <v>244.016</v>
      </c>
      <c r="K165" s="545">
        <f>IF($M165="","", IF(ARBITRAGES!$G165&gt;0,IF(ARBITRAGES!$H165="*jup*",K164+ARBITRAGES!$G165,K164),K164))</f>
        <v>0</v>
      </c>
      <c r="L165" s="545">
        <f>IF($M165="","", IF(ARBITRAGES!$G165&gt;0,IF(ARBITRAGES!$H165="*aave*",L164+ARBITRAGES!$G165,L164),L164))</f>
        <v>0</v>
      </c>
      <c r="M165" s="540">
        <f>IF(ARBITRAGES!E165=0,"",ARBITRAGES!E165)</f>
        <v>45905</v>
      </c>
      <c r="N165" s="541">
        <f>IF(M165="","", SUM(A165:H165)+ARBITRAGES!$K$3)</f>
        <v>37467.52166</v>
      </c>
      <c r="O165" s="542">
        <f>IF(M165="","",PRIX!U165)</f>
        <v>63770.45958</v>
      </c>
      <c r="Q165" s="543">
        <f t="shared" si="1"/>
        <v>0.7020196896</v>
      </c>
      <c r="S165" s="544">
        <f t="shared" si="2"/>
        <v>26302.93792</v>
      </c>
    </row>
    <row r="166">
      <c r="A166" s="545">
        <f>IF($M166="","", IF(ARBITRAGES!$G166&gt;0,IF(ARBITRAGES!$H166="btc",A165+ARBITRAGES!$G166,A165),A165))</f>
        <v>5999.429056</v>
      </c>
      <c r="B166" s="545">
        <f>IF($M166="","", IF(ARBITRAGES!$G166&gt;0,IF(ARBITRAGES!$H166="eth",B165+ARBITRAGES!$G166,B165),B165))</f>
        <v>5059.398762</v>
      </c>
      <c r="C166" s="545">
        <f>IF($M166="","", IF(ARBITRAGES!$G166&gt;0,IF(ARBITRAGES!$H166="ton",C165+ARBITRAGES!$G166,C165),C165))</f>
        <v>0</v>
      </c>
      <c r="D166" s="545">
        <f>IF($M166="","", IF(ARBITRAGES!$G166&gt;0,IF(ARBITRAGES!$H166="sol",D165+ARBITRAGES!$G166,D165),D165))</f>
        <v>4858.693837</v>
      </c>
      <c r="E166" s="545">
        <f>IF($M166="","", IF(ARBITRAGES!$G166&gt;0,IF(ARBITRAGES!$H166="tao",E165+ARBITRAGES!$G166,E165),E165))</f>
        <v>0</v>
      </c>
      <c r="F166" s="545">
        <f>IF($M166="","", IF(ARBITRAGES!$G166&gt;0,IF(ARBITRAGES!$H166="ron",F165+ARBITRAGES!$G166,F165),F165))</f>
        <v>0</v>
      </c>
      <c r="G166" s="545">
        <f>IF($M166="","", IF(ARBITRAGES!$G166&gt;0,IF(ARBITRAGES!$H166="link",G165+ARBITRAGES!$G166,G165),G165))</f>
        <v>0</v>
      </c>
      <c r="H166" s="545">
        <f>IF($M166="","", IF(ARBITRAGES!$G166&gt;0,IF(ARBITRAGES!$H166="doge",H165+ARBITRAGES!$G166,H165),H165))</f>
        <v>0</v>
      </c>
      <c r="I166" s="545">
        <f t="shared" ref="I166:J166" si="140">IF(H166="","",I165)</f>
        <v>645.78248</v>
      </c>
      <c r="J166" s="545">
        <f t="shared" si="140"/>
        <v>244.016</v>
      </c>
      <c r="K166" s="545">
        <f>IF($M166="","", IF(ARBITRAGES!$G166&gt;0,IF(ARBITRAGES!$H166="*jup*",K165+ARBITRAGES!$G166,K165),K165))</f>
        <v>0</v>
      </c>
      <c r="L166" s="545">
        <f>IF($M166="","", IF(ARBITRAGES!$G166&gt;0,IF(ARBITRAGES!$H166="*aave*",L165+ARBITRAGES!$G166,L165),L165))</f>
        <v>0</v>
      </c>
      <c r="M166" s="540">
        <f>IF(ARBITRAGES!E166=0,"",ARBITRAGES!E166)</f>
        <v>45939</v>
      </c>
      <c r="N166" s="541">
        <f>IF(M166="","", SUM(A166:H166)+ARBITRAGES!$K$3)</f>
        <v>37467.52166</v>
      </c>
      <c r="O166" s="542">
        <f>IF(M166="","",PRIX!U166)</f>
        <v>63789.16448</v>
      </c>
      <c r="Q166" s="543">
        <f t="shared" si="1"/>
        <v>0.7025189194</v>
      </c>
      <c r="S166" s="544">
        <f t="shared" si="2"/>
        <v>26321.64283</v>
      </c>
    </row>
    <row r="167">
      <c r="A167" s="545">
        <f>IF($M167="","", IF(ARBITRAGES!$G167&gt;0,IF(ARBITRAGES!$H167="btc",A166+ARBITRAGES!$G167,A166),A166))</f>
        <v>5999.429056</v>
      </c>
      <c r="B167" s="545">
        <f>IF($M167="","", IF(ARBITRAGES!$G167&gt;0,IF(ARBITRAGES!$H167="eth",B166+ARBITRAGES!$G167,B166),B166))</f>
        <v>5059.398762</v>
      </c>
      <c r="C167" s="545">
        <f>IF($M167="","", IF(ARBITRAGES!$G167&gt;0,IF(ARBITRAGES!$H167="ton",C166+ARBITRAGES!$G167,C166),C166))</f>
        <v>0</v>
      </c>
      <c r="D167" s="545">
        <f>IF($M167="","", IF(ARBITRAGES!$G167&gt;0,IF(ARBITRAGES!$H167="sol",D166+ARBITRAGES!$G167,D166),D166))</f>
        <v>4858.693837</v>
      </c>
      <c r="E167" s="545">
        <f>IF($M167="","", IF(ARBITRAGES!$G167&gt;0,IF(ARBITRAGES!$H167="tao",E166+ARBITRAGES!$G167,E166),E166))</f>
        <v>0</v>
      </c>
      <c r="F167" s="545">
        <f>IF($M167="","", IF(ARBITRAGES!$G167&gt;0,IF(ARBITRAGES!$H167="ron",F166+ARBITRAGES!$G167,F166),F166))</f>
        <v>0</v>
      </c>
      <c r="G167" s="545">
        <f>IF($M167="","", IF(ARBITRAGES!$G167&gt;0,IF(ARBITRAGES!$H167="link",G166+ARBITRAGES!$G167,G166),G166))</f>
        <v>0</v>
      </c>
      <c r="H167" s="545">
        <f>IF($M167="","", IF(ARBITRAGES!$G167&gt;0,IF(ARBITRAGES!$H167="doge",H166+ARBITRAGES!$G167,H166),H166))</f>
        <v>0</v>
      </c>
      <c r="I167" s="545">
        <f t="shared" ref="I167:J167" si="141">IF(H167="","",I166)</f>
        <v>645.78248</v>
      </c>
      <c r="J167" s="545">
        <f t="shared" si="141"/>
        <v>244.016</v>
      </c>
      <c r="K167" s="545">
        <f>IF($M167="","", IF(ARBITRAGES!$G167&gt;0,IF(ARBITRAGES!$H167="*jup*",K166+ARBITRAGES!$G167,K166),K166))</f>
        <v>0</v>
      </c>
      <c r="L167" s="545">
        <f>IF($M167="","", IF(ARBITRAGES!$G167&gt;0,IF(ARBITRAGES!$H167="*aave*",L166+ARBITRAGES!$G167,L166),L166))</f>
        <v>0</v>
      </c>
      <c r="M167" s="540">
        <f>IF(ARBITRAGES!E167=0,"",ARBITRAGES!E167)</f>
        <v>45939</v>
      </c>
      <c r="N167" s="541">
        <f>IF(M167="","", SUM(A167:H167)+ARBITRAGES!$K$3)</f>
        <v>37467.52166</v>
      </c>
      <c r="O167" s="542">
        <f>IF(M167="","",PRIX!U167)</f>
        <v>63791.66448</v>
      </c>
      <c r="Q167" s="543">
        <f t="shared" si="1"/>
        <v>0.7025856439</v>
      </c>
      <c r="S167" s="544">
        <f t="shared" si="2"/>
        <v>26324.14283</v>
      </c>
    </row>
    <row r="168">
      <c r="A168" s="545">
        <f>IF($M168="","", IF(ARBITRAGES!$G168&gt;0,IF(ARBITRAGES!$H168="btc",A167+ARBITRAGES!$G168,A167),A167))</f>
        <v>5999.429056</v>
      </c>
      <c r="B168" s="545">
        <f>IF($M168="","", IF(ARBITRAGES!$G168&gt;0,IF(ARBITRAGES!$H168="eth",B167+ARBITRAGES!$G168,B167),B167))</f>
        <v>5059.398762</v>
      </c>
      <c r="C168" s="545">
        <f>IF($M168="","", IF(ARBITRAGES!$G168&gt;0,IF(ARBITRAGES!$H168="ton",C167+ARBITRAGES!$G168,C167),C167))</f>
        <v>0</v>
      </c>
      <c r="D168" s="545">
        <f>IF($M168="","", IF(ARBITRAGES!$G168&gt;0,IF(ARBITRAGES!$H168="sol",D167+ARBITRAGES!$G168,D167),D167))</f>
        <v>4858.693837</v>
      </c>
      <c r="E168" s="545">
        <f>IF($M168="","", IF(ARBITRAGES!$G168&gt;0,IF(ARBITRAGES!$H168="tao",E167+ARBITRAGES!$G168,E167),E167))</f>
        <v>0</v>
      </c>
      <c r="F168" s="545">
        <f>IF($M168="","", IF(ARBITRAGES!$G168&gt;0,IF(ARBITRAGES!$H168="ron",F167+ARBITRAGES!$G168,F167),F167))</f>
        <v>0</v>
      </c>
      <c r="G168" s="545">
        <f>IF($M168="","", IF(ARBITRAGES!$G168&gt;0,IF(ARBITRAGES!$H168="link",G167+ARBITRAGES!$G168,G167),G167))</f>
        <v>0</v>
      </c>
      <c r="H168" s="545">
        <f>IF($M168="","", IF(ARBITRAGES!$G168&gt;0,IF(ARBITRAGES!$H168="doge",H167+ARBITRAGES!$G168,H167),H167))</f>
        <v>0</v>
      </c>
      <c r="I168" s="545">
        <f t="shared" ref="I168:J168" si="142">IF(H168="","",I167)</f>
        <v>645.78248</v>
      </c>
      <c r="J168" s="545">
        <f t="shared" si="142"/>
        <v>244.016</v>
      </c>
      <c r="K168" s="545">
        <f>IF($M168="","", IF(ARBITRAGES!$G168&gt;0,IF(ARBITRAGES!$H168="*jup*",K167+ARBITRAGES!$G168,K167),K167))</f>
        <v>0</v>
      </c>
      <c r="L168" s="545">
        <f>IF($M168="","", IF(ARBITRAGES!$G168&gt;0,IF(ARBITRAGES!$H168="*aave*",L167+ARBITRAGES!$G168,L167),L167))</f>
        <v>0</v>
      </c>
      <c r="M168" s="540">
        <f>IF(ARBITRAGES!E168=0,"",ARBITRAGES!E168)</f>
        <v>45940</v>
      </c>
      <c r="N168" s="541">
        <f>IF(M168="","", SUM(A168:H168)+ARBITRAGES!$K$3)</f>
        <v>37467.52166</v>
      </c>
      <c r="O168" s="542">
        <f>IF(M168="","",PRIX!U168)</f>
        <v>63023.16419</v>
      </c>
      <c r="Q168" s="543">
        <f t="shared" si="1"/>
        <v>0.6820745384</v>
      </c>
      <c r="S168" s="544">
        <f t="shared" si="2"/>
        <v>25555.64254</v>
      </c>
    </row>
    <row r="169">
      <c r="A169" s="545">
        <f>IF($M169="","", IF(ARBITRAGES!$G169&gt;0,IF(ARBITRAGES!$H169="btc",A168+ARBITRAGES!$G169,A168),A168))</f>
        <v>5999.429056</v>
      </c>
      <c r="B169" s="545">
        <f>IF($M169="","", IF(ARBITRAGES!$G169&gt;0,IF(ARBITRAGES!$H169="eth",B168+ARBITRAGES!$G169,B168),B168))</f>
        <v>5059.398762</v>
      </c>
      <c r="C169" s="545">
        <f>IF($M169="","", IF(ARBITRAGES!$G169&gt;0,IF(ARBITRAGES!$H169="ton",C168+ARBITRAGES!$G169,C168),C168))</f>
        <v>0</v>
      </c>
      <c r="D169" s="545">
        <f>IF($M169="","", IF(ARBITRAGES!$G169&gt;0,IF(ARBITRAGES!$H169="sol",D168+ARBITRAGES!$G169,D168),D168))</f>
        <v>4858.693837</v>
      </c>
      <c r="E169" s="545">
        <f>IF($M169="","", IF(ARBITRAGES!$G169&gt;0,IF(ARBITRAGES!$H169="tao",E168+ARBITRAGES!$G169,E168),E168))</f>
        <v>0</v>
      </c>
      <c r="F169" s="545">
        <f>IF($M169="","", IF(ARBITRAGES!$G169&gt;0,IF(ARBITRAGES!$H169="ron",F168+ARBITRAGES!$G169,F168),F168))</f>
        <v>0</v>
      </c>
      <c r="G169" s="545">
        <f>IF($M169="","", IF(ARBITRAGES!$G169&gt;0,IF(ARBITRAGES!$H169="link",G168+ARBITRAGES!$G169,G168),G168))</f>
        <v>0</v>
      </c>
      <c r="H169" s="545">
        <f>IF($M169="","", IF(ARBITRAGES!$G169&gt;0,IF(ARBITRAGES!$H169="doge",H168+ARBITRAGES!$G169,H168),H168))</f>
        <v>0</v>
      </c>
      <c r="I169" s="545">
        <f t="shared" ref="I169:J169" si="143">IF(H169="","",I168)</f>
        <v>645.78248</v>
      </c>
      <c r="J169" s="545">
        <f t="shared" si="143"/>
        <v>244.016</v>
      </c>
      <c r="K169" s="545">
        <f>IF($M169="","", IF(ARBITRAGES!$G169&gt;0,IF(ARBITRAGES!$H169="*jup*",K168+ARBITRAGES!$G169,K168),K168))</f>
        <v>0</v>
      </c>
      <c r="L169" s="545">
        <f>IF($M169="","", IF(ARBITRAGES!$G169&gt;0,IF(ARBITRAGES!$H169="*aave*",L168+ARBITRAGES!$G169,L168),L168))</f>
        <v>0</v>
      </c>
      <c r="M169" s="540">
        <f>IF(ARBITRAGES!E169=0,"",ARBITRAGES!E169)</f>
        <v>45941</v>
      </c>
      <c r="N169" s="541">
        <f>IF(M169="","", SUM(A169:H169)+ARBITRAGES!$K$3)</f>
        <v>37467.52166</v>
      </c>
      <c r="O169" s="542">
        <f>IF(M169="","",PRIX!U169)</f>
        <v>57331.98588</v>
      </c>
      <c r="Q169" s="543">
        <f t="shared" si="1"/>
        <v>0.5301782277</v>
      </c>
      <c r="S169" s="544">
        <f t="shared" si="2"/>
        <v>19864.46423</v>
      </c>
    </row>
    <row r="170">
      <c r="A170" s="545">
        <f>IF($M170="","", IF(ARBITRAGES!$G170&gt;0,IF(ARBITRAGES!$H170="btc",A169+ARBITRAGES!$G170,A169),A169))</f>
        <v>5999.429056</v>
      </c>
      <c r="B170" s="545">
        <f>IF($M170="","", IF(ARBITRAGES!$G170&gt;0,IF(ARBITRAGES!$H170="eth",B169+ARBITRAGES!$G170,B169),B169))</f>
        <v>5059.398762</v>
      </c>
      <c r="C170" s="545">
        <f>IF($M170="","", IF(ARBITRAGES!$G170&gt;0,IF(ARBITRAGES!$H170="ton",C169+ARBITRAGES!$G170,C169),C169))</f>
        <v>0</v>
      </c>
      <c r="D170" s="545">
        <f>IF($M170="","", IF(ARBITRAGES!$G170&gt;0,IF(ARBITRAGES!$H170="sol",D169+ARBITRAGES!$G170,D169),D169))</f>
        <v>4858.693837</v>
      </c>
      <c r="E170" s="545">
        <f>IF($M170="","", IF(ARBITRAGES!$G170&gt;0,IF(ARBITRAGES!$H170="tao",E169+ARBITRAGES!$G170,E169),E169))</f>
        <v>0</v>
      </c>
      <c r="F170" s="545">
        <f>IF($M170="","", IF(ARBITRAGES!$G170&gt;0,IF(ARBITRAGES!$H170="ron",F169+ARBITRAGES!$G170,F169),F169))</f>
        <v>0</v>
      </c>
      <c r="G170" s="545">
        <f>IF($M170="","", IF(ARBITRAGES!$G170&gt;0,IF(ARBITRAGES!$H170="link",G169+ARBITRAGES!$G170,G169),G169))</f>
        <v>0</v>
      </c>
      <c r="H170" s="545">
        <f>IF($M170="","", IF(ARBITRAGES!$G170&gt;0,IF(ARBITRAGES!$H170="doge",H169+ARBITRAGES!$G170,H169),H169))</f>
        <v>0</v>
      </c>
      <c r="I170" s="545">
        <f t="shared" ref="I170:J170" si="144">IF(H170="","",I169)</f>
        <v>645.78248</v>
      </c>
      <c r="J170" s="545">
        <f t="shared" si="144"/>
        <v>244.016</v>
      </c>
      <c r="K170" s="545">
        <f>IF($M170="","", IF(ARBITRAGES!$G170&gt;0,IF(ARBITRAGES!$H170="*jup*",K169+ARBITRAGES!$G170,K169),K169))</f>
        <v>0</v>
      </c>
      <c r="L170" s="545">
        <f>IF($M170="","", IF(ARBITRAGES!$G170&gt;0,IF(ARBITRAGES!$H170="*aave*",L169+ARBITRAGES!$G170,L169),L169))</f>
        <v>0</v>
      </c>
      <c r="M170" s="540">
        <f>IF(ARBITRAGES!E170=0,"",ARBITRAGES!E170)</f>
        <v>45941</v>
      </c>
      <c r="N170" s="541">
        <f>IF(M170="","", SUM(A170:H170)+ARBITRAGES!$K$3)</f>
        <v>37467.52166</v>
      </c>
      <c r="O170" s="542">
        <f>IF(M170="","",PRIX!U170)</f>
        <v>60267.14169</v>
      </c>
      <c r="Q170" s="543">
        <f t="shared" si="1"/>
        <v>0.6085168976</v>
      </c>
      <c r="S170" s="544">
        <f t="shared" si="2"/>
        <v>22799.62004</v>
      </c>
    </row>
    <row r="171">
      <c r="A171" s="545">
        <f>IF($M171="","", IF(ARBITRAGES!$G171&gt;0,IF(ARBITRAGES!$H171="btc",A170+ARBITRAGES!$G171,A170),A170))</f>
        <v>5999.429056</v>
      </c>
      <c r="B171" s="545">
        <f>IF($M171="","", IF(ARBITRAGES!$G171&gt;0,IF(ARBITRAGES!$H171="eth",B170+ARBITRAGES!$G171,B170),B170))</f>
        <v>5059.398762</v>
      </c>
      <c r="C171" s="545">
        <f>IF($M171="","", IF(ARBITRAGES!$G171&gt;0,IF(ARBITRAGES!$H171="ton",C170+ARBITRAGES!$G171,C170),C170))</f>
        <v>0</v>
      </c>
      <c r="D171" s="545">
        <f>IF($M171="","", IF(ARBITRAGES!$G171&gt;0,IF(ARBITRAGES!$H171="sol",D170+ARBITRAGES!$G171,D170),D170))</f>
        <v>4858.693837</v>
      </c>
      <c r="E171" s="545">
        <f>IF($M171="","", IF(ARBITRAGES!$G171&gt;0,IF(ARBITRAGES!$H171="tao",E170+ARBITRAGES!$G171,E170),E170))</f>
        <v>0</v>
      </c>
      <c r="F171" s="545">
        <f>IF($M171="","", IF(ARBITRAGES!$G171&gt;0,IF(ARBITRAGES!$H171="ron",F170+ARBITRAGES!$G171,F170),F170))</f>
        <v>0</v>
      </c>
      <c r="G171" s="545">
        <f>IF($M171="","", IF(ARBITRAGES!$G171&gt;0,IF(ARBITRAGES!$H171="link",G170+ARBITRAGES!$G171,G170),G170))</f>
        <v>0</v>
      </c>
      <c r="H171" s="545">
        <f>IF($M171="","", IF(ARBITRAGES!$G171&gt;0,IF(ARBITRAGES!$H171="doge",H170+ARBITRAGES!$G171,H170),H170))</f>
        <v>0</v>
      </c>
      <c r="I171" s="545">
        <f t="shared" ref="I171:J171" si="145">IF(H171="","",I170)</f>
        <v>645.78248</v>
      </c>
      <c r="J171" s="545">
        <f t="shared" si="145"/>
        <v>244.016</v>
      </c>
      <c r="K171" s="545">
        <f>IF($M171="","", IF(ARBITRAGES!$G171&gt;0,IF(ARBITRAGES!$H171="*jup*",K170+ARBITRAGES!$G171,K170),K170))</f>
        <v>0</v>
      </c>
      <c r="L171" s="545">
        <f>IF($M171="","", IF(ARBITRAGES!$G171&gt;0,IF(ARBITRAGES!$H171="*aave*",L170+ARBITRAGES!$G171,L170),L170))</f>
        <v>0</v>
      </c>
      <c r="M171" s="540">
        <f>IF(ARBITRAGES!E171=0,"",ARBITRAGES!E171)</f>
        <v>45942</v>
      </c>
      <c r="N171" s="541">
        <f>IF(M171="","", SUM(A171:H171)+ARBITRAGES!$K$3)</f>
        <v>37467.52166</v>
      </c>
      <c r="O171" s="542">
        <f>IF(M171="","",PRIX!U171)</f>
        <v>60279.58169</v>
      </c>
      <c r="Q171" s="543">
        <f t="shared" si="1"/>
        <v>0.6088489185</v>
      </c>
      <c r="S171" s="544">
        <f t="shared" si="2"/>
        <v>22812.06004</v>
      </c>
    </row>
    <row r="172">
      <c r="A172" s="545">
        <f>IF($M172="","", IF(ARBITRAGES!$G172&gt;0,IF(ARBITRAGES!$H172="btc",A171+ARBITRAGES!$G172,A171),A171))</f>
        <v>5999.429056</v>
      </c>
      <c r="B172" s="545">
        <f>IF($M172="","", IF(ARBITRAGES!$G172&gt;0,IF(ARBITRAGES!$H172="eth",B171+ARBITRAGES!$G172,B171),B171))</f>
        <v>5059.398762</v>
      </c>
      <c r="C172" s="545">
        <f>IF($M172="","", IF(ARBITRAGES!$G172&gt;0,IF(ARBITRAGES!$H172="ton",C171+ARBITRAGES!$G172,C171),C171))</f>
        <v>0</v>
      </c>
      <c r="D172" s="545">
        <f>IF($M172="","", IF(ARBITRAGES!$G172&gt;0,IF(ARBITRAGES!$H172="sol",D171+ARBITRAGES!$G172,D171),D171))</f>
        <v>4858.693837</v>
      </c>
      <c r="E172" s="545">
        <f>IF($M172="","", IF(ARBITRAGES!$G172&gt;0,IF(ARBITRAGES!$H172="tao",E171+ARBITRAGES!$G172,E171),E171))</f>
        <v>0</v>
      </c>
      <c r="F172" s="545">
        <f>IF($M172="","", IF(ARBITRAGES!$G172&gt;0,IF(ARBITRAGES!$H172="ron",F171+ARBITRAGES!$G172,F171),F171))</f>
        <v>0</v>
      </c>
      <c r="G172" s="545">
        <f>IF($M172="","", IF(ARBITRAGES!$G172&gt;0,IF(ARBITRAGES!$H172="link",G171+ARBITRAGES!$G172,G171),G171))</f>
        <v>0</v>
      </c>
      <c r="H172" s="545">
        <f>IF($M172="","", IF(ARBITRAGES!$G172&gt;0,IF(ARBITRAGES!$H172="doge",H171+ARBITRAGES!$G172,H171),H171))</f>
        <v>0</v>
      </c>
      <c r="I172" s="545">
        <f t="shared" ref="I172:J172" si="146">IF(H172="","",I171)</f>
        <v>645.78248</v>
      </c>
      <c r="J172" s="545">
        <f t="shared" si="146"/>
        <v>244.016</v>
      </c>
      <c r="K172" s="545">
        <f>IF($M172="","", IF(ARBITRAGES!$G172&gt;0,IF(ARBITRAGES!$H172="*jup*",K171+ARBITRAGES!$G172,K171),K171))</f>
        <v>0</v>
      </c>
      <c r="L172" s="545">
        <f>IF($M172="","", IF(ARBITRAGES!$G172&gt;0,IF(ARBITRAGES!$H172="*aave*",L171+ARBITRAGES!$G172,L171),L171))</f>
        <v>0</v>
      </c>
      <c r="M172" s="540">
        <f>IF(ARBITRAGES!E172=0,"",ARBITRAGES!E172)</f>
        <v>45945</v>
      </c>
      <c r="N172" s="541">
        <f>IF(M172="","", SUM(A172:H172)+ARBITRAGES!$K$3)</f>
        <v>37467.52166</v>
      </c>
      <c r="O172" s="542">
        <f>IF(M172="","",PRIX!U172)</f>
        <v>58802.78132</v>
      </c>
      <c r="Q172" s="543">
        <f t="shared" si="1"/>
        <v>0.5694334378</v>
      </c>
      <c r="S172" s="544">
        <f t="shared" si="2"/>
        <v>21335.25966</v>
      </c>
    </row>
    <row r="173">
      <c r="A173" s="545">
        <f>IF($M173="","", IF(ARBITRAGES!$G173&gt;0,IF(ARBITRAGES!$H173="btc",A172+ARBITRAGES!$G173,A172),A172))</f>
        <v>5999.429056</v>
      </c>
      <c r="B173" s="545">
        <f>IF($M173="","", IF(ARBITRAGES!$G173&gt;0,IF(ARBITRAGES!$H173="eth",B172+ARBITRAGES!$G173,B172),B172))</f>
        <v>5059.398762</v>
      </c>
      <c r="C173" s="545">
        <f>IF($M173="","", IF(ARBITRAGES!$G173&gt;0,IF(ARBITRAGES!$H173="ton",C172+ARBITRAGES!$G173,C172),C172))</f>
        <v>0</v>
      </c>
      <c r="D173" s="545">
        <f>IF($M173="","", IF(ARBITRAGES!$G173&gt;0,IF(ARBITRAGES!$H173="sol",D172+ARBITRAGES!$G173,D172),D172))</f>
        <v>4858.693837</v>
      </c>
      <c r="E173" s="545">
        <f>IF($M173="","", IF(ARBITRAGES!$G173&gt;0,IF(ARBITRAGES!$H173="tao",E172+ARBITRAGES!$G173,E172),E172))</f>
        <v>0</v>
      </c>
      <c r="F173" s="545">
        <f>IF($M173="","", IF(ARBITRAGES!$G173&gt;0,IF(ARBITRAGES!$H173="ron",F172+ARBITRAGES!$G173,F172),F172))</f>
        <v>0</v>
      </c>
      <c r="G173" s="545">
        <f>IF($M173="","", IF(ARBITRAGES!$G173&gt;0,IF(ARBITRAGES!$H173="link",G172+ARBITRAGES!$G173,G172),G172))</f>
        <v>0</v>
      </c>
      <c r="H173" s="545">
        <f>IF($M173="","", IF(ARBITRAGES!$G173&gt;0,IF(ARBITRAGES!$H173="doge",H172+ARBITRAGES!$G173,H172),H172))</f>
        <v>0</v>
      </c>
      <c r="I173" s="545">
        <f t="shared" ref="I173:J173" si="147">IF(H173="","",I172)</f>
        <v>645.78248</v>
      </c>
      <c r="J173" s="545">
        <f t="shared" si="147"/>
        <v>244.016</v>
      </c>
      <c r="K173" s="545">
        <f>IF($M173="","", IF(ARBITRAGES!$G173&gt;0,IF(ARBITRAGES!$H173="*jup*",K172+ARBITRAGES!$G173,K172),K172))</f>
        <v>0</v>
      </c>
      <c r="L173" s="545">
        <f>IF($M173="","", IF(ARBITRAGES!$G173&gt;0,IF(ARBITRAGES!$H173="*aave*",L172+ARBITRAGES!$G173,L172),L172))</f>
        <v>0</v>
      </c>
      <c r="M173" s="540">
        <f>IF(ARBITRAGES!E173=0,"",ARBITRAGES!E173)</f>
        <v>45949</v>
      </c>
      <c r="N173" s="541">
        <f>IF(M173="","", SUM(A173:H173)+ARBITRAGES!$K$3)</f>
        <v>37467.52166</v>
      </c>
      <c r="O173" s="542">
        <f>IF(M173="","",PRIX!U173)</f>
        <v>59403.42487</v>
      </c>
      <c r="Q173" s="543">
        <f t="shared" si="1"/>
        <v>0.5854644835</v>
      </c>
      <c r="S173" s="544">
        <f t="shared" si="2"/>
        <v>21935.90322</v>
      </c>
    </row>
    <row r="174">
      <c r="A174" s="545">
        <f>IF($M174="","", IF(ARBITRAGES!$G174&gt;0,IF(ARBITRAGES!$H174="btc",A173+ARBITRAGES!$G174,A173),A173))</f>
        <v>5999.429056</v>
      </c>
      <c r="B174" s="545">
        <f>IF($M174="","", IF(ARBITRAGES!$G174&gt;0,IF(ARBITRAGES!$H174="eth",B173+ARBITRAGES!$G174,B173),B173))</f>
        <v>5059.398762</v>
      </c>
      <c r="C174" s="545">
        <f>IF($M174="","", IF(ARBITRAGES!$G174&gt;0,IF(ARBITRAGES!$H174="ton",C173+ARBITRAGES!$G174,C173),C173))</f>
        <v>0</v>
      </c>
      <c r="D174" s="545">
        <f>IF($M174="","", IF(ARBITRAGES!$G174&gt;0,IF(ARBITRAGES!$H174="sol",D173+ARBITRAGES!$G174,D173),D173))</f>
        <v>4858.693837</v>
      </c>
      <c r="E174" s="545">
        <f>IF($M174="","", IF(ARBITRAGES!$G174&gt;0,IF(ARBITRAGES!$H174="tao",E173+ARBITRAGES!$G174,E173),E173))</f>
        <v>0</v>
      </c>
      <c r="F174" s="545">
        <f>IF($M174="","", IF(ARBITRAGES!$G174&gt;0,IF(ARBITRAGES!$H174="ron",F173+ARBITRAGES!$G174,F173),F173))</f>
        <v>0</v>
      </c>
      <c r="G174" s="545">
        <f>IF($M174="","", IF(ARBITRAGES!$G174&gt;0,IF(ARBITRAGES!$H174="link",G173+ARBITRAGES!$G174,G173),G173))</f>
        <v>0</v>
      </c>
      <c r="H174" s="545">
        <f>IF($M174="","", IF(ARBITRAGES!$G174&gt;0,IF(ARBITRAGES!$H174="doge",H173+ARBITRAGES!$G174,H173),H173))</f>
        <v>0</v>
      </c>
      <c r="I174" s="545">
        <f t="shared" ref="I174:J174" si="148">IF(H174="","",I173)</f>
        <v>645.78248</v>
      </c>
      <c r="J174" s="545">
        <f t="shared" si="148"/>
        <v>244.016</v>
      </c>
      <c r="K174" s="545">
        <f>IF($M174="","", IF(ARBITRAGES!$G174&gt;0,IF(ARBITRAGES!$H174="*jup*",K173+ARBITRAGES!$G174,K173),K173))</f>
        <v>0</v>
      </c>
      <c r="L174" s="545">
        <f>IF($M174="","", IF(ARBITRAGES!$G174&gt;0,IF(ARBITRAGES!$H174="*aave*",L173+ARBITRAGES!$G174,L173),L173))</f>
        <v>0</v>
      </c>
      <c r="M174" s="540">
        <f>IF(ARBITRAGES!E174=0,"",ARBITRAGES!E174)</f>
        <v>45950</v>
      </c>
      <c r="N174" s="541">
        <f>IF(M174="","", SUM(A174:H174)+ARBITRAGES!$K$3)</f>
        <v>37467.52166</v>
      </c>
      <c r="O174" s="542">
        <f>IF(M174="","",PRIX!U174)</f>
        <v>59404.42487</v>
      </c>
      <c r="Q174" s="543">
        <f t="shared" si="1"/>
        <v>0.5854911733</v>
      </c>
      <c r="S174" s="544">
        <f t="shared" si="2"/>
        <v>21936.90322</v>
      </c>
    </row>
    <row r="175">
      <c r="A175" s="545">
        <f>IF($M175="","", IF(ARBITRAGES!$G175&gt;0,IF(ARBITRAGES!$H175="btc",A174+ARBITRAGES!$G175,A174),A174))</f>
        <v>5999.429056</v>
      </c>
      <c r="B175" s="545">
        <f>IF($M175="","", IF(ARBITRAGES!$G175&gt;0,IF(ARBITRAGES!$H175="eth",B174+ARBITRAGES!$G175,B174),B174))</f>
        <v>5059.398762</v>
      </c>
      <c r="C175" s="545">
        <f>IF($M175="","", IF(ARBITRAGES!$G175&gt;0,IF(ARBITRAGES!$H175="ton",C174+ARBITRAGES!$G175,C174),C174))</f>
        <v>0</v>
      </c>
      <c r="D175" s="545">
        <f>IF($M175="","", IF(ARBITRAGES!$G175&gt;0,IF(ARBITRAGES!$H175="sol",D174+ARBITRAGES!$G175,D174),D174))</f>
        <v>4858.693837</v>
      </c>
      <c r="E175" s="545">
        <f>IF($M175="","", IF(ARBITRAGES!$G175&gt;0,IF(ARBITRAGES!$H175="tao",E174+ARBITRAGES!$G175,E174),E174))</f>
        <v>0</v>
      </c>
      <c r="F175" s="545">
        <f>IF($M175="","", IF(ARBITRAGES!$G175&gt;0,IF(ARBITRAGES!$H175="ron",F174+ARBITRAGES!$G175,F174),F174))</f>
        <v>0</v>
      </c>
      <c r="G175" s="545">
        <f>IF($M175="","", IF(ARBITRAGES!$G175&gt;0,IF(ARBITRAGES!$H175="link",G174+ARBITRAGES!$G175,G174),G174))</f>
        <v>0</v>
      </c>
      <c r="H175" s="545">
        <f>IF($M175="","", IF(ARBITRAGES!$G175&gt;0,IF(ARBITRAGES!$H175="doge",H174+ARBITRAGES!$G175,H174),H174))</f>
        <v>0</v>
      </c>
      <c r="I175" s="545">
        <f t="shared" ref="I175:J175" si="149">IF(H175="","",I174)</f>
        <v>645.78248</v>
      </c>
      <c r="J175" s="545">
        <f t="shared" si="149"/>
        <v>244.016</v>
      </c>
      <c r="K175" s="545">
        <f>IF($M175="","", IF(ARBITRAGES!$G175&gt;0,IF(ARBITRAGES!$H175="*jup*",K174+ARBITRAGES!$G175,K174),K174))</f>
        <v>0</v>
      </c>
      <c r="L175" s="545">
        <f>IF($M175="","", IF(ARBITRAGES!$G175&gt;0,IF(ARBITRAGES!$H175="*aave*",L174+ARBITRAGES!$G175,L174),L174))</f>
        <v>0</v>
      </c>
      <c r="M175" s="540">
        <f>IF(ARBITRAGES!E175=0,"",ARBITRAGES!E175)</f>
        <v>45952</v>
      </c>
      <c r="N175" s="541">
        <f>IF(M175="","", SUM(A175:H175)+ARBITRAGES!$K$3)</f>
        <v>37467.52166</v>
      </c>
      <c r="O175" s="542">
        <f>IF(M175="","",PRIX!U175)</f>
        <v>57209.62094</v>
      </c>
      <c r="Q175" s="543">
        <f t="shared" si="1"/>
        <v>0.5269123339</v>
      </c>
      <c r="S175" s="544">
        <f t="shared" si="2"/>
        <v>19742.09928</v>
      </c>
    </row>
    <row r="176">
      <c r="A176" s="545">
        <f>IF($M176="","", IF(ARBITRAGES!$G176&gt;0,IF(ARBITRAGES!$H176="btc",A175+ARBITRAGES!$G176,A175),A175))</f>
        <v>5999.429056</v>
      </c>
      <c r="B176" s="545">
        <f>IF($M176="","", IF(ARBITRAGES!$G176&gt;0,IF(ARBITRAGES!$H176="eth",B175+ARBITRAGES!$G176,B175),B175))</f>
        <v>5059.398762</v>
      </c>
      <c r="C176" s="545">
        <f>IF($M176="","", IF(ARBITRAGES!$G176&gt;0,IF(ARBITRAGES!$H176="ton",C175+ARBITRAGES!$G176,C175),C175))</f>
        <v>0</v>
      </c>
      <c r="D176" s="545">
        <f>IF($M176="","", IF(ARBITRAGES!$G176&gt;0,IF(ARBITRAGES!$H176="sol",D175+ARBITRAGES!$G176,D175),D175))</f>
        <v>4858.693837</v>
      </c>
      <c r="E176" s="545">
        <f>IF($M176="","", IF(ARBITRAGES!$G176&gt;0,IF(ARBITRAGES!$H176="tao",E175+ARBITRAGES!$G176,E175),E175))</f>
        <v>0</v>
      </c>
      <c r="F176" s="545">
        <f>IF($M176="","", IF(ARBITRAGES!$G176&gt;0,IF(ARBITRAGES!$H176="ron",F175+ARBITRAGES!$G176,F175),F175))</f>
        <v>0</v>
      </c>
      <c r="G176" s="545">
        <f>IF($M176="","", IF(ARBITRAGES!$G176&gt;0,IF(ARBITRAGES!$H176="link",G175+ARBITRAGES!$G176,G175),G175))</f>
        <v>0</v>
      </c>
      <c r="H176" s="545">
        <f>IF($M176="","", IF(ARBITRAGES!$G176&gt;0,IF(ARBITRAGES!$H176="doge",H175+ARBITRAGES!$G176,H175),H175))</f>
        <v>0</v>
      </c>
      <c r="I176" s="545">
        <f t="shared" ref="I176:J176" si="150">IF(H176="","",I175)</f>
        <v>645.78248</v>
      </c>
      <c r="J176" s="545">
        <f t="shared" si="150"/>
        <v>244.016</v>
      </c>
      <c r="K176" s="545">
        <f>IF($M176="","", IF(ARBITRAGES!$G176&gt;0,IF(ARBITRAGES!$H176="*jup*",K175+ARBITRAGES!$G176,K175),K175))</f>
        <v>0</v>
      </c>
      <c r="L176" s="545">
        <f>IF($M176="","", IF(ARBITRAGES!$G176&gt;0,IF(ARBITRAGES!$H176="*aave*",L175+ARBITRAGES!$G176,L175),L175))</f>
        <v>0</v>
      </c>
      <c r="M176" s="540">
        <f>IF(ARBITRAGES!E176=0,"",ARBITRAGES!E176)</f>
        <v>45953</v>
      </c>
      <c r="N176" s="541">
        <f>IF(M176="","", SUM(A176:H176)+ARBITRAGES!$K$3)</f>
        <v>37467.52166</v>
      </c>
      <c r="O176" s="542">
        <f>IF(M176="","",PRIX!U176)</f>
        <v>57908.82315</v>
      </c>
      <c r="Q176" s="543">
        <f t="shared" si="1"/>
        <v>0.5455738889</v>
      </c>
      <c r="S176" s="544">
        <f t="shared" si="2"/>
        <v>20441.3015</v>
      </c>
    </row>
    <row r="177">
      <c r="A177" s="545">
        <f>IF($M177="","", IF(ARBITRAGES!$G177&gt;0,IF(ARBITRAGES!$H177="btc",A176+ARBITRAGES!$G177,A176),A176))</f>
        <v>5999.429056</v>
      </c>
      <c r="B177" s="545">
        <f>IF($M177="","", IF(ARBITRAGES!$G177&gt;0,IF(ARBITRAGES!$H177="eth",B176+ARBITRAGES!$G177,B176),B176))</f>
        <v>5059.398762</v>
      </c>
      <c r="C177" s="545">
        <f>IF($M177="","", IF(ARBITRAGES!$G177&gt;0,IF(ARBITRAGES!$H177="ton",C176+ARBITRAGES!$G177,C176),C176))</f>
        <v>0</v>
      </c>
      <c r="D177" s="545">
        <f>IF($M177="","", IF(ARBITRAGES!$G177&gt;0,IF(ARBITRAGES!$H177="sol",D176+ARBITRAGES!$G177,D176),D176))</f>
        <v>4858.693837</v>
      </c>
      <c r="E177" s="545">
        <f>IF($M177="","", IF(ARBITRAGES!$G177&gt;0,IF(ARBITRAGES!$H177="tao",E176+ARBITRAGES!$G177,E176),E176))</f>
        <v>0</v>
      </c>
      <c r="F177" s="545">
        <f>IF($M177="","", IF(ARBITRAGES!$G177&gt;0,IF(ARBITRAGES!$H177="ron",F176+ARBITRAGES!$G177,F176),F176))</f>
        <v>0</v>
      </c>
      <c r="G177" s="545">
        <f>IF($M177="","", IF(ARBITRAGES!$G177&gt;0,IF(ARBITRAGES!$H177="link",G176+ARBITRAGES!$G177,G176),G176))</f>
        <v>0</v>
      </c>
      <c r="H177" s="545">
        <f>IF($M177="","", IF(ARBITRAGES!$G177&gt;0,IF(ARBITRAGES!$H177="doge",H176+ARBITRAGES!$G177,H176),H176))</f>
        <v>0</v>
      </c>
      <c r="I177" s="545">
        <f t="shared" ref="I177:J177" si="151">IF(H177="","",I176)</f>
        <v>645.78248</v>
      </c>
      <c r="J177" s="545">
        <f t="shared" si="151"/>
        <v>244.016</v>
      </c>
      <c r="K177" s="545">
        <f>IF($M177="","", IF(ARBITRAGES!$G177&gt;0,IF(ARBITRAGES!$H177="*jup*",K176+ARBITRAGES!$G177,K176),K176))</f>
        <v>0</v>
      </c>
      <c r="L177" s="545">
        <f>IF($M177="","", IF(ARBITRAGES!$G177&gt;0,IF(ARBITRAGES!$H177="*aave*",L176+ARBITRAGES!$G177,L176),L176))</f>
        <v>0</v>
      </c>
      <c r="M177" s="540">
        <f>IF(ARBITRAGES!E177=0,"",ARBITRAGES!E177)</f>
        <v>45957</v>
      </c>
      <c r="N177" s="541">
        <f>IF(M177="","", SUM(A177:H177)+ARBITRAGES!$K$3)</f>
        <v>37467.52166</v>
      </c>
      <c r="O177" s="542">
        <f>IF(M177="","",PRIX!U177)</f>
        <v>60211.62415</v>
      </c>
      <c r="Q177" s="543">
        <f t="shared" si="1"/>
        <v>0.6070351465</v>
      </c>
      <c r="S177" s="544">
        <f t="shared" si="2"/>
        <v>22744.1025</v>
      </c>
    </row>
    <row r="178">
      <c r="A178" s="545">
        <f>IF($M178="","", IF(ARBITRAGES!$G178&gt;0,IF(ARBITRAGES!$H178="btc",A177+ARBITRAGES!$G178,A177),A177))</f>
        <v>5999.429056</v>
      </c>
      <c r="B178" s="545">
        <f>IF($M178="","", IF(ARBITRAGES!$G178&gt;0,IF(ARBITRAGES!$H178="eth",B177+ARBITRAGES!$G178,B177),B177))</f>
        <v>5059.398762</v>
      </c>
      <c r="C178" s="545">
        <f>IF($M178="","", IF(ARBITRAGES!$G178&gt;0,IF(ARBITRAGES!$H178="ton",C177+ARBITRAGES!$G178,C177),C177))</f>
        <v>0</v>
      </c>
      <c r="D178" s="545">
        <f>IF($M178="","", IF(ARBITRAGES!$G178&gt;0,IF(ARBITRAGES!$H178="sol",D177+ARBITRAGES!$G178,D177),D177))</f>
        <v>4858.693837</v>
      </c>
      <c r="E178" s="545">
        <f>IF($M178="","", IF(ARBITRAGES!$G178&gt;0,IF(ARBITRAGES!$H178="tao",E177+ARBITRAGES!$G178,E177),E177))</f>
        <v>0</v>
      </c>
      <c r="F178" s="545">
        <f>IF($M178="","", IF(ARBITRAGES!$G178&gt;0,IF(ARBITRAGES!$H178="ron",F177+ARBITRAGES!$G178,F177),F177))</f>
        <v>0</v>
      </c>
      <c r="G178" s="545">
        <f>IF($M178="","", IF(ARBITRAGES!$G178&gt;0,IF(ARBITRAGES!$H178="link",G177+ARBITRAGES!$G178,G177),G177))</f>
        <v>0</v>
      </c>
      <c r="H178" s="545">
        <f>IF($M178="","", IF(ARBITRAGES!$G178&gt;0,IF(ARBITRAGES!$H178="doge",H177+ARBITRAGES!$G178,H177),H177))</f>
        <v>0</v>
      </c>
      <c r="I178" s="545">
        <f t="shared" ref="I178:J178" si="152">IF(H178="","",I177)</f>
        <v>645.78248</v>
      </c>
      <c r="J178" s="545">
        <f t="shared" si="152"/>
        <v>244.016</v>
      </c>
      <c r="K178" s="545">
        <f>IF($M178="","", IF(ARBITRAGES!$G178&gt;0,IF(ARBITRAGES!$H178="*jup*",K177+ARBITRAGES!$G178,K177),K177))</f>
        <v>0</v>
      </c>
      <c r="L178" s="545">
        <f>IF($M178="","", IF(ARBITRAGES!$G178&gt;0,IF(ARBITRAGES!$H178="*aave*",L177+ARBITRAGES!$G178,L177),L177))</f>
        <v>0</v>
      </c>
      <c r="M178" s="540">
        <f>IF(ARBITRAGES!E178=0,"",ARBITRAGES!E178)</f>
        <v>45957</v>
      </c>
      <c r="N178" s="541">
        <f>IF(M178="","", SUM(A178:H178)+ARBITRAGES!$K$3)</f>
        <v>37467.52166</v>
      </c>
      <c r="O178" s="542">
        <f>IF(M178="","",PRIX!U178)</f>
        <v>60206.62415</v>
      </c>
      <c r="Q178" s="543">
        <f t="shared" si="1"/>
        <v>0.6069016976</v>
      </c>
      <c r="S178" s="544">
        <f t="shared" si="2"/>
        <v>22739.1025</v>
      </c>
    </row>
    <row r="179">
      <c r="A179" s="545">
        <f>IF($M179="","", IF(ARBITRAGES!$G179&gt;0,IF(ARBITRAGES!$H179="btc",A178+ARBITRAGES!$G179,A178),A178))</f>
        <v>5999.429056</v>
      </c>
      <c r="B179" s="545">
        <f>IF($M179="","", IF(ARBITRAGES!$G179&gt;0,IF(ARBITRAGES!$H179="eth",B178+ARBITRAGES!$G179,B178),B178))</f>
        <v>5059.398762</v>
      </c>
      <c r="C179" s="545">
        <f>IF($M179="","", IF(ARBITRAGES!$G179&gt;0,IF(ARBITRAGES!$H179="ton",C178+ARBITRAGES!$G179,C178),C178))</f>
        <v>0</v>
      </c>
      <c r="D179" s="545">
        <f>IF($M179="","", IF(ARBITRAGES!$G179&gt;0,IF(ARBITRAGES!$H179="sol",D178+ARBITRAGES!$G179,D178),D178))</f>
        <v>4858.693837</v>
      </c>
      <c r="E179" s="545">
        <f>IF($M179="","", IF(ARBITRAGES!$G179&gt;0,IF(ARBITRAGES!$H179="tao",E178+ARBITRAGES!$G179,E178),E178))</f>
        <v>0</v>
      </c>
      <c r="F179" s="545">
        <f>IF($M179="","", IF(ARBITRAGES!$G179&gt;0,IF(ARBITRAGES!$H179="ron",F178+ARBITRAGES!$G179,F178),F178))</f>
        <v>0</v>
      </c>
      <c r="G179" s="545">
        <f>IF($M179="","", IF(ARBITRAGES!$G179&gt;0,IF(ARBITRAGES!$H179="link",G178+ARBITRAGES!$G179,G178),G178))</f>
        <v>0</v>
      </c>
      <c r="H179" s="545">
        <f>IF($M179="","", IF(ARBITRAGES!$G179&gt;0,IF(ARBITRAGES!$H179="doge",H178+ARBITRAGES!$G179,H178),H178))</f>
        <v>0</v>
      </c>
      <c r="I179" s="545">
        <f t="shared" ref="I179:J179" si="153">IF(H179="","",I178)</f>
        <v>645.78248</v>
      </c>
      <c r="J179" s="545">
        <f t="shared" si="153"/>
        <v>244.016</v>
      </c>
      <c r="K179" s="545">
        <f>IF($M179="","", IF(ARBITRAGES!$G179&gt;0,IF(ARBITRAGES!$H179="*jup*",K178+ARBITRAGES!$G179,K178),K178))</f>
        <v>0</v>
      </c>
      <c r="L179" s="545">
        <f>IF($M179="","", IF(ARBITRAGES!$G179&gt;0,IF(ARBITRAGES!$H179="*aave*",L178+ARBITRAGES!$G179,L178),L178))</f>
        <v>0</v>
      </c>
      <c r="M179" s="540">
        <f>IF(ARBITRAGES!E179=0,"",ARBITRAGES!E179)</f>
        <v>45958</v>
      </c>
      <c r="N179" s="541">
        <f>IF(M179="","", SUM(A179:H179)+ARBITRAGES!$K$3)</f>
        <v>37467.52166</v>
      </c>
      <c r="O179" s="542">
        <f>IF(M179="","",PRIX!U179)</f>
        <v>60237.52415</v>
      </c>
      <c r="Q179" s="543">
        <f t="shared" si="1"/>
        <v>0.6077264118</v>
      </c>
      <c r="S179" s="544">
        <f t="shared" si="2"/>
        <v>22770.0025</v>
      </c>
    </row>
    <row r="180">
      <c r="A180" s="545">
        <f>IF($M180="","", IF(ARBITRAGES!$G180&gt;0,IF(ARBITRAGES!$H180="btc",A179+ARBITRAGES!$G180,A179),A179))</f>
        <v>5999.429056</v>
      </c>
      <c r="B180" s="545">
        <f>IF($M180="","", IF(ARBITRAGES!$G180&gt;0,IF(ARBITRAGES!$H180="eth",B179+ARBITRAGES!$G180,B179),B179))</f>
        <v>5059.398762</v>
      </c>
      <c r="C180" s="545">
        <f>IF($M180="","", IF(ARBITRAGES!$G180&gt;0,IF(ARBITRAGES!$H180="ton",C179+ARBITRAGES!$G180,C179),C179))</f>
        <v>0</v>
      </c>
      <c r="D180" s="545">
        <f>IF($M180="","", IF(ARBITRAGES!$G180&gt;0,IF(ARBITRAGES!$H180="sol",D179+ARBITRAGES!$G180,D179),D179))</f>
        <v>4858.693837</v>
      </c>
      <c r="E180" s="545">
        <f>IF($M180="","", IF(ARBITRAGES!$G180&gt;0,IF(ARBITRAGES!$H180="tao",E179+ARBITRAGES!$G180,E179),E179))</f>
        <v>0</v>
      </c>
      <c r="F180" s="545">
        <f>IF($M180="","", IF(ARBITRAGES!$G180&gt;0,IF(ARBITRAGES!$H180="ron",F179+ARBITRAGES!$G180,F179),F179))</f>
        <v>0</v>
      </c>
      <c r="G180" s="545">
        <f>IF($M180="","", IF(ARBITRAGES!$G180&gt;0,IF(ARBITRAGES!$H180="link",G179+ARBITRAGES!$G180,G179),G179))</f>
        <v>0</v>
      </c>
      <c r="H180" s="545">
        <f>IF($M180="","", IF(ARBITRAGES!$G180&gt;0,IF(ARBITRAGES!$H180="doge",H179+ARBITRAGES!$G180,H179),H179))</f>
        <v>0</v>
      </c>
      <c r="I180" s="545">
        <f t="shared" ref="I180:J180" si="154">IF(H180="","",I179)</f>
        <v>645.78248</v>
      </c>
      <c r="J180" s="545">
        <f t="shared" si="154"/>
        <v>244.016</v>
      </c>
      <c r="K180" s="545">
        <f>IF($M180="","", IF(ARBITRAGES!$G180&gt;0,IF(ARBITRAGES!$H180="*jup*",K179+ARBITRAGES!$G180,K179),K179))</f>
        <v>0</v>
      </c>
      <c r="L180" s="545">
        <f>IF($M180="","", IF(ARBITRAGES!$G180&gt;0,IF(ARBITRAGES!$H180="*aave*",L179+ARBITRAGES!$G180,L179),L179))</f>
        <v>0</v>
      </c>
      <c r="M180" s="540">
        <f>IF(ARBITRAGES!E180=0,"",ARBITRAGES!E180)</f>
        <v>45960</v>
      </c>
      <c r="N180" s="541">
        <f>IF(M180="","", SUM(A180:H180)+ARBITRAGES!$K$3)</f>
        <v>37467.52166</v>
      </c>
      <c r="O180" s="542">
        <f>IF(M180="","",PRIX!U180)</f>
        <v>58892.85713</v>
      </c>
      <c r="Q180" s="543">
        <f t="shared" si="1"/>
        <v>0.5718375418</v>
      </c>
      <c r="S180" s="544">
        <f t="shared" si="2"/>
        <v>21425.33548</v>
      </c>
    </row>
    <row r="181">
      <c r="A181" s="545">
        <f>IF($M181="","", IF(ARBITRAGES!$G181&gt;0,IF(ARBITRAGES!$H181="btc",A180+ARBITRAGES!$G181,A180),A180))</f>
        <v>5999.429056</v>
      </c>
      <c r="B181" s="545">
        <f>IF($M181="","", IF(ARBITRAGES!$G181&gt;0,IF(ARBITRAGES!$H181="eth",B180+ARBITRAGES!$G181,B180),B180))</f>
        <v>5059.398762</v>
      </c>
      <c r="C181" s="545">
        <f>IF($M181="","", IF(ARBITRAGES!$G181&gt;0,IF(ARBITRAGES!$H181="ton",C180+ARBITRAGES!$G181,C180),C180))</f>
        <v>0</v>
      </c>
      <c r="D181" s="545">
        <f>IF($M181="","", IF(ARBITRAGES!$G181&gt;0,IF(ARBITRAGES!$H181="sol",D180+ARBITRAGES!$G181,D180),D180))</f>
        <v>4858.693837</v>
      </c>
      <c r="E181" s="545">
        <f>IF($M181="","", IF(ARBITRAGES!$G181&gt;0,IF(ARBITRAGES!$H181="tao",E180+ARBITRAGES!$G181,E180),E180))</f>
        <v>0</v>
      </c>
      <c r="F181" s="545">
        <f>IF($M181="","", IF(ARBITRAGES!$G181&gt;0,IF(ARBITRAGES!$H181="ron",F180+ARBITRAGES!$G181,F180),F180))</f>
        <v>0</v>
      </c>
      <c r="G181" s="545">
        <f>IF($M181="","", IF(ARBITRAGES!$G181&gt;0,IF(ARBITRAGES!$H181="link",G180+ARBITRAGES!$G181,G180),G180))</f>
        <v>0</v>
      </c>
      <c r="H181" s="545">
        <f>IF($M181="","", IF(ARBITRAGES!$G181&gt;0,IF(ARBITRAGES!$H181="doge",H180+ARBITRAGES!$G181,H180),H180))</f>
        <v>0</v>
      </c>
      <c r="I181" s="545">
        <f t="shared" ref="I181:J181" si="155">IF(H181="","",I180)</f>
        <v>645.78248</v>
      </c>
      <c r="J181" s="545">
        <f t="shared" si="155"/>
        <v>244.016</v>
      </c>
      <c r="K181" s="545">
        <f>IF($M181="","", IF(ARBITRAGES!$G181&gt;0,IF(ARBITRAGES!$H181="*jup*",K180+ARBITRAGES!$G181,K180),K180))</f>
        <v>0</v>
      </c>
      <c r="L181" s="545">
        <f>IF($M181="","", IF(ARBITRAGES!$G181&gt;0,IF(ARBITRAGES!$H181="*aave*",L180+ARBITRAGES!$G181,L180),L180))</f>
        <v>0</v>
      </c>
      <c r="M181" s="540">
        <f>IF(ARBITRAGES!E181=0,"",ARBITRAGES!E181)</f>
        <v>45961</v>
      </c>
      <c r="N181" s="541">
        <f>IF(M181="","", SUM(A181:H181)+ARBITRAGES!$K$3)</f>
        <v>37467.52166</v>
      </c>
      <c r="O181" s="542">
        <f>IF(M181="","",PRIX!U181)</f>
        <v>58886.30713</v>
      </c>
      <c r="Q181" s="543">
        <f t="shared" si="1"/>
        <v>0.5716627237</v>
      </c>
      <c r="S181" s="544">
        <f t="shared" si="2"/>
        <v>21418.78548</v>
      </c>
    </row>
    <row r="182">
      <c r="A182" s="545">
        <f>IF($M182="","", IF(ARBITRAGES!$G182&gt;0,IF(ARBITRAGES!$H182="btc",A181+ARBITRAGES!$G182,A181),A181))</f>
        <v>5999.429056</v>
      </c>
      <c r="B182" s="545">
        <f>IF($M182="","", IF(ARBITRAGES!$G182&gt;0,IF(ARBITRAGES!$H182="eth",B181+ARBITRAGES!$G182,B181),B181))</f>
        <v>5059.398762</v>
      </c>
      <c r="C182" s="545">
        <f>IF($M182="","", IF(ARBITRAGES!$G182&gt;0,IF(ARBITRAGES!$H182="ton",C181+ARBITRAGES!$G182,C181),C181))</f>
        <v>0</v>
      </c>
      <c r="D182" s="545">
        <f>IF($M182="","", IF(ARBITRAGES!$G182&gt;0,IF(ARBITRAGES!$H182="sol",D181+ARBITRAGES!$G182,D181),D181))</f>
        <v>4858.693837</v>
      </c>
      <c r="E182" s="545">
        <f>IF($M182="","", IF(ARBITRAGES!$G182&gt;0,IF(ARBITRAGES!$H182="tao",E181+ARBITRAGES!$G182,E181),E181))</f>
        <v>0</v>
      </c>
      <c r="F182" s="545">
        <f>IF($M182="","", IF(ARBITRAGES!$G182&gt;0,IF(ARBITRAGES!$H182="ron",F181+ARBITRAGES!$G182,F181),F181))</f>
        <v>0</v>
      </c>
      <c r="G182" s="545">
        <f>IF($M182="","", IF(ARBITRAGES!$G182&gt;0,IF(ARBITRAGES!$H182="link",G181+ARBITRAGES!$G182,G181),G181))</f>
        <v>0</v>
      </c>
      <c r="H182" s="545">
        <f>IF($M182="","", IF(ARBITRAGES!$G182&gt;0,IF(ARBITRAGES!$H182="doge",H181+ARBITRAGES!$G182,H181),H181))</f>
        <v>0</v>
      </c>
      <c r="I182" s="545">
        <f t="shared" ref="I182:J182" si="156">IF(H182="","",I181)</f>
        <v>645.78248</v>
      </c>
      <c r="J182" s="545">
        <f t="shared" si="156"/>
        <v>244.016</v>
      </c>
      <c r="K182" s="545">
        <f>IF($M182="","", IF(ARBITRAGES!$G182&gt;0,IF(ARBITRAGES!$H182="*jup*",K181+ARBITRAGES!$G182,K181),K181))</f>
        <v>0</v>
      </c>
      <c r="L182" s="545">
        <f>IF($M182="","", IF(ARBITRAGES!$G182&gt;0,IF(ARBITRAGES!$H182="*aave*",L181+ARBITRAGES!$G182,L181),L181))</f>
        <v>0</v>
      </c>
      <c r="M182" s="540">
        <f>IF(ARBITRAGES!E182=0,"",ARBITRAGES!E182)</f>
        <v>45961</v>
      </c>
      <c r="N182" s="541">
        <f>IF(M182="","", SUM(A182:H182)+ARBITRAGES!$K$3)</f>
        <v>37467.52166</v>
      </c>
      <c r="O182" s="542">
        <f>IF(M182="","",PRIX!U182)</f>
        <v>58907.25713</v>
      </c>
      <c r="Q182" s="543">
        <f t="shared" si="1"/>
        <v>0.5722218746</v>
      </c>
      <c r="S182" s="544">
        <f t="shared" si="2"/>
        <v>21439.73548</v>
      </c>
    </row>
    <row r="183">
      <c r="A183" s="545">
        <f>IF($M183="","", IF(ARBITRAGES!$G183&gt;0,IF(ARBITRAGES!$H183="btc",A182+ARBITRAGES!$G183,A182),A182))</f>
        <v>5999.429056</v>
      </c>
      <c r="B183" s="545">
        <f>IF($M183="","", IF(ARBITRAGES!$G183&gt;0,IF(ARBITRAGES!$H183="eth",B182+ARBITRAGES!$G183,B182),B182))</f>
        <v>5059.398762</v>
      </c>
      <c r="C183" s="545">
        <f>IF($M183="","", IF(ARBITRAGES!$G183&gt;0,IF(ARBITRAGES!$H183="ton",C182+ARBITRAGES!$G183,C182),C182))</f>
        <v>0</v>
      </c>
      <c r="D183" s="545">
        <f>IF($M183="","", IF(ARBITRAGES!$G183&gt;0,IF(ARBITRAGES!$H183="sol",D182+ARBITRAGES!$G183,D182),D182))</f>
        <v>4858.693837</v>
      </c>
      <c r="E183" s="545">
        <f>IF($M183="","", IF(ARBITRAGES!$G183&gt;0,IF(ARBITRAGES!$H183="tao",E182+ARBITRAGES!$G183,E182),E182))</f>
        <v>0</v>
      </c>
      <c r="F183" s="545">
        <f>IF($M183="","", IF(ARBITRAGES!$G183&gt;0,IF(ARBITRAGES!$H183="ron",F182+ARBITRAGES!$G183,F182),F182))</f>
        <v>0</v>
      </c>
      <c r="G183" s="545">
        <f>IF($M183="","", IF(ARBITRAGES!$G183&gt;0,IF(ARBITRAGES!$H183="link",G182+ARBITRAGES!$G183,G182),G182))</f>
        <v>0</v>
      </c>
      <c r="H183" s="545">
        <f>IF($M183="","", IF(ARBITRAGES!$G183&gt;0,IF(ARBITRAGES!$H183="doge",H182+ARBITRAGES!$G183,H182),H182))</f>
        <v>0</v>
      </c>
      <c r="I183" s="545">
        <f t="shared" ref="I183:J183" si="157">IF(H183="","",I182)</f>
        <v>645.78248</v>
      </c>
      <c r="J183" s="545">
        <f t="shared" si="157"/>
        <v>244.016</v>
      </c>
      <c r="K183" s="545">
        <f>IF($M183="","", IF(ARBITRAGES!$G183&gt;0,IF(ARBITRAGES!$H183="*jup*",K182+ARBITRAGES!$G183,K182),K182))</f>
        <v>0</v>
      </c>
      <c r="L183" s="545">
        <f>IF($M183="","", IF(ARBITRAGES!$G183&gt;0,IF(ARBITRAGES!$H183="*aave*",L182+ARBITRAGES!$G183,L182),L182))</f>
        <v>0</v>
      </c>
      <c r="M183" s="540">
        <f>IF(ARBITRAGES!E183=0,"",ARBITRAGES!E183)</f>
        <v>45962</v>
      </c>
      <c r="N183" s="541">
        <f>IF(M183="","", SUM(A183:H183)+ARBITRAGES!$K$3)</f>
        <v>37467.52166</v>
      </c>
      <c r="O183" s="542">
        <f>IF(M183="","",PRIX!U183)</f>
        <v>59046.03016</v>
      </c>
      <c r="Q183" s="543">
        <f t="shared" si="1"/>
        <v>0.5759256966</v>
      </c>
      <c r="S183" s="544">
        <f t="shared" si="2"/>
        <v>21578.50851</v>
      </c>
    </row>
    <row r="184">
      <c r="A184" s="545">
        <f>IF($M184="","", IF(ARBITRAGES!$G184&gt;0,IF(ARBITRAGES!$H184="btc",A183+ARBITRAGES!$G184,A183),A183))</f>
        <v>5999.429056</v>
      </c>
      <c r="B184" s="545">
        <f>IF($M184="","", IF(ARBITRAGES!$G184&gt;0,IF(ARBITRAGES!$H184="eth",B183+ARBITRAGES!$G184,B183),B183))</f>
        <v>5059.398762</v>
      </c>
      <c r="C184" s="545">
        <f>IF($M184="","", IF(ARBITRAGES!$G184&gt;0,IF(ARBITRAGES!$H184="ton",C183+ARBITRAGES!$G184,C183),C183))</f>
        <v>0</v>
      </c>
      <c r="D184" s="545">
        <f>IF($M184="","", IF(ARBITRAGES!$G184&gt;0,IF(ARBITRAGES!$H184="sol",D183+ARBITRAGES!$G184,D183),D183))</f>
        <v>4858.693837</v>
      </c>
      <c r="E184" s="545">
        <f>IF($M184="","", IF(ARBITRAGES!$G184&gt;0,IF(ARBITRAGES!$H184="tao",E183+ARBITRAGES!$G184,E183),E183))</f>
        <v>0</v>
      </c>
      <c r="F184" s="545">
        <f>IF($M184="","", IF(ARBITRAGES!$G184&gt;0,IF(ARBITRAGES!$H184="ron",F183+ARBITRAGES!$G184,F183),F183))</f>
        <v>0</v>
      </c>
      <c r="G184" s="545">
        <f>IF($M184="","", IF(ARBITRAGES!$G184&gt;0,IF(ARBITRAGES!$H184="link",G183+ARBITRAGES!$G184,G183),G183))</f>
        <v>0</v>
      </c>
      <c r="H184" s="545">
        <f>IF($M184="","", IF(ARBITRAGES!$G184&gt;0,IF(ARBITRAGES!$H184="doge",H183+ARBITRAGES!$G184,H183),H183))</f>
        <v>0</v>
      </c>
      <c r="I184" s="545">
        <f t="shared" ref="I184:J184" si="158">IF(H184="","",I183)</f>
        <v>645.78248</v>
      </c>
      <c r="J184" s="545">
        <f t="shared" si="158"/>
        <v>244.016</v>
      </c>
      <c r="K184" s="545">
        <f>IF($M184="","", IF(ARBITRAGES!$G184&gt;0,IF(ARBITRAGES!$H184="*jup*",K183+ARBITRAGES!$G184,K183),K183))</f>
        <v>0</v>
      </c>
      <c r="L184" s="545">
        <f>IF($M184="","", IF(ARBITRAGES!$G184&gt;0,IF(ARBITRAGES!$H184="*aave*",L183+ARBITRAGES!$G184,L183),L183))</f>
        <v>0</v>
      </c>
      <c r="M184" s="540">
        <f>IF(ARBITRAGES!E184=0,"",ARBITRAGES!E184)</f>
        <v>45963</v>
      </c>
      <c r="N184" s="541">
        <f>IF(M184="","", SUM(A184:H184)+ARBITRAGES!$K$3)</f>
        <v>37467.52166</v>
      </c>
      <c r="O184" s="542">
        <f>IF(M184="","",PRIX!U184)</f>
        <v>59050.75837</v>
      </c>
      <c r="Q184" s="543">
        <f t="shared" si="1"/>
        <v>0.5760518914</v>
      </c>
      <c r="S184" s="544">
        <f t="shared" si="2"/>
        <v>21583.23671</v>
      </c>
    </row>
    <row r="185">
      <c r="A185" s="545">
        <f>IF($M185="","", IF(ARBITRAGES!$G185&gt;0,IF(ARBITRAGES!$H185="btc",A184+ARBITRAGES!$G185,A184),A184))</f>
        <v>5999.429056</v>
      </c>
      <c r="B185" s="545">
        <f>IF($M185="","", IF(ARBITRAGES!$G185&gt;0,IF(ARBITRAGES!$H185="eth",B184+ARBITRAGES!$G185,B184),B184))</f>
        <v>5059.398762</v>
      </c>
      <c r="C185" s="545">
        <f>IF($M185="","", IF(ARBITRAGES!$G185&gt;0,IF(ARBITRAGES!$H185="ton",C184+ARBITRAGES!$G185,C184),C184))</f>
        <v>0</v>
      </c>
      <c r="D185" s="545">
        <f>IF($M185="","", IF(ARBITRAGES!$G185&gt;0,IF(ARBITRAGES!$H185="sol",D184+ARBITRAGES!$G185,D184),D184))</f>
        <v>4858.693837</v>
      </c>
      <c r="E185" s="545">
        <f>IF($M185="","", IF(ARBITRAGES!$G185&gt;0,IF(ARBITRAGES!$H185="tao",E184+ARBITRAGES!$G185,E184),E184))</f>
        <v>0</v>
      </c>
      <c r="F185" s="545">
        <f>IF($M185="","", IF(ARBITRAGES!$G185&gt;0,IF(ARBITRAGES!$H185="ron",F184+ARBITRAGES!$G185,F184),F184))</f>
        <v>0</v>
      </c>
      <c r="G185" s="545">
        <f>IF($M185="","", IF(ARBITRAGES!$G185&gt;0,IF(ARBITRAGES!$H185="link",G184+ARBITRAGES!$G185,G184),G184))</f>
        <v>0</v>
      </c>
      <c r="H185" s="545">
        <f>IF($M185="","", IF(ARBITRAGES!$G185&gt;0,IF(ARBITRAGES!$H185="doge",H184+ARBITRAGES!$G185,H184),H184))</f>
        <v>0</v>
      </c>
      <c r="I185" s="545">
        <f t="shared" ref="I185:J185" si="159">IF(H185="","",I184)</f>
        <v>645.78248</v>
      </c>
      <c r="J185" s="545">
        <f t="shared" si="159"/>
        <v>244.016</v>
      </c>
      <c r="K185" s="545">
        <f>IF($M185="","", IF(ARBITRAGES!$G185&gt;0,IF(ARBITRAGES!$H185="*jup*",K184+ARBITRAGES!$G185,K184),K184))</f>
        <v>0</v>
      </c>
      <c r="L185" s="545">
        <f>IF($M185="","", IF(ARBITRAGES!$G185&gt;0,IF(ARBITRAGES!$H185="*aave*",L184+ARBITRAGES!$G185,L184),L184))</f>
        <v>0</v>
      </c>
      <c r="M185" s="540">
        <f>IF(ARBITRAGES!E185=0,"",ARBITRAGES!E185)</f>
        <v>45964</v>
      </c>
      <c r="N185" s="541">
        <f>IF(M185="","", SUM(A185:H185)+ARBITRAGES!$K$3)</f>
        <v>37467.52166</v>
      </c>
      <c r="O185" s="542">
        <f>IF(M185="","",PRIX!U185)</f>
        <v>53780.20039</v>
      </c>
      <c r="Q185" s="543">
        <f t="shared" si="1"/>
        <v>0.4353818459</v>
      </c>
      <c r="S185" s="544">
        <f t="shared" si="2"/>
        <v>16312.67874</v>
      </c>
    </row>
    <row r="186">
      <c r="A186" s="545">
        <f>IF($M186="","", IF(ARBITRAGES!$G186&gt;0,IF(ARBITRAGES!$H186="btc",A185+ARBITRAGES!$G186,A185),A185))</f>
        <v>5999.429056</v>
      </c>
      <c r="B186" s="545">
        <f>IF($M186="","", IF(ARBITRAGES!$G186&gt;0,IF(ARBITRAGES!$H186="eth",B185+ARBITRAGES!$G186,B185),B185))</f>
        <v>5059.398762</v>
      </c>
      <c r="C186" s="545">
        <f>IF($M186="","", IF(ARBITRAGES!$G186&gt;0,IF(ARBITRAGES!$H186="ton",C185+ARBITRAGES!$G186,C185),C185))</f>
        <v>0</v>
      </c>
      <c r="D186" s="545">
        <f>IF($M186="","", IF(ARBITRAGES!$G186&gt;0,IF(ARBITRAGES!$H186="sol",D185+ARBITRAGES!$G186,D185),D185))</f>
        <v>4858.693837</v>
      </c>
      <c r="E186" s="545">
        <f>IF($M186="","", IF(ARBITRAGES!$G186&gt;0,IF(ARBITRAGES!$H186="tao",E185+ARBITRAGES!$G186,E185),E185))</f>
        <v>0</v>
      </c>
      <c r="F186" s="545">
        <f>IF($M186="","", IF(ARBITRAGES!$G186&gt;0,IF(ARBITRAGES!$H186="ron",F185+ARBITRAGES!$G186,F185),F185))</f>
        <v>0</v>
      </c>
      <c r="G186" s="545">
        <f>IF($M186="","", IF(ARBITRAGES!$G186&gt;0,IF(ARBITRAGES!$H186="link",G185+ARBITRAGES!$G186,G185),G185))</f>
        <v>0</v>
      </c>
      <c r="H186" s="545">
        <f>IF($M186="","", IF(ARBITRAGES!$G186&gt;0,IF(ARBITRAGES!$H186="doge",H185+ARBITRAGES!$G186,H185),H185))</f>
        <v>0</v>
      </c>
      <c r="I186" s="545">
        <f t="shared" ref="I186:J186" si="160">IF(H186="","",I185)</f>
        <v>645.78248</v>
      </c>
      <c r="J186" s="545">
        <f t="shared" si="160"/>
        <v>244.016</v>
      </c>
      <c r="K186" s="545">
        <f>IF($M186="","", IF(ARBITRAGES!$G186&gt;0,IF(ARBITRAGES!$H186="*jup*",K185+ARBITRAGES!$G186,K185),K185))</f>
        <v>0</v>
      </c>
      <c r="L186" s="545">
        <f>IF($M186="","", IF(ARBITRAGES!$G186&gt;0,IF(ARBITRAGES!$H186="*aave*",L185+ARBITRAGES!$G186,L185),L185))</f>
        <v>0</v>
      </c>
      <c r="M186" s="540">
        <f>IF(ARBITRAGES!E186=0,"",ARBITRAGES!E186)</f>
        <v>45964</v>
      </c>
      <c r="N186" s="541">
        <f>IF(M186="","", SUM(A186:H186)+ARBITRAGES!$K$3)</f>
        <v>37467.52166</v>
      </c>
      <c r="O186" s="542">
        <f>IF(M186="","",PRIX!U186)</f>
        <v>53785.70314</v>
      </c>
      <c r="Q186" s="543">
        <f t="shared" si="1"/>
        <v>0.4355287131</v>
      </c>
      <c r="S186" s="544">
        <f t="shared" si="2"/>
        <v>16318.18149</v>
      </c>
    </row>
    <row r="187">
      <c r="A187" s="545">
        <f>IF($M187="","", IF(ARBITRAGES!$G187&gt;0,IF(ARBITRAGES!$H187="btc",A186+ARBITRAGES!$G187,A186),A186))</f>
        <v>5999.429056</v>
      </c>
      <c r="B187" s="545">
        <f>IF($M187="","", IF(ARBITRAGES!$G187&gt;0,IF(ARBITRAGES!$H187="eth",B186+ARBITRAGES!$G187,B186),B186))</f>
        <v>5059.398762</v>
      </c>
      <c r="C187" s="545">
        <f>IF($M187="","", IF(ARBITRAGES!$G187&gt;0,IF(ARBITRAGES!$H187="ton",C186+ARBITRAGES!$G187,C186),C186))</f>
        <v>0</v>
      </c>
      <c r="D187" s="545">
        <f>IF($M187="","", IF(ARBITRAGES!$G187&gt;0,IF(ARBITRAGES!$H187="sol",D186+ARBITRAGES!$G187,D186),D186))</f>
        <v>4858.693837</v>
      </c>
      <c r="E187" s="545">
        <f>IF($M187="","", IF(ARBITRAGES!$G187&gt;0,IF(ARBITRAGES!$H187="tao",E186+ARBITRAGES!$G187,E186),E186))</f>
        <v>0</v>
      </c>
      <c r="F187" s="545">
        <f>IF($M187="","", IF(ARBITRAGES!$G187&gt;0,IF(ARBITRAGES!$H187="ron",F186+ARBITRAGES!$G187,F186),F186))</f>
        <v>0</v>
      </c>
      <c r="G187" s="545">
        <f>IF($M187="","", IF(ARBITRAGES!$G187&gt;0,IF(ARBITRAGES!$H187="link",G186+ARBITRAGES!$G187,G186),G186))</f>
        <v>0</v>
      </c>
      <c r="H187" s="545">
        <f>IF($M187="","", IF(ARBITRAGES!$G187&gt;0,IF(ARBITRAGES!$H187="doge",H186+ARBITRAGES!$G187,H186),H186))</f>
        <v>0</v>
      </c>
      <c r="I187" s="545">
        <f t="shared" ref="I187:J187" si="161">IF(H187="","",I186)</f>
        <v>645.78248</v>
      </c>
      <c r="J187" s="545">
        <f t="shared" si="161"/>
        <v>244.016</v>
      </c>
      <c r="K187" s="545">
        <f>IF($M187="","", IF(ARBITRAGES!$G187&gt;0,IF(ARBITRAGES!$H187="*jup*",K186+ARBITRAGES!$G187,K186),K186))</f>
        <v>0</v>
      </c>
      <c r="L187" s="545">
        <f>IF($M187="","", IF(ARBITRAGES!$G187&gt;0,IF(ARBITRAGES!$H187="*aave*",L186+ARBITRAGES!$G187,L186),L186))</f>
        <v>0</v>
      </c>
      <c r="M187" s="540">
        <f>IF(ARBITRAGES!E187=0,"",ARBITRAGES!E187)</f>
        <v>45964</v>
      </c>
      <c r="N187" s="541">
        <f>IF(M187="","", SUM(A187:H187)+ARBITRAGES!$K$3)</f>
        <v>37467.52166</v>
      </c>
      <c r="O187" s="542">
        <f>IF(M187="","",PRIX!U187)</f>
        <v>53798.70314</v>
      </c>
      <c r="Q187" s="543">
        <f t="shared" si="1"/>
        <v>0.4358756803</v>
      </c>
      <c r="S187" s="544">
        <f t="shared" si="2"/>
        <v>16331.18149</v>
      </c>
    </row>
    <row r="188">
      <c r="A188" s="545">
        <f>IF($M188="","", IF(ARBITRAGES!$G188&gt;0,IF(ARBITRAGES!$H188="btc",A187+ARBITRAGES!$G188,A187),A187))</f>
        <v>5999.429056</v>
      </c>
      <c r="B188" s="545">
        <f>IF($M188="","", IF(ARBITRAGES!$G188&gt;0,IF(ARBITRAGES!$H188="eth",B187+ARBITRAGES!$G188,B187),B187))</f>
        <v>5059.398762</v>
      </c>
      <c r="C188" s="545">
        <f>IF($M188="","", IF(ARBITRAGES!$G188&gt;0,IF(ARBITRAGES!$H188="ton",C187+ARBITRAGES!$G188,C187),C187))</f>
        <v>0</v>
      </c>
      <c r="D188" s="545">
        <f>IF($M188="","", IF(ARBITRAGES!$G188&gt;0,IF(ARBITRAGES!$H188="sol",D187+ARBITRAGES!$G188,D187),D187))</f>
        <v>4858.693837</v>
      </c>
      <c r="E188" s="545">
        <f>IF($M188="","", IF(ARBITRAGES!$G188&gt;0,IF(ARBITRAGES!$H188="tao",E187+ARBITRAGES!$G188,E187),E187))</f>
        <v>0</v>
      </c>
      <c r="F188" s="545">
        <f>IF($M188="","", IF(ARBITRAGES!$G188&gt;0,IF(ARBITRAGES!$H188="ron",F187+ARBITRAGES!$G188,F187),F187))</f>
        <v>0</v>
      </c>
      <c r="G188" s="545">
        <f>IF($M188="","", IF(ARBITRAGES!$G188&gt;0,IF(ARBITRAGES!$H188="link",G187+ARBITRAGES!$G188,G187),G187))</f>
        <v>0</v>
      </c>
      <c r="H188" s="545">
        <f>IF($M188="","", IF(ARBITRAGES!$G188&gt;0,IF(ARBITRAGES!$H188="doge",H187+ARBITRAGES!$G188,H187),H187))</f>
        <v>0</v>
      </c>
      <c r="I188" s="545">
        <f t="shared" ref="I188:J188" si="162">IF(H188="","",I187)</f>
        <v>645.78248</v>
      </c>
      <c r="J188" s="545">
        <f t="shared" si="162"/>
        <v>244.016</v>
      </c>
      <c r="K188" s="545">
        <f>IF($M188="","", IF(ARBITRAGES!$G188&gt;0,IF(ARBITRAGES!$H188="*jup*",K187+ARBITRAGES!$G188,K187),K187))</f>
        <v>0</v>
      </c>
      <c r="L188" s="545">
        <f>IF($M188="","", IF(ARBITRAGES!$G188&gt;0,IF(ARBITRAGES!$H188="*aave*",L187+ARBITRAGES!$G188,L187),L187))</f>
        <v>0</v>
      </c>
      <c r="M188" s="540">
        <f>IF(ARBITRAGES!E188=0,"",ARBITRAGES!E188)</f>
        <v>45965</v>
      </c>
      <c r="N188" s="541">
        <f>IF(M188="","", SUM(A188:H188)+ARBITRAGES!$K$3)</f>
        <v>37467.52166</v>
      </c>
      <c r="O188" s="542">
        <f>IF(M188="","",PRIX!U188)</f>
        <v>53803.2486</v>
      </c>
      <c r="Q188" s="543">
        <f t="shared" si="1"/>
        <v>0.4359969975</v>
      </c>
      <c r="S188" s="544">
        <f t="shared" si="2"/>
        <v>16335.72694</v>
      </c>
    </row>
    <row r="189">
      <c r="A189" s="545">
        <f>IF($M189="","", IF(ARBITRAGES!$G189&gt;0,IF(ARBITRAGES!$H189="btc",A188+ARBITRAGES!$G189,A188),A188))</f>
        <v>5999.429056</v>
      </c>
      <c r="B189" s="545">
        <f>IF($M189="","", IF(ARBITRAGES!$G189&gt;0,IF(ARBITRAGES!$H189="eth",B188+ARBITRAGES!$G189,B188),B188))</f>
        <v>5059.398762</v>
      </c>
      <c r="C189" s="545">
        <f>IF($M189="","", IF(ARBITRAGES!$G189&gt;0,IF(ARBITRAGES!$H189="ton",C188+ARBITRAGES!$G189,C188),C188))</f>
        <v>0</v>
      </c>
      <c r="D189" s="545">
        <f>IF($M189="","", IF(ARBITRAGES!$G189&gt;0,IF(ARBITRAGES!$H189="sol",D188+ARBITRAGES!$G189,D188),D188))</f>
        <v>4858.693837</v>
      </c>
      <c r="E189" s="545">
        <f>IF($M189="","", IF(ARBITRAGES!$G189&gt;0,IF(ARBITRAGES!$H189="tao",E188+ARBITRAGES!$G189,E188),E188))</f>
        <v>0</v>
      </c>
      <c r="F189" s="545">
        <f>IF($M189="","", IF(ARBITRAGES!$G189&gt;0,IF(ARBITRAGES!$H189="ron",F188+ARBITRAGES!$G189,F188),F188))</f>
        <v>0</v>
      </c>
      <c r="G189" s="545">
        <f>IF($M189="","", IF(ARBITRAGES!$G189&gt;0,IF(ARBITRAGES!$H189="link",G188+ARBITRAGES!$G189,G188),G188))</f>
        <v>0</v>
      </c>
      <c r="H189" s="545">
        <f>IF($M189="","", IF(ARBITRAGES!$G189&gt;0,IF(ARBITRAGES!$H189="doge",H188+ARBITRAGES!$G189,H188),H188))</f>
        <v>0</v>
      </c>
      <c r="I189" s="545">
        <f t="shared" ref="I189:J189" si="163">IF(H189="","",I188)</f>
        <v>645.78248</v>
      </c>
      <c r="J189" s="545">
        <f t="shared" si="163"/>
        <v>244.016</v>
      </c>
      <c r="K189" s="545">
        <f>IF($M189="","", IF(ARBITRAGES!$G189&gt;0,IF(ARBITRAGES!$H189="*jup*",K188+ARBITRAGES!$G189,K188),K188))</f>
        <v>0</v>
      </c>
      <c r="L189" s="545">
        <f>IF($M189="","", IF(ARBITRAGES!$G189&gt;0,IF(ARBITRAGES!$H189="*aave*",L188+ARBITRAGES!$G189,L188),L188))</f>
        <v>0</v>
      </c>
      <c r="M189" s="540">
        <f>IF(ARBITRAGES!E189=0,"",ARBITRAGES!E189)</f>
        <v>45968</v>
      </c>
      <c r="N189" s="541">
        <f>IF(M189="","", SUM(A189:H189)+ARBITRAGES!$K$3)</f>
        <v>37467.52166</v>
      </c>
      <c r="O189" s="542">
        <f>IF(M189="","",PRIX!U189)</f>
        <v>54577.90923</v>
      </c>
      <c r="Q189" s="543">
        <f t="shared" si="1"/>
        <v>0.4566725212</v>
      </c>
      <c r="S189" s="544">
        <f t="shared" si="2"/>
        <v>17110.38758</v>
      </c>
    </row>
    <row r="190">
      <c r="A190" s="545">
        <f>IF($M190="","", IF(ARBITRAGES!$G190&gt;0,IF(ARBITRAGES!$H190="btc",A189+ARBITRAGES!$G190,A189),A189))</f>
        <v>5999.429056</v>
      </c>
      <c r="B190" s="545">
        <f>IF($M190="","", IF(ARBITRAGES!$G190&gt;0,IF(ARBITRAGES!$H190="eth",B189+ARBITRAGES!$G190,B189),B189))</f>
        <v>5059.398762</v>
      </c>
      <c r="C190" s="545">
        <f>IF($M190="","", IF(ARBITRAGES!$G190&gt;0,IF(ARBITRAGES!$H190="ton",C189+ARBITRAGES!$G190,C189),C189))</f>
        <v>0</v>
      </c>
      <c r="D190" s="545">
        <f>IF($M190="","", IF(ARBITRAGES!$G190&gt;0,IF(ARBITRAGES!$H190="sol",D189+ARBITRAGES!$G190,D189),D189))</f>
        <v>4858.693837</v>
      </c>
      <c r="E190" s="545">
        <f>IF($M190="","", IF(ARBITRAGES!$G190&gt;0,IF(ARBITRAGES!$H190="tao",E189+ARBITRAGES!$G190,E189),E189))</f>
        <v>0</v>
      </c>
      <c r="F190" s="545">
        <f>IF($M190="","", IF(ARBITRAGES!$G190&gt;0,IF(ARBITRAGES!$H190="ron",F189+ARBITRAGES!$G190,F189),F189))</f>
        <v>0</v>
      </c>
      <c r="G190" s="545">
        <f>IF($M190="","", IF(ARBITRAGES!$G190&gt;0,IF(ARBITRAGES!$H190="link",G189+ARBITRAGES!$G190,G189),G189))</f>
        <v>0</v>
      </c>
      <c r="H190" s="545">
        <f>IF($M190="","", IF(ARBITRAGES!$G190&gt;0,IF(ARBITRAGES!$H190="doge",H189+ARBITRAGES!$G190,H189),H189))</f>
        <v>0</v>
      </c>
      <c r="I190" s="545">
        <f t="shared" ref="I190:J190" si="164">IF(H190="","",I189)</f>
        <v>645.78248</v>
      </c>
      <c r="J190" s="545">
        <f t="shared" si="164"/>
        <v>244.016</v>
      </c>
      <c r="K190" s="545">
        <f>IF($M190="","", IF(ARBITRAGES!$G190&gt;0,IF(ARBITRAGES!$H190="*jup*",K189+ARBITRAGES!$G190,K189),K189))</f>
        <v>0</v>
      </c>
      <c r="L190" s="545">
        <f>IF($M190="","", IF(ARBITRAGES!$G190&gt;0,IF(ARBITRAGES!$H190="*aave*",L189+ARBITRAGES!$G190,L189),L189))</f>
        <v>0</v>
      </c>
      <c r="M190" s="540">
        <f>IF(ARBITRAGES!E190=0,"",ARBITRAGES!E190)</f>
        <v>45970</v>
      </c>
      <c r="N190" s="541">
        <f>IF(M190="","", SUM(A190:H190)+ARBITRAGES!$K$3)</f>
        <v>37467.52166</v>
      </c>
      <c r="O190" s="542">
        <f>IF(M190="","",PRIX!U190)</f>
        <v>56935.8572</v>
      </c>
      <c r="Q190" s="543">
        <f t="shared" si="1"/>
        <v>0.5196056394</v>
      </c>
      <c r="S190" s="544">
        <f t="shared" si="2"/>
        <v>19468.33554</v>
      </c>
    </row>
    <row r="191">
      <c r="A191" s="545">
        <f>IF($M191="","", IF(ARBITRAGES!$G191&gt;0,IF(ARBITRAGES!$H191="btc",A190+ARBITRAGES!$G191,A190),A190))</f>
        <v>5999.429056</v>
      </c>
      <c r="B191" s="545">
        <f>IF($M191="","", IF(ARBITRAGES!$G191&gt;0,IF(ARBITRAGES!$H191="eth",B190+ARBITRAGES!$G191,B190),B190))</f>
        <v>5059.398762</v>
      </c>
      <c r="C191" s="545">
        <f>IF($M191="","", IF(ARBITRAGES!$G191&gt;0,IF(ARBITRAGES!$H191="ton",C190+ARBITRAGES!$G191,C190),C190))</f>
        <v>0</v>
      </c>
      <c r="D191" s="545">
        <f>IF($M191="","", IF(ARBITRAGES!$G191&gt;0,IF(ARBITRAGES!$H191="sol",D190+ARBITRAGES!$G191,D190),D190))</f>
        <v>4858.693837</v>
      </c>
      <c r="E191" s="545">
        <f>IF($M191="","", IF(ARBITRAGES!$G191&gt;0,IF(ARBITRAGES!$H191="tao",E190+ARBITRAGES!$G191,E190),E190))</f>
        <v>0</v>
      </c>
      <c r="F191" s="545">
        <f>IF($M191="","", IF(ARBITRAGES!$G191&gt;0,IF(ARBITRAGES!$H191="ron",F190+ARBITRAGES!$G191,F190),F190))</f>
        <v>0</v>
      </c>
      <c r="G191" s="545">
        <f>IF($M191="","", IF(ARBITRAGES!$G191&gt;0,IF(ARBITRAGES!$H191="link",G190+ARBITRAGES!$G191,G190),G190))</f>
        <v>0</v>
      </c>
      <c r="H191" s="545">
        <f>IF($M191="","", IF(ARBITRAGES!$G191&gt;0,IF(ARBITRAGES!$H191="doge",H190+ARBITRAGES!$G191,H190),H190))</f>
        <v>0</v>
      </c>
      <c r="I191" s="545">
        <f t="shared" ref="I191:J191" si="165">IF(H191="","",I190)</f>
        <v>645.78248</v>
      </c>
      <c r="J191" s="545">
        <f t="shared" si="165"/>
        <v>244.016</v>
      </c>
      <c r="K191" s="545">
        <f>IF($M191="","", IF(ARBITRAGES!$G191&gt;0,IF(ARBITRAGES!$H191="*jup*",K190+ARBITRAGES!$G191,K190),K190))</f>
        <v>0</v>
      </c>
      <c r="L191" s="545">
        <f>IF($M191="","", IF(ARBITRAGES!$G191&gt;0,IF(ARBITRAGES!$H191="*aave*",L190+ARBITRAGES!$G191,L190),L190))</f>
        <v>0</v>
      </c>
      <c r="M191" s="540">
        <f>IF(ARBITRAGES!E191=0,"",ARBITRAGES!E191)</f>
        <v>45971</v>
      </c>
      <c r="N191" s="541">
        <f>IF(M191="","", SUM(A191:H191)+ARBITRAGES!$K$3)</f>
        <v>37467.52166</v>
      </c>
      <c r="O191" s="542">
        <f>IF(M191="","",PRIX!U191)</f>
        <v>56948.59667</v>
      </c>
      <c r="Q191" s="543">
        <f t="shared" si="1"/>
        <v>0.519945653</v>
      </c>
      <c r="S191" s="544">
        <f t="shared" si="2"/>
        <v>19481.07501</v>
      </c>
    </row>
    <row r="192">
      <c r="A192" s="545">
        <f>IF($M192="","", IF(ARBITRAGES!$G192&gt;0,IF(ARBITRAGES!$H192="btc",A191+ARBITRAGES!$G192,A191),A191))</f>
        <v>5999.429056</v>
      </c>
      <c r="B192" s="545">
        <f>IF($M192="","", IF(ARBITRAGES!$G192&gt;0,IF(ARBITRAGES!$H192="eth",B191+ARBITRAGES!$G192,B191),B191))</f>
        <v>5059.398762</v>
      </c>
      <c r="C192" s="545">
        <f>IF($M192="","", IF(ARBITRAGES!$G192&gt;0,IF(ARBITRAGES!$H192="ton",C191+ARBITRAGES!$G192,C191),C191))</f>
        <v>0</v>
      </c>
      <c r="D192" s="545">
        <f>IF($M192="","", IF(ARBITRAGES!$G192&gt;0,IF(ARBITRAGES!$H192="sol",D191+ARBITRAGES!$G192,D191),D191))</f>
        <v>4858.693837</v>
      </c>
      <c r="E192" s="545">
        <f>IF($M192="","", IF(ARBITRAGES!$G192&gt;0,IF(ARBITRAGES!$H192="tao",E191+ARBITRAGES!$G192,E191),E191))</f>
        <v>0</v>
      </c>
      <c r="F192" s="545">
        <f>IF($M192="","", IF(ARBITRAGES!$G192&gt;0,IF(ARBITRAGES!$H192="ron",F191+ARBITRAGES!$G192,F191),F191))</f>
        <v>0</v>
      </c>
      <c r="G192" s="545">
        <f>IF($M192="","", IF(ARBITRAGES!$G192&gt;0,IF(ARBITRAGES!$H192="link",G191+ARBITRAGES!$G192,G191),G191))</f>
        <v>0</v>
      </c>
      <c r="H192" s="545">
        <f>IF($M192="","", IF(ARBITRAGES!$G192&gt;0,IF(ARBITRAGES!$H192="doge",H191+ARBITRAGES!$G192,H191),H191))</f>
        <v>0</v>
      </c>
      <c r="I192" s="545">
        <f t="shared" ref="I192:J192" si="166">IF(H192="","",I191)</f>
        <v>645.78248</v>
      </c>
      <c r="J192" s="545">
        <f t="shared" si="166"/>
        <v>244.016</v>
      </c>
      <c r="K192" s="545">
        <f>IF($M192="","", IF(ARBITRAGES!$G192&gt;0,IF(ARBITRAGES!$H192="*jup*",K191+ARBITRAGES!$G192,K191),K191))</f>
        <v>0</v>
      </c>
      <c r="L192" s="545">
        <f>IF($M192="","", IF(ARBITRAGES!$G192&gt;0,IF(ARBITRAGES!$H192="*aave*",L191+ARBITRAGES!$G192,L191),L191))</f>
        <v>0</v>
      </c>
      <c r="M192" s="540">
        <f>IF(ARBITRAGES!E192=0,"",ARBITRAGES!E192)</f>
        <v>45971</v>
      </c>
      <c r="N192" s="541">
        <f>IF(M192="","", SUM(A192:H192)+ARBITRAGES!$K$3)</f>
        <v>37467.52166</v>
      </c>
      <c r="O192" s="542">
        <f>IF(M192="","",PRIX!U192)</f>
        <v>55642.93569</v>
      </c>
      <c r="Q192" s="543">
        <f t="shared" si="1"/>
        <v>0.4850978455</v>
      </c>
      <c r="S192" s="544">
        <f t="shared" si="2"/>
        <v>18175.41403</v>
      </c>
    </row>
    <row r="193">
      <c r="A193" s="545">
        <f>IF($M193="","", IF(ARBITRAGES!$G193&gt;0,IF(ARBITRAGES!$H193="btc",A192+ARBITRAGES!$G193,A192),A192))</f>
        <v>5999.429056</v>
      </c>
      <c r="B193" s="545">
        <f>IF($M193="","", IF(ARBITRAGES!$G193&gt;0,IF(ARBITRAGES!$H193="eth",B192+ARBITRAGES!$G193,B192),B192))</f>
        <v>5059.398762</v>
      </c>
      <c r="C193" s="545">
        <f>IF($M193="","", IF(ARBITRAGES!$G193&gt;0,IF(ARBITRAGES!$H193="ton",C192+ARBITRAGES!$G193,C192),C192))</f>
        <v>0</v>
      </c>
      <c r="D193" s="545">
        <f>IF($M193="","", IF(ARBITRAGES!$G193&gt;0,IF(ARBITRAGES!$H193="sol",D192+ARBITRAGES!$G193,D192),D192))</f>
        <v>4858.693837</v>
      </c>
      <c r="E193" s="545">
        <f>IF($M193="","", IF(ARBITRAGES!$G193&gt;0,IF(ARBITRAGES!$H193="tao",E192+ARBITRAGES!$G193,E192),E192))</f>
        <v>0</v>
      </c>
      <c r="F193" s="545">
        <f>IF($M193="","", IF(ARBITRAGES!$G193&gt;0,IF(ARBITRAGES!$H193="ron",F192+ARBITRAGES!$G193,F192),F192))</f>
        <v>0</v>
      </c>
      <c r="G193" s="545">
        <f>IF($M193="","", IF(ARBITRAGES!$G193&gt;0,IF(ARBITRAGES!$H193="link",G192+ARBITRAGES!$G193,G192),G192))</f>
        <v>0</v>
      </c>
      <c r="H193" s="545">
        <f>IF($M193="","", IF(ARBITRAGES!$G193&gt;0,IF(ARBITRAGES!$H193="doge",H192+ARBITRAGES!$G193,H192),H192))</f>
        <v>0</v>
      </c>
      <c r="I193" s="545">
        <f t="shared" ref="I193:I224" si="167">IF(H193="","",I192)</f>
        <v>645.78248</v>
      </c>
      <c r="J193" s="545"/>
      <c r="K193" s="545">
        <f>IF($M193="","", IF(ARBITRAGES!$G193&gt;0,IF(ARBITRAGES!$H193="*jup*",K192+ARBITRAGES!$G193,K192),K192))</f>
        <v>0</v>
      </c>
      <c r="L193" s="545">
        <f>IF($M193="","", IF(ARBITRAGES!$G193&gt;0,IF(ARBITRAGES!$H193="*aave*",L192+ARBITRAGES!$G193,L192),L192))</f>
        <v>0</v>
      </c>
      <c r="M193" s="540">
        <f>IF(ARBITRAGES!E193=0,"",ARBITRAGES!E193)</f>
        <v>45972</v>
      </c>
      <c r="N193" s="541">
        <f>IF(M193="","", SUM(A193:H193)+ARBITRAGES!$K$3)</f>
        <v>37467.52166</v>
      </c>
      <c r="O193" s="542">
        <f>IF(M193="","",PRIX!U193)</f>
        <v>55842.93569</v>
      </c>
      <c r="Q193" s="543">
        <f t="shared" si="1"/>
        <v>0.490435802</v>
      </c>
      <c r="S193" s="544">
        <f t="shared" si="2"/>
        <v>18375.41403</v>
      </c>
    </row>
    <row r="194">
      <c r="A194" s="545">
        <f>IF($M194="","", IF(ARBITRAGES!$G194&gt;0,IF(ARBITRAGES!$H194="btc",A193+ARBITRAGES!$G194,A193),A193))</f>
        <v>5999.429056</v>
      </c>
      <c r="B194" s="545">
        <f>IF($M194="","", IF(ARBITRAGES!$G194&gt;0,IF(ARBITRAGES!$H194="eth",B193+ARBITRAGES!$G194,B193),B193))</f>
        <v>5059.398762</v>
      </c>
      <c r="C194" s="545">
        <f>IF($M194="","", IF(ARBITRAGES!$G194&gt;0,IF(ARBITRAGES!$H194="ton",C193+ARBITRAGES!$G194,C193),C193))</f>
        <v>0</v>
      </c>
      <c r="D194" s="545">
        <f>IF($M194="","", IF(ARBITRAGES!$G194&gt;0,IF(ARBITRAGES!$H194="sol",D193+ARBITRAGES!$G194,D193),D193))</f>
        <v>4858.693837</v>
      </c>
      <c r="E194" s="545">
        <f>IF($M194="","", IF(ARBITRAGES!$G194&gt;0,IF(ARBITRAGES!$H194="tao",E193+ARBITRAGES!$G194,E193),E193))</f>
        <v>0</v>
      </c>
      <c r="F194" s="545">
        <f>IF($M194="","", IF(ARBITRAGES!$G194&gt;0,IF(ARBITRAGES!$H194="ron",F193+ARBITRAGES!$G194,F193),F193))</f>
        <v>0</v>
      </c>
      <c r="G194" s="545">
        <f>IF($M194="","", IF(ARBITRAGES!$G194&gt;0,IF(ARBITRAGES!$H194="link",G193+ARBITRAGES!$G194,G193),G193))</f>
        <v>0</v>
      </c>
      <c r="H194" s="545">
        <f>IF($M194="","", IF(ARBITRAGES!$G194&gt;0,IF(ARBITRAGES!$H194="doge",H193+ARBITRAGES!$G194,H193),H193))</f>
        <v>0</v>
      </c>
      <c r="I194" s="545">
        <f t="shared" si="167"/>
        <v>645.78248</v>
      </c>
      <c r="J194" s="545"/>
      <c r="K194" s="545">
        <f>IF($M194="","", IF(ARBITRAGES!$G194&gt;0,IF(ARBITRAGES!$H194="*jup*",K193+ARBITRAGES!$G194,K193),K193))</f>
        <v>0</v>
      </c>
      <c r="L194" s="545">
        <f>IF($M194="","", IF(ARBITRAGES!$G194&gt;0,IF(ARBITRAGES!$H194="*aave*",L193+ARBITRAGES!$G194,L193),L193))</f>
        <v>0</v>
      </c>
      <c r="M194" s="540">
        <f>IF(ARBITRAGES!E194=0,"",ARBITRAGES!E194)</f>
        <v>45974</v>
      </c>
      <c r="N194" s="541">
        <f>IF(M194="","", SUM(A194:H194)+ARBITRAGES!$K$3)</f>
        <v>37467.52166</v>
      </c>
      <c r="O194" s="542">
        <f>IF(M194="","",PRIX!U194)</f>
        <v>53100.54934</v>
      </c>
      <c r="Q194" s="543">
        <f t="shared" si="1"/>
        <v>0.4172421071</v>
      </c>
      <c r="S194" s="544">
        <f t="shared" si="2"/>
        <v>15633.02768</v>
      </c>
    </row>
    <row r="195">
      <c r="A195" s="545">
        <f>IF($M195="","", IF(ARBITRAGES!$G195&gt;0,IF(ARBITRAGES!$H195="btc",A194+ARBITRAGES!$G195,A194),A194))</f>
        <v>5999.429056</v>
      </c>
      <c r="B195" s="545">
        <f>IF($M195="","", IF(ARBITRAGES!$G195&gt;0,IF(ARBITRAGES!$H195="eth",B194+ARBITRAGES!$G195,B194),B194))</f>
        <v>5059.398762</v>
      </c>
      <c r="C195" s="545">
        <f>IF($M195="","", IF(ARBITRAGES!$G195&gt;0,IF(ARBITRAGES!$H195="ton",C194+ARBITRAGES!$G195,C194),C194))</f>
        <v>0</v>
      </c>
      <c r="D195" s="545">
        <f>IF($M195="","", IF(ARBITRAGES!$G195&gt;0,IF(ARBITRAGES!$H195="sol",D194+ARBITRAGES!$G195,D194),D194))</f>
        <v>4858.693837</v>
      </c>
      <c r="E195" s="545">
        <f>IF($M195="","", IF(ARBITRAGES!$G195&gt;0,IF(ARBITRAGES!$H195="tao",E194+ARBITRAGES!$G195,E194),E194))</f>
        <v>0</v>
      </c>
      <c r="F195" s="545">
        <f>IF($M195="","", IF(ARBITRAGES!$G195&gt;0,IF(ARBITRAGES!$H195="ron",F194+ARBITRAGES!$G195,F194),F194))</f>
        <v>0</v>
      </c>
      <c r="G195" s="545">
        <f>IF($M195="","", IF(ARBITRAGES!$G195&gt;0,IF(ARBITRAGES!$H195="link",G194+ARBITRAGES!$G195,G194),G194))</f>
        <v>0</v>
      </c>
      <c r="H195" s="545">
        <f>IF($M195="","", IF(ARBITRAGES!$G195&gt;0,IF(ARBITRAGES!$H195="doge",H194+ARBITRAGES!$G195,H194),H194))</f>
        <v>0</v>
      </c>
      <c r="I195" s="545">
        <f t="shared" si="167"/>
        <v>645.78248</v>
      </c>
      <c r="J195" s="545"/>
      <c r="K195" s="545">
        <f>IF($M195="","", IF(ARBITRAGES!$G195&gt;0,IF(ARBITRAGES!$H195="*jup*",K194+ARBITRAGES!$G195,K194),K194))</f>
        <v>0</v>
      </c>
      <c r="L195" s="545">
        <f>IF($M195="","", IF(ARBITRAGES!$G195&gt;0,IF(ARBITRAGES!$H195="*aave*",L194+ARBITRAGES!$G195,L194),L194))</f>
        <v>0</v>
      </c>
      <c r="M195" s="540">
        <f>IF(ARBITRAGES!E195=0,"",ARBITRAGES!E195)</f>
        <v>45974</v>
      </c>
      <c r="N195" s="541">
        <f>IF(M195="","", SUM(A195:H195)+ARBITRAGES!$K$3)</f>
        <v>37467.52166</v>
      </c>
      <c r="O195" s="542">
        <f>IF(M195="","",PRIX!U195)</f>
        <v>52763.48738</v>
      </c>
      <c r="Q195" s="543">
        <f t="shared" si="1"/>
        <v>0.4082459968</v>
      </c>
      <c r="S195" s="544">
        <f t="shared" si="2"/>
        <v>15295.96572</v>
      </c>
    </row>
    <row r="196">
      <c r="A196" s="545">
        <f>IF($M196="","", IF(ARBITRAGES!$G196&gt;0,IF(ARBITRAGES!$H196="btc",A195+ARBITRAGES!$G196,A195),A195))</f>
        <v>5999.429056</v>
      </c>
      <c r="B196" s="545">
        <f>IF($M196="","", IF(ARBITRAGES!$G196&gt;0,IF(ARBITRAGES!$H196="eth",B195+ARBITRAGES!$G196,B195),B195))</f>
        <v>5059.398762</v>
      </c>
      <c r="C196" s="545">
        <f>IF($M196="","", IF(ARBITRAGES!$G196&gt;0,IF(ARBITRAGES!$H196="ton",C195+ARBITRAGES!$G196,C195),C195))</f>
        <v>0</v>
      </c>
      <c r="D196" s="545">
        <f>IF($M196="","", IF(ARBITRAGES!$G196&gt;0,IF(ARBITRAGES!$H196="sol",D195+ARBITRAGES!$G196,D195),D195))</f>
        <v>4858.693837</v>
      </c>
      <c r="E196" s="545">
        <f>IF($M196="","", IF(ARBITRAGES!$G196&gt;0,IF(ARBITRAGES!$H196="tao",E195+ARBITRAGES!$G196,E195),E195))</f>
        <v>0</v>
      </c>
      <c r="F196" s="545">
        <f>IF($M196="","", IF(ARBITRAGES!$G196&gt;0,IF(ARBITRAGES!$H196="ron",F195+ARBITRAGES!$G196,F195),F195))</f>
        <v>0</v>
      </c>
      <c r="G196" s="545">
        <f>IF($M196="","", IF(ARBITRAGES!$G196&gt;0,IF(ARBITRAGES!$H196="link",G195+ARBITRAGES!$G196,G195),G195))</f>
        <v>0</v>
      </c>
      <c r="H196" s="545">
        <f>IF($M196="","", IF(ARBITRAGES!$G196&gt;0,IF(ARBITRAGES!$H196="doge",H195+ARBITRAGES!$G196,H195),H195))</f>
        <v>0</v>
      </c>
      <c r="I196" s="545">
        <f t="shared" si="167"/>
        <v>645.78248</v>
      </c>
      <c r="J196" s="545"/>
      <c r="K196" s="545">
        <f>IF($M196="","", IF(ARBITRAGES!$G196&gt;0,IF(ARBITRAGES!$H196="*jup*",K195+ARBITRAGES!$G196,K195),K195))</f>
        <v>0</v>
      </c>
      <c r="L196" s="545">
        <f>IF($M196="","", IF(ARBITRAGES!$G196&gt;0,IF(ARBITRAGES!$H196="*aave*",L195+ARBITRAGES!$G196,L195),L195))</f>
        <v>0</v>
      </c>
      <c r="M196" s="540">
        <f>IF(ARBITRAGES!E196=0,"",ARBITRAGES!E196)</f>
        <v>45974</v>
      </c>
      <c r="N196" s="541">
        <f>IF(M196="","", SUM(A196:H196)+ARBITRAGES!$K$3)</f>
        <v>37467.52166</v>
      </c>
      <c r="O196" s="542">
        <f>IF(M196="","",PRIX!U196)</f>
        <v>52763.48738</v>
      </c>
      <c r="Q196" s="543">
        <f t="shared" si="1"/>
        <v>0.4082459968</v>
      </c>
      <c r="S196" s="544">
        <f t="shared" si="2"/>
        <v>15295.96572</v>
      </c>
    </row>
    <row r="197">
      <c r="A197" s="545">
        <f>IF($M197="","", IF(ARBITRAGES!$G197&gt;0,IF(ARBITRAGES!$H197="btc",A196+ARBITRAGES!$G197,A196),A196))</f>
        <v>5999.429056</v>
      </c>
      <c r="B197" s="545">
        <f>IF($M197="","", IF(ARBITRAGES!$G197&gt;0,IF(ARBITRAGES!$H197="eth",B196+ARBITRAGES!$G197,B196),B196))</f>
        <v>5059.398762</v>
      </c>
      <c r="C197" s="545">
        <f>IF($M197="","", IF(ARBITRAGES!$G197&gt;0,IF(ARBITRAGES!$H197="ton",C196+ARBITRAGES!$G197,C196),C196))</f>
        <v>0</v>
      </c>
      <c r="D197" s="545">
        <f>IF($M197="","", IF(ARBITRAGES!$G197&gt;0,IF(ARBITRAGES!$H197="sol",D196+ARBITRAGES!$G197,D196),D196))</f>
        <v>4858.693837</v>
      </c>
      <c r="E197" s="545">
        <f>IF($M197="","", IF(ARBITRAGES!$G197&gt;0,IF(ARBITRAGES!$H197="tao",E196+ARBITRAGES!$G197,E196),E196))</f>
        <v>0</v>
      </c>
      <c r="F197" s="545">
        <f>IF($M197="","", IF(ARBITRAGES!$G197&gt;0,IF(ARBITRAGES!$H197="ron",F196+ARBITRAGES!$G197,F196),F196))</f>
        <v>0</v>
      </c>
      <c r="G197" s="545">
        <f>IF($M197="","", IF(ARBITRAGES!$G197&gt;0,IF(ARBITRAGES!$H197="link",G196+ARBITRAGES!$G197,G196),G196))</f>
        <v>0</v>
      </c>
      <c r="H197" s="545">
        <f>IF($M197="","", IF(ARBITRAGES!$G197&gt;0,IF(ARBITRAGES!$H197="doge",H196+ARBITRAGES!$G197,H196),H196))</f>
        <v>0</v>
      </c>
      <c r="I197" s="545">
        <f t="shared" si="167"/>
        <v>645.78248</v>
      </c>
      <c r="J197" s="545"/>
      <c r="K197" s="545">
        <f>IF($M197="","", IF(ARBITRAGES!$G197&gt;0,IF(ARBITRAGES!$H197="*jup*",K196+ARBITRAGES!$G197,K196),K196))</f>
        <v>0</v>
      </c>
      <c r="L197" s="545">
        <f>IF($M197="","", IF(ARBITRAGES!$G197&gt;0,IF(ARBITRAGES!$H197="*aave*",L196+ARBITRAGES!$G197,L196),L196))</f>
        <v>0</v>
      </c>
      <c r="M197" s="540">
        <f>IF(ARBITRAGES!E197=0,"",ARBITRAGES!E197)</f>
        <v>45974</v>
      </c>
      <c r="N197" s="541">
        <f>IF(M197="","", SUM(A197:H197)+ARBITRAGES!$K$3)</f>
        <v>37467.52166</v>
      </c>
      <c r="O197" s="542">
        <f>IF(M197="","",PRIX!U197)</f>
        <v>52773.85007</v>
      </c>
      <c r="Q197" s="543">
        <f t="shared" si="1"/>
        <v>0.4085225748</v>
      </c>
      <c r="S197" s="544">
        <f t="shared" si="2"/>
        <v>15306.32842</v>
      </c>
    </row>
    <row r="198">
      <c r="A198" s="545">
        <f>IF($M198="","", IF(ARBITRAGES!$G198&gt;0,IF(ARBITRAGES!$H198="btc",A197+ARBITRAGES!$G198,A197),A197))</f>
        <v>5999.429056</v>
      </c>
      <c r="B198" s="545">
        <f>IF($M198="","", IF(ARBITRAGES!$G198&gt;0,IF(ARBITRAGES!$H198="eth",B197+ARBITRAGES!$G198,B197),B197))</f>
        <v>5059.398762</v>
      </c>
      <c r="C198" s="545">
        <f>IF($M198="","", IF(ARBITRAGES!$G198&gt;0,IF(ARBITRAGES!$H198="ton",C197+ARBITRAGES!$G198,C197),C197))</f>
        <v>0</v>
      </c>
      <c r="D198" s="545">
        <f>IF($M198="","", IF(ARBITRAGES!$G198&gt;0,IF(ARBITRAGES!$H198="sol",D197+ARBITRAGES!$G198,D197),D197))</f>
        <v>4858.693837</v>
      </c>
      <c r="E198" s="545">
        <f>IF($M198="","", IF(ARBITRAGES!$G198&gt;0,IF(ARBITRAGES!$H198="tao",E197+ARBITRAGES!$G198,E197),E197))</f>
        <v>0</v>
      </c>
      <c r="F198" s="545">
        <f>IF($M198="","", IF(ARBITRAGES!$G198&gt;0,IF(ARBITRAGES!$H198="ron",F197+ARBITRAGES!$G198,F197),F197))</f>
        <v>0</v>
      </c>
      <c r="G198" s="545">
        <f>IF($M198="","", IF(ARBITRAGES!$G198&gt;0,IF(ARBITRAGES!$H198="link",G197+ARBITRAGES!$G198,G197),G197))</f>
        <v>0</v>
      </c>
      <c r="H198" s="545">
        <f>IF($M198="","", IF(ARBITRAGES!$G198&gt;0,IF(ARBITRAGES!$H198="doge",H197+ARBITRAGES!$G198,H197),H197))</f>
        <v>0</v>
      </c>
      <c r="I198" s="545">
        <f t="shared" si="167"/>
        <v>645.78248</v>
      </c>
      <c r="J198" s="545"/>
      <c r="K198" s="545">
        <f>IF($M198="","", IF(ARBITRAGES!$G198&gt;0,IF(ARBITRAGES!$H198="*jup*",K197+ARBITRAGES!$G198,K197),K197))</f>
        <v>0</v>
      </c>
      <c r="L198" s="545">
        <f>IF($M198="","", IF(ARBITRAGES!$G198&gt;0,IF(ARBITRAGES!$H198="*aave*",L197+ARBITRAGES!$G198,L197),L197))</f>
        <v>0</v>
      </c>
      <c r="M198" s="540">
        <f>IF(ARBITRAGES!E198=0,"",ARBITRAGES!E198)</f>
        <v>45974</v>
      </c>
      <c r="N198" s="541">
        <f>IF(M198="","", SUM(A198:H198)+ARBITRAGES!$K$3)</f>
        <v>37467.52166</v>
      </c>
      <c r="O198" s="542">
        <f>IF(M198="","",PRIX!U198)</f>
        <v>52789.47507</v>
      </c>
      <c r="Q198" s="543">
        <f t="shared" si="1"/>
        <v>0.4089396027</v>
      </c>
      <c r="S198" s="544">
        <f t="shared" si="2"/>
        <v>15321.95342</v>
      </c>
    </row>
    <row r="199">
      <c r="A199" s="545">
        <f>IF($M199="","", IF(ARBITRAGES!$G199&gt;0,IF(ARBITRAGES!$H199="btc",A198+ARBITRAGES!$G199,A198),A198))</f>
        <v>5999.429056</v>
      </c>
      <c r="B199" s="545">
        <f>IF($M199="","", IF(ARBITRAGES!$G199&gt;0,IF(ARBITRAGES!$H199="eth",B198+ARBITRAGES!$G199,B198),B198))</f>
        <v>5059.398762</v>
      </c>
      <c r="C199" s="545">
        <f>IF($M199="","", IF(ARBITRAGES!$G199&gt;0,IF(ARBITRAGES!$H199="ton",C198+ARBITRAGES!$G199,C198),C198))</f>
        <v>0</v>
      </c>
      <c r="D199" s="545">
        <f>IF($M199="","", IF(ARBITRAGES!$G199&gt;0,IF(ARBITRAGES!$H199="sol",D198+ARBITRAGES!$G199,D198),D198))</f>
        <v>4858.693837</v>
      </c>
      <c r="E199" s="545">
        <f>IF($M199="","", IF(ARBITRAGES!$G199&gt;0,IF(ARBITRAGES!$H199="tao",E198+ARBITRAGES!$G199,E198),E198))</f>
        <v>0</v>
      </c>
      <c r="F199" s="545">
        <f>IF($M199="","", IF(ARBITRAGES!$G199&gt;0,IF(ARBITRAGES!$H199="ron",F198+ARBITRAGES!$G199,F198),F198))</f>
        <v>0</v>
      </c>
      <c r="G199" s="545">
        <f>IF($M199="","", IF(ARBITRAGES!$G199&gt;0,IF(ARBITRAGES!$H199="link",G198+ARBITRAGES!$G199,G198),G198))</f>
        <v>0</v>
      </c>
      <c r="H199" s="545">
        <f>IF($M199="","", IF(ARBITRAGES!$G199&gt;0,IF(ARBITRAGES!$H199="doge",H198+ARBITRAGES!$G199,H198),H198))</f>
        <v>0</v>
      </c>
      <c r="I199" s="545">
        <f t="shared" si="167"/>
        <v>645.78248</v>
      </c>
      <c r="J199" s="545"/>
      <c r="K199" s="545">
        <f>IF($M199="","", IF(ARBITRAGES!$G199&gt;0,IF(ARBITRAGES!$H199="*jup*",K198+ARBITRAGES!$G199,K198),K198))</f>
        <v>0</v>
      </c>
      <c r="L199" s="545">
        <f>IF($M199="","", IF(ARBITRAGES!$G199&gt;0,IF(ARBITRAGES!$H199="*aave*",L198+ARBITRAGES!$G199,L198),L198))</f>
        <v>0</v>
      </c>
      <c r="M199" s="540">
        <f>IF(ARBITRAGES!E199=0,"",ARBITRAGES!E199)</f>
        <v>45974</v>
      </c>
      <c r="N199" s="541">
        <f>IF(M199="","", SUM(A199:H199)+ARBITRAGES!$K$3)</f>
        <v>37467.52166</v>
      </c>
      <c r="O199" s="542">
        <f>IF(M199="","",PRIX!U199)</f>
        <v>52016.56799</v>
      </c>
      <c r="Q199" s="543">
        <f t="shared" si="1"/>
        <v>0.3883108809</v>
      </c>
      <c r="S199" s="544">
        <f t="shared" si="2"/>
        <v>14549.04634</v>
      </c>
    </row>
    <row r="200">
      <c r="A200" s="545">
        <f>IF($M200="","", IF(ARBITRAGES!$G200&gt;0,IF(ARBITRAGES!$H200="btc",A199+ARBITRAGES!$G200,A199),A199))</f>
        <v>5999.429056</v>
      </c>
      <c r="B200" s="545">
        <f>IF($M200="","", IF(ARBITRAGES!$G200&gt;0,IF(ARBITRAGES!$H200="eth",B199+ARBITRAGES!$G200,B199),B199))</f>
        <v>5059.398762</v>
      </c>
      <c r="C200" s="545">
        <f>IF($M200="","", IF(ARBITRAGES!$G200&gt;0,IF(ARBITRAGES!$H200="ton",C199+ARBITRAGES!$G200,C199),C199))</f>
        <v>0</v>
      </c>
      <c r="D200" s="545">
        <f>IF($M200="","", IF(ARBITRAGES!$G200&gt;0,IF(ARBITRAGES!$H200="sol",D199+ARBITRAGES!$G200,D199),D199))</f>
        <v>4858.693837</v>
      </c>
      <c r="E200" s="545">
        <f>IF($M200="","", IF(ARBITRAGES!$G200&gt;0,IF(ARBITRAGES!$H200="tao",E199+ARBITRAGES!$G200,E199),E199))</f>
        <v>0</v>
      </c>
      <c r="F200" s="545">
        <f>IF($M200="","", IF(ARBITRAGES!$G200&gt;0,IF(ARBITRAGES!$H200="ron",F199+ARBITRAGES!$G200,F199),F199))</f>
        <v>0</v>
      </c>
      <c r="G200" s="545">
        <f>IF($M200="","", IF(ARBITRAGES!$G200&gt;0,IF(ARBITRAGES!$H200="link",G199+ARBITRAGES!$G200,G199),G199))</f>
        <v>0</v>
      </c>
      <c r="H200" s="545">
        <f>IF($M200="","", IF(ARBITRAGES!$G200&gt;0,IF(ARBITRAGES!$H200="doge",H199+ARBITRAGES!$G200,H199),H199))</f>
        <v>0</v>
      </c>
      <c r="I200" s="545">
        <f t="shared" si="167"/>
        <v>645.78248</v>
      </c>
      <c r="J200" s="545"/>
      <c r="K200" s="545">
        <f>IF($M200="","", IF(ARBITRAGES!$G200&gt;0,IF(ARBITRAGES!$H200="*jup*",K199+ARBITRAGES!$G200,K199),K199))</f>
        <v>0</v>
      </c>
      <c r="L200" s="545">
        <f>IF($M200="","", IF(ARBITRAGES!$G200&gt;0,IF(ARBITRAGES!$H200="*aave*",L199+ARBITRAGES!$G200,L199),L199))</f>
        <v>0</v>
      </c>
      <c r="M200" s="540">
        <f>IF(ARBITRAGES!E200=0,"",ARBITRAGES!E200)</f>
        <v>45974</v>
      </c>
      <c r="N200" s="541">
        <f>IF(M200="","", SUM(A200:H200)+ARBITRAGES!$K$3)</f>
        <v>37467.52166</v>
      </c>
      <c r="O200" s="542">
        <f>IF(M200="","",PRIX!U200)</f>
        <v>52027.09431</v>
      </c>
      <c r="Q200" s="543">
        <f t="shared" si="1"/>
        <v>0.3885918259</v>
      </c>
      <c r="S200" s="544">
        <f t="shared" si="2"/>
        <v>14559.57265</v>
      </c>
    </row>
    <row r="201">
      <c r="A201" s="545">
        <f>IF($M201="","", IF(ARBITRAGES!$G201&gt;0,IF(ARBITRAGES!$H201="btc",A200+ARBITRAGES!$G201,A200),A200))</f>
        <v>5999.429056</v>
      </c>
      <c r="B201" s="545">
        <f>IF($M201="","", IF(ARBITRAGES!$G201&gt;0,IF(ARBITRAGES!$H201="eth",B200+ARBITRAGES!$G201,B200),B200))</f>
        <v>5059.398762</v>
      </c>
      <c r="C201" s="545">
        <f>IF($M201="","", IF(ARBITRAGES!$G201&gt;0,IF(ARBITRAGES!$H201="ton",C200+ARBITRAGES!$G201,C200),C200))</f>
        <v>0</v>
      </c>
      <c r="D201" s="545">
        <f>IF($M201="","", IF(ARBITRAGES!$G201&gt;0,IF(ARBITRAGES!$H201="sol",D200+ARBITRAGES!$G201,D200),D200))</f>
        <v>4858.693837</v>
      </c>
      <c r="E201" s="545">
        <f>IF($M201="","", IF(ARBITRAGES!$G201&gt;0,IF(ARBITRAGES!$H201="tao",E200+ARBITRAGES!$G201,E200),E200))</f>
        <v>0</v>
      </c>
      <c r="F201" s="545">
        <f>IF($M201="","", IF(ARBITRAGES!$G201&gt;0,IF(ARBITRAGES!$H201="ron",F200+ARBITRAGES!$G201,F200),F200))</f>
        <v>0</v>
      </c>
      <c r="G201" s="545">
        <f>IF($M201="","", IF(ARBITRAGES!$G201&gt;0,IF(ARBITRAGES!$H201="link",G200+ARBITRAGES!$G201,G200),G200))</f>
        <v>0</v>
      </c>
      <c r="H201" s="545">
        <f>IF($M201="","", IF(ARBITRAGES!$G201&gt;0,IF(ARBITRAGES!$H201="doge",H200+ARBITRAGES!$G201,H200),H200))</f>
        <v>0</v>
      </c>
      <c r="I201" s="545">
        <f t="shared" si="167"/>
        <v>645.78248</v>
      </c>
      <c r="J201" s="545"/>
      <c r="K201" s="545">
        <f>IF($M201="","", IF(ARBITRAGES!$G201&gt;0,IF(ARBITRAGES!$H201="*jup*",K200+ARBITRAGES!$G201,K200),K200))</f>
        <v>0</v>
      </c>
      <c r="L201" s="545">
        <f>IF($M201="","", IF(ARBITRAGES!$G201&gt;0,IF(ARBITRAGES!$H201="*aave*",L200+ARBITRAGES!$G201,L200),L200))</f>
        <v>0</v>
      </c>
      <c r="M201" s="540">
        <f>IF(ARBITRAGES!E201=0,"",ARBITRAGES!E201)</f>
        <v>45974</v>
      </c>
      <c r="N201" s="541">
        <f>IF(M201="","", SUM(A201:H201)+ARBITRAGES!$K$3)</f>
        <v>37467.52166</v>
      </c>
      <c r="O201" s="542">
        <f>IF(M201="","",PRIX!U201)</f>
        <v>52834.80637</v>
      </c>
      <c r="Q201" s="543">
        <f t="shared" si="1"/>
        <v>0.4101494851</v>
      </c>
      <c r="S201" s="544">
        <f t="shared" si="2"/>
        <v>15367.28472</v>
      </c>
    </row>
    <row r="202">
      <c r="A202" s="545">
        <f>IF($M202="","", IF(ARBITRAGES!$G202&gt;0,IF(ARBITRAGES!$H202="btc",A201+ARBITRAGES!$G202,A201),A201))</f>
        <v>5999.429056</v>
      </c>
      <c r="B202" s="545">
        <f>IF($M202="","", IF(ARBITRAGES!$G202&gt;0,IF(ARBITRAGES!$H202="eth",B201+ARBITRAGES!$G202,B201),B201))</f>
        <v>5059.398762</v>
      </c>
      <c r="C202" s="545">
        <f>IF($M202="","", IF(ARBITRAGES!$G202&gt;0,IF(ARBITRAGES!$H202="ton",C201+ARBITRAGES!$G202,C201),C201))</f>
        <v>0</v>
      </c>
      <c r="D202" s="545">
        <f>IF($M202="","", IF(ARBITRAGES!$G202&gt;0,IF(ARBITRAGES!$H202="sol",D201+ARBITRAGES!$G202,D201),D201))</f>
        <v>4858.693837</v>
      </c>
      <c r="E202" s="545">
        <f>IF($M202="","", IF(ARBITRAGES!$G202&gt;0,IF(ARBITRAGES!$H202="tao",E201+ARBITRAGES!$G202,E201),E201))</f>
        <v>0</v>
      </c>
      <c r="F202" s="545">
        <f>IF($M202="","", IF(ARBITRAGES!$G202&gt;0,IF(ARBITRAGES!$H202="ron",F201+ARBITRAGES!$G202,F201),F201))</f>
        <v>0</v>
      </c>
      <c r="G202" s="545">
        <f>IF($M202="","", IF(ARBITRAGES!$G202&gt;0,IF(ARBITRAGES!$H202="link",G201+ARBITRAGES!$G202,G201),G201))</f>
        <v>0</v>
      </c>
      <c r="H202" s="545">
        <f>IF($M202="","", IF(ARBITRAGES!$G202&gt;0,IF(ARBITRAGES!$H202="doge",H201+ARBITRAGES!$G202,H201),H201))</f>
        <v>0</v>
      </c>
      <c r="I202" s="545">
        <f t="shared" si="167"/>
        <v>645.78248</v>
      </c>
      <c r="J202" s="545"/>
      <c r="K202" s="545">
        <f>IF($M202="","", IF(ARBITRAGES!$G202&gt;0,IF(ARBITRAGES!$H202="*jup*",K201+ARBITRAGES!$G202,K201),K201))</f>
        <v>0</v>
      </c>
      <c r="L202" s="545">
        <f>IF($M202="","", IF(ARBITRAGES!$G202&gt;0,IF(ARBITRAGES!$H202="*aave*",L201+ARBITRAGES!$G202,L201),L201))</f>
        <v>0</v>
      </c>
      <c r="M202" s="540">
        <f>IF(ARBITRAGES!E202=0,"",ARBITRAGES!E202)</f>
        <v>45975</v>
      </c>
      <c r="N202" s="541">
        <f>IF(M202="","", SUM(A202:H202)+ARBITRAGES!$K$3)</f>
        <v>37467.52166</v>
      </c>
      <c r="O202" s="542">
        <f>IF(M202="","",PRIX!U202)</f>
        <v>52850.13407</v>
      </c>
      <c r="Q202" s="543">
        <f t="shared" si="1"/>
        <v>0.410558578</v>
      </c>
      <c r="S202" s="544">
        <f t="shared" si="2"/>
        <v>15382.61241</v>
      </c>
    </row>
    <row r="203">
      <c r="A203" s="545">
        <f>IF($M203="","", IF(ARBITRAGES!$G203&gt;0,IF(ARBITRAGES!$H203="btc",A202+ARBITRAGES!$G203,A202),A202))</f>
        <v>5999.429056</v>
      </c>
      <c r="B203" s="545">
        <f>IF($M203="","", IF(ARBITRAGES!$G203&gt;0,IF(ARBITRAGES!$H203="eth",B202+ARBITRAGES!$G203,B202),B202))</f>
        <v>5059.398762</v>
      </c>
      <c r="C203" s="545">
        <f>IF($M203="","", IF(ARBITRAGES!$G203&gt;0,IF(ARBITRAGES!$H203="ton",C202+ARBITRAGES!$G203,C202),C202))</f>
        <v>0</v>
      </c>
      <c r="D203" s="545">
        <f>IF($M203="","", IF(ARBITRAGES!$G203&gt;0,IF(ARBITRAGES!$H203="sol",D202+ARBITRAGES!$G203,D202),D202))</f>
        <v>4858.693837</v>
      </c>
      <c r="E203" s="545">
        <f>IF($M203="","", IF(ARBITRAGES!$G203&gt;0,IF(ARBITRAGES!$H203="tao",E202+ARBITRAGES!$G203,E202),E202))</f>
        <v>0</v>
      </c>
      <c r="F203" s="545">
        <f>IF($M203="","", IF(ARBITRAGES!$G203&gt;0,IF(ARBITRAGES!$H203="ron",F202+ARBITRAGES!$G203,F202),F202))</f>
        <v>0</v>
      </c>
      <c r="G203" s="545">
        <f>IF($M203="","", IF(ARBITRAGES!$G203&gt;0,IF(ARBITRAGES!$H203="link",G202+ARBITRAGES!$G203,G202),G202))</f>
        <v>0</v>
      </c>
      <c r="H203" s="545">
        <f>IF($M203="","", IF(ARBITRAGES!$G203&gt;0,IF(ARBITRAGES!$H203="doge",H202+ARBITRAGES!$G203,H202),H202))</f>
        <v>0</v>
      </c>
      <c r="I203" s="545">
        <f t="shared" si="167"/>
        <v>645.78248</v>
      </c>
      <c r="J203" s="545"/>
      <c r="K203" s="545">
        <f>IF($M203="","", IF(ARBITRAGES!$G203&gt;0,IF(ARBITRAGES!$H203="*jup*",K202+ARBITRAGES!$G203,K202),K202))</f>
        <v>0</v>
      </c>
      <c r="L203" s="545">
        <f>IF($M203="","", IF(ARBITRAGES!$G203&gt;0,IF(ARBITRAGES!$H203="*aave*",L202+ARBITRAGES!$G203,L202),L202))</f>
        <v>0</v>
      </c>
      <c r="M203" s="540">
        <f>IF(ARBITRAGES!E203=0,"",ARBITRAGES!E203)</f>
        <v>45977</v>
      </c>
      <c r="N203" s="541">
        <f>IF(M203="","", SUM(A203:H203)+ARBITRAGES!$K$3)</f>
        <v>37467.52166</v>
      </c>
      <c r="O203" s="542">
        <f>IF(M203="","",PRIX!U203)</f>
        <v>50173.95668</v>
      </c>
      <c r="Q203" s="546"/>
      <c r="R203" s="546"/>
      <c r="S203" s="544">
        <f t="shared" si="2"/>
        <v>12706.43502</v>
      </c>
    </row>
    <row r="204">
      <c r="A204" s="545">
        <f>IF($M204="","", IF(ARBITRAGES!$G204&gt;0,IF(ARBITRAGES!$H204="btc",A203+ARBITRAGES!$G204,A203),A203))</f>
        <v>5999.429056</v>
      </c>
      <c r="B204" s="545">
        <f>IF($M204="","", IF(ARBITRAGES!$G204&gt;0,IF(ARBITRAGES!$H204="eth",B203+ARBITRAGES!$G204,B203),B203))</f>
        <v>5059.398762</v>
      </c>
      <c r="C204" s="545">
        <f>IF($M204="","", IF(ARBITRAGES!$G204&gt;0,IF(ARBITRAGES!$H204="ton",C203+ARBITRAGES!$G204,C203),C203))</f>
        <v>0</v>
      </c>
      <c r="D204" s="545">
        <f>IF($M204="","", IF(ARBITRAGES!$G204&gt;0,IF(ARBITRAGES!$H204="sol",D203+ARBITRAGES!$G204,D203),D203))</f>
        <v>4858.693837</v>
      </c>
      <c r="E204" s="545">
        <f>IF($M204="","", IF(ARBITRAGES!$G204&gt;0,IF(ARBITRAGES!$H204="tao",E203+ARBITRAGES!$G204,E203),E203))</f>
        <v>0</v>
      </c>
      <c r="F204" s="545">
        <f>IF($M204="","", IF(ARBITRAGES!$G204&gt;0,IF(ARBITRAGES!$H204="ron",F203+ARBITRAGES!$G204,F203),F203))</f>
        <v>0</v>
      </c>
      <c r="G204" s="545">
        <f>IF($M204="","", IF(ARBITRAGES!$G204&gt;0,IF(ARBITRAGES!$H204="link",G203+ARBITRAGES!$G204,G203),G203))</f>
        <v>0</v>
      </c>
      <c r="H204" s="545">
        <f>IF($M204="","", IF(ARBITRAGES!$G204&gt;0,IF(ARBITRAGES!$H204="doge",H203+ARBITRAGES!$G204,H203),H203))</f>
        <v>0</v>
      </c>
      <c r="I204" s="545">
        <f t="shared" si="167"/>
        <v>645.78248</v>
      </c>
      <c r="J204" s="545"/>
      <c r="K204" s="545">
        <f>IF($M204="","", IF(ARBITRAGES!$G204&gt;0,IF(ARBITRAGES!$H204="*jup*",K203+ARBITRAGES!$G204,K203),K203))</f>
        <v>0</v>
      </c>
      <c r="L204" s="545">
        <f>IF($M204="","", IF(ARBITRAGES!$G204&gt;0,IF(ARBITRAGES!$H204="*aave*",L203+ARBITRAGES!$G204,L203),L203))</f>
        <v>0</v>
      </c>
      <c r="M204" s="540">
        <f>IF(ARBITRAGES!E204=0,"",ARBITRAGES!E204)</f>
        <v>45977</v>
      </c>
      <c r="N204" s="541">
        <f>IF(M204="","", SUM(A204:H204)+ARBITRAGES!$K$3)</f>
        <v>37467.52166</v>
      </c>
      <c r="O204" s="542">
        <f>IF(M204="","",PRIX!U204)</f>
        <v>50186.95668</v>
      </c>
      <c r="Q204" s="546"/>
      <c r="R204" s="546"/>
      <c r="S204" s="544">
        <f t="shared" si="2"/>
        <v>12719.43502</v>
      </c>
    </row>
    <row r="205">
      <c r="A205" s="545">
        <f>IF($M205="","", IF(ARBITRAGES!$G205&gt;0,IF(ARBITRAGES!$H205="btc",A204+ARBITRAGES!$G205,A204),A204))</f>
        <v>5999.429056</v>
      </c>
      <c r="B205" s="545">
        <f>IF($M205="","", IF(ARBITRAGES!$G205&gt;0,IF(ARBITRAGES!$H205="eth",B204+ARBITRAGES!$G205,B204),B204))</f>
        <v>5059.398762</v>
      </c>
      <c r="C205" s="545">
        <f>IF($M205="","", IF(ARBITRAGES!$G205&gt;0,IF(ARBITRAGES!$H205="ton",C204+ARBITRAGES!$G205,C204),C204))</f>
        <v>0</v>
      </c>
      <c r="D205" s="545">
        <f>IF($M205="","", IF(ARBITRAGES!$G205&gt;0,IF(ARBITRAGES!$H205="sol",D204+ARBITRAGES!$G205,D204),D204))</f>
        <v>4858.693837</v>
      </c>
      <c r="E205" s="545">
        <f>IF($M205="","", IF(ARBITRAGES!$G205&gt;0,IF(ARBITRAGES!$H205="tao",E204+ARBITRAGES!$G205,E204),E204))</f>
        <v>0</v>
      </c>
      <c r="F205" s="545">
        <f>IF($M205="","", IF(ARBITRAGES!$G205&gt;0,IF(ARBITRAGES!$H205="ron",F204+ARBITRAGES!$G205,F204),F204))</f>
        <v>0</v>
      </c>
      <c r="G205" s="545">
        <f>IF($M205="","", IF(ARBITRAGES!$G205&gt;0,IF(ARBITRAGES!$H205="link",G204+ARBITRAGES!$G205,G204),G204))</f>
        <v>0</v>
      </c>
      <c r="H205" s="545">
        <f>IF($M205="","", IF(ARBITRAGES!$G205&gt;0,IF(ARBITRAGES!$H205="doge",H204+ARBITRAGES!$G205,H204),H204))</f>
        <v>0</v>
      </c>
      <c r="I205" s="545">
        <f t="shared" si="167"/>
        <v>645.78248</v>
      </c>
      <c r="J205" s="545"/>
      <c r="K205" s="545">
        <f>IF($M205="","", IF(ARBITRAGES!$G205&gt;0,IF(ARBITRAGES!$H205="*jup*",K204+ARBITRAGES!$G205,K204),K204))</f>
        <v>0</v>
      </c>
      <c r="L205" s="545">
        <f>IF($M205="","", IF(ARBITRAGES!$G205&gt;0,IF(ARBITRAGES!$H205="*aave*",L204+ARBITRAGES!$G205,L204),L204))</f>
        <v>0</v>
      </c>
      <c r="M205" s="540">
        <f>IF(ARBITRAGES!E205=0,"",ARBITRAGES!E205)</f>
        <v>45978</v>
      </c>
      <c r="N205" s="541">
        <f>IF(M205="","", SUM(A205:H205)+ARBITRAGES!$K$3)</f>
        <v>37467.52166</v>
      </c>
      <c r="O205" s="542">
        <f>IF(M205="","",PRIX!U205)</f>
        <v>49950.97459</v>
      </c>
      <c r="Q205" s="546"/>
      <c r="R205" s="546"/>
      <c r="S205" s="544">
        <f t="shared" si="2"/>
        <v>12483.45294</v>
      </c>
    </row>
    <row r="206">
      <c r="A206" s="545">
        <f>IF($M206="","", IF(ARBITRAGES!$G206&gt;0,IF(ARBITRAGES!$H206="btc",A205+ARBITRAGES!$G206,A205),A205))</f>
        <v>5999.429056</v>
      </c>
      <c r="B206" s="545">
        <f>IF($M206="","", IF(ARBITRAGES!$G206&gt;0,IF(ARBITRAGES!$H206="eth",B205+ARBITRAGES!$G206,B205),B205))</f>
        <v>5059.398762</v>
      </c>
      <c r="C206" s="545">
        <f>IF($M206="","", IF(ARBITRAGES!$G206&gt;0,IF(ARBITRAGES!$H206="ton",C205+ARBITRAGES!$G206,C205),C205))</f>
        <v>0</v>
      </c>
      <c r="D206" s="545">
        <f>IF($M206="","", IF(ARBITRAGES!$G206&gt;0,IF(ARBITRAGES!$H206="sol",D205+ARBITRAGES!$G206,D205),D205))</f>
        <v>4858.693837</v>
      </c>
      <c r="E206" s="545">
        <f>IF($M206="","", IF(ARBITRAGES!$G206&gt;0,IF(ARBITRAGES!$H206="tao",E205+ARBITRAGES!$G206,E205),E205))</f>
        <v>0</v>
      </c>
      <c r="F206" s="545">
        <f>IF($M206="","", IF(ARBITRAGES!$G206&gt;0,IF(ARBITRAGES!$H206="ron",F205+ARBITRAGES!$G206,F205),F205))</f>
        <v>0</v>
      </c>
      <c r="G206" s="545">
        <f>IF($M206="","", IF(ARBITRAGES!$G206&gt;0,IF(ARBITRAGES!$H206="link",G205+ARBITRAGES!$G206,G205),G205))</f>
        <v>0</v>
      </c>
      <c r="H206" s="545">
        <f>IF($M206="","", IF(ARBITRAGES!$G206&gt;0,IF(ARBITRAGES!$H206="doge",H205+ARBITRAGES!$G206,H205),H205))</f>
        <v>0</v>
      </c>
      <c r="I206" s="545">
        <f t="shared" si="167"/>
        <v>645.78248</v>
      </c>
      <c r="J206" s="545"/>
      <c r="K206" s="545">
        <f>IF($M206="","", IF(ARBITRAGES!$G206&gt;0,IF(ARBITRAGES!$H206="*jup*",K205+ARBITRAGES!$G206,K205),K205))</f>
        <v>0</v>
      </c>
      <c r="L206" s="545">
        <f>IF($M206="","", IF(ARBITRAGES!$G206&gt;0,IF(ARBITRAGES!$H206="*aave*",L205+ARBITRAGES!$G206,L205),L205))</f>
        <v>0</v>
      </c>
      <c r="M206" s="540">
        <f>IF(ARBITRAGES!E206=0,"",ARBITRAGES!E206)</f>
        <v>45978</v>
      </c>
      <c r="N206" s="541">
        <f>IF(M206="","", SUM(A206:H206)+ARBITRAGES!$K$3)</f>
        <v>37467.52166</v>
      </c>
      <c r="O206" s="542">
        <f>IF(M206="","",PRIX!U206)</f>
        <v>50259.02658</v>
      </c>
      <c r="Q206" s="546"/>
      <c r="R206" s="546"/>
      <c r="S206" s="544">
        <f t="shared" si="2"/>
        <v>12791.50493</v>
      </c>
    </row>
    <row r="207">
      <c r="A207" s="545">
        <f>IF($M207="","", IF(ARBITRAGES!$G207&gt;0,IF(ARBITRAGES!$H207="btc",A206+ARBITRAGES!$G207,A206),A206))</f>
        <v>5999.429056</v>
      </c>
      <c r="B207" s="545">
        <f>IF($M207="","", IF(ARBITRAGES!$G207&gt;0,IF(ARBITRAGES!$H207="eth",B206+ARBITRAGES!$G207,B206),B206))</f>
        <v>5059.398762</v>
      </c>
      <c r="C207" s="545">
        <f>IF($M207="","", IF(ARBITRAGES!$G207&gt;0,IF(ARBITRAGES!$H207="ton",C206+ARBITRAGES!$G207,C206),C206))</f>
        <v>0</v>
      </c>
      <c r="D207" s="545">
        <f>IF($M207="","", IF(ARBITRAGES!$G207&gt;0,IF(ARBITRAGES!$H207="sol",D206+ARBITRAGES!$G207,D206),D206))</f>
        <v>4858.693837</v>
      </c>
      <c r="E207" s="545">
        <f>IF($M207="","", IF(ARBITRAGES!$G207&gt;0,IF(ARBITRAGES!$H207="tao",E206+ARBITRAGES!$G207,E206),E206))</f>
        <v>0</v>
      </c>
      <c r="F207" s="545">
        <f>IF($M207="","", IF(ARBITRAGES!$G207&gt;0,IF(ARBITRAGES!$H207="ron",F206+ARBITRAGES!$G207,F206),F206))</f>
        <v>0</v>
      </c>
      <c r="G207" s="545">
        <f>IF($M207="","", IF(ARBITRAGES!$G207&gt;0,IF(ARBITRAGES!$H207="link",G206+ARBITRAGES!$G207,G206),G206))</f>
        <v>0</v>
      </c>
      <c r="H207" s="545">
        <f>IF($M207="","", IF(ARBITRAGES!$G207&gt;0,IF(ARBITRAGES!$H207="doge",H206+ARBITRAGES!$G207,H206),H206))</f>
        <v>0</v>
      </c>
      <c r="I207" s="545">
        <f t="shared" si="167"/>
        <v>645.78248</v>
      </c>
      <c r="J207" s="545"/>
      <c r="K207" s="545">
        <f>IF($M207="","", IF(ARBITRAGES!$G207&gt;0,IF(ARBITRAGES!$H207="*jup*",K206+ARBITRAGES!$G207,K206),K206))</f>
        <v>0</v>
      </c>
      <c r="L207" s="545">
        <f>IF($M207="","", IF(ARBITRAGES!$G207&gt;0,IF(ARBITRAGES!$H207="*aave*",L206+ARBITRAGES!$G207,L206),L206))</f>
        <v>0</v>
      </c>
      <c r="M207" s="540">
        <f>IF(ARBITRAGES!E207=0,"",ARBITRAGES!E207)</f>
        <v>45978</v>
      </c>
      <c r="N207" s="541">
        <f>IF(M207="","", SUM(A207:H207)+ARBITRAGES!$K$3)</f>
        <v>37467.52166</v>
      </c>
      <c r="O207" s="542">
        <f>IF(M207="","",PRIX!U207)</f>
        <v>51053.33978</v>
      </c>
      <c r="Q207" s="546"/>
      <c r="R207" s="546"/>
      <c r="S207" s="544">
        <f t="shared" si="2"/>
        <v>13585.81813</v>
      </c>
    </row>
    <row r="208">
      <c r="A208" s="545">
        <f>IF($M208="","", IF(ARBITRAGES!$G208&gt;0,IF(ARBITRAGES!$H208="btc",A207+ARBITRAGES!$G208,A207),A207))</f>
        <v>5999.429056</v>
      </c>
      <c r="B208" s="545">
        <f>IF($M208="","", IF(ARBITRAGES!$G208&gt;0,IF(ARBITRAGES!$H208="eth",B207+ARBITRAGES!$G208,B207),B207))</f>
        <v>5059.398762</v>
      </c>
      <c r="C208" s="545">
        <f>IF($M208="","", IF(ARBITRAGES!$G208&gt;0,IF(ARBITRAGES!$H208="ton",C207+ARBITRAGES!$G208,C207),C207))</f>
        <v>0</v>
      </c>
      <c r="D208" s="545">
        <f>IF($M208="","", IF(ARBITRAGES!$G208&gt;0,IF(ARBITRAGES!$H208="sol",D207+ARBITRAGES!$G208,D207),D207))</f>
        <v>4858.693837</v>
      </c>
      <c r="E208" s="545">
        <f>IF($M208="","", IF(ARBITRAGES!$G208&gt;0,IF(ARBITRAGES!$H208="tao",E207+ARBITRAGES!$G208,E207),E207))</f>
        <v>0</v>
      </c>
      <c r="F208" s="545">
        <f>IF($M208="","", IF(ARBITRAGES!$G208&gt;0,IF(ARBITRAGES!$H208="ron",F207+ARBITRAGES!$G208,F207),F207))</f>
        <v>0</v>
      </c>
      <c r="G208" s="545">
        <f>IF($M208="","", IF(ARBITRAGES!$G208&gt;0,IF(ARBITRAGES!$H208="link",G207+ARBITRAGES!$G208,G207),G207))</f>
        <v>0</v>
      </c>
      <c r="H208" s="545">
        <f>IF($M208="","", IF(ARBITRAGES!$G208&gt;0,IF(ARBITRAGES!$H208="doge",H207+ARBITRAGES!$G208,H207),H207))</f>
        <v>0</v>
      </c>
      <c r="I208" s="545">
        <f t="shared" si="167"/>
        <v>645.78248</v>
      </c>
      <c r="J208" s="545"/>
      <c r="K208" s="545">
        <f>IF($M208="","", IF(ARBITRAGES!$G208&gt;0,IF(ARBITRAGES!$H208="*jup*",K207+ARBITRAGES!$G208,K207),K207))</f>
        <v>0</v>
      </c>
      <c r="L208" s="545">
        <f>IF($M208="","", IF(ARBITRAGES!$G208&gt;0,IF(ARBITRAGES!$H208="*aave*",L207+ARBITRAGES!$G208,L207),L207))</f>
        <v>0</v>
      </c>
      <c r="M208" s="540">
        <f>IF(ARBITRAGES!E208=0,"",ARBITRAGES!E208)</f>
        <v>45979</v>
      </c>
      <c r="N208" s="541">
        <f>IF(M208="","", SUM(A208:H208)+ARBITRAGES!$K$3)</f>
        <v>37467.52166</v>
      </c>
      <c r="O208" s="542">
        <f>IF(M208="","",PRIX!U208)</f>
        <v>51138.33978</v>
      </c>
      <c r="Q208" s="546"/>
      <c r="R208" s="546"/>
      <c r="S208" s="544">
        <f t="shared" si="2"/>
        <v>13670.81813</v>
      </c>
    </row>
    <row r="209">
      <c r="A209" s="545">
        <f>IF($M209="","", IF(ARBITRAGES!$G209&gt;0,IF(ARBITRAGES!$H209="btc",A208+ARBITRAGES!$G209,A208),A208))</f>
        <v>5999.429056</v>
      </c>
      <c r="B209" s="545">
        <f>IF($M209="","", IF(ARBITRAGES!$G209&gt;0,IF(ARBITRAGES!$H209="eth",B208+ARBITRAGES!$G209,B208),B208))</f>
        <v>5059.398762</v>
      </c>
      <c r="C209" s="545">
        <f>IF($M209="","", IF(ARBITRAGES!$G209&gt;0,IF(ARBITRAGES!$H209="ton",C208+ARBITRAGES!$G209,C208),C208))</f>
        <v>0</v>
      </c>
      <c r="D209" s="545">
        <f>IF($M209="","", IF(ARBITRAGES!$G209&gt;0,IF(ARBITRAGES!$H209="sol",D208+ARBITRAGES!$G209,D208),D208))</f>
        <v>4858.693837</v>
      </c>
      <c r="E209" s="545">
        <f>IF($M209="","", IF(ARBITRAGES!$G209&gt;0,IF(ARBITRAGES!$H209="tao",E208+ARBITRAGES!$G209,E208),E208))</f>
        <v>0</v>
      </c>
      <c r="F209" s="545">
        <f>IF($M209="","", IF(ARBITRAGES!$G209&gt;0,IF(ARBITRAGES!$H209="ron",F208+ARBITRAGES!$G209,F208),F208))</f>
        <v>0</v>
      </c>
      <c r="G209" s="545">
        <f>IF($M209="","", IF(ARBITRAGES!$G209&gt;0,IF(ARBITRAGES!$H209="link",G208+ARBITRAGES!$G209,G208),G208))</f>
        <v>0</v>
      </c>
      <c r="H209" s="545">
        <f>IF($M209="","", IF(ARBITRAGES!$G209&gt;0,IF(ARBITRAGES!$H209="doge",H208+ARBITRAGES!$G209,H208),H208))</f>
        <v>0</v>
      </c>
      <c r="I209" s="545">
        <f t="shared" si="167"/>
        <v>645.78248</v>
      </c>
      <c r="J209" s="545"/>
      <c r="K209" s="545">
        <f>IF($M209="","", IF(ARBITRAGES!$G209&gt;0,IF(ARBITRAGES!$H209="*jup*",K208+ARBITRAGES!$G209,K208),K208))</f>
        <v>0</v>
      </c>
      <c r="L209" s="545">
        <f>IF($M209="","", IF(ARBITRAGES!$G209&gt;0,IF(ARBITRAGES!$H209="*aave*",L208+ARBITRAGES!$G209,L208),L208))</f>
        <v>0</v>
      </c>
      <c r="M209" s="540">
        <f>IF(ARBITRAGES!E209=0,"",ARBITRAGES!E209)</f>
        <v>45980</v>
      </c>
      <c r="N209" s="541">
        <f>IF(M209="","", SUM(A209:H209)+ARBITRAGES!$K$3)</f>
        <v>37467.52166</v>
      </c>
      <c r="O209" s="542">
        <f>IF(M209="","",PRIX!U209)</f>
        <v>47928.09342</v>
      </c>
      <c r="Q209" s="546"/>
      <c r="R209" s="546"/>
      <c r="S209" s="544">
        <f t="shared" si="2"/>
        <v>10460.57177</v>
      </c>
    </row>
    <row r="210">
      <c r="A210" s="545">
        <f>IF($M210="","", IF(ARBITRAGES!$G210&gt;0,IF(ARBITRAGES!$H210="btc",A209+ARBITRAGES!$G210,A209),A209))</f>
        <v>5999.429056</v>
      </c>
      <c r="B210" s="545">
        <f>IF($M210="","", IF(ARBITRAGES!$G210&gt;0,IF(ARBITRAGES!$H210="eth",B209+ARBITRAGES!$G210,B209),B209))</f>
        <v>5059.398762</v>
      </c>
      <c r="C210" s="545">
        <f>IF($M210="","", IF(ARBITRAGES!$G210&gt;0,IF(ARBITRAGES!$H210="ton",C209+ARBITRAGES!$G210,C209),C209))</f>
        <v>0</v>
      </c>
      <c r="D210" s="545">
        <f>IF($M210="","", IF(ARBITRAGES!$G210&gt;0,IF(ARBITRAGES!$H210="sol",D209+ARBITRAGES!$G210,D209),D209))</f>
        <v>4858.693837</v>
      </c>
      <c r="E210" s="545">
        <f>IF($M210="","", IF(ARBITRAGES!$G210&gt;0,IF(ARBITRAGES!$H210="tao",E209+ARBITRAGES!$G210,E209),E209))</f>
        <v>0</v>
      </c>
      <c r="F210" s="545">
        <f>IF($M210="","", IF(ARBITRAGES!$G210&gt;0,IF(ARBITRAGES!$H210="ron",F209+ARBITRAGES!$G210,F209),F209))</f>
        <v>0</v>
      </c>
      <c r="G210" s="545">
        <f>IF($M210="","", IF(ARBITRAGES!$G210&gt;0,IF(ARBITRAGES!$H210="link",G209+ARBITRAGES!$G210,G209),G209))</f>
        <v>0</v>
      </c>
      <c r="H210" s="545">
        <f>IF($M210="","", IF(ARBITRAGES!$G210&gt;0,IF(ARBITRAGES!$H210="doge",H209+ARBITRAGES!$G210,H209),H209))</f>
        <v>0</v>
      </c>
      <c r="I210" s="545">
        <f t="shared" si="167"/>
        <v>645.78248</v>
      </c>
      <c r="J210" s="545"/>
      <c r="K210" s="545">
        <f>IF($M210="","", IF(ARBITRAGES!$G210&gt;0,IF(ARBITRAGES!$H210="*jup*",K209+ARBITRAGES!$G210,K209),K209))</f>
        <v>0</v>
      </c>
      <c r="L210" s="545">
        <f>IF($M210="","", IF(ARBITRAGES!$G210&gt;0,IF(ARBITRAGES!$H210="*aave*",L209+ARBITRAGES!$G210,L209),L209))</f>
        <v>0</v>
      </c>
      <c r="M210" s="540">
        <f>IF(ARBITRAGES!E210=0,"",ARBITRAGES!E210)</f>
        <v>45981</v>
      </c>
      <c r="N210" s="541">
        <f>IF(M210="","", SUM(A210:H210)+ARBITRAGES!$K$3)</f>
        <v>37467.52166</v>
      </c>
      <c r="O210" s="542">
        <f>IF(M210="","",PRIX!U210)</f>
        <v>47926.36928</v>
      </c>
      <c r="Q210" s="546"/>
      <c r="R210" s="546"/>
      <c r="S210" s="544">
        <f t="shared" si="2"/>
        <v>10458.84763</v>
      </c>
    </row>
    <row r="211">
      <c r="A211" s="545">
        <f>IF($M211="","", IF(ARBITRAGES!$G211&gt;0,IF(ARBITRAGES!$H211="btc",A210+ARBITRAGES!$G211,A210),A210))</f>
        <v>5999.429056</v>
      </c>
      <c r="B211" s="545">
        <f>IF($M211="","", IF(ARBITRAGES!$G211&gt;0,IF(ARBITRAGES!$H211="eth",B210+ARBITRAGES!$G211,B210),B210))</f>
        <v>5059.398762</v>
      </c>
      <c r="C211" s="545">
        <f>IF($M211="","", IF(ARBITRAGES!$G211&gt;0,IF(ARBITRAGES!$H211="ton",C210+ARBITRAGES!$G211,C210),C210))</f>
        <v>0</v>
      </c>
      <c r="D211" s="545">
        <f>IF($M211="","", IF(ARBITRAGES!$G211&gt;0,IF(ARBITRAGES!$H211="sol",D210+ARBITRAGES!$G211,D210),D210))</f>
        <v>4858.693837</v>
      </c>
      <c r="E211" s="545">
        <f>IF($M211="","", IF(ARBITRAGES!$G211&gt;0,IF(ARBITRAGES!$H211="tao",E210+ARBITRAGES!$G211,E210),E210))</f>
        <v>0</v>
      </c>
      <c r="F211" s="545">
        <f>IF($M211="","", IF(ARBITRAGES!$G211&gt;0,IF(ARBITRAGES!$H211="ron",F210+ARBITRAGES!$G211,F210),F210))</f>
        <v>0</v>
      </c>
      <c r="G211" s="545">
        <f>IF($M211="","", IF(ARBITRAGES!$G211&gt;0,IF(ARBITRAGES!$H211="link",G210+ARBITRAGES!$G211,G210),G210))</f>
        <v>0</v>
      </c>
      <c r="H211" s="545">
        <f>IF($M211="","", IF(ARBITRAGES!$G211&gt;0,IF(ARBITRAGES!$H211="doge",H210+ARBITRAGES!$G211,H210),H210))</f>
        <v>0</v>
      </c>
      <c r="I211" s="545">
        <f t="shared" si="167"/>
        <v>645.78248</v>
      </c>
      <c r="J211" s="545"/>
      <c r="K211" s="545">
        <f>IF($M211="","", IF(ARBITRAGES!$G211&gt;0,IF(ARBITRAGES!$H211="*jup*",K210+ARBITRAGES!$G211,K210),K210))</f>
        <v>0</v>
      </c>
      <c r="L211" s="545">
        <f>IF($M211="","", IF(ARBITRAGES!$G211&gt;0,IF(ARBITRAGES!$H211="*aave*",L210+ARBITRAGES!$G211,L210),L210))</f>
        <v>0</v>
      </c>
      <c r="M211" s="540">
        <f>IF(ARBITRAGES!E211=0,"",ARBITRAGES!E211)</f>
        <v>45981</v>
      </c>
      <c r="N211" s="541">
        <f>IF(M211="","", SUM(A211:H211)+ARBITRAGES!$K$3)</f>
        <v>37467.52166</v>
      </c>
      <c r="O211" s="542">
        <f>IF(M211="","",PRIX!U211)</f>
        <v>46475.85983</v>
      </c>
      <c r="Q211" s="546"/>
      <c r="R211" s="546"/>
      <c r="S211" s="544">
        <f t="shared" si="2"/>
        <v>9008.338175</v>
      </c>
    </row>
    <row r="212">
      <c r="A212" s="545">
        <f>IF($M212="","", IF(ARBITRAGES!$G212&gt;0,IF(ARBITRAGES!$H212="btc",A211+ARBITRAGES!$G212,A211),A211))</f>
        <v>5999.429056</v>
      </c>
      <c r="B212" s="545">
        <f>IF($M212="","", IF(ARBITRAGES!$G212&gt;0,IF(ARBITRAGES!$H212="eth",B211+ARBITRAGES!$G212,B211),B211))</f>
        <v>5059.398762</v>
      </c>
      <c r="C212" s="545">
        <f>IF($M212="","", IF(ARBITRAGES!$G212&gt;0,IF(ARBITRAGES!$H212="ton",C211+ARBITRAGES!$G212,C211),C211))</f>
        <v>0</v>
      </c>
      <c r="D212" s="545">
        <f>IF($M212="","", IF(ARBITRAGES!$G212&gt;0,IF(ARBITRAGES!$H212="sol",D211+ARBITRAGES!$G212,D211),D211))</f>
        <v>4858.693837</v>
      </c>
      <c r="E212" s="545">
        <f>IF($M212="","", IF(ARBITRAGES!$G212&gt;0,IF(ARBITRAGES!$H212="tao",E211+ARBITRAGES!$G212,E211),E211))</f>
        <v>0</v>
      </c>
      <c r="F212" s="545">
        <f>IF($M212="","", IF(ARBITRAGES!$G212&gt;0,IF(ARBITRAGES!$H212="ron",F211+ARBITRAGES!$G212,F211),F211))</f>
        <v>0</v>
      </c>
      <c r="G212" s="545">
        <f>IF($M212="","", IF(ARBITRAGES!$G212&gt;0,IF(ARBITRAGES!$H212="link",G211+ARBITRAGES!$G212,G211),G211))</f>
        <v>0</v>
      </c>
      <c r="H212" s="545">
        <f>IF($M212="","", IF(ARBITRAGES!$G212&gt;0,IF(ARBITRAGES!$H212="doge",H211+ARBITRAGES!$G212,H211),H211))</f>
        <v>0</v>
      </c>
      <c r="I212" s="545">
        <f t="shared" si="167"/>
        <v>645.78248</v>
      </c>
      <c r="J212" s="545"/>
      <c r="K212" s="545">
        <f>IF($M212="","", IF(ARBITRAGES!$G212&gt;0,IF(ARBITRAGES!$H212="*jup*",K211+ARBITRAGES!$G212,K211),K211))</f>
        <v>0</v>
      </c>
      <c r="L212" s="545">
        <f>IF($M212="","", IF(ARBITRAGES!$G212&gt;0,IF(ARBITRAGES!$H212="*aave*",L211+ARBITRAGES!$G212,L211),L211))</f>
        <v>0</v>
      </c>
      <c r="M212" s="540">
        <f>IF(ARBITRAGES!E212=0,"",ARBITRAGES!E212)</f>
        <v>45981</v>
      </c>
      <c r="N212" s="541">
        <f>IF(M212="","", SUM(A212:H212)+ARBITRAGES!$K$3)</f>
        <v>37467.52166</v>
      </c>
      <c r="O212" s="542">
        <f>IF(M212="","",PRIX!U212)</f>
        <v>46477.85983</v>
      </c>
      <c r="Q212" s="546"/>
      <c r="R212" s="546"/>
      <c r="S212" s="544">
        <f t="shared" si="2"/>
        <v>9010.338175</v>
      </c>
    </row>
    <row r="213">
      <c r="A213" s="545">
        <f>IF($M213="","", IF(ARBITRAGES!$G213&gt;0,IF(ARBITRAGES!$H213="btc",A212+ARBITRAGES!$G213,A212),A212))</f>
        <v>5999.429056</v>
      </c>
      <c r="B213" s="545">
        <f>IF($M213="","", IF(ARBITRAGES!$G213&gt;0,IF(ARBITRAGES!$H213="eth",B212+ARBITRAGES!$G213,B212),B212))</f>
        <v>5059.398762</v>
      </c>
      <c r="C213" s="545">
        <f>IF($M213="","", IF(ARBITRAGES!$G213&gt;0,IF(ARBITRAGES!$H213="ton",C212+ARBITRAGES!$G213,C212),C212))</f>
        <v>0</v>
      </c>
      <c r="D213" s="545">
        <f>IF($M213="","", IF(ARBITRAGES!$G213&gt;0,IF(ARBITRAGES!$H213="sol",D212+ARBITRAGES!$G213,D212),D212))</f>
        <v>4858.693837</v>
      </c>
      <c r="E213" s="545">
        <f>IF($M213="","", IF(ARBITRAGES!$G213&gt;0,IF(ARBITRAGES!$H213="tao",E212+ARBITRAGES!$G213,E212),E212))</f>
        <v>0</v>
      </c>
      <c r="F213" s="545">
        <f>IF($M213="","", IF(ARBITRAGES!$G213&gt;0,IF(ARBITRAGES!$H213="ron",F212+ARBITRAGES!$G213,F212),F212))</f>
        <v>0</v>
      </c>
      <c r="G213" s="545">
        <f>IF($M213="","", IF(ARBITRAGES!$G213&gt;0,IF(ARBITRAGES!$H213="link",G212+ARBITRAGES!$G213,G212),G212))</f>
        <v>0</v>
      </c>
      <c r="H213" s="545">
        <f>IF($M213="","", IF(ARBITRAGES!$G213&gt;0,IF(ARBITRAGES!$H213="doge",H212+ARBITRAGES!$G213,H212),H212))</f>
        <v>0</v>
      </c>
      <c r="I213" s="545">
        <f t="shared" si="167"/>
        <v>645.78248</v>
      </c>
      <c r="J213" s="545"/>
      <c r="K213" s="545">
        <f>IF($M213="","", IF(ARBITRAGES!$G213&gt;0,IF(ARBITRAGES!$H213="*jup*",K212+ARBITRAGES!$G213,K212),K212))</f>
        <v>0</v>
      </c>
      <c r="L213" s="545">
        <f>IF($M213="","", IF(ARBITRAGES!$G213&gt;0,IF(ARBITRAGES!$H213="*aave*",L212+ARBITRAGES!$G213,L212),L212))</f>
        <v>0</v>
      </c>
      <c r="M213" s="540">
        <f>IF(ARBITRAGES!E213=0,"",ARBITRAGES!E213)</f>
        <v>45981</v>
      </c>
      <c r="N213" s="541">
        <f>IF(M213="","", SUM(A213:H213)+ARBITRAGES!$K$3)</f>
        <v>37467.52166</v>
      </c>
      <c r="O213" s="542">
        <f>IF(M213="","",PRIX!U213)</f>
        <v>46469.09171</v>
      </c>
      <c r="Q213" s="546"/>
      <c r="R213" s="546"/>
      <c r="S213" s="544">
        <f t="shared" si="2"/>
        <v>9001.570059</v>
      </c>
    </row>
    <row r="214">
      <c r="A214" s="545">
        <f>IF($M214="","", IF(ARBITRAGES!$G214&gt;0,IF(ARBITRAGES!$H214="btc",A213+ARBITRAGES!$G214,A213),A213))</f>
        <v>5999.429056</v>
      </c>
      <c r="B214" s="545">
        <f>IF($M214="","", IF(ARBITRAGES!$G214&gt;0,IF(ARBITRAGES!$H214="eth",B213+ARBITRAGES!$G214,B213),B213))</f>
        <v>5059.398762</v>
      </c>
      <c r="C214" s="545">
        <f>IF($M214="","", IF(ARBITRAGES!$G214&gt;0,IF(ARBITRAGES!$H214="ton",C213+ARBITRAGES!$G214,C213),C213))</f>
        <v>0</v>
      </c>
      <c r="D214" s="545">
        <f>IF($M214="","", IF(ARBITRAGES!$G214&gt;0,IF(ARBITRAGES!$H214="sol",D213+ARBITRAGES!$G214,D213),D213))</f>
        <v>4858.693837</v>
      </c>
      <c r="E214" s="545">
        <f>IF($M214="","", IF(ARBITRAGES!$G214&gt;0,IF(ARBITRAGES!$H214="tao",E213+ARBITRAGES!$G214,E213),E213))</f>
        <v>0</v>
      </c>
      <c r="F214" s="545">
        <f>IF($M214="","", IF(ARBITRAGES!$G214&gt;0,IF(ARBITRAGES!$H214="ron",F213+ARBITRAGES!$G214,F213),F213))</f>
        <v>0</v>
      </c>
      <c r="G214" s="545">
        <f>IF($M214="","", IF(ARBITRAGES!$G214&gt;0,IF(ARBITRAGES!$H214="link",G213+ARBITRAGES!$G214,G213),G213))</f>
        <v>0</v>
      </c>
      <c r="H214" s="545">
        <f>IF($M214="","", IF(ARBITRAGES!$G214&gt;0,IF(ARBITRAGES!$H214="doge",H213+ARBITRAGES!$G214,H213),H213))</f>
        <v>0</v>
      </c>
      <c r="I214" s="545">
        <f t="shared" si="167"/>
        <v>645.78248</v>
      </c>
      <c r="J214" s="545"/>
      <c r="K214" s="545">
        <f>IF($M214="","", IF(ARBITRAGES!$G214&gt;0,IF(ARBITRAGES!$H214="*jup*",K213+ARBITRAGES!$G214,K213),K213))</f>
        <v>0</v>
      </c>
      <c r="L214" s="545">
        <f>IF($M214="","", IF(ARBITRAGES!$G214&gt;0,IF(ARBITRAGES!$H214="*aave*",L213+ARBITRAGES!$G214,L213),L213))</f>
        <v>0</v>
      </c>
      <c r="M214" s="540">
        <f>IF(ARBITRAGES!E214=0,"",ARBITRAGES!E214)</f>
        <v>45981</v>
      </c>
      <c r="N214" s="541">
        <f>IF(M214="","", SUM(A214:H214)+ARBITRAGES!$K$3)</f>
        <v>37467.52166</v>
      </c>
      <c r="O214" s="542">
        <f>IF(M214="","",PRIX!U214)</f>
        <v>46469.09171</v>
      </c>
      <c r="Q214" s="546"/>
      <c r="R214" s="546"/>
      <c r="S214" s="544">
        <f t="shared" si="2"/>
        <v>9001.570059</v>
      </c>
    </row>
    <row r="215">
      <c r="A215" s="545">
        <f>IF($M215="","", IF(ARBITRAGES!$G215&gt;0,IF(ARBITRAGES!$H215="btc",A214+ARBITRAGES!$G215,A214),A214))</f>
        <v>5999.429056</v>
      </c>
      <c r="B215" s="545">
        <f>IF($M215="","", IF(ARBITRAGES!$G215&gt;0,IF(ARBITRAGES!$H215="eth",B214+ARBITRAGES!$G215,B214),B214))</f>
        <v>5059.398762</v>
      </c>
      <c r="C215" s="545">
        <f>IF($M215="","", IF(ARBITRAGES!$G215&gt;0,IF(ARBITRAGES!$H215="ton",C214+ARBITRAGES!$G215,C214),C214))</f>
        <v>0</v>
      </c>
      <c r="D215" s="545">
        <f>IF($M215="","", IF(ARBITRAGES!$G215&gt;0,IF(ARBITRAGES!$H215="sol",D214+ARBITRAGES!$G215,D214),D214))</f>
        <v>4858.693837</v>
      </c>
      <c r="E215" s="545">
        <f>IF($M215="","", IF(ARBITRAGES!$G215&gt;0,IF(ARBITRAGES!$H215="tao",E214+ARBITRAGES!$G215,E214),E214))</f>
        <v>0</v>
      </c>
      <c r="F215" s="545">
        <f>IF($M215="","", IF(ARBITRAGES!$G215&gt;0,IF(ARBITRAGES!$H215="ron",F214+ARBITRAGES!$G215,F214),F214))</f>
        <v>0</v>
      </c>
      <c r="G215" s="545">
        <f>IF($M215="","", IF(ARBITRAGES!$G215&gt;0,IF(ARBITRAGES!$H215="link",G214+ARBITRAGES!$G215,G214),G214))</f>
        <v>0</v>
      </c>
      <c r="H215" s="545">
        <f>IF($M215="","", IF(ARBITRAGES!$G215&gt;0,IF(ARBITRAGES!$H215="doge",H214+ARBITRAGES!$G215,H214),H214))</f>
        <v>0</v>
      </c>
      <c r="I215" s="545">
        <f t="shared" si="167"/>
        <v>645.78248</v>
      </c>
      <c r="J215" s="545"/>
      <c r="K215" s="545">
        <f>IF($M215="","", IF(ARBITRAGES!$G215&gt;0,IF(ARBITRAGES!$H215="*jup*",K214+ARBITRAGES!$G215,K214),K214))</f>
        <v>0</v>
      </c>
      <c r="L215" s="545">
        <f>IF($M215="","", IF(ARBITRAGES!$G215&gt;0,IF(ARBITRAGES!$H215="*aave*",L214+ARBITRAGES!$G215,L214),L214))</f>
        <v>0</v>
      </c>
      <c r="M215" s="540">
        <f>IF(ARBITRAGES!E215=0,"",ARBITRAGES!E215)</f>
        <v>45981</v>
      </c>
      <c r="N215" s="541">
        <f>IF(M215="","", SUM(A215:H215)+ARBITRAGES!$K$3)</f>
        <v>37467.52166</v>
      </c>
      <c r="O215" s="542">
        <f>IF(M215="","",PRIX!U215)</f>
        <v>46470.59774</v>
      </c>
      <c r="Q215" s="546"/>
      <c r="R215" s="546"/>
      <c r="S215" s="544">
        <f t="shared" si="2"/>
        <v>9003.076083</v>
      </c>
    </row>
    <row r="216">
      <c r="A216" s="545">
        <f>IF($M216="","", IF(ARBITRAGES!$G216&gt;0,IF(ARBITRAGES!$H216="btc",A215+ARBITRAGES!$G216,A215),A215))</f>
        <v>5999.429056</v>
      </c>
      <c r="B216" s="545">
        <f>IF($M216="","", IF(ARBITRAGES!$G216&gt;0,IF(ARBITRAGES!$H216="eth",B215+ARBITRAGES!$G216,B215),B215))</f>
        <v>5059.398762</v>
      </c>
      <c r="C216" s="545">
        <f>IF($M216="","", IF(ARBITRAGES!$G216&gt;0,IF(ARBITRAGES!$H216="ton",C215+ARBITRAGES!$G216,C215),C215))</f>
        <v>0</v>
      </c>
      <c r="D216" s="545">
        <f>IF($M216="","", IF(ARBITRAGES!$G216&gt;0,IF(ARBITRAGES!$H216="sol",D215+ARBITRAGES!$G216,D215),D215))</f>
        <v>4858.693837</v>
      </c>
      <c r="E216" s="545">
        <f>IF($M216="","", IF(ARBITRAGES!$G216&gt;0,IF(ARBITRAGES!$H216="tao",E215+ARBITRAGES!$G216,E215),E215))</f>
        <v>0</v>
      </c>
      <c r="F216" s="545">
        <f>IF($M216="","", IF(ARBITRAGES!$G216&gt;0,IF(ARBITRAGES!$H216="ron",F215+ARBITRAGES!$G216,F215),F215))</f>
        <v>0</v>
      </c>
      <c r="G216" s="545">
        <f>IF($M216="","", IF(ARBITRAGES!$G216&gt;0,IF(ARBITRAGES!$H216="link",G215+ARBITRAGES!$G216,G215),G215))</f>
        <v>0</v>
      </c>
      <c r="H216" s="545">
        <f>IF($M216="","", IF(ARBITRAGES!$G216&gt;0,IF(ARBITRAGES!$H216="doge",H215+ARBITRAGES!$G216,H215),H215))</f>
        <v>0</v>
      </c>
      <c r="I216" s="545">
        <f t="shared" si="167"/>
        <v>645.78248</v>
      </c>
      <c r="J216" s="545"/>
      <c r="K216" s="545">
        <f>IF($M216="","", IF(ARBITRAGES!$G216&gt;0,IF(ARBITRAGES!$H216="*jup*",K215+ARBITRAGES!$G216,K215),K215))</f>
        <v>0</v>
      </c>
      <c r="L216" s="545">
        <f>IF($M216="","", IF(ARBITRAGES!$G216&gt;0,IF(ARBITRAGES!$H216="*aave*",L215+ARBITRAGES!$G216,L215),L215))</f>
        <v>0</v>
      </c>
      <c r="M216" s="540">
        <f>IF(ARBITRAGES!E216=0,"",ARBITRAGES!E216)</f>
        <v>45981</v>
      </c>
      <c r="N216" s="541">
        <f>IF(M216="","", SUM(A216:H216)+ARBITRAGES!$K$3)</f>
        <v>37467.52166</v>
      </c>
      <c r="O216" s="542">
        <f>IF(M216="","",PRIX!U216)</f>
        <v>46471.86585</v>
      </c>
      <c r="Q216" s="546"/>
      <c r="R216" s="546"/>
      <c r="S216" s="544">
        <f t="shared" si="2"/>
        <v>9004.344199</v>
      </c>
    </row>
    <row r="217">
      <c r="A217" s="545">
        <f>IF($M217="","", IF(ARBITRAGES!$G217&gt;0,IF(ARBITRAGES!$H217="btc",A216+ARBITRAGES!$G217,A216),A216))</f>
        <v>5999.429056</v>
      </c>
      <c r="B217" s="545">
        <f>IF($M217="","", IF(ARBITRAGES!$G217&gt;0,IF(ARBITRAGES!$H217="eth",B216+ARBITRAGES!$G217,B216),B216))</f>
        <v>5059.398762</v>
      </c>
      <c r="C217" s="545">
        <f>IF($M217="","", IF(ARBITRAGES!$G217&gt;0,IF(ARBITRAGES!$H217="ton",C216+ARBITRAGES!$G217,C216),C216))</f>
        <v>0</v>
      </c>
      <c r="D217" s="545">
        <f>IF($M217="","", IF(ARBITRAGES!$G217&gt;0,IF(ARBITRAGES!$H217="sol",D216+ARBITRAGES!$G217,D216),D216))</f>
        <v>4858.693837</v>
      </c>
      <c r="E217" s="545">
        <f>IF($M217="","", IF(ARBITRAGES!$G217&gt;0,IF(ARBITRAGES!$H217="tao",E216+ARBITRAGES!$G217,E216),E216))</f>
        <v>0</v>
      </c>
      <c r="F217" s="545">
        <f>IF($M217="","", IF(ARBITRAGES!$G217&gt;0,IF(ARBITRAGES!$H217="ron",F216+ARBITRAGES!$G217,F216),F216))</f>
        <v>0</v>
      </c>
      <c r="G217" s="545">
        <f>IF($M217="","", IF(ARBITRAGES!$G217&gt;0,IF(ARBITRAGES!$H217="link",G216+ARBITRAGES!$G217,G216),G216))</f>
        <v>0</v>
      </c>
      <c r="H217" s="545">
        <f>IF($M217="","", IF(ARBITRAGES!$G217&gt;0,IF(ARBITRAGES!$H217="doge",H216+ARBITRAGES!$G217,H216),H216))</f>
        <v>0</v>
      </c>
      <c r="I217" s="545">
        <f t="shared" si="167"/>
        <v>645.78248</v>
      </c>
      <c r="J217" s="545"/>
      <c r="K217" s="545">
        <f>IF($M217="","", IF(ARBITRAGES!$G217&gt;0,IF(ARBITRAGES!$H217="*jup*",K216+ARBITRAGES!$G217,K216),K216))</f>
        <v>0</v>
      </c>
      <c r="L217" s="545">
        <f>IF($M217="","", IF(ARBITRAGES!$G217&gt;0,IF(ARBITRAGES!$H217="*aave*",L216+ARBITRAGES!$G217,L216),L216))</f>
        <v>0</v>
      </c>
      <c r="M217" s="540">
        <f>IF(ARBITRAGES!E217=0,"",ARBITRAGES!E217)</f>
        <v>45982</v>
      </c>
      <c r="N217" s="541">
        <f>IF(M217="","", SUM(A217:H217)+ARBITRAGES!$K$3)</f>
        <v>37467.52166</v>
      </c>
      <c r="O217" s="542">
        <f>IF(M217="","",PRIX!U217)</f>
        <v>47074.14994</v>
      </c>
      <c r="Q217" s="546"/>
      <c r="R217" s="546"/>
      <c r="S217" s="544">
        <f t="shared" si="2"/>
        <v>9606.628286</v>
      </c>
    </row>
    <row r="218">
      <c r="A218" s="545">
        <f>IF($M218="","", IF(ARBITRAGES!$G218&gt;0,IF(ARBITRAGES!$H218="btc",A217+ARBITRAGES!$G218,A217),A217))</f>
        <v>5999.429056</v>
      </c>
      <c r="B218" s="545">
        <f>IF($M218="","", IF(ARBITRAGES!$G218&gt;0,IF(ARBITRAGES!$H218="eth",B217+ARBITRAGES!$G218,B217),B217))</f>
        <v>5059.398762</v>
      </c>
      <c r="C218" s="545">
        <f>IF($M218="","", IF(ARBITRAGES!$G218&gt;0,IF(ARBITRAGES!$H218="ton",C217+ARBITRAGES!$G218,C217),C217))</f>
        <v>0</v>
      </c>
      <c r="D218" s="545">
        <f>IF($M218="","", IF(ARBITRAGES!$G218&gt;0,IF(ARBITRAGES!$H218="sol",D217+ARBITRAGES!$G218,D217),D217))</f>
        <v>4858.693837</v>
      </c>
      <c r="E218" s="545">
        <f>IF($M218="","", IF(ARBITRAGES!$G218&gt;0,IF(ARBITRAGES!$H218="tao",E217+ARBITRAGES!$G218,E217),E217))</f>
        <v>0</v>
      </c>
      <c r="F218" s="545">
        <f>IF($M218="","", IF(ARBITRAGES!$G218&gt;0,IF(ARBITRAGES!$H218="ron",F217+ARBITRAGES!$G218,F217),F217))</f>
        <v>0</v>
      </c>
      <c r="G218" s="545">
        <f>IF($M218="","", IF(ARBITRAGES!$G218&gt;0,IF(ARBITRAGES!$H218="link",G217+ARBITRAGES!$G218,G217),G217))</f>
        <v>0</v>
      </c>
      <c r="H218" s="545">
        <f>IF($M218="","", IF(ARBITRAGES!$G218&gt;0,IF(ARBITRAGES!$H218="doge",H217+ARBITRAGES!$G218,H217),H217))</f>
        <v>0</v>
      </c>
      <c r="I218" s="545">
        <f t="shared" si="167"/>
        <v>645.78248</v>
      </c>
      <c r="J218" s="545"/>
      <c r="K218" s="545">
        <f>IF($M218="","", IF(ARBITRAGES!$G218&gt;0,IF(ARBITRAGES!$H218="*jup*",K217+ARBITRAGES!$G218,K217),K217))</f>
        <v>0</v>
      </c>
      <c r="L218" s="545">
        <f>IF($M218="","", IF(ARBITRAGES!$G218&gt;0,IF(ARBITRAGES!$H218="*aave*",L217+ARBITRAGES!$G218,L217),L217))</f>
        <v>0</v>
      </c>
      <c r="M218" s="540">
        <f>IF(ARBITRAGES!E218=0,"",ARBITRAGES!E218)</f>
        <v>45988</v>
      </c>
      <c r="N218" s="541">
        <f>IF(M218="","", SUM(A218:H218)+ARBITRAGES!$K$3)</f>
        <v>37467.52166</v>
      </c>
      <c r="O218" s="542">
        <f>IF(M218="","",PRIX!U218)</f>
        <v>50959.10987</v>
      </c>
      <c r="Q218" s="546"/>
      <c r="R218" s="546"/>
      <c r="S218" s="544">
        <f t="shared" si="2"/>
        <v>13491.58822</v>
      </c>
    </row>
    <row r="219">
      <c r="A219" s="545">
        <f>IF($M219="","", IF(ARBITRAGES!$G219&gt;0,IF(ARBITRAGES!$H219="btc",A218+ARBITRAGES!$G219,A218),A218))</f>
        <v>5999.429056</v>
      </c>
      <c r="B219" s="545">
        <f>IF($M219="","", IF(ARBITRAGES!$G219&gt;0,IF(ARBITRAGES!$H219="eth",B218+ARBITRAGES!$G219,B218),B218))</f>
        <v>5059.398762</v>
      </c>
      <c r="C219" s="545">
        <f>IF($M219="","", IF(ARBITRAGES!$G219&gt;0,IF(ARBITRAGES!$H219="ton",C218+ARBITRAGES!$G219,C218),C218))</f>
        <v>0</v>
      </c>
      <c r="D219" s="545">
        <f>IF($M219="","", IF(ARBITRAGES!$G219&gt;0,IF(ARBITRAGES!$H219="sol",D218+ARBITRAGES!$G219,D218),D218))</f>
        <v>4858.693837</v>
      </c>
      <c r="E219" s="545">
        <f>IF($M219="","", IF(ARBITRAGES!$G219&gt;0,IF(ARBITRAGES!$H219="tao",E218+ARBITRAGES!$G219,E218),E218))</f>
        <v>0</v>
      </c>
      <c r="F219" s="545">
        <f>IF($M219="","", IF(ARBITRAGES!$G219&gt;0,IF(ARBITRAGES!$H219="ron",F218+ARBITRAGES!$G219,F218),F218))</f>
        <v>0</v>
      </c>
      <c r="G219" s="545">
        <f>IF($M219="","", IF(ARBITRAGES!$G219&gt;0,IF(ARBITRAGES!$H219="link",G218+ARBITRAGES!$G219,G218),G218))</f>
        <v>0</v>
      </c>
      <c r="H219" s="545">
        <f>IF($M219="","", IF(ARBITRAGES!$G219&gt;0,IF(ARBITRAGES!$H219="doge",H218+ARBITRAGES!$G219,H218),H218))</f>
        <v>0</v>
      </c>
      <c r="I219" s="545">
        <f t="shared" si="167"/>
        <v>645.78248</v>
      </c>
      <c r="J219" s="545"/>
      <c r="K219" s="545">
        <f>IF($M219="","", IF(ARBITRAGES!$G219&gt;0,IF(ARBITRAGES!$H219="*jup*",K218+ARBITRAGES!$G219,K218),K218))</f>
        <v>0</v>
      </c>
      <c r="L219" s="545">
        <f>IF($M219="","", IF(ARBITRAGES!$G219&gt;0,IF(ARBITRAGES!$H219="*aave*",L218+ARBITRAGES!$G219,L218),L218))</f>
        <v>0</v>
      </c>
      <c r="M219" s="540">
        <f>IF(ARBITRAGES!E219=0,"",ARBITRAGES!E219)</f>
        <v>45988</v>
      </c>
      <c r="N219" s="541">
        <f>IF(M219="","", SUM(A219:H219)+ARBITRAGES!$K$3)</f>
        <v>37467.52166</v>
      </c>
      <c r="O219" s="542">
        <f>IF(M219="","",PRIX!U219)</f>
        <v>50957.50987</v>
      </c>
      <c r="Q219" s="546"/>
      <c r="R219" s="546"/>
      <c r="S219" s="544">
        <f t="shared" si="2"/>
        <v>13489.98822</v>
      </c>
    </row>
    <row r="220">
      <c r="A220" s="545">
        <f>IF($M220="","", IF(ARBITRAGES!$G220&gt;0,IF(ARBITRAGES!$H220="btc",A219+ARBITRAGES!$G220,A219),A219))</f>
        <v>5999.429056</v>
      </c>
      <c r="B220" s="545">
        <f>IF($M220="","", IF(ARBITRAGES!$G220&gt;0,IF(ARBITRAGES!$H220="eth",B219+ARBITRAGES!$G220,B219),B219))</f>
        <v>5059.398762</v>
      </c>
      <c r="C220" s="545">
        <f>IF($M220="","", IF(ARBITRAGES!$G220&gt;0,IF(ARBITRAGES!$H220="ton",C219+ARBITRAGES!$G220,C219),C219))</f>
        <v>0</v>
      </c>
      <c r="D220" s="545">
        <f>IF($M220="","", IF(ARBITRAGES!$G220&gt;0,IF(ARBITRAGES!$H220="sol",D219+ARBITRAGES!$G220,D219),D219))</f>
        <v>4858.693837</v>
      </c>
      <c r="E220" s="545">
        <f>IF($M220="","", IF(ARBITRAGES!$G220&gt;0,IF(ARBITRAGES!$H220="tao",E219+ARBITRAGES!$G220,E219),E219))</f>
        <v>0</v>
      </c>
      <c r="F220" s="545">
        <f>IF($M220="","", IF(ARBITRAGES!$G220&gt;0,IF(ARBITRAGES!$H220="ron",F219+ARBITRAGES!$G220,F219),F219))</f>
        <v>0</v>
      </c>
      <c r="G220" s="545">
        <f>IF($M220="","", IF(ARBITRAGES!$G220&gt;0,IF(ARBITRAGES!$H220="link",G219+ARBITRAGES!$G220,G219),G219))</f>
        <v>0</v>
      </c>
      <c r="H220" s="545">
        <f>IF($M220="","", IF(ARBITRAGES!$G220&gt;0,IF(ARBITRAGES!$H220="doge",H219+ARBITRAGES!$G220,H219),H219))</f>
        <v>0</v>
      </c>
      <c r="I220" s="545">
        <f t="shared" si="167"/>
        <v>645.78248</v>
      </c>
      <c r="J220" s="545"/>
      <c r="K220" s="545">
        <f>IF($M220="","", IF(ARBITRAGES!$G220&gt;0,IF(ARBITRAGES!$H220="*jup*",K219+ARBITRAGES!$G220,K219),K219))</f>
        <v>0</v>
      </c>
      <c r="L220" s="545">
        <f>IF($M220="","", IF(ARBITRAGES!$G220&gt;0,IF(ARBITRAGES!$H220="*aave*",L219+ARBITRAGES!$G220,L219),L219))</f>
        <v>0</v>
      </c>
      <c r="M220" s="540">
        <f>IF(ARBITRAGES!E220=0,"",ARBITRAGES!E220)</f>
        <v>45988</v>
      </c>
      <c r="N220" s="541">
        <f>IF(M220="","", SUM(A220:H220)+ARBITRAGES!$K$3)</f>
        <v>37467.52166</v>
      </c>
      <c r="O220" s="542">
        <f>IF(M220="","",PRIX!U220)</f>
        <v>50956.00987</v>
      </c>
      <c r="Q220" s="546"/>
      <c r="R220" s="546"/>
      <c r="S220" s="544">
        <f t="shared" si="2"/>
        <v>13488.48822</v>
      </c>
    </row>
    <row r="221">
      <c r="A221" s="545">
        <f>IF($M221="","", IF(ARBITRAGES!$G221&gt;0,IF(ARBITRAGES!$H221="btc",A220+ARBITRAGES!$G221,A220),A220))</f>
        <v>5999.429056</v>
      </c>
      <c r="B221" s="545">
        <f>IF($M221="","", IF(ARBITRAGES!$G221&gt;0,IF(ARBITRAGES!$H221="eth",B220+ARBITRAGES!$G221,B220),B220))</f>
        <v>5059.398762</v>
      </c>
      <c r="C221" s="545">
        <f>IF($M221="","", IF(ARBITRAGES!$G221&gt;0,IF(ARBITRAGES!$H221="ton",C220+ARBITRAGES!$G221,C220),C220))</f>
        <v>0</v>
      </c>
      <c r="D221" s="545">
        <f>IF($M221="","", IF(ARBITRAGES!$G221&gt;0,IF(ARBITRAGES!$H221="sol",D220+ARBITRAGES!$G221,D220),D220))</f>
        <v>4858.693837</v>
      </c>
      <c r="E221" s="545">
        <f>IF($M221="","", IF(ARBITRAGES!$G221&gt;0,IF(ARBITRAGES!$H221="tao",E220+ARBITRAGES!$G221,E220),E220))</f>
        <v>0</v>
      </c>
      <c r="F221" s="545">
        <f>IF($M221="","", IF(ARBITRAGES!$G221&gt;0,IF(ARBITRAGES!$H221="ron",F220+ARBITRAGES!$G221,F220),F220))</f>
        <v>0</v>
      </c>
      <c r="G221" s="545">
        <f>IF($M221="","", IF(ARBITRAGES!$G221&gt;0,IF(ARBITRAGES!$H221="link",G220+ARBITRAGES!$G221,G220),G220))</f>
        <v>0</v>
      </c>
      <c r="H221" s="545">
        <f>IF($M221="","", IF(ARBITRAGES!$G221&gt;0,IF(ARBITRAGES!$H221="doge",H220+ARBITRAGES!$G221,H220),H220))</f>
        <v>0</v>
      </c>
      <c r="I221" s="545">
        <f t="shared" si="167"/>
        <v>645.78248</v>
      </c>
      <c r="J221" s="545"/>
      <c r="K221" s="545">
        <f>IF($M221="","", IF(ARBITRAGES!$G221&gt;0,IF(ARBITRAGES!$H221="*jup*",K220+ARBITRAGES!$G221,K220),K220))</f>
        <v>0</v>
      </c>
      <c r="L221" s="545">
        <f>IF($M221="","", IF(ARBITRAGES!$G221&gt;0,IF(ARBITRAGES!$H221="*aave*",L220+ARBITRAGES!$G221,L220),L220))</f>
        <v>0</v>
      </c>
      <c r="M221" s="540">
        <f>IF(ARBITRAGES!E221=0,"",ARBITRAGES!E221)</f>
        <v>45989</v>
      </c>
      <c r="N221" s="541">
        <f>IF(M221="","", SUM(A221:H221)+ARBITRAGES!$K$3)</f>
        <v>37467.52166</v>
      </c>
      <c r="O221" s="542">
        <f>IF(M221="","",PRIX!U221)</f>
        <v>50952.25987</v>
      </c>
      <c r="Q221" s="546"/>
      <c r="R221" s="546"/>
      <c r="S221" s="544">
        <f t="shared" si="2"/>
        <v>13484.73822</v>
      </c>
    </row>
    <row r="222">
      <c r="A222" s="545">
        <f>IF($M222="","", IF(ARBITRAGES!$G222&gt;0,IF(ARBITRAGES!$H222="btc",A221+ARBITRAGES!$G222,A221),A221))</f>
        <v>5999.429056</v>
      </c>
      <c r="B222" s="545">
        <f>IF($M222="","", IF(ARBITRAGES!$G222&gt;0,IF(ARBITRAGES!$H222="eth",B221+ARBITRAGES!$G222,B221),B221))</f>
        <v>5059.398762</v>
      </c>
      <c r="C222" s="545">
        <f>IF($M222="","", IF(ARBITRAGES!$G222&gt;0,IF(ARBITRAGES!$H222="ton",C221+ARBITRAGES!$G222,C221),C221))</f>
        <v>0</v>
      </c>
      <c r="D222" s="545">
        <f>IF($M222="","", IF(ARBITRAGES!$G222&gt;0,IF(ARBITRAGES!$H222="sol",D221+ARBITRAGES!$G222,D221),D221))</f>
        <v>4858.693837</v>
      </c>
      <c r="E222" s="545">
        <f>IF($M222="","", IF(ARBITRAGES!$G222&gt;0,IF(ARBITRAGES!$H222="tao",E221+ARBITRAGES!$G222,E221),E221))</f>
        <v>0</v>
      </c>
      <c r="F222" s="545">
        <f>IF($M222="","", IF(ARBITRAGES!$G222&gt;0,IF(ARBITRAGES!$H222="ron",F221+ARBITRAGES!$G222,F221),F221))</f>
        <v>0</v>
      </c>
      <c r="G222" s="545">
        <f>IF($M222="","", IF(ARBITRAGES!$G222&gt;0,IF(ARBITRAGES!$H222="link",G221+ARBITRAGES!$G222,G221),G221))</f>
        <v>0</v>
      </c>
      <c r="H222" s="545">
        <f>IF($M222="","", IF(ARBITRAGES!$G222&gt;0,IF(ARBITRAGES!$H222="doge",H221+ARBITRAGES!$G222,H221),H221))</f>
        <v>0</v>
      </c>
      <c r="I222" s="545">
        <f t="shared" si="167"/>
        <v>645.78248</v>
      </c>
      <c r="J222" s="545"/>
      <c r="K222" s="545">
        <f>IF($M222="","", IF(ARBITRAGES!$G222&gt;0,IF(ARBITRAGES!$H222="*jup*",K221+ARBITRAGES!$G222,K221),K221))</f>
        <v>0</v>
      </c>
      <c r="L222" s="545">
        <f>IF($M222="","", IF(ARBITRAGES!$G222&gt;0,IF(ARBITRAGES!$H222="*aave*",L221+ARBITRAGES!$G222,L221),L221))</f>
        <v>0</v>
      </c>
      <c r="M222" s="540">
        <f>IF(ARBITRAGES!E222=0,"",ARBITRAGES!E222)</f>
        <v>45991</v>
      </c>
      <c r="N222" s="541">
        <f>IF(M222="","", SUM(A222:H222)+ARBITRAGES!$K$3)</f>
        <v>37467.52166</v>
      </c>
      <c r="O222" s="542">
        <f>IF(M222="","",PRIX!U222)</f>
        <v>47959.81892</v>
      </c>
      <c r="Q222" s="546"/>
      <c r="R222" s="546"/>
      <c r="S222" s="544">
        <f t="shared" si="2"/>
        <v>10492.29726</v>
      </c>
    </row>
    <row r="223">
      <c r="A223" s="545">
        <f>IF($M223="","", IF(ARBITRAGES!$G223&gt;0,IF(ARBITRAGES!$H223="btc",A222+ARBITRAGES!$G223,A222),A222))</f>
        <v>5999.429056</v>
      </c>
      <c r="B223" s="545">
        <f>IF($M223="","", IF(ARBITRAGES!$G223&gt;0,IF(ARBITRAGES!$H223="eth",B222+ARBITRAGES!$G223,B222),B222))</f>
        <v>5059.398762</v>
      </c>
      <c r="C223" s="545">
        <f>IF($M223="","", IF(ARBITRAGES!$G223&gt;0,IF(ARBITRAGES!$H223="ton",C222+ARBITRAGES!$G223,C222),C222))</f>
        <v>0</v>
      </c>
      <c r="D223" s="545">
        <f>IF($M223="","", IF(ARBITRAGES!$G223&gt;0,IF(ARBITRAGES!$H223="sol",D222+ARBITRAGES!$G223,D222),D222))</f>
        <v>4858.693837</v>
      </c>
      <c r="E223" s="545">
        <f>IF($M223="","", IF(ARBITRAGES!$G223&gt;0,IF(ARBITRAGES!$H223="tao",E222+ARBITRAGES!$G223,E222),E222))</f>
        <v>0</v>
      </c>
      <c r="F223" s="545">
        <f>IF($M223="","", IF(ARBITRAGES!$G223&gt;0,IF(ARBITRAGES!$H223="ron",F222+ARBITRAGES!$G223,F222),F222))</f>
        <v>0</v>
      </c>
      <c r="G223" s="545">
        <f>IF($M223="","", IF(ARBITRAGES!$G223&gt;0,IF(ARBITRAGES!$H223="link",G222+ARBITRAGES!$G223,G222),G222))</f>
        <v>0</v>
      </c>
      <c r="H223" s="545">
        <f>IF($M223="","", IF(ARBITRAGES!$G223&gt;0,IF(ARBITRAGES!$H223="doge",H222+ARBITRAGES!$G223,H222),H222))</f>
        <v>0</v>
      </c>
      <c r="I223" s="545">
        <f t="shared" si="167"/>
        <v>645.78248</v>
      </c>
      <c r="J223" s="545"/>
      <c r="K223" s="545">
        <f>IF($M223="","", IF(ARBITRAGES!$G223&gt;0,IF(ARBITRAGES!$H223="*jup*",K222+ARBITRAGES!$G223,K222),K222))</f>
        <v>0</v>
      </c>
      <c r="L223" s="545">
        <f>IF($M223="","", IF(ARBITRAGES!$G223&gt;0,IF(ARBITRAGES!$H223="*aave*",L222+ARBITRAGES!$G223,L222),L222))</f>
        <v>0</v>
      </c>
      <c r="M223" s="540">
        <f>IF(ARBITRAGES!E223=0,"",ARBITRAGES!E223)</f>
        <v>45992</v>
      </c>
      <c r="N223" s="541">
        <f>IF(M223="","", SUM(A223:H223)+ARBITRAGES!$K$3)</f>
        <v>37467.52166</v>
      </c>
      <c r="O223" s="542">
        <f>IF(M223="","",PRIX!U223)</f>
        <v>47966.31892</v>
      </c>
      <c r="Q223" s="546"/>
      <c r="R223" s="546"/>
      <c r="S223" s="544">
        <f t="shared" si="2"/>
        <v>10498.79726</v>
      </c>
    </row>
    <row r="224">
      <c r="A224" s="545">
        <f>IF($M224="","", IF(ARBITRAGES!$G224&gt;0,IF(ARBITRAGES!$H224="btc",A223+ARBITRAGES!$G224,A223),A223))</f>
        <v>5999.429056</v>
      </c>
      <c r="B224" s="545">
        <f>IF($M224="","", IF(ARBITRAGES!$G224&gt;0,IF(ARBITRAGES!$H224="eth",B223+ARBITRAGES!$G224,B223),B223))</f>
        <v>5059.398762</v>
      </c>
      <c r="C224" s="545">
        <f>IF($M224="","", IF(ARBITRAGES!$G224&gt;0,IF(ARBITRAGES!$H224="ton",C223+ARBITRAGES!$G224,C223),C223))</f>
        <v>0</v>
      </c>
      <c r="D224" s="545">
        <f>IF($M224="","", IF(ARBITRAGES!$G224&gt;0,IF(ARBITRAGES!$H224="sol",D223+ARBITRAGES!$G224,D223),D223))</f>
        <v>4858.693837</v>
      </c>
      <c r="E224" s="545">
        <f>IF($M224="","", IF(ARBITRAGES!$G224&gt;0,IF(ARBITRAGES!$H224="tao",E223+ARBITRAGES!$G224,E223),E223))</f>
        <v>0</v>
      </c>
      <c r="F224" s="545">
        <f>IF($M224="","", IF(ARBITRAGES!$G224&gt;0,IF(ARBITRAGES!$H224="ron",F223+ARBITRAGES!$G224,F223),F223))</f>
        <v>0</v>
      </c>
      <c r="G224" s="545">
        <f>IF($M224="","", IF(ARBITRAGES!$G224&gt;0,IF(ARBITRAGES!$H224="link",G223+ARBITRAGES!$G224,G223),G223))</f>
        <v>0</v>
      </c>
      <c r="H224" s="545">
        <f>IF($M224="","", IF(ARBITRAGES!$G224&gt;0,IF(ARBITRAGES!$H224="doge",H223+ARBITRAGES!$G224,H223),H223))</f>
        <v>0</v>
      </c>
      <c r="I224" s="545">
        <f t="shared" si="167"/>
        <v>645.78248</v>
      </c>
      <c r="J224" s="545"/>
      <c r="K224" s="545">
        <f>IF($M224="","", IF(ARBITRAGES!$G224&gt;0,IF(ARBITRAGES!$H224="*jup*",K223+ARBITRAGES!$G224,K223),K223))</f>
        <v>0</v>
      </c>
      <c r="L224" s="545">
        <f>IF($M224="","", IF(ARBITRAGES!$G224&gt;0,IF(ARBITRAGES!$H224="*aave*",L223+ARBITRAGES!$G224,L223),L223))</f>
        <v>0</v>
      </c>
      <c r="M224" s="540">
        <f>IF(ARBITRAGES!E224=0,"",ARBITRAGES!E224)</f>
        <v>45992</v>
      </c>
      <c r="N224" s="541">
        <f>IF(M224="","", SUM(A224:H224)+ARBITRAGES!$K$3)</f>
        <v>37467.52166</v>
      </c>
      <c r="O224" s="542">
        <f>IF(M224="","",PRIX!U224)</f>
        <v>47956.31892</v>
      </c>
      <c r="Q224" s="546"/>
      <c r="R224" s="546"/>
      <c r="S224" s="544">
        <f t="shared" si="2"/>
        <v>10488.79726</v>
      </c>
    </row>
    <row r="225">
      <c r="A225" s="545">
        <f>IF($M225="","", IF(ARBITRAGES!$G225&gt;0,IF(ARBITRAGES!$H225="btc",A224+ARBITRAGES!$G225,A224),A224))</f>
        <v>5999.429056</v>
      </c>
      <c r="B225" s="545">
        <f>IF($M225="","", IF(ARBITRAGES!$G225&gt;0,IF(ARBITRAGES!$H225="eth",B224+ARBITRAGES!$G225,B224),B224))</f>
        <v>5059.398762</v>
      </c>
      <c r="C225" s="545">
        <f>IF($M225="","", IF(ARBITRAGES!$G225&gt;0,IF(ARBITRAGES!$H225="ton",C224+ARBITRAGES!$G225,C224),C224))</f>
        <v>0</v>
      </c>
      <c r="D225" s="545">
        <f>IF($M225="","", IF(ARBITRAGES!$G225&gt;0,IF(ARBITRAGES!$H225="sol",D224+ARBITRAGES!$G225,D224),D224))</f>
        <v>4858.693837</v>
      </c>
      <c r="E225" s="545">
        <f>IF($M225="","", IF(ARBITRAGES!$G225&gt;0,IF(ARBITRAGES!$H225="tao",E224+ARBITRAGES!$G225,E224),E224))</f>
        <v>0</v>
      </c>
      <c r="F225" s="545">
        <f>IF($M225="","", IF(ARBITRAGES!$G225&gt;0,IF(ARBITRAGES!$H225="ron",F224+ARBITRAGES!$G225,F224),F224))</f>
        <v>0</v>
      </c>
      <c r="G225" s="545">
        <f>IF($M225="","", IF(ARBITRAGES!$G225&gt;0,IF(ARBITRAGES!$H225="link",G224+ARBITRAGES!$G225,G224),G224))</f>
        <v>0</v>
      </c>
      <c r="H225" s="545">
        <f>IF($M225="","", IF(ARBITRAGES!$G225&gt;0,IF(ARBITRAGES!$H225="doge",H224+ARBITRAGES!$G225,H224),H224))</f>
        <v>0</v>
      </c>
      <c r="I225" s="545"/>
      <c r="J225" s="545"/>
      <c r="K225" s="545"/>
      <c r="L225" s="545"/>
      <c r="M225" s="540">
        <f>IF(ARBITRAGES!E225=0,"",ARBITRAGES!E225)</f>
        <v>45992</v>
      </c>
      <c r="N225" s="541">
        <f>IF(M225="","", SUM(A225:H225)+ARBITRAGES!$K$3)</f>
        <v>37467.52166</v>
      </c>
      <c r="O225" s="542">
        <f>IF(M225="","",PRIX!U225)</f>
        <v>47958.32158</v>
      </c>
      <c r="Q225" s="546"/>
      <c r="R225" s="546"/>
      <c r="S225" s="544">
        <f t="shared" si="2"/>
        <v>10490.79992</v>
      </c>
    </row>
    <row r="226">
      <c r="A226" s="545">
        <f>IF($M226="","", IF(ARBITRAGES!$G226&gt;0,IF(ARBITRAGES!$H226="btc",A225+ARBITRAGES!$G226,A225),A225))</f>
        <v>5999.429056</v>
      </c>
      <c r="B226" s="545">
        <f>IF($M226="","", IF(ARBITRAGES!$G226&gt;0,IF(ARBITRAGES!$H226="eth",B225+ARBITRAGES!$G226,B225),B225))</f>
        <v>5059.398762</v>
      </c>
      <c r="C226" s="545">
        <f>IF($M226="","", IF(ARBITRAGES!$G226&gt;0,IF(ARBITRAGES!$H226="ton",C225+ARBITRAGES!$G226,C225),C225))</f>
        <v>0</v>
      </c>
      <c r="D226" s="545">
        <f>IF($M226="","", IF(ARBITRAGES!$G226&gt;0,IF(ARBITRAGES!$H226="sol",D225+ARBITRAGES!$G226,D225),D225))</f>
        <v>4858.693837</v>
      </c>
      <c r="E226" s="545">
        <f>IF($M226="","", IF(ARBITRAGES!$G226&gt;0,IF(ARBITRAGES!$H226="tao",E225+ARBITRAGES!$G226,E225),E225))</f>
        <v>0</v>
      </c>
      <c r="F226" s="545">
        <f>IF($M226="","", IF(ARBITRAGES!$G226&gt;0,IF(ARBITRAGES!$H226="ron",F225+ARBITRAGES!$G226,F225),F225))</f>
        <v>0</v>
      </c>
      <c r="G226" s="545">
        <f>IF($M226="","", IF(ARBITRAGES!$G226&gt;0,IF(ARBITRAGES!$H226="link",G225+ARBITRAGES!$G226,G225),G225))</f>
        <v>0</v>
      </c>
      <c r="H226" s="545">
        <f>IF($M226="","", IF(ARBITRAGES!$G226&gt;0,IF(ARBITRAGES!$H226="doge",H225+ARBITRAGES!$G226,H225),H225))</f>
        <v>0</v>
      </c>
      <c r="I226" s="545"/>
      <c r="J226" s="545"/>
      <c r="K226" s="545"/>
      <c r="L226" s="545"/>
      <c r="M226" s="540">
        <f>IF(ARBITRAGES!E226=0,"",ARBITRAGES!E226)</f>
        <v>45992</v>
      </c>
      <c r="N226" s="541">
        <f>IF(M226="","", SUM(A226:H226)+ARBITRAGES!$K$3)</f>
        <v>37467.52166</v>
      </c>
      <c r="O226" s="542">
        <f>IF(M226="","",PRIX!U226)</f>
        <v>49246.0262</v>
      </c>
      <c r="Q226" s="546"/>
      <c r="R226" s="546"/>
      <c r="S226" s="544">
        <f t="shared" si="2"/>
        <v>11778.50454</v>
      </c>
    </row>
    <row r="227">
      <c r="A227" s="545">
        <f>IF($M227="","", IF(ARBITRAGES!$G227&gt;0,IF(ARBITRAGES!$H227="btc",A226+ARBITRAGES!$G227,A226),A226))</f>
        <v>5999.429056</v>
      </c>
      <c r="B227" s="545">
        <f>IF($M227="","", IF(ARBITRAGES!$G227&gt;0,IF(ARBITRAGES!$H227="eth",B226+ARBITRAGES!$G227,B226),B226))</f>
        <v>5059.398762</v>
      </c>
      <c r="C227" s="545">
        <f>IF($M227="","", IF(ARBITRAGES!$G227&gt;0,IF(ARBITRAGES!$H227="ton",C226+ARBITRAGES!$G227,C226),C226))</f>
        <v>0</v>
      </c>
      <c r="D227" s="545">
        <f>IF($M227="","", IF(ARBITRAGES!$G227&gt;0,IF(ARBITRAGES!$H227="sol",D226+ARBITRAGES!$G227,D226),D226))</f>
        <v>4858.693837</v>
      </c>
      <c r="E227" s="545">
        <f>IF($M227="","", IF(ARBITRAGES!$G227&gt;0,IF(ARBITRAGES!$H227="tao",E226+ARBITRAGES!$G227,E226),E226))</f>
        <v>0</v>
      </c>
      <c r="F227" s="545">
        <f>IF($M227="","", IF(ARBITRAGES!$G227&gt;0,IF(ARBITRAGES!$H227="ron",F226+ARBITRAGES!$G227,F226),F226))</f>
        <v>0</v>
      </c>
      <c r="G227" s="545">
        <f>IF($M227="","", IF(ARBITRAGES!$G227&gt;0,IF(ARBITRAGES!$H227="link",G226+ARBITRAGES!$G227,G226),G226))</f>
        <v>0</v>
      </c>
      <c r="H227" s="545">
        <f>IF($M227="","", IF(ARBITRAGES!$G227&gt;0,IF(ARBITRAGES!$H227="doge",H226+ARBITRAGES!$G227,H226),H226))</f>
        <v>0</v>
      </c>
      <c r="I227" s="545"/>
      <c r="J227" s="545"/>
      <c r="K227" s="545"/>
      <c r="L227" s="545"/>
      <c r="M227" s="540">
        <f>IF(ARBITRAGES!E227=0,"",ARBITRAGES!E227)</f>
        <v>45993</v>
      </c>
      <c r="N227" s="541">
        <f>IF(M227="","", SUM(A227:H227)+ARBITRAGES!$K$3)</f>
        <v>37467.52166</v>
      </c>
      <c r="O227" s="542">
        <f>IF(M227="","",PRIX!U227)</f>
        <v>49246.0262</v>
      </c>
      <c r="Q227" s="546"/>
      <c r="R227" s="546"/>
      <c r="S227" s="544">
        <f t="shared" si="2"/>
        <v>11778.50454</v>
      </c>
    </row>
    <row r="228">
      <c r="A228" s="545">
        <f>IF($M228="","", IF(ARBITRAGES!$G228&gt;0,IF(ARBITRAGES!$H228="btc",A227+ARBITRAGES!$G228,A227),A227))</f>
        <v>5999.429056</v>
      </c>
      <c r="B228" s="545">
        <f>IF($M228="","", IF(ARBITRAGES!$G228&gt;0,IF(ARBITRAGES!$H228="eth",B227+ARBITRAGES!$G228,B227),B227))</f>
        <v>5059.398762</v>
      </c>
      <c r="C228" s="545">
        <f>IF($M228="","", IF(ARBITRAGES!$G228&gt;0,IF(ARBITRAGES!$H228="ton",C227+ARBITRAGES!$G228,C227),C227))</f>
        <v>0</v>
      </c>
      <c r="D228" s="545">
        <f>IF($M228="","", IF(ARBITRAGES!$G228&gt;0,IF(ARBITRAGES!$H228="sol",D227+ARBITRAGES!$G228,D227),D227))</f>
        <v>4858.693837</v>
      </c>
      <c r="E228" s="545">
        <f>IF($M228="","", IF(ARBITRAGES!$G228&gt;0,IF(ARBITRAGES!$H228="tao",E227+ARBITRAGES!$G228,E227),E227))</f>
        <v>0</v>
      </c>
      <c r="F228" s="545">
        <f>IF($M228="","", IF(ARBITRAGES!$G228&gt;0,IF(ARBITRAGES!$H228="ron",F227+ARBITRAGES!$G228,F227),F227))</f>
        <v>0</v>
      </c>
      <c r="G228" s="545">
        <f>IF($M228="","", IF(ARBITRAGES!$G228&gt;0,IF(ARBITRAGES!$H228="link",G227+ARBITRAGES!$G228,G227),G227))</f>
        <v>0</v>
      </c>
      <c r="H228" s="545">
        <f>IF($M228="","", IF(ARBITRAGES!$G228&gt;0,IF(ARBITRAGES!$H228="doge",H227+ARBITRAGES!$G228,H227),H227))</f>
        <v>0</v>
      </c>
      <c r="I228" s="545"/>
      <c r="J228" s="545"/>
      <c r="K228" s="545"/>
      <c r="L228" s="545"/>
      <c r="M228" s="540">
        <f>IF(ARBITRAGES!E228=0,"",ARBITRAGES!E228)</f>
        <v>45993</v>
      </c>
      <c r="N228" s="541">
        <f>IF(M228="","", SUM(A228:H228)+ARBITRAGES!$K$3)</f>
        <v>37467.52166</v>
      </c>
      <c r="O228" s="542">
        <f>IF(M228="","",PRIX!U228)</f>
        <v>50830.33496</v>
      </c>
      <c r="Q228" s="546"/>
      <c r="R228" s="546"/>
      <c r="S228" s="544">
        <f t="shared" si="2"/>
        <v>13362.8133</v>
      </c>
    </row>
    <row r="229">
      <c r="A229" s="545">
        <f>IF($M229="","", IF(ARBITRAGES!$G229&gt;0,IF(ARBITRAGES!$H229="btc",A228+ARBITRAGES!$G229,A228),A228))</f>
        <v>5999.429056</v>
      </c>
      <c r="B229" s="545">
        <f>IF($M229="","", IF(ARBITRAGES!$G229&gt;0,IF(ARBITRAGES!$H229="eth",B228+ARBITRAGES!$G229,B228),B228))</f>
        <v>5059.398762</v>
      </c>
      <c r="C229" s="545">
        <f>IF($M229="","", IF(ARBITRAGES!$G229&gt;0,IF(ARBITRAGES!$H229="ton",C228+ARBITRAGES!$G229,C228),C228))</f>
        <v>0</v>
      </c>
      <c r="D229" s="545">
        <f>IF($M229="","", IF(ARBITRAGES!$G229&gt;0,IF(ARBITRAGES!$H229="sol",D228+ARBITRAGES!$G229,D228),D228))</f>
        <v>4858.693837</v>
      </c>
      <c r="E229" s="545">
        <f>IF($M229="","", IF(ARBITRAGES!$G229&gt;0,IF(ARBITRAGES!$H229="tao",E228+ARBITRAGES!$G229,E228),E228))</f>
        <v>0</v>
      </c>
      <c r="F229" s="545">
        <f>IF($M229="","", IF(ARBITRAGES!$G229&gt;0,IF(ARBITRAGES!$H229="ron",F228+ARBITRAGES!$G229,F228),F228))</f>
        <v>0</v>
      </c>
      <c r="G229" s="545">
        <f>IF($M229="","", IF(ARBITRAGES!$G229&gt;0,IF(ARBITRAGES!$H229="link",G228+ARBITRAGES!$G229,G228),G228))</f>
        <v>0</v>
      </c>
      <c r="H229" s="545">
        <f>IF($M229="","", IF(ARBITRAGES!$G229&gt;0,IF(ARBITRAGES!$H229="doge",H228+ARBITRAGES!$G229,H228),H228))</f>
        <v>0</v>
      </c>
      <c r="I229" s="545"/>
      <c r="J229" s="545"/>
      <c r="K229" s="545"/>
      <c r="L229" s="545"/>
      <c r="M229" s="540">
        <f>IF(ARBITRAGES!E229=0,"",ARBITRAGES!E229)</f>
        <v>45993</v>
      </c>
      <c r="N229" s="541">
        <f>IF(M229="","", SUM(A229:H229)+ARBITRAGES!$K$3)</f>
        <v>37467.52166</v>
      </c>
      <c r="O229" s="542">
        <f>IF(M229="","",PRIX!U229)</f>
        <v>50830.30496</v>
      </c>
      <c r="Q229" s="546"/>
      <c r="R229" s="546"/>
      <c r="S229" s="544">
        <f t="shared" si="2"/>
        <v>13362.7833</v>
      </c>
    </row>
    <row r="230">
      <c r="A230" s="545">
        <f>IF($M230="","", IF(ARBITRAGES!$G230&gt;0,IF(ARBITRAGES!$H230="btc",A229+ARBITRAGES!$G230,A229),A229))</f>
        <v>5999.429056</v>
      </c>
      <c r="B230" s="545">
        <f>IF($M230="","", IF(ARBITRAGES!$G230&gt;0,IF(ARBITRAGES!$H230="eth",B229+ARBITRAGES!$G230,B229),B229))</f>
        <v>5059.398762</v>
      </c>
      <c r="C230" s="545">
        <f>IF($M230="","", IF(ARBITRAGES!$G230&gt;0,IF(ARBITRAGES!$H230="ton",C229+ARBITRAGES!$G230,C229),C229))</f>
        <v>0</v>
      </c>
      <c r="D230" s="545">
        <f>IF($M230="","", IF(ARBITRAGES!$G230&gt;0,IF(ARBITRAGES!$H230="sol",D229+ARBITRAGES!$G230,D229),D229))</f>
        <v>4858.693837</v>
      </c>
      <c r="E230" s="545">
        <f>IF($M230="","", IF(ARBITRAGES!$G230&gt;0,IF(ARBITRAGES!$H230="tao",E229+ARBITRAGES!$G230,E229),E229))</f>
        <v>0</v>
      </c>
      <c r="F230" s="545">
        <f>IF($M230="","", IF(ARBITRAGES!$G230&gt;0,IF(ARBITRAGES!$H230="ron",F229+ARBITRAGES!$G230,F229),F229))</f>
        <v>0</v>
      </c>
      <c r="G230" s="545">
        <f>IF($M230="","", IF(ARBITRAGES!$G230&gt;0,IF(ARBITRAGES!$H230="link",G229+ARBITRAGES!$G230,G229),G229))</f>
        <v>0</v>
      </c>
      <c r="H230" s="545">
        <f>IF($M230="","", IF(ARBITRAGES!$G230&gt;0,IF(ARBITRAGES!$H230="doge",H229+ARBITRAGES!$G230,H229),H229))</f>
        <v>0</v>
      </c>
      <c r="I230" s="545"/>
      <c r="J230" s="545"/>
      <c r="K230" s="545"/>
      <c r="L230" s="545"/>
      <c r="M230" s="540">
        <f>IF(ARBITRAGES!E230=0,"",ARBITRAGES!E230)</f>
        <v>45994</v>
      </c>
      <c r="N230" s="541">
        <f>IF(M230="","", SUM(A230:H230)+ARBITRAGES!$K$3)</f>
        <v>37467.52166</v>
      </c>
      <c r="O230" s="542">
        <f>IF(M230="","",PRIX!U230)</f>
        <v>50831.64544</v>
      </c>
      <c r="Q230" s="546"/>
      <c r="R230" s="546"/>
      <c r="S230" s="544">
        <f t="shared" si="2"/>
        <v>13364.12378</v>
      </c>
    </row>
    <row r="231">
      <c r="A231" s="545">
        <f>IF($M231="","", IF(ARBITRAGES!$G231&gt;0,IF(ARBITRAGES!$H231="btc",A230+ARBITRAGES!$G231,A230),A230))</f>
        <v>5999.429056</v>
      </c>
      <c r="B231" s="545">
        <f>IF($M231="","", IF(ARBITRAGES!$G231&gt;0,IF(ARBITRAGES!$H231="eth",B230+ARBITRAGES!$G231,B230),B230))</f>
        <v>5059.398762</v>
      </c>
      <c r="C231" s="545">
        <f>IF($M231="","", IF(ARBITRAGES!$G231&gt;0,IF(ARBITRAGES!$H231="ton",C230+ARBITRAGES!$G231,C230),C230))</f>
        <v>0</v>
      </c>
      <c r="D231" s="545">
        <f>IF($M231="","", IF(ARBITRAGES!$G231&gt;0,IF(ARBITRAGES!$H231="sol",D230+ARBITRAGES!$G231,D230),D230))</f>
        <v>4858.693837</v>
      </c>
      <c r="E231" s="545">
        <f>IF($M231="","", IF(ARBITRAGES!$G231&gt;0,IF(ARBITRAGES!$H231="tao",E230+ARBITRAGES!$G231,E230),E230))</f>
        <v>0</v>
      </c>
      <c r="F231" s="545">
        <f>IF($M231="","", IF(ARBITRAGES!$G231&gt;0,IF(ARBITRAGES!$H231="ron",F230+ARBITRAGES!$G231,F230),F230))</f>
        <v>0</v>
      </c>
      <c r="G231" s="545">
        <f>IF($M231="","", IF(ARBITRAGES!$G231&gt;0,IF(ARBITRAGES!$H231="link",G230+ARBITRAGES!$G231,G230),G230))</f>
        <v>0</v>
      </c>
      <c r="H231" s="545">
        <f>IF($M231="","", IF(ARBITRAGES!$G231&gt;0,IF(ARBITRAGES!$H231="doge",H230+ARBITRAGES!$G231,H230),H230))</f>
        <v>0</v>
      </c>
      <c r="I231" s="545"/>
      <c r="J231" s="545"/>
      <c r="K231" s="545"/>
      <c r="L231" s="545"/>
      <c r="M231" s="540">
        <f>IF(ARBITRAGES!E231=0,"",ARBITRAGES!E231)</f>
        <v>45994</v>
      </c>
      <c r="N231" s="541">
        <f>IF(M231="","", SUM(A231:H231)+ARBITRAGES!$K$3)</f>
        <v>37467.52166</v>
      </c>
      <c r="O231" s="542">
        <f>IF(M231="","",PRIX!U231)</f>
        <v>50831.64544</v>
      </c>
      <c r="Q231" s="546"/>
      <c r="R231" s="546"/>
      <c r="S231" s="544">
        <f t="shared" si="2"/>
        <v>13364.12378</v>
      </c>
    </row>
    <row r="232">
      <c r="A232" s="545">
        <f>IF($M232="","", IF(ARBITRAGES!$G232&gt;0,IF(ARBITRAGES!$H232="btc",A231+ARBITRAGES!$G232,A231),A231))</f>
        <v>5999.429056</v>
      </c>
      <c r="B232" s="545">
        <f>IF($M232="","", IF(ARBITRAGES!$G232&gt;0,IF(ARBITRAGES!$H232="eth",B231+ARBITRAGES!$G232,B231),B231))</f>
        <v>5059.398762</v>
      </c>
      <c r="C232" s="545">
        <f>IF($M232="","", IF(ARBITRAGES!$G232&gt;0,IF(ARBITRAGES!$H232="ton",C231+ARBITRAGES!$G232,C231),C231))</f>
        <v>0</v>
      </c>
      <c r="D232" s="545">
        <f>IF($M232="","", IF(ARBITRAGES!$G232&gt;0,IF(ARBITRAGES!$H232="sol",D231+ARBITRAGES!$G232,D231),D231))</f>
        <v>4858.693837</v>
      </c>
      <c r="E232" s="545">
        <f>IF($M232="","", IF(ARBITRAGES!$G232&gt;0,IF(ARBITRAGES!$H232="tao",E231+ARBITRAGES!$G232,E231),E231))</f>
        <v>0</v>
      </c>
      <c r="F232" s="545">
        <f>IF($M232="","", IF(ARBITRAGES!$G232&gt;0,IF(ARBITRAGES!$H232="ron",F231+ARBITRAGES!$G232,F231),F231))</f>
        <v>0</v>
      </c>
      <c r="G232" s="545">
        <f>IF($M232="","", IF(ARBITRAGES!$G232&gt;0,IF(ARBITRAGES!$H232="link",G231+ARBITRAGES!$G232,G231),G231))</f>
        <v>0</v>
      </c>
      <c r="H232" s="545">
        <f>IF($M232="","", IF(ARBITRAGES!$G232&gt;0,IF(ARBITRAGES!$H232="doge",H231+ARBITRAGES!$G232,H231),H231))</f>
        <v>0</v>
      </c>
      <c r="I232" s="545"/>
      <c r="J232" s="545"/>
      <c r="K232" s="545"/>
      <c r="L232" s="545"/>
      <c r="M232" s="540">
        <f>IF(ARBITRAGES!E232=0,"",ARBITRAGES!E232)</f>
        <v>45995</v>
      </c>
      <c r="N232" s="541">
        <f>IF(M232="","", SUM(A232:H232)+ARBITRAGES!$K$3)</f>
        <v>37467.52166</v>
      </c>
      <c r="O232" s="542">
        <f>IF(M232="","",PRIX!U232)</f>
        <v>50951.29748</v>
      </c>
      <c r="Q232" s="546"/>
      <c r="R232" s="546"/>
      <c r="S232" s="544">
        <f t="shared" si="2"/>
        <v>13483.77582</v>
      </c>
    </row>
    <row r="233">
      <c r="A233" s="545">
        <f>IF($M233="","", IF(ARBITRAGES!$G233&gt;0,IF(ARBITRAGES!$H233="btc",A232+ARBITRAGES!$G233,A232),A232))</f>
        <v>5999.429056</v>
      </c>
      <c r="B233" s="545">
        <f>IF($M233="","", IF(ARBITRAGES!$G233&gt;0,IF(ARBITRAGES!$H233="eth",B232+ARBITRAGES!$G233,B232),B232))</f>
        <v>5059.398762</v>
      </c>
      <c r="C233" s="545">
        <f>IF($M233="","", IF(ARBITRAGES!$G233&gt;0,IF(ARBITRAGES!$H233="ton",C232+ARBITRAGES!$G233,C232),C232))</f>
        <v>0</v>
      </c>
      <c r="D233" s="545">
        <f>IF($M233="","", IF(ARBITRAGES!$G233&gt;0,IF(ARBITRAGES!$H233="sol",D232+ARBITRAGES!$G233,D232),D232))</f>
        <v>4858.693837</v>
      </c>
      <c r="E233" s="545">
        <f>IF($M233="","", IF(ARBITRAGES!$G233&gt;0,IF(ARBITRAGES!$H233="tao",E232+ARBITRAGES!$G233,E232),E232))</f>
        <v>0</v>
      </c>
      <c r="F233" s="545">
        <f>IF($M233="","", IF(ARBITRAGES!$G233&gt;0,IF(ARBITRAGES!$H233="ron",F232+ARBITRAGES!$G233,F232),F232))</f>
        <v>0</v>
      </c>
      <c r="G233" s="545">
        <f>IF($M233="","", IF(ARBITRAGES!$G233&gt;0,IF(ARBITRAGES!$H233="link",G232+ARBITRAGES!$G233,G232),G232))</f>
        <v>0</v>
      </c>
      <c r="H233" s="545">
        <f>IF($M233="","", IF(ARBITRAGES!$G233&gt;0,IF(ARBITRAGES!$H233="doge",H232+ARBITRAGES!$G233,H232),H232))</f>
        <v>0</v>
      </c>
      <c r="I233" s="545"/>
      <c r="J233" s="545"/>
      <c r="K233" s="545"/>
      <c r="L233" s="545"/>
      <c r="M233" s="540">
        <f>IF(ARBITRAGES!E233=0,"",ARBITRAGES!E233)</f>
        <v>46001</v>
      </c>
      <c r="N233" s="541">
        <f>IF(M233="","", SUM(A233:H233)+ARBITRAGES!$K$3)</f>
        <v>37467.52166</v>
      </c>
      <c r="O233" s="542">
        <f>IF(M233="","",PRIX!U233)</f>
        <v>51375.74074</v>
      </c>
      <c r="Q233" s="546"/>
      <c r="R233" s="546"/>
      <c r="S233" s="544">
        <f t="shared" si="2"/>
        <v>13908.21909</v>
      </c>
    </row>
    <row r="234">
      <c r="A234" s="545">
        <f>IF($M234="","", IF(ARBITRAGES!$G234&gt;0,IF(ARBITRAGES!$H234="btc",A233+ARBITRAGES!$G234,A233),A233))</f>
        <v>5999.429056</v>
      </c>
      <c r="B234" s="545">
        <f>IF($M234="","", IF(ARBITRAGES!$G234&gt;0,IF(ARBITRAGES!$H234="eth",B233+ARBITRAGES!$G234,B233),B233))</f>
        <v>5059.398762</v>
      </c>
      <c r="C234" s="545">
        <f>IF($M234="","", IF(ARBITRAGES!$G234&gt;0,IF(ARBITRAGES!$H234="ton",C233+ARBITRAGES!$G234,C233),C233))</f>
        <v>0</v>
      </c>
      <c r="D234" s="545">
        <f>IF($M234="","", IF(ARBITRAGES!$G234&gt;0,IF(ARBITRAGES!$H234="sol",D233+ARBITRAGES!$G234,D233),D233))</f>
        <v>4858.693837</v>
      </c>
      <c r="E234" s="545">
        <f>IF($M234="","", IF(ARBITRAGES!$G234&gt;0,IF(ARBITRAGES!$H234="tao",E233+ARBITRAGES!$G234,E233),E233))</f>
        <v>0</v>
      </c>
      <c r="F234" s="545">
        <f>IF($M234="","", IF(ARBITRAGES!$G234&gt;0,IF(ARBITRAGES!$H234="ron",F233+ARBITRAGES!$G234,F233),F233))</f>
        <v>0</v>
      </c>
      <c r="G234" s="545">
        <f>IF($M234="","", IF(ARBITRAGES!$G234&gt;0,IF(ARBITRAGES!$H234="link",G233+ARBITRAGES!$G234,G233),G233))</f>
        <v>0</v>
      </c>
      <c r="H234" s="545">
        <f>IF($M234="","", IF(ARBITRAGES!$G234&gt;0,IF(ARBITRAGES!$H234="doge",H233+ARBITRAGES!$G234,H233),H233))</f>
        <v>0</v>
      </c>
      <c r="I234" s="545"/>
      <c r="J234" s="545"/>
      <c r="K234" s="545"/>
      <c r="L234" s="545"/>
      <c r="M234" s="540">
        <f>IF(ARBITRAGES!E234=0,"",ARBITRAGES!E234)</f>
        <v>46026</v>
      </c>
      <c r="N234" s="541">
        <f>IF(M234="","", SUM(A234:H234)+ARBITRAGES!$K$3)</f>
        <v>37467.52166</v>
      </c>
      <c r="O234" s="542">
        <f>IF(M234="","",PRIX!U234)</f>
        <v>50259.36039</v>
      </c>
      <c r="Q234" s="546"/>
      <c r="R234" s="546"/>
      <c r="S234" s="544">
        <f t="shared" si="2"/>
        <v>12791.83874</v>
      </c>
    </row>
    <row r="235">
      <c r="A235" s="545">
        <f>IF($M235="","", IF(ARBITRAGES!$G235&gt;0,IF(ARBITRAGES!$H235="btc",A234+ARBITRAGES!$G235,A234),A234))</f>
        <v>5999.429056</v>
      </c>
      <c r="B235" s="545">
        <f>IF($M235="","", IF(ARBITRAGES!$G235&gt;0,IF(ARBITRAGES!$H235="eth",B234+ARBITRAGES!$G235,B234),B234))</f>
        <v>5059.398762</v>
      </c>
      <c r="C235" s="545">
        <f>IF($M235="","", IF(ARBITRAGES!$G235&gt;0,IF(ARBITRAGES!$H235="ton",C234+ARBITRAGES!$G235,C234),C234))</f>
        <v>0</v>
      </c>
      <c r="D235" s="545">
        <f>IF($M235="","", IF(ARBITRAGES!$G235&gt;0,IF(ARBITRAGES!$H235="sol",D234+ARBITRAGES!$G235,D234),D234))</f>
        <v>4858.693837</v>
      </c>
      <c r="E235" s="545">
        <f>IF($M235="","", IF(ARBITRAGES!$G235&gt;0,IF(ARBITRAGES!$H235="tao",E234+ARBITRAGES!$G235,E234),E234))</f>
        <v>0</v>
      </c>
      <c r="F235" s="545">
        <f>IF($M235="","", IF(ARBITRAGES!$G235&gt;0,IF(ARBITRAGES!$H235="ron",F234+ARBITRAGES!$G235,F234),F234))</f>
        <v>0</v>
      </c>
      <c r="G235" s="545">
        <f>IF($M235="","", IF(ARBITRAGES!$G235&gt;0,IF(ARBITRAGES!$H235="link",G234+ARBITRAGES!$G235,G234),G234))</f>
        <v>0</v>
      </c>
      <c r="H235" s="545">
        <f>IF($M235="","", IF(ARBITRAGES!$G235&gt;0,IF(ARBITRAGES!$H235="doge",H234+ARBITRAGES!$G235,H234),H234))</f>
        <v>0</v>
      </c>
      <c r="I235" s="545"/>
      <c r="J235" s="545"/>
      <c r="K235" s="545"/>
      <c r="L235" s="545"/>
      <c r="M235" s="540">
        <f>IF(ARBITRAGES!E235=0,"",ARBITRAGES!E235)</f>
        <v>46039</v>
      </c>
      <c r="N235" s="541">
        <f>IF(M235="","", SUM(A235:H235)+ARBITRAGES!$K$3)</f>
        <v>37467.52166</v>
      </c>
      <c r="O235" s="542">
        <f>IF(M235="","",PRIX!U235)</f>
        <v>50101.19299</v>
      </c>
      <c r="Q235" s="546"/>
      <c r="R235" s="546"/>
      <c r="S235" s="544">
        <f t="shared" si="2"/>
        <v>12633.67133</v>
      </c>
    </row>
    <row r="236">
      <c r="A236" s="545">
        <f>IF($M236="","", IF(ARBITRAGES!$G236&gt;0,IF(ARBITRAGES!$H236="btc",A235+ARBITRAGES!$G236,A235),A235))</f>
        <v>5999.429056</v>
      </c>
      <c r="B236" s="545">
        <f>IF($M236="","", IF(ARBITRAGES!$G236&gt;0,IF(ARBITRAGES!$H236="eth",B235+ARBITRAGES!$G236,B235),B235))</f>
        <v>5059.398762</v>
      </c>
      <c r="C236" s="545">
        <f>IF($M236="","", IF(ARBITRAGES!$G236&gt;0,IF(ARBITRAGES!$H236="ton",C235+ARBITRAGES!$G236,C235),C235))</f>
        <v>0</v>
      </c>
      <c r="D236" s="545">
        <f>IF($M236="","", IF(ARBITRAGES!$G236&gt;0,IF(ARBITRAGES!$H236="sol",D235+ARBITRAGES!$G236,D235),D235))</f>
        <v>4858.693837</v>
      </c>
      <c r="E236" s="545">
        <f>IF($M236="","", IF(ARBITRAGES!$G236&gt;0,IF(ARBITRAGES!$H236="tao",E235+ARBITRAGES!$G236,E235),E235))</f>
        <v>0</v>
      </c>
      <c r="F236" s="545">
        <f>IF($M236="","", IF(ARBITRAGES!$G236&gt;0,IF(ARBITRAGES!$H236="ron",F235+ARBITRAGES!$G236,F235),F235))</f>
        <v>0</v>
      </c>
      <c r="G236" s="545">
        <f>IF($M236="","", IF(ARBITRAGES!$G236&gt;0,IF(ARBITRAGES!$H236="link",G235+ARBITRAGES!$G236,G235),G235))</f>
        <v>0</v>
      </c>
      <c r="H236" s="545">
        <f>IF($M236="","", IF(ARBITRAGES!$G236&gt;0,IF(ARBITRAGES!$H236="doge",H235+ARBITRAGES!$G236,H235),H235))</f>
        <v>0</v>
      </c>
      <c r="I236" s="545"/>
      <c r="J236" s="545"/>
      <c r="K236" s="545"/>
      <c r="L236" s="545"/>
      <c r="M236" s="540">
        <f>IF(ARBITRAGES!E236=0,"",ARBITRAGES!E236)</f>
        <v>46045</v>
      </c>
      <c r="N236" s="541">
        <f>IF(M236="","", SUM(A236:H236)+ARBITRAGES!$K$3)</f>
        <v>37467.52166</v>
      </c>
      <c r="O236" s="542">
        <f>IF(M236="","",PRIX!U236)</f>
        <v>48792.21262</v>
      </c>
      <c r="Q236" s="546"/>
      <c r="R236" s="546"/>
      <c r="S236" s="544">
        <f t="shared" si="2"/>
        <v>11324.69097</v>
      </c>
    </row>
    <row r="237">
      <c r="A237" s="545">
        <f>IF($M237="","", IF(ARBITRAGES!$G237&gt;0,IF(ARBITRAGES!$H237="btc",A236+ARBITRAGES!$G237,A236),A236))</f>
        <v>5999.429056</v>
      </c>
      <c r="B237" s="545">
        <f>IF($M237="","", IF(ARBITRAGES!$G237&gt;0,IF(ARBITRAGES!$H237="eth",B236+ARBITRAGES!$G237,B236),B236))</f>
        <v>5059.398762</v>
      </c>
      <c r="C237" s="545">
        <f>IF($M237="","", IF(ARBITRAGES!$G237&gt;0,IF(ARBITRAGES!$H237="ton",C236+ARBITRAGES!$G237,C236),C236))</f>
        <v>0</v>
      </c>
      <c r="D237" s="545">
        <f>IF($M237="","", IF(ARBITRAGES!$G237&gt;0,IF(ARBITRAGES!$H237="sol",D236+ARBITRAGES!$G237,D236),D236))</f>
        <v>4858.693837</v>
      </c>
      <c r="E237" s="545">
        <f>IF($M237="","", IF(ARBITRAGES!$G237&gt;0,IF(ARBITRAGES!$H237="tao",E236+ARBITRAGES!$G237,E236),E236))</f>
        <v>0</v>
      </c>
      <c r="F237" s="545">
        <f>IF($M237="","", IF(ARBITRAGES!$G237&gt;0,IF(ARBITRAGES!$H237="ron",F236+ARBITRAGES!$G237,F236),F236))</f>
        <v>0</v>
      </c>
      <c r="G237" s="545">
        <f>IF($M237="","", IF(ARBITRAGES!$G237&gt;0,IF(ARBITRAGES!$H237="link",G236+ARBITRAGES!$G237,G236),G236))</f>
        <v>0</v>
      </c>
      <c r="H237" s="545">
        <f>IF($M237="","", IF(ARBITRAGES!$G237&gt;0,IF(ARBITRAGES!$H237="doge",H236+ARBITRAGES!$G237,H236),H236))</f>
        <v>0</v>
      </c>
      <c r="I237" s="545"/>
      <c r="J237" s="545"/>
      <c r="K237" s="545"/>
      <c r="L237" s="545"/>
      <c r="M237" s="540">
        <f>IF(ARBITRAGES!E237=0,"",ARBITRAGES!E237)</f>
        <v>46046</v>
      </c>
      <c r="N237" s="541">
        <f>IF(M237="","", SUM(A237:H237)+ARBITRAGES!$K$3)</f>
        <v>37467.52166</v>
      </c>
      <c r="O237" s="542">
        <f>IF(M237="","",PRIX!U237)</f>
        <v>48800.56917</v>
      </c>
      <c r="Q237" s="546"/>
      <c r="R237" s="546"/>
      <c r="S237" s="544">
        <f t="shared" si="2"/>
        <v>11333.04751</v>
      </c>
    </row>
    <row r="238">
      <c r="A238" s="545">
        <f>IF($M238="","", IF(ARBITRAGES!$G238&gt;0,IF(ARBITRAGES!$H238="btc",A237+ARBITRAGES!$G238,A237),A237))</f>
        <v>5999.429056</v>
      </c>
      <c r="B238" s="545">
        <f>IF($M238="","", IF(ARBITRAGES!$G238&gt;0,IF(ARBITRAGES!$H238="eth",B237+ARBITRAGES!$G238,B237),B237))</f>
        <v>5059.398762</v>
      </c>
      <c r="C238" s="545">
        <f>IF($M238="","", IF(ARBITRAGES!$G238&gt;0,IF(ARBITRAGES!$H238="ton",C237+ARBITRAGES!$G238,C237),C237))</f>
        <v>0</v>
      </c>
      <c r="D238" s="545">
        <f>IF($M238="","", IF(ARBITRAGES!$G238&gt;0,IF(ARBITRAGES!$H238="sol",D237+ARBITRAGES!$G238,D237),D237))</f>
        <v>4858.693837</v>
      </c>
      <c r="E238" s="545">
        <f>IF($M238="","", IF(ARBITRAGES!$G238&gt;0,IF(ARBITRAGES!$H238="tao",E237+ARBITRAGES!$G238,E237),E237))</f>
        <v>0</v>
      </c>
      <c r="F238" s="545">
        <f>IF($M238="","", IF(ARBITRAGES!$G238&gt;0,IF(ARBITRAGES!$H238="ron",F237+ARBITRAGES!$G238,F237),F237))</f>
        <v>0</v>
      </c>
      <c r="G238" s="545">
        <f>IF($M238="","", IF(ARBITRAGES!$G238&gt;0,IF(ARBITRAGES!$H238="link",G237+ARBITRAGES!$G238,G237),G237))</f>
        <v>0</v>
      </c>
      <c r="H238" s="545">
        <f>IF($M238="","", IF(ARBITRAGES!$G238&gt;0,IF(ARBITRAGES!$H238="doge",H237+ARBITRAGES!$G238,H237),H237))</f>
        <v>0</v>
      </c>
      <c r="I238" s="545"/>
      <c r="J238" s="545"/>
      <c r="K238" s="545"/>
      <c r="L238" s="545"/>
      <c r="M238" s="540">
        <f>IF(ARBITRAGES!E238=0,"",ARBITRAGES!E238)</f>
        <v>46047</v>
      </c>
      <c r="N238" s="541">
        <f>IF(M238="","", SUM(A238:H238)+ARBITRAGES!$K$3)</f>
        <v>37467.52166</v>
      </c>
      <c r="O238" s="542">
        <f>IF(M238="","",PRIX!U238)</f>
        <v>48287.00358</v>
      </c>
      <c r="Q238" s="546"/>
      <c r="R238" s="546"/>
      <c r="S238" s="544">
        <f t="shared" si="2"/>
        <v>10819.48192</v>
      </c>
    </row>
    <row r="239">
      <c r="A239" s="545">
        <f>IF($M239="","", IF(ARBITRAGES!$G239&gt;0,IF(ARBITRAGES!$H239="btc",A238+ARBITRAGES!$G239,A238),A238))</f>
        <v>5999.429056</v>
      </c>
      <c r="B239" s="545">
        <f>IF($M239="","", IF(ARBITRAGES!$G239&gt;0,IF(ARBITRAGES!$H239="eth",B238+ARBITRAGES!$G239,B238),B238))</f>
        <v>5059.398762</v>
      </c>
      <c r="C239" s="545">
        <f>IF($M239="","", IF(ARBITRAGES!$G239&gt;0,IF(ARBITRAGES!$H239="ondo",C238+ARBITRAGES!$G239,C238),C238))</f>
        <v>0</v>
      </c>
      <c r="D239" s="545">
        <f>IF($M239="","", IF(ARBITRAGES!$G239&gt;0,IF(ARBITRAGES!$H239="sol",D238+ARBITRAGES!$G239,D238),D238))</f>
        <v>4858.693837</v>
      </c>
      <c r="E239" s="545">
        <f>IF($M239="","", IF(ARBITRAGES!$G239&gt;0,IF(ARBITRAGES!$H239="tao",E238+ARBITRAGES!$G239,E238),E238))</f>
        <v>0</v>
      </c>
      <c r="F239" s="545">
        <f>IF($M239="","", IF(ARBITRAGES!$G239&gt;0,IF(ARBITRAGES!$H239="ron",F238+ARBITRAGES!$G239,F238),F238))</f>
        <v>0</v>
      </c>
      <c r="G239" s="545">
        <f>IF($M239="","", IF(ARBITRAGES!$G239&gt;0,IF(ARBITRAGES!$H239="link",G238+ARBITRAGES!$G239,G238),G238))</f>
        <v>0</v>
      </c>
      <c r="H239" s="545">
        <f>IF($M239="","", IF(ARBITRAGES!$G239&gt;0,IF(ARBITRAGES!$H239="doge",H238+ARBITRAGES!$G239,H238),H238))</f>
        <v>0</v>
      </c>
      <c r="I239" s="545"/>
      <c r="J239" s="545"/>
      <c r="K239" s="545"/>
      <c r="L239" s="545"/>
      <c r="M239" s="540">
        <f>IF(ARBITRAGES!E239=0,"",ARBITRAGES!E239)</f>
        <v>46048</v>
      </c>
      <c r="N239" s="541">
        <f>IF(M239="","", SUM(A239:H239)+ARBITRAGES!$K$3)</f>
        <v>37467.52166</v>
      </c>
      <c r="O239" s="542">
        <f>IF(M239="","",PRIX!U239)</f>
        <v>48288.14644</v>
      </c>
      <c r="Q239" s="546"/>
      <c r="R239" s="546"/>
      <c r="S239" s="544">
        <f t="shared" si="2"/>
        <v>10820.62478</v>
      </c>
    </row>
    <row r="240">
      <c r="A240" s="545">
        <f>IF($M240="","", IF(ARBITRAGES!$G240&gt;0,IF(ARBITRAGES!$H240="btc",A239+ARBITRAGES!$G240,A239),A239))</f>
        <v>5999.429056</v>
      </c>
      <c r="B240" s="545">
        <f>IF($M240="","", IF(ARBITRAGES!$G240&gt;0,IF(ARBITRAGES!$H240="eth",B239+ARBITRAGES!$G240,B239),B239))</f>
        <v>5059.398762</v>
      </c>
      <c r="C240" s="545">
        <f>IF($M240="","", IF(ARBITRAGES!$G240&gt;0,IF(ARBITRAGES!$H240="ondo",C239+ARBITRAGES!$G240,C239),C239))</f>
        <v>0</v>
      </c>
      <c r="D240" s="545">
        <f>IF($M240="","", IF(ARBITRAGES!$G240&gt;0,IF(ARBITRAGES!$H240="sol",D239+ARBITRAGES!$G240,D239),D239))</f>
        <v>4858.693837</v>
      </c>
      <c r="E240" s="545">
        <f>IF($M240="","", IF(ARBITRAGES!$G240&gt;0,IF(ARBITRAGES!$H240="tao",E239+ARBITRAGES!$G240,E239),E239))</f>
        <v>0</v>
      </c>
      <c r="F240" s="545">
        <f>IF($M240="","", IF(ARBITRAGES!$G240&gt;0,IF(ARBITRAGES!$H240="ron",F239+ARBITRAGES!$G240,F239),F239))</f>
        <v>0</v>
      </c>
      <c r="G240" s="545">
        <f>IF($M240="","", IF(ARBITRAGES!$G240&gt;0,IF(ARBITRAGES!$H240="link",G239+ARBITRAGES!$G240,G239),G239))</f>
        <v>0</v>
      </c>
      <c r="H240" s="545">
        <f>IF($M240="","", IF(ARBITRAGES!$G240&gt;0,IF(ARBITRAGES!$H240="doge",H239+ARBITRAGES!$G240,H239),H239))</f>
        <v>0</v>
      </c>
      <c r="I240" s="545"/>
      <c r="J240" s="545"/>
      <c r="K240" s="545"/>
      <c r="L240" s="545"/>
      <c r="M240" s="540">
        <f>IF(ARBITRAGES!E240=0,"",ARBITRAGES!E240)</f>
        <v>46053</v>
      </c>
      <c r="N240" s="541">
        <f>IF(M240="","", SUM(A240:H240)+ARBITRAGES!$K$3)</f>
        <v>37467.52166</v>
      </c>
      <c r="O240" s="542">
        <f>IF(M240="","",PRIX!U240)</f>
        <v>46066.89183</v>
      </c>
      <c r="Q240" s="546"/>
      <c r="R240" s="546"/>
      <c r="S240" s="544">
        <f t="shared" si="2"/>
        <v>8599.37018</v>
      </c>
    </row>
    <row r="241">
      <c r="A241" s="545">
        <f>IF($M241="","", IF(ARBITRAGES!$G241&gt;0,IF(ARBITRAGES!$H241="btc",A240+ARBITRAGES!$G241,A240),A240))</f>
        <v>5999.429056</v>
      </c>
      <c r="B241" s="545">
        <f>IF($M241="","", IF(ARBITRAGES!$G241&gt;0,IF(ARBITRAGES!$H241="eth",B240+ARBITRAGES!$G241,B240),B240))</f>
        <v>5059.398762</v>
      </c>
      <c r="C241" s="545">
        <f>IF($M241="","", IF(ARBITRAGES!$G241&gt;0,IF(ARBITRAGES!$H241="ondo",C240+ARBITRAGES!$G241,C240),C240))</f>
        <v>0</v>
      </c>
      <c r="D241" s="545">
        <f>IF($M241="","", IF(ARBITRAGES!$G241&gt;0,IF(ARBITRAGES!$H241="sol",D240+ARBITRAGES!$G241,D240),D240))</f>
        <v>4858.693837</v>
      </c>
      <c r="E241" s="545">
        <f>IF($M241="","", IF(ARBITRAGES!$G241&gt;0,IF(ARBITRAGES!$H241="tao",E240+ARBITRAGES!$G241,E240),E240))</f>
        <v>0</v>
      </c>
      <c r="F241" s="545">
        <f>IF($M241="","", IF(ARBITRAGES!$G241&gt;0,IF(ARBITRAGES!$H241="ron",F240+ARBITRAGES!$G241,F240),F240))</f>
        <v>0</v>
      </c>
      <c r="G241" s="545">
        <f>IF($M241="","", IF(ARBITRAGES!$G241&gt;0,IF(ARBITRAGES!$H241="link",G240+ARBITRAGES!$G241,G240),G240))</f>
        <v>0</v>
      </c>
      <c r="H241" s="545">
        <f>IF($M241="","", IF(ARBITRAGES!$G241&gt;0,IF(ARBITRAGES!$H241="doge",H240+ARBITRAGES!$G241,H240),H240))</f>
        <v>0</v>
      </c>
      <c r="I241" s="545"/>
      <c r="J241" s="545"/>
      <c r="K241" s="545"/>
      <c r="L241" s="545"/>
      <c r="M241" s="540">
        <f>IF(ARBITRAGES!E241=0,"",ARBITRAGES!E241)</f>
        <v>46053</v>
      </c>
      <c r="N241" s="541">
        <f>IF(M241="","", SUM(A241:H241)+ARBITRAGES!$K$3)</f>
        <v>37467.52166</v>
      </c>
      <c r="O241" s="542">
        <f>IF(M241="","",PRIX!U241)</f>
        <v>46069.89183</v>
      </c>
      <c r="Q241" s="546"/>
      <c r="R241" s="546"/>
      <c r="S241" s="544">
        <f t="shared" si="2"/>
        <v>8602.37018</v>
      </c>
    </row>
    <row r="242">
      <c r="A242" s="545">
        <f>IF($M242="","", IF(ARBITRAGES!$G242&gt;0,IF(ARBITRAGES!$H242="btc",A241+ARBITRAGES!$G242,A241),A241))</f>
        <v>5999.429056</v>
      </c>
      <c r="B242" s="545">
        <f>IF($M242="","", IF(ARBITRAGES!$G242&gt;0,IF(ARBITRAGES!$H242="eth",B241+ARBITRAGES!$G242,B241),B241))</f>
        <v>5059.398762</v>
      </c>
      <c r="C242" s="545">
        <f>IF($M242="","", IF(ARBITRAGES!$G242&gt;0,IF(ARBITRAGES!$H242="ondo",C241+ARBITRAGES!$G242,C241),C241))</f>
        <v>0</v>
      </c>
      <c r="D242" s="545">
        <f>IF($M242="","", IF(ARBITRAGES!$G242&gt;0,IF(ARBITRAGES!$H242="sol",D241+ARBITRAGES!$G242,D241),D241))</f>
        <v>4858.693837</v>
      </c>
      <c r="E242" s="545">
        <f>IF($M242="","", IF(ARBITRAGES!$G242&gt;0,IF(ARBITRAGES!$H242="tao",E241+ARBITRAGES!$G242,E241),E241))</f>
        <v>0</v>
      </c>
      <c r="F242" s="545">
        <f>IF($M242="","", IF(ARBITRAGES!$G242&gt;0,IF(ARBITRAGES!$H242="ron",F241+ARBITRAGES!$G242,F241),F241))</f>
        <v>0</v>
      </c>
      <c r="G242" s="545">
        <f>IF($M242="","", IF(ARBITRAGES!$G242&gt;0,IF(ARBITRAGES!$H242="link",G241+ARBITRAGES!$G242,G241),G241))</f>
        <v>0</v>
      </c>
      <c r="H242" s="545">
        <f>IF($M242="","", IF(ARBITRAGES!$G242&gt;0,IF(ARBITRAGES!$H242="doge",H241+ARBITRAGES!$G242,H241),H241))</f>
        <v>0</v>
      </c>
      <c r="I242" s="545"/>
      <c r="J242" s="545"/>
      <c r="K242" s="545"/>
      <c r="L242" s="545"/>
      <c r="M242" s="540">
        <f>IF(ARBITRAGES!E242=0,"",ARBITRAGES!E242)</f>
        <v>46053</v>
      </c>
      <c r="N242" s="541">
        <f>IF(M242="","", SUM(A242:H242)+ARBITRAGES!$K$3)</f>
        <v>37467.52166</v>
      </c>
      <c r="O242" s="542">
        <f>IF(M242="","",PRIX!U242)</f>
        <v>46067.51836</v>
      </c>
      <c r="Q242" s="546"/>
      <c r="R242" s="546"/>
      <c r="S242" s="544">
        <f t="shared" si="2"/>
        <v>8599.996708</v>
      </c>
    </row>
    <row r="243">
      <c r="A243" s="545">
        <f>IF($M243="","", IF(ARBITRAGES!$G243&gt;0,IF(ARBITRAGES!$H243="btc",A242+ARBITRAGES!$G243,A242),A242))</f>
        <v>5999.429056</v>
      </c>
      <c r="B243" s="545">
        <f>IF($M243="","", IF(ARBITRAGES!$G243&gt;0,IF(ARBITRAGES!$H243="eth",B242+ARBITRAGES!$G243,B242),B242))</f>
        <v>5059.398762</v>
      </c>
      <c r="C243" s="545">
        <f>IF($M243="","", IF(ARBITRAGES!$G243&gt;0,IF(ARBITRAGES!$H243="ondo",C242+ARBITRAGES!$G243,C242),C242))</f>
        <v>0</v>
      </c>
      <c r="D243" s="545">
        <f>IF($M243="","", IF(ARBITRAGES!$G243&gt;0,IF(ARBITRAGES!$H243="sol",D242+ARBITRAGES!$G243,D242),D242))</f>
        <v>4858.693837</v>
      </c>
      <c r="E243" s="545">
        <f>IF($M243="","", IF(ARBITRAGES!$G243&gt;0,IF(ARBITRAGES!$H243="tao",E242+ARBITRAGES!$G243,E242),E242))</f>
        <v>0</v>
      </c>
      <c r="F243" s="545">
        <f>IF($M243="","", IF(ARBITRAGES!$G243&gt;0,IF(ARBITRAGES!$H243="ron",F242+ARBITRAGES!$G243,F242),F242))</f>
        <v>0</v>
      </c>
      <c r="G243" s="545">
        <f>IF($M243="","", IF(ARBITRAGES!$G243&gt;0,IF(ARBITRAGES!$H243="link",G242+ARBITRAGES!$G243,G242),G242))</f>
        <v>0</v>
      </c>
      <c r="H243" s="545">
        <f>IF($M243="","", IF(ARBITRAGES!$G243&gt;0,IF(ARBITRAGES!$H243="doge",H242+ARBITRAGES!$G243,H242),H242))</f>
        <v>0</v>
      </c>
      <c r="I243" s="545"/>
      <c r="J243" s="545"/>
      <c r="K243" s="545"/>
      <c r="L243" s="545"/>
      <c r="M243" s="540">
        <f>IF(ARBITRAGES!E243=0,"",ARBITRAGES!E243)</f>
        <v>46053</v>
      </c>
      <c r="N243" s="541">
        <f>IF(M243="","", SUM(A243:H243)+ARBITRAGES!$K$3)</f>
        <v>37467.52166</v>
      </c>
      <c r="O243" s="542">
        <f>IF(M243="","",PRIX!U243)</f>
        <v>46171.79903</v>
      </c>
      <c r="Q243" s="546"/>
      <c r="R243" s="546"/>
      <c r="S243" s="547"/>
    </row>
    <row r="244">
      <c r="A244" s="545">
        <f>IF($M244="","", IF(ARBITRAGES!$G244&gt;0,IF(ARBITRAGES!$H244="btc",A243+ARBITRAGES!$G244,A243),A243))</f>
        <v>5999.429056</v>
      </c>
      <c r="B244" s="545">
        <f>IF($M244="","", IF(ARBITRAGES!$G244&gt;0,IF(ARBITRAGES!$H244="eth",B243+ARBITRAGES!$G244,B243),B243))</f>
        <v>5059.398762</v>
      </c>
      <c r="C244" s="545">
        <f>IF($M244="","", IF(ARBITRAGES!$G244&gt;0,IF(ARBITRAGES!$H244="ondo",C243+ARBITRAGES!$G244,C243),C243))</f>
        <v>0</v>
      </c>
      <c r="D244" s="545">
        <f>IF($M244="","", IF(ARBITRAGES!$G244&gt;0,IF(ARBITRAGES!$H244="sol",D243+ARBITRAGES!$G244,D243),D243))</f>
        <v>4858.693837</v>
      </c>
      <c r="E244" s="545">
        <f>IF($M244="","", IF(ARBITRAGES!$G244&gt;0,IF(ARBITRAGES!$H244="tao",E243+ARBITRAGES!$G244,E243),E243))</f>
        <v>0</v>
      </c>
      <c r="F244" s="545">
        <f>IF($M244="","", IF(ARBITRAGES!$G244&gt;0,IF(ARBITRAGES!$H244="ron",F243+ARBITRAGES!$G244,F243),F243))</f>
        <v>0</v>
      </c>
      <c r="G244" s="545">
        <f>IF($M244="","", IF(ARBITRAGES!$G244&gt;0,IF(ARBITRAGES!$H244="link",G243+ARBITRAGES!$G244,G243),G243))</f>
        <v>0</v>
      </c>
      <c r="H244" s="545">
        <f>IF($M244="","", IF(ARBITRAGES!$G244&gt;0,IF(ARBITRAGES!$H244="doge",H243+ARBITRAGES!$G244,H243),H243))</f>
        <v>0</v>
      </c>
      <c r="I244" s="545"/>
      <c r="J244" s="545"/>
      <c r="K244" s="545"/>
      <c r="L244" s="545"/>
      <c r="M244" s="540">
        <f>IF(ARBITRAGES!E244=0,"",ARBITRAGES!E244)</f>
        <v>46053</v>
      </c>
      <c r="N244" s="541">
        <f>IF(M244="","", SUM(A244:H244)+ARBITRAGES!$K$3)</f>
        <v>37467.52166</v>
      </c>
      <c r="O244" s="542">
        <f>IF(M244="","",PRIX!U244)</f>
        <v>46182.13503</v>
      </c>
      <c r="Q244" s="546"/>
      <c r="R244" s="546"/>
      <c r="S244" s="547"/>
    </row>
    <row r="245">
      <c r="A245" s="545">
        <f>IF($M245="","", IF(ARBITRAGES!$G245&gt;0,IF(ARBITRAGES!$H245="btc",A244+ARBITRAGES!$G245,A244),A244))</f>
        <v>5999.429056</v>
      </c>
      <c r="B245" s="545">
        <f>IF($M245="","", IF(ARBITRAGES!$G245&gt;0,IF(ARBITRAGES!$H245="eth",B244+ARBITRAGES!$G245,B244),B244))</f>
        <v>5059.398762</v>
      </c>
      <c r="C245" s="545">
        <f>IF($M245="","", IF(ARBITRAGES!$G245&gt;0,IF(ARBITRAGES!$H245="ondo",C244+ARBITRAGES!$G245,C244),C244))</f>
        <v>0</v>
      </c>
      <c r="D245" s="545">
        <f>IF($M245="","", IF(ARBITRAGES!$G245&gt;0,IF(ARBITRAGES!$H245="sol",D244+ARBITRAGES!$G245,D244),D244))</f>
        <v>4858.693837</v>
      </c>
      <c r="E245" s="545">
        <f>IF($M245="","", IF(ARBITRAGES!$G245&gt;0,IF(ARBITRAGES!$H245="tao",E244+ARBITRAGES!$G245,E244),E244))</f>
        <v>0</v>
      </c>
      <c r="F245" s="545">
        <f>IF($M245="","", IF(ARBITRAGES!$G245&gt;0,IF(ARBITRAGES!$H245="ron",F244+ARBITRAGES!$G245,F244),F244))</f>
        <v>0</v>
      </c>
      <c r="G245" s="545">
        <f>IF($M245="","", IF(ARBITRAGES!$G245&gt;0,IF(ARBITRAGES!$H245="link",G244+ARBITRAGES!$G245,G244),G244))</f>
        <v>0</v>
      </c>
      <c r="H245" s="545">
        <f>IF($M245="","", IF(ARBITRAGES!$G245&gt;0,IF(ARBITRAGES!$H245="doge",H244+ARBITRAGES!$G245,H244),H244))</f>
        <v>0</v>
      </c>
      <c r="I245" s="545"/>
      <c r="J245" s="545"/>
      <c r="K245" s="545"/>
      <c r="L245" s="545"/>
      <c r="M245" s="540">
        <f>IF(ARBITRAGES!E245=0,"",ARBITRAGES!E245)</f>
        <v>46053</v>
      </c>
      <c r="N245" s="541">
        <f>IF(M245="","", SUM(A245:H245)+ARBITRAGES!$K$3)</f>
        <v>37467.52166</v>
      </c>
      <c r="O245" s="542">
        <f>IF(M245="","",PRIX!U245)</f>
        <v>46201.04503</v>
      </c>
      <c r="Q245" s="546"/>
      <c r="R245" s="546"/>
      <c r="S245" s="547"/>
    </row>
    <row r="246">
      <c r="A246" s="545">
        <f>IF($M246="","", IF(ARBITRAGES!$G246&gt;0,IF(ARBITRAGES!$H246="btc",A245+ARBITRAGES!$G246,A245),A245))</f>
        <v>5999.429056</v>
      </c>
      <c r="B246" s="545">
        <f>IF($M246="","", IF(ARBITRAGES!$G246&gt;0,IF(ARBITRAGES!$H246="eth",B245+ARBITRAGES!$G246,B245),B245))</f>
        <v>5059.398762</v>
      </c>
      <c r="C246" s="545">
        <f>IF($M246="","", IF(ARBITRAGES!$G246&gt;0,IF(ARBITRAGES!$H246="ondo",C245+ARBITRAGES!$G246,C245),C245))</f>
        <v>0</v>
      </c>
      <c r="D246" s="545">
        <f>IF($M246="","", IF(ARBITRAGES!$G246&gt;0,IF(ARBITRAGES!$H246="sol",D245+ARBITRAGES!$G246,D245),D245))</f>
        <v>4858.693837</v>
      </c>
      <c r="E246" s="545">
        <f>IF($M246="","", IF(ARBITRAGES!$G246&gt;0,IF(ARBITRAGES!$H246="tao",E245+ARBITRAGES!$G246,E245),E245))</f>
        <v>0</v>
      </c>
      <c r="F246" s="545">
        <f>IF($M246="","", IF(ARBITRAGES!$G246&gt;0,IF(ARBITRAGES!$H246="ron",F245+ARBITRAGES!$G246,F245),F245))</f>
        <v>0</v>
      </c>
      <c r="G246" s="545">
        <f>IF($M246="","", IF(ARBITRAGES!$G246&gt;0,IF(ARBITRAGES!$H246="link",G245+ARBITRAGES!$G246,G245),G245))</f>
        <v>0</v>
      </c>
      <c r="H246" s="545">
        <f>IF($M246="","", IF(ARBITRAGES!$G246&gt;0,IF(ARBITRAGES!$H246="doge",H245+ARBITRAGES!$G246,H245),H245))</f>
        <v>0</v>
      </c>
      <c r="I246" s="545"/>
      <c r="J246" s="545"/>
      <c r="K246" s="545"/>
      <c r="L246" s="545"/>
      <c r="M246" s="540">
        <f>IF(ARBITRAGES!E246=0,"",ARBITRAGES!E246)</f>
        <v>46053</v>
      </c>
      <c r="N246" s="541">
        <f>IF(M246="","", SUM(A246:H246)+ARBITRAGES!$K$3)</f>
        <v>37467.52166</v>
      </c>
      <c r="O246" s="542">
        <f>IF(M246="","",PRIX!U246)</f>
        <v>46201.04504</v>
      </c>
      <c r="Q246" s="546"/>
      <c r="R246" s="546"/>
      <c r="S246" s="547"/>
    </row>
    <row r="247">
      <c r="A247" s="545">
        <f>IF($M247="","", IF(ARBITRAGES!$G247&gt;0,IF(ARBITRAGES!$H247="btc",A246+ARBITRAGES!$G247,A246),A246))</f>
        <v>5999.429056</v>
      </c>
      <c r="B247" s="545">
        <f>IF($M247="","", IF(ARBITRAGES!$G247&gt;0,IF(ARBITRAGES!$H247="eth",B246+ARBITRAGES!$G247,B246),B246))</f>
        <v>5059.398762</v>
      </c>
      <c r="C247" s="545">
        <f>IF($M247="","", IF(ARBITRAGES!$G247&gt;0,IF(ARBITRAGES!$H247="ondo",C246+ARBITRAGES!$G247,C246),C246))</f>
        <v>0</v>
      </c>
      <c r="D247" s="545">
        <f>IF($M247="","", IF(ARBITRAGES!$G247&gt;0,IF(ARBITRAGES!$H247="sol",D246+ARBITRAGES!$G247,D246),D246))</f>
        <v>4858.693837</v>
      </c>
      <c r="E247" s="545">
        <f>IF($M247="","", IF(ARBITRAGES!$G247&gt;0,IF(ARBITRAGES!$H247="tao",E246+ARBITRAGES!$G247,E246),E246))</f>
        <v>0</v>
      </c>
      <c r="F247" s="545">
        <f>IF($M247="","", IF(ARBITRAGES!$G247&gt;0,IF(ARBITRAGES!$H247="ron",F246+ARBITRAGES!$G247,F246),F246))</f>
        <v>0</v>
      </c>
      <c r="G247" s="545">
        <f>IF($M247="","", IF(ARBITRAGES!$G247&gt;0,IF(ARBITRAGES!$H247="link",G246+ARBITRAGES!$G247,G246),G246))</f>
        <v>0</v>
      </c>
      <c r="H247" s="545">
        <f>IF($M247="","", IF(ARBITRAGES!$G247&gt;0,IF(ARBITRAGES!$H247="doge",H246+ARBITRAGES!$G247,H246),H246))</f>
        <v>0</v>
      </c>
      <c r="I247" s="545"/>
      <c r="J247" s="545"/>
      <c r="K247" s="545"/>
      <c r="L247" s="545"/>
      <c r="M247" s="540">
        <f>IF(ARBITRAGES!E247=0,"",ARBITRAGES!E247)</f>
        <v>46054</v>
      </c>
      <c r="N247" s="541">
        <f>IF(M247="","", SUM(A247:H247)+ARBITRAGES!$K$3)</f>
        <v>37467.52166</v>
      </c>
      <c r="O247" s="542">
        <f>IF(M247="","",PRIX!U247)</f>
        <v>43898.21918</v>
      </c>
      <c r="Q247" s="546"/>
      <c r="R247" s="546"/>
      <c r="S247" s="547"/>
    </row>
    <row r="248">
      <c r="A248" s="545">
        <f>IF($M248="","", IF(ARBITRAGES!$G248&gt;0,IF(ARBITRAGES!$H248="btc",A247+ARBITRAGES!$G248,A247),A247))</f>
        <v>5999.429056</v>
      </c>
      <c r="B248" s="545">
        <f>IF($M248="","", IF(ARBITRAGES!$G248&gt;0,IF(ARBITRAGES!$H248="eth",B247+ARBITRAGES!$G248,B247),B247))</f>
        <v>5059.398762</v>
      </c>
      <c r="C248" s="545">
        <f>IF($M248="","", IF(ARBITRAGES!$G248&gt;0,IF(ARBITRAGES!$H248="ondo",C247+ARBITRAGES!$G248,C247),C247))</f>
        <v>0</v>
      </c>
      <c r="D248" s="545">
        <f>IF($M248="","", IF(ARBITRAGES!$G248&gt;0,IF(ARBITRAGES!$H248="sol",D247+ARBITRAGES!$G248,D247),D247))</f>
        <v>4858.693837</v>
      </c>
      <c r="E248" s="545">
        <f>IF($M248="","", IF(ARBITRAGES!$G248&gt;0,IF(ARBITRAGES!$H248="tao",E247+ARBITRAGES!$G248,E247),E247))</f>
        <v>0</v>
      </c>
      <c r="F248" s="545">
        <f>IF($M248="","", IF(ARBITRAGES!$G248&gt;0,IF(ARBITRAGES!$H248="ron",F247+ARBITRAGES!$G248,F247),F247))</f>
        <v>0</v>
      </c>
      <c r="G248" s="545">
        <f>IF($M248="","", IF(ARBITRAGES!$G248&gt;0,IF(ARBITRAGES!$H248="link",G247+ARBITRAGES!$G248,G247),G247))</f>
        <v>0</v>
      </c>
      <c r="H248" s="545">
        <f>IF($M248="","", IF(ARBITRAGES!$G248&gt;0,IF(ARBITRAGES!$H248="doge",H247+ARBITRAGES!$G248,H247),H247))</f>
        <v>0</v>
      </c>
      <c r="I248" s="545"/>
      <c r="J248" s="545"/>
      <c r="K248" s="545"/>
      <c r="L248" s="545"/>
      <c r="M248" s="540">
        <f>IF(ARBITRAGES!E248=0,"",ARBITRAGES!E248)</f>
        <v>46054</v>
      </c>
      <c r="N248" s="541">
        <f>IF(M248="","", SUM(A248:H248)+ARBITRAGES!$K$3)</f>
        <v>37467.52166</v>
      </c>
      <c r="O248" s="542">
        <f>IF(M248="","",PRIX!U248)</f>
        <v>43900.66599</v>
      </c>
      <c r="Q248" s="546"/>
      <c r="R248" s="546"/>
      <c r="S248" s="547"/>
    </row>
    <row r="249">
      <c r="A249" s="545">
        <f>IF($M249="","", IF(ARBITRAGES!$G249&gt;0,IF(ARBITRAGES!$H249="btc",A248+ARBITRAGES!$G249,A248),A248))</f>
        <v>5999.429056</v>
      </c>
      <c r="B249" s="545">
        <f>IF($M249="","", IF(ARBITRAGES!$G249&gt;0,IF(ARBITRAGES!$H249="eth",B248+ARBITRAGES!$G249,B248),B248))</f>
        <v>5059.398762</v>
      </c>
      <c r="C249" s="545">
        <f>IF($M249="","", IF(ARBITRAGES!$G249&gt;0,IF(ARBITRAGES!$H249="ondo",C248+ARBITRAGES!$G249,C248),C248))</f>
        <v>0</v>
      </c>
      <c r="D249" s="545">
        <f>IF($M249="","", IF(ARBITRAGES!$G249&gt;0,IF(ARBITRAGES!$H249="sol",D248+ARBITRAGES!$G249,D248),D248))</f>
        <v>4858.693837</v>
      </c>
      <c r="E249" s="545">
        <f>IF($M249="","", IF(ARBITRAGES!$G249&gt;0,IF(ARBITRAGES!$H249="tao",E248+ARBITRAGES!$G249,E248),E248))</f>
        <v>0</v>
      </c>
      <c r="F249" s="545">
        <f>IF($M249="","", IF(ARBITRAGES!$G249&gt;0,IF(ARBITRAGES!$H249="ron",F248+ARBITRAGES!$G249,F248),F248))</f>
        <v>0</v>
      </c>
      <c r="G249" s="545">
        <f>IF($M249="","", IF(ARBITRAGES!$G249&gt;0,IF(ARBITRAGES!$H249="link",G248+ARBITRAGES!$G249,G248),G248))</f>
        <v>0</v>
      </c>
      <c r="H249" s="545">
        <f>IF($M249="","", IF(ARBITRAGES!$G249&gt;0,IF(ARBITRAGES!$H249="doge",H248+ARBITRAGES!$G249,H248),H248))</f>
        <v>0</v>
      </c>
      <c r="I249" s="545"/>
      <c r="J249" s="545"/>
      <c r="K249" s="545"/>
      <c r="L249" s="545"/>
      <c r="M249" s="540">
        <f>IF(ARBITRAGES!E249=0,"",ARBITRAGES!E249)</f>
        <v>46054</v>
      </c>
      <c r="N249" s="541">
        <f>IF(M249="","", SUM(A249:H249)+ARBITRAGES!$K$3)</f>
        <v>37467.52166</v>
      </c>
      <c r="O249" s="542">
        <f>IF(M249="","",PRIX!U249)</f>
        <v>43915.66599</v>
      </c>
      <c r="Q249" s="546"/>
      <c r="R249" s="546"/>
      <c r="S249" s="547"/>
    </row>
    <row r="250">
      <c r="A250" s="545">
        <f>IF($M250="","", IF(ARBITRAGES!$G250&gt;0,IF(ARBITRAGES!$H250="btc",A249+ARBITRAGES!$G250,A249),A249))</f>
        <v>5999.429056</v>
      </c>
      <c r="B250" s="545">
        <f>IF($M250="","", IF(ARBITRAGES!$G250&gt;0,IF(ARBITRAGES!$H250="eth",B249+ARBITRAGES!$G250,B249),B249))</f>
        <v>5059.398762</v>
      </c>
      <c r="C250" s="545">
        <f>IF($M250="","", IF(ARBITRAGES!$G250&gt;0,IF(ARBITRAGES!$H250="ondo",C249+ARBITRAGES!$G250,C249),C249))</f>
        <v>0</v>
      </c>
      <c r="D250" s="545">
        <f>IF($M250="","", IF(ARBITRAGES!$G250&gt;0,IF(ARBITRAGES!$H250="sol",D249+ARBITRAGES!$G250,D249),D249))</f>
        <v>4858.693837</v>
      </c>
      <c r="E250" s="545">
        <f>IF($M250="","", IF(ARBITRAGES!$G250&gt;0,IF(ARBITRAGES!$H250="tao",E249+ARBITRAGES!$G250,E249),E249))</f>
        <v>0</v>
      </c>
      <c r="F250" s="545">
        <f>IF($M250="","", IF(ARBITRAGES!$G250&gt;0,IF(ARBITRAGES!$H250="ron",F249+ARBITRAGES!$G250,F249),F249))</f>
        <v>0</v>
      </c>
      <c r="G250" s="545">
        <f>IF($M250="","", IF(ARBITRAGES!$G250&gt;0,IF(ARBITRAGES!$H250="link",G249+ARBITRAGES!$G250,G249),G249))</f>
        <v>0</v>
      </c>
      <c r="H250" s="545">
        <f>IF($M250="","", IF(ARBITRAGES!$G250&gt;0,IF(ARBITRAGES!$H250="doge",H249+ARBITRAGES!$G250,H249),H249))</f>
        <v>0</v>
      </c>
      <c r="I250" s="545"/>
      <c r="J250" s="545"/>
      <c r="K250" s="545"/>
      <c r="L250" s="545"/>
      <c r="M250" s="540">
        <f>IF(ARBITRAGES!E250=0,"",ARBITRAGES!E250)</f>
        <v>46055</v>
      </c>
      <c r="N250" s="541">
        <f>IF(M250="","", SUM(A250:H250)+ARBITRAGES!$K$3)</f>
        <v>37467.52166</v>
      </c>
      <c r="O250" s="542">
        <f>IF(M250="","",PRIX!U250)</f>
        <v>43048.78345</v>
      </c>
      <c r="Q250" s="546"/>
      <c r="R250" s="546"/>
      <c r="S250" s="547"/>
    </row>
    <row r="251">
      <c r="A251" s="545">
        <f>IF($M251="","", IF(ARBITRAGES!$G251&gt;0,IF(ARBITRAGES!$H251="btc",A250+ARBITRAGES!$G251,A250),A250))</f>
        <v>5999.429056</v>
      </c>
      <c r="B251" s="545">
        <f>IF($M251="","", IF(ARBITRAGES!$G251&gt;0,IF(ARBITRAGES!$H251="eth",B250+ARBITRAGES!$G251,B250),B250))</f>
        <v>5059.398762</v>
      </c>
      <c r="C251" s="545">
        <f>IF($M251="","", IF(ARBITRAGES!$G251&gt;0,IF(ARBITRAGES!$H251="ondo",C250+ARBITRAGES!$G251,C250),C250))</f>
        <v>0</v>
      </c>
      <c r="D251" s="545">
        <f>IF($M251="","", IF(ARBITRAGES!$G251&gt;0,IF(ARBITRAGES!$H251="sol",D250+ARBITRAGES!$G251,D250),D250))</f>
        <v>4858.693837</v>
      </c>
      <c r="E251" s="545">
        <f>IF($M251="","", IF(ARBITRAGES!$G251&gt;0,IF(ARBITRAGES!$H251="tao",E250+ARBITRAGES!$G251,E250),E250))</f>
        <v>0</v>
      </c>
      <c r="F251" s="545">
        <f>IF($M251="","", IF(ARBITRAGES!$G251&gt;0,IF(ARBITRAGES!$H251="ron",F250+ARBITRAGES!$G251,F250),F250))</f>
        <v>0</v>
      </c>
      <c r="G251" s="545">
        <f>IF($M251="","", IF(ARBITRAGES!$G251&gt;0,IF(ARBITRAGES!$H251="link",G250+ARBITRAGES!$G251,G250),G250))</f>
        <v>0</v>
      </c>
      <c r="H251" s="545">
        <f>IF($M251="","", IF(ARBITRAGES!$G251&gt;0,IF(ARBITRAGES!$H251="doge",H250+ARBITRAGES!$G251,H250),H250))</f>
        <v>0</v>
      </c>
      <c r="I251" s="545"/>
      <c r="J251" s="545"/>
      <c r="K251" s="545"/>
      <c r="L251" s="545"/>
      <c r="M251" s="540">
        <f>IF(ARBITRAGES!E251=0,"",ARBITRAGES!E251)</f>
        <v>46055</v>
      </c>
      <c r="N251" s="541">
        <f>IF(M251="","", SUM(A251:H251)+ARBITRAGES!$K$3)</f>
        <v>37467.52166</v>
      </c>
      <c r="O251" s="542">
        <f>IF(M251="","",PRIX!U251)</f>
        <v>43055.9418</v>
      </c>
      <c r="Q251" s="546"/>
      <c r="R251" s="546"/>
      <c r="S251" s="547"/>
    </row>
    <row r="252">
      <c r="A252" s="545">
        <f>IF($M252="","", IF(ARBITRAGES!$G252&gt;0,IF(ARBITRAGES!$H252="btc",A251+ARBITRAGES!$G252,A251),A251))</f>
        <v>5999.429056</v>
      </c>
      <c r="B252" s="545">
        <f>IF($M252="","", IF(ARBITRAGES!$G252&gt;0,IF(ARBITRAGES!$H252="eth",B251+ARBITRAGES!$G252,B251),B251))</f>
        <v>5059.398762</v>
      </c>
      <c r="C252" s="545">
        <f>IF($M252="","", IF(ARBITRAGES!$G252&gt;0,IF(ARBITRAGES!$H252="ondo",C251+ARBITRAGES!$G252,C251),C251))</f>
        <v>0</v>
      </c>
      <c r="D252" s="545">
        <f>IF($M252="","", IF(ARBITRAGES!$G252&gt;0,IF(ARBITRAGES!$H252="sol",D251+ARBITRAGES!$G252,D251),D251))</f>
        <v>4858.693837</v>
      </c>
      <c r="E252" s="545">
        <f>IF($M252="","", IF(ARBITRAGES!$G252&gt;0,IF(ARBITRAGES!$H252="tao",E251+ARBITRAGES!$G252,E251),E251))</f>
        <v>0</v>
      </c>
      <c r="F252" s="545">
        <f>IF($M252="","", IF(ARBITRAGES!$G252&gt;0,IF(ARBITRAGES!$H252="ron",F251+ARBITRAGES!$G252,F251),F251))</f>
        <v>0</v>
      </c>
      <c r="G252" s="545">
        <f>IF($M252="","", IF(ARBITRAGES!$G252&gt;0,IF(ARBITRAGES!$H252="link",G251+ARBITRAGES!$G252,G251),G251))</f>
        <v>0</v>
      </c>
      <c r="H252" s="545">
        <f>IF($M252="","", IF(ARBITRAGES!$G252&gt;0,IF(ARBITRAGES!$H252="doge",H251+ARBITRAGES!$G252,H251),H251))</f>
        <v>0</v>
      </c>
      <c r="I252" s="545"/>
      <c r="J252" s="545"/>
      <c r="K252" s="545"/>
      <c r="L252" s="545"/>
      <c r="M252" s="540">
        <f>IF(ARBITRAGES!E252=0,"",ARBITRAGES!E252)</f>
        <v>46055</v>
      </c>
      <c r="N252" s="541">
        <f>IF(M252="","", SUM(A252:H252)+ARBITRAGES!$K$3)</f>
        <v>37467.52166</v>
      </c>
      <c r="O252" s="542">
        <f>IF(M252="","",PRIX!U252)</f>
        <v>43055.9418</v>
      </c>
      <c r="Q252" s="546"/>
      <c r="R252" s="546"/>
      <c r="S252" s="547"/>
    </row>
    <row r="253">
      <c r="A253" s="545">
        <f>IF($M253="","", IF(ARBITRAGES!$G253&gt;0,IF(ARBITRAGES!$H253="btc",A252+ARBITRAGES!$G253,A252),A252))</f>
        <v>5999.429056</v>
      </c>
      <c r="B253" s="545">
        <f>IF($M253="","", IF(ARBITRAGES!$G253&gt;0,IF(ARBITRAGES!$H253="eth",B252+ARBITRAGES!$G253,B252),B252))</f>
        <v>5059.398762</v>
      </c>
      <c r="C253" s="545">
        <f>IF($M253="","", IF(ARBITRAGES!$G253&gt;0,IF(ARBITRAGES!$H253="ondo",C252+ARBITRAGES!$G253,C252),C252))</f>
        <v>0</v>
      </c>
      <c r="D253" s="545">
        <f>IF($M253="","", IF(ARBITRAGES!$G253&gt;0,IF(ARBITRAGES!$H253="sol",D252+ARBITRAGES!$G253,D252),D252))</f>
        <v>4858.693837</v>
      </c>
      <c r="E253" s="545">
        <f>IF($M253="","", IF(ARBITRAGES!$G253&gt;0,IF(ARBITRAGES!$H253="tao",E252+ARBITRAGES!$G253,E252),E252))</f>
        <v>0</v>
      </c>
      <c r="F253" s="545">
        <f>IF($M253="","", IF(ARBITRAGES!$G253&gt;0,IF(ARBITRAGES!$H253="ron",F252+ARBITRAGES!$G253,F252),F252))</f>
        <v>0</v>
      </c>
      <c r="G253" s="545">
        <f>IF($M253="","", IF(ARBITRAGES!$G253&gt;0,IF(ARBITRAGES!$H253="link",G252+ARBITRAGES!$G253,G252),G252))</f>
        <v>0</v>
      </c>
      <c r="H253" s="545">
        <f>IF($M253="","", IF(ARBITRAGES!$G253&gt;0,IF(ARBITRAGES!$H253="doge",H252+ARBITRAGES!$G253,H252),H252))</f>
        <v>0</v>
      </c>
      <c r="I253" s="545"/>
      <c r="J253" s="545"/>
      <c r="K253" s="545"/>
      <c r="L253" s="545"/>
      <c r="M253" s="540">
        <f>IF(ARBITRAGES!E253=0,"",ARBITRAGES!E253)</f>
        <v>46055</v>
      </c>
      <c r="N253" s="541">
        <f>IF(M253="","", SUM(A253:H253)+ARBITRAGES!$K$3)</f>
        <v>37467.52166</v>
      </c>
      <c r="O253" s="542">
        <f>IF(M253="","",PRIX!U253)</f>
        <v>43068.91995</v>
      </c>
      <c r="Q253" s="546"/>
      <c r="R253" s="546"/>
      <c r="S253" s="547"/>
    </row>
    <row r="254">
      <c r="A254" s="545">
        <f>IF($M254="","", IF(ARBITRAGES!$G254&gt;0,IF(ARBITRAGES!$H254="btc",A253+ARBITRAGES!$G254,A253),A253))</f>
        <v>5999.429056</v>
      </c>
      <c r="B254" s="545">
        <f>IF($M254="","", IF(ARBITRAGES!$G254&gt;0,IF(ARBITRAGES!$H254="eth",B253+ARBITRAGES!$G254,B253),B253))</f>
        <v>5059.398762</v>
      </c>
      <c r="C254" s="545">
        <f>IF($M254="","", IF(ARBITRAGES!$G254&gt;0,IF(ARBITRAGES!$H254="ondo",C253+ARBITRAGES!$G254,C253),C253))</f>
        <v>0</v>
      </c>
      <c r="D254" s="545">
        <f>IF($M254="","", IF(ARBITRAGES!$G254&gt;0,IF(ARBITRAGES!$H254="sol",D253+ARBITRAGES!$G254,D253),D253))</f>
        <v>4858.693837</v>
      </c>
      <c r="E254" s="545">
        <f>IF($M254="","", IF(ARBITRAGES!$G254&gt;0,IF(ARBITRAGES!$H254="tao",E253+ARBITRAGES!$G254,E253),E253))</f>
        <v>0</v>
      </c>
      <c r="F254" s="545">
        <f>IF($M254="","", IF(ARBITRAGES!$G254&gt;0,IF(ARBITRAGES!$H254="ron",F253+ARBITRAGES!$G254,F253),F253))</f>
        <v>0</v>
      </c>
      <c r="G254" s="545">
        <f>IF($M254="","", IF(ARBITRAGES!$G254&gt;0,IF(ARBITRAGES!$H254="link",G253+ARBITRAGES!$G254,G253),G253))</f>
        <v>0</v>
      </c>
      <c r="H254" s="545">
        <f>IF($M254="","", IF(ARBITRAGES!$G254&gt;0,IF(ARBITRAGES!$H254="doge",H253+ARBITRAGES!$G254,H253),H253))</f>
        <v>0</v>
      </c>
      <c r="I254" s="545"/>
      <c r="J254" s="545"/>
      <c r="K254" s="545"/>
      <c r="L254" s="545"/>
      <c r="M254" s="540">
        <f>IF(ARBITRAGES!E254=0,"",ARBITRAGES!E254)</f>
        <v>46055</v>
      </c>
      <c r="N254" s="541">
        <f>IF(M254="","", SUM(A254:H254)+ARBITRAGES!$K$3)</f>
        <v>37467.52166</v>
      </c>
      <c r="O254" s="542">
        <f>IF(M254="","",PRIX!U254)</f>
        <v>43079.83995</v>
      </c>
      <c r="Q254" s="546"/>
      <c r="R254" s="546"/>
      <c r="S254" s="547"/>
    </row>
    <row r="255">
      <c r="A255" s="545">
        <f>IF($M255="","", IF(ARBITRAGES!$G255&gt;0,IF(ARBITRAGES!$H255="btc",A254+ARBITRAGES!$G255,A254),A254))</f>
        <v>5999.429056</v>
      </c>
      <c r="B255" s="545">
        <f>IF($M255="","", IF(ARBITRAGES!$G255&gt;0,IF(ARBITRAGES!$H255="eth",B254+ARBITRAGES!$G255,B254),B254))</f>
        <v>5059.398762</v>
      </c>
      <c r="C255" s="545">
        <f>IF($M255="","", IF(ARBITRAGES!$G255&gt;0,IF(ARBITRAGES!$H255="ondo",C254+ARBITRAGES!$G255,C254),C254))</f>
        <v>0</v>
      </c>
      <c r="D255" s="545">
        <f>IF($M255="","", IF(ARBITRAGES!$G255&gt;0,IF(ARBITRAGES!$H255="sol",D254+ARBITRAGES!$G255,D254),D254))</f>
        <v>4858.693837</v>
      </c>
      <c r="E255" s="545">
        <f>IF($M255="","", IF(ARBITRAGES!$G255&gt;0,IF(ARBITRAGES!$H255="tao",E254+ARBITRAGES!$G255,E254),E254))</f>
        <v>0</v>
      </c>
      <c r="F255" s="545">
        <f>IF($M255="","", IF(ARBITRAGES!$G255&gt;0,IF(ARBITRAGES!$H255="ron",F254+ARBITRAGES!$G255,F254),F254))</f>
        <v>0</v>
      </c>
      <c r="G255" s="545">
        <f>IF($M255="","", IF(ARBITRAGES!$G255&gt;0,IF(ARBITRAGES!$H255="link",G254+ARBITRAGES!$G255,G254),G254))</f>
        <v>0</v>
      </c>
      <c r="H255" s="545">
        <f>IF($M255="","", IF(ARBITRAGES!$G255&gt;0,IF(ARBITRAGES!$H255="doge",H254+ARBITRAGES!$G255,H254),H254))</f>
        <v>0</v>
      </c>
      <c r="I255" s="545"/>
      <c r="J255" s="545"/>
      <c r="K255" s="545"/>
      <c r="L255" s="545"/>
      <c r="M255" s="540">
        <f>IF(ARBITRAGES!E255=0,"",ARBITRAGES!E255)</f>
        <v>46056</v>
      </c>
      <c r="N255" s="541">
        <f>IF(M255="","", SUM(A255:H255)+ARBITRAGES!$K$3)</f>
        <v>37467.52166</v>
      </c>
      <c r="O255" s="542">
        <f>IF(M255="","",PRIX!U255)</f>
        <v>43061.41388</v>
      </c>
      <c r="Q255" s="546"/>
      <c r="R255" s="546"/>
      <c r="S255" s="547"/>
    </row>
    <row r="256">
      <c r="A256" s="545">
        <f>IF($M256="","", IF(ARBITRAGES!$G256&gt;0,IF(ARBITRAGES!$H256="btc",A255+ARBITRAGES!$G256,A255),A255))</f>
        <v>5999.429056</v>
      </c>
      <c r="B256" s="545">
        <f>IF($M256="","", IF(ARBITRAGES!$G256&gt;0,IF(ARBITRAGES!$H256="eth",B255+ARBITRAGES!$G256,B255),B255))</f>
        <v>5059.398762</v>
      </c>
      <c r="C256" s="545">
        <f>IF($M256="","", IF(ARBITRAGES!$G256&gt;0,IF(ARBITRAGES!$H256="ondo",C255+ARBITRAGES!$G256,C255),C255))</f>
        <v>0</v>
      </c>
      <c r="D256" s="545">
        <f>IF($M256="","", IF(ARBITRAGES!$G256&gt;0,IF(ARBITRAGES!$H256="sol",D255+ARBITRAGES!$G256,D255),D255))</f>
        <v>4858.693837</v>
      </c>
      <c r="E256" s="545">
        <f>IF($M256="","", IF(ARBITRAGES!$G256&gt;0,IF(ARBITRAGES!$H256="tao",E255+ARBITRAGES!$G256,E255),E255))</f>
        <v>0</v>
      </c>
      <c r="F256" s="545">
        <f>IF($M256="","", IF(ARBITRAGES!$G256&gt;0,IF(ARBITRAGES!$H256="ron",F255+ARBITRAGES!$G256,F255),F255))</f>
        <v>0</v>
      </c>
      <c r="G256" s="545">
        <f>IF($M256="","", IF(ARBITRAGES!$G256&gt;0,IF(ARBITRAGES!$H256="link",G255+ARBITRAGES!$G256,G255),G255))</f>
        <v>0</v>
      </c>
      <c r="H256" s="545">
        <f>IF($M256="","", IF(ARBITRAGES!$G256&gt;0,IF(ARBITRAGES!$H256="doge",H255+ARBITRAGES!$G256,H255),H255))</f>
        <v>0</v>
      </c>
      <c r="I256" s="545"/>
      <c r="J256" s="545"/>
      <c r="K256" s="545"/>
      <c r="L256" s="545"/>
      <c r="M256" s="540">
        <f>IF(ARBITRAGES!E256=0,"",ARBITRAGES!E256)</f>
        <v>46057</v>
      </c>
      <c r="N256" s="541">
        <f>IF(M256="","", SUM(A256:H256)+ARBITRAGES!$K$3)</f>
        <v>37467.52166</v>
      </c>
      <c r="O256" s="542">
        <f>IF(M256="","",PRIX!U256)</f>
        <v>39996.4808</v>
      </c>
      <c r="Q256" s="546"/>
      <c r="R256" s="546"/>
      <c r="S256" s="547"/>
      <c r="T256" s="547"/>
    </row>
    <row r="257">
      <c r="A257" s="545">
        <f>IF($M257="","", IF(ARBITRAGES!$G257&gt;0,IF(ARBITRAGES!$H257="btc",A256+ARBITRAGES!$G257,A256),A256))</f>
        <v>5999.429056</v>
      </c>
      <c r="B257" s="545">
        <f>IF($M257="","", IF(ARBITRAGES!$G257&gt;0,IF(ARBITRAGES!$H257="eth",B256+ARBITRAGES!$G257,B256),B256))</f>
        <v>5059.398762</v>
      </c>
      <c r="C257" s="545">
        <f>IF($M257="","", IF(ARBITRAGES!$G257&gt;0,IF(ARBITRAGES!$H257="ondo",C256+ARBITRAGES!$G257,C256),C256))</f>
        <v>0</v>
      </c>
      <c r="D257" s="545">
        <f>IF($M257="","", IF(ARBITRAGES!$G257&gt;0,IF(ARBITRAGES!$H257="sol",D256+ARBITRAGES!$G257,D256),D256))</f>
        <v>4858.693837</v>
      </c>
      <c r="E257" s="545">
        <f>IF($M257="","", IF(ARBITRAGES!$G257&gt;0,IF(ARBITRAGES!$H257="tao",E256+ARBITRAGES!$G257,E256),E256))</f>
        <v>0</v>
      </c>
      <c r="F257" s="545">
        <f>IF($M257="","", IF(ARBITRAGES!$G257&gt;0,IF(ARBITRAGES!$H257="ron",F256+ARBITRAGES!$G257,F256),F256))</f>
        <v>0</v>
      </c>
      <c r="G257" s="545">
        <f>IF($M257="","", IF(ARBITRAGES!$G257&gt;0,IF(ARBITRAGES!$H257="link",G256+ARBITRAGES!$G257,G256),G256))</f>
        <v>0</v>
      </c>
      <c r="H257" s="545">
        <f>IF($M257="","", IF(ARBITRAGES!$G257&gt;0,IF(ARBITRAGES!$H257="doge",H256+ARBITRAGES!$G257,H256),H256))</f>
        <v>0</v>
      </c>
      <c r="I257" s="545"/>
      <c r="J257" s="545"/>
      <c r="K257" s="545"/>
      <c r="L257" s="545"/>
      <c r="M257" s="540">
        <f>IF(ARBITRAGES!E257=0,"",ARBITRAGES!E257)</f>
        <v>46058</v>
      </c>
      <c r="N257" s="541">
        <f>IF(M257="","", SUM(A257:H257)+ARBITRAGES!$K$3)</f>
        <v>37467.52166</v>
      </c>
      <c r="O257" s="542">
        <f>IF(M257="","",PRIX!U257)</f>
        <v>37166.50621</v>
      </c>
      <c r="Q257" s="546"/>
      <c r="R257" s="546"/>
      <c r="S257" s="547"/>
      <c r="T257" s="547"/>
    </row>
    <row r="258">
      <c r="A258" s="545">
        <f>IF($M258="","", IF(ARBITRAGES!$G258&gt;0,IF(ARBITRAGES!$H258="btc",A257+ARBITRAGES!$G258,A257),A257))</f>
        <v>5999.429056</v>
      </c>
      <c r="B258" s="545">
        <f>IF($M258="","", IF(ARBITRAGES!$G258&gt;0,IF(ARBITRAGES!$H258="eth",B257+ARBITRAGES!$G258,B257),B257))</f>
        <v>5059.398762</v>
      </c>
      <c r="C258" s="545">
        <f>IF($M258="","", IF(ARBITRAGES!$G258&gt;0,IF(ARBITRAGES!$H258="ondo",C257+ARBITRAGES!$G258,C257),C257))</f>
        <v>0</v>
      </c>
      <c r="D258" s="545">
        <f>IF($M258="","", IF(ARBITRAGES!$G258&gt;0,IF(ARBITRAGES!$H258="sol",D257+ARBITRAGES!$G258,D257),D257))</f>
        <v>4858.693837</v>
      </c>
      <c r="E258" s="545">
        <f>IF($M258="","", IF(ARBITRAGES!$G258&gt;0,IF(ARBITRAGES!$H258="tao",E257+ARBITRAGES!$G258,E257),E257))</f>
        <v>0</v>
      </c>
      <c r="F258" s="545">
        <f>IF($M258="","", IF(ARBITRAGES!$G258&gt;0,IF(ARBITRAGES!$H258="ron",F257+ARBITRAGES!$G258,F257),F257))</f>
        <v>0</v>
      </c>
      <c r="G258" s="545">
        <f>IF($M258="","", IF(ARBITRAGES!$G258&gt;0,IF(ARBITRAGES!$H258="link",G257+ARBITRAGES!$G258,G257),G257))</f>
        <v>0</v>
      </c>
      <c r="H258" s="545">
        <f>IF($M258="","", IF(ARBITRAGES!$G258&gt;0,IF(ARBITRAGES!$H258="doge",H257+ARBITRAGES!$G258,H257),H257))</f>
        <v>0</v>
      </c>
      <c r="I258" s="545"/>
      <c r="J258" s="545"/>
      <c r="K258" s="545"/>
      <c r="L258" s="545"/>
      <c r="M258" s="540">
        <f>IF(ARBITRAGES!E258=0,"",ARBITRAGES!E258)</f>
        <v>46058</v>
      </c>
      <c r="N258" s="541">
        <f>IF(M258="","", SUM(A258:H258)+ARBITRAGES!$K$3)</f>
        <v>37467.52166</v>
      </c>
      <c r="O258" s="542">
        <f>IF(M258="","",PRIX!U258)</f>
        <v>37161.35354</v>
      </c>
      <c r="Q258" s="546"/>
      <c r="R258" s="546"/>
      <c r="S258" s="547"/>
      <c r="T258" s="547"/>
    </row>
    <row r="259">
      <c r="A259" s="545">
        <f>IF($M259="","", IF(ARBITRAGES!$G259&gt;0,IF(ARBITRAGES!$H259="btc",A258+ARBITRAGES!$G259,A258),A258))</f>
        <v>5999.429056</v>
      </c>
      <c r="B259" s="545">
        <f>IF($M259="","", IF(ARBITRAGES!$G259&gt;0,IF(ARBITRAGES!$H259="eth",B258+ARBITRAGES!$G259,B258),B258))</f>
        <v>5059.398762</v>
      </c>
      <c r="C259" s="545">
        <f>IF($M259="","", IF(ARBITRAGES!$G259&gt;0,IF(ARBITRAGES!$H259="ondo",C258+ARBITRAGES!$G259,C258),C258))</f>
        <v>0</v>
      </c>
      <c r="D259" s="545">
        <f>IF($M259="","", IF(ARBITRAGES!$G259&gt;0,IF(ARBITRAGES!$H259="sol",D258+ARBITRAGES!$G259,D258),D258))</f>
        <v>4858.693837</v>
      </c>
      <c r="E259" s="545">
        <f>IF($M259="","", IF(ARBITRAGES!$G259&gt;0,IF(ARBITRAGES!$H259="tao",E258+ARBITRAGES!$G259,E258),E258))</f>
        <v>0</v>
      </c>
      <c r="F259" s="545">
        <f>IF($M259="","", IF(ARBITRAGES!$G259&gt;0,IF(ARBITRAGES!$H259="ron",F258+ARBITRAGES!$G259,F258),F258))</f>
        <v>0</v>
      </c>
      <c r="G259" s="545">
        <f>IF($M259="","", IF(ARBITRAGES!$G259&gt;0,IF(ARBITRAGES!$H259="link",G258+ARBITRAGES!$G259,G258),G258))</f>
        <v>0</v>
      </c>
      <c r="H259" s="545">
        <f>IF($M259="","", IF(ARBITRAGES!$G259&gt;0,IF(ARBITRAGES!$H259="doge",H258+ARBITRAGES!$G259,H258),H258))</f>
        <v>0</v>
      </c>
      <c r="I259" s="545"/>
      <c r="J259" s="545"/>
      <c r="K259" s="545"/>
      <c r="L259" s="545"/>
      <c r="M259" s="540">
        <f>IF(ARBITRAGES!E259=0,"",ARBITRAGES!E259)</f>
        <v>46059</v>
      </c>
      <c r="N259" s="541">
        <f>IF(M259="","", SUM(A259:H259)+ARBITRAGES!$K$3)</f>
        <v>37467.52166</v>
      </c>
      <c r="O259" s="542">
        <f>IF(M259="","",SUM(PRIX!B259:G259))</f>
        <v>63031.335</v>
      </c>
      <c r="Q259" s="546"/>
      <c r="R259" s="546"/>
      <c r="S259" s="547"/>
      <c r="T259" s="547"/>
    </row>
    <row r="260">
      <c r="A260" s="545">
        <f>IF($M260="","", IF(ARBITRAGES!$G260&gt;0,IF(ARBITRAGES!$H260="btc",A259+ARBITRAGES!$G260,A259),A259))</f>
        <v>5999.429056</v>
      </c>
      <c r="B260" s="545">
        <f>IF($M260="","", IF(ARBITRAGES!$G260&gt;0,IF(ARBITRAGES!$H260="eth",B259+ARBITRAGES!$G260,B259),B259))</f>
        <v>5059.398762</v>
      </c>
      <c r="C260" s="545">
        <f>IF($M260="","", IF(ARBITRAGES!$G260&gt;0,IF(ARBITRAGES!$H260="ondo",C259+ARBITRAGES!$G260,C259),C259))</f>
        <v>0</v>
      </c>
      <c r="D260" s="545">
        <f>IF($M260="","", IF(ARBITRAGES!$G260&gt;0,IF(ARBITRAGES!$H260="sol",D259+ARBITRAGES!$G260,D259),D259))</f>
        <v>4858.693837</v>
      </c>
      <c r="E260" s="545">
        <f>IF($M260="","", IF(ARBITRAGES!$G260&gt;0,IF(ARBITRAGES!$H260="tao",E259+ARBITRAGES!$G260,E259),E259))</f>
        <v>0</v>
      </c>
      <c r="F260" s="545">
        <f>IF($M260="","", IF(ARBITRAGES!$G260&gt;0,IF(ARBITRAGES!$H260="ron",F259+ARBITRAGES!$G260,F259),F259))</f>
        <v>0</v>
      </c>
      <c r="G260" s="545">
        <f>IF($M260="","", IF(ARBITRAGES!$G260&gt;0,IF(ARBITRAGES!$H260="link",G259+ARBITRAGES!$G260,G259),G259))</f>
        <v>0</v>
      </c>
      <c r="H260" s="545">
        <f>IF($M260="","", IF(ARBITRAGES!$G260&gt;0,IF(ARBITRAGES!$H260="doge",H259+ARBITRAGES!$G260,H259),H259))</f>
        <v>0</v>
      </c>
      <c r="I260" s="545"/>
      <c r="J260" s="545"/>
      <c r="K260" s="545"/>
      <c r="L260" s="545"/>
      <c r="M260" s="540">
        <f>IF(ARBITRAGES!E260=0,"",ARBITRAGES!E260)</f>
        <v>46060</v>
      </c>
      <c r="N260" s="541">
        <f>IF(M260="","", SUM(A260:H260)+ARBITRAGES!$K$3)</f>
        <v>37467.52166</v>
      </c>
      <c r="O260" s="542">
        <f>IF(M260="","",SUM(PRIX!B260:G260))</f>
        <v>69204.392</v>
      </c>
      <c r="Q260" s="546"/>
      <c r="R260" s="546"/>
      <c r="S260" s="547"/>
      <c r="T260" s="547"/>
    </row>
    <row r="261">
      <c r="A261" s="545">
        <f>IF($M261="","", IF(ARBITRAGES!$G261&gt;0,IF(ARBITRAGES!$H261="btc",A260+ARBITRAGES!$G261,A260),A260))</f>
        <v>5999.429056</v>
      </c>
      <c r="B261" s="545">
        <f>IF($M261="","", IF(ARBITRAGES!$G261&gt;0,IF(ARBITRAGES!$H261="eth",B260+ARBITRAGES!$G261,B260),B260))</f>
        <v>5059.398762</v>
      </c>
      <c r="C261" s="545">
        <f>IF($M261="","", IF(ARBITRAGES!$G261&gt;0,IF(ARBITRAGES!$H261="ondo",C260+ARBITRAGES!$G261,C260),C260))</f>
        <v>0</v>
      </c>
      <c r="D261" s="545">
        <f>IF($M261="","", IF(ARBITRAGES!$G261&gt;0,IF(ARBITRAGES!$H261="sol",D260+ARBITRAGES!$G261,D260),D260))</f>
        <v>4858.693837</v>
      </c>
      <c r="E261" s="545">
        <f>IF($M261="","", IF(ARBITRAGES!$G261&gt;0,IF(ARBITRAGES!$H261="tao",E260+ARBITRAGES!$G261,E260),E260))</f>
        <v>0</v>
      </c>
      <c r="F261" s="545">
        <f>IF($M261="","", IF(ARBITRAGES!$G261&gt;0,IF(ARBITRAGES!$H261="ron",F260+ARBITRAGES!$G261,F260),F260))</f>
        <v>0</v>
      </c>
      <c r="G261" s="545">
        <f>IF($M261="","", IF(ARBITRAGES!$G261&gt;0,IF(ARBITRAGES!$H261="link",G260+ARBITRAGES!$G261,G260),G260))</f>
        <v>0</v>
      </c>
      <c r="H261" s="545">
        <f>IF($M261="","", IF(ARBITRAGES!$G261&gt;0,IF(ARBITRAGES!$H261="doge",H260+ARBITRAGES!$G261,H260),H260))</f>
        <v>0</v>
      </c>
      <c r="I261" s="545"/>
      <c r="J261" s="545"/>
      <c r="K261" s="545"/>
      <c r="L261" s="545"/>
      <c r="M261" s="540">
        <f>IF(ARBITRAGES!E261=0,"",ARBITRAGES!E261)</f>
        <v>46060</v>
      </c>
      <c r="N261" s="541">
        <f>IF(M261="","", SUM(A261:H261)+ARBITRAGES!$K$3)</f>
        <v>37467.52166</v>
      </c>
      <c r="O261" s="542">
        <f>IF(M261="","",SUM(PRIX!B261:G261))</f>
        <v>69204.392</v>
      </c>
      <c r="Q261" s="546"/>
      <c r="R261" s="546"/>
      <c r="S261" s="547"/>
      <c r="T261" s="547"/>
    </row>
    <row r="262">
      <c r="A262" s="545">
        <f>IF($M262="","", IF(ARBITRAGES!$G262&gt;0,IF(ARBITRAGES!$H262="btc",A261+ARBITRAGES!$G262,A261),A261))</f>
        <v>5999.429056</v>
      </c>
      <c r="B262" s="545">
        <f>IF($M262="","", IF(ARBITRAGES!$G262&gt;0,IF(ARBITRAGES!$H262="eth",B261+ARBITRAGES!$G262,B261),B261))</f>
        <v>5059.398762</v>
      </c>
      <c r="C262" s="545">
        <f>IF($M262="","", IF(ARBITRAGES!$G262&gt;0,IF(ARBITRAGES!$H262="ondo",C261+ARBITRAGES!$G262,C261),C261))</f>
        <v>0</v>
      </c>
      <c r="D262" s="545">
        <f>IF($M262="","", IF(ARBITRAGES!$G262&gt;0,IF(ARBITRAGES!$H262="sol",D261+ARBITRAGES!$G262,D261),D261))</f>
        <v>4858.693837</v>
      </c>
      <c r="E262" s="545">
        <f>IF($M262="","", IF(ARBITRAGES!$G262&gt;0,IF(ARBITRAGES!$H262="tao",E261+ARBITRAGES!$G262,E261),E261))</f>
        <v>0</v>
      </c>
      <c r="F262" s="545">
        <f>IF($M262="","", IF(ARBITRAGES!$G262&gt;0,IF(ARBITRAGES!$H262="ron",F261+ARBITRAGES!$G262,F261),F261))</f>
        <v>0</v>
      </c>
      <c r="G262" s="545">
        <f>IF($M262="","", IF(ARBITRAGES!$G262&gt;0,IF(ARBITRAGES!$H262="link",G261+ARBITRAGES!$G262,G261),G261))</f>
        <v>0</v>
      </c>
      <c r="H262" s="545">
        <f>IF($M262="","", IF(ARBITRAGES!$G262&gt;0,IF(ARBITRAGES!$H262="doge",H261+ARBITRAGES!$G262,H261),H261))</f>
        <v>0</v>
      </c>
      <c r="I262" s="545"/>
      <c r="J262" s="545"/>
      <c r="K262" s="545"/>
      <c r="L262" s="545"/>
      <c r="M262" s="540">
        <f>IF(ARBITRAGES!E262=0,"",ARBITRAGES!E262)</f>
        <v>46061</v>
      </c>
      <c r="N262" s="541">
        <f>IF(M262="","", SUM(A262:H262)+ARBITRAGES!$K$3)</f>
        <v>37467.52166</v>
      </c>
      <c r="O262" s="542">
        <f>IF(M262="","",SUM(PRIX!B262:G262))</f>
        <v>71307.427</v>
      </c>
      <c r="Q262" s="546"/>
      <c r="R262" s="546"/>
      <c r="S262" s="547"/>
      <c r="T262" s="547"/>
    </row>
    <row r="263">
      <c r="A263" s="545">
        <f>IF($M263="","", IF(ARBITRAGES!$G263&gt;0,IF(ARBITRAGES!$H263="btc",A262+ARBITRAGES!$G263,A262),A262))</f>
        <v>5999.429056</v>
      </c>
      <c r="B263" s="545">
        <f>IF($M263="","", IF(ARBITRAGES!$G263&gt;0,IF(ARBITRAGES!$H263="eth",B262+ARBITRAGES!$G263,B262),B262))</f>
        <v>5059.398762</v>
      </c>
      <c r="C263" s="545">
        <f>IF($M263="","", IF(ARBITRAGES!$G263&gt;0,IF(ARBITRAGES!$H263="ondo",C262+ARBITRAGES!$G263,C262),C262))</f>
        <v>0</v>
      </c>
      <c r="D263" s="545">
        <f>IF($M263="","", IF(ARBITRAGES!$G263&gt;0,IF(ARBITRAGES!$H263="sol",D262+ARBITRAGES!$G263,D262),D262))</f>
        <v>4858.693837</v>
      </c>
      <c r="E263" s="545">
        <f>IF($M263="","", IF(ARBITRAGES!$G263&gt;0,IF(ARBITRAGES!$H263="tao",E262+ARBITRAGES!$G263,E262),E262))</f>
        <v>0</v>
      </c>
      <c r="F263" s="545">
        <f>IF($M263="","", IF(ARBITRAGES!$G263&gt;0,IF(ARBITRAGES!$H263="ron",F262+ARBITRAGES!$G263,F262),F262))</f>
        <v>0</v>
      </c>
      <c r="G263" s="545">
        <f>IF($M263="","", IF(ARBITRAGES!$G263&gt;0,IF(ARBITRAGES!$H263="link",G262+ARBITRAGES!$G263,G262),G262))</f>
        <v>0</v>
      </c>
      <c r="H263" s="545">
        <f>IF($M263="","", IF(ARBITRAGES!$G263&gt;0,IF(ARBITRAGES!$H263="doge",H262+ARBITRAGES!$G263,H262),H262))</f>
        <v>0</v>
      </c>
      <c r="I263" s="545"/>
      <c r="J263" s="545"/>
      <c r="K263" s="545"/>
      <c r="L263" s="545"/>
      <c r="M263" s="540">
        <f>IF(ARBITRAGES!E263=0,"",ARBITRAGES!E263)</f>
        <v>46061</v>
      </c>
      <c r="N263" s="541">
        <f>IF(M263="","", SUM(A263:H263)+ARBITRAGES!$K$3)</f>
        <v>37467.52166</v>
      </c>
      <c r="O263" s="542">
        <f>IF(M263="","",SUM(PRIX!B263:G263))</f>
        <v>71307.427</v>
      </c>
      <c r="Q263" s="546"/>
      <c r="R263" s="546"/>
      <c r="S263" s="547"/>
      <c r="T263" s="547"/>
    </row>
    <row r="264">
      <c r="A264" s="545">
        <f>IF($M264="","", IF(ARBITRAGES!$G264&gt;0,IF(ARBITRAGES!$H264="btc",A263+ARBITRAGES!$G264,A263),A263))</f>
        <v>5999.429056</v>
      </c>
      <c r="B264" s="545">
        <f>IF($M264="","", IF(ARBITRAGES!$G264&gt;0,IF(ARBITRAGES!$H264="eth",B263+ARBITRAGES!$G264,B263),B263))</f>
        <v>5059.398762</v>
      </c>
      <c r="C264" s="545">
        <f>IF($M264="","", IF(ARBITRAGES!$G264&gt;0,IF(ARBITRAGES!$H264="ondo",C263+ARBITRAGES!$G264,C263),C263))</f>
        <v>0</v>
      </c>
      <c r="D264" s="545">
        <f>IF($M264="","", IF(ARBITRAGES!$G264&gt;0,IF(ARBITRAGES!$H264="sol",D263+ARBITRAGES!$G264,D263),D263))</f>
        <v>4858.693837</v>
      </c>
      <c r="E264" s="545">
        <f>IF($M264="","", IF(ARBITRAGES!$G264&gt;0,IF(ARBITRAGES!$H264="tao",E263+ARBITRAGES!$G264,E263),E263))</f>
        <v>0</v>
      </c>
      <c r="F264" s="545">
        <f>IF($M264="","", IF(ARBITRAGES!$G264&gt;0,IF(ARBITRAGES!$H264="ron",F263+ARBITRAGES!$G264,F263),F263))</f>
        <v>0</v>
      </c>
      <c r="G264" s="545">
        <f>IF($M264="","", IF(ARBITRAGES!$G264&gt;0,IF(ARBITRAGES!$H264="link",G263+ARBITRAGES!$G264,G263),G263))</f>
        <v>0</v>
      </c>
      <c r="H264" s="545">
        <f>IF($M264="","", IF(ARBITRAGES!$G264&gt;0,IF(ARBITRAGES!$H264="doge",H263+ARBITRAGES!$G264,H263),H263))</f>
        <v>0</v>
      </c>
      <c r="I264" s="545"/>
      <c r="J264" s="545"/>
      <c r="K264" s="545"/>
      <c r="L264" s="545"/>
      <c r="M264" s="540">
        <f>IF(ARBITRAGES!E264=0,"",ARBITRAGES!E264)</f>
        <v>46062</v>
      </c>
      <c r="N264" s="541">
        <f>IF(M264="","", SUM(A264:H264)+ARBITRAGES!$K$3)</f>
        <v>37467.52166</v>
      </c>
      <c r="O264" s="542">
        <f>IF(M264="","",SUM(PRIX!B264:G264))</f>
        <v>71259.435</v>
      </c>
      <c r="Q264" s="546"/>
      <c r="R264" s="546"/>
      <c r="S264" s="547"/>
      <c r="T264" s="547"/>
    </row>
    <row r="265">
      <c r="A265" s="545">
        <f>IF($M265="","", IF(ARBITRAGES!$G265&gt;0,IF(ARBITRAGES!$H265="btc",A264+ARBITRAGES!$G265,A264),A264))</f>
        <v>5999.429056</v>
      </c>
      <c r="B265" s="545">
        <f>IF($M265="","", IF(ARBITRAGES!$G265&gt;0,IF(ARBITRAGES!$H265="eth",B264+ARBITRAGES!$G265,B264),B264))</f>
        <v>5059.398762</v>
      </c>
      <c r="C265" s="545">
        <f>IF($M265="","", IF(ARBITRAGES!$G265&gt;0,IF(ARBITRAGES!$H265="ondo",C264+ARBITRAGES!$G265,C264),C264))</f>
        <v>0</v>
      </c>
      <c r="D265" s="545">
        <f>IF($M265="","", IF(ARBITRAGES!$G265&gt;0,IF(ARBITRAGES!$H265="sol",D264+ARBITRAGES!$G265,D264),D264))</f>
        <v>4858.693837</v>
      </c>
      <c r="E265" s="545">
        <f>IF($M265="","", IF(ARBITRAGES!$G265&gt;0,IF(ARBITRAGES!$H265="tao",E264+ARBITRAGES!$G265,E264),E264))</f>
        <v>0</v>
      </c>
      <c r="F265" s="545">
        <f>IF($M265="","", IF(ARBITRAGES!$G265&gt;0,IF(ARBITRAGES!$H265="ron",F264+ARBITRAGES!$G265,F264),F264))</f>
        <v>0</v>
      </c>
      <c r="G265" s="545">
        <f>IF($M265="","", IF(ARBITRAGES!$G265&gt;0,IF(ARBITRAGES!$H265="link",G264+ARBITRAGES!$G265,G264),G264))</f>
        <v>0</v>
      </c>
      <c r="H265" s="545">
        <f>IF($M265="","", IF(ARBITRAGES!$G265&gt;0,IF(ARBITRAGES!$H265="doge",H264+ARBITRAGES!$G265,H264),H264))</f>
        <v>0</v>
      </c>
      <c r="I265" s="545"/>
      <c r="J265" s="545"/>
      <c r="K265" s="545"/>
      <c r="L265" s="545"/>
      <c r="M265" s="540">
        <f>IF(ARBITRAGES!E265=0,"",ARBITRAGES!E265)</f>
        <v>46063</v>
      </c>
      <c r="N265" s="541">
        <f>IF(M265="","", SUM(A265:H265)+ARBITRAGES!$K$3)</f>
        <v>37467.52166</v>
      </c>
      <c r="O265" s="542">
        <f>IF(M265="","",SUM(PRIX!B265:G265))</f>
        <v>68126.396</v>
      </c>
      <c r="Q265" s="546"/>
      <c r="R265" s="546"/>
      <c r="S265" s="547"/>
      <c r="T265" s="547"/>
    </row>
    <row r="266">
      <c r="A266" s="545">
        <f>IF($M266="","", IF(ARBITRAGES!$G266&gt;0,IF(ARBITRAGES!$H266="btc",A265+ARBITRAGES!$G266,A265),A265))</f>
        <v>5999.429056</v>
      </c>
      <c r="B266" s="545">
        <f>IF($M266="","", IF(ARBITRAGES!$G266&gt;0,IF(ARBITRAGES!$H266="eth",B265+ARBITRAGES!$G266,B265),B265))</f>
        <v>5059.398762</v>
      </c>
      <c r="C266" s="545">
        <f>IF($M266="","", IF(ARBITRAGES!$G266&gt;0,IF(ARBITRAGES!$H266="ondo",C265+ARBITRAGES!$G266,C265),C265))</f>
        <v>0</v>
      </c>
      <c r="D266" s="545">
        <f>IF($M266="","", IF(ARBITRAGES!$G266&gt;0,IF(ARBITRAGES!$H266="sol",D265+ARBITRAGES!$G266,D265),D265))</f>
        <v>4858.693837</v>
      </c>
      <c r="E266" s="545">
        <f>IF($M266="","", IF(ARBITRAGES!$G266&gt;0,IF(ARBITRAGES!$H266="tao",E265+ARBITRAGES!$G266,E265),E265))</f>
        <v>0</v>
      </c>
      <c r="F266" s="545">
        <f>IF($M266="","", IF(ARBITRAGES!$G266&gt;0,IF(ARBITRAGES!$H266="ron",F265+ARBITRAGES!$G266,F265),F265))</f>
        <v>0</v>
      </c>
      <c r="G266" s="545">
        <f>IF($M266="","", IF(ARBITRAGES!$G266&gt;0,IF(ARBITRAGES!$H266="link",G265+ARBITRAGES!$G266,G265),G265))</f>
        <v>0</v>
      </c>
      <c r="H266" s="545">
        <f>IF($M266="","", IF(ARBITRAGES!$G266&gt;0,IF(ARBITRAGES!$H266="doge",H265+ARBITRAGES!$G266,H265),H265))</f>
        <v>0</v>
      </c>
      <c r="I266" s="545"/>
      <c r="J266" s="545"/>
      <c r="K266" s="545"/>
      <c r="L266" s="545"/>
      <c r="M266" s="540">
        <f>IF(ARBITRAGES!E266=0,"",ARBITRAGES!E266)</f>
        <v>46064</v>
      </c>
      <c r="N266" s="541">
        <f>IF(M266="","", SUM(A266:H266)+ARBITRAGES!$K$3)</f>
        <v>37467.52166</v>
      </c>
      <c r="O266" s="542">
        <f>IF(M266="","",SUM(PRIX!B266:G266))</f>
        <v>68876.396</v>
      </c>
      <c r="Q266" s="546"/>
      <c r="R266" s="546"/>
      <c r="S266" s="547"/>
      <c r="T266" s="547"/>
    </row>
    <row r="267">
      <c r="A267" s="545">
        <f>IF($M267="","", IF(ARBITRAGES!$G267&gt;0,IF(ARBITRAGES!$H267="btc",A266+ARBITRAGES!$G267,A266),A266))</f>
        <v>5999.429056</v>
      </c>
      <c r="B267" s="545">
        <f>IF($M267="","", IF(ARBITRAGES!$G267&gt;0,IF(ARBITRAGES!$H267="eth",B266+ARBITRAGES!$G267,B266),B266))</f>
        <v>5059.398762</v>
      </c>
      <c r="C267" s="545">
        <f>IF($M267="","", IF(ARBITRAGES!$G267&gt;0,IF(ARBITRAGES!$H267="ondo",C266+ARBITRAGES!$G267,C266),C266))</f>
        <v>0</v>
      </c>
      <c r="D267" s="545">
        <f>IF($M267="","", IF(ARBITRAGES!$G267&gt;0,IF(ARBITRAGES!$H267="sol",D266+ARBITRAGES!$G267,D266),D266))</f>
        <v>4858.693837</v>
      </c>
      <c r="E267" s="545">
        <f>IF($M267="","", IF(ARBITRAGES!$G267&gt;0,IF(ARBITRAGES!$H267="tao",E266+ARBITRAGES!$G267,E266),E266))</f>
        <v>0</v>
      </c>
      <c r="F267" s="545">
        <f>IF($M267="","", IF(ARBITRAGES!$G267&gt;0,IF(ARBITRAGES!$H267="ron",F266+ARBITRAGES!$G267,F266),F266))</f>
        <v>0</v>
      </c>
      <c r="G267" s="545">
        <f>IF($M267="","", IF(ARBITRAGES!$G267&gt;0,IF(ARBITRAGES!$H267="link",G266+ARBITRAGES!$G267,G266),G266))</f>
        <v>0</v>
      </c>
      <c r="H267" s="545">
        <f>IF($M267="","", IF(ARBITRAGES!$G267&gt;0,IF(ARBITRAGES!$H267="doge",H266+ARBITRAGES!$G267,H266),H266))</f>
        <v>0</v>
      </c>
      <c r="I267" s="545"/>
      <c r="J267" s="545"/>
      <c r="K267" s="545"/>
      <c r="L267" s="545"/>
      <c r="M267" s="540">
        <f>IF(ARBITRAGES!E267=0,"",ARBITRAGES!E267)</f>
        <v>46065</v>
      </c>
      <c r="N267" s="541">
        <f>IF(M267="","", SUM(A267:H267)+ARBITRAGES!$K$3)</f>
        <v>37467.52166</v>
      </c>
      <c r="O267" s="542">
        <f>IF(M267="","",SUM(PRIX!B267:G267))</f>
        <v>69724.536</v>
      </c>
      <c r="Q267" s="546"/>
      <c r="R267" s="546"/>
      <c r="S267" s="547"/>
      <c r="T267" s="547"/>
    </row>
    <row r="268">
      <c r="A268" s="545">
        <f>IF($M268="","", IF(ARBITRAGES!$G268&gt;0,IF(ARBITRAGES!$H268="btc",A267+ARBITRAGES!$G268,A267),A267))</f>
        <v>5999.429056</v>
      </c>
      <c r="B268" s="545">
        <f>IF($M268="","", IF(ARBITRAGES!$G268&gt;0,IF(ARBITRAGES!$H268="eth",B267+ARBITRAGES!$G268,B267),B267))</f>
        <v>5059.398762</v>
      </c>
      <c r="C268" s="545">
        <f>IF($M268="","", IF(ARBITRAGES!$G268&gt;0,IF(ARBITRAGES!$H268="ondo",C267+ARBITRAGES!$G268,C267),C267))</f>
        <v>0</v>
      </c>
      <c r="D268" s="545">
        <f>IF($M268="","", IF(ARBITRAGES!$G268&gt;0,IF(ARBITRAGES!$H268="sol",D267+ARBITRAGES!$G268,D267),D267))</f>
        <v>4858.693837</v>
      </c>
      <c r="E268" s="545">
        <f>IF($M268="","", IF(ARBITRAGES!$G268&gt;0,IF(ARBITRAGES!$H268="tao",E267+ARBITRAGES!$G268,E267),E267))</f>
        <v>0</v>
      </c>
      <c r="F268" s="545">
        <f>IF($M268="","", IF(ARBITRAGES!$G268&gt;0,IF(ARBITRAGES!$H268="ron",F267+ARBITRAGES!$G268,F267),F267))</f>
        <v>0</v>
      </c>
      <c r="G268" s="545">
        <f>IF($M268="","", IF(ARBITRAGES!$G268&gt;0,IF(ARBITRAGES!$H268="link",G267+ARBITRAGES!$G268,G267),G267))</f>
        <v>0</v>
      </c>
      <c r="H268" s="545">
        <f>IF($M268="","", IF(ARBITRAGES!$G268&gt;0,IF(ARBITRAGES!$H268="doge",H267+ARBITRAGES!$G268,H267),H267))</f>
        <v>0</v>
      </c>
      <c r="I268" s="545"/>
      <c r="J268" s="545"/>
      <c r="K268" s="545"/>
      <c r="L268" s="545"/>
      <c r="M268" s="540">
        <f>IF(ARBITRAGES!E268=0,"",ARBITRAGES!E268)</f>
        <v>46066</v>
      </c>
      <c r="N268" s="541">
        <f>IF(M268="","", SUM(A268:H268)+ARBITRAGES!$K$3)</f>
        <v>37467.52166</v>
      </c>
      <c r="O268" s="542">
        <f>IF(M268="","",SUM(PRIX!B268:G268))</f>
        <v>69724.536</v>
      </c>
      <c r="Q268" s="546"/>
      <c r="R268" s="546"/>
      <c r="S268" s="547"/>
      <c r="T268" s="547"/>
    </row>
    <row r="269">
      <c r="A269" s="545" t="str">
        <f>IF($M269="","", IF(ARBITRAGES!$G269&gt;0,IF(ARBITRAGES!$H269="btc",A268+ARBITRAGES!$G269,A268),A268))</f>
        <v/>
      </c>
      <c r="B269" s="545" t="str">
        <f>IF($M269="","", IF(ARBITRAGES!$G269&gt;0,IF(ARBITRAGES!$H269="eth",B268+ARBITRAGES!$G269,B268),B268))</f>
        <v/>
      </c>
      <c r="C269" s="545" t="str">
        <f>IF($M269="","", IF(ARBITRAGES!$G269&gt;0,IF(ARBITRAGES!$H269="ondo",C268+ARBITRAGES!$G269,C268),C268))</f>
        <v/>
      </c>
      <c r="D269" s="545" t="str">
        <f>IF($M269="","", IF(ARBITRAGES!$G269&gt;0,IF(ARBITRAGES!$H269="sol",D268+ARBITRAGES!$G269,D268),D268))</f>
        <v/>
      </c>
      <c r="E269" s="545" t="str">
        <f>IF($M269="","", IF(ARBITRAGES!$G269&gt;0,IF(ARBITRAGES!$H269="tao",E268+ARBITRAGES!$G269,E268),E268))</f>
        <v/>
      </c>
      <c r="F269" s="545" t="str">
        <f>IF($M269="","", IF(ARBITRAGES!$G269&gt;0,IF(ARBITRAGES!$H269="ron",F268+ARBITRAGES!$G269,F268),F268))</f>
        <v/>
      </c>
      <c r="G269" s="545" t="str">
        <f>IF($M269="","", IF(ARBITRAGES!$G269&gt;0,IF(ARBITRAGES!$H269="link",G268+ARBITRAGES!$G269,G268),G268))</f>
        <v/>
      </c>
      <c r="H269" s="545" t="str">
        <f>IF($M269="","", IF(ARBITRAGES!$G269&gt;0,IF(ARBITRAGES!$H269="doge",H268+ARBITRAGES!$G269,H268),H268))</f>
        <v/>
      </c>
      <c r="I269" s="545"/>
      <c r="J269" s="545"/>
      <c r="K269" s="545"/>
      <c r="L269" s="545"/>
      <c r="M269" s="540" t="str">
        <f>IF(ARBITRAGES!E269=0,"",ARBITRAGES!E269)</f>
        <v/>
      </c>
      <c r="N269" s="541" t="str">
        <f>IF(M269="","", SUM(A269:H269)+ARBITRAGES!$K$3)</f>
        <v/>
      </c>
      <c r="O269" s="542" t="str">
        <f>IF(M269="","",SUM(PRIX!B269:G269))</f>
        <v/>
      </c>
      <c r="Q269" s="546"/>
      <c r="R269" s="546"/>
      <c r="S269" s="547"/>
      <c r="T269" s="547"/>
    </row>
    <row r="270">
      <c r="A270" s="545" t="str">
        <f>IF($M270="","", IF(ARBITRAGES!$G270&gt;0,IF(ARBITRAGES!$H270="btc",A269+ARBITRAGES!$G270,A269),A269))</f>
        <v/>
      </c>
      <c r="B270" s="545" t="str">
        <f>IF($M270="","", IF(ARBITRAGES!$G270&gt;0,IF(ARBITRAGES!$H270="eth",B269+ARBITRAGES!$G270,B269),B269))</f>
        <v/>
      </c>
      <c r="C270" s="545" t="str">
        <f>IF($M270="","", IF(ARBITRAGES!$G270&gt;0,IF(ARBITRAGES!$H270="ondo",C269+ARBITRAGES!$G270,C269),C269))</f>
        <v/>
      </c>
      <c r="D270" s="545" t="str">
        <f>IF($M270="","", IF(ARBITRAGES!$G270&gt;0,IF(ARBITRAGES!$H270="sol",D269+ARBITRAGES!$G270,D269),D269))</f>
        <v/>
      </c>
      <c r="E270" s="545" t="str">
        <f>IF($M270="","", IF(ARBITRAGES!$G270&gt;0,IF(ARBITRAGES!$H270="tao",E269+ARBITRAGES!$G270,E269),E269))</f>
        <v/>
      </c>
      <c r="F270" s="545" t="str">
        <f>IF($M270="","", IF(ARBITRAGES!$G270&gt;0,IF(ARBITRAGES!$H270="ron",F269+ARBITRAGES!$G270,F269),F269))</f>
        <v/>
      </c>
      <c r="G270" s="545" t="str">
        <f>IF($M270="","", IF(ARBITRAGES!$G270&gt;0,IF(ARBITRAGES!$H270="link",G269+ARBITRAGES!$G270,G269),G269))</f>
        <v/>
      </c>
      <c r="H270" s="545" t="str">
        <f>IF($M270="","", IF(ARBITRAGES!$G270&gt;0,IF(ARBITRAGES!$H270="doge",H269+ARBITRAGES!$G270,H269),H269))</f>
        <v/>
      </c>
      <c r="I270" s="545"/>
      <c r="J270" s="545"/>
      <c r="K270" s="545"/>
      <c r="L270" s="545"/>
      <c r="M270" s="540" t="str">
        <f>IF(ARBITRAGES!E270=0,"",ARBITRAGES!E270)</f>
        <v/>
      </c>
      <c r="N270" s="541" t="str">
        <f>IF(M270="","", SUM(A270:H270)+ARBITRAGES!$K$3)</f>
        <v/>
      </c>
      <c r="O270" s="542" t="str">
        <f>IF(M270="","",SUM(PRIX!B270:G270))</f>
        <v/>
      </c>
      <c r="Q270" s="546"/>
      <c r="R270" s="546"/>
      <c r="S270" s="547"/>
      <c r="T270" s="547"/>
    </row>
    <row r="271">
      <c r="A271" s="545" t="str">
        <f>IF($M271="","", IF(ARBITRAGES!$G271&gt;0,IF(ARBITRAGES!$H271="btc",A270+ARBITRAGES!$G271,A270),A270))</f>
        <v/>
      </c>
      <c r="B271" s="545" t="str">
        <f>IF($M271="","", IF(ARBITRAGES!$G271&gt;0,IF(ARBITRAGES!$H271="eth",B270+ARBITRAGES!$G271,B270),B270))</f>
        <v/>
      </c>
      <c r="C271" s="545" t="str">
        <f>IF($M271="","", IF(ARBITRAGES!$G271&gt;0,IF(ARBITRAGES!$H271="ondo",C270+ARBITRAGES!$G271,C270),C270))</f>
        <v/>
      </c>
      <c r="D271" s="545" t="str">
        <f>IF($M271="","", IF(ARBITRAGES!$G271&gt;0,IF(ARBITRAGES!$H271="sol",D270+ARBITRAGES!$G271,D270),D270))</f>
        <v/>
      </c>
      <c r="E271" s="545" t="str">
        <f>IF($M271="","", IF(ARBITRAGES!$G271&gt;0,IF(ARBITRAGES!$H271="tao",E270+ARBITRAGES!$G271,E270),E270))</f>
        <v/>
      </c>
      <c r="F271" s="545" t="str">
        <f>IF($M271="","", IF(ARBITRAGES!$G271&gt;0,IF(ARBITRAGES!$H271="ron",F270+ARBITRAGES!$G271,F270),F270))</f>
        <v/>
      </c>
      <c r="G271" s="545" t="str">
        <f>IF($M271="","", IF(ARBITRAGES!$G271&gt;0,IF(ARBITRAGES!$H271="link",G270+ARBITRAGES!$G271,G270),G270))</f>
        <v/>
      </c>
      <c r="H271" s="545" t="str">
        <f>IF($M271="","", IF(ARBITRAGES!$G271&gt;0,IF(ARBITRAGES!$H271="doge",H270+ARBITRAGES!$G271,H270),H270))</f>
        <v/>
      </c>
      <c r="I271" s="545"/>
      <c r="J271" s="545"/>
      <c r="K271" s="545"/>
      <c r="L271" s="545"/>
      <c r="M271" s="540" t="str">
        <f>IF(ARBITRAGES!E271=0,"",ARBITRAGES!E271)</f>
        <v/>
      </c>
      <c r="N271" s="541" t="str">
        <f>IF(M271="","", SUM(A271:H271)+ARBITRAGES!$K$3)</f>
        <v/>
      </c>
      <c r="O271" s="542" t="str">
        <f>IF(M271="","",SUM(PRIX!B271:G271))</f>
        <v/>
      </c>
      <c r="Q271" s="546"/>
      <c r="R271" s="546"/>
      <c r="S271" s="547"/>
      <c r="T271" s="547"/>
    </row>
    <row r="272">
      <c r="A272" s="545" t="str">
        <f>IF($M272="","", IF(ARBITRAGES!$G272&gt;0,IF(ARBITRAGES!$H272="btc",A271+ARBITRAGES!$G272,A271),A271))</f>
        <v/>
      </c>
      <c r="B272" s="545" t="str">
        <f>IF($M272="","", IF(ARBITRAGES!$G272&gt;0,IF(ARBITRAGES!$H272="eth",B271+ARBITRAGES!$G272,B271),B271))</f>
        <v/>
      </c>
      <c r="C272" s="545" t="str">
        <f>IF($M272="","", IF(ARBITRAGES!$G272&gt;0,IF(ARBITRAGES!$H272="ondo",C271+ARBITRAGES!$G272,C271),C271))</f>
        <v/>
      </c>
      <c r="D272" s="545" t="str">
        <f>IF($M272="","", IF(ARBITRAGES!$G272&gt;0,IF(ARBITRAGES!$H272="sol",D271+ARBITRAGES!$G272,D271),D271))</f>
        <v/>
      </c>
      <c r="E272" s="545" t="str">
        <f>IF($M272="","", IF(ARBITRAGES!$G272&gt;0,IF(ARBITRAGES!$H272="tao",E271+ARBITRAGES!$G272,E271),E271))</f>
        <v/>
      </c>
      <c r="F272" s="545" t="str">
        <f>IF($M272="","", IF(ARBITRAGES!$G272&gt;0,IF(ARBITRAGES!$H272="ron",F271+ARBITRAGES!$G272,F271),F271))</f>
        <v/>
      </c>
      <c r="G272" s="545" t="str">
        <f>IF($M272="","", IF(ARBITRAGES!$G272&gt;0,IF(ARBITRAGES!$H272="link",G271+ARBITRAGES!$G272,G271),G271))</f>
        <v/>
      </c>
      <c r="H272" s="545" t="str">
        <f>IF($M272="","", IF(ARBITRAGES!$G272&gt;0,IF(ARBITRAGES!$H272="doge",H271+ARBITRAGES!$G272,H271),H271))</f>
        <v/>
      </c>
      <c r="I272" s="545"/>
      <c r="J272" s="545"/>
      <c r="K272" s="545"/>
      <c r="L272" s="545"/>
      <c r="M272" s="540" t="str">
        <f>IF(ARBITRAGES!E272=0,"",ARBITRAGES!E272)</f>
        <v/>
      </c>
      <c r="N272" s="541" t="str">
        <f>IF(M272="","", SUM(A272:H272)+ARBITRAGES!$K$3)</f>
        <v/>
      </c>
      <c r="O272" s="542" t="str">
        <f>IF(M272="","",SUM(PRIX!B272:G272))</f>
        <v/>
      </c>
      <c r="Q272" s="546"/>
      <c r="R272" s="546"/>
      <c r="S272" s="547"/>
      <c r="T272" s="547"/>
    </row>
    <row r="273">
      <c r="A273" s="545" t="str">
        <f>IF($M273="","", IF(ARBITRAGES!$G273&gt;0,IF(ARBITRAGES!$H273="btc",A272+ARBITRAGES!$G273,A272),A272))</f>
        <v/>
      </c>
      <c r="B273" s="545" t="str">
        <f>IF($M273="","", IF(ARBITRAGES!$G273&gt;0,IF(ARBITRAGES!$H273="eth",B272+ARBITRAGES!$G273,B272),B272))</f>
        <v/>
      </c>
      <c r="C273" s="545" t="str">
        <f>IF($M273="","", IF(ARBITRAGES!$G273&gt;0,IF(ARBITRAGES!$H273="ondo",C272+ARBITRAGES!$G273,C272),C272))</f>
        <v/>
      </c>
      <c r="D273" s="545" t="str">
        <f>IF($M273="","", IF(ARBITRAGES!$G273&gt;0,IF(ARBITRAGES!$H273="sol",D272+ARBITRAGES!$G273,D272),D272))</f>
        <v/>
      </c>
      <c r="E273" s="545" t="str">
        <f>IF($M273="","", IF(ARBITRAGES!$G273&gt;0,IF(ARBITRAGES!$H273="tao",E272+ARBITRAGES!$G273,E272),E272))</f>
        <v/>
      </c>
      <c r="F273" s="545" t="str">
        <f>IF($M273="","", IF(ARBITRAGES!$G273&gt;0,IF(ARBITRAGES!$H273="ron",F272+ARBITRAGES!$G273,F272),F272))</f>
        <v/>
      </c>
      <c r="G273" s="545" t="str">
        <f>IF($M273="","", IF(ARBITRAGES!$G273&gt;0,IF(ARBITRAGES!$H273="link",G272+ARBITRAGES!$G273,G272),G272))</f>
        <v/>
      </c>
      <c r="H273" s="545" t="str">
        <f>IF($M273="","", IF(ARBITRAGES!$G273&gt;0,IF(ARBITRAGES!$H273="doge",H272+ARBITRAGES!$G273,H272),H272))</f>
        <v/>
      </c>
      <c r="I273" s="545"/>
      <c r="J273" s="545"/>
      <c r="K273" s="545"/>
      <c r="L273" s="545"/>
      <c r="M273" s="540" t="str">
        <f>IF(ARBITRAGES!E273=0,"",ARBITRAGES!E273)</f>
        <v/>
      </c>
      <c r="N273" s="541" t="str">
        <f>IF(M273="","", SUM(A273:H273)+ARBITRAGES!$K$3)</f>
        <v/>
      </c>
      <c r="O273" s="542" t="str">
        <f>IF(M273="","",SUM(PRIX!B273:G273))</f>
        <v/>
      </c>
      <c r="Q273" s="546"/>
      <c r="R273" s="546"/>
      <c r="S273" s="547"/>
      <c r="T273" s="547"/>
    </row>
    <row r="274">
      <c r="A274" s="545" t="str">
        <f>IF($M274="","", IF(ARBITRAGES!$G274&gt;0,IF(ARBITRAGES!$H274="btc",A273+ARBITRAGES!$G274,A273),A273))</f>
        <v/>
      </c>
      <c r="B274" s="545" t="str">
        <f>IF($M274="","", IF(ARBITRAGES!$G274&gt;0,IF(ARBITRAGES!$H274="eth",B273+ARBITRAGES!$G274,B273),B273))</f>
        <v/>
      </c>
      <c r="C274" s="545" t="str">
        <f>IF($M274="","", IF(ARBITRAGES!$G274&gt;0,IF(ARBITRAGES!$H274="ondo",C273+ARBITRAGES!$G274,C273),C273))</f>
        <v/>
      </c>
      <c r="D274" s="545" t="str">
        <f>IF($M274="","", IF(ARBITRAGES!$G274&gt;0,IF(ARBITRAGES!$H274="sol",D273+ARBITRAGES!$G274,D273),D273))</f>
        <v/>
      </c>
      <c r="E274" s="545" t="str">
        <f>IF($M274="","", IF(ARBITRAGES!$G274&gt;0,IF(ARBITRAGES!$H274="tao",E273+ARBITRAGES!$G274,E273),E273))</f>
        <v/>
      </c>
      <c r="F274" s="545" t="str">
        <f>IF($M274="","", IF(ARBITRAGES!$G274&gt;0,IF(ARBITRAGES!$H274="ron",F273+ARBITRAGES!$G274,F273),F273))</f>
        <v/>
      </c>
      <c r="G274" s="545" t="str">
        <f>IF($M274="","", IF(ARBITRAGES!$G274&gt;0,IF(ARBITRAGES!$H274="link",G273+ARBITRAGES!$G274,G273),G273))</f>
        <v/>
      </c>
      <c r="H274" s="545" t="str">
        <f>IF($M274="","", IF(ARBITRAGES!$G274&gt;0,IF(ARBITRAGES!$H274="doge",H273+ARBITRAGES!$G274,H273),H273))</f>
        <v/>
      </c>
      <c r="I274" s="545"/>
      <c r="J274" s="545"/>
      <c r="K274" s="545"/>
      <c r="L274" s="545"/>
      <c r="M274" s="540" t="str">
        <f>IF(ARBITRAGES!E274=0,"",ARBITRAGES!E274)</f>
        <v/>
      </c>
      <c r="N274" s="541" t="str">
        <f>IF(M274="","", SUM(A274:H274)+ARBITRAGES!$K$3)</f>
        <v/>
      </c>
      <c r="O274" s="542" t="str">
        <f>IF(M274="","",SUM(PRIX!B274:G274))</f>
        <v/>
      </c>
      <c r="Q274" s="546"/>
      <c r="R274" s="546"/>
      <c r="S274" s="547"/>
      <c r="T274" s="547"/>
    </row>
    <row r="275">
      <c r="A275" s="545" t="str">
        <f>IF($M275="","", IF(ARBITRAGES!$G275&gt;0,IF(ARBITRAGES!$H275="btc",A274+ARBITRAGES!$G275,A274),A274))</f>
        <v/>
      </c>
      <c r="B275" s="545" t="str">
        <f>IF($M275="","", IF(ARBITRAGES!$G275&gt;0,IF(ARBITRAGES!$H275="eth",B274+ARBITRAGES!$G275,B274),B274))</f>
        <v/>
      </c>
      <c r="C275" s="545" t="str">
        <f>IF($M275="","", IF(ARBITRAGES!$G275&gt;0,IF(ARBITRAGES!$H275="ondo",C274+ARBITRAGES!$G275,C274),C274))</f>
        <v/>
      </c>
      <c r="D275" s="545" t="str">
        <f>IF($M275="","", IF(ARBITRAGES!$G275&gt;0,IF(ARBITRAGES!$H275="sol",D274+ARBITRAGES!$G275,D274),D274))</f>
        <v/>
      </c>
      <c r="E275" s="545" t="str">
        <f>IF($M275="","", IF(ARBITRAGES!$G275&gt;0,IF(ARBITRAGES!$H275="tao",E274+ARBITRAGES!$G275,E274),E274))</f>
        <v/>
      </c>
      <c r="F275" s="545" t="str">
        <f>IF($M275="","", IF(ARBITRAGES!$G275&gt;0,IF(ARBITRAGES!$H275="ron",F274+ARBITRAGES!$G275,F274),F274))</f>
        <v/>
      </c>
      <c r="G275" s="545" t="str">
        <f>IF($M275="","", IF(ARBITRAGES!$G275&gt;0,IF(ARBITRAGES!$H275="link",G274+ARBITRAGES!$G275,G274),G274))</f>
        <v/>
      </c>
      <c r="H275" s="545" t="str">
        <f>IF($M275="","", IF(ARBITRAGES!$G275&gt;0,IF(ARBITRAGES!$H275="doge",H274+ARBITRAGES!$G275,H274),H274))</f>
        <v/>
      </c>
      <c r="I275" s="545"/>
      <c r="J275" s="545"/>
      <c r="K275" s="545"/>
      <c r="L275" s="545"/>
      <c r="M275" s="540" t="str">
        <f>IF(ARBITRAGES!E275=0,"",ARBITRAGES!E275)</f>
        <v/>
      </c>
      <c r="N275" s="541" t="str">
        <f>IF(M275="","", SUM(A275:H275)+ARBITRAGES!$K$3)</f>
        <v/>
      </c>
      <c r="O275" s="542" t="str">
        <f>IF(M275="","",SUM(PRIX!B275:G275))</f>
        <v/>
      </c>
      <c r="Q275" s="546"/>
      <c r="R275" s="546"/>
      <c r="S275" s="547"/>
      <c r="T275" s="547"/>
    </row>
    <row r="276">
      <c r="A276" s="545" t="str">
        <f>IF($M276="","", IF(ARBITRAGES!$G276&gt;0,IF(ARBITRAGES!$H276="btc",A275+ARBITRAGES!$G276,A275),A275))</f>
        <v/>
      </c>
      <c r="B276" s="545" t="str">
        <f>IF($M276="","", IF(ARBITRAGES!$G276&gt;0,IF(ARBITRAGES!$H276="eth",B275+ARBITRAGES!$G276,B275),B275))</f>
        <v/>
      </c>
      <c r="C276" s="545" t="str">
        <f>IF($M276="","", IF(ARBITRAGES!$G276&gt;0,IF(ARBITRAGES!$H276="ondo",C275+ARBITRAGES!$G276,C275),C275))</f>
        <v/>
      </c>
      <c r="D276" s="545" t="str">
        <f>IF($M276="","", IF(ARBITRAGES!$G276&gt;0,IF(ARBITRAGES!$H276="sol",D275+ARBITRAGES!$G276,D275),D275))</f>
        <v/>
      </c>
      <c r="E276" s="545" t="str">
        <f>IF($M276="","", IF(ARBITRAGES!$G276&gt;0,IF(ARBITRAGES!$H276="tao",E275+ARBITRAGES!$G276,E275),E275))</f>
        <v/>
      </c>
      <c r="F276" s="545" t="str">
        <f>IF($M276="","", IF(ARBITRAGES!$G276&gt;0,IF(ARBITRAGES!$H276="ron",F275+ARBITRAGES!$G276,F275),F275))</f>
        <v/>
      </c>
      <c r="G276" s="545" t="str">
        <f>IF($M276="","", IF(ARBITRAGES!$G276&gt;0,IF(ARBITRAGES!$H276="link",G275+ARBITRAGES!$G276,G275),G275))</f>
        <v/>
      </c>
      <c r="H276" s="545" t="str">
        <f>IF($M276="","", IF(ARBITRAGES!$G276&gt;0,IF(ARBITRAGES!$H276="doge",H275+ARBITRAGES!$G276,H275),H275))</f>
        <v/>
      </c>
      <c r="I276" s="545"/>
      <c r="J276" s="545"/>
      <c r="K276" s="545"/>
      <c r="L276" s="545"/>
      <c r="M276" s="540" t="str">
        <f>IF(ARBITRAGES!E276=0,"",ARBITRAGES!E276)</f>
        <v/>
      </c>
      <c r="N276" s="541" t="str">
        <f>IF(M276="","", SUM(A276:H276)+ARBITRAGES!$K$3)</f>
        <v/>
      </c>
      <c r="O276" s="542" t="str">
        <f>IF(M276="","",SUM(PRIX!B276:G276))</f>
        <v/>
      </c>
      <c r="Q276" s="546"/>
      <c r="R276" s="546"/>
      <c r="S276" s="547"/>
      <c r="T276" s="547"/>
    </row>
    <row r="277">
      <c r="A277" s="545" t="str">
        <f>IF($M277="","", IF(ARBITRAGES!$G277&gt;0,IF(ARBITRAGES!$H277="btc",A276+ARBITRAGES!$G277,A276),A276))</f>
        <v/>
      </c>
      <c r="B277" s="545" t="str">
        <f>IF($M277="","", IF(ARBITRAGES!$G277&gt;0,IF(ARBITRAGES!$H277="eth",B276+ARBITRAGES!$G277,B276),B276))</f>
        <v/>
      </c>
      <c r="C277" s="545" t="str">
        <f>IF($M277="","", IF(ARBITRAGES!$G277&gt;0,IF(ARBITRAGES!$H277="ondo",C276+ARBITRAGES!$G277,C276),C276))</f>
        <v/>
      </c>
      <c r="D277" s="545" t="str">
        <f>IF($M277="","", IF(ARBITRAGES!$G277&gt;0,IF(ARBITRAGES!$H277="sol",D276+ARBITRAGES!$G277,D276),D276))</f>
        <v/>
      </c>
      <c r="E277" s="545" t="str">
        <f>IF($M277="","", IF(ARBITRAGES!$G277&gt;0,IF(ARBITRAGES!$H277="tao",E276+ARBITRAGES!$G277,E276),E276))</f>
        <v/>
      </c>
      <c r="F277" s="545" t="str">
        <f>IF($M277="","", IF(ARBITRAGES!$G277&gt;0,IF(ARBITRAGES!$H277="ron",F276+ARBITRAGES!$G277,F276),F276))</f>
        <v/>
      </c>
      <c r="G277" s="545" t="str">
        <f>IF($M277="","", IF(ARBITRAGES!$G277&gt;0,IF(ARBITRAGES!$H277="link",G276+ARBITRAGES!$G277,G276),G276))</f>
        <v/>
      </c>
      <c r="H277" s="545" t="str">
        <f>IF($M277="","", IF(ARBITRAGES!$G277&gt;0,IF(ARBITRAGES!$H277="doge",H276+ARBITRAGES!$G277,H276),H276))</f>
        <v/>
      </c>
      <c r="I277" s="545"/>
      <c r="J277" s="545"/>
      <c r="K277" s="545"/>
      <c r="L277" s="545"/>
      <c r="M277" s="540" t="str">
        <f>IF(ARBITRAGES!E277=0,"",ARBITRAGES!E277)</f>
        <v/>
      </c>
      <c r="N277" s="541" t="str">
        <f>IF(M277="","", SUM(A277:H277)+ARBITRAGES!$K$3)</f>
        <v/>
      </c>
      <c r="O277" s="542" t="str">
        <f>IF(M277="","",SUM(PRIX!B277:G277))</f>
        <v/>
      </c>
      <c r="Q277" s="546"/>
      <c r="R277" s="546"/>
      <c r="S277" s="547"/>
      <c r="T277" s="547"/>
    </row>
    <row r="278">
      <c r="A278" s="545" t="str">
        <f>IF($M278="","", IF(ARBITRAGES!$G278&gt;0,IF(ARBITRAGES!$H278="btc",A277+ARBITRAGES!$G278,A277),A277))</f>
        <v/>
      </c>
      <c r="B278" s="545" t="str">
        <f>IF($M278="","", IF(ARBITRAGES!$G278&gt;0,IF(ARBITRAGES!$H278="eth",B277+ARBITRAGES!$G278,B277),B277))</f>
        <v/>
      </c>
      <c r="C278" s="545" t="str">
        <f>IF($M278="","", IF(ARBITRAGES!$G278&gt;0,IF(ARBITRAGES!$H278="ondo",C277+ARBITRAGES!$G278,C277),C277))</f>
        <v/>
      </c>
      <c r="D278" s="545" t="str">
        <f>IF($M278="","", IF(ARBITRAGES!$G278&gt;0,IF(ARBITRAGES!$H278="sol",D277+ARBITRAGES!$G278,D277),D277))</f>
        <v/>
      </c>
      <c r="E278" s="545" t="str">
        <f>IF($M278="","", IF(ARBITRAGES!$G278&gt;0,IF(ARBITRAGES!$H278="tao",E277+ARBITRAGES!$G278,E277),E277))</f>
        <v/>
      </c>
      <c r="F278" s="545" t="str">
        <f>IF($M278="","", IF(ARBITRAGES!$G278&gt;0,IF(ARBITRAGES!$H278="ron",F277+ARBITRAGES!$G278,F277),F277))</f>
        <v/>
      </c>
      <c r="G278" s="545" t="str">
        <f>IF($M278="","", IF(ARBITRAGES!$G278&gt;0,IF(ARBITRAGES!$H278="rndr",G277+ARBITRAGES!$G278,G277),G277))</f>
        <v/>
      </c>
      <c r="H278" s="545" t="str">
        <f>IF($M278="","", IF(ARBITRAGES!$G278&gt;0,IF(ARBITRAGES!$H278="doge",H277+ARBITRAGES!$G278,H277),H277))</f>
        <v/>
      </c>
      <c r="I278" s="545"/>
      <c r="J278" s="545"/>
      <c r="K278" s="545"/>
      <c r="L278" s="545"/>
      <c r="M278" s="540" t="str">
        <f>IF(ARBITRAGES!E278=0,"",ARBITRAGES!E278)</f>
        <v/>
      </c>
      <c r="N278" s="541" t="str">
        <f>IF(M278="","", SUM(A278:H278)+ARBITRAGES!$K$3)</f>
        <v/>
      </c>
      <c r="O278" s="542" t="str">
        <f>IF(M278="","",SUM(PRIX!B278:G278))</f>
        <v/>
      </c>
      <c r="Q278" s="546"/>
      <c r="R278" s="546"/>
      <c r="S278" s="547"/>
      <c r="T278" s="547"/>
    </row>
    <row r="279">
      <c r="A279" s="545" t="str">
        <f>IF($M279="","", IF(ARBITRAGES!$G279&gt;0,IF(ARBITRAGES!$H279="btc",A278+ARBITRAGES!$G279,A278),A278))</f>
        <v/>
      </c>
      <c r="B279" s="545" t="str">
        <f>IF($M279="","", IF(ARBITRAGES!$G279&gt;0,IF(ARBITRAGES!$H279="eth",B278+ARBITRAGES!$G279,B278),B278))</f>
        <v/>
      </c>
      <c r="C279" s="545" t="str">
        <f>IF($M279="","", IF(ARBITRAGES!$G279&gt;0,IF(ARBITRAGES!$H279="ondo",C278+ARBITRAGES!$G279,C278),C278))</f>
        <v/>
      </c>
      <c r="D279" s="545" t="str">
        <f>IF($M279="","", IF(ARBITRAGES!$G279&gt;0,IF(ARBITRAGES!$H279="sol",D278+ARBITRAGES!$G279,D278),D278))</f>
        <v/>
      </c>
      <c r="E279" s="545" t="str">
        <f>IF($M279="","", IF(ARBITRAGES!$G279&gt;0,IF(ARBITRAGES!$H279="tao",E278+ARBITRAGES!$G279,E278),E278))</f>
        <v/>
      </c>
      <c r="F279" s="545" t="str">
        <f>IF($M279="","", IF(ARBITRAGES!$G279&gt;0,IF(ARBITRAGES!$H279="ron",F278+ARBITRAGES!$G279,F278),F278))</f>
        <v/>
      </c>
      <c r="G279" s="545" t="str">
        <f>IF($M279="","", IF(ARBITRAGES!$G279&gt;0,IF(ARBITRAGES!$H279="rndr",G278+ARBITRAGES!$G279,G278),G278))</f>
        <v/>
      </c>
      <c r="H279" s="545" t="str">
        <f>IF($M279="","", IF(ARBITRAGES!$G279&gt;0,IF(ARBITRAGES!$H279="doge",H278+ARBITRAGES!$G279,H278),H278))</f>
        <v/>
      </c>
      <c r="I279" s="545"/>
      <c r="J279" s="545"/>
      <c r="K279" s="545"/>
      <c r="L279" s="545"/>
      <c r="M279" s="540" t="str">
        <f>IF(ARBITRAGES!E279=0,"",ARBITRAGES!E279)</f>
        <v/>
      </c>
      <c r="N279" s="541" t="str">
        <f>IF(M279="","", SUM(A279:H279)+ARBITRAGES!$K$3)</f>
        <v/>
      </c>
      <c r="O279" s="542" t="str">
        <f>IF(M279="","",SUM(PRIX!B279:G279))</f>
        <v/>
      </c>
      <c r="Q279" s="546"/>
      <c r="R279" s="546"/>
      <c r="S279" s="547"/>
      <c r="T279" s="547"/>
    </row>
    <row r="280">
      <c r="A280" s="545" t="str">
        <f>IF($M280="","", IF(ARBITRAGES!$G280&gt;0,IF(ARBITRAGES!$H280="btc",A279+ARBITRAGES!$G280,A279),A279))</f>
        <v/>
      </c>
      <c r="B280" s="545" t="str">
        <f>IF($M280="","", IF(ARBITRAGES!$G280&gt;0,IF(ARBITRAGES!$H280="eth",B279+ARBITRAGES!$G280,B279),B279))</f>
        <v/>
      </c>
      <c r="C280" s="545" t="str">
        <f>IF($M280="","", IF(ARBITRAGES!$G280&gt;0,IF(ARBITRAGES!$H280="ondo",C279+ARBITRAGES!$G280,C279),C279))</f>
        <v/>
      </c>
      <c r="D280" s="545" t="str">
        <f>IF($M280="","", IF(ARBITRAGES!$G280&gt;0,IF(ARBITRAGES!$H280="sol",D279+ARBITRAGES!$G280,D279),D279))</f>
        <v/>
      </c>
      <c r="E280" s="545" t="str">
        <f>IF($M280="","", IF(ARBITRAGES!$G280&gt;0,IF(ARBITRAGES!$H280="tao",E279+ARBITRAGES!$G280,E279),E279))</f>
        <v/>
      </c>
      <c r="F280" s="545" t="str">
        <f>IF($M280="","", IF(ARBITRAGES!$G280&gt;0,IF(ARBITRAGES!$H280="ron",F279+ARBITRAGES!$G280,F279),F279))</f>
        <v/>
      </c>
      <c r="G280" s="545" t="str">
        <f>IF($M280="","", IF(ARBITRAGES!$G280&gt;0,IF(ARBITRAGES!$H280="rndr",G279+ARBITRAGES!$G280,G279),G279))</f>
        <v/>
      </c>
      <c r="H280" s="545" t="str">
        <f>IF($M280="","", IF(ARBITRAGES!$G280&gt;0,IF(ARBITRAGES!$H280="doge",H279+ARBITRAGES!$G280,H279),H279))</f>
        <v/>
      </c>
      <c r="I280" s="545"/>
      <c r="J280" s="545"/>
      <c r="K280" s="545"/>
      <c r="L280" s="545"/>
      <c r="M280" s="540" t="str">
        <f>IF(ARBITRAGES!E280=0,"",ARBITRAGES!E280)</f>
        <v/>
      </c>
      <c r="N280" s="541" t="str">
        <f>IF(M280="","", SUM(A280:H280)+ARBITRAGES!$K$3)</f>
        <v/>
      </c>
      <c r="O280" s="542" t="str">
        <f>IF(M280="","",SUM(PRIX!B280:G280))</f>
        <v/>
      </c>
      <c r="Q280" s="546"/>
      <c r="R280" s="546"/>
      <c r="S280" s="547"/>
      <c r="T280" s="547"/>
    </row>
    <row r="281">
      <c r="A281" s="545" t="str">
        <f>IF($M281="","", IF(ARBITRAGES!$G281&gt;0,IF(ARBITRAGES!$H281="btc",A280+ARBITRAGES!$G281,A280),A280))</f>
        <v/>
      </c>
      <c r="B281" s="545" t="str">
        <f>IF($M281="","", IF(ARBITRAGES!$G281&gt;0,IF(ARBITRAGES!$H281="eth",B280+ARBITRAGES!$G281,B280),B280))</f>
        <v/>
      </c>
      <c r="C281" s="545" t="str">
        <f>IF($M281="","", IF(ARBITRAGES!$G281&gt;0,IF(ARBITRAGES!$H281="ondo",C280+ARBITRAGES!$G281,C280),C280))</f>
        <v/>
      </c>
      <c r="D281" s="545" t="str">
        <f>IF($M281="","", IF(ARBITRAGES!$G281&gt;0,IF(ARBITRAGES!$H281="sol",D280+ARBITRAGES!$G281,D280),D280))</f>
        <v/>
      </c>
      <c r="E281" s="545" t="str">
        <f>IF($M281="","", IF(ARBITRAGES!$G281&gt;0,IF(ARBITRAGES!$H281="tao",E280+ARBITRAGES!$G281,E280),E280))</f>
        <v/>
      </c>
      <c r="F281" s="545" t="str">
        <f>IF($M281="","", IF(ARBITRAGES!$G281&gt;0,IF(ARBITRAGES!$H281="ron",F280+ARBITRAGES!$G281,F280),F280))</f>
        <v/>
      </c>
      <c r="G281" s="545" t="str">
        <f>IF($M281="","", IF(ARBITRAGES!$G281&gt;0,IF(ARBITRAGES!$H281="rndr",G280+ARBITRAGES!$G281,G280),G280))</f>
        <v/>
      </c>
      <c r="H281" s="545" t="str">
        <f>IF($M281="","", IF(ARBITRAGES!$G281&gt;0,IF(ARBITRAGES!$H281="doge",H280+ARBITRAGES!$G281,H280),H280))</f>
        <v/>
      </c>
      <c r="I281" s="545"/>
      <c r="J281" s="545"/>
      <c r="K281" s="545"/>
      <c r="L281" s="545"/>
      <c r="M281" s="540" t="str">
        <f>IF(ARBITRAGES!E281=0,"",ARBITRAGES!E281)</f>
        <v/>
      </c>
      <c r="N281" s="541" t="str">
        <f>IF(M281="","", SUM(A281:H281)+ARBITRAGES!$K$3)</f>
        <v/>
      </c>
      <c r="O281" s="542" t="str">
        <f>IF(M281="","",SUM(PRIX!B281:G281))</f>
        <v/>
      </c>
      <c r="Q281" s="546"/>
      <c r="R281" s="546"/>
      <c r="S281" s="547"/>
      <c r="T281" s="547"/>
    </row>
    <row r="282">
      <c r="A282" s="545" t="str">
        <f>IF($M282="","", IF(ARBITRAGES!$G282&gt;0,IF(ARBITRAGES!$H282="btc",A281+ARBITRAGES!$G282,A281),A281))</f>
        <v/>
      </c>
      <c r="B282" s="545" t="str">
        <f>IF($M282="","", IF(ARBITRAGES!$G282&gt;0,IF(ARBITRAGES!$H282="eth",B281+ARBITRAGES!$G282,B281),B281))</f>
        <v/>
      </c>
      <c r="C282" s="545" t="str">
        <f>IF($M282="","", IF(ARBITRAGES!$G282&gt;0,IF(ARBITRAGES!$H282="ondo",C281+ARBITRAGES!$G282,C281),C281))</f>
        <v/>
      </c>
      <c r="D282" s="545" t="str">
        <f>IF($M282="","", IF(ARBITRAGES!$G282&gt;0,IF(ARBITRAGES!$H282="sol",D281+ARBITRAGES!$G282,D281),D281))</f>
        <v/>
      </c>
      <c r="E282" s="545" t="str">
        <f>IF($M282="","", IF(ARBITRAGES!$G282&gt;0,IF(ARBITRAGES!$H282="tao",E281+ARBITRAGES!$G282,E281),E281))</f>
        <v/>
      </c>
      <c r="F282" s="545" t="str">
        <f>IF($M282="","", IF(ARBITRAGES!$G282&gt;0,IF(ARBITRAGES!$H282="ron",F281+ARBITRAGES!$G282,F281),F281))</f>
        <v/>
      </c>
      <c r="G282" s="545" t="str">
        <f>IF($M282="","", IF(ARBITRAGES!$G282&gt;0,IF(ARBITRAGES!$H282="rndr",G281+ARBITRAGES!$G282,G281),G281))</f>
        <v/>
      </c>
      <c r="H282" s="545" t="str">
        <f>IF($M282="","", IF(ARBITRAGES!$G282&gt;0,IF(ARBITRAGES!$H282="doge",H281+ARBITRAGES!$G282,H281),H281))</f>
        <v/>
      </c>
      <c r="I282" s="545"/>
      <c r="J282" s="545"/>
      <c r="K282" s="545"/>
      <c r="L282" s="545"/>
      <c r="M282" s="540" t="str">
        <f>IF(ARBITRAGES!E282=0,"",ARBITRAGES!E282)</f>
        <v/>
      </c>
      <c r="N282" s="541" t="str">
        <f>IF(M282="","", SUM(A282:H282)+ARBITRAGES!$K$3)</f>
        <v/>
      </c>
      <c r="O282" s="542" t="str">
        <f>IF(M282="","",SUM(PRIX!B282:G282))</f>
        <v/>
      </c>
      <c r="Q282" s="546"/>
      <c r="R282" s="546"/>
      <c r="S282" s="547"/>
      <c r="T282" s="547"/>
    </row>
    <row r="283">
      <c r="A283" s="545" t="str">
        <f>IF($M283="","", IF(ARBITRAGES!$G283&gt;0,IF(ARBITRAGES!$H283="btc",A282+ARBITRAGES!$G283,A282),A282))</f>
        <v/>
      </c>
      <c r="B283" s="545" t="str">
        <f>IF($M283="","", IF(ARBITRAGES!$G283&gt;0,IF(ARBITRAGES!$H283="eth",B282+ARBITRAGES!$G283,B282),B282))</f>
        <v/>
      </c>
      <c r="C283" s="545" t="str">
        <f>IF($M283="","", IF(ARBITRAGES!$G283&gt;0,IF(ARBITRAGES!$H283="ondo",C282+ARBITRAGES!$G283,C282),C282))</f>
        <v/>
      </c>
      <c r="D283" s="545" t="str">
        <f>IF($M283="","", IF(ARBITRAGES!$G283&gt;0,IF(ARBITRAGES!$H283="sol",D282+ARBITRAGES!$G283,D282),D282))</f>
        <v/>
      </c>
      <c r="E283" s="545" t="str">
        <f>IF($M283="","", IF(ARBITRAGES!$G283&gt;0,IF(ARBITRAGES!$H283="tao",E282+ARBITRAGES!$G283,E282),E282))</f>
        <v/>
      </c>
      <c r="F283" s="545" t="str">
        <f>IF($M283="","", IF(ARBITRAGES!$G283&gt;0,IF(ARBITRAGES!$H283="ron",F282+ARBITRAGES!$G283,F282),F282))</f>
        <v/>
      </c>
      <c r="G283" s="545" t="str">
        <f>IF($M283="","", IF(ARBITRAGES!$G283&gt;0,IF(ARBITRAGES!$H283="rndr",G282+ARBITRAGES!$G283,G282),G282))</f>
        <v/>
      </c>
      <c r="H283" s="545" t="str">
        <f>IF($M283="","", IF(ARBITRAGES!$G283&gt;0,IF(ARBITRAGES!$H283="doge",H282+ARBITRAGES!$G283,H282),H282))</f>
        <v/>
      </c>
      <c r="I283" s="545"/>
      <c r="J283" s="545"/>
      <c r="K283" s="545"/>
      <c r="L283" s="545"/>
      <c r="M283" s="540" t="str">
        <f>IF(ARBITRAGES!E283=0,"",ARBITRAGES!E283)</f>
        <v/>
      </c>
      <c r="N283" s="541" t="str">
        <f>IF(M283="","", SUM(A283:H283)+ARBITRAGES!$K$3)</f>
        <v/>
      </c>
      <c r="O283" s="542" t="str">
        <f>IF(M283="","",SUM(PRIX!B283:G283))</f>
        <v/>
      </c>
      <c r="Q283" s="546"/>
      <c r="R283" s="546"/>
      <c r="S283" s="547"/>
      <c r="T283" s="547"/>
    </row>
    <row r="284">
      <c r="A284" s="545" t="str">
        <f>IF($M284="","", IF(ARBITRAGES!$G284&gt;0,IF(ARBITRAGES!$H284="btc",A283+ARBITRAGES!$G284,A283),A283))</f>
        <v/>
      </c>
      <c r="B284" s="545" t="str">
        <f>IF($M284="","", IF(ARBITRAGES!$G284&gt;0,IF(ARBITRAGES!$H284="eth",B283+ARBITRAGES!$G284,B283),B283))</f>
        <v/>
      </c>
      <c r="C284" s="545" t="str">
        <f>IF($M284="","", IF(ARBITRAGES!$G284&gt;0,IF(ARBITRAGES!$H284="ondo",C283+ARBITRAGES!$G284,C283),C283))</f>
        <v/>
      </c>
      <c r="D284" s="545" t="str">
        <f>IF($M284="","", IF(ARBITRAGES!$G284&gt;0,IF(ARBITRAGES!$H284="sol",D283+ARBITRAGES!$G284,D283),D283))</f>
        <v/>
      </c>
      <c r="E284" s="545" t="str">
        <f>IF($M284="","", IF(ARBITRAGES!$G284&gt;0,IF(ARBITRAGES!$H284="tao",E283+ARBITRAGES!$G284,E283),E283))</f>
        <v/>
      </c>
      <c r="F284" s="545" t="str">
        <f>IF($M284="","", IF(ARBITRAGES!$G284&gt;0,IF(ARBITRAGES!$H284="ron",F283+ARBITRAGES!$G284,F283),F283))</f>
        <v/>
      </c>
      <c r="G284" s="545" t="str">
        <f>IF($M284="","", IF(ARBITRAGES!$G284&gt;0,IF(ARBITRAGES!$H284="rndr",G283+ARBITRAGES!$G284,G283),G283))</f>
        <v/>
      </c>
      <c r="H284" s="545" t="str">
        <f>IF($M284="","", IF(ARBITRAGES!$G284&gt;0,IF(ARBITRAGES!$H284="doge",H283+ARBITRAGES!$G284,H283),H283))</f>
        <v/>
      </c>
      <c r="I284" s="545"/>
      <c r="J284" s="545"/>
      <c r="K284" s="545"/>
      <c r="L284" s="545"/>
      <c r="M284" s="540" t="str">
        <f>IF(ARBITRAGES!E284=0,"",ARBITRAGES!E284)</f>
        <v/>
      </c>
      <c r="N284" s="541" t="str">
        <f>IF(M284="","", SUM(A284:H284)+ARBITRAGES!$K$3)</f>
        <v/>
      </c>
      <c r="O284" s="542" t="str">
        <f>IF(M284="","",SUM(PRIX!B284:G284))</f>
        <v/>
      </c>
      <c r="Q284" s="546"/>
      <c r="R284" s="546"/>
      <c r="S284" s="547"/>
      <c r="T284" s="547"/>
    </row>
    <row r="285">
      <c r="A285" s="545" t="str">
        <f>IF($M285="","", IF(ARBITRAGES!$G285&gt;0,IF(ARBITRAGES!$H285="btc",A284+ARBITRAGES!$G285,A284),A284))</f>
        <v/>
      </c>
      <c r="B285" s="545" t="str">
        <f>IF($M285="","", IF(ARBITRAGES!$G285&gt;0,IF(ARBITRAGES!$H285="eth",B284+ARBITRAGES!$G285,B284),B284))</f>
        <v/>
      </c>
      <c r="C285" s="545" t="str">
        <f>IF($M285="","", IF(ARBITRAGES!$G285&gt;0,IF(ARBITRAGES!$H285="ondo",C284+ARBITRAGES!$G285,C284),C284))</f>
        <v/>
      </c>
      <c r="D285" s="545" t="str">
        <f>IF($M285="","", IF(ARBITRAGES!$G285&gt;0,IF(ARBITRAGES!$H285="sol",D284+ARBITRAGES!$G285,D284),D284))</f>
        <v/>
      </c>
      <c r="E285" s="545" t="str">
        <f>IF($M285="","", IF(ARBITRAGES!$G285&gt;0,IF(ARBITRAGES!$H285="tao",E284+ARBITRAGES!$G285,E284),E284))</f>
        <v/>
      </c>
      <c r="F285" s="545" t="str">
        <f>IF($M285="","", IF(ARBITRAGES!$G285&gt;0,IF(ARBITRAGES!$H285="ron",F284+ARBITRAGES!$G285,F284),F284))</f>
        <v/>
      </c>
      <c r="G285" s="545" t="str">
        <f>IF($M285="","", IF(ARBITRAGES!$G285&gt;0,IF(ARBITRAGES!$H285="rndr",G284+ARBITRAGES!$G285,G284),G284))</f>
        <v/>
      </c>
      <c r="H285" s="545" t="str">
        <f>IF($M285="","", IF(ARBITRAGES!$G285&gt;0,IF(ARBITRAGES!$H285="doge",H284+ARBITRAGES!$G285,H284),H284))</f>
        <v/>
      </c>
      <c r="I285" s="545"/>
      <c r="J285" s="545"/>
      <c r="K285" s="545"/>
      <c r="L285" s="545"/>
      <c r="M285" s="540" t="str">
        <f>IF(ARBITRAGES!E285=0,"",ARBITRAGES!E285)</f>
        <v/>
      </c>
      <c r="N285" s="541" t="str">
        <f>IF(M285="","", SUM(A285:H285)+ARBITRAGES!$K$3)</f>
        <v/>
      </c>
      <c r="O285" s="542" t="str">
        <f>IF(M285="","",SUM(PRIX!B285:G285))</f>
        <v/>
      </c>
      <c r="Q285" s="546"/>
      <c r="R285" s="546"/>
      <c r="S285" s="547"/>
      <c r="T285" s="547"/>
    </row>
    <row r="286">
      <c r="A286" s="545" t="str">
        <f>IF($M286="","", IF(ARBITRAGES!$G286&gt;0,IF(ARBITRAGES!$H286="btc",A285+ARBITRAGES!$G286,A285),A285))</f>
        <v/>
      </c>
      <c r="B286" s="545" t="str">
        <f>IF($M286="","", IF(ARBITRAGES!$G286&gt;0,IF(ARBITRAGES!$H286="eth",B285+ARBITRAGES!$G286,B285),B285))</f>
        <v/>
      </c>
      <c r="C286" s="545" t="str">
        <f>IF($M286="","", IF(ARBITRAGES!$G286&gt;0,IF(ARBITRAGES!$H286="ondo",C285+ARBITRAGES!$G286,C285),C285))</f>
        <v/>
      </c>
      <c r="D286" s="545" t="str">
        <f>IF($M286="","", IF(ARBITRAGES!$G286&gt;0,IF(ARBITRAGES!$H286="sol",D285+ARBITRAGES!$G286,D285),D285))</f>
        <v/>
      </c>
      <c r="E286" s="545" t="str">
        <f>IF($M286="","", IF(ARBITRAGES!$G286&gt;0,IF(ARBITRAGES!$H286="tao",E285+ARBITRAGES!$G286,E285),E285))</f>
        <v/>
      </c>
      <c r="F286" s="545" t="str">
        <f>IF($M286="","", IF(ARBITRAGES!$G286&gt;0,IF(ARBITRAGES!$H286="ron",F285+ARBITRAGES!$G286,F285),F285))</f>
        <v/>
      </c>
      <c r="G286" s="545" t="str">
        <f>IF($M286="","", IF(ARBITRAGES!$G286&gt;0,IF(ARBITRAGES!$H286="rndr",G285+ARBITRAGES!$G286,G285),G285))</f>
        <v/>
      </c>
      <c r="H286" s="545" t="str">
        <f>IF($M286="","", IF(ARBITRAGES!$G286&gt;0,IF(ARBITRAGES!$H286="doge",H285+ARBITRAGES!$G286,H285),H285))</f>
        <v/>
      </c>
      <c r="I286" s="545"/>
      <c r="J286" s="545"/>
      <c r="K286" s="545"/>
      <c r="L286" s="545"/>
      <c r="M286" s="540" t="str">
        <f>IF(ARBITRAGES!E286=0,"",ARBITRAGES!E286)</f>
        <v/>
      </c>
      <c r="N286" s="541" t="str">
        <f>IF(M286="","", SUM(A286:H286)+ARBITRAGES!$K$3)</f>
        <v/>
      </c>
      <c r="O286" s="542" t="str">
        <f>IF(M286="","",SUM(PRIX!B286:G286))</f>
        <v/>
      </c>
      <c r="Q286" s="546"/>
      <c r="R286" s="546"/>
      <c r="S286" s="547"/>
      <c r="T286" s="547"/>
    </row>
    <row r="287">
      <c r="A287" s="545" t="str">
        <f>IF($M287="","", IF(ARBITRAGES!$G287&gt;0,IF(ARBITRAGES!$H287="btc",A286+ARBITRAGES!$G287,A286),A286))</f>
        <v/>
      </c>
      <c r="B287" s="545" t="str">
        <f>IF($M287="","", IF(ARBITRAGES!$G287&gt;0,IF(ARBITRAGES!$H287="eth",B286+ARBITRAGES!$G287,B286),B286))</f>
        <v/>
      </c>
      <c r="C287" s="545" t="str">
        <f>IF($M287="","", IF(ARBITRAGES!$G287&gt;0,IF(ARBITRAGES!$H287="ondo",C286+ARBITRAGES!$G287,C286),C286))</f>
        <v/>
      </c>
      <c r="D287" s="545" t="str">
        <f>IF($M287="","", IF(ARBITRAGES!$G287&gt;0,IF(ARBITRAGES!$H287="sol",D286+ARBITRAGES!$G287,D286),D286))</f>
        <v/>
      </c>
      <c r="E287" s="545" t="str">
        <f>IF($M287="","", IF(ARBITRAGES!$G287&gt;0,IF(ARBITRAGES!$H287="tao",E286+ARBITRAGES!$G287,E286),E286))</f>
        <v/>
      </c>
      <c r="F287" s="545" t="str">
        <f>IF($M287="","", IF(ARBITRAGES!$G287&gt;0,IF(ARBITRAGES!$H287="ron",F286+ARBITRAGES!$G287,F286),F286))</f>
        <v/>
      </c>
      <c r="G287" s="545" t="str">
        <f>IF($M287="","", IF(ARBITRAGES!$G287&gt;0,IF(ARBITRAGES!$H287="rndr",G286+ARBITRAGES!$G287,G286),G286))</f>
        <v/>
      </c>
      <c r="H287" s="545" t="str">
        <f>IF($M287="","", IF(ARBITRAGES!$G287&gt;0,IF(ARBITRAGES!$H287="doge",H286+ARBITRAGES!$G287,H286),H286))</f>
        <v/>
      </c>
      <c r="I287" s="545"/>
      <c r="J287" s="545"/>
      <c r="K287" s="545"/>
      <c r="L287" s="545"/>
      <c r="M287" s="540" t="str">
        <f>IF(ARBITRAGES!E287=0,"",ARBITRAGES!E287)</f>
        <v/>
      </c>
      <c r="N287" s="541" t="str">
        <f>IF(M287="","", SUM(A287:H287)+ARBITRAGES!$K$3)</f>
        <v/>
      </c>
      <c r="O287" s="542" t="str">
        <f>IF(M287="","",SUM(PRIX!B287:G287))</f>
        <v/>
      </c>
      <c r="Q287" s="546"/>
      <c r="R287" s="546"/>
      <c r="S287" s="547"/>
      <c r="T287" s="547"/>
    </row>
    <row r="288">
      <c r="A288" s="545" t="str">
        <f>IF($M288="","", IF(ARBITRAGES!$G288&gt;0,IF(ARBITRAGES!$H288="btc",A287+ARBITRAGES!$G288,A287),A287))</f>
        <v/>
      </c>
      <c r="B288" s="545" t="str">
        <f>IF($M288="","", IF(ARBITRAGES!$G288&gt;0,IF(ARBITRAGES!$H288="eth",B287+ARBITRAGES!$G288,B287),B287))</f>
        <v/>
      </c>
      <c r="C288" s="545" t="str">
        <f>IF($M288="","", IF(ARBITRAGES!$G288&gt;0,IF(ARBITRAGES!$H288="ondo",C287+ARBITRAGES!$G288,C287),C287))</f>
        <v/>
      </c>
      <c r="D288" s="545" t="str">
        <f>IF($M288="","", IF(ARBITRAGES!$G288&gt;0,IF(ARBITRAGES!$H288="sol",D287+ARBITRAGES!$G288,D287),D287))</f>
        <v/>
      </c>
      <c r="E288" s="545" t="str">
        <f>IF($M288="","", IF(ARBITRAGES!$G288&gt;0,IF(ARBITRAGES!$H288="tao",E287+ARBITRAGES!$G288,E287),E287))</f>
        <v/>
      </c>
      <c r="F288" s="545" t="str">
        <f>IF($M288="","", IF(ARBITRAGES!$G288&gt;0,IF(ARBITRAGES!$H288="ron",F287+ARBITRAGES!$G288,F287),F287))</f>
        <v/>
      </c>
      <c r="G288" s="545" t="str">
        <f>IF($M288="","", IF(ARBITRAGES!$G288&gt;0,IF(ARBITRAGES!$H288="rndr",G287+ARBITRAGES!$G288,G287),G287))</f>
        <v/>
      </c>
      <c r="H288" s="545" t="str">
        <f>IF($M288="","", IF(ARBITRAGES!$G288&gt;0,IF(ARBITRAGES!$H288="doge",H287+ARBITRAGES!$G288,H287),H287))</f>
        <v/>
      </c>
      <c r="I288" s="545"/>
      <c r="J288" s="545"/>
      <c r="K288" s="545"/>
      <c r="L288" s="545"/>
      <c r="M288" s="540" t="str">
        <f>IF(ARBITRAGES!E288=0,"",ARBITRAGES!E288)</f>
        <v/>
      </c>
      <c r="N288" s="541" t="str">
        <f>IF(M288="","", SUM(A288:H288)+ARBITRAGES!$K$3)</f>
        <v/>
      </c>
      <c r="O288" s="542" t="str">
        <f>IF(M288="","",SUM(PRIX!B288:G288))</f>
        <v/>
      </c>
      <c r="Q288" s="546"/>
      <c r="R288" s="546"/>
      <c r="S288" s="547"/>
      <c r="T288" s="547"/>
    </row>
    <row r="289">
      <c r="A289" s="545" t="str">
        <f>IF($M289="","", IF(ARBITRAGES!$G289&gt;0,IF(ARBITRAGES!$H289="btc",A288+ARBITRAGES!$G289,A288),A288))</f>
        <v/>
      </c>
      <c r="B289" s="545" t="str">
        <f>IF($M289="","", IF(ARBITRAGES!$G289&gt;0,IF(ARBITRAGES!$H289="eth",B288+ARBITRAGES!$G289,B288),B288))</f>
        <v/>
      </c>
      <c r="C289" s="545" t="str">
        <f>IF($M289="","", IF(ARBITRAGES!$G289&gt;0,IF(ARBITRAGES!$H289="ondo",C288+ARBITRAGES!$G289,C288),C288))</f>
        <v/>
      </c>
      <c r="D289" s="545" t="str">
        <f>IF($M289="","", IF(ARBITRAGES!$G289&gt;0,IF(ARBITRAGES!$H289="sol",D288+ARBITRAGES!$G289,D288),D288))</f>
        <v/>
      </c>
      <c r="E289" s="545" t="str">
        <f>IF($M289="","", IF(ARBITRAGES!$G289&gt;0,IF(ARBITRAGES!$H289="tao",E288+ARBITRAGES!$G289,E288),E288))</f>
        <v/>
      </c>
      <c r="F289" s="545" t="str">
        <f>IF($M289="","", IF(ARBITRAGES!$G289&gt;0,IF(ARBITRAGES!$H289="ron",F288+ARBITRAGES!$G289,F288),F288))</f>
        <v/>
      </c>
      <c r="G289" s="545" t="str">
        <f>IF($M289="","", IF(ARBITRAGES!$G289&gt;0,IF(ARBITRAGES!$H289="rndr",G288+ARBITRAGES!$G289,G288),G288))</f>
        <v/>
      </c>
      <c r="H289" s="545" t="str">
        <f>IF($M289="","", IF(ARBITRAGES!$G289&gt;0,IF(ARBITRAGES!$H289="doge",H288+ARBITRAGES!$G289,H288),H288))</f>
        <v/>
      </c>
      <c r="I289" s="545"/>
      <c r="J289" s="545"/>
      <c r="K289" s="545"/>
      <c r="L289" s="545"/>
      <c r="M289" s="540" t="str">
        <f>IF(ARBITRAGES!E289=0,"",ARBITRAGES!E289)</f>
        <v/>
      </c>
      <c r="N289" s="541" t="str">
        <f>IF(M289="","", SUM(A289:H289)+ARBITRAGES!$K$3)</f>
        <v/>
      </c>
      <c r="O289" s="542" t="str">
        <f>IF(M289="","",SUM(PRIX!B289:G289))</f>
        <v/>
      </c>
      <c r="Q289" s="546"/>
      <c r="R289" s="546"/>
      <c r="S289" s="547"/>
      <c r="T289" s="547"/>
    </row>
    <row r="290">
      <c r="A290" s="545" t="str">
        <f>IF($M290="","", IF(ARBITRAGES!$G290&gt;0,IF(ARBITRAGES!$H290="btc",A289+ARBITRAGES!$G290,A289),A289))</f>
        <v/>
      </c>
      <c r="B290" s="545" t="str">
        <f>IF($M290="","", IF(ARBITRAGES!$G290&gt;0,IF(ARBITRAGES!$H290="eth",B289+ARBITRAGES!$G290,B289),B289))</f>
        <v/>
      </c>
      <c r="C290" s="545" t="str">
        <f>IF($M290="","", IF(ARBITRAGES!$G290&gt;0,IF(ARBITRAGES!$H290="ondo",C289+ARBITRAGES!$G290,C289),C289))</f>
        <v/>
      </c>
      <c r="D290" s="545" t="str">
        <f>IF($M290="","", IF(ARBITRAGES!$G290&gt;0,IF(ARBITRAGES!$H290="sol",D289+ARBITRAGES!$G290,D289),D289))</f>
        <v/>
      </c>
      <c r="E290" s="545" t="str">
        <f>IF($M290="","", IF(ARBITRAGES!$G290&gt;0,IF(ARBITRAGES!$H290="tao",E289+ARBITRAGES!$G290,E289),E289))</f>
        <v/>
      </c>
      <c r="F290" s="545" t="str">
        <f>IF($M290="","", IF(ARBITRAGES!$G290&gt;0,IF(ARBITRAGES!$H290="ron",F289+ARBITRAGES!$G290,F289),F289))</f>
        <v/>
      </c>
      <c r="G290" s="545" t="str">
        <f>IF($M290="","", IF(ARBITRAGES!$G290&gt;0,IF(ARBITRAGES!$H290="rndr",G289+ARBITRAGES!$G290,G289),G289))</f>
        <v/>
      </c>
      <c r="H290" s="545" t="str">
        <f>IF($M290="","", IF(ARBITRAGES!$G290&gt;0,IF(ARBITRAGES!$H290="doge",H289+ARBITRAGES!$G290,H289),H289))</f>
        <v/>
      </c>
      <c r="I290" s="545"/>
      <c r="J290" s="545"/>
      <c r="K290" s="545"/>
      <c r="L290" s="545"/>
      <c r="M290" s="540" t="str">
        <f>IF(ARBITRAGES!E290=0,"",ARBITRAGES!E290)</f>
        <v/>
      </c>
      <c r="N290" s="541" t="str">
        <f>IF(M290="","", SUM(A290:H290)+ARBITRAGES!$K$3)</f>
        <v/>
      </c>
      <c r="O290" s="542" t="str">
        <f>IF(M290="","",SUM(PRIX!B290:G290))</f>
        <v/>
      </c>
      <c r="Q290" s="546"/>
      <c r="R290" s="546"/>
      <c r="S290" s="547"/>
      <c r="T290" s="547"/>
    </row>
    <row r="291">
      <c r="A291" s="545" t="str">
        <f>IF($M291="","", IF(ARBITRAGES!$G291&gt;0,IF(ARBITRAGES!$H291="btc",A290+ARBITRAGES!$G291,A290),A290))</f>
        <v/>
      </c>
      <c r="B291" s="545" t="str">
        <f>IF($M291="","", IF(ARBITRAGES!$G291&gt;0,IF(ARBITRAGES!$H291="eth",B290+ARBITRAGES!$G291,B290),B290))</f>
        <v/>
      </c>
      <c r="C291" s="545" t="str">
        <f>IF($M291="","", IF(ARBITRAGES!$G291&gt;0,IF(ARBITRAGES!$H291="ondo",C290+ARBITRAGES!$G291,C290),C290))</f>
        <v/>
      </c>
      <c r="D291" s="545" t="str">
        <f>IF($M291="","", IF(ARBITRAGES!$G291&gt;0,IF(ARBITRAGES!$H291="sol",D290+ARBITRAGES!$G291,D290),D290))</f>
        <v/>
      </c>
      <c r="E291" s="545" t="str">
        <f>IF($M291="","", IF(ARBITRAGES!$G291&gt;0,IF(ARBITRAGES!$H291="tao",E290+ARBITRAGES!$G291,E290),E290))</f>
        <v/>
      </c>
      <c r="F291" s="545" t="str">
        <f>IF($M291="","", IF(ARBITRAGES!$G291&gt;0,IF(ARBITRAGES!$H291="ron",F290+ARBITRAGES!$G291,F290),F290))</f>
        <v/>
      </c>
      <c r="G291" s="545" t="str">
        <f>IF($M291="","", IF(ARBITRAGES!$G291&gt;0,IF(ARBITRAGES!$H291="rndr",G290+ARBITRAGES!$G291,G290),G290))</f>
        <v/>
      </c>
      <c r="H291" s="545" t="str">
        <f>IF($M291="","", IF(ARBITRAGES!$G291&gt;0,IF(ARBITRAGES!$H291="doge",H290+ARBITRAGES!$G291,H290),H290))</f>
        <v/>
      </c>
      <c r="I291" s="545"/>
      <c r="J291" s="545"/>
      <c r="K291" s="545"/>
      <c r="L291" s="545"/>
      <c r="M291" s="540" t="str">
        <f>IF(ARBITRAGES!E291=0,"",ARBITRAGES!E291)</f>
        <v/>
      </c>
      <c r="N291" s="541" t="str">
        <f>IF(M291="","", SUM(A291:H291)+ARBITRAGES!$K$3)</f>
        <v/>
      </c>
      <c r="O291" s="542" t="str">
        <f>IF(M291="","",SUM(PRIX!B291:G291))</f>
        <v/>
      </c>
      <c r="Q291" s="546"/>
      <c r="R291" s="546"/>
      <c r="S291" s="547"/>
      <c r="T291" s="547"/>
    </row>
    <row r="292">
      <c r="A292" s="545" t="str">
        <f>IF($M292="","", IF(ARBITRAGES!$G292&gt;0,IF(ARBITRAGES!$H292="btc",A291+ARBITRAGES!$G292,A291),A291))</f>
        <v/>
      </c>
      <c r="B292" s="545" t="str">
        <f>IF($M292="","", IF(ARBITRAGES!$G292&gt;0,IF(ARBITRAGES!$H292="eth",B291+ARBITRAGES!$G292,B291),B291))</f>
        <v/>
      </c>
      <c r="C292" s="545" t="str">
        <f>IF($M292="","", IF(ARBITRAGES!$G292&gt;0,IF(ARBITRAGES!$H292="ondo",C291+ARBITRAGES!$G292,C291),C291))</f>
        <v/>
      </c>
      <c r="D292" s="545" t="str">
        <f>IF($M292="","", IF(ARBITRAGES!$G292&gt;0,IF(ARBITRAGES!$H292="sol",D291+ARBITRAGES!$G292,D291),D291))</f>
        <v/>
      </c>
      <c r="E292" s="545" t="str">
        <f>IF($M292="","", IF(ARBITRAGES!$G292&gt;0,IF(ARBITRAGES!$H292="tao",E291+ARBITRAGES!$G292,E291),E291))</f>
        <v/>
      </c>
      <c r="F292" s="545" t="str">
        <f>IF($M292="","", IF(ARBITRAGES!$G292&gt;0,IF(ARBITRAGES!$H292="ron",F291+ARBITRAGES!$G292,F291),F291))</f>
        <v/>
      </c>
      <c r="G292" s="545" t="str">
        <f>IF($M292="","", IF(ARBITRAGES!$G292&gt;0,IF(ARBITRAGES!$H292="rndr",G291+ARBITRAGES!$G292,G291),G291))</f>
        <v/>
      </c>
      <c r="H292" s="545" t="str">
        <f>IF($M292="","", IF(ARBITRAGES!$G292&gt;0,IF(ARBITRAGES!$H292="doge",H291+ARBITRAGES!$G292,H291),H291))</f>
        <v/>
      </c>
      <c r="I292" s="545"/>
      <c r="J292" s="545"/>
      <c r="K292" s="545"/>
      <c r="L292" s="545"/>
      <c r="M292" s="540" t="str">
        <f>IF(ARBITRAGES!E292=0,"",ARBITRAGES!E292)</f>
        <v/>
      </c>
      <c r="N292" s="541" t="str">
        <f>IF(M292="","", SUM(A292:H292)+ARBITRAGES!$K$3)</f>
        <v/>
      </c>
      <c r="O292" s="542" t="str">
        <f>IF(M292="","",SUM(PRIX!B292:G292))</f>
        <v/>
      </c>
      <c r="Q292" s="546"/>
      <c r="R292" s="546"/>
      <c r="S292" s="547"/>
      <c r="T292" s="547"/>
    </row>
    <row r="293">
      <c r="A293" s="545" t="str">
        <f>IF($M293="","", IF(ARBITRAGES!$G293&gt;0,IF(ARBITRAGES!$H293="btc",A292+ARBITRAGES!$G293,A292),A292))</f>
        <v/>
      </c>
      <c r="B293" s="545" t="str">
        <f>IF($M293="","", IF(ARBITRAGES!$G293&gt;0,IF(ARBITRAGES!$H293="eth",B292+ARBITRAGES!$G293,B292),B292))</f>
        <v/>
      </c>
      <c r="C293" s="545" t="str">
        <f>IF($M293="","", IF(ARBITRAGES!$G293&gt;0,IF(ARBITRAGES!$H293="ondo",C292+ARBITRAGES!$G293,C292),C292))</f>
        <v/>
      </c>
      <c r="D293" s="545" t="str">
        <f>IF($M293="","", IF(ARBITRAGES!$G293&gt;0,IF(ARBITRAGES!$H293="sol",D292+ARBITRAGES!$G293,D292),D292))</f>
        <v/>
      </c>
      <c r="E293" s="545" t="str">
        <f>IF($M293="","", IF(ARBITRAGES!$G293&gt;0,IF(ARBITRAGES!$H293="tao",E292+ARBITRAGES!$G293,E292),E292))</f>
        <v/>
      </c>
      <c r="F293" s="545" t="str">
        <f>IF($M293="","", IF(ARBITRAGES!$G293&gt;0,IF(ARBITRAGES!$H293="ron",F292+ARBITRAGES!$G293,F292),F292))</f>
        <v/>
      </c>
      <c r="G293" s="545" t="str">
        <f>IF($M293="","", IF(ARBITRAGES!$G293&gt;0,IF(ARBITRAGES!$H293="rndr",G292+ARBITRAGES!$G293,G292),G292))</f>
        <v/>
      </c>
      <c r="H293" s="545" t="str">
        <f>IF($M293="","", IF(ARBITRAGES!$G293&gt;0,IF(ARBITRAGES!$H293="doge",H292+ARBITRAGES!$G293,H292),H292))</f>
        <v/>
      </c>
      <c r="I293" s="545"/>
      <c r="J293" s="545"/>
      <c r="K293" s="545"/>
      <c r="L293" s="545"/>
      <c r="M293" s="540" t="str">
        <f>IF(ARBITRAGES!E293=0,"",ARBITRAGES!E293)</f>
        <v/>
      </c>
      <c r="N293" s="541" t="str">
        <f>IF(M293="","", SUM(A293:H293)+ARBITRAGES!$K$3)</f>
        <v/>
      </c>
      <c r="O293" s="542" t="str">
        <f>IF(M293="","",SUM(PRIX!B293:G293))</f>
        <v/>
      </c>
      <c r="Q293" s="546"/>
      <c r="R293" s="546"/>
      <c r="S293" s="547"/>
      <c r="T293" s="547"/>
    </row>
    <row r="294">
      <c r="A294" s="545" t="str">
        <f>IF($M294="","", IF(ARBITRAGES!$G294&gt;0,IF(ARBITRAGES!$H294="btc",A293+ARBITRAGES!$G294,A293),A293))</f>
        <v/>
      </c>
      <c r="B294" s="545" t="str">
        <f>IF($M294="","", IF(ARBITRAGES!$G294&gt;0,IF(ARBITRAGES!$H294="eth",B293+ARBITRAGES!$G294,B293),B293))</f>
        <v/>
      </c>
      <c r="C294" s="545" t="str">
        <f>IF($M294="","", IF(ARBITRAGES!$G294&gt;0,IF(ARBITRAGES!$H294="ondo",C293+ARBITRAGES!$G294,C293),C293))</f>
        <v/>
      </c>
      <c r="D294" s="545" t="str">
        <f>IF($M294="","", IF(ARBITRAGES!$G294&gt;0,IF(ARBITRAGES!$H294="sol",D293+ARBITRAGES!$G294,D293),D293))</f>
        <v/>
      </c>
      <c r="E294" s="545" t="str">
        <f>IF($M294="","", IF(ARBITRAGES!$G294&gt;0,IF(ARBITRAGES!$H294="tao",E293+ARBITRAGES!$G294,E293),E293))</f>
        <v/>
      </c>
      <c r="F294" s="545" t="str">
        <f>IF($M294="","", IF(ARBITRAGES!$G294&gt;0,IF(ARBITRAGES!$H294="ron",F293+ARBITRAGES!$G294,F293),F293))</f>
        <v/>
      </c>
      <c r="G294" s="545" t="str">
        <f>IF($M294="","", IF(ARBITRAGES!$G294&gt;0,IF(ARBITRAGES!$H294="rndr",G293+ARBITRAGES!$G294,G293),G293))</f>
        <v/>
      </c>
      <c r="H294" s="545" t="str">
        <f>IF($M294="","", IF(ARBITRAGES!$G294&gt;0,IF(ARBITRAGES!$H294="doge",H293+ARBITRAGES!$G294,H293),H293))</f>
        <v/>
      </c>
      <c r="I294" s="545"/>
      <c r="J294" s="545"/>
      <c r="K294" s="545"/>
      <c r="L294" s="545"/>
      <c r="M294" s="540" t="str">
        <f>IF(ARBITRAGES!E294=0,"",ARBITRAGES!E294)</f>
        <v/>
      </c>
      <c r="N294" s="541" t="str">
        <f>IF(M294="","", SUM(A294:H294)+ARBITRAGES!$K$3)</f>
        <v/>
      </c>
      <c r="O294" s="542" t="str">
        <f>IF(M294="","",SUM(PRIX!B294:G294))</f>
        <v/>
      </c>
      <c r="Q294" s="546"/>
      <c r="R294" s="546"/>
      <c r="S294" s="547"/>
      <c r="T294" s="547"/>
    </row>
    <row r="295">
      <c r="A295" s="545" t="str">
        <f>IF($M295="","", IF(ARBITRAGES!$G295&gt;0,IF(ARBITRAGES!$H295="btc",A294+ARBITRAGES!$G295,A294),A294))</f>
        <v/>
      </c>
      <c r="B295" s="545" t="str">
        <f>IF($M295="","", IF(ARBITRAGES!$G295&gt;0,IF(ARBITRAGES!$H295="eth",B294+ARBITRAGES!$G295,B294),B294))</f>
        <v/>
      </c>
      <c r="C295" s="545" t="str">
        <f>IF($M295="","", IF(ARBITRAGES!$G295&gt;0,IF(ARBITRAGES!$H295="ondo",C294+ARBITRAGES!$G295,C294),C294))</f>
        <v/>
      </c>
      <c r="D295" s="545" t="str">
        <f>IF($M295="","", IF(ARBITRAGES!$G295&gt;0,IF(ARBITRAGES!$H295="sol",D294+ARBITRAGES!$G295,D294),D294))</f>
        <v/>
      </c>
      <c r="E295" s="545" t="str">
        <f>IF($M295="","", IF(ARBITRAGES!$G295&gt;0,IF(ARBITRAGES!$H295="tao",E294+ARBITRAGES!$G295,E294),E294))</f>
        <v/>
      </c>
      <c r="F295" s="545" t="str">
        <f>IF($M295="","", IF(ARBITRAGES!$G295&gt;0,IF(ARBITRAGES!$H295="ron",F294+ARBITRAGES!$G295,F294),F294))</f>
        <v/>
      </c>
      <c r="G295" s="545" t="str">
        <f>IF($M295="","", IF(ARBITRAGES!$G295&gt;0,IF(ARBITRAGES!$H295="rndr",G294+ARBITRAGES!$G295,G294),G294))</f>
        <v/>
      </c>
      <c r="H295" s="545" t="str">
        <f>IF($M295="","", IF(ARBITRAGES!$G295&gt;0,IF(ARBITRAGES!$H295="doge",H294+ARBITRAGES!$G295,H294),H294))</f>
        <v/>
      </c>
      <c r="I295" s="545"/>
      <c r="J295" s="545"/>
      <c r="K295" s="545"/>
      <c r="L295" s="545"/>
      <c r="M295" s="540" t="str">
        <f>IF(ARBITRAGES!E295=0,"",ARBITRAGES!E295)</f>
        <v/>
      </c>
      <c r="N295" s="541" t="str">
        <f>IF(M295="","", SUM(A295:H295)+ARBITRAGES!$K$3)</f>
        <v/>
      </c>
      <c r="O295" s="542" t="str">
        <f>IF(M295="","",SUM(PRIX!B295:G295))</f>
        <v/>
      </c>
      <c r="Q295" s="546"/>
      <c r="R295" s="546"/>
      <c r="S295" s="547"/>
      <c r="T295" s="547"/>
    </row>
    <row r="296">
      <c r="A296" s="545" t="str">
        <f>IF($M296="","", IF(ARBITRAGES!$G296&gt;0,IF(ARBITRAGES!$H296="btc",A295+ARBITRAGES!$G296,A295),A295))</f>
        <v/>
      </c>
      <c r="B296" s="545" t="str">
        <f>IF($M296="","", IF(ARBITRAGES!$G296&gt;0,IF(ARBITRAGES!$H296="eth",B295+ARBITRAGES!$G296,B295),B295))</f>
        <v/>
      </c>
      <c r="C296" s="545" t="str">
        <f>IF($M296="","", IF(ARBITRAGES!$G296&gt;0,IF(ARBITRAGES!$H296="ondo",C295+ARBITRAGES!$G296,C295),C295))</f>
        <v/>
      </c>
      <c r="D296" s="545" t="str">
        <f>IF($M296="","", IF(ARBITRAGES!$G296&gt;0,IF(ARBITRAGES!$H296="sol",D295+ARBITRAGES!$G296,D295),D295))</f>
        <v/>
      </c>
      <c r="E296" s="545" t="str">
        <f>IF($M296="","", IF(ARBITRAGES!$G296&gt;0,IF(ARBITRAGES!$H296="tao",E295+ARBITRAGES!$G296,E295),E295))</f>
        <v/>
      </c>
      <c r="F296" s="545" t="str">
        <f>IF($M296="","", IF(ARBITRAGES!$G296&gt;0,IF(ARBITRAGES!$H296="ron",F295+ARBITRAGES!$G296,F295),F295))</f>
        <v/>
      </c>
      <c r="G296" s="545" t="str">
        <f>IF($M296="","", IF(ARBITRAGES!$G296&gt;0,IF(ARBITRAGES!$H296="rndr",G295+ARBITRAGES!$G296,G295),G295))</f>
        <v/>
      </c>
      <c r="H296" s="545" t="str">
        <f>IF($M296="","", IF(ARBITRAGES!$G296&gt;0,IF(ARBITRAGES!$H296="doge",H295+ARBITRAGES!$G296,H295),H295))</f>
        <v/>
      </c>
      <c r="I296" s="545"/>
      <c r="J296" s="545"/>
      <c r="K296" s="545"/>
      <c r="L296" s="545"/>
      <c r="M296" s="540" t="str">
        <f>IF(ARBITRAGES!E296=0,"",ARBITRAGES!E296)</f>
        <v/>
      </c>
      <c r="N296" s="541" t="str">
        <f>IF(M296="","", SUM(A296:H296)+ARBITRAGES!$K$3)</f>
        <v/>
      </c>
      <c r="O296" s="542" t="str">
        <f>IF(M296="","",SUM(PRIX!B296:G296))</f>
        <v/>
      </c>
      <c r="Q296" s="546"/>
      <c r="R296" s="546"/>
      <c r="S296" s="547"/>
      <c r="T296" s="547"/>
    </row>
    <row r="297">
      <c r="A297" s="545" t="str">
        <f>IF($M297="","", IF(ARBITRAGES!$G297&gt;0,IF(ARBITRAGES!$H297="btc",A296+ARBITRAGES!$G297,A296),A296))</f>
        <v/>
      </c>
      <c r="B297" s="545" t="str">
        <f>IF($M297="","", IF(ARBITRAGES!$G297&gt;0,IF(ARBITRAGES!$H297="eth",B296+ARBITRAGES!$G297,B296),B296))</f>
        <v/>
      </c>
      <c r="C297" s="545" t="str">
        <f>IF($M297="","", IF(ARBITRAGES!$G297&gt;0,IF(ARBITRAGES!$H297="ondo",C296+ARBITRAGES!$G297,C296),C296))</f>
        <v/>
      </c>
      <c r="D297" s="545" t="str">
        <f>IF($M297="","", IF(ARBITRAGES!$G297&gt;0,IF(ARBITRAGES!$H297="sol",D296+ARBITRAGES!$G297,D296),D296))</f>
        <v/>
      </c>
      <c r="E297" s="545" t="str">
        <f>IF($M297="","", IF(ARBITRAGES!$G297&gt;0,IF(ARBITRAGES!$H297="tao",E296+ARBITRAGES!$G297,E296),E296))</f>
        <v/>
      </c>
      <c r="F297" s="545" t="str">
        <f>IF($M297="","", IF(ARBITRAGES!$G297&gt;0,IF(ARBITRAGES!$H297="ron",F296+ARBITRAGES!$G297,F296),F296))</f>
        <v/>
      </c>
      <c r="G297" s="545" t="str">
        <f>IF($M297="","", IF(ARBITRAGES!$G297&gt;0,IF(ARBITRAGES!$H297="rndr",G296+ARBITRAGES!$G297,G296),G296))</f>
        <v/>
      </c>
      <c r="H297" s="545" t="str">
        <f>IF($M297="","", IF(ARBITRAGES!$G297&gt;0,IF(ARBITRAGES!$H297="doge",H296+ARBITRAGES!$G297,H296),H296))</f>
        <v/>
      </c>
      <c r="I297" s="545"/>
      <c r="J297" s="545"/>
      <c r="K297" s="545"/>
      <c r="L297" s="545"/>
      <c r="M297" s="540" t="str">
        <f>IF(ARBITRAGES!E297=0,"",ARBITRAGES!E297)</f>
        <v/>
      </c>
      <c r="N297" s="541" t="str">
        <f>IF(M297="","", SUM(A297:H297)+ARBITRAGES!$K$3)</f>
        <v/>
      </c>
      <c r="O297" s="542" t="str">
        <f>IF(M297="","",SUM(PRIX!B297:G297))</f>
        <v/>
      </c>
      <c r="Q297" s="546"/>
      <c r="R297" s="546"/>
      <c r="S297" s="547"/>
      <c r="T297" s="547"/>
    </row>
    <row r="298">
      <c r="A298" s="545" t="str">
        <f>IF($M298="","", IF(ARBITRAGES!$G298&gt;0,IF(ARBITRAGES!$H298="btc",A297+ARBITRAGES!$G298,A297),A297))</f>
        <v/>
      </c>
      <c r="B298" s="545" t="str">
        <f>IF($M298="","", IF(ARBITRAGES!$G298&gt;0,IF(ARBITRAGES!$H298="eth",B297+ARBITRAGES!$G298,B297),B297))</f>
        <v/>
      </c>
      <c r="C298" s="545" t="str">
        <f>IF($M298="","", IF(ARBITRAGES!$G298&gt;0,IF(ARBITRAGES!$H298="ondo",C297+ARBITRAGES!$G298,C297),C297))</f>
        <v/>
      </c>
      <c r="D298" s="545" t="str">
        <f>IF($M298="","", IF(ARBITRAGES!$G298&gt;0,IF(ARBITRAGES!$H298="sol",D297+ARBITRAGES!$G298,D297),D297))</f>
        <v/>
      </c>
      <c r="E298" s="545" t="str">
        <f>IF($M298="","", IF(ARBITRAGES!$G298&gt;0,IF(ARBITRAGES!$H298="tao",E297+ARBITRAGES!$G298,E297),E297))</f>
        <v/>
      </c>
      <c r="F298" s="545" t="str">
        <f>IF($M298="","", IF(ARBITRAGES!$G298&gt;0,IF(ARBITRAGES!$H298="ron",F297+ARBITRAGES!$G298,F297),F297))</f>
        <v/>
      </c>
      <c r="G298" s="545" t="str">
        <f>IF($M298="","", IF(ARBITRAGES!$G298&gt;0,IF(ARBITRAGES!$H298="rndr",G297+ARBITRAGES!$G298,G297),G297))</f>
        <v/>
      </c>
      <c r="H298" s="545" t="str">
        <f>IF($M298="","", IF(ARBITRAGES!$G298&gt;0,IF(ARBITRAGES!$H298="doge",H297+ARBITRAGES!$G298,H297),H297))</f>
        <v/>
      </c>
      <c r="I298" s="545"/>
      <c r="J298" s="545"/>
      <c r="K298" s="545"/>
      <c r="L298" s="545"/>
      <c r="M298" s="540" t="str">
        <f>IF(ARBITRAGES!E298=0,"",ARBITRAGES!E298)</f>
        <v/>
      </c>
      <c r="N298" s="541" t="str">
        <f>IF(M298="","", SUM(A298:H298)+ARBITRAGES!$K$3)</f>
        <v/>
      </c>
      <c r="O298" s="542" t="str">
        <f>IF(M298="","",SUM(PRIX!B298:G298))</f>
        <v/>
      </c>
      <c r="Q298" s="546"/>
      <c r="R298" s="546"/>
      <c r="S298" s="547"/>
      <c r="T298" s="547"/>
    </row>
    <row r="299">
      <c r="A299" s="545" t="str">
        <f>IF($M299="","", IF(ARBITRAGES!$G299&gt;0,IF(ARBITRAGES!$H299="btc",A298+ARBITRAGES!$G299,A298),A298))</f>
        <v/>
      </c>
      <c r="B299" s="545" t="str">
        <f>IF($M299="","", IF(ARBITRAGES!$G299&gt;0,IF(ARBITRAGES!$H299="eth",B298+ARBITRAGES!$G299,B298),B298))</f>
        <v/>
      </c>
      <c r="C299" s="545" t="str">
        <f>IF($M299="","", IF(ARBITRAGES!$G299&gt;0,IF(ARBITRAGES!$H299="ondo",C298+ARBITRAGES!$G299,C298),C298))</f>
        <v/>
      </c>
      <c r="D299" s="545" t="str">
        <f>IF($M299="","", IF(ARBITRAGES!$G299&gt;0,IF(ARBITRAGES!$H299="sol",D298+ARBITRAGES!$G299,D298),D298))</f>
        <v/>
      </c>
      <c r="E299" s="545" t="str">
        <f>IF($M299="","", IF(ARBITRAGES!$G299&gt;0,IF(ARBITRAGES!$H299="tao",E298+ARBITRAGES!$G299,E298),E298))</f>
        <v/>
      </c>
      <c r="F299" s="545" t="str">
        <f>IF($M299="","", IF(ARBITRAGES!$G299&gt;0,IF(ARBITRAGES!$H299="ron",F298+ARBITRAGES!$G299,F298),F298))</f>
        <v/>
      </c>
      <c r="G299" s="545" t="str">
        <f>IF($M299="","", IF(ARBITRAGES!$G299&gt;0,IF(ARBITRAGES!$H299="rndr",G298+ARBITRAGES!$G299,G298),G298))</f>
        <v/>
      </c>
      <c r="H299" s="545" t="str">
        <f>IF($M299="","", IF(ARBITRAGES!$G299&gt;0,IF(ARBITRAGES!$H299="doge",H298+ARBITRAGES!$G299,H298),H298))</f>
        <v/>
      </c>
      <c r="I299" s="545"/>
      <c r="J299" s="545"/>
      <c r="K299" s="545"/>
      <c r="L299" s="545"/>
      <c r="M299" s="540" t="str">
        <f>IF(ARBITRAGES!E299=0,"",ARBITRAGES!E299)</f>
        <v/>
      </c>
      <c r="N299" s="541" t="str">
        <f>IF(M299="","", SUM(A299:H299)+ARBITRAGES!$K$3)</f>
        <v/>
      </c>
      <c r="O299" s="542" t="str">
        <f>IF(M299="","",SUM(PRIX!B299:G299))</f>
        <v/>
      </c>
      <c r="Q299" s="546"/>
      <c r="R299" s="546"/>
      <c r="S299" s="547"/>
      <c r="T299" s="547"/>
    </row>
    <row r="300">
      <c r="A300" s="545" t="str">
        <f>IF($M300="","", IF(ARBITRAGES!$G300&gt;0,IF(ARBITRAGES!$H300="btc",A299+ARBITRAGES!$G300,A299),A299))</f>
        <v/>
      </c>
      <c r="B300" s="545" t="str">
        <f>IF($M300="","", IF(ARBITRAGES!$G300&gt;0,IF(ARBITRAGES!$H300="eth",B299+ARBITRAGES!$G300,B299),B299))</f>
        <v/>
      </c>
      <c r="C300" s="545" t="str">
        <f>IF($M300="","", IF(ARBITRAGES!$G300&gt;0,IF(ARBITRAGES!$H300="ondo",C299+ARBITRAGES!$G300,C299),C299))</f>
        <v/>
      </c>
      <c r="D300" s="545" t="str">
        <f>IF($M300="","", IF(ARBITRAGES!$G300&gt;0,IF(ARBITRAGES!$H300="sol",D299+ARBITRAGES!$G300,D299),D299))</f>
        <v/>
      </c>
      <c r="E300" s="545" t="str">
        <f>IF($M300="","", IF(ARBITRAGES!$G300&gt;0,IF(ARBITRAGES!$H300="tao",E299+ARBITRAGES!$G300,E299),E299))</f>
        <v/>
      </c>
      <c r="F300" s="545" t="str">
        <f>IF($M300="","", IF(ARBITRAGES!$G300&gt;0,IF(ARBITRAGES!$H300="ron",F299+ARBITRAGES!$G300,F299),F299))</f>
        <v/>
      </c>
      <c r="G300" s="545" t="str">
        <f>IF($M300="","", IF(ARBITRAGES!$G300&gt;0,IF(ARBITRAGES!$H300="rndr",G299+ARBITRAGES!$G300,G299),G299))</f>
        <v/>
      </c>
      <c r="H300" s="545" t="str">
        <f>IF($M300="","", IF(ARBITRAGES!$G300&gt;0,IF(ARBITRAGES!$H300="doge",H299+ARBITRAGES!$G300,H299),H299))</f>
        <v/>
      </c>
      <c r="I300" s="545"/>
      <c r="J300" s="545"/>
      <c r="K300" s="545"/>
      <c r="L300" s="545"/>
      <c r="M300" s="540" t="str">
        <f>IF(ARBITRAGES!E300=0,"",ARBITRAGES!E300)</f>
        <v/>
      </c>
      <c r="N300" s="541" t="str">
        <f>IF(M300="","", SUM(A300:H300)+ARBITRAGES!$K$3)</f>
        <v/>
      </c>
      <c r="O300" s="542" t="str">
        <f>IF(M300="","",SUM(PRIX!B300:G300))</f>
        <v/>
      </c>
      <c r="Q300" s="546"/>
      <c r="R300" s="546"/>
      <c r="S300" s="547"/>
      <c r="T300" s="547"/>
    </row>
    <row r="301">
      <c r="A301" s="545" t="str">
        <f>IF($M301="","", IF(ARBITRAGES!$G301&gt;0,IF(ARBITRAGES!$H301="btc",A300+ARBITRAGES!$G301,A300),A300))</f>
        <v/>
      </c>
      <c r="B301" s="545" t="str">
        <f>IF($M301="","", IF(ARBITRAGES!$G301&gt;0,IF(ARBITRAGES!$H301="eth",B300+ARBITRAGES!$G301,B300),B300))</f>
        <v/>
      </c>
      <c r="C301" s="545" t="str">
        <f>IF($M301="","", IF(ARBITRAGES!$G301&gt;0,IF(ARBITRAGES!$H301="ondo",C300+ARBITRAGES!$G301,C300),C300))</f>
        <v/>
      </c>
      <c r="D301" s="545" t="str">
        <f>IF($M301="","", IF(ARBITRAGES!$G301&gt;0,IF(ARBITRAGES!$H301="sol",D300+ARBITRAGES!$G301,D300),D300))</f>
        <v/>
      </c>
      <c r="E301" s="545" t="str">
        <f>IF($M301="","", IF(ARBITRAGES!$G301&gt;0,IF(ARBITRAGES!$H301="tao",E300+ARBITRAGES!$G301,E300),E300))</f>
        <v/>
      </c>
      <c r="F301" s="545" t="str">
        <f>IF($M301="","", IF(ARBITRAGES!$G301&gt;0,IF(ARBITRAGES!$H301="ron",F300+ARBITRAGES!$G301,F300),F300))</f>
        <v/>
      </c>
      <c r="G301" s="545" t="str">
        <f>IF($M301="","", IF(ARBITRAGES!$G301&gt;0,IF(ARBITRAGES!$H301="rndr",G300+ARBITRAGES!$G301,G300),G300))</f>
        <v/>
      </c>
      <c r="H301" s="545" t="str">
        <f>IF($M301="","", IF(ARBITRAGES!$G301&gt;0,IF(ARBITRAGES!$H301="doge",H300+ARBITRAGES!$G301,H300),H300))</f>
        <v/>
      </c>
      <c r="I301" s="545"/>
      <c r="J301" s="545"/>
      <c r="K301" s="545"/>
      <c r="L301" s="545"/>
      <c r="M301" s="540" t="str">
        <f>IF(ARBITRAGES!E301=0,"",ARBITRAGES!E301)</f>
        <v/>
      </c>
      <c r="N301" s="541" t="str">
        <f>IF(M301="","", SUM(A301:H301)+ARBITRAGES!$K$3)</f>
        <v/>
      </c>
      <c r="O301" s="542" t="str">
        <f>IF(M301="","",SUM(PRIX!B301:G301))</f>
        <v/>
      </c>
      <c r="Q301" s="546"/>
      <c r="R301" s="546"/>
      <c r="S301" s="547"/>
      <c r="T301" s="547"/>
    </row>
    <row r="302">
      <c r="A302" s="545" t="str">
        <f>IF($M302="","", IF(ARBITRAGES!$G302&gt;0,IF(ARBITRAGES!$H302="btc",A301+ARBITRAGES!$G302,A301),A301))</f>
        <v/>
      </c>
      <c r="B302" s="545" t="str">
        <f>IF($M302="","", IF(ARBITRAGES!$G302&gt;0,IF(ARBITRAGES!$H302="eth",B301+ARBITRAGES!$G302,B301),B301))</f>
        <v/>
      </c>
      <c r="C302" s="545" t="str">
        <f>IF($M302="","", IF(ARBITRAGES!$G302&gt;0,IF(ARBITRAGES!$H302="ondo",C301+ARBITRAGES!$G302,C301),C301))</f>
        <v/>
      </c>
      <c r="D302" s="545" t="str">
        <f>IF($M302="","", IF(ARBITRAGES!$G302&gt;0,IF(ARBITRAGES!$H302="sol",D301+ARBITRAGES!$G302,D301),D301))</f>
        <v/>
      </c>
      <c r="E302" s="545" t="str">
        <f>IF($M302="","", IF(ARBITRAGES!$G302&gt;0,IF(ARBITRAGES!$H302="tao",E301+ARBITRAGES!$G302,E301),E301))</f>
        <v/>
      </c>
      <c r="F302" s="545" t="str">
        <f>IF($M302="","", IF(ARBITRAGES!$G302&gt;0,IF(ARBITRAGES!$H302="ron",F301+ARBITRAGES!$G302,F301),F301))</f>
        <v/>
      </c>
      <c r="G302" s="545" t="str">
        <f>IF($M302="","", IF(ARBITRAGES!$G302&gt;0,IF(ARBITRAGES!$H302="rndr",G301+ARBITRAGES!$G302,G301),G301))</f>
        <v/>
      </c>
      <c r="H302" s="545" t="str">
        <f>IF($M302="","", IF(ARBITRAGES!$G302&gt;0,IF(ARBITRAGES!$H302="doge",H301+ARBITRAGES!$G302,H301),H301))</f>
        <v/>
      </c>
      <c r="I302" s="545"/>
      <c r="J302" s="545"/>
      <c r="K302" s="545"/>
      <c r="L302" s="545"/>
      <c r="M302" s="540" t="str">
        <f>IF(ARBITRAGES!E302=0,"",ARBITRAGES!E302)</f>
        <v/>
      </c>
      <c r="N302" s="541" t="str">
        <f>IF(M302="","", SUM(A302:H302)+ARBITRAGES!$K$3)</f>
        <v/>
      </c>
      <c r="O302" s="542" t="str">
        <f>IF(M302="","",SUM(PRIX!B302:G302))</f>
        <v/>
      </c>
      <c r="Q302" s="546"/>
      <c r="R302" s="546"/>
      <c r="S302" s="547"/>
      <c r="T302" s="547"/>
    </row>
    <row r="303">
      <c r="A303" s="545" t="str">
        <f>IF($M303="","", IF(ARBITRAGES!$G303&gt;0,IF(ARBITRAGES!$H303="btc",A302+ARBITRAGES!$G303,A302),A302))</f>
        <v/>
      </c>
      <c r="B303" s="545" t="str">
        <f>IF($M303="","", IF(ARBITRAGES!$G303&gt;0,IF(ARBITRAGES!$H303="eth",B302+ARBITRAGES!$G303,B302),B302))</f>
        <v/>
      </c>
      <c r="C303" s="545" t="str">
        <f>IF($M303="","", IF(ARBITRAGES!$G303&gt;0,IF(ARBITRAGES!$H303="ondo",C302+ARBITRAGES!$G303,C302),C302))</f>
        <v/>
      </c>
      <c r="D303" s="545" t="str">
        <f>IF($M303="","", IF(ARBITRAGES!$G303&gt;0,IF(ARBITRAGES!$H303="sol",D302+ARBITRAGES!$G303,D302),D302))</f>
        <v/>
      </c>
      <c r="E303" s="545" t="str">
        <f>IF($M303="","", IF(ARBITRAGES!$G303&gt;0,IF(ARBITRAGES!$H303="tao",E302+ARBITRAGES!$G303,E302),E302))</f>
        <v/>
      </c>
      <c r="F303" s="545" t="str">
        <f>IF($M303="","", IF(ARBITRAGES!$G303&gt;0,IF(ARBITRAGES!$H303="ron",F302+ARBITRAGES!$G303,F302),F302))</f>
        <v/>
      </c>
      <c r="G303" s="545" t="str">
        <f>IF($M303="","", IF(ARBITRAGES!$G303&gt;0,IF(ARBITRAGES!$H303="rndr",G302+ARBITRAGES!$G303,G302),G302))</f>
        <v/>
      </c>
      <c r="H303" s="545" t="str">
        <f>IF($M303="","", IF(ARBITRAGES!$G303&gt;0,IF(ARBITRAGES!$H303="doge",H302+ARBITRAGES!$G303,H302),H302))</f>
        <v/>
      </c>
      <c r="I303" s="545"/>
      <c r="J303" s="545"/>
      <c r="K303" s="545"/>
      <c r="L303" s="545"/>
      <c r="M303" s="540" t="str">
        <f>IF(ARBITRAGES!E303=0,"",ARBITRAGES!E303)</f>
        <v/>
      </c>
      <c r="N303" s="541" t="str">
        <f>IF(M303="","", SUM(A303:H303)+ARBITRAGES!$K$3)</f>
        <v/>
      </c>
      <c r="O303" s="542" t="str">
        <f>IF(M303="","",SUM(PRIX!B303:G303))</f>
        <v/>
      </c>
      <c r="Q303" s="546"/>
      <c r="R303" s="546"/>
      <c r="S303" s="547"/>
      <c r="T303" s="547"/>
    </row>
    <row r="304">
      <c r="A304" s="545" t="str">
        <f>IF($M304="","", IF(ARBITRAGES!$G304&gt;0,IF(ARBITRAGES!$H304="btc",A303+ARBITRAGES!$G304,A303),A303))</f>
        <v/>
      </c>
      <c r="B304" s="545" t="str">
        <f>IF($M304="","", IF(ARBITRAGES!$G304&gt;0,IF(ARBITRAGES!$H304="eth",B303+ARBITRAGES!$G304,B303),B303))</f>
        <v/>
      </c>
      <c r="C304" s="545" t="str">
        <f>IF($M304="","", IF(ARBITRAGES!$G304&gt;0,IF(ARBITRAGES!$H304="ondo",C303+ARBITRAGES!$G304,C303),C303))</f>
        <v/>
      </c>
      <c r="D304" s="545" t="str">
        <f>IF($M304="","", IF(ARBITRAGES!$G304&gt;0,IF(ARBITRAGES!$H304="sol",D303+ARBITRAGES!$G304,D303),D303))</f>
        <v/>
      </c>
      <c r="E304" s="545" t="str">
        <f>IF($M304="","", IF(ARBITRAGES!$G304&gt;0,IF(ARBITRAGES!$H304="tao",E303+ARBITRAGES!$G304,E303),E303))</f>
        <v/>
      </c>
      <c r="F304" s="545" t="str">
        <f>IF($M304="","", IF(ARBITRAGES!$G304&gt;0,IF(ARBITRAGES!$H304="ron",F303+ARBITRAGES!$G304,F303),F303))</f>
        <v/>
      </c>
      <c r="G304" s="545" t="str">
        <f>IF($M304="","", IF(ARBITRAGES!$G304&gt;0,IF(ARBITRAGES!$H304="rndr",G303+ARBITRAGES!$G304,G303),G303))</f>
        <v/>
      </c>
      <c r="H304" s="545" t="str">
        <f>IF($M304="","", IF(ARBITRAGES!$G304&gt;0,IF(ARBITRAGES!$H304="doge",H303+ARBITRAGES!$G304,H303),H303))</f>
        <v/>
      </c>
      <c r="I304" s="545"/>
      <c r="J304" s="545"/>
      <c r="K304" s="545"/>
      <c r="L304" s="545"/>
      <c r="M304" s="540" t="str">
        <f>IF(ARBITRAGES!E304=0,"",ARBITRAGES!E304)</f>
        <v/>
      </c>
      <c r="N304" s="541" t="str">
        <f>IF(M304="","", SUM(A304:H304)+ARBITRAGES!$K$3)</f>
        <v/>
      </c>
      <c r="O304" s="542" t="str">
        <f>IF(M304="","",SUM(PRIX!B304:G304))</f>
        <v/>
      </c>
      <c r="Q304" s="546"/>
      <c r="R304" s="546"/>
      <c r="S304" s="547"/>
      <c r="T304" s="547"/>
    </row>
    <row r="305">
      <c r="A305" s="545" t="str">
        <f>IF($M305="","", IF(ARBITRAGES!$G305&gt;0,IF(ARBITRAGES!$H305="btc",A304+ARBITRAGES!$G305,A304),A304))</f>
        <v/>
      </c>
      <c r="B305" s="545" t="str">
        <f>IF($M305="","", IF(ARBITRAGES!$G305&gt;0,IF(ARBITRAGES!$H305="eth",B304+ARBITRAGES!$G305,B304),B304))</f>
        <v/>
      </c>
      <c r="C305" s="545" t="str">
        <f>IF($M305="","", IF(ARBITRAGES!$G305&gt;0,IF(ARBITRAGES!$H305="ondo",C304+ARBITRAGES!$G305,C304),C304))</f>
        <v/>
      </c>
      <c r="D305" s="545" t="str">
        <f>IF($M305="","", IF(ARBITRAGES!$G305&gt;0,IF(ARBITRAGES!$H305="sol",D304+ARBITRAGES!$G305,D304),D304))</f>
        <v/>
      </c>
      <c r="E305" s="545" t="str">
        <f>IF($M305="","", IF(ARBITRAGES!$G305&gt;0,IF(ARBITRAGES!$H305="tao",E304+ARBITRAGES!$G305,E304),E304))</f>
        <v/>
      </c>
      <c r="F305" s="545" t="str">
        <f>IF($M305="","", IF(ARBITRAGES!$G305&gt;0,IF(ARBITRAGES!$H305="ron",F304+ARBITRAGES!$G305,F304),F304))</f>
        <v/>
      </c>
      <c r="G305" s="545" t="str">
        <f>IF($M305="","", IF(ARBITRAGES!$G305&gt;0,IF(ARBITRAGES!$H305="rndr",G304+ARBITRAGES!$G305,G304),G304))</f>
        <v/>
      </c>
      <c r="H305" s="545" t="str">
        <f>IF($M305="","", IF(ARBITRAGES!$G305&gt;0,IF(ARBITRAGES!$H305="doge",H304+ARBITRAGES!$G305,H304),H304))</f>
        <v/>
      </c>
      <c r="I305" s="545"/>
      <c r="J305" s="545"/>
      <c r="K305" s="545"/>
      <c r="L305" s="545"/>
      <c r="M305" s="540" t="str">
        <f>IF(ARBITRAGES!E305=0,"",ARBITRAGES!E305)</f>
        <v/>
      </c>
      <c r="N305" s="541" t="str">
        <f>IF(M305="","", SUM(A305:H305)+ARBITRAGES!$K$3)</f>
        <v/>
      </c>
      <c r="O305" s="542" t="str">
        <f>IF(M305="","",SUM(PRIX!B305:G305))</f>
        <v/>
      </c>
      <c r="Q305" s="546"/>
      <c r="R305" s="546"/>
      <c r="S305" s="547"/>
      <c r="T305" s="547"/>
    </row>
    <row r="306">
      <c r="A306" s="545" t="str">
        <f>IF($M306="","", IF(ARBITRAGES!$G306&gt;0,IF(ARBITRAGES!$H306="btc",A305+ARBITRAGES!$G306,A305),A305))</f>
        <v/>
      </c>
      <c r="B306" s="545" t="str">
        <f>IF($M306="","", IF(ARBITRAGES!$G306&gt;0,IF(ARBITRAGES!$H306="eth",B305+ARBITRAGES!$G306,B305),B305))</f>
        <v/>
      </c>
      <c r="C306" s="545" t="str">
        <f>IF($M306="","", IF(ARBITRAGES!$G306&gt;0,IF(ARBITRAGES!$H306="ondo",C305+ARBITRAGES!$G306,C305),C305))</f>
        <v/>
      </c>
      <c r="D306" s="545" t="str">
        <f>IF($M306="","", IF(ARBITRAGES!$G306&gt;0,IF(ARBITRAGES!$H306="sol",D305+ARBITRAGES!$G306,D305),D305))</f>
        <v/>
      </c>
      <c r="E306" s="545" t="str">
        <f>IF($M306="","", IF(ARBITRAGES!$G306&gt;0,IF(ARBITRAGES!$H306="tao",E305+ARBITRAGES!$G306,E305),E305))</f>
        <v/>
      </c>
      <c r="F306" s="545" t="str">
        <f>IF($M306="","", IF(ARBITRAGES!$G306&gt;0,IF(ARBITRAGES!$H306="ron",F305+ARBITRAGES!$G306,F305),F305))</f>
        <v/>
      </c>
      <c r="G306" s="545" t="str">
        <f>IF($M306="","", IF(ARBITRAGES!$G306&gt;0,IF(ARBITRAGES!$H306="rndr",G305+ARBITRAGES!$G306,G305),G305))</f>
        <v/>
      </c>
      <c r="H306" s="545" t="str">
        <f>IF($M306="","", IF(ARBITRAGES!$G306&gt;0,IF(ARBITRAGES!$H306="doge",H305+ARBITRAGES!$G306,H305),H305))</f>
        <v/>
      </c>
      <c r="I306" s="545"/>
      <c r="J306" s="545"/>
      <c r="K306" s="545"/>
      <c r="L306" s="545"/>
      <c r="M306" s="540" t="str">
        <f>IF(ARBITRAGES!E306=0,"",ARBITRAGES!E306)</f>
        <v/>
      </c>
      <c r="N306" s="541" t="str">
        <f>IF(M306="","", SUM(A306:H306)+ARBITRAGES!$K$3)</f>
        <v/>
      </c>
      <c r="O306" s="542" t="str">
        <f>IF(M306="","",SUM(PRIX!B306:G306))</f>
        <v/>
      </c>
      <c r="Q306" s="546"/>
      <c r="R306" s="546"/>
      <c r="S306" s="547"/>
      <c r="T306" s="547"/>
    </row>
    <row r="307">
      <c r="A307" s="545" t="str">
        <f>IF($M307="","", IF(ARBITRAGES!$G307&gt;0,IF(ARBITRAGES!$H307="btc",A306+ARBITRAGES!$G307,A306),A306))</f>
        <v/>
      </c>
      <c r="B307" s="545" t="str">
        <f>IF($M307="","", IF(ARBITRAGES!$G307&gt;0,IF(ARBITRAGES!$H307="eth",B306+ARBITRAGES!$G307,B306),B306))</f>
        <v/>
      </c>
      <c r="C307" s="545" t="str">
        <f>IF($M307="","", IF(ARBITRAGES!$G307&gt;0,IF(ARBITRAGES!$H307="ondo",C306+ARBITRAGES!$G307,C306),C306))</f>
        <v/>
      </c>
      <c r="D307" s="545" t="str">
        <f>IF($M307="","", IF(ARBITRAGES!$G307&gt;0,IF(ARBITRAGES!$H307="sol",D306+ARBITRAGES!$G307,D306),D306))</f>
        <v/>
      </c>
      <c r="E307" s="545" t="str">
        <f>IF($M307="","", IF(ARBITRAGES!$G307&gt;0,IF(ARBITRAGES!$H307="tao",E306+ARBITRAGES!$G307,E306),E306))</f>
        <v/>
      </c>
      <c r="F307" s="545" t="str">
        <f>IF($M307="","", IF(ARBITRAGES!$G307&gt;0,IF(ARBITRAGES!$H307="ron",F306+ARBITRAGES!$G307,F306),F306))</f>
        <v/>
      </c>
      <c r="G307" s="545" t="str">
        <f>IF($M307="","", IF(ARBITRAGES!$G307&gt;0,IF(ARBITRAGES!$H307="rndr",G306+ARBITRAGES!$G307,G306),G306))</f>
        <v/>
      </c>
      <c r="H307" s="545" t="str">
        <f>IF($M307="","", IF(ARBITRAGES!$G307&gt;0,IF(ARBITRAGES!$H307="doge",H306+ARBITRAGES!$G307,H306),H306))</f>
        <v/>
      </c>
      <c r="I307" s="545"/>
      <c r="J307" s="545"/>
      <c r="K307" s="545"/>
      <c r="L307" s="545"/>
      <c r="M307" s="540" t="str">
        <f>IF(ARBITRAGES!E307=0,"",ARBITRAGES!E307)</f>
        <v/>
      </c>
      <c r="N307" s="541" t="str">
        <f>IF(M307="","", SUM(A307:H307)+ARBITRAGES!$K$3)</f>
        <v/>
      </c>
      <c r="O307" s="542" t="str">
        <f>IF(M307="","",SUM(PRIX!B307:G307))</f>
        <v/>
      </c>
      <c r="Q307" s="546"/>
      <c r="R307" s="546"/>
      <c r="S307" s="547"/>
      <c r="T307" s="547"/>
    </row>
    <row r="308">
      <c r="A308" s="545" t="str">
        <f>IF($M308="","", IF(ARBITRAGES!$G308&gt;0,IF(ARBITRAGES!$H308="btc",A307+ARBITRAGES!$G308,A307),A307))</f>
        <v/>
      </c>
      <c r="B308" s="545" t="str">
        <f>IF($M308="","", IF(ARBITRAGES!$G308&gt;0,IF(ARBITRAGES!$H308="eth",B307+ARBITRAGES!$G308,B307),B307))</f>
        <v/>
      </c>
      <c r="C308" s="545" t="str">
        <f>IF($M308="","", IF(ARBITRAGES!$G308&gt;0,IF(ARBITRAGES!$H308="ondo",C307+ARBITRAGES!$G308,C307),C307))</f>
        <v/>
      </c>
      <c r="D308" s="545" t="str">
        <f>IF($M308="","", IF(ARBITRAGES!$G308&gt;0,IF(ARBITRAGES!$H308="sol",D307+ARBITRAGES!$G308,D307),D307))</f>
        <v/>
      </c>
      <c r="E308" s="545" t="str">
        <f>IF($M308="","", IF(ARBITRAGES!$G308&gt;0,IF(ARBITRAGES!$H308="tao",E307+ARBITRAGES!$G308,E307),E307))</f>
        <v/>
      </c>
      <c r="F308" s="545" t="str">
        <f>IF($M308="","", IF(ARBITRAGES!$G308&gt;0,IF(ARBITRAGES!$H308="ron",F307+ARBITRAGES!$G308,F307),F307))</f>
        <v/>
      </c>
      <c r="G308" s="545" t="str">
        <f>IF($M308="","", IF(ARBITRAGES!$G308&gt;0,IF(ARBITRAGES!$H308="rndr",G307+ARBITRAGES!$G308,G307),G307))</f>
        <v/>
      </c>
      <c r="H308" s="545" t="str">
        <f>IF($M308="","", IF(ARBITRAGES!$G308&gt;0,IF(ARBITRAGES!$H308="doge",H307+ARBITRAGES!$G308,H307),H307))</f>
        <v/>
      </c>
      <c r="I308" s="545"/>
      <c r="J308" s="545"/>
      <c r="K308" s="545"/>
      <c r="L308" s="545"/>
      <c r="M308" s="540" t="str">
        <f>IF(ARBITRAGES!E308=0,"",ARBITRAGES!E308)</f>
        <v/>
      </c>
      <c r="N308" s="541" t="str">
        <f>IF(M308="","", SUM(A308:H308)+ARBITRAGES!$K$3)</f>
        <v/>
      </c>
      <c r="O308" s="542" t="str">
        <f>IF(M308="","",SUM(PRIX!B308:G308))</f>
        <v/>
      </c>
      <c r="Q308" s="546"/>
      <c r="R308" s="546"/>
      <c r="S308" s="547"/>
      <c r="T308" s="547"/>
    </row>
    <row r="309">
      <c r="A309" s="545" t="str">
        <f>IF($M309="","", IF(ARBITRAGES!$G309&gt;0,IF(ARBITRAGES!$H309="btc",A308+ARBITRAGES!$G309,A308),A308))</f>
        <v/>
      </c>
      <c r="B309" s="545" t="str">
        <f>IF($M309="","", IF(ARBITRAGES!$G309&gt;0,IF(ARBITRAGES!$H309="eth",B308+ARBITRAGES!$G309,B308),B308))</f>
        <v/>
      </c>
      <c r="C309" s="545" t="str">
        <f>IF($M309="","", IF(ARBITRAGES!$G309&gt;0,IF(ARBITRAGES!$H309="ondo",C308+ARBITRAGES!$G309,C308),C308))</f>
        <v/>
      </c>
      <c r="D309" s="545" t="str">
        <f>IF($M309="","", IF(ARBITRAGES!$G309&gt;0,IF(ARBITRAGES!$H309="sol",D308+ARBITRAGES!$G309,D308),D308))</f>
        <v/>
      </c>
      <c r="E309" s="545" t="str">
        <f>IF($M309="","", IF(ARBITRAGES!$G309&gt;0,IF(ARBITRAGES!$H309="tao",E308+ARBITRAGES!$G309,E308),E308))</f>
        <v/>
      </c>
      <c r="F309" s="545" t="str">
        <f>IF($M309="","", IF(ARBITRAGES!$G309&gt;0,IF(ARBITRAGES!$H309="ron",F308+ARBITRAGES!$G309,F308),F308))</f>
        <v/>
      </c>
      <c r="G309" s="545" t="str">
        <f>IF($M309="","", IF(ARBITRAGES!$G309&gt;0,IF(ARBITRAGES!$H309="rndr",G308+ARBITRAGES!$G309,G308),G308))</f>
        <v/>
      </c>
      <c r="H309" s="545" t="str">
        <f>IF($M309="","", IF(ARBITRAGES!$G309&gt;0,IF(ARBITRAGES!$H309="doge",H308+ARBITRAGES!$G309,H308),H308))</f>
        <v/>
      </c>
      <c r="I309" s="545"/>
      <c r="J309" s="545"/>
      <c r="K309" s="545"/>
      <c r="L309" s="545"/>
      <c r="M309" s="540" t="str">
        <f>IF(ARBITRAGES!E309=0,"",ARBITRAGES!E309)</f>
        <v/>
      </c>
      <c r="N309" s="541" t="str">
        <f>IF(M309="","", SUM(A309:H309)+ARBITRAGES!$K$3)</f>
        <v/>
      </c>
      <c r="O309" s="542" t="str">
        <f>IF(M309="","",SUM(PRIX!B309:G309))</f>
        <v/>
      </c>
      <c r="Q309" s="546"/>
      <c r="R309" s="546"/>
      <c r="S309" s="547"/>
      <c r="T309" s="547"/>
    </row>
    <row r="310">
      <c r="A310" s="545" t="str">
        <f>IF($M310="","", IF(ARBITRAGES!$G310&gt;0,IF(ARBITRAGES!$H310="btc",A309+ARBITRAGES!$G310,A309),A309))</f>
        <v/>
      </c>
      <c r="B310" s="545" t="str">
        <f>IF($M310="","", IF(ARBITRAGES!$G310&gt;0,IF(ARBITRAGES!$H310="eth",B309+ARBITRAGES!$G310,B309),B309))</f>
        <v/>
      </c>
      <c r="C310" s="545" t="str">
        <f>IF($M310="","", IF(ARBITRAGES!$G310&gt;0,IF(ARBITRAGES!$H310="ondo",C309+ARBITRAGES!$G310,C309),C309))</f>
        <v/>
      </c>
      <c r="D310" s="545" t="str">
        <f>IF($M310="","", IF(ARBITRAGES!$G310&gt;0,IF(ARBITRAGES!$H310="sol",D309+ARBITRAGES!$G310,D309),D309))</f>
        <v/>
      </c>
      <c r="E310" s="545" t="str">
        <f>IF($M310="","", IF(ARBITRAGES!$G310&gt;0,IF(ARBITRAGES!$H310="tao",E309+ARBITRAGES!$G310,E309),E309))</f>
        <v/>
      </c>
      <c r="F310" s="545" t="str">
        <f>IF($M310="","", IF(ARBITRAGES!$G310&gt;0,IF(ARBITRAGES!$H310="ron",F309+ARBITRAGES!$G310,F309),F309))</f>
        <v/>
      </c>
      <c r="G310" s="545" t="str">
        <f>IF($M310="","", IF(ARBITRAGES!$G310&gt;0,IF(ARBITRAGES!$H310="rndr",G309+ARBITRAGES!$G310,G309),G309))</f>
        <v/>
      </c>
      <c r="H310" s="545" t="str">
        <f>IF($M310="","", IF(ARBITRAGES!$G310&gt;0,IF(ARBITRAGES!$H310="doge",H309+ARBITRAGES!$G310,H309),H309))</f>
        <v/>
      </c>
      <c r="I310" s="545"/>
      <c r="J310" s="545"/>
      <c r="K310" s="545"/>
      <c r="L310" s="545"/>
      <c r="M310" s="540" t="str">
        <f>IF(ARBITRAGES!E310=0,"",ARBITRAGES!E310)</f>
        <v/>
      </c>
      <c r="N310" s="541" t="str">
        <f>IF(M310="","", SUM(A310:H310)+ARBITRAGES!$K$3)</f>
        <v/>
      </c>
      <c r="O310" s="542" t="str">
        <f>IF(M310="","",SUM(PRIX!B310:G310))</f>
        <v/>
      </c>
      <c r="Q310" s="546"/>
      <c r="R310" s="546"/>
      <c r="S310" s="547"/>
      <c r="T310" s="547"/>
    </row>
    <row r="311">
      <c r="A311" s="545" t="str">
        <f>IF($M311="","", IF(ARBITRAGES!$G311&gt;0,IF(ARBITRAGES!$H311="btc",A310+ARBITRAGES!$G311,A310),A310))</f>
        <v/>
      </c>
      <c r="B311" s="545" t="str">
        <f>IF($M311="","", IF(ARBITRAGES!$G311&gt;0,IF(ARBITRAGES!$H311="eth",B310+ARBITRAGES!$G311,B310),B310))</f>
        <v/>
      </c>
      <c r="C311" s="545" t="str">
        <f>IF($M311="","", IF(ARBITRAGES!$G311&gt;0,IF(ARBITRAGES!$H311="ondo",C310+ARBITRAGES!$G311,C310),C310))</f>
        <v/>
      </c>
      <c r="D311" s="545" t="str">
        <f>IF($M311="","", IF(ARBITRAGES!$G311&gt;0,IF(ARBITRAGES!$H311="sol",D310+ARBITRAGES!$G311,D310),D310))</f>
        <v/>
      </c>
      <c r="E311" s="545" t="str">
        <f>IF($M311="","", IF(ARBITRAGES!$G311&gt;0,IF(ARBITRAGES!$H311="tao",E310+ARBITRAGES!$G311,E310),E310))</f>
        <v/>
      </c>
      <c r="F311" s="545" t="str">
        <f>IF($M311="","", IF(ARBITRAGES!$G311&gt;0,IF(ARBITRAGES!$H311="ron",F310+ARBITRAGES!$G311,F310),F310))</f>
        <v/>
      </c>
      <c r="G311" s="545" t="str">
        <f>IF($M311="","", IF(ARBITRAGES!$G311&gt;0,IF(ARBITRAGES!$H311="rndr",G310+ARBITRAGES!$G311,G310),G310))</f>
        <v/>
      </c>
      <c r="H311" s="545" t="str">
        <f>IF($M311="","", IF(ARBITRAGES!$G311&gt;0,IF(ARBITRAGES!$H311="doge",H310+ARBITRAGES!$G311,H310),H310))</f>
        <v/>
      </c>
      <c r="I311" s="545"/>
      <c r="J311" s="545"/>
      <c r="K311" s="545"/>
      <c r="L311" s="545"/>
      <c r="M311" s="540" t="str">
        <f>IF(ARBITRAGES!E311=0,"",ARBITRAGES!E311)</f>
        <v/>
      </c>
      <c r="N311" s="541" t="str">
        <f>IF(M311="","", SUM(A311:H311)+ARBITRAGES!$K$3)</f>
        <v/>
      </c>
      <c r="O311" s="542" t="str">
        <f>IF(M311="","",SUM(PRIX!B311:G311))</f>
        <v/>
      </c>
      <c r="Q311" s="546"/>
      <c r="R311" s="546"/>
      <c r="S311" s="547"/>
      <c r="T311" s="547"/>
    </row>
    <row r="312">
      <c r="A312" s="545" t="str">
        <f>IF($M312="","", IF(ARBITRAGES!$G312&gt;0,IF(ARBITRAGES!$H312="btc",A311+ARBITRAGES!$G312,A311),A311))</f>
        <v/>
      </c>
      <c r="B312" s="545" t="str">
        <f>IF($M312="","", IF(ARBITRAGES!$G312&gt;0,IF(ARBITRAGES!$H312="eth",B311+ARBITRAGES!$G312,B311),B311))</f>
        <v/>
      </c>
      <c r="C312" s="545" t="str">
        <f>IF($M312="","", IF(ARBITRAGES!$G312&gt;0,IF(ARBITRAGES!$H312="ondo",C311+ARBITRAGES!$G312,C311),C311))</f>
        <v/>
      </c>
      <c r="D312" s="545" t="str">
        <f>IF($M312="","", IF(ARBITRAGES!$G312&gt;0,IF(ARBITRAGES!$H312="sol",D311+ARBITRAGES!$G312,D311),D311))</f>
        <v/>
      </c>
      <c r="E312" s="545" t="str">
        <f>IF($M312="","", IF(ARBITRAGES!$G312&gt;0,IF(ARBITRAGES!$H312="tao",E311+ARBITRAGES!$G312,E311),E311))</f>
        <v/>
      </c>
      <c r="F312" s="545" t="str">
        <f>IF($M312="","", IF(ARBITRAGES!$G312&gt;0,IF(ARBITRAGES!$H312="ron",F311+ARBITRAGES!$G312,F311),F311))</f>
        <v/>
      </c>
      <c r="G312" s="545" t="str">
        <f>IF($M312="","", IF(ARBITRAGES!$G312&gt;0,IF(ARBITRAGES!$H312="rndr",G311+ARBITRAGES!$G312,G311),G311))</f>
        <v/>
      </c>
      <c r="H312" s="545" t="str">
        <f>IF($M312="","", IF(ARBITRAGES!$G312&gt;0,IF(ARBITRAGES!$H312="doge",H311+ARBITRAGES!$G312,H311),H311))</f>
        <v/>
      </c>
      <c r="I312" s="545"/>
      <c r="J312" s="545"/>
      <c r="K312" s="545"/>
      <c r="L312" s="545"/>
      <c r="M312" s="540" t="str">
        <f>IF(ARBITRAGES!E312=0,"",ARBITRAGES!E312)</f>
        <v/>
      </c>
      <c r="N312" s="541" t="str">
        <f>IF(M312="","", SUM(A312:H312)+ARBITRAGES!$K$3)</f>
        <v/>
      </c>
      <c r="O312" s="542" t="str">
        <f>IF(M312="","",SUM(PRIX!B312:G312))</f>
        <v/>
      </c>
      <c r="Q312" s="546"/>
      <c r="R312" s="546"/>
      <c r="S312" s="547"/>
      <c r="T312" s="547"/>
    </row>
    <row r="313">
      <c r="A313" s="545" t="str">
        <f>IF($M313="","", IF(ARBITRAGES!$G313&gt;0,IF(ARBITRAGES!$H313="btc",A312+ARBITRAGES!$G313,A312),A312))</f>
        <v/>
      </c>
      <c r="B313" s="545" t="str">
        <f>IF($M313="","", IF(ARBITRAGES!$G313&gt;0,IF(ARBITRAGES!$H313="eth",B312+ARBITRAGES!$G313,B312),B312))</f>
        <v/>
      </c>
      <c r="C313" s="545" t="str">
        <f>IF($M313="","", IF(ARBITRAGES!$G313&gt;0,IF(ARBITRAGES!$H313="ondo",C312+ARBITRAGES!$G313,C312),C312))</f>
        <v/>
      </c>
      <c r="D313" s="545" t="str">
        <f>IF($M313="","", IF(ARBITRAGES!$G313&gt;0,IF(ARBITRAGES!$H313="sol",D312+ARBITRAGES!$G313,D312),D312))</f>
        <v/>
      </c>
      <c r="E313" s="545" t="str">
        <f>IF($M313="","", IF(ARBITRAGES!$G313&gt;0,IF(ARBITRAGES!$H313="tao",E312+ARBITRAGES!$G313,E312),E312))</f>
        <v/>
      </c>
      <c r="F313" s="545" t="str">
        <f>IF($M313="","", IF(ARBITRAGES!$G313&gt;0,IF(ARBITRAGES!$H313="ron",F312+ARBITRAGES!$G313,F312),F312))</f>
        <v/>
      </c>
      <c r="G313" s="545" t="str">
        <f>IF($M313="","", IF(ARBITRAGES!$G313&gt;0,IF(ARBITRAGES!$H313="rndr",G312+ARBITRAGES!$G313,G312),G312))</f>
        <v/>
      </c>
      <c r="H313" s="545" t="str">
        <f>IF($M313="","", IF(ARBITRAGES!$G313&gt;0,IF(ARBITRAGES!$H313="doge",H312+ARBITRAGES!$G313,H312),H312))</f>
        <v/>
      </c>
      <c r="I313" s="545"/>
      <c r="J313" s="545"/>
      <c r="K313" s="545"/>
      <c r="L313" s="545"/>
      <c r="M313" s="540" t="str">
        <f>IF(ARBITRAGES!E313=0,"",ARBITRAGES!E313)</f>
        <v/>
      </c>
      <c r="N313" s="541" t="str">
        <f>IF(M313="","", SUM(A313:H313)+ARBITRAGES!$K$3)</f>
        <v/>
      </c>
      <c r="O313" s="542" t="str">
        <f>IF(M313="","",SUM(PRIX!B313:G313))</f>
        <v/>
      </c>
      <c r="Q313" s="546"/>
      <c r="R313" s="546"/>
      <c r="S313" s="547"/>
      <c r="T313" s="547"/>
    </row>
    <row r="314">
      <c r="A314" s="545" t="str">
        <f>IF($M314="","", IF(ARBITRAGES!$G314&gt;0,IF(ARBITRAGES!$H314="btc",A313+ARBITRAGES!$G314,A313),A313))</f>
        <v/>
      </c>
      <c r="B314" s="545" t="str">
        <f>IF($M314="","", IF(ARBITRAGES!$G314&gt;0,IF(ARBITRAGES!$H314="eth",B313+ARBITRAGES!$G314,B313),B313))</f>
        <v/>
      </c>
      <c r="C314" s="545" t="str">
        <f>IF($M314="","", IF(ARBITRAGES!$G314&gt;0,IF(ARBITRAGES!$H314="ondo",C313+ARBITRAGES!$G314,C313),C313))</f>
        <v/>
      </c>
      <c r="D314" s="545" t="str">
        <f>IF($M314="","", IF(ARBITRAGES!$G314&gt;0,IF(ARBITRAGES!$H314="sol",D313+ARBITRAGES!$G314,D313),D313))</f>
        <v/>
      </c>
      <c r="E314" s="545" t="str">
        <f>IF($M314="","", IF(ARBITRAGES!$G314&gt;0,IF(ARBITRAGES!$H314="tao",E313+ARBITRAGES!$G314,E313),E313))</f>
        <v/>
      </c>
      <c r="F314" s="545" t="str">
        <f>IF($M314="","", IF(ARBITRAGES!$G314&gt;0,IF(ARBITRAGES!$H314="ron",F313+ARBITRAGES!$G314,F313),F313))</f>
        <v/>
      </c>
      <c r="G314" s="545" t="str">
        <f>IF($M314="","", IF(ARBITRAGES!$G314&gt;0,IF(ARBITRAGES!$H314="rndr",G313+ARBITRAGES!$G314,G313),G313))</f>
        <v/>
      </c>
      <c r="H314" s="545" t="str">
        <f>IF($M314="","", IF(ARBITRAGES!$G314&gt;0,IF(ARBITRAGES!$H314="doge",H313+ARBITRAGES!$G314,H313),H313))</f>
        <v/>
      </c>
      <c r="I314" s="545"/>
      <c r="J314" s="545"/>
      <c r="K314" s="545"/>
      <c r="L314" s="545"/>
      <c r="M314" s="540" t="str">
        <f>IF(ARBITRAGES!E314=0,"",ARBITRAGES!E314)</f>
        <v/>
      </c>
      <c r="N314" s="541" t="str">
        <f>IF(M314="","", SUM(A314:H314)+ARBITRAGES!$K$3)</f>
        <v/>
      </c>
      <c r="O314" s="542" t="str">
        <f>IF(M314="","",SUM(PRIX!B314:G314))</f>
        <v/>
      </c>
      <c r="Q314" s="546"/>
      <c r="R314" s="546"/>
      <c r="S314" s="547"/>
      <c r="T314" s="547"/>
    </row>
    <row r="315">
      <c r="A315" s="545" t="str">
        <f>IF($M315="","", IF(ARBITRAGES!$G315&gt;0,IF(ARBITRAGES!$H315="btc",A314+ARBITRAGES!$G315,A314),A314))</f>
        <v/>
      </c>
      <c r="B315" s="545" t="str">
        <f>IF($M315="","", IF(ARBITRAGES!$G315&gt;0,IF(ARBITRAGES!$H315="eth",B314+ARBITRAGES!$G315,B314),B314))</f>
        <v/>
      </c>
      <c r="C315" s="545" t="str">
        <f>IF($M315="","", IF(ARBITRAGES!$G315&gt;0,IF(ARBITRAGES!$H315="ondo",C314+ARBITRAGES!$G315,C314),C314))</f>
        <v/>
      </c>
      <c r="D315" s="545" t="str">
        <f>IF($M315="","", IF(ARBITRAGES!$G315&gt;0,IF(ARBITRAGES!$H315="sol",D314+ARBITRAGES!$G315,D314),D314))</f>
        <v/>
      </c>
      <c r="E315" s="545" t="str">
        <f>IF($M315="","", IF(ARBITRAGES!$G315&gt;0,IF(ARBITRAGES!$H315="tao",E314+ARBITRAGES!$G315,E314),E314))</f>
        <v/>
      </c>
      <c r="F315" s="545" t="str">
        <f>IF($M315="","", IF(ARBITRAGES!$G315&gt;0,IF(ARBITRAGES!$H315="ron",F314+ARBITRAGES!$G315,F314),F314))</f>
        <v/>
      </c>
      <c r="G315" s="545" t="str">
        <f>IF($M315="","", IF(ARBITRAGES!$G315&gt;0,IF(ARBITRAGES!$H315="rndr",G314+ARBITRAGES!$G315,G314),G314))</f>
        <v/>
      </c>
      <c r="H315" s="545" t="str">
        <f>IF($M315="","", IF(ARBITRAGES!$G315&gt;0,IF(ARBITRAGES!$H315="doge",H314+ARBITRAGES!$G315,H314),H314))</f>
        <v/>
      </c>
      <c r="I315" s="545"/>
      <c r="J315" s="545"/>
      <c r="K315" s="545"/>
      <c r="L315" s="545"/>
      <c r="M315" s="540" t="str">
        <f>IF(ARBITRAGES!E315=0,"",ARBITRAGES!E315)</f>
        <v/>
      </c>
      <c r="N315" s="541" t="str">
        <f>IF(M315="","", SUM(A315:H315)+ARBITRAGES!$K$3)</f>
        <v/>
      </c>
      <c r="O315" s="542" t="str">
        <f>IF(M315="","",SUM(PRIX!B315:G315))</f>
        <v/>
      </c>
      <c r="Q315" s="546"/>
      <c r="R315" s="546"/>
      <c r="S315" s="547"/>
      <c r="T315" s="547"/>
    </row>
    <row r="316">
      <c r="A316" s="545" t="str">
        <f>IF($M316="","", IF(ARBITRAGES!$G316&gt;0,IF(ARBITRAGES!$H316="btc",A315+ARBITRAGES!$G316,A315),A315))</f>
        <v/>
      </c>
      <c r="B316" s="545" t="str">
        <f>IF($M316="","", IF(ARBITRAGES!$G316&gt;0,IF(ARBITRAGES!$H316="eth",B315+ARBITRAGES!$G316,B315),B315))</f>
        <v/>
      </c>
      <c r="C316" s="545" t="str">
        <f>IF($M316="","", IF(ARBITRAGES!$G316&gt;0,IF(ARBITRAGES!$H316="ondo",C315+ARBITRAGES!$G316,C315),C315))</f>
        <v/>
      </c>
      <c r="D316" s="545" t="str">
        <f>IF($M316="","", IF(ARBITRAGES!$G316&gt;0,IF(ARBITRAGES!$H316="sol",D315+ARBITRAGES!$G316,D315),D315))</f>
        <v/>
      </c>
      <c r="E316" s="545" t="str">
        <f>IF($M316="","", IF(ARBITRAGES!$G316&gt;0,IF(ARBITRAGES!$H316="tao",E315+ARBITRAGES!$G316,E315),E315))</f>
        <v/>
      </c>
      <c r="F316" s="545" t="str">
        <f>IF($M316="","", IF(ARBITRAGES!$G316&gt;0,IF(ARBITRAGES!$H316="ron",F315+ARBITRAGES!$G316,F315),F315))</f>
        <v/>
      </c>
      <c r="G316" s="545" t="str">
        <f>IF($M316="","", IF(ARBITRAGES!$G316&gt;0,IF(ARBITRAGES!$H316="rndr",G315+ARBITRAGES!$G316,G315),G315))</f>
        <v/>
      </c>
      <c r="H316" s="545" t="str">
        <f>IF($M316="","", IF(ARBITRAGES!$G316&gt;0,IF(ARBITRAGES!$H316="doge",H315+ARBITRAGES!$G316,H315),H315))</f>
        <v/>
      </c>
      <c r="I316" s="545"/>
      <c r="J316" s="545"/>
      <c r="K316" s="545"/>
      <c r="L316" s="545"/>
      <c r="M316" s="540" t="str">
        <f>IF(ARBITRAGES!E316=0,"",ARBITRAGES!E316)</f>
        <v/>
      </c>
      <c r="N316" s="541" t="str">
        <f>IF(M316="","", SUM(A316:H316)+ARBITRAGES!$K$3)</f>
        <v/>
      </c>
      <c r="O316" s="542" t="str">
        <f>IF(M316="","",SUM(PRIX!B316:G316))</f>
        <v/>
      </c>
      <c r="Q316" s="546"/>
      <c r="R316" s="546"/>
      <c r="S316" s="547"/>
      <c r="T316" s="547"/>
    </row>
    <row r="317">
      <c r="A317" s="545" t="str">
        <f>IF($M317="","", IF(ARBITRAGES!$G317&gt;0,IF(ARBITRAGES!$H317="btc",A316+ARBITRAGES!$G317,A316),A316))</f>
        <v/>
      </c>
      <c r="B317" s="545" t="str">
        <f>IF($M317="","", IF(ARBITRAGES!$G317&gt;0,IF(ARBITRAGES!$H317="eth",B316+ARBITRAGES!$G317,B316),B316))</f>
        <v/>
      </c>
      <c r="C317" s="545" t="str">
        <f>IF($M317="","", IF(ARBITRAGES!$G317&gt;0,IF(ARBITRAGES!$H317="ondo",C316+ARBITRAGES!$G317,C316),C316))</f>
        <v/>
      </c>
      <c r="D317" s="545" t="str">
        <f>IF($M317="","", IF(ARBITRAGES!$G317&gt;0,IF(ARBITRAGES!$H317="sol",D316+ARBITRAGES!$G317,D316),D316))</f>
        <v/>
      </c>
      <c r="E317" s="545" t="str">
        <f>IF($M317="","", IF(ARBITRAGES!$G317&gt;0,IF(ARBITRAGES!$H317="tao",E316+ARBITRAGES!$G317,E316),E316))</f>
        <v/>
      </c>
      <c r="F317" s="545" t="str">
        <f>IF($M317="","", IF(ARBITRAGES!$G317&gt;0,IF(ARBITRAGES!$H317="ron",F316+ARBITRAGES!$G317,F316),F316))</f>
        <v/>
      </c>
      <c r="G317" s="545" t="str">
        <f>IF($M317="","", IF(ARBITRAGES!$G317&gt;0,IF(ARBITRAGES!$H317="rndr",G316+ARBITRAGES!$G317,G316),G316))</f>
        <v/>
      </c>
      <c r="H317" s="545" t="str">
        <f>IF($M317="","", IF(ARBITRAGES!$G317&gt;0,IF(ARBITRAGES!$H317="doge",H316+ARBITRAGES!$G317,H316),H316))</f>
        <v/>
      </c>
      <c r="I317" s="545"/>
      <c r="J317" s="545"/>
      <c r="K317" s="545"/>
      <c r="L317" s="545"/>
      <c r="M317" s="540" t="str">
        <f>IF(ARBITRAGES!E317=0,"",ARBITRAGES!E317)</f>
        <v/>
      </c>
      <c r="N317" s="541" t="str">
        <f>IF(M317="","", SUM(A317:H317)+ARBITRAGES!$K$3)</f>
        <v/>
      </c>
      <c r="O317" s="542" t="str">
        <f>IF(M317="","",SUM(PRIX!B317:G317))</f>
        <v/>
      </c>
      <c r="Q317" s="546"/>
      <c r="R317" s="546"/>
      <c r="S317" s="547"/>
      <c r="T317" s="547"/>
    </row>
    <row r="318">
      <c r="A318" s="545" t="str">
        <f>IF($M318="","", IF(ARBITRAGES!$G318&gt;0,IF(ARBITRAGES!$H318="btc",A317+ARBITRAGES!$G318,A317),A317))</f>
        <v/>
      </c>
      <c r="B318" s="545" t="str">
        <f>IF($M318="","", IF(ARBITRAGES!$G318&gt;0,IF(ARBITRAGES!$H318="eth",B317+ARBITRAGES!$G318,B317),B317))</f>
        <v/>
      </c>
      <c r="C318" s="545" t="str">
        <f>IF($M318="","", IF(ARBITRAGES!$G318&gt;0,IF(ARBITRAGES!$H318="ondo",C317+ARBITRAGES!$G318,C317),C317))</f>
        <v/>
      </c>
      <c r="D318" s="545" t="str">
        <f>IF($M318="","", IF(ARBITRAGES!$G318&gt;0,IF(ARBITRAGES!$H318="sol",D317+ARBITRAGES!$G318,D317),D317))</f>
        <v/>
      </c>
      <c r="E318" s="545" t="str">
        <f>IF($M318="","", IF(ARBITRAGES!$G318&gt;0,IF(ARBITRAGES!$H318="tao",E317+ARBITRAGES!$G318,E317),E317))</f>
        <v/>
      </c>
      <c r="F318" s="545" t="str">
        <f>IF($M318="","", IF(ARBITRAGES!$G318&gt;0,IF(ARBITRAGES!$H318="ron",F317+ARBITRAGES!$G318,F317),F317))</f>
        <v/>
      </c>
      <c r="G318" s="545" t="str">
        <f>IF($M318="","", IF(ARBITRAGES!$G318&gt;0,IF(ARBITRAGES!$H318="rndr",G317+ARBITRAGES!$G318,G317),G317))</f>
        <v/>
      </c>
      <c r="H318" s="545" t="str">
        <f>IF($M318="","", IF(ARBITRAGES!$G318&gt;0,IF(ARBITRAGES!$H318="doge",H317+ARBITRAGES!$G318,H317),H317))</f>
        <v/>
      </c>
      <c r="I318" s="545"/>
      <c r="J318" s="545"/>
      <c r="K318" s="545"/>
      <c r="L318" s="545"/>
      <c r="M318" s="540" t="str">
        <f>IF(ARBITRAGES!E318=0,"",ARBITRAGES!E318)</f>
        <v/>
      </c>
      <c r="N318" s="541" t="str">
        <f>IF(M318="","", SUM(A318:H318)+ARBITRAGES!$K$3)</f>
        <v/>
      </c>
      <c r="O318" s="542" t="str">
        <f>IF(M318="","",SUM(PRIX!B318:G318))</f>
        <v/>
      </c>
      <c r="Q318" s="546"/>
      <c r="R318" s="546"/>
      <c r="S318" s="547"/>
      <c r="T318" s="547"/>
    </row>
    <row r="319">
      <c r="A319" s="545" t="str">
        <f>IF($M319="","", IF(ARBITRAGES!$G319&gt;0,IF(ARBITRAGES!$H319="btc",A318+ARBITRAGES!$G319,A318),A318))</f>
        <v/>
      </c>
      <c r="B319" s="545" t="str">
        <f>IF($M319="","", IF(ARBITRAGES!$G319&gt;0,IF(ARBITRAGES!$H319="eth",B318+ARBITRAGES!$G319,B318),B318))</f>
        <v/>
      </c>
      <c r="C319" s="545" t="str">
        <f>IF($M319="","", IF(ARBITRAGES!$G319&gt;0,IF(ARBITRAGES!$H319="ondo",C318+ARBITRAGES!$G319,C318),C318))</f>
        <v/>
      </c>
      <c r="D319" s="545" t="str">
        <f>IF($M319="","", IF(ARBITRAGES!$G319&gt;0,IF(ARBITRAGES!$H319="sol",D318+ARBITRAGES!$G319,D318),D318))</f>
        <v/>
      </c>
      <c r="E319" s="545" t="str">
        <f>IF($M319="","", IF(ARBITRAGES!$G319&gt;0,IF(ARBITRAGES!$H319="tao",E318+ARBITRAGES!$G319,E318),E318))</f>
        <v/>
      </c>
      <c r="F319" s="545" t="str">
        <f>IF($M319="","", IF(ARBITRAGES!$G319&gt;0,IF(ARBITRAGES!$H319="ron",F318+ARBITRAGES!$G319,F318),F318))</f>
        <v/>
      </c>
      <c r="G319" s="545" t="str">
        <f>IF($M319="","", IF(ARBITRAGES!$G319&gt;0,IF(ARBITRAGES!$H319="rndr",G318+ARBITRAGES!$G319,G318),G318))</f>
        <v/>
      </c>
      <c r="H319" s="545" t="str">
        <f>IF($M319="","", IF(ARBITRAGES!$G319&gt;0,IF(ARBITRAGES!$H319="doge",H318+ARBITRAGES!$G319,H318),H318))</f>
        <v/>
      </c>
      <c r="I319" s="545"/>
      <c r="J319" s="545"/>
      <c r="K319" s="545"/>
      <c r="L319" s="545"/>
      <c r="M319" s="540" t="str">
        <f>IF(ARBITRAGES!E319=0,"",ARBITRAGES!E319)</f>
        <v/>
      </c>
      <c r="N319" s="541" t="str">
        <f>IF(M319="","", SUM(A319:H319)+ARBITRAGES!$K$3)</f>
        <v/>
      </c>
      <c r="O319" s="542" t="str">
        <f>IF(M319="","",SUM(PRIX!B319:G319))</f>
        <v/>
      </c>
      <c r="Q319" s="546"/>
      <c r="R319" s="546"/>
      <c r="S319" s="547"/>
      <c r="T319" s="547"/>
    </row>
    <row r="320">
      <c r="A320" s="545" t="str">
        <f>IF($M320="","", IF(ARBITRAGES!$G320&gt;0,IF(ARBITRAGES!$H320="btc",A319+ARBITRAGES!$G320,A319),A319))</f>
        <v/>
      </c>
      <c r="B320" s="545" t="str">
        <f>IF($M320="","", IF(ARBITRAGES!$G320&gt;0,IF(ARBITRAGES!$H320="eth",B319+ARBITRAGES!$G320,B319),B319))</f>
        <v/>
      </c>
      <c r="C320" s="545" t="str">
        <f>IF($M320="","", IF(ARBITRAGES!$G320&gt;0,IF(ARBITRAGES!$H320="ondo",C319+ARBITRAGES!$G320,C319),C319))</f>
        <v/>
      </c>
      <c r="D320" s="545" t="str">
        <f>IF($M320="","", IF(ARBITRAGES!$G320&gt;0,IF(ARBITRAGES!$H320="sol",D319+ARBITRAGES!$G320,D319),D319))</f>
        <v/>
      </c>
      <c r="E320" s="545" t="str">
        <f>IF($M320="","", IF(ARBITRAGES!$G320&gt;0,IF(ARBITRAGES!$H320="tao",E319+ARBITRAGES!$G320,E319),E319))</f>
        <v/>
      </c>
      <c r="F320" s="545" t="str">
        <f>IF($M320="","", IF(ARBITRAGES!$G320&gt;0,IF(ARBITRAGES!$H320="ron",F319+ARBITRAGES!$G320,F319),F319))</f>
        <v/>
      </c>
      <c r="G320" s="545" t="str">
        <f>IF($M320="","", IF(ARBITRAGES!$G320&gt;0,IF(ARBITRAGES!$H320="rndr",G319+ARBITRAGES!$G320,G319),G319))</f>
        <v/>
      </c>
      <c r="H320" s="545" t="str">
        <f>IF($M320="","", IF(ARBITRAGES!$G320&gt;0,IF(ARBITRAGES!$H320="doge",H319+ARBITRAGES!$G320,H319),H319))</f>
        <v/>
      </c>
      <c r="I320" s="545"/>
      <c r="J320" s="545"/>
      <c r="K320" s="545"/>
      <c r="L320" s="545"/>
      <c r="M320" s="540" t="str">
        <f>IF(ARBITRAGES!E320=0,"",ARBITRAGES!E320)</f>
        <v/>
      </c>
      <c r="N320" s="541" t="str">
        <f>IF(M320="","", SUM(A320:H320)+ARBITRAGES!$K$3)</f>
        <v/>
      </c>
      <c r="O320" s="542" t="str">
        <f>IF(M320="","",SUM(PRIX!B320:G320))</f>
        <v/>
      </c>
      <c r="Q320" s="546"/>
      <c r="R320" s="546"/>
      <c r="S320" s="547"/>
      <c r="T320" s="547"/>
    </row>
    <row r="321">
      <c r="A321" s="545" t="str">
        <f>IF($M321="","", IF(ARBITRAGES!$G321&gt;0,IF(ARBITRAGES!$H321="btc",A320+ARBITRAGES!$G321,A320),A320))</f>
        <v/>
      </c>
      <c r="B321" s="545" t="str">
        <f>IF($M321="","", IF(ARBITRAGES!$G321&gt;0,IF(ARBITRAGES!$H321="eth",B320+ARBITRAGES!$G321,B320),B320))</f>
        <v/>
      </c>
      <c r="C321" s="545" t="str">
        <f>IF($M321="","", IF(ARBITRAGES!$G321&gt;0,IF(ARBITRAGES!$H321="ondo",C320+ARBITRAGES!$G321,C320),C320))</f>
        <v/>
      </c>
      <c r="D321" s="545" t="str">
        <f>IF($M321="","", IF(ARBITRAGES!$G321&gt;0,IF(ARBITRAGES!$H321="sol",D320+ARBITRAGES!$G321,D320),D320))</f>
        <v/>
      </c>
      <c r="E321" s="545" t="str">
        <f>IF($M321="","", IF(ARBITRAGES!$G321&gt;0,IF(ARBITRAGES!$H321="tao",E320+ARBITRAGES!$G321,E320),E320))</f>
        <v/>
      </c>
      <c r="F321" s="545" t="str">
        <f>IF($M321="","", IF(ARBITRAGES!$G321&gt;0,IF(ARBITRAGES!$H321="ron",F320+ARBITRAGES!$G321,F320),F320))</f>
        <v/>
      </c>
      <c r="G321" s="545" t="str">
        <f>IF($M321="","", IF(ARBITRAGES!$G321&gt;0,IF(ARBITRAGES!$H321="rndr",G320+ARBITRAGES!$G321,G320),G320))</f>
        <v/>
      </c>
      <c r="H321" s="545" t="str">
        <f>IF($M321="","", IF(ARBITRAGES!$G321&gt;0,IF(ARBITRAGES!$H321="doge",H320+ARBITRAGES!$G321,H320),H320))</f>
        <v/>
      </c>
      <c r="I321" s="545"/>
      <c r="J321" s="545"/>
      <c r="K321" s="545"/>
      <c r="L321" s="545"/>
      <c r="M321" s="540" t="str">
        <f>IF(ARBITRAGES!E321=0,"",ARBITRAGES!E321)</f>
        <v/>
      </c>
      <c r="N321" s="541" t="str">
        <f>IF(M321="","", SUM(A321:H321)+ARBITRAGES!$K$3)</f>
        <v/>
      </c>
      <c r="O321" s="542" t="str">
        <f>IF(M321="","",SUM(PRIX!B321:G321))</f>
        <v/>
      </c>
      <c r="Q321" s="546"/>
      <c r="R321" s="546"/>
      <c r="S321" s="547"/>
      <c r="T321" s="547"/>
    </row>
    <row r="322">
      <c r="A322" s="545" t="str">
        <f>IF($M322="","", IF(ARBITRAGES!$G322&gt;0,IF(ARBITRAGES!$H322="btc",A321+ARBITRAGES!$G322,A321),A321))</f>
        <v/>
      </c>
      <c r="B322" s="545" t="str">
        <f>IF($M322="","", IF(ARBITRAGES!$G322&gt;0,IF(ARBITRAGES!$H322="eth",B321+ARBITRAGES!$G322,B321),B321))</f>
        <v/>
      </c>
      <c r="C322" s="545" t="str">
        <f>IF($M322="","", IF(ARBITRAGES!$G322&gt;0,IF(ARBITRAGES!$H322="ondo",C321+ARBITRAGES!$G322,C321),C321))</f>
        <v/>
      </c>
      <c r="D322" s="545" t="str">
        <f>IF($M322="","", IF(ARBITRAGES!$G322&gt;0,IF(ARBITRAGES!$H322="sol",D321+ARBITRAGES!$G322,D321),D321))</f>
        <v/>
      </c>
      <c r="E322" s="545" t="str">
        <f>IF($M322="","", IF(ARBITRAGES!$G322&gt;0,IF(ARBITRAGES!$H322="tao",E321+ARBITRAGES!$G322,E321),E321))</f>
        <v/>
      </c>
      <c r="F322" s="545" t="str">
        <f>IF($M322="","", IF(ARBITRAGES!$G322&gt;0,IF(ARBITRAGES!$H322="ron",F321+ARBITRAGES!$G322,F321),F321))</f>
        <v/>
      </c>
      <c r="G322" s="545" t="str">
        <f>IF($M322="","", IF(ARBITRAGES!$G322&gt;0,IF(ARBITRAGES!$H322="rndr",G321+ARBITRAGES!$G322,G321),G321))</f>
        <v/>
      </c>
      <c r="H322" s="545" t="str">
        <f>IF($M322="","", IF(ARBITRAGES!$G322&gt;0,IF(ARBITRAGES!$H322="doge",H321+ARBITRAGES!$G322,H321),H321))</f>
        <v/>
      </c>
      <c r="I322" s="545"/>
      <c r="J322" s="545"/>
      <c r="K322" s="545"/>
      <c r="L322" s="545"/>
      <c r="M322" s="540" t="str">
        <f>IF(ARBITRAGES!E322=0,"",ARBITRAGES!E322)</f>
        <v/>
      </c>
      <c r="N322" s="541" t="str">
        <f>IF(M322="","", SUM(A322:H322)+ARBITRAGES!$K$3)</f>
        <v/>
      </c>
      <c r="O322" s="542" t="str">
        <f>IF(M322="","",SUM(PRIX!B322:G322))</f>
        <v/>
      </c>
      <c r="Q322" s="546"/>
      <c r="R322" s="546"/>
      <c r="S322" s="547"/>
      <c r="T322" s="547"/>
    </row>
    <row r="323">
      <c r="A323" s="545" t="str">
        <f>IF($M323="","", IF(ARBITRAGES!$G323&gt;0,IF(ARBITRAGES!$H323="btc",A322+ARBITRAGES!$G323,A322),A322))</f>
        <v/>
      </c>
      <c r="B323" s="545" t="str">
        <f>IF($M323="","", IF(ARBITRAGES!$G323&gt;0,IF(ARBITRAGES!$H323="eth",B322+ARBITRAGES!$G323,B322),B322))</f>
        <v/>
      </c>
      <c r="C323" s="545" t="str">
        <f>IF($M323="","", IF(ARBITRAGES!$G323&gt;0,IF(ARBITRAGES!$H323="ondo",C322+ARBITRAGES!$G323,C322),C322))</f>
        <v/>
      </c>
      <c r="D323" s="545" t="str">
        <f>IF($M323="","", IF(ARBITRAGES!$G323&gt;0,IF(ARBITRAGES!$H323="sol",D322+ARBITRAGES!$G323,D322),D322))</f>
        <v/>
      </c>
      <c r="E323" s="545" t="str">
        <f>IF($M323="","", IF(ARBITRAGES!$G323&gt;0,IF(ARBITRAGES!$H323="tao",E322+ARBITRAGES!$G323,E322),E322))</f>
        <v/>
      </c>
      <c r="F323" s="545" t="str">
        <f>IF($M323="","", IF(ARBITRAGES!$G323&gt;0,IF(ARBITRAGES!$H323="ron",F322+ARBITRAGES!$G323,F322),F322))</f>
        <v/>
      </c>
      <c r="G323" s="545" t="str">
        <f>IF($M323="","", IF(ARBITRAGES!$G323&gt;0,IF(ARBITRAGES!$H323="rndr",G322+ARBITRAGES!$G323,G322),G322))</f>
        <v/>
      </c>
      <c r="H323" s="545" t="str">
        <f>IF($M323="","", IF(ARBITRAGES!$G323&gt;0,IF(ARBITRAGES!$H323="doge",H322+ARBITRAGES!$G323,H322),H322))</f>
        <v/>
      </c>
      <c r="I323" s="545"/>
      <c r="J323" s="545"/>
      <c r="K323" s="545"/>
      <c r="L323" s="545"/>
      <c r="M323" s="540" t="str">
        <f>IF(ARBITRAGES!E323=0,"",ARBITRAGES!E323)</f>
        <v/>
      </c>
      <c r="N323" s="541" t="str">
        <f>IF(M323="","", SUM(A323:H323)+ARBITRAGES!$K$3)</f>
        <v/>
      </c>
      <c r="O323" s="542" t="str">
        <f>IF(M323="","",SUM(PRIX!B323:G323))</f>
        <v/>
      </c>
      <c r="Q323" s="546"/>
      <c r="R323" s="546"/>
      <c r="S323" s="547"/>
      <c r="T323" s="547"/>
    </row>
    <row r="324">
      <c r="A324" s="545" t="str">
        <f>IF($M324="","", IF(ARBITRAGES!$G324&gt;0,IF(ARBITRAGES!$H324="btc",A323+ARBITRAGES!$G324,A323),A323))</f>
        <v/>
      </c>
      <c r="B324" s="545" t="str">
        <f>IF($M324="","", IF(ARBITRAGES!$G324&gt;0,IF(ARBITRAGES!$H324="eth",B323+ARBITRAGES!$G324,B323),B323))</f>
        <v/>
      </c>
      <c r="C324" s="545" t="str">
        <f>IF($M324="","", IF(ARBITRAGES!$G324&gt;0,IF(ARBITRAGES!$H324="ondo",C323+ARBITRAGES!$G324,C323),C323))</f>
        <v/>
      </c>
      <c r="D324" s="545" t="str">
        <f>IF($M324="","", IF(ARBITRAGES!$G324&gt;0,IF(ARBITRAGES!$H324="sol",D323+ARBITRAGES!$G324,D323),D323))</f>
        <v/>
      </c>
      <c r="E324" s="545" t="str">
        <f>IF($M324="","", IF(ARBITRAGES!$G324&gt;0,IF(ARBITRAGES!$H324="tao",E323+ARBITRAGES!$G324,E323),E323))</f>
        <v/>
      </c>
      <c r="F324" s="545" t="str">
        <f>IF($M324="","", IF(ARBITRAGES!$G324&gt;0,IF(ARBITRAGES!$H324="ron",F323+ARBITRAGES!$G324,F323),F323))</f>
        <v/>
      </c>
      <c r="G324" s="545" t="str">
        <f>IF($M324="","", IF(ARBITRAGES!$G324&gt;0,IF(ARBITRAGES!$H324="rndr",G323+ARBITRAGES!$G324,G323),G323))</f>
        <v/>
      </c>
      <c r="H324" s="545" t="str">
        <f>IF($M324="","", IF(ARBITRAGES!$G324&gt;0,IF(ARBITRAGES!$H324="doge",H323+ARBITRAGES!$G324,H323),H323))</f>
        <v/>
      </c>
      <c r="I324" s="545"/>
      <c r="J324" s="545"/>
      <c r="K324" s="545"/>
      <c r="L324" s="545"/>
      <c r="M324" s="540" t="str">
        <f>IF(ARBITRAGES!E324=0,"",ARBITRAGES!E324)</f>
        <v/>
      </c>
      <c r="N324" s="541" t="str">
        <f>IF(M324="","", SUM(A324:H324)+ARBITRAGES!$K$3)</f>
        <v/>
      </c>
      <c r="O324" s="542" t="str">
        <f>IF(M324="","",SUM(PRIX!B324:G324))</f>
        <v/>
      </c>
      <c r="Q324" s="546"/>
      <c r="R324" s="546"/>
      <c r="S324" s="547"/>
      <c r="T324" s="547"/>
    </row>
    <row r="325">
      <c r="A325" s="545" t="str">
        <f>IF($M325="","", IF(ARBITRAGES!$G325&gt;0,IF(ARBITRAGES!$H325="btc",A324+ARBITRAGES!$G325,A324),A324))</f>
        <v/>
      </c>
      <c r="B325" s="545" t="str">
        <f>IF($M325="","", IF(ARBITRAGES!$G325&gt;0,IF(ARBITRAGES!$H325="eth",B324+ARBITRAGES!$G325,B324),B324))</f>
        <v/>
      </c>
      <c r="C325" s="545" t="str">
        <f>IF($M325="","", IF(ARBITRAGES!$G325&gt;0,IF(ARBITRAGES!$H325="ondo",C324+ARBITRAGES!$G325,C324),C324))</f>
        <v/>
      </c>
      <c r="D325" s="545" t="str">
        <f>IF($M325="","", IF(ARBITRAGES!$G325&gt;0,IF(ARBITRAGES!$H325="sol",D324+ARBITRAGES!$G325,D324),D324))</f>
        <v/>
      </c>
      <c r="E325" s="545" t="str">
        <f>IF($M325="","", IF(ARBITRAGES!$G325&gt;0,IF(ARBITRAGES!$H325="tao",E324+ARBITRAGES!$G325,E324),E324))</f>
        <v/>
      </c>
      <c r="F325" s="545" t="str">
        <f>IF($M325="","", IF(ARBITRAGES!$G325&gt;0,IF(ARBITRAGES!$H325="ron",F324+ARBITRAGES!$G325,F324),F324))</f>
        <v/>
      </c>
      <c r="G325" s="545" t="str">
        <f>IF($M325="","", IF(ARBITRAGES!$G325&gt;0,IF(ARBITRAGES!$H325="rndr",G324+ARBITRAGES!$G325,G324),G324))</f>
        <v/>
      </c>
      <c r="H325" s="545" t="str">
        <f>IF($M325="","", IF(ARBITRAGES!$G325&gt;0,IF(ARBITRAGES!$H325="doge",H324+ARBITRAGES!$G325,H324),H324))</f>
        <v/>
      </c>
      <c r="I325" s="545"/>
      <c r="J325" s="545"/>
      <c r="K325" s="545"/>
      <c r="L325" s="545"/>
      <c r="M325" s="540" t="str">
        <f>IF(ARBITRAGES!E325=0,"",ARBITRAGES!E325)</f>
        <v/>
      </c>
      <c r="N325" s="541" t="str">
        <f>IF(M325="","", SUM(A325:H325)+ARBITRAGES!$K$3)</f>
        <v/>
      </c>
      <c r="O325" s="542" t="str">
        <f>IF(M325="","",SUM(PRIX!B325:G325))</f>
        <v/>
      </c>
      <c r="Q325" s="546"/>
      <c r="R325" s="546"/>
      <c r="S325" s="547"/>
      <c r="T325" s="547"/>
    </row>
    <row r="326">
      <c r="A326" s="545" t="str">
        <f>IF($M326="","", IF(ARBITRAGES!$G326&gt;0,IF(ARBITRAGES!$H326="btc",A325+ARBITRAGES!$G326,A325),A325))</f>
        <v/>
      </c>
      <c r="B326" s="545" t="str">
        <f>IF($M326="","", IF(ARBITRAGES!$G326&gt;0,IF(ARBITRAGES!$H326="eth",B325+ARBITRAGES!$G326,B325),B325))</f>
        <v/>
      </c>
      <c r="C326" s="545" t="str">
        <f>IF($M326="","", IF(ARBITRAGES!$G326&gt;0,IF(ARBITRAGES!$H326="ondo",C325+ARBITRAGES!$G326,C325),C325))</f>
        <v/>
      </c>
      <c r="D326" s="545" t="str">
        <f>IF($M326="","", IF(ARBITRAGES!$G326&gt;0,IF(ARBITRAGES!$H326="sol",D325+ARBITRAGES!$G326,D325),D325))</f>
        <v/>
      </c>
      <c r="E326" s="545" t="str">
        <f>IF($M326="","", IF(ARBITRAGES!$G326&gt;0,IF(ARBITRAGES!$H326="tao",E325+ARBITRAGES!$G326,E325),E325))</f>
        <v/>
      </c>
      <c r="F326" s="545" t="str">
        <f>IF($M326="","", IF(ARBITRAGES!$G326&gt;0,IF(ARBITRAGES!$H326="ron",F325+ARBITRAGES!$G326,F325),F325))</f>
        <v/>
      </c>
      <c r="G326" s="545" t="str">
        <f>IF($M326="","", IF(ARBITRAGES!$G326&gt;0,IF(ARBITRAGES!$H326="rndr",G325+ARBITRAGES!$G326,G325),G325))</f>
        <v/>
      </c>
      <c r="H326" s="545" t="str">
        <f>IF($M326="","", IF(ARBITRAGES!$G326&gt;0,IF(ARBITRAGES!$H326="doge",H325+ARBITRAGES!$G326,H325),H325))</f>
        <v/>
      </c>
      <c r="I326" s="545"/>
      <c r="J326" s="545"/>
      <c r="K326" s="545"/>
      <c r="L326" s="545"/>
      <c r="M326" s="540" t="str">
        <f>IF(ARBITRAGES!E326=0,"",ARBITRAGES!E326)</f>
        <v/>
      </c>
      <c r="N326" s="541" t="str">
        <f>IF(M326="","", SUM(A326:H326)+ARBITRAGES!$K$3)</f>
        <v/>
      </c>
      <c r="O326" s="542" t="str">
        <f>IF(M326="","",SUM(PRIX!B326:G326))</f>
        <v/>
      </c>
      <c r="Q326" s="546"/>
      <c r="R326" s="546"/>
      <c r="S326" s="547"/>
      <c r="T326" s="547"/>
    </row>
    <row r="327">
      <c r="A327" s="545" t="str">
        <f>IF($M327="","", IF(ARBITRAGES!$G327&gt;0,IF(ARBITRAGES!$H327="btc",A326+ARBITRAGES!$G327,A326),A326))</f>
        <v/>
      </c>
      <c r="B327" s="545" t="str">
        <f>IF($M327="","", IF(ARBITRAGES!$G327&gt;0,IF(ARBITRAGES!$H327="eth",B326+ARBITRAGES!$G327,B326),B326))</f>
        <v/>
      </c>
      <c r="C327" s="545" t="str">
        <f>IF($M327="","", IF(ARBITRAGES!$G327&gt;0,IF(ARBITRAGES!$H327="ondo",C326+ARBITRAGES!$G327,C326),C326))</f>
        <v/>
      </c>
      <c r="D327" s="545" t="str">
        <f>IF($M327="","", IF(ARBITRAGES!$G327&gt;0,IF(ARBITRAGES!$H327="sol",D326+ARBITRAGES!$G327,D326),D326))</f>
        <v/>
      </c>
      <c r="E327" s="545" t="str">
        <f>IF($M327="","", IF(ARBITRAGES!$G327&gt;0,IF(ARBITRAGES!$H327="tao",E326+ARBITRAGES!$G327,E326),E326))</f>
        <v/>
      </c>
      <c r="F327" s="545" t="str">
        <f>IF($M327="","", IF(ARBITRAGES!$G327&gt;0,IF(ARBITRAGES!$H327="ron",F326+ARBITRAGES!$G327,F326),F326))</f>
        <v/>
      </c>
      <c r="G327" s="545" t="str">
        <f>IF($M327="","", IF(ARBITRAGES!$G327&gt;0,IF(ARBITRAGES!$H327="rndr",G326+ARBITRAGES!$G327,G326),G326))</f>
        <v/>
      </c>
      <c r="H327" s="545" t="str">
        <f>IF($M327="","", IF(ARBITRAGES!$G327&gt;0,IF(ARBITRAGES!$H327="doge",H326+ARBITRAGES!$G327,H326),H326))</f>
        <v/>
      </c>
      <c r="I327" s="545"/>
      <c r="J327" s="545"/>
      <c r="K327" s="545"/>
      <c r="L327" s="545"/>
      <c r="M327" s="540" t="str">
        <f>IF(ARBITRAGES!E327=0,"",ARBITRAGES!E327)</f>
        <v/>
      </c>
      <c r="N327" s="541" t="str">
        <f>IF(M327="","", SUM(A327:H327)+ARBITRAGES!$K$3)</f>
        <v/>
      </c>
      <c r="O327" s="542" t="str">
        <f>IF(M327="","",SUM(PRIX!B327:G327))</f>
        <v/>
      </c>
      <c r="Q327" s="546"/>
      <c r="R327" s="546"/>
      <c r="S327" s="547"/>
      <c r="T327" s="547"/>
    </row>
    <row r="328">
      <c r="A328" s="545" t="str">
        <f>IF($M328="","", IF(ARBITRAGES!$G328&gt;0,IF(ARBITRAGES!$H328="btc",A327+ARBITRAGES!$G328,A327),A327))</f>
        <v/>
      </c>
      <c r="B328" s="545" t="str">
        <f>IF($M328="","", IF(ARBITRAGES!$G328&gt;0,IF(ARBITRAGES!$H328="eth",B327+ARBITRAGES!$G328,B327),B327))</f>
        <v/>
      </c>
      <c r="C328" s="545" t="str">
        <f>IF($M328="","", IF(ARBITRAGES!$G328&gt;0,IF(ARBITRAGES!$H328="ondo",C327+ARBITRAGES!$G328,C327),C327))</f>
        <v/>
      </c>
      <c r="D328" s="545" t="str">
        <f>IF($M328="","", IF(ARBITRAGES!$G328&gt;0,IF(ARBITRAGES!$H328="sol",D327+ARBITRAGES!$G328,D327),D327))</f>
        <v/>
      </c>
      <c r="E328" s="545" t="str">
        <f>IF($M328="","", IF(ARBITRAGES!$G328&gt;0,IF(ARBITRAGES!$H328="tao",E327+ARBITRAGES!$G328,E327),E327))</f>
        <v/>
      </c>
      <c r="F328" s="545" t="str">
        <f>IF($M328="","", IF(ARBITRAGES!$G328&gt;0,IF(ARBITRAGES!$H328="ron",F327+ARBITRAGES!$G328,F327),F327))</f>
        <v/>
      </c>
      <c r="G328" s="545" t="str">
        <f>IF($M328="","", IF(ARBITRAGES!$G328&gt;0,IF(ARBITRAGES!$H328="rndr",G327+ARBITRAGES!$G328,G327),G327))</f>
        <v/>
      </c>
      <c r="H328" s="545" t="str">
        <f>IF($M328="","", IF(ARBITRAGES!$G328&gt;0,IF(ARBITRAGES!$H328="doge",H327+ARBITRAGES!$G328,H327),H327))</f>
        <v/>
      </c>
      <c r="I328" s="545"/>
      <c r="J328" s="545"/>
      <c r="K328" s="545"/>
      <c r="L328" s="545"/>
      <c r="M328" s="540" t="str">
        <f>IF(ARBITRAGES!E328=0,"",ARBITRAGES!E328)</f>
        <v/>
      </c>
      <c r="N328" s="541" t="str">
        <f>IF(M328="","", SUM(A328:H328)+ARBITRAGES!$K$3)</f>
        <v/>
      </c>
      <c r="O328" s="542" t="str">
        <f>IF(M328="","",SUM(PRIX!B328:G328))</f>
        <v/>
      </c>
      <c r="Q328" s="546"/>
      <c r="R328" s="546"/>
      <c r="S328" s="547"/>
      <c r="T328" s="547"/>
    </row>
    <row r="329">
      <c r="A329" s="545" t="str">
        <f>IF($M329="","", IF(ARBITRAGES!$G329&gt;0,IF(ARBITRAGES!$H329="btc",A328+ARBITRAGES!$G329,A328),A328))</f>
        <v/>
      </c>
      <c r="B329" s="545" t="str">
        <f>IF($M329="","", IF(ARBITRAGES!$G329&gt;0,IF(ARBITRAGES!$H329="eth",B328+ARBITRAGES!$G329,B328),B328))</f>
        <v/>
      </c>
      <c r="C329" s="545" t="str">
        <f>IF($M329="","", IF(ARBITRAGES!$G329&gt;0,IF(ARBITRAGES!$H329="ondo",C328+ARBITRAGES!$G329,C328),C328))</f>
        <v/>
      </c>
      <c r="D329" s="545" t="str">
        <f>IF($M329="","", IF(ARBITRAGES!$G329&gt;0,IF(ARBITRAGES!$H329="sol",D328+ARBITRAGES!$G329,D328),D328))</f>
        <v/>
      </c>
      <c r="E329" s="545" t="str">
        <f>IF($M329="","", IF(ARBITRAGES!$G329&gt;0,IF(ARBITRAGES!$H329="tao",E328+ARBITRAGES!$G329,E328),E328))</f>
        <v/>
      </c>
      <c r="F329" s="545" t="str">
        <f>IF($M329="","", IF(ARBITRAGES!$G329&gt;0,IF(ARBITRAGES!$H329="ron",F328+ARBITRAGES!$G329,F328),F328))</f>
        <v/>
      </c>
      <c r="G329" s="545" t="str">
        <f>IF($M329="","", IF(ARBITRAGES!$G329&gt;0,IF(ARBITRAGES!$H329="rndr",G328+ARBITRAGES!$G329,G328),G328))</f>
        <v/>
      </c>
      <c r="H329" s="545" t="str">
        <f>IF($M329="","", IF(ARBITRAGES!$G329&gt;0,IF(ARBITRAGES!$H329="doge",H328+ARBITRAGES!$G329,H328),H328))</f>
        <v/>
      </c>
      <c r="I329" s="545"/>
      <c r="J329" s="545"/>
      <c r="K329" s="545"/>
      <c r="L329" s="545"/>
      <c r="M329" s="540" t="str">
        <f>IF(ARBITRAGES!E329=0,"",ARBITRAGES!E329)</f>
        <v/>
      </c>
      <c r="N329" s="541" t="str">
        <f>IF(M329="","", SUM(A329:H329)+ARBITRAGES!$K$3)</f>
        <v/>
      </c>
      <c r="O329" s="542" t="str">
        <f>IF(M329="","",SUM(PRIX!B329:G329))</f>
        <v/>
      </c>
      <c r="Q329" s="546"/>
      <c r="R329" s="546"/>
      <c r="S329" s="547"/>
      <c r="T329" s="547"/>
    </row>
    <row r="330">
      <c r="A330" s="545" t="str">
        <f>IF($M330="","", IF(ARBITRAGES!$G330&gt;0,IF(ARBITRAGES!$H330="btc",A329+ARBITRAGES!$G330,A329),A329))</f>
        <v/>
      </c>
      <c r="B330" s="545" t="str">
        <f>IF($M330="","", IF(ARBITRAGES!$G330&gt;0,IF(ARBITRAGES!$H330="eth",B329+ARBITRAGES!$G330,B329),B329))</f>
        <v/>
      </c>
      <c r="C330" s="545" t="str">
        <f>IF($M330="","", IF(ARBITRAGES!$G330&gt;0,IF(ARBITRAGES!$H330="ondo",C329+ARBITRAGES!$G330,C329),C329))</f>
        <v/>
      </c>
      <c r="D330" s="545" t="str">
        <f>IF($M330="","", IF(ARBITRAGES!$G330&gt;0,IF(ARBITRAGES!$H330="sol",D329+ARBITRAGES!$G330,D329),D329))</f>
        <v/>
      </c>
      <c r="E330" s="545" t="str">
        <f>IF($M330="","", IF(ARBITRAGES!$G330&gt;0,IF(ARBITRAGES!$H330="tao",E329+ARBITRAGES!$G330,E329),E329))</f>
        <v/>
      </c>
      <c r="F330" s="545" t="str">
        <f>IF($M330="","", IF(ARBITRAGES!$G330&gt;0,IF(ARBITRAGES!$H330="ron",F329+ARBITRAGES!$G330,F329),F329))</f>
        <v/>
      </c>
      <c r="G330" s="545" t="str">
        <f>IF($M330="","", IF(ARBITRAGES!$G330&gt;0,IF(ARBITRAGES!$H330="rndr",G329+ARBITRAGES!$G330,G329),G329))</f>
        <v/>
      </c>
      <c r="H330" s="545" t="str">
        <f>IF($M330="","", IF(ARBITRAGES!$G330&gt;0,IF(ARBITRAGES!$H330="doge",H329+ARBITRAGES!$G330,H329),H329))</f>
        <v/>
      </c>
      <c r="I330" s="545"/>
      <c r="J330" s="545"/>
      <c r="K330" s="545"/>
      <c r="L330" s="545"/>
      <c r="M330" s="540" t="str">
        <f>IF(ARBITRAGES!E330=0,"",ARBITRAGES!E330)</f>
        <v/>
      </c>
      <c r="N330" s="541" t="str">
        <f>IF(M330="","", SUM(A330:H330)+ARBITRAGES!$K$3)</f>
        <v/>
      </c>
      <c r="O330" s="542" t="str">
        <f>IF(M330="","",SUM(PRIX!B330:G330))</f>
        <v/>
      </c>
      <c r="Q330" s="546"/>
      <c r="R330" s="546"/>
      <c r="S330" s="547"/>
      <c r="T330" s="547"/>
    </row>
    <row r="331">
      <c r="A331" s="545" t="str">
        <f>IF($M331="","", IF(ARBITRAGES!$G331&gt;0,IF(ARBITRAGES!$H331="btc",A330+ARBITRAGES!$G331,A330),A330))</f>
        <v/>
      </c>
      <c r="B331" s="545" t="str">
        <f>IF($M331="","", IF(ARBITRAGES!$G331&gt;0,IF(ARBITRAGES!$H331="eth",B330+ARBITRAGES!$G331,B330),B330))</f>
        <v/>
      </c>
      <c r="C331" s="545" t="str">
        <f>IF($M331="","", IF(ARBITRAGES!$G331&gt;0,IF(ARBITRAGES!$H331="ondo",C330+ARBITRAGES!$G331,C330),C330))</f>
        <v/>
      </c>
      <c r="D331" s="545" t="str">
        <f>IF($M331="","", IF(ARBITRAGES!$G331&gt;0,IF(ARBITRAGES!$H331="sol",D330+ARBITRAGES!$G331,D330),D330))</f>
        <v/>
      </c>
      <c r="E331" s="545" t="str">
        <f>IF($M331="","", IF(ARBITRAGES!$G331&gt;0,IF(ARBITRAGES!$H331="tao",E330+ARBITRAGES!$G331,E330),E330))</f>
        <v/>
      </c>
      <c r="F331" s="545" t="str">
        <f>IF($M331="","", IF(ARBITRAGES!$G331&gt;0,IF(ARBITRAGES!$H331="ron",F330+ARBITRAGES!$G331,F330),F330))</f>
        <v/>
      </c>
      <c r="G331" s="545" t="str">
        <f>IF($M331="","", IF(ARBITRAGES!$G331&gt;0,IF(ARBITRAGES!$H331="rndr",G330+ARBITRAGES!$G331,G330),G330))</f>
        <v/>
      </c>
      <c r="H331" s="545" t="str">
        <f>IF($M331="","", IF(ARBITRAGES!$G331&gt;0,IF(ARBITRAGES!$H331="doge",H330+ARBITRAGES!$G331,H330),H330))</f>
        <v/>
      </c>
      <c r="I331" s="545"/>
      <c r="J331" s="545"/>
      <c r="K331" s="545"/>
      <c r="L331" s="545"/>
      <c r="M331" s="540" t="str">
        <f>IF(ARBITRAGES!E331=0,"",ARBITRAGES!E331)</f>
        <v/>
      </c>
      <c r="N331" s="541" t="str">
        <f>IF(M331="","", SUM(A331:H331)+ARBITRAGES!$K$3)</f>
        <v/>
      </c>
      <c r="O331" s="542" t="str">
        <f>IF(M331="","",SUM(PRIX!B331:G331))</f>
        <v/>
      </c>
      <c r="Q331" s="546"/>
      <c r="R331" s="546"/>
      <c r="S331" s="547"/>
      <c r="T331" s="547"/>
    </row>
    <row r="332">
      <c r="A332" s="545" t="str">
        <f>IF($M332="","", IF(ARBITRAGES!$G332&gt;0,IF(ARBITRAGES!$H332="btc",A331+ARBITRAGES!$G332,A331),A331))</f>
        <v/>
      </c>
      <c r="B332" s="545" t="str">
        <f>IF($M332="","", IF(ARBITRAGES!$G332&gt;0,IF(ARBITRAGES!$H332="eth",B331+ARBITRAGES!$G332,B331),B331))</f>
        <v/>
      </c>
      <c r="C332" s="545" t="str">
        <f>IF($M332="","", IF(ARBITRAGES!$G332&gt;0,IF(ARBITRAGES!$H332="ondo",C331+ARBITRAGES!$G332,C331),C331))</f>
        <v/>
      </c>
      <c r="D332" s="545" t="str">
        <f>IF($M332="","", IF(ARBITRAGES!$G332&gt;0,IF(ARBITRAGES!$H332="sol",D331+ARBITRAGES!$G332,D331),D331))</f>
        <v/>
      </c>
      <c r="E332" s="545" t="str">
        <f>IF($M332="","", IF(ARBITRAGES!$G332&gt;0,IF(ARBITRAGES!$H332="tao",E331+ARBITRAGES!$G332,E331),E331))</f>
        <v/>
      </c>
      <c r="F332" s="545" t="str">
        <f>IF($M332="","", IF(ARBITRAGES!$G332&gt;0,IF(ARBITRAGES!$H332="ron",F331+ARBITRAGES!$G332,F331),F331))</f>
        <v/>
      </c>
      <c r="G332" s="545" t="str">
        <f>IF($M332="","", IF(ARBITRAGES!$G332&gt;0,IF(ARBITRAGES!$H332="rndr",G331+ARBITRAGES!$G332,G331),G331))</f>
        <v/>
      </c>
      <c r="H332" s="545" t="str">
        <f>IF($M332="","", IF(ARBITRAGES!$G332&gt;0,IF(ARBITRAGES!$H332="doge",H331+ARBITRAGES!$G332,H331),H331))</f>
        <v/>
      </c>
      <c r="I332" s="545"/>
      <c r="J332" s="545"/>
      <c r="K332" s="545"/>
      <c r="L332" s="545"/>
      <c r="M332" s="540" t="str">
        <f>IF(ARBITRAGES!E332=0,"",ARBITRAGES!E332)</f>
        <v/>
      </c>
      <c r="N332" s="541" t="str">
        <f>IF(M332="","", SUM(A332:H332)+ARBITRAGES!$K$3)</f>
        <v/>
      </c>
      <c r="O332" s="542" t="str">
        <f>IF(M332="","",SUM(PRIX!B332:G332))</f>
        <v/>
      </c>
      <c r="Q332" s="546"/>
      <c r="R332" s="546"/>
      <c r="S332" s="547"/>
      <c r="T332" s="547"/>
    </row>
    <row r="333">
      <c r="A333" s="545" t="str">
        <f>IF($M333="","", IF(ARBITRAGES!$G333&gt;0,IF(ARBITRAGES!$H333="btc",A332+ARBITRAGES!$G333,A332),A332))</f>
        <v/>
      </c>
      <c r="B333" s="545" t="str">
        <f>IF($M333="","", IF(ARBITRAGES!$G333&gt;0,IF(ARBITRAGES!$H333="eth",B332+ARBITRAGES!$G333,B332),B332))</f>
        <v/>
      </c>
      <c r="C333" s="545" t="str">
        <f>IF($M333="","", IF(ARBITRAGES!$G333&gt;0,IF(ARBITRAGES!$H333="ondo",C332+ARBITRAGES!$G333,C332),C332))</f>
        <v/>
      </c>
      <c r="D333" s="545" t="str">
        <f>IF($M333="","", IF(ARBITRAGES!$G333&gt;0,IF(ARBITRAGES!$H333="sol",D332+ARBITRAGES!$G333,D332),D332))</f>
        <v/>
      </c>
      <c r="E333" s="545" t="str">
        <f>IF($M333="","", IF(ARBITRAGES!$G333&gt;0,IF(ARBITRAGES!$H333="tao",E332+ARBITRAGES!$G333,E332),E332))</f>
        <v/>
      </c>
      <c r="F333" s="545" t="str">
        <f>IF($M333="","", IF(ARBITRAGES!$G333&gt;0,IF(ARBITRAGES!$H333="ron",F332+ARBITRAGES!$G333,F332),F332))</f>
        <v/>
      </c>
      <c r="G333" s="545" t="str">
        <f>IF($M333="","", IF(ARBITRAGES!$G333&gt;0,IF(ARBITRAGES!$H333="rndr",G332+ARBITRAGES!$G333,G332),G332))</f>
        <v/>
      </c>
      <c r="H333" s="545" t="str">
        <f>IF($M333="","", IF(ARBITRAGES!$G333&gt;0,IF(ARBITRAGES!$H333="doge",H332+ARBITRAGES!$G333,H332),H332))</f>
        <v/>
      </c>
      <c r="I333" s="545"/>
      <c r="J333" s="545"/>
      <c r="K333" s="545"/>
      <c r="L333" s="545"/>
      <c r="M333" s="540" t="str">
        <f>IF(ARBITRAGES!E333=0,"",ARBITRAGES!E333)</f>
        <v/>
      </c>
      <c r="N333" s="541" t="str">
        <f>IF(M333="","", SUM(A333:H333)+ARBITRAGES!$K$3)</f>
        <v/>
      </c>
      <c r="O333" s="542" t="str">
        <f>IF(M333="","",SUM(PRIX!B333:G333))</f>
        <v/>
      </c>
      <c r="Q333" s="546"/>
      <c r="R333" s="546"/>
      <c r="S333" s="547"/>
      <c r="T333" s="547"/>
    </row>
    <row r="334">
      <c r="A334" s="545" t="str">
        <f>IF($M334="","", IF(ARBITRAGES!$G334&gt;0,IF(ARBITRAGES!$H334="btc",A333+ARBITRAGES!$G334,A333),A333))</f>
        <v/>
      </c>
      <c r="B334" s="545" t="str">
        <f>IF($M334="","", IF(ARBITRAGES!$G334&gt;0,IF(ARBITRAGES!$H334="eth",B333+ARBITRAGES!$G334,B333),B333))</f>
        <v/>
      </c>
      <c r="C334" s="545" t="str">
        <f>IF($M334="","", IF(ARBITRAGES!$G334&gt;0,IF(ARBITRAGES!$H334="ondo",C333+ARBITRAGES!$G334,C333),C333))</f>
        <v/>
      </c>
      <c r="D334" s="545" t="str">
        <f>IF($M334="","", IF(ARBITRAGES!$G334&gt;0,IF(ARBITRAGES!$H334="sol",D333+ARBITRAGES!$G334,D333),D333))</f>
        <v/>
      </c>
      <c r="E334" s="545" t="str">
        <f>IF($M334="","", IF(ARBITRAGES!$G334&gt;0,IF(ARBITRAGES!$H334="tao",E333+ARBITRAGES!$G334,E333),E333))</f>
        <v/>
      </c>
      <c r="F334" s="545" t="str">
        <f>IF($M334="","", IF(ARBITRAGES!$G334&gt;0,IF(ARBITRAGES!$H334="ron",F333+ARBITRAGES!$G334,F333),F333))</f>
        <v/>
      </c>
      <c r="G334" s="545" t="str">
        <f>IF($M334="","", IF(ARBITRAGES!$G334&gt;0,IF(ARBITRAGES!$H334="rndr",G333+ARBITRAGES!$G334,G333),G333))</f>
        <v/>
      </c>
      <c r="H334" s="545" t="str">
        <f>IF($M334="","", IF(ARBITRAGES!$G334&gt;0,IF(ARBITRAGES!$H334="doge",H333+ARBITRAGES!$G334,H333),H333))</f>
        <v/>
      </c>
      <c r="I334" s="545"/>
      <c r="J334" s="545"/>
      <c r="K334" s="545"/>
      <c r="L334" s="545"/>
      <c r="M334" s="540" t="str">
        <f>IF(ARBITRAGES!E334=0,"",ARBITRAGES!E334)</f>
        <v/>
      </c>
      <c r="N334" s="541" t="str">
        <f>IF(M334="","", SUM(A334:H334)+ARBITRAGES!$K$3)</f>
        <v/>
      </c>
      <c r="O334" s="542" t="str">
        <f>IF(M334="","",SUM(PRIX!B334:G334))</f>
        <v/>
      </c>
      <c r="Q334" s="546"/>
      <c r="R334" s="546"/>
      <c r="S334" s="547"/>
      <c r="T334" s="547"/>
    </row>
    <row r="335">
      <c r="A335" s="545" t="str">
        <f>IF($M335="","", IF(ARBITRAGES!$G335&gt;0,IF(ARBITRAGES!$H335="btc",A334+ARBITRAGES!$G335,A334),A334))</f>
        <v/>
      </c>
      <c r="B335" s="545" t="str">
        <f>IF($M335="","", IF(ARBITRAGES!$G335&gt;0,IF(ARBITRAGES!$H335="eth",B334+ARBITRAGES!$G335,B334),B334))</f>
        <v/>
      </c>
      <c r="C335" s="545" t="str">
        <f>IF($M335="","", IF(ARBITRAGES!$G335&gt;0,IF(ARBITRAGES!$H335="ondo",C334+ARBITRAGES!$G335,C334),C334))</f>
        <v/>
      </c>
      <c r="D335" s="545" t="str">
        <f>IF($M335="","", IF(ARBITRAGES!$G335&gt;0,IF(ARBITRAGES!$H335="sol",D334+ARBITRAGES!$G335,D334),D334))</f>
        <v/>
      </c>
      <c r="E335" s="545" t="str">
        <f>IF($M335="","", IF(ARBITRAGES!$G335&gt;0,IF(ARBITRAGES!$H335="tao",E334+ARBITRAGES!$G335,E334),E334))</f>
        <v/>
      </c>
      <c r="F335" s="545" t="str">
        <f>IF($M335="","", IF(ARBITRAGES!$G335&gt;0,IF(ARBITRAGES!$H335="ron",F334+ARBITRAGES!$G335,F334),F334))</f>
        <v/>
      </c>
      <c r="G335" s="545" t="str">
        <f>IF($M335="","", IF(ARBITRAGES!$G335&gt;0,IF(ARBITRAGES!$H335="rndr",G334+ARBITRAGES!$G335,G334),G334))</f>
        <v/>
      </c>
      <c r="H335" s="545" t="str">
        <f>IF($M335="","", IF(ARBITRAGES!$G335&gt;0,IF(ARBITRAGES!$H335="doge",H334+ARBITRAGES!$G335,H334),H334))</f>
        <v/>
      </c>
      <c r="I335" s="545"/>
      <c r="J335" s="545"/>
      <c r="K335" s="545"/>
      <c r="L335" s="545"/>
      <c r="M335" s="540" t="str">
        <f>IF(ARBITRAGES!E335=0,"",ARBITRAGES!E335)</f>
        <v/>
      </c>
      <c r="N335" s="541" t="str">
        <f>IF(M335="","", SUM(A335:H335)+ARBITRAGES!$K$3)</f>
        <v/>
      </c>
      <c r="O335" s="542" t="str">
        <f>IF(M335="","",SUM(PRIX!B335:G335))</f>
        <v/>
      </c>
      <c r="Q335" s="546"/>
      <c r="R335" s="546"/>
      <c r="S335" s="547"/>
      <c r="T335" s="547"/>
    </row>
    <row r="336">
      <c r="A336" s="545" t="str">
        <f>IF($M336="","", IF(ARBITRAGES!$G336&gt;0,IF(ARBITRAGES!$H336="btc",A335+ARBITRAGES!$G336,A335),A335))</f>
        <v/>
      </c>
      <c r="B336" s="545" t="str">
        <f>IF($M336="","", IF(ARBITRAGES!$G336&gt;0,IF(ARBITRAGES!$H336="eth",B335+ARBITRAGES!$G336,B335),B335))</f>
        <v/>
      </c>
      <c r="C336" s="545" t="str">
        <f>IF($M336="","", IF(ARBITRAGES!$G336&gt;0,IF(ARBITRAGES!$H336="ondo",C335+ARBITRAGES!$G336,C335),C335))</f>
        <v/>
      </c>
      <c r="D336" s="545" t="str">
        <f>IF($M336="","", IF(ARBITRAGES!$G336&gt;0,IF(ARBITRAGES!$H336="sol",D335+ARBITRAGES!$G336,D335),D335))</f>
        <v/>
      </c>
      <c r="E336" s="545" t="str">
        <f>IF($M336="","", IF(ARBITRAGES!$G336&gt;0,IF(ARBITRAGES!$H336="tao",E335+ARBITRAGES!$G336,E335),E335))</f>
        <v/>
      </c>
      <c r="F336" s="545" t="str">
        <f>IF($M336="","", IF(ARBITRAGES!$G336&gt;0,IF(ARBITRAGES!$H336="ron",F335+ARBITRAGES!$G336,F335),F335))</f>
        <v/>
      </c>
      <c r="G336" s="545" t="str">
        <f>IF($M336="","", IF(ARBITRAGES!$G336&gt;0,IF(ARBITRAGES!$H336="rndr",G335+ARBITRAGES!$G336,G335),G335))</f>
        <v/>
      </c>
      <c r="H336" s="545" t="str">
        <f>IF($M336="","", IF(ARBITRAGES!$G336&gt;0,IF(ARBITRAGES!$H336="doge",H335+ARBITRAGES!$G336,H335),H335))</f>
        <v/>
      </c>
      <c r="I336" s="545"/>
      <c r="J336" s="545"/>
      <c r="K336" s="545"/>
      <c r="L336" s="545"/>
      <c r="M336" s="540" t="str">
        <f>IF(ARBITRAGES!E336=0,"",ARBITRAGES!E336)</f>
        <v/>
      </c>
      <c r="N336" s="541" t="str">
        <f>IF(M336="","", SUM(A336:H336)+ARBITRAGES!$K$3)</f>
        <v/>
      </c>
      <c r="O336" s="542" t="str">
        <f>IF(M336="","",SUM(PRIX!B336:G336))</f>
        <v/>
      </c>
      <c r="Q336" s="546"/>
      <c r="R336" s="546"/>
      <c r="S336" s="547"/>
      <c r="T336" s="547"/>
    </row>
    <row r="337">
      <c r="A337" s="545" t="str">
        <f>IF($M337="","", IF(ARBITRAGES!$G337&gt;0,IF(ARBITRAGES!$H337="btc",A336+ARBITRAGES!$G337,A336),A336))</f>
        <v/>
      </c>
      <c r="B337" s="545" t="str">
        <f>IF($M337="","", IF(ARBITRAGES!$G337&gt;0,IF(ARBITRAGES!$H337="eth",B336+ARBITRAGES!$G337,B336),B336))</f>
        <v/>
      </c>
      <c r="C337" s="545" t="str">
        <f>IF($M337="","", IF(ARBITRAGES!$G337&gt;0,IF(ARBITRAGES!$H337="ondo",C336+ARBITRAGES!$G337,C336),C336))</f>
        <v/>
      </c>
      <c r="D337" s="545" t="str">
        <f>IF($M337="","", IF(ARBITRAGES!$G337&gt;0,IF(ARBITRAGES!$H337="sol",D336+ARBITRAGES!$G337,D336),D336))</f>
        <v/>
      </c>
      <c r="E337" s="545" t="str">
        <f>IF($M337="","", IF(ARBITRAGES!$G337&gt;0,IF(ARBITRAGES!$H337="tao",E336+ARBITRAGES!$G337,E336),E336))</f>
        <v/>
      </c>
      <c r="F337" s="545" t="str">
        <f>IF($M337="","", IF(ARBITRAGES!$G337&gt;0,IF(ARBITRAGES!$H337="ron",F336+ARBITRAGES!$G337,F336),F336))</f>
        <v/>
      </c>
      <c r="G337" s="545" t="str">
        <f>IF($M337="","", IF(ARBITRAGES!$G337&gt;0,IF(ARBITRAGES!$H337="rndr",G336+ARBITRAGES!$G337,G336),G336))</f>
        <v/>
      </c>
      <c r="H337" s="545" t="str">
        <f>IF($M337="","", IF(ARBITRAGES!$G337&gt;0,IF(ARBITRAGES!$H337="doge",H336+ARBITRAGES!$G337,H336),H336))</f>
        <v/>
      </c>
      <c r="I337" s="545"/>
      <c r="J337" s="545"/>
      <c r="K337" s="545"/>
      <c r="L337" s="545"/>
      <c r="M337" s="540" t="str">
        <f>IF(ARBITRAGES!E337=0,"",ARBITRAGES!E337)</f>
        <v/>
      </c>
      <c r="N337" s="541" t="str">
        <f>IF(M337="","", SUM(A337:H337)+ARBITRAGES!$K$3)</f>
        <v/>
      </c>
      <c r="O337" s="542" t="str">
        <f>IF(M337="","",SUM(PRIX!B337:G337))</f>
        <v/>
      </c>
      <c r="Q337" s="546"/>
      <c r="R337" s="546"/>
      <c r="S337" s="547"/>
      <c r="T337" s="547"/>
    </row>
    <row r="338">
      <c r="A338" s="545" t="str">
        <f>IF($M338="","", IF(ARBITRAGES!$G338&gt;0,IF(ARBITRAGES!$H338="btc",A337+ARBITRAGES!$G338,A337),A337))</f>
        <v/>
      </c>
      <c r="B338" s="545" t="str">
        <f>IF($M338="","", IF(ARBITRAGES!$G338&gt;0,IF(ARBITRAGES!$H338="eth",B337+ARBITRAGES!$G338,B337),B337))</f>
        <v/>
      </c>
      <c r="C338" s="545" t="str">
        <f>IF($M338="","", IF(ARBITRAGES!$G338&gt;0,IF(ARBITRAGES!$H338="ondo",C337+ARBITRAGES!$G338,C337),C337))</f>
        <v/>
      </c>
      <c r="D338" s="545" t="str">
        <f>IF($M338="","", IF(ARBITRAGES!$G338&gt;0,IF(ARBITRAGES!$H338="sol",D337+ARBITRAGES!$G338,D337),D337))</f>
        <v/>
      </c>
      <c r="E338" s="545" t="str">
        <f>IF($M338="","", IF(ARBITRAGES!$G338&gt;0,IF(ARBITRAGES!$H338="tao",E337+ARBITRAGES!$G338,E337),E337))</f>
        <v/>
      </c>
      <c r="F338" s="545" t="str">
        <f>IF($M338="","", IF(ARBITRAGES!$G338&gt;0,IF(ARBITRAGES!$H338="ron",F337+ARBITRAGES!$G338,F337),F337))</f>
        <v/>
      </c>
      <c r="G338" s="545" t="str">
        <f>IF($M338="","", IF(ARBITRAGES!$G338&gt;0,IF(ARBITRAGES!$H338="rndr",G337+ARBITRAGES!$G338,G337),G337))</f>
        <v/>
      </c>
      <c r="H338" s="545" t="str">
        <f>IF($M338="","", IF(ARBITRAGES!$G338&gt;0,IF(ARBITRAGES!$H338="doge",H337+ARBITRAGES!$G338,H337),H337))</f>
        <v/>
      </c>
      <c r="I338" s="545"/>
      <c r="J338" s="545"/>
      <c r="K338" s="545"/>
      <c r="L338" s="545"/>
      <c r="M338" s="540" t="str">
        <f>IF(ARBITRAGES!E338=0,"",ARBITRAGES!E338)</f>
        <v/>
      </c>
      <c r="N338" s="541" t="str">
        <f>IF(M338="","", SUM(A338:H338)+ARBITRAGES!$K$3)</f>
        <v/>
      </c>
      <c r="O338" s="542" t="str">
        <f>IF(M338="","",SUM(PRIX!B338:G338))</f>
        <v/>
      </c>
      <c r="Q338" s="546"/>
      <c r="R338" s="546"/>
      <c r="S338" s="547"/>
      <c r="T338" s="547"/>
    </row>
    <row r="339">
      <c r="A339" s="545" t="str">
        <f>IF($M339="","", IF(ARBITRAGES!$G339&gt;0,IF(ARBITRAGES!$H339="btc",A338+ARBITRAGES!$G339,A338),A338))</f>
        <v/>
      </c>
      <c r="B339" s="545" t="str">
        <f>IF($M339="","", IF(ARBITRAGES!$G339&gt;0,IF(ARBITRAGES!$H339="eth",B338+ARBITRAGES!$G339,B338),B338))</f>
        <v/>
      </c>
      <c r="C339" s="545" t="str">
        <f>IF($M339="","", IF(ARBITRAGES!$G339&gt;0,IF(ARBITRAGES!$H339="ondo",C338+ARBITRAGES!$G339,C338),C338))</f>
        <v/>
      </c>
      <c r="D339" s="545" t="str">
        <f>IF($M339="","", IF(ARBITRAGES!$G339&gt;0,IF(ARBITRAGES!$H339="sol",D338+ARBITRAGES!$G339,D338),D338))</f>
        <v/>
      </c>
      <c r="E339" s="545" t="str">
        <f>IF($M339="","", IF(ARBITRAGES!$G339&gt;0,IF(ARBITRAGES!$H339="tao",E338+ARBITRAGES!$G339,E338),E338))</f>
        <v/>
      </c>
      <c r="F339" s="545" t="str">
        <f>IF($M339="","", IF(ARBITRAGES!$G339&gt;0,IF(ARBITRAGES!$H339="ron",F338+ARBITRAGES!$G339,F338),F338))</f>
        <v/>
      </c>
      <c r="G339" s="545" t="str">
        <f>IF($M339="","", IF(ARBITRAGES!$G339&gt;0,IF(ARBITRAGES!$H339="rndr",G338+ARBITRAGES!$G339,G338),G338))</f>
        <v/>
      </c>
      <c r="H339" s="545" t="str">
        <f>IF($M339="","", IF(ARBITRAGES!$G339&gt;0,IF(ARBITRAGES!$H339="doge",H338+ARBITRAGES!$G339,H338),H338))</f>
        <v/>
      </c>
      <c r="I339" s="545"/>
      <c r="J339" s="545"/>
      <c r="K339" s="545"/>
      <c r="L339" s="545"/>
      <c r="M339" s="540" t="str">
        <f>IF(ARBITRAGES!E339=0,"",ARBITRAGES!E339)</f>
        <v/>
      </c>
      <c r="N339" s="541" t="str">
        <f>IF(M339="","", SUM(A339:H339)+ARBITRAGES!$K$3)</f>
        <v/>
      </c>
      <c r="O339" s="542" t="str">
        <f>IF(M339="","",SUM(PRIX!B339:G339))</f>
        <v/>
      </c>
      <c r="Q339" s="546"/>
      <c r="R339" s="546"/>
      <c r="S339" s="547"/>
      <c r="T339" s="547"/>
    </row>
    <row r="340">
      <c r="A340" s="545" t="str">
        <f>IF($M340="","", IF(ARBITRAGES!$G340&gt;0,IF(ARBITRAGES!$H340="btc",A339+ARBITRAGES!$G340,A339),A339))</f>
        <v/>
      </c>
      <c r="B340" s="545" t="str">
        <f>IF($M340="","", IF(ARBITRAGES!$G340&gt;0,IF(ARBITRAGES!$H340="eth",B339+ARBITRAGES!$G340,B339),B339))</f>
        <v/>
      </c>
      <c r="C340" s="545" t="str">
        <f>IF($M340="","", IF(ARBITRAGES!$G340&gt;0,IF(ARBITRAGES!$H340="ondo",C339+ARBITRAGES!$G340,C339),C339))</f>
        <v/>
      </c>
      <c r="D340" s="545" t="str">
        <f>IF($M340="","", IF(ARBITRAGES!$G340&gt;0,IF(ARBITRAGES!$H340="sol",D339+ARBITRAGES!$G340,D339),D339))</f>
        <v/>
      </c>
      <c r="E340" s="545" t="str">
        <f>IF($M340="","", IF(ARBITRAGES!$G340&gt;0,IF(ARBITRAGES!$H340="tao",E339+ARBITRAGES!$G340,E339),E339))</f>
        <v/>
      </c>
      <c r="F340" s="545" t="str">
        <f>IF($M340="","", IF(ARBITRAGES!$G340&gt;0,IF(ARBITRAGES!$H340="ron",F339+ARBITRAGES!$G340,F339),F339))</f>
        <v/>
      </c>
      <c r="G340" s="545" t="str">
        <f>IF($M340="","", IF(ARBITRAGES!$G340&gt;0,IF(ARBITRAGES!$H340="rndr",G339+ARBITRAGES!$G340,G339),G339))</f>
        <v/>
      </c>
      <c r="H340" s="545" t="str">
        <f>IF($M340="","", IF(ARBITRAGES!$G340&gt;0,IF(ARBITRAGES!$H340="doge",H339+ARBITRAGES!$G340,H339),H339))</f>
        <v/>
      </c>
      <c r="I340" s="545"/>
      <c r="J340" s="545"/>
      <c r="K340" s="545"/>
      <c r="L340" s="545"/>
      <c r="M340" s="540" t="str">
        <f>IF(ARBITRAGES!E340=0,"",ARBITRAGES!E340)</f>
        <v/>
      </c>
      <c r="N340" s="541" t="str">
        <f>IF(M340="","", SUM(A340:H340)+ARBITRAGES!$K$3)</f>
        <v/>
      </c>
      <c r="O340" s="542" t="str">
        <f>IF(M340="","",SUM(PRIX!B340:G340))</f>
        <v/>
      </c>
      <c r="Q340" s="546"/>
      <c r="R340" s="546"/>
      <c r="S340" s="547"/>
      <c r="T340" s="547"/>
    </row>
    <row r="341">
      <c r="A341" s="545" t="str">
        <f>IF($M341="","", IF(ARBITRAGES!$G341&gt;0,IF(ARBITRAGES!$H341="btc",A340+ARBITRAGES!$G341,A340),A340))</f>
        <v/>
      </c>
      <c r="B341" s="545" t="str">
        <f>IF($M341="","", IF(ARBITRAGES!$G341&gt;0,IF(ARBITRAGES!$H341="eth",B340+ARBITRAGES!$G341,B340),B340))</f>
        <v/>
      </c>
      <c r="C341" s="545" t="str">
        <f>IF($M341="","", IF(ARBITRAGES!$G341&gt;0,IF(ARBITRAGES!$H341="ondo",C340+ARBITRAGES!$G341,C340),C340))</f>
        <v/>
      </c>
      <c r="D341" s="545" t="str">
        <f>IF($M341="","", IF(ARBITRAGES!$G341&gt;0,IF(ARBITRAGES!$H341="sol",D340+ARBITRAGES!$G341,D340),D340))</f>
        <v/>
      </c>
      <c r="E341" s="545" t="str">
        <f>IF($M341="","", IF(ARBITRAGES!$G341&gt;0,IF(ARBITRAGES!$H341="tao",E340+ARBITRAGES!$G341,E340),E340))</f>
        <v/>
      </c>
      <c r="F341" s="545" t="str">
        <f>IF($M341="","", IF(ARBITRAGES!$G341&gt;0,IF(ARBITRAGES!$H341="ron",F340+ARBITRAGES!$G341,F340),F340))</f>
        <v/>
      </c>
      <c r="G341" s="545" t="str">
        <f>IF($M341="","", IF(ARBITRAGES!$G341&gt;0,IF(ARBITRAGES!$H341="rndr",G340+ARBITRAGES!$G341,G340),G340))</f>
        <v/>
      </c>
      <c r="H341" s="545" t="str">
        <f>IF($M341="","", IF(ARBITRAGES!$G341&gt;0,IF(ARBITRAGES!$H341="doge",H340+ARBITRAGES!$G341,H340),H340))</f>
        <v/>
      </c>
      <c r="I341" s="545"/>
      <c r="J341" s="545"/>
      <c r="K341" s="545"/>
      <c r="L341" s="545"/>
      <c r="M341" s="540" t="str">
        <f>IF(ARBITRAGES!E341=0,"",ARBITRAGES!E341)</f>
        <v/>
      </c>
      <c r="N341" s="541" t="str">
        <f>IF(M341="","", SUM(A341:H341)+ARBITRAGES!$K$3)</f>
        <v/>
      </c>
      <c r="O341" s="542" t="str">
        <f>IF(M341="","",SUM(PRIX!B341:G341))</f>
        <v/>
      </c>
      <c r="Q341" s="546"/>
      <c r="R341" s="546"/>
      <c r="S341" s="547"/>
      <c r="T341" s="547"/>
    </row>
    <row r="342">
      <c r="A342" s="545" t="str">
        <f>IF($M342="","", IF(ARBITRAGES!$G342&gt;0,IF(ARBITRAGES!$H342="btc",A341+ARBITRAGES!$G342,A341),A341))</f>
        <v/>
      </c>
      <c r="B342" s="545" t="str">
        <f>IF($M342="","", IF(ARBITRAGES!$G342&gt;0,IF(ARBITRAGES!$H342="eth",B341+ARBITRAGES!$G342,B341),B341))</f>
        <v/>
      </c>
      <c r="C342" s="545" t="str">
        <f>IF($M342="","", IF(ARBITRAGES!$G342&gt;0,IF(ARBITRAGES!$H342="ondo",C341+ARBITRAGES!$G342,C341),C341))</f>
        <v/>
      </c>
      <c r="D342" s="545" t="str">
        <f>IF($M342="","", IF(ARBITRAGES!$G342&gt;0,IF(ARBITRAGES!$H342="sol",D341+ARBITRAGES!$G342,D341),D341))</f>
        <v/>
      </c>
      <c r="E342" s="545" t="str">
        <f>IF($M342="","", IF(ARBITRAGES!$G342&gt;0,IF(ARBITRAGES!$H342="tao",E341+ARBITRAGES!$G342,E341),E341))</f>
        <v/>
      </c>
      <c r="F342" s="545" t="str">
        <f>IF($M342="","", IF(ARBITRAGES!$G342&gt;0,IF(ARBITRAGES!$H342="ron",F341+ARBITRAGES!$G342,F341),F341))</f>
        <v/>
      </c>
      <c r="G342" s="545" t="str">
        <f>IF($M342="","", IF(ARBITRAGES!$G342&gt;0,IF(ARBITRAGES!$H342="rndr",G341+ARBITRAGES!$G342,G341),G341))</f>
        <v/>
      </c>
      <c r="H342" s="545" t="str">
        <f>IF($M342="","", IF(ARBITRAGES!$G342&gt;0,IF(ARBITRAGES!$H342="doge",H341+ARBITRAGES!$G342,H341),H341))</f>
        <v/>
      </c>
      <c r="I342" s="545"/>
      <c r="J342" s="545"/>
      <c r="K342" s="545"/>
      <c r="L342" s="545"/>
      <c r="M342" s="540" t="str">
        <f>IF(ARBITRAGES!E342=0,"",ARBITRAGES!E342)</f>
        <v/>
      </c>
      <c r="N342" s="541" t="str">
        <f>IF(M342="","", SUM(A342:H342)+ARBITRAGES!$K$3)</f>
        <v/>
      </c>
      <c r="O342" s="542" t="str">
        <f>IF(M342="","",SUM(PRIX!B342:G342))</f>
        <v/>
      </c>
      <c r="Q342" s="546"/>
      <c r="R342" s="546"/>
      <c r="S342" s="547"/>
      <c r="T342" s="547"/>
    </row>
    <row r="343">
      <c r="A343" s="545" t="str">
        <f>IF($M343="","", IF(ARBITRAGES!$G343&gt;0,IF(ARBITRAGES!$H343="btc",A342+ARBITRAGES!$G343,A342),A342))</f>
        <v/>
      </c>
      <c r="B343" s="545" t="str">
        <f>IF($M343="","", IF(ARBITRAGES!$G343&gt;0,IF(ARBITRAGES!$H343="eth",B342+ARBITRAGES!$G343,B342),B342))</f>
        <v/>
      </c>
      <c r="C343" s="545" t="str">
        <f>IF($M343="","", IF(ARBITRAGES!$G343&gt;0,IF(ARBITRAGES!$H343="ondo",C342+ARBITRAGES!$G343,C342),C342))</f>
        <v/>
      </c>
      <c r="D343" s="545" t="str">
        <f>IF($M343="","", IF(ARBITRAGES!$G343&gt;0,IF(ARBITRAGES!$H343="sol",D342+ARBITRAGES!$G343,D342),D342))</f>
        <v/>
      </c>
      <c r="E343" s="545" t="str">
        <f>IF($M343="","", IF(ARBITRAGES!$G343&gt;0,IF(ARBITRAGES!$H343="tao",E342+ARBITRAGES!$G343,E342),E342))</f>
        <v/>
      </c>
      <c r="F343" s="545" t="str">
        <f>IF($M343="","", IF(ARBITRAGES!$G343&gt;0,IF(ARBITRAGES!$H343="ron",F342+ARBITRAGES!$G343,F342),F342))</f>
        <v/>
      </c>
      <c r="G343" s="545" t="str">
        <f>IF($M343="","", IF(ARBITRAGES!$G343&gt;0,IF(ARBITRAGES!$H343="rndr",G342+ARBITRAGES!$G343,G342),G342))</f>
        <v/>
      </c>
      <c r="H343" s="545" t="str">
        <f>IF($M343="","", IF(ARBITRAGES!$G343&gt;0,IF(ARBITRAGES!$H343="doge",H342+ARBITRAGES!$G343,H342),H342))</f>
        <v/>
      </c>
      <c r="I343" s="545"/>
      <c r="J343" s="545"/>
      <c r="K343" s="545"/>
      <c r="L343" s="545"/>
      <c r="M343" s="540" t="str">
        <f>IF(ARBITRAGES!E343=0,"",ARBITRAGES!E343)</f>
        <v/>
      </c>
      <c r="N343" s="541" t="str">
        <f>IF(M343="","", SUM(A343:H343)+ARBITRAGES!$K$3)</f>
        <v/>
      </c>
      <c r="O343" s="542" t="str">
        <f>IF(M343="","",SUM(PRIX!B343:G343))</f>
        <v/>
      </c>
      <c r="Q343" s="546"/>
      <c r="R343" s="546"/>
      <c r="S343" s="547"/>
      <c r="T343" s="547"/>
    </row>
    <row r="344">
      <c r="A344" s="545" t="str">
        <f>IF($M344="","", IF(ARBITRAGES!$G344&gt;0,IF(ARBITRAGES!$H344="btc",A343+ARBITRAGES!$G344,A343),A343))</f>
        <v/>
      </c>
      <c r="B344" s="545" t="str">
        <f>IF($M344="","", IF(ARBITRAGES!$G344&gt;0,IF(ARBITRAGES!$H344="eth",B343+ARBITRAGES!$G344,B343),B343))</f>
        <v/>
      </c>
      <c r="C344" s="545" t="str">
        <f>IF($M344="","", IF(ARBITRAGES!$G344&gt;0,IF(ARBITRAGES!$H344="ondo",C343+ARBITRAGES!$G344,C343),C343))</f>
        <v/>
      </c>
      <c r="D344" s="545" t="str">
        <f>IF($M344="","", IF(ARBITRAGES!$G344&gt;0,IF(ARBITRAGES!$H344="sol",D343+ARBITRAGES!$G344,D343),D343))</f>
        <v/>
      </c>
      <c r="E344" s="545" t="str">
        <f>IF($M344="","", IF(ARBITRAGES!$G344&gt;0,IF(ARBITRAGES!$H344="tao",E343+ARBITRAGES!$G344,E343),E343))</f>
        <v/>
      </c>
      <c r="F344" s="545" t="str">
        <f>IF($M344="","", IF(ARBITRAGES!$G344&gt;0,IF(ARBITRAGES!$H344="ron",F343+ARBITRAGES!$G344,F343),F343))</f>
        <v/>
      </c>
      <c r="G344" s="545" t="str">
        <f>IF($M344="","", IF(ARBITRAGES!$G344&gt;0,IF(ARBITRAGES!$H344="rndr",G343+ARBITRAGES!$G344,G343),G343))</f>
        <v/>
      </c>
      <c r="H344" s="545" t="str">
        <f>IF($M344="","", IF(ARBITRAGES!$G344&gt;0,IF(ARBITRAGES!$H344="doge",H343+ARBITRAGES!$G344,H343),H343))</f>
        <v/>
      </c>
      <c r="I344" s="545"/>
      <c r="J344" s="545"/>
      <c r="K344" s="545"/>
      <c r="L344" s="545"/>
      <c r="M344" s="540" t="str">
        <f>IF(ARBITRAGES!E344=0,"",ARBITRAGES!E344)</f>
        <v/>
      </c>
      <c r="N344" s="541" t="str">
        <f>IF(M344="","", SUM(A344:H344)+ARBITRAGES!$K$3)</f>
        <v/>
      </c>
      <c r="O344" s="542" t="str">
        <f>IF(M344="","",SUM(PRIX!B344:G344))</f>
        <v/>
      </c>
      <c r="Q344" s="546"/>
      <c r="R344" s="546"/>
      <c r="S344" s="547"/>
      <c r="T344" s="547"/>
    </row>
    <row r="345">
      <c r="A345" s="545" t="str">
        <f>IF($M345="","", IF(ARBITRAGES!$G345&gt;0,IF(ARBITRAGES!$H345="btc",A344+ARBITRAGES!$G345,A344),A344))</f>
        <v/>
      </c>
      <c r="B345" s="545" t="str">
        <f>IF($M345="","", IF(ARBITRAGES!$G345&gt;0,IF(ARBITRAGES!$H345="eth",B344+ARBITRAGES!$G345,B344),B344))</f>
        <v/>
      </c>
      <c r="C345" s="545" t="str">
        <f>IF($M345="","", IF(ARBITRAGES!$G345&gt;0,IF(ARBITRAGES!$H345="ondo",C344+ARBITRAGES!$G345,C344),C344))</f>
        <v/>
      </c>
      <c r="D345" s="545" t="str">
        <f>IF($M345="","", IF(ARBITRAGES!$G345&gt;0,IF(ARBITRAGES!$H345="sol",D344+ARBITRAGES!$G345,D344),D344))</f>
        <v/>
      </c>
      <c r="E345" s="545" t="str">
        <f>IF($M345="","", IF(ARBITRAGES!$G345&gt;0,IF(ARBITRAGES!$H345="tao",E344+ARBITRAGES!$G345,E344),E344))</f>
        <v/>
      </c>
      <c r="F345" s="545" t="str">
        <f>IF($M345="","", IF(ARBITRAGES!$G345&gt;0,IF(ARBITRAGES!$H345="ron",F344+ARBITRAGES!$G345,F344),F344))</f>
        <v/>
      </c>
      <c r="G345" s="545" t="str">
        <f>IF($M345="","", IF(ARBITRAGES!$G345&gt;0,IF(ARBITRAGES!$H345="rndr",G344+ARBITRAGES!$G345,G344),G344))</f>
        <v/>
      </c>
      <c r="H345" s="545" t="str">
        <f>IF($M345="","", IF(ARBITRAGES!$G345&gt;0,IF(ARBITRAGES!$H345="doge",H344+ARBITRAGES!$G345,H344),H344))</f>
        <v/>
      </c>
      <c r="I345" s="545"/>
      <c r="J345" s="545"/>
      <c r="K345" s="545"/>
      <c r="L345" s="545"/>
      <c r="M345" s="540" t="str">
        <f>IF(ARBITRAGES!E345=0,"",ARBITRAGES!E345)</f>
        <v/>
      </c>
      <c r="N345" s="541" t="str">
        <f>IF(M345="","", SUM(A345:H345)+ARBITRAGES!$K$3)</f>
        <v/>
      </c>
      <c r="O345" s="542" t="str">
        <f>IF(M345="","",SUM(PRIX!B345:G345))</f>
        <v/>
      </c>
      <c r="Q345" s="546"/>
      <c r="R345" s="546"/>
      <c r="S345" s="547"/>
      <c r="T345" s="547"/>
    </row>
    <row r="346">
      <c r="A346" s="545" t="str">
        <f>IF($M346="","", IF(ARBITRAGES!$G346&gt;0,IF(ARBITRAGES!$H346="btc",A345+ARBITRAGES!$G346,A345),A345))</f>
        <v/>
      </c>
      <c r="B346" s="545" t="str">
        <f>IF($M346="","", IF(ARBITRAGES!$G346&gt;0,IF(ARBITRAGES!$H346="eth",B345+ARBITRAGES!$G346,B345),B345))</f>
        <v/>
      </c>
      <c r="C346" s="545" t="str">
        <f>IF($M346="","", IF(ARBITRAGES!$G346&gt;0,IF(ARBITRAGES!$H346="ondo",C345+ARBITRAGES!$G346,C345),C345))</f>
        <v/>
      </c>
      <c r="D346" s="545" t="str">
        <f>IF($M346="","", IF(ARBITRAGES!$G346&gt;0,IF(ARBITRAGES!$H346="sol",D345+ARBITRAGES!$G346,D345),D345))</f>
        <v/>
      </c>
      <c r="E346" s="545" t="str">
        <f>IF($M346="","", IF(ARBITRAGES!$G346&gt;0,IF(ARBITRAGES!$H346="tao",E345+ARBITRAGES!$G346,E345),E345))</f>
        <v/>
      </c>
      <c r="F346" s="545" t="str">
        <f>IF($M346="","", IF(ARBITRAGES!$G346&gt;0,IF(ARBITRAGES!$H346="ron",F345+ARBITRAGES!$G346,F345),F345))</f>
        <v/>
      </c>
      <c r="G346" s="545" t="str">
        <f>IF($M346="","", IF(ARBITRAGES!$G346&gt;0,IF(ARBITRAGES!$H346="rndr",G345+ARBITRAGES!$G346,G345),G345))</f>
        <v/>
      </c>
      <c r="H346" s="545" t="str">
        <f>IF($M346="","", IF(ARBITRAGES!$G346&gt;0,IF(ARBITRAGES!$H346="doge",H345+ARBITRAGES!$G346,H345),H345))</f>
        <v/>
      </c>
      <c r="I346" s="545"/>
      <c r="J346" s="545"/>
      <c r="K346" s="545"/>
      <c r="L346" s="545"/>
      <c r="M346" s="540" t="str">
        <f>IF(ARBITRAGES!E346=0,"",ARBITRAGES!E346)</f>
        <v/>
      </c>
      <c r="N346" s="541" t="str">
        <f>IF(M346="","", SUM(A346:H346)+ARBITRAGES!$K$3)</f>
        <v/>
      </c>
      <c r="O346" s="542" t="str">
        <f>IF(M346="","",SUM(PRIX!B346:G346))</f>
        <v/>
      </c>
      <c r="Q346" s="546"/>
      <c r="R346" s="546"/>
      <c r="S346" s="547"/>
      <c r="T346" s="547"/>
    </row>
    <row r="347">
      <c r="A347" s="545" t="str">
        <f>IF($M347="","", IF(ARBITRAGES!$G347&gt;0,IF(ARBITRAGES!$H347="btc",A346+ARBITRAGES!$G347,A346),A346))</f>
        <v/>
      </c>
      <c r="B347" s="545" t="str">
        <f>IF($M347="","", IF(ARBITRAGES!$G347&gt;0,IF(ARBITRAGES!$H347="eth",B346+ARBITRAGES!$G347,B346),B346))</f>
        <v/>
      </c>
      <c r="C347" s="545" t="str">
        <f>IF($M347="","", IF(ARBITRAGES!$G347&gt;0,IF(ARBITRAGES!$H347="ondo",C346+ARBITRAGES!$G347,C346),C346))</f>
        <v/>
      </c>
      <c r="D347" s="545" t="str">
        <f>IF($M347="","", IF(ARBITRAGES!$G347&gt;0,IF(ARBITRAGES!$H347="sol",D346+ARBITRAGES!$G347,D346),D346))</f>
        <v/>
      </c>
      <c r="E347" s="545" t="str">
        <f>IF($M347="","", IF(ARBITRAGES!$G347&gt;0,IF(ARBITRAGES!$H347="tao",E346+ARBITRAGES!$G347,E346),E346))</f>
        <v/>
      </c>
      <c r="F347" s="545" t="str">
        <f>IF($M347="","", IF(ARBITRAGES!$G347&gt;0,IF(ARBITRAGES!$H347="ron",F346+ARBITRAGES!$G347,F346),F346))</f>
        <v/>
      </c>
      <c r="G347" s="545" t="str">
        <f>IF($M347="","", IF(ARBITRAGES!$G347&gt;0,IF(ARBITRAGES!$H347="rndr",G346+ARBITRAGES!$G347,G346),G346))</f>
        <v/>
      </c>
      <c r="H347" s="545" t="str">
        <f>IF($M347="","", IF(ARBITRAGES!$G347&gt;0,IF(ARBITRAGES!$H347="doge",H346+ARBITRAGES!$G347,H346),H346))</f>
        <v/>
      </c>
      <c r="I347" s="545"/>
      <c r="J347" s="545"/>
      <c r="K347" s="545"/>
      <c r="L347" s="545"/>
      <c r="M347" s="540" t="str">
        <f>IF(ARBITRAGES!E347=0,"",ARBITRAGES!E347)</f>
        <v/>
      </c>
      <c r="N347" s="541" t="str">
        <f>IF(M347="","", SUM(A347:H347)+ARBITRAGES!$K$3)</f>
        <v/>
      </c>
      <c r="O347" s="542" t="str">
        <f>IF(M347="","",SUM(PRIX!B347:G347))</f>
        <v/>
      </c>
      <c r="Q347" s="546"/>
      <c r="R347" s="546"/>
      <c r="S347" s="547"/>
      <c r="T347" s="547"/>
    </row>
    <row r="348">
      <c r="A348" s="545" t="str">
        <f>IF($M348="","", IF(ARBITRAGES!$G348&gt;0,IF(ARBITRAGES!$H348="btc",A347+ARBITRAGES!$G348,A347),A347))</f>
        <v/>
      </c>
      <c r="B348" s="545" t="str">
        <f>IF($M348="","", IF(ARBITRAGES!$G348&gt;0,IF(ARBITRAGES!$H348="eth",B347+ARBITRAGES!$G348,B347),B347))</f>
        <v/>
      </c>
      <c r="C348" s="545" t="str">
        <f>IF($M348="","", IF(ARBITRAGES!$G348&gt;0,IF(ARBITRAGES!$H348="ondo",C347+ARBITRAGES!$G348,C347),C347))</f>
        <v/>
      </c>
      <c r="D348" s="545" t="str">
        <f>IF($M348="","", IF(ARBITRAGES!$G348&gt;0,IF(ARBITRAGES!$H348="sol",D347+ARBITRAGES!$G348,D347),D347))</f>
        <v/>
      </c>
      <c r="E348" s="545" t="str">
        <f>IF($M348="","", IF(ARBITRAGES!$G348&gt;0,IF(ARBITRAGES!$H348="tao",E347+ARBITRAGES!$G348,E347),E347))</f>
        <v/>
      </c>
      <c r="F348" s="545" t="str">
        <f>IF($M348="","", IF(ARBITRAGES!$G348&gt;0,IF(ARBITRAGES!$H348="ron",F347+ARBITRAGES!$G348,F347),F347))</f>
        <v/>
      </c>
      <c r="G348" s="545" t="str">
        <f>IF($M348="","", IF(ARBITRAGES!$G348&gt;0,IF(ARBITRAGES!$H348="rndr",G347+ARBITRAGES!$G348,G347),G347))</f>
        <v/>
      </c>
      <c r="H348" s="545" t="str">
        <f>IF($M348="","", IF(ARBITRAGES!$G348&gt;0,IF(ARBITRAGES!$H348="doge",H347+ARBITRAGES!$G348,H347),H347))</f>
        <v/>
      </c>
      <c r="I348" s="545"/>
      <c r="J348" s="545"/>
      <c r="K348" s="545"/>
      <c r="L348" s="545"/>
      <c r="M348" s="540" t="str">
        <f>IF(ARBITRAGES!E348=0,"",ARBITRAGES!E348)</f>
        <v/>
      </c>
      <c r="N348" s="541" t="str">
        <f>IF(M348="","", SUM(A348:H348)+ARBITRAGES!$K$3)</f>
        <v/>
      </c>
      <c r="O348" s="542" t="str">
        <f>IF(M348="","",SUM(PRIX!B348:G348))</f>
        <v/>
      </c>
      <c r="Q348" s="546"/>
      <c r="R348" s="546"/>
      <c r="S348" s="547"/>
      <c r="T348" s="547"/>
    </row>
    <row r="349">
      <c r="A349" s="545" t="str">
        <f>IF($M349="","", IF(ARBITRAGES!$G349&gt;0,IF(ARBITRAGES!$H349="btc",A348+ARBITRAGES!$G349,A348),A348))</f>
        <v/>
      </c>
      <c r="B349" s="545" t="str">
        <f>IF($M349="","", IF(ARBITRAGES!$G349&gt;0,IF(ARBITRAGES!$H349="eth",B348+ARBITRAGES!$G349,B348),B348))</f>
        <v/>
      </c>
      <c r="C349" s="545" t="str">
        <f>IF($M349="","", IF(ARBITRAGES!$G349&gt;0,IF(ARBITRAGES!$H349="ondo",C348+ARBITRAGES!$G349,C348),C348))</f>
        <v/>
      </c>
      <c r="D349" s="545" t="str">
        <f>IF($M349="","", IF(ARBITRAGES!$G349&gt;0,IF(ARBITRAGES!$H349="sol",D348+ARBITRAGES!$G349,D348),D348))</f>
        <v/>
      </c>
      <c r="E349" s="545" t="str">
        <f>IF($M349="","", IF(ARBITRAGES!$G349&gt;0,IF(ARBITRAGES!$H349="tao",E348+ARBITRAGES!$G349,E348),E348))</f>
        <v/>
      </c>
      <c r="F349" s="545" t="str">
        <f>IF($M349="","", IF(ARBITRAGES!$G349&gt;0,IF(ARBITRAGES!$H349="ron",F348+ARBITRAGES!$G349,F348),F348))</f>
        <v/>
      </c>
      <c r="G349" s="545" t="str">
        <f>IF($M349="","", IF(ARBITRAGES!$G349&gt;0,IF(ARBITRAGES!$H349="rndr",G348+ARBITRAGES!$G349,G348),G348))</f>
        <v/>
      </c>
      <c r="H349" s="545" t="str">
        <f>IF($M349="","", IF(ARBITRAGES!$G349&gt;0,IF(ARBITRAGES!$H349="doge",H348+ARBITRAGES!$G349,H348),H348))</f>
        <v/>
      </c>
      <c r="I349" s="545"/>
      <c r="J349" s="545"/>
      <c r="K349" s="545"/>
      <c r="L349" s="545"/>
      <c r="M349" s="540" t="str">
        <f>IF(ARBITRAGES!E349=0,"",ARBITRAGES!E349)</f>
        <v/>
      </c>
      <c r="N349" s="541" t="str">
        <f>IF(M349="","", SUM(A349:H349)+ARBITRAGES!$K$3)</f>
        <v/>
      </c>
      <c r="O349" s="542" t="str">
        <f>IF(M349="","",SUM(PRIX!B349:G349))</f>
        <v/>
      </c>
      <c r="Q349" s="546"/>
      <c r="R349" s="546"/>
      <c r="S349" s="547"/>
      <c r="T349" s="547"/>
    </row>
    <row r="350">
      <c r="A350" s="548"/>
      <c r="B350" s="548"/>
      <c r="C350" s="548"/>
      <c r="D350" s="548"/>
      <c r="E350" s="548"/>
      <c r="F350" s="548"/>
      <c r="G350" s="548"/>
      <c r="H350" s="548"/>
      <c r="I350" s="548"/>
      <c r="J350" s="548"/>
      <c r="K350" s="548"/>
      <c r="L350" s="548"/>
      <c r="M350" s="540" t="str">
        <f>IF(ARBITRAGES!E350=0,"",ARBITRAGES!E350)</f>
        <v/>
      </c>
      <c r="N350" s="541" t="str">
        <f>IF(M350="","", SUM(A350:H350)+ARBITRAGES!$K$3)</f>
        <v/>
      </c>
      <c r="O350" s="542" t="str">
        <f>IF(M350="","",SUM(PRIX!B350:G350))</f>
        <v/>
      </c>
      <c r="Q350" s="546"/>
      <c r="R350" s="546"/>
      <c r="S350" s="547"/>
      <c r="T350" s="547"/>
    </row>
    <row r="351">
      <c r="A351" s="548"/>
      <c r="B351" s="548"/>
      <c r="C351" s="548"/>
      <c r="D351" s="548"/>
      <c r="E351" s="548"/>
      <c r="F351" s="548"/>
      <c r="G351" s="548"/>
      <c r="H351" s="548"/>
      <c r="I351" s="548"/>
      <c r="J351" s="548"/>
      <c r="K351" s="548"/>
      <c r="L351" s="548"/>
      <c r="M351" s="540" t="str">
        <f>IF(ARBITRAGES!E351=0,"",ARBITRAGES!E351)</f>
        <v/>
      </c>
      <c r="N351" s="541" t="str">
        <f>IF(M351="","", SUM(A351:H351)+ARBITRAGES!$K$3)</f>
        <v/>
      </c>
      <c r="O351" s="542" t="str">
        <f>IF(M351="","",SUM(PRIX!B351:G351))</f>
        <v/>
      </c>
      <c r="Q351" s="546"/>
      <c r="R351" s="546"/>
      <c r="S351" s="547"/>
      <c r="T351" s="547"/>
    </row>
    <row r="352">
      <c r="A352" s="548"/>
      <c r="B352" s="548"/>
      <c r="C352" s="548"/>
      <c r="D352" s="548"/>
      <c r="E352" s="548"/>
      <c r="F352" s="548"/>
      <c r="G352" s="548"/>
      <c r="H352" s="548"/>
      <c r="I352" s="548"/>
      <c r="J352" s="548"/>
      <c r="K352" s="548"/>
      <c r="L352" s="548"/>
      <c r="M352" s="540" t="str">
        <f>IF(ARBITRAGES!E352=0,"",ARBITRAGES!E352)</f>
        <v/>
      </c>
      <c r="N352" s="541" t="str">
        <f>IF(M352="","", SUM(A352:H352)+ARBITRAGES!$K$3)</f>
        <v/>
      </c>
      <c r="O352" s="542" t="str">
        <f>IF(M352="","",SUM(PRIX!B352:G352))</f>
        <v/>
      </c>
      <c r="Q352" s="546"/>
      <c r="R352" s="546"/>
      <c r="S352" s="547"/>
      <c r="T352" s="547"/>
    </row>
    <row r="353">
      <c r="A353" s="548"/>
      <c r="B353" s="548"/>
      <c r="C353" s="548"/>
      <c r="D353" s="548"/>
      <c r="E353" s="548"/>
      <c r="F353" s="548"/>
      <c r="G353" s="548"/>
      <c r="H353" s="548"/>
      <c r="I353" s="548"/>
      <c r="J353" s="548"/>
      <c r="K353" s="548"/>
      <c r="L353" s="548"/>
      <c r="M353" s="540" t="str">
        <f>IF(ARBITRAGES!E353=0,"",ARBITRAGES!E353)</f>
        <v/>
      </c>
      <c r="N353" s="541" t="str">
        <f>IF(M353="","", SUM(A353:H353)+ARBITRAGES!$K$3)</f>
        <v/>
      </c>
      <c r="O353" s="542" t="str">
        <f>IF(M353="","",SUM(PRIX!B353:G353))</f>
        <v/>
      </c>
      <c r="Q353" s="546"/>
      <c r="R353" s="546"/>
      <c r="S353" s="547"/>
      <c r="T353" s="547"/>
    </row>
    <row r="354">
      <c r="A354" s="548"/>
      <c r="B354" s="548"/>
      <c r="C354" s="548"/>
      <c r="D354" s="548"/>
      <c r="E354" s="548"/>
      <c r="F354" s="548"/>
      <c r="G354" s="548"/>
      <c r="H354" s="548"/>
      <c r="I354" s="548"/>
      <c r="J354" s="548"/>
      <c r="K354" s="548"/>
      <c r="L354" s="548"/>
      <c r="M354" s="540" t="str">
        <f>IF(ARBITRAGES!E354=0,"",ARBITRAGES!E354)</f>
        <v/>
      </c>
      <c r="N354" s="541" t="str">
        <f>IF(M354="","", SUM(A354:H354)+ARBITRAGES!$K$3)</f>
        <v/>
      </c>
      <c r="O354" s="542" t="str">
        <f>IF(M354="","",SUM(PRIX!B354:G354))</f>
        <v/>
      </c>
      <c r="Q354" s="546"/>
      <c r="R354" s="546"/>
      <c r="S354" s="547"/>
      <c r="T354" s="547"/>
    </row>
    <row r="355">
      <c r="A355" s="548"/>
      <c r="B355" s="548"/>
      <c r="C355" s="548"/>
      <c r="D355" s="548"/>
      <c r="E355" s="548"/>
      <c r="F355" s="548"/>
      <c r="G355" s="548"/>
      <c r="H355" s="548"/>
      <c r="I355" s="548"/>
      <c r="J355" s="548"/>
      <c r="K355" s="548"/>
      <c r="L355" s="548"/>
      <c r="M355" s="540" t="str">
        <f>IF(ARBITRAGES!E355=0,"",ARBITRAGES!E355)</f>
        <v/>
      </c>
      <c r="N355" s="541" t="str">
        <f>IF(M355="","", SUM(A355:H355)+ARBITRAGES!$K$3)</f>
        <v/>
      </c>
      <c r="O355" s="542" t="str">
        <f>IF(M355="","",SUM(PRIX!B355:G355))</f>
        <v/>
      </c>
      <c r="Q355" s="546"/>
      <c r="R355" s="546"/>
      <c r="S355" s="547"/>
      <c r="T355" s="547"/>
    </row>
    <row r="356">
      <c r="A356" s="548"/>
      <c r="B356" s="548"/>
      <c r="C356" s="548"/>
      <c r="D356" s="548"/>
      <c r="E356" s="548"/>
      <c r="F356" s="548"/>
      <c r="G356" s="548"/>
      <c r="H356" s="548"/>
      <c r="I356" s="548"/>
      <c r="J356" s="548"/>
      <c r="K356" s="548"/>
      <c r="L356" s="548"/>
      <c r="M356" s="540" t="str">
        <f>IF(ARBITRAGES!E356=0,"",ARBITRAGES!E356)</f>
        <v/>
      </c>
      <c r="N356" s="541" t="str">
        <f>IF(M356="","", SUM(A356:H356)+ARBITRAGES!$K$3)</f>
        <v/>
      </c>
      <c r="O356" s="542" t="str">
        <f>IF(M356="","",SUM(PRIX!B356:G356))</f>
        <v/>
      </c>
      <c r="Q356" s="546"/>
      <c r="R356" s="546"/>
      <c r="S356" s="547"/>
      <c r="T356" s="547"/>
    </row>
    <row r="357">
      <c r="A357" s="548"/>
      <c r="B357" s="548"/>
      <c r="C357" s="548"/>
      <c r="D357" s="548"/>
      <c r="E357" s="548"/>
      <c r="F357" s="548"/>
      <c r="G357" s="548"/>
      <c r="H357" s="548"/>
      <c r="I357" s="548"/>
      <c r="J357" s="548"/>
      <c r="K357" s="548"/>
      <c r="L357" s="548"/>
      <c r="M357" s="540" t="str">
        <f>IF(ARBITRAGES!E357=0,"",ARBITRAGES!E357)</f>
        <v/>
      </c>
      <c r="N357" s="541" t="str">
        <f>IF(M357="","", SUM(A357:H357)+ARBITRAGES!$K$3)</f>
        <v/>
      </c>
      <c r="O357" s="542" t="str">
        <f>IF(M357="","",SUM(PRIX!B357:G357))</f>
        <v/>
      </c>
      <c r="Q357" s="546"/>
      <c r="R357" s="546"/>
      <c r="S357" s="547"/>
      <c r="T357" s="547"/>
    </row>
    <row r="358">
      <c r="A358" s="548"/>
      <c r="B358" s="548"/>
      <c r="C358" s="548"/>
      <c r="D358" s="548"/>
      <c r="E358" s="548"/>
      <c r="F358" s="548"/>
      <c r="G358" s="548"/>
      <c r="H358" s="548"/>
      <c r="I358" s="548"/>
      <c r="J358" s="548"/>
      <c r="K358" s="548"/>
      <c r="L358" s="548"/>
      <c r="M358" s="540" t="str">
        <f>IF(ARBITRAGES!E358=0,"",ARBITRAGES!E358)</f>
        <v/>
      </c>
      <c r="N358" s="541" t="str">
        <f>IF(M358="","", SUM(A358:H358)+ARBITRAGES!$K$3)</f>
        <v/>
      </c>
      <c r="O358" s="542" t="str">
        <f>IF(M358="","",SUM(PRIX!B358:G358))</f>
        <v/>
      </c>
      <c r="Q358" s="546"/>
      <c r="R358" s="546"/>
      <c r="S358" s="547"/>
      <c r="T358" s="547"/>
    </row>
    <row r="359">
      <c r="A359" s="548"/>
      <c r="B359" s="548"/>
      <c r="C359" s="548"/>
      <c r="D359" s="548"/>
      <c r="E359" s="548"/>
      <c r="F359" s="548"/>
      <c r="G359" s="548"/>
      <c r="H359" s="548"/>
      <c r="I359" s="548"/>
      <c r="J359" s="548"/>
      <c r="K359" s="548"/>
      <c r="L359" s="548"/>
      <c r="M359" s="540" t="str">
        <f>IF(ARBITRAGES!E359=0,"",ARBITRAGES!E359)</f>
        <v/>
      </c>
      <c r="N359" s="541" t="str">
        <f>IF(M359="","", SUM(A359:H359)+ARBITRAGES!$K$3)</f>
        <v/>
      </c>
      <c r="O359" s="542" t="str">
        <f>IF(M359="","",SUM(PRIX!B359:G359))</f>
        <v/>
      </c>
      <c r="Q359" s="546"/>
      <c r="R359" s="546"/>
      <c r="S359" s="547"/>
      <c r="T359" s="547"/>
    </row>
    <row r="360">
      <c r="A360" s="548"/>
      <c r="B360" s="548"/>
      <c r="C360" s="548"/>
      <c r="D360" s="548"/>
      <c r="E360" s="548"/>
      <c r="F360" s="548"/>
      <c r="G360" s="548"/>
      <c r="H360" s="548"/>
      <c r="I360" s="548"/>
      <c r="J360" s="548"/>
      <c r="K360" s="548"/>
      <c r="L360" s="548"/>
      <c r="M360" s="540" t="str">
        <f>IF(ARBITRAGES!E360=0,"",ARBITRAGES!E360)</f>
        <v/>
      </c>
      <c r="N360" s="541" t="str">
        <f>IF(M360="","", SUM(A360:H360)+ARBITRAGES!$K$3)</f>
        <v/>
      </c>
      <c r="O360" s="542" t="str">
        <f>IF(M360="","",SUM(PRIX!B360:G360))</f>
        <v/>
      </c>
      <c r="Q360" s="546"/>
      <c r="R360" s="546"/>
      <c r="S360" s="547"/>
      <c r="T360" s="547"/>
    </row>
    <row r="361">
      <c r="A361" s="548"/>
      <c r="B361" s="548"/>
      <c r="C361" s="548"/>
      <c r="D361" s="548"/>
      <c r="E361" s="548"/>
      <c r="F361" s="548"/>
      <c r="G361" s="548"/>
      <c r="H361" s="548"/>
      <c r="I361" s="548"/>
      <c r="J361" s="548"/>
      <c r="K361" s="548"/>
      <c r="L361" s="548"/>
      <c r="M361" s="540" t="str">
        <f>IF(ARBITRAGES!E361=0,"",ARBITRAGES!E361)</f>
        <v/>
      </c>
      <c r="N361" s="541" t="str">
        <f>IF(M361="","", SUM(A361:H361)+ARBITRAGES!$K$3)</f>
        <v/>
      </c>
      <c r="O361" s="542" t="str">
        <f>IF(M361="","",SUM(PRIX!B361:G361))</f>
        <v/>
      </c>
      <c r="Q361" s="546"/>
      <c r="R361" s="546"/>
      <c r="S361" s="547"/>
      <c r="T361" s="547"/>
    </row>
    <row r="362">
      <c r="A362" s="548"/>
      <c r="B362" s="548"/>
      <c r="C362" s="548"/>
      <c r="D362" s="548"/>
      <c r="E362" s="548"/>
      <c r="F362" s="548"/>
      <c r="G362" s="548"/>
      <c r="H362" s="548"/>
      <c r="I362" s="548"/>
      <c r="J362" s="548"/>
      <c r="K362" s="548"/>
      <c r="L362" s="548"/>
      <c r="M362" s="540" t="str">
        <f>IF(ARBITRAGES!E362=0,"",ARBITRAGES!E362)</f>
        <v/>
      </c>
      <c r="N362" s="541" t="str">
        <f>IF(M362="","", SUM(A362:H362)+ARBITRAGES!$K$3)</f>
        <v/>
      </c>
      <c r="O362" s="542" t="str">
        <f>IF(M362="","",SUM(PRIX!B362:G362))</f>
        <v/>
      </c>
      <c r="Q362" s="546"/>
      <c r="R362" s="546"/>
      <c r="S362" s="547"/>
      <c r="T362" s="547"/>
    </row>
    <row r="363">
      <c r="A363" s="548"/>
      <c r="B363" s="548"/>
      <c r="C363" s="548"/>
      <c r="D363" s="548"/>
      <c r="E363" s="548"/>
      <c r="F363" s="548"/>
      <c r="G363" s="548"/>
      <c r="H363" s="548"/>
      <c r="I363" s="548"/>
      <c r="J363" s="548"/>
      <c r="K363" s="548"/>
      <c r="L363" s="548"/>
      <c r="M363" s="540" t="str">
        <f>IF(ARBITRAGES!E363=0,"",ARBITRAGES!E363)</f>
        <v/>
      </c>
      <c r="N363" s="541" t="str">
        <f>IF(M363="","", SUM(A363:H363)+ARBITRAGES!$K$3)</f>
        <v/>
      </c>
      <c r="O363" s="542" t="str">
        <f>IF(M363="","",SUM(PRIX!B363:G363))</f>
        <v/>
      </c>
      <c r="Q363" s="546"/>
      <c r="R363" s="546"/>
      <c r="S363" s="547"/>
      <c r="T363" s="547"/>
    </row>
    <row r="364">
      <c r="A364" s="548"/>
      <c r="B364" s="548"/>
      <c r="C364" s="548"/>
      <c r="D364" s="548"/>
      <c r="E364" s="548"/>
      <c r="F364" s="548"/>
      <c r="G364" s="548"/>
      <c r="H364" s="548"/>
      <c r="I364" s="548"/>
      <c r="J364" s="548"/>
      <c r="K364" s="548"/>
      <c r="L364" s="548"/>
      <c r="M364" s="540" t="str">
        <f>IF(ARBITRAGES!E364=0,"",ARBITRAGES!E364)</f>
        <v/>
      </c>
      <c r="N364" s="541" t="str">
        <f>IF(M364="","", SUM(A364:H364)+ARBITRAGES!$K$3)</f>
        <v/>
      </c>
      <c r="O364" s="542" t="str">
        <f>IF(M364="","",SUM(PRIX!B364:G364))</f>
        <v/>
      </c>
      <c r="Q364" s="546"/>
      <c r="R364" s="546"/>
      <c r="S364" s="547"/>
      <c r="T364" s="547"/>
    </row>
    <row r="365">
      <c r="A365" s="548"/>
      <c r="B365" s="548"/>
      <c r="C365" s="548"/>
      <c r="D365" s="548"/>
      <c r="E365" s="548"/>
      <c r="F365" s="548"/>
      <c r="G365" s="548"/>
      <c r="H365" s="548"/>
      <c r="I365" s="548"/>
      <c r="J365" s="548"/>
      <c r="K365" s="548"/>
      <c r="L365" s="548"/>
      <c r="M365" s="540" t="str">
        <f>IF(ARBITRAGES!E365=0,"",ARBITRAGES!E365)</f>
        <v/>
      </c>
      <c r="N365" s="541" t="str">
        <f>IF(M365="","", SUM(A365:H365)+ARBITRAGES!$K$3)</f>
        <v/>
      </c>
      <c r="O365" s="542" t="str">
        <f>IF(M365="","",SUM(PRIX!B365:G365))</f>
        <v/>
      </c>
      <c r="Q365" s="546"/>
      <c r="R365" s="546"/>
      <c r="S365" s="547"/>
      <c r="T365" s="547"/>
    </row>
    <row r="366">
      <c r="A366" s="548"/>
      <c r="B366" s="548"/>
      <c r="C366" s="548"/>
      <c r="D366" s="548"/>
      <c r="E366" s="548"/>
      <c r="F366" s="548"/>
      <c r="G366" s="548"/>
      <c r="H366" s="548"/>
      <c r="I366" s="548"/>
      <c r="J366" s="548"/>
      <c r="K366" s="548"/>
      <c r="L366" s="548"/>
      <c r="M366" s="540" t="str">
        <f>IF(ARBITRAGES!E366=0,"",ARBITRAGES!E366)</f>
        <v/>
      </c>
      <c r="N366" s="541" t="str">
        <f>IF(M366="","", SUM(A366:H366)+ARBITRAGES!$K$3)</f>
        <v/>
      </c>
      <c r="O366" s="542" t="str">
        <f>IF(M366="","",SUM(PRIX!B366:G366))</f>
        <v/>
      </c>
      <c r="Q366" s="546"/>
      <c r="R366" s="546"/>
      <c r="S366" s="547"/>
      <c r="T366" s="547"/>
    </row>
    <row r="367">
      <c r="A367" s="548"/>
      <c r="B367" s="548"/>
      <c r="C367" s="548"/>
      <c r="D367" s="548"/>
      <c r="E367" s="548"/>
      <c r="F367" s="548"/>
      <c r="G367" s="548"/>
      <c r="H367" s="548"/>
      <c r="I367" s="548"/>
      <c r="J367" s="548"/>
      <c r="K367" s="548"/>
      <c r="L367" s="548"/>
      <c r="M367" s="540" t="str">
        <f>IF(ARBITRAGES!E367=0,"",ARBITRAGES!E367)</f>
        <v/>
      </c>
      <c r="N367" s="541" t="str">
        <f>IF(M367="","", SUM(A367:H367)+ARBITRAGES!$K$3)</f>
        <v/>
      </c>
      <c r="O367" s="542" t="str">
        <f>IF(M367="","",SUM(PRIX!B367:G367))</f>
        <v/>
      </c>
      <c r="Q367" s="546"/>
      <c r="R367" s="546"/>
      <c r="S367" s="547"/>
      <c r="T367" s="547"/>
    </row>
    <row r="368">
      <c r="A368" s="548"/>
      <c r="B368" s="548"/>
      <c r="C368" s="548"/>
      <c r="D368" s="548"/>
      <c r="E368" s="548"/>
      <c r="F368" s="548"/>
      <c r="G368" s="548"/>
      <c r="H368" s="548"/>
      <c r="I368" s="548"/>
      <c r="J368" s="548"/>
      <c r="K368" s="548"/>
      <c r="L368" s="548"/>
      <c r="M368" s="540" t="str">
        <f>IF(ARBITRAGES!E368=0,"",ARBITRAGES!E368)</f>
        <v/>
      </c>
      <c r="N368" s="541" t="str">
        <f>IF(M368="","", SUM(A368:H368)+ARBITRAGES!$K$3)</f>
        <v/>
      </c>
      <c r="O368" s="542" t="str">
        <f>IF(M368="","",SUM(PRIX!B368:G368))</f>
        <v/>
      </c>
      <c r="Q368" s="546"/>
      <c r="R368" s="546"/>
      <c r="S368" s="547"/>
      <c r="T368" s="547"/>
    </row>
    <row r="369">
      <c r="A369" s="548"/>
      <c r="B369" s="548"/>
      <c r="C369" s="548"/>
      <c r="D369" s="548"/>
      <c r="E369" s="548"/>
      <c r="F369" s="548"/>
      <c r="G369" s="548"/>
      <c r="H369" s="548"/>
      <c r="I369" s="548"/>
      <c r="J369" s="548"/>
      <c r="K369" s="548"/>
      <c r="L369" s="548"/>
      <c r="M369" s="540" t="str">
        <f>IF(ARBITRAGES!E369=0,"",ARBITRAGES!E369)</f>
        <v/>
      </c>
      <c r="N369" s="541" t="str">
        <f>IF(M369="","", SUM(A369:H369)+ARBITRAGES!$K$3)</f>
        <v/>
      </c>
      <c r="O369" s="542" t="str">
        <f>IF(M369="","",SUM(PRIX!B369:G369))</f>
        <v/>
      </c>
      <c r="Q369" s="546"/>
      <c r="R369" s="546"/>
      <c r="S369" s="547"/>
      <c r="T369" s="547"/>
    </row>
    <row r="370">
      <c r="A370" s="548"/>
      <c r="B370" s="548"/>
      <c r="C370" s="548"/>
      <c r="D370" s="548"/>
      <c r="E370" s="548"/>
      <c r="F370" s="548"/>
      <c r="G370" s="548"/>
      <c r="H370" s="548"/>
      <c r="I370" s="548"/>
      <c r="J370" s="548"/>
      <c r="K370" s="548"/>
      <c r="L370" s="548"/>
      <c r="M370" s="540" t="str">
        <f>IF(ARBITRAGES!E370=0,"",ARBITRAGES!E370)</f>
        <v/>
      </c>
      <c r="N370" s="541" t="str">
        <f>IF(M370="","", SUM(A370:H370)+ARBITRAGES!$K$3)</f>
        <v/>
      </c>
      <c r="O370" s="542" t="str">
        <f>IF(M370="","",SUM(PRIX!B370:G370))</f>
        <v/>
      </c>
      <c r="Q370" s="546"/>
      <c r="R370" s="546"/>
      <c r="S370" s="547"/>
      <c r="T370" s="547"/>
    </row>
    <row r="371">
      <c r="A371" s="548"/>
      <c r="B371" s="548"/>
      <c r="C371" s="548"/>
      <c r="D371" s="548"/>
      <c r="E371" s="548"/>
      <c r="F371" s="548"/>
      <c r="G371" s="548"/>
      <c r="H371" s="548"/>
      <c r="I371" s="548"/>
      <c r="J371" s="548"/>
      <c r="K371" s="548"/>
      <c r="L371" s="548"/>
      <c r="M371" s="540" t="str">
        <f>IF(ARBITRAGES!E371=0,"",ARBITRAGES!E371)</f>
        <v/>
      </c>
      <c r="N371" s="541" t="str">
        <f>IF(M371="","", SUM(A371:H371)+ARBITRAGES!$K$3)</f>
        <v/>
      </c>
      <c r="O371" s="542" t="str">
        <f>IF(M371="","",SUM(PRIX!B371:G371))</f>
        <v/>
      </c>
      <c r="Q371" s="546"/>
      <c r="R371" s="546"/>
      <c r="S371" s="547"/>
      <c r="T371" s="547"/>
    </row>
    <row r="372">
      <c r="A372" s="548"/>
      <c r="B372" s="548"/>
      <c r="C372" s="548"/>
      <c r="D372" s="548"/>
      <c r="E372" s="548"/>
      <c r="F372" s="548"/>
      <c r="G372" s="548"/>
      <c r="H372" s="548"/>
      <c r="I372" s="548"/>
      <c r="J372" s="548"/>
      <c r="K372" s="548"/>
      <c r="L372" s="548"/>
      <c r="M372" s="540" t="str">
        <f>IF(ARBITRAGES!E372=0,"",ARBITRAGES!E372)</f>
        <v/>
      </c>
      <c r="N372" s="541" t="str">
        <f>IF(M372="","", SUM(A372:H372)+ARBITRAGES!$K$3)</f>
        <v/>
      </c>
      <c r="O372" s="542" t="str">
        <f>IF(M372="","",SUM(PRIX!B372:G372))</f>
        <v/>
      </c>
      <c r="Q372" s="546"/>
      <c r="R372" s="546"/>
      <c r="S372" s="547"/>
      <c r="T372" s="547"/>
    </row>
    <row r="373">
      <c r="A373" s="548"/>
      <c r="B373" s="548"/>
      <c r="C373" s="548"/>
      <c r="D373" s="548"/>
      <c r="E373" s="548"/>
      <c r="F373" s="548"/>
      <c r="G373" s="548"/>
      <c r="H373" s="548"/>
      <c r="I373" s="548"/>
      <c r="J373" s="548"/>
      <c r="K373" s="548"/>
      <c r="L373" s="548"/>
      <c r="M373" s="540" t="str">
        <f>IF(ARBITRAGES!E373=0,"",ARBITRAGES!E373)</f>
        <v/>
      </c>
      <c r="N373" s="541" t="str">
        <f>IF(M373="","", SUM(A373:H373)+ARBITRAGES!$K$3)</f>
        <v/>
      </c>
      <c r="O373" s="542" t="str">
        <f>IF(M373="","",SUM(PRIX!B373:G373))</f>
        <v/>
      </c>
      <c r="Q373" s="546"/>
      <c r="R373" s="546"/>
      <c r="S373" s="547"/>
      <c r="T373" s="547"/>
    </row>
    <row r="374">
      <c r="A374" s="548"/>
      <c r="B374" s="548"/>
      <c r="C374" s="548"/>
      <c r="D374" s="548"/>
      <c r="E374" s="548"/>
      <c r="F374" s="548"/>
      <c r="G374" s="548"/>
      <c r="H374" s="548"/>
      <c r="I374" s="548"/>
      <c r="J374" s="548"/>
      <c r="K374" s="548"/>
      <c r="L374" s="548"/>
      <c r="M374" s="540" t="str">
        <f>IF(ARBITRAGES!E374=0,"",ARBITRAGES!E374)</f>
        <v/>
      </c>
      <c r="N374" s="541" t="str">
        <f>IF(M374="","", SUM(A374:H374)+ARBITRAGES!$K$3)</f>
        <v/>
      </c>
      <c r="O374" s="542" t="str">
        <f>IF(M374="","",SUM(PRIX!B374:G374))</f>
        <v/>
      </c>
      <c r="Q374" s="546"/>
      <c r="R374" s="546"/>
      <c r="S374" s="547"/>
      <c r="T374" s="547"/>
    </row>
    <row r="375">
      <c r="A375" s="548"/>
      <c r="B375" s="548"/>
      <c r="C375" s="548"/>
      <c r="D375" s="548"/>
      <c r="E375" s="548"/>
      <c r="F375" s="548"/>
      <c r="G375" s="548"/>
      <c r="H375" s="548"/>
      <c r="I375" s="548"/>
      <c r="J375" s="548"/>
      <c r="K375" s="548"/>
      <c r="L375" s="548"/>
      <c r="M375" s="540" t="str">
        <f>IF(ARBITRAGES!E375=0,"",ARBITRAGES!E375)</f>
        <v/>
      </c>
      <c r="N375" s="541" t="str">
        <f>IF(M375="","", SUM(A375:H375)+ARBITRAGES!$K$3)</f>
        <v/>
      </c>
      <c r="O375" s="542" t="str">
        <f>IF(M375="","",SUM(PRIX!B375:G375))</f>
        <v/>
      </c>
      <c r="Q375" s="546"/>
      <c r="R375" s="546"/>
      <c r="S375" s="547"/>
      <c r="T375" s="547"/>
    </row>
    <row r="376">
      <c r="A376" s="548"/>
      <c r="B376" s="548"/>
      <c r="C376" s="548"/>
      <c r="D376" s="548"/>
      <c r="E376" s="548"/>
      <c r="F376" s="548"/>
      <c r="G376" s="548"/>
      <c r="H376" s="548"/>
      <c r="I376" s="548"/>
      <c r="J376" s="548"/>
      <c r="K376" s="548"/>
      <c r="L376" s="548"/>
      <c r="M376" s="540" t="str">
        <f>IF(ARBITRAGES!E376=0,"",ARBITRAGES!E376)</f>
        <v/>
      </c>
      <c r="N376" s="541" t="str">
        <f>IF(M376="","", SUM(A376:H376)+ARBITRAGES!$K$3)</f>
        <v/>
      </c>
      <c r="O376" s="542" t="str">
        <f>IF(M376="","",SUM(PRIX!B376:G376))</f>
        <v/>
      </c>
      <c r="Q376" s="546"/>
      <c r="R376" s="546"/>
      <c r="S376" s="547"/>
      <c r="T376" s="547"/>
    </row>
    <row r="377">
      <c r="A377" s="548"/>
      <c r="B377" s="548"/>
      <c r="C377" s="548"/>
      <c r="D377" s="548"/>
      <c r="E377" s="548"/>
      <c r="F377" s="548"/>
      <c r="G377" s="548"/>
      <c r="H377" s="548"/>
      <c r="I377" s="548"/>
      <c r="J377" s="548"/>
      <c r="K377" s="548"/>
      <c r="L377" s="548"/>
      <c r="M377" s="540" t="str">
        <f>IF(ARBITRAGES!E377=0,"",ARBITRAGES!E377)</f>
        <v/>
      </c>
      <c r="N377" s="541" t="str">
        <f>IF(M377="","", SUM(A377:H377)+ARBITRAGES!$K$3)</f>
        <v/>
      </c>
      <c r="O377" s="542" t="str">
        <f>IF(M377="","",SUM(PRIX!B377:G377))</f>
        <v/>
      </c>
      <c r="Q377" s="546"/>
      <c r="R377" s="546"/>
      <c r="S377" s="547"/>
      <c r="T377" s="547"/>
    </row>
    <row r="378">
      <c r="A378" s="548"/>
      <c r="B378" s="548"/>
      <c r="C378" s="548"/>
      <c r="D378" s="548"/>
      <c r="E378" s="548"/>
      <c r="F378" s="548"/>
      <c r="G378" s="548"/>
      <c r="H378" s="548"/>
      <c r="I378" s="548"/>
      <c r="J378" s="548"/>
      <c r="K378" s="548"/>
      <c r="L378" s="548"/>
      <c r="M378" s="540" t="str">
        <f>IF(ARBITRAGES!E378=0,"",ARBITRAGES!E378)</f>
        <v/>
      </c>
      <c r="N378" s="541" t="str">
        <f>IF(M378="","", SUM(A378:H378)+ARBITRAGES!$K$3)</f>
        <v/>
      </c>
      <c r="O378" s="542" t="str">
        <f>IF(M378="","",SUM(PRIX!B378:G378))</f>
        <v/>
      </c>
      <c r="Q378" s="546"/>
      <c r="R378" s="546"/>
      <c r="S378" s="547"/>
      <c r="T378" s="547"/>
    </row>
    <row r="379">
      <c r="A379" s="548"/>
      <c r="B379" s="548"/>
      <c r="C379" s="548"/>
      <c r="D379" s="548"/>
      <c r="E379" s="548"/>
      <c r="F379" s="548"/>
      <c r="G379" s="548"/>
      <c r="H379" s="548"/>
      <c r="I379" s="548"/>
      <c r="J379" s="548"/>
      <c r="K379" s="548"/>
      <c r="L379" s="548"/>
      <c r="M379" s="540" t="str">
        <f>IF(ARBITRAGES!E379=0,"",ARBITRAGES!E379)</f>
        <v/>
      </c>
      <c r="N379" s="541" t="str">
        <f>IF(M379="","", SUM(A379:H379)+ARBITRAGES!$K$3)</f>
        <v/>
      </c>
      <c r="O379" s="542" t="str">
        <f>IF(M379="","",SUM(PRIX!B379:G379))</f>
        <v/>
      </c>
      <c r="Q379" s="546"/>
      <c r="R379" s="546"/>
      <c r="S379" s="547"/>
      <c r="T379" s="547"/>
    </row>
    <row r="380">
      <c r="A380" s="548"/>
      <c r="B380" s="548"/>
      <c r="C380" s="548"/>
      <c r="D380" s="548"/>
      <c r="E380" s="548"/>
      <c r="F380" s="548"/>
      <c r="G380" s="548"/>
      <c r="H380" s="548"/>
      <c r="I380" s="548"/>
      <c r="J380" s="548"/>
      <c r="K380" s="548"/>
      <c r="L380" s="548"/>
      <c r="M380" s="540" t="str">
        <f>IF(ARBITRAGES!E380=0,"",ARBITRAGES!E380)</f>
        <v/>
      </c>
      <c r="N380" s="541" t="str">
        <f>IF(M380="","", SUM(A380:H380)+ARBITRAGES!$K$3)</f>
        <v/>
      </c>
      <c r="O380" s="542" t="str">
        <f>IF(M380="","",SUM(PRIX!B380:G380))</f>
        <v/>
      </c>
      <c r="Q380" s="546"/>
      <c r="R380" s="546"/>
      <c r="S380" s="547"/>
      <c r="T380" s="547"/>
    </row>
    <row r="381">
      <c r="A381" s="548"/>
      <c r="B381" s="548"/>
      <c r="C381" s="548"/>
      <c r="D381" s="548"/>
      <c r="E381" s="548"/>
      <c r="F381" s="548"/>
      <c r="G381" s="548"/>
      <c r="H381" s="548"/>
      <c r="I381" s="548"/>
      <c r="J381" s="548"/>
      <c r="K381" s="548"/>
      <c r="L381" s="548"/>
      <c r="M381" s="540" t="str">
        <f>IF(ARBITRAGES!E381=0,"",ARBITRAGES!E381)</f>
        <v/>
      </c>
      <c r="N381" s="541" t="str">
        <f>IF(M381="","", SUM(A381:H381)+ARBITRAGES!$K$3)</f>
        <v/>
      </c>
      <c r="O381" s="542" t="str">
        <f>IF(M381="","",SUM(PRIX!B381:G381))</f>
        <v/>
      </c>
      <c r="Q381" s="546"/>
      <c r="R381" s="546"/>
      <c r="S381" s="547"/>
      <c r="T381" s="547"/>
    </row>
    <row r="382">
      <c r="A382" s="548"/>
      <c r="B382" s="548"/>
      <c r="C382" s="548"/>
      <c r="D382" s="548"/>
      <c r="E382" s="548"/>
      <c r="F382" s="548"/>
      <c r="G382" s="548"/>
      <c r="H382" s="548"/>
      <c r="I382" s="548"/>
      <c r="J382" s="548"/>
      <c r="K382" s="548"/>
      <c r="L382" s="548"/>
      <c r="M382" s="540" t="str">
        <f>IF(ARBITRAGES!E382=0,"",ARBITRAGES!E382)</f>
        <v/>
      </c>
      <c r="N382" s="541" t="str">
        <f>IF(M382="","", SUM(A382:H382)+ARBITRAGES!$K$3)</f>
        <v/>
      </c>
      <c r="O382" s="542" t="str">
        <f>IF(M382="","",SUM(PRIX!B382:G382))</f>
        <v/>
      </c>
      <c r="Q382" s="546"/>
      <c r="R382" s="546"/>
      <c r="S382" s="547"/>
      <c r="T382" s="547"/>
    </row>
    <row r="383">
      <c r="A383" s="548"/>
      <c r="B383" s="548"/>
      <c r="C383" s="548"/>
      <c r="D383" s="548"/>
      <c r="E383" s="548"/>
      <c r="F383" s="548"/>
      <c r="G383" s="548"/>
      <c r="H383" s="548"/>
      <c r="I383" s="548"/>
      <c r="J383" s="548"/>
      <c r="K383" s="548"/>
      <c r="L383" s="548"/>
      <c r="M383" s="540" t="str">
        <f>IF(ARBITRAGES!E383=0,"",ARBITRAGES!E383)</f>
        <v/>
      </c>
      <c r="N383" s="541" t="str">
        <f>IF(M383="","", SUM(A383:H383)+ARBITRAGES!$K$3)</f>
        <v/>
      </c>
      <c r="O383" s="542" t="str">
        <f>IF(M383="","",SUM(PRIX!B383:G383))</f>
        <v/>
      </c>
      <c r="Q383" s="546"/>
      <c r="R383" s="546"/>
      <c r="S383" s="547"/>
      <c r="T383" s="547"/>
    </row>
    <row r="384">
      <c r="A384" s="548"/>
      <c r="B384" s="548"/>
      <c r="C384" s="548"/>
      <c r="D384" s="548"/>
      <c r="E384" s="548"/>
      <c r="F384" s="548"/>
      <c r="G384" s="548"/>
      <c r="H384" s="548"/>
      <c r="I384" s="548"/>
      <c r="J384" s="548"/>
      <c r="K384" s="548"/>
      <c r="L384" s="548"/>
      <c r="M384" s="540" t="str">
        <f>IF(ARBITRAGES!E384=0,"",ARBITRAGES!E384)</f>
        <v/>
      </c>
      <c r="N384" s="541" t="str">
        <f t="shared" ref="N384:N424" si="168">IF(M384="","", SUM(A384:H384))</f>
        <v/>
      </c>
      <c r="O384" s="542" t="str">
        <f>IF(M384="","",SUM(PRIX!B384:G384))</f>
        <v/>
      </c>
      <c r="Q384" s="546"/>
      <c r="R384" s="546"/>
      <c r="S384" s="547"/>
      <c r="T384" s="547"/>
    </row>
    <row r="385">
      <c r="A385" s="548"/>
      <c r="B385" s="548"/>
      <c r="C385" s="548"/>
      <c r="D385" s="548"/>
      <c r="E385" s="548"/>
      <c r="F385" s="548"/>
      <c r="G385" s="548"/>
      <c r="H385" s="548"/>
      <c r="I385" s="548"/>
      <c r="J385" s="548"/>
      <c r="K385" s="548"/>
      <c r="L385" s="548"/>
      <c r="M385" s="540" t="str">
        <f>IF(ARBITRAGES!E385=0,"",ARBITRAGES!E385)</f>
        <v/>
      </c>
      <c r="N385" s="541" t="str">
        <f t="shared" si="168"/>
        <v/>
      </c>
      <c r="O385" s="542" t="str">
        <f>IF(M385="","",SUM(PRIX!B385:G385))</f>
        <v/>
      </c>
      <c r="Q385" s="546"/>
      <c r="R385" s="546"/>
      <c r="S385" s="547"/>
      <c r="T385" s="547"/>
    </row>
    <row r="386">
      <c r="A386" s="548"/>
      <c r="B386" s="548"/>
      <c r="C386" s="548"/>
      <c r="D386" s="548"/>
      <c r="E386" s="548"/>
      <c r="F386" s="548"/>
      <c r="G386" s="548"/>
      <c r="H386" s="548"/>
      <c r="I386" s="548"/>
      <c r="J386" s="548"/>
      <c r="K386" s="548"/>
      <c r="L386" s="548"/>
      <c r="M386" s="540" t="str">
        <f>IF(ARBITRAGES!E386=0,"",ARBITRAGES!E386)</f>
        <v/>
      </c>
      <c r="N386" s="541" t="str">
        <f t="shared" si="168"/>
        <v/>
      </c>
      <c r="O386" s="542" t="str">
        <f>IF(M386="","",SUM(PRIX!B386:G386))</f>
        <v/>
      </c>
      <c r="Q386" s="546"/>
      <c r="R386" s="546"/>
      <c r="S386" s="547"/>
      <c r="T386" s="547"/>
    </row>
    <row r="387">
      <c r="A387" s="548"/>
      <c r="B387" s="548"/>
      <c r="C387" s="548"/>
      <c r="D387" s="548"/>
      <c r="E387" s="548"/>
      <c r="F387" s="548"/>
      <c r="G387" s="548"/>
      <c r="H387" s="548"/>
      <c r="I387" s="548"/>
      <c r="J387" s="548"/>
      <c r="K387" s="548"/>
      <c r="L387" s="548"/>
      <c r="M387" s="540" t="str">
        <f>IF(ARBITRAGES!E387=0,"",ARBITRAGES!E387)</f>
        <v/>
      </c>
      <c r="N387" s="541" t="str">
        <f t="shared" si="168"/>
        <v/>
      </c>
      <c r="O387" s="542" t="str">
        <f>IF(M387="","",SUM(PRIX!B387:G387))</f>
        <v/>
      </c>
      <c r="Q387" s="546"/>
      <c r="R387" s="546"/>
      <c r="S387" s="547"/>
      <c r="T387" s="547"/>
    </row>
    <row r="388">
      <c r="A388" s="548"/>
      <c r="B388" s="548"/>
      <c r="C388" s="548"/>
      <c r="D388" s="548"/>
      <c r="E388" s="548"/>
      <c r="F388" s="548"/>
      <c r="G388" s="548"/>
      <c r="H388" s="548"/>
      <c r="I388" s="548"/>
      <c r="J388" s="548"/>
      <c r="K388" s="548"/>
      <c r="L388" s="548"/>
      <c r="M388" s="540" t="str">
        <f>IF(ARBITRAGES!E388=0,"",ARBITRAGES!E388)</f>
        <v/>
      </c>
      <c r="N388" s="541" t="str">
        <f t="shared" si="168"/>
        <v/>
      </c>
      <c r="O388" s="542" t="str">
        <f>IF(M388="","",SUM(PRIX!B388:G388))</f>
        <v/>
      </c>
      <c r="Q388" s="546"/>
      <c r="R388" s="546"/>
      <c r="S388" s="547"/>
      <c r="T388" s="547"/>
    </row>
    <row r="389">
      <c r="A389" s="548"/>
      <c r="B389" s="548"/>
      <c r="C389" s="548"/>
      <c r="D389" s="548"/>
      <c r="E389" s="548"/>
      <c r="F389" s="548"/>
      <c r="G389" s="548"/>
      <c r="H389" s="548"/>
      <c r="I389" s="548"/>
      <c r="J389" s="548"/>
      <c r="K389" s="548"/>
      <c r="L389" s="548"/>
      <c r="M389" s="540" t="str">
        <f>IF(ARBITRAGES!E389=0,"",ARBITRAGES!E389)</f>
        <v/>
      </c>
      <c r="N389" s="541" t="str">
        <f t="shared" si="168"/>
        <v/>
      </c>
      <c r="O389" s="542" t="str">
        <f>IF(M389="","",SUM(PRIX!B389:G389))</f>
        <v/>
      </c>
      <c r="Q389" s="546"/>
      <c r="R389" s="546"/>
      <c r="S389" s="547"/>
      <c r="T389" s="547"/>
    </row>
    <row r="390">
      <c r="A390" s="548"/>
      <c r="B390" s="548"/>
      <c r="C390" s="548"/>
      <c r="D390" s="548"/>
      <c r="E390" s="548"/>
      <c r="F390" s="548"/>
      <c r="G390" s="548"/>
      <c r="H390" s="548"/>
      <c r="I390" s="548"/>
      <c r="J390" s="548"/>
      <c r="K390" s="548"/>
      <c r="L390" s="548"/>
      <c r="M390" s="540" t="str">
        <f>IF(ARBITRAGES!E390=0,"",ARBITRAGES!E390)</f>
        <v/>
      </c>
      <c r="N390" s="541" t="str">
        <f t="shared" si="168"/>
        <v/>
      </c>
      <c r="O390" s="542" t="str">
        <f>IF(M390="","",SUM(PRIX!B390:G390))</f>
        <v/>
      </c>
      <c r="Q390" s="546"/>
      <c r="R390" s="546"/>
      <c r="S390" s="547"/>
      <c r="T390" s="547"/>
    </row>
    <row r="391">
      <c r="A391" s="548"/>
      <c r="B391" s="548"/>
      <c r="C391" s="548"/>
      <c r="D391" s="548"/>
      <c r="E391" s="548"/>
      <c r="F391" s="548"/>
      <c r="G391" s="548"/>
      <c r="H391" s="548"/>
      <c r="I391" s="548"/>
      <c r="J391" s="548"/>
      <c r="K391" s="548"/>
      <c r="L391" s="548"/>
      <c r="M391" s="540" t="str">
        <f>IF(ARBITRAGES!E391=0,"",ARBITRAGES!E391)</f>
        <v/>
      </c>
      <c r="N391" s="541" t="str">
        <f t="shared" si="168"/>
        <v/>
      </c>
      <c r="O391" s="542" t="str">
        <f>IF(M391="","",SUM(PRIX!B391:G391))</f>
        <v/>
      </c>
      <c r="Q391" s="546"/>
      <c r="R391" s="546"/>
      <c r="S391" s="547"/>
      <c r="T391" s="547"/>
    </row>
    <row r="392">
      <c r="A392" s="548"/>
      <c r="B392" s="548"/>
      <c r="C392" s="548"/>
      <c r="D392" s="548"/>
      <c r="E392" s="548"/>
      <c r="F392" s="548"/>
      <c r="G392" s="548"/>
      <c r="H392" s="548"/>
      <c r="I392" s="548"/>
      <c r="J392" s="548"/>
      <c r="K392" s="548"/>
      <c r="L392" s="548"/>
      <c r="M392" s="540" t="str">
        <f>IF(ARBITRAGES!E392=0,"",ARBITRAGES!E392)</f>
        <v/>
      </c>
      <c r="N392" s="541" t="str">
        <f t="shared" si="168"/>
        <v/>
      </c>
      <c r="O392" s="542" t="str">
        <f>IF(M392="","",SUM(PRIX!B392:G392))</f>
        <v/>
      </c>
      <c r="Q392" s="546"/>
      <c r="R392" s="546"/>
      <c r="S392" s="547"/>
      <c r="T392" s="547"/>
    </row>
    <row r="393">
      <c r="A393" s="548"/>
      <c r="B393" s="548"/>
      <c r="C393" s="548"/>
      <c r="D393" s="548"/>
      <c r="E393" s="548"/>
      <c r="F393" s="548"/>
      <c r="G393" s="548"/>
      <c r="H393" s="548"/>
      <c r="I393" s="548"/>
      <c r="J393" s="548"/>
      <c r="K393" s="548"/>
      <c r="L393" s="548"/>
      <c r="M393" s="540" t="str">
        <f>IF(ARBITRAGES!E393=0,"",ARBITRAGES!E393)</f>
        <v/>
      </c>
      <c r="N393" s="541" t="str">
        <f t="shared" si="168"/>
        <v/>
      </c>
      <c r="O393" s="542" t="str">
        <f>IF(M393="","",SUM(PRIX!B393:G393))</f>
        <v/>
      </c>
      <c r="Q393" s="546"/>
      <c r="R393" s="546"/>
      <c r="S393" s="547"/>
      <c r="T393" s="547"/>
    </row>
    <row r="394">
      <c r="A394" s="548"/>
      <c r="B394" s="548"/>
      <c r="C394" s="548"/>
      <c r="D394" s="548"/>
      <c r="E394" s="548"/>
      <c r="F394" s="548"/>
      <c r="G394" s="548"/>
      <c r="H394" s="548"/>
      <c r="I394" s="548"/>
      <c r="J394" s="548"/>
      <c r="K394" s="548"/>
      <c r="L394" s="548"/>
      <c r="M394" s="540" t="str">
        <f>IF(ARBITRAGES!E394=0,"",ARBITRAGES!E394)</f>
        <v/>
      </c>
      <c r="N394" s="541" t="str">
        <f t="shared" si="168"/>
        <v/>
      </c>
      <c r="O394" s="542" t="str">
        <f>IF(M394="","",SUM(PRIX!B394:G394))</f>
        <v/>
      </c>
      <c r="Q394" s="546"/>
      <c r="R394" s="546"/>
      <c r="S394" s="547"/>
      <c r="T394" s="547"/>
    </row>
    <row r="395">
      <c r="A395" s="548"/>
      <c r="B395" s="548"/>
      <c r="C395" s="548"/>
      <c r="D395" s="548"/>
      <c r="E395" s="548"/>
      <c r="F395" s="548"/>
      <c r="G395" s="548"/>
      <c r="H395" s="548"/>
      <c r="I395" s="548"/>
      <c r="J395" s="548"/>
      <c r="K395" s="548"/>
      <c r="L395" s="548"/>
      <c r="M395" s="540" t="str">
        <f>IF(ARBITRAGES!E395=0,"",ARBITRAGES!E395)</f>
        <v/>
      </c>
      <c r="N395" s="541" t="str">
        <f t="shared" si="168"/>
        <v/>
      </c>
      <c r="O395" s="542" t="str">
        <f>IF(M395="","",SUM(PRIX!B395:G395))</f>
        <v/>
      </c>
      <c r="Q395" s="546"/>
      <c r="R395" s="546"/>
      <c r="S395" s="547"/>
      <c r="T395" s="547"/>
    </row>
    <row r="396">
      <c r="A396" s="548"/>
      <c r="B396" s="548"/>
      <c r="C396" s="548"/>
      <c r="D396" s="548"/>
      <c r="E396" s="548"/>
      <c r="F396" s="548"/>
      <c r="G396" s="548"/>
      <c r="H396" s="548"/>
      <c r="I396" s="548"/>
      <c r="J396" s="548"/>
      <c r="K396" s="548"/>
      <c r="L396" s="548"/>
      <c r="M396" s="540" t="str">
        <f>IF(ARBITRAGES!E396=0,"",ARBITRAGES!E396)</f>
        <v/>
      </c>
      <c r="N396" s="541" t="str">
        <f t="shared" si="168"/>
        <v/>
      </c>
      <c r="O396" s="542" t="str">
        <f>IF(M396="","",SUM(PRIX!B396:G396))</f>
        <v/>
      </c>
      <c r="Q396" s="546"/>
      <c r="R396" s="546"/>
      <c r="S396" s="547"/>
      <c r="T396" s="547"/>
    </row>
    <row r="397">
      <c r="A397" s="548"/>
      <c r="B397" s="548"/>
      <c r="C397" s="548"/>
      <c r="D397" s="548"/>
      <c r="E397" s="548"/>
      <c r="F397" s="548"/>
      <c r="G397" s="548"/>
      <c r="H397" s="548"/>
      <c r="I397" s="548"/>
      <c r="J397" s="548"/>
      <c r="K397" s="548"/>
      <c r="L397" s="548"/>
      <c r="M397" s="540" t="str">
        <f>IF(ARBITRAGES!E397=0,"",ARBITRAGES!E397)</f>
        <v/>
      </c>
      <c r="N397" s="541" t="str">
        <f t="shared" si="168"/>
        <v/>
      </c>
      <c r="O397" s="542" t="str">
        <f>IF(M397="","",SUM(PRIX!B397:G397))</f>
        <v/>
      </c>
      <c r="Q397" s="546"/>
      <c r="R397" s="546"/>
      <c r="S397" s="547"/>
      <c r="T397" s="547"/>
    </row>
    <row r="398">
      <c r="A398" s="548"/>
      <c r="B398" s="548"/>
      <c r="C398" s="548"/>
      <c r="D398" s="548"/>
      <c r="E398" s="548"/>
      <c r="F398" s="548"/>
      <c r="G398" s="548"/>
      <c r="H398" s="548"/>
      <c r="I398" s="548"/>
      <c r="J398" s="548"/>
      <c r="K398" s="548"/>
      <c r="L398" s="548"/>
      <c r="M398" s="540" t="str">
        <f>IF(ARBITRAGES!E398=0,"",ARBITRAGES!E398)</f>
        <v/>
      </c>
      <c r="N398" s="541" t="str">
        <f t="shared" si="168"/>
        <v/>
      </c>
      <c r="O398" s="542" t="str">
        <f>IF(M398="","",SUM(PRIX!B398:G398))</f>
        <v/>
      </c>
      <c r="Q398" s="546"/>
      <c r="R398" s="546"/>
      <c r="S398" s="547"/>
      <c r="T398" s="547"/>
    </row>
    <row r="399">
      <c r="A399" s="548"/>
      <c r="B399" s="548"/>
      <c r="C399" s="548"/>
      <c r="D399" s="548"/>
      <c r="E399" s="548"/>
      <c r="F399" s="548"/>
      <c r="G399" s="548"/>
      <c r="H399" s="548"/>
      <c r="I399" s="548"/>
      <c r="J399" s="548"/>
      <c r="K399" s="548"/>
      <c r="L399" s="548"/>
      <c r="M399" s="540" t="str">
        <f>IF(ARBITRAGES!E399=0,"",ARBITRAGES!E399)</f>
        <v/>
      </c>
      <c r="N399" s="541" t="str">
        <f t="shared" si="168"/>
        <v/>
      </c>
      <c r="O399" s="542" t="str">
        <f>IF(M399="","",SUM(PRIX!B399:G399))</f>
        <v/>
      </c>
      <c r="Q399" s="546"/>
      <c r="R399" s="546"/>
      <c r="S399" s="547"/>
      <c r="T399" s="547"/>
    </row>
    <row r="400">
      <c r="A400" s="548"/>
      <c r="B400" s="548"/>
      <c r="C400" s="548"/>
      <c r="D400" s="548"/>
      <c r="E400" s="548"/>
      <c r="F400" s="548"/>
      <c r="G400" s="548"/>
      <c r="H400" s="548"/>
      <c r="I400" s="548"/>
      <c r="J400" s="548"/>
      <c r="K400" s="548"/>
      <c r="L400" s="548"/>
      <c r="M400" s="540" t="str">
        <f>IF(ARBITRAGES!E400=0,"",ARBITRAGES!E400)</f>
        <v/>
      </c>
      <c r="N400" s="541" t="str">
        <f t="shared" si="168"/>
        <v/>
      </c>
      <c r="O400" s="542" t="str">
        <f>IF(M400="","",SUM(PRIX!B400:G400))</f>
        <v/>
      </c>
      <c r="Q400" s="546"/>
      <c r="R400" s="546"/>
      <c r="S400" s="547"/>
      <c r="T400" s="547"/>
    </row>
    <row r="401">
      <c r="A401" s="548"/>
      <c r="B401" s="548"/>
      <c r="C401" s="548"/>
      <c r="D401" s="548"/>
      <c r="E401" s="548"/>
      <c r="F401" s="548"/>
      <c r="G401" s="548"/>
      <c r="H401" s="548"/>
      <c r="I401" s="548"/>
      <c r="J401" s="548"/>
      <c r="K401" s="548"/>
      <c r="L401" s="548"/>
      <c r="M401" s="540" t="str">
        <f>IF(ARBITRAGES!E401=0,"",ARBITRAGES!E401)</f>
        <v/>
      </c>
      <c r="N401" s="541" t="str">
        <f t="shared" si="168"/>
        <v/>
      </c>
      <c r="O401" s="542" t="str">
        <f>IF(M401="","",SUM(PRIX!B401:G401))</f>
        <v/>
      </c>
      <c r="Q401" s="546"/>
      <c r="R401" s="546"/>
      <c r="S401" s="547"/>
      <c r="T401" s="547"/>
    </row>
    <row r="402">
      <c r="A402" s="548"/>
      <c r="B402" s="548"/>
      <c r="C402" s="548"/>
      <c r="D402" s="548"/>
      <c r="E402" s="548"/>
      <c r="F402" s="548"/>
      <c r="G402" s="548"/>
      <c r="H402" s="548"/>
      <c r="I402" s="548"/>
      <c r="J402" s="548"/>
      <c r="K402" s="548"/>
      <c r="L402" s="548"/>
      <c r="M402" s="540" t="str">
        <f>IF(ARBITRAGES!E402=0,"",ARBITRAGES!E402)</f>
        <v/>
      </c>
      <c r="N402" s="541" t="str">
        <f t="shared" si="168"/>
        <v/>
      </c>
      <c r="O402" s="542" t="str">
        <f>IF(M402="","",SUM(PRIX!B402:G402))</f>
        <v/>
      </c>
      <c r="Q402" s="546"/>
      <c r="R402" s="546"/>
      <c r="S402" s="547"/>
      <c r="T402" s="547"/>
    </row>
    <row r="403">
      <c r="A403" s="548"/>
      <c r="B403" s="548"/>
      <c r="C403" s="548"/>
      <c r="D403" s="548"/>
      <c r="E403" s="548"/>
      <c r="F403" s="548"/>
      <c r="G403" s="548"/>
      <c r="H403" s="548"/>
      <c r="I403" s="548"/>
      <c r="J403" s="548"/>
      <c r="K403" s="548"/>
      <c r="L403" s="548"/>
      <c r="M403" s="540" t="str">
        <f>IF(ARBITRAGES!E403=0,"",ARBITRAGES!E403)</f>
        <v/>
      </c>
      <c r="N403" s="541" t="str">
        <f t="shared" si="168"/>
        <v/>
      </c>
      <c r="O403" s="542" t="str">
        <f>IF(M403="","",SUM(PRIX!B403:G403))</f>
        <v/>
      </c>
      <c r="Q403" s="546"/>
      <c r="R403" s="546"/>
      <c r="S403" s="547"/>
      <c r="T403" s="547"/>
    </row>
    <row r="404">
      <c r="A404" s="548"/>
      <c r="B404" s="548"/>
      <c r="C404" s="548"/>
      <c r="D404" s="548"/>
      <c r="E404" s="548"/>
      <c r="F404" s="548"/>
      <c r="G404" s="548"/>
      <c r="H404" s="548"/>
      <c r="I404" s="548"/>
      <c r="J404" s="548"/>
      <c r="K404" s="548"/>
      <c r="L404" s="548"/>
      <c r="M404" s="540" t="str">
        <f>IF(ARBITRAGES!E404=0,"",ARBITRAGES!E404)</f>
        <v/>
      </c>
      <c r="N404" s="541" t="str">
        <f t="shared" si="168"/>
        <v/>
      </c>
      <c r="O404" s="542" t="str">
        <f>IF(M404="","",SUM(PRIX!B404:G404))</f>
        <v/>
      </c>
      <c r="Q404" s="546"/>
      <c r="R404" s="546"/>
      <c r="S404" s="547"/>
      <c r="T404" s="547"/>
    </row>
    <row r="405">
      <c r="A405" s="548"/>
      <c r="B405" s="548"/>
      <c r="C405" s="548"/>
      <c r="D405" s="548"/>
      <c r="E405" s="548"/>
      <c r="F405" s="548"/>
      <c r="G405" s="548"/>
      <c r="H405" s="548"/>
      <c r="I405" s="548"/>
      <c r="J405" s="548"/>
      <c r="K405" s="548"/>
      <c r="L405" s="548"/>
      <c r="M405" s="540" t="str">
        <f>IF(ARBITRAGES!E405=0,"",ARBITRAGES!E405)</f>
        <v/>
      </c>
      <c r="N405" s="541" t="str">
        <f t="shared" si="168"/>
        <v/>
      </c>
      <c r="O405" s="542" t="str">
        <f>IF(M405="","",SUM(PRIX!B405:G405))</f>
        <v/>
      </c>
      <c r="Q405" s="546"/>
      <c r="R405" s="546"/>
      <c r="S405" s="547"/>
      <c r="T405" s="547"/>
    </row>
    <row r="406">
      <c r="A406" s="548"/>
      <c r="B406" s="548"/>
      <c r="C406" s="548"/>
      <c r="D406" s="548"/>
      <c r="E406" s="548"/>
      <c r="F406" s="548"/>
      <c r="G406" s="548"/>
      <c r="H406" s="548"/>
      <c r="I406" s="548"/>
      <c r="J406" s="548"/>
      <c r="K406" s="548"/>
      <c r="L406" s="548"/>
      <c r="M406" s="540" t="str">
        <f>IF(ARBITRAGES!E406=0,"",ARBITRAGES!E406)</f>
        <v/>
      </c>
      <c r="N406" s="541" t="str">
        <f t="shared" si="168"/>
        <v/>
      </c>
      <c r="O406" s="542" t="str">
        <f>IF(M406="","",SUM(PRIX!B406:G406))</f>
        <v/>
      </c>
      <c r="Q406" s="546"/>
      <c r="R406" s="546"/>
      <c r="S406" s="547"/>
      <c r="T406" s="547"/>
    </row>
    <row r="407">
      <c r="A407" s="548"/>
      <c r="B407" s="548"/>
      <c r="C407" s="548"/>
      <c r="D407" s="548"/>
      <c r="E407" s="548"/>
      <c r="F407" s="548"/>
      <c r="G407" s="548"/>
      <c r="H407" s="548"/>
      <c r="I407" s="548"/>
      <c r="J407" s="548"/>
      <c r="K407" s="548"/>
      <c r="L407" s="548"/>
      <c r="M407" s="540" t="str">
        <f>IF(ARBITRAGES!E407=0,"",ARBITRAGES!E407)</f>
        <v/>
      </c>
      <c r="N407" s="541" t="str">
        <f t="shared" si="168"/>
        <v/>
      </c>
      <c r="O407" s="542" t="str">
        <f>IF(M407="","",SUM(PRIX!B407:G407))</f>
        <v/>
      </c>
      <c r="Q407" s="546"/>
      <c r="R407" s="546"/>
      <c r="S407" s="547"/>
      <c r="T407" s="547"/>
    </row>
    <row r="408">
      <c r="A408" s="548"/>
      <c r="B408" s="548"/>
      <c r="C408" s="548"/>
      <c r="D408" s="548"/>
      <c r="E408" s="548"/>
      <c r="F408" s="548"/>
      <c r="G408" s="548"/>
      <c r="H408" s="548"/>
      <c r="I408" s="548"/>
      <c r="J408" s="548"/>
      <c r="K408" s="548"/>
      <c r="L408" s="548"/>
      <c r="M408" s="540" t="str">
        <f>IF(ARBITRAGES!E408=0,"",ARBITRAGES!E408)</f>
        <v/>
      </c>
      <c r="N408" s="541" t="str">
        <f t="shared" si="168"/>
        <v/>
      </c>
      <c r="O408" s="542" t="str">
        <f>IF(M408="","",SUM(PRIX!B408:G408))</f>
        <v/>
      </c>
      <c r="Q408" s="546"/>
      <c r="R408" s="546"/>
      <c r="S408" s="547"/>
      <c r="T408" s="547"/>
    </row>
    <row r="409">
      <c r="A409" s="548"/>
      <c r="B409" s="548"/>
      <c r="C409" s="548"/>
      <c r="D409" s="548"/>
      <c r="E409" s="548"/>
      <c r="F409" s="548"/>
      <c r="G409" s="548"/>
      <c r="H409" s="548"/>
      <c r="I409" s="548"/>
      <c r="J409" s="548"/>
      <c r="K409" s="548"/>
      <c r="L409" s="548"/>
      <c r="M409" s="540" t="str">
        <f>IF(ARBITRAGES!E409=0,"",ARBITRAGES!E409)</f>
        <v/>
      </c>
      <c r="N409" s="541" t="str">
        <f t="shared" si="168"/>
        <v/>
      </c>
      <c r="O409" s="542" t="str">
        <f>IF(M409="","",SUM(PRIX!B409:G409))</f>
        <v/>
      </c>
      <c r="Q409" s="546"/>
      <c r="R409" s="546"/>
      <c r="S409" s="547"/>
      <c r="T409" s="547"/>
    </row>
    <row r="410">
      <c r="A410" s="548"/>
      <c r="B410" s="548"/>
      <c r="C410" s="548"/>
      <c r="D410" s="548"/>
      <c r="E410" s="548"/>
      <c r="F410" s="548"/>
      <c r="G410" s="548"/>
      <c r="H410" s="548"/>
      <c r="I410" s="548"/>
      <c r="J410" s="548"/>
      <c r="K410" s="548"/>
      <c r="L410" s="548"/>
      <c r="M410" s="540" t="str">
        <f>IF(ARBITRAGES!E410=0,"",ARBITRAGES!E410)</f>
        <v/>
      </c>
      <c r="N410" s="541" t="str">
        <f t="shared" si="168"/>
        <v/>
      </c>
      <c r="O410" s="542" t="str">
        <f>IF(M410="","",SUM(PRIX!B410:G410))</f>
        <v/>
      </c>
      <c r="Q410" s="546"/>
      <c r="R410" s="546"/>
      <c r="S410" s="547"/>
      <c r="T410" s="547"/>
    </row>
    <row r="411">
      <c r="A411" s="548"/>
      <c r="B411" s="548"/>
      <c r="C411" s="548"/>
      <c r="D411" s="548"/>
      <c r="E411" s="548"/>
      <c r="F411" s="548"/>
      <c r="G411" s="548"/>
      <c r="H411" s="548"/>
      <c r="I411" s="548"/>
      <c r="J411" s="548"/>
      <c r="K411" s="548"/>
      <c r="L411" s="548"/>
      <c r="M411" s="540" t="str">
        <f>IF(ARBITRAGES!E411=0,"",ARBITRAGES!E411)</f>
        <v/>
      </c>
      <c r="N411" s="541" t="str">
        <f t="shared" si="168"/>
        <v/>
      </c>
      <c r="O411" s="542" t="str">
        <f>IF(M411="","",SUM(PRIX!B411:G411))</f>
        <v/>
      </c>
      <c r="Q411" s="546"/>
      <c r="R411" s="546"/>
      <c r="S411" s="547"/>
      <c r="T411" s="547"/>
    </row>
    <row r="412">
      <c r="A412" s="548"/>
      <c r="B412" s="548"/>
      <c r="C412" s="548"/>
      <c r="D412" s="548"/>
      <c r="E412" s="548"/>
      <c r="F412" s="548"/>
      <c r="G412" s="548"/>
      <c r="H412" s="548"/>
      <c r="I412" s="548"/>
      <c r="J412" s="548"/>
      <c r="K412" s="548"/>
      <c r="L412" s="548"/>
      <c r="M412" s="540" t="str">
        <f>IF(ARBITRAGES!E412=0,"",ARBITRAGES!E412)</f>
        <v/>
      </c>
      <c r="N412" s="541" t="str">
        <f t="shared" si="168"/>
        <v/>
      </c>
      <c r="O412" s="542" t="str">
        <f>IF(M412="","",SUM(PRIX!B412:G412))</f>
        <v/>
      </c>
      <c r="Q412" s="546"/>
      <c r="R412" s="546"/>
      <c r="S412" s="547"/>
      <c r="T412" s="547"/>
    </row>
    <row r="413">
      <c r="A413" s="548"/>
      <c r="B413" s="548"/>
      <c r="C413" s="548"/>
      <c r="D413" s="548"/>
      <c r="E413" s="548"/>
      <c r="F413" s="548"/>
      <c r="G413" s="548"/>
      <c r="H413" s="548"/>
      <c r="I413" s="548"/>
      <c r="J413" s="548"/>
      <c r="K413" s="548"/>
      <c r="L413" s="548"/>
      <c r="M413" s="540" t="str">
        <f>IF(ARBITRAGES!E413=0,"",ARBITRAGES!E413)</f>
        <v/>
      </c>
      <c r="N413" s="541" t="str">
        <f t="shared" si="168"/>
        <v/>
      </c>
      <c r="O413" s="542" t="str">
        <f>IF(M413="","",SUM(PRIX!B413:G413))</f>
        <v/>
      </c>
      <c r="Q413" s="546"/>
      <c r="R413" s="546"/>
      <c r="S413" s="547"/>
      <c r="T413" s="547"/>
    </row>
    <row r="414">
      <c r="A414" s="548"/>
      <c r="B414" s="548"/>
      <c r="C414" s="548"/>
      <c r="D414" s="548"/>
      <c r="E414" s="548"/>
      <c r="F414" s="548"/>
      <c r="G414" s="548"/>
      <c r="H414" s="548"/>
      <c r="I414" s="548"/>
      <c r="J414" s="548"/>
      <c r="K414" s="548"/>
      <c r="L414" s="548"/>
      <c r="M414" s="540" t="str">
        <f>IF(ARBITRAGES!E414=0,"",ARBITRAGES!E414)</f>
        <v/>
      </c>
      <c r="N414" s="541" t="str">
        <f t="shared" si="168"/>
        <v/>
      </c>
      <c r="O414" s="542" t="str">
        <f>IF(M414="","",SUM(PRIX!B414:G414))</f>
        <v/>
      </c>
      <c r="Q414" s="546"/>
      <c r="R414" s="546"/>
      <c r="S414" s="547"/>
      <c r="T414" s="547"/>
    </row>
    <row r="415">
      <c r="A415" s="548"/>
      <c r="B415" s="548"/>
      <c r="C415" s="548"/>
      <c r="D415" s="548"/>
      <c r="E415" s="548"/>
      <c r="F415" s="548"/>
      <c r="G415" s="548"/>
      <c r="H415" s="548"/>
      <c r="I415" s="548"/>
      <c r="J415" s="548"/>
      <c r="K415" s="548"/>
      <c r="L415" s="548"/>
      <c r="M415" s="540" t="str">
        <f>IF(ARBITRAGES!E415=0,"",ARBITRAGES!E415)</f>
        <v/>
      </c>
      <c r="N415" s="541" t="str">
        <f t="shared" si="168"/>
        <v/>
      </c>
      <c r="O415" s="542" t="str">
        <f>IF(M415="","",SUM(PRIX!B415:G415))</f>
        <v/>
      </c>
      <c r="Q415" s="546"/>
      <c r="R415" s="546"/>
      <c r="S415" s="547"/>
      <c r="T415" s="547"/>
    </row>
    <row r="416">
      <c r="A416" s="548"/>
      <c r="B416" s="548"/>
      <c r="C416" s="548"/>
      <c r="D416" s="548"/>
      <c r="E416" s="548"/>
      <c r="F416" s="548"/>
      <c r="G416" s="548"/>
      <c r="H416" s="548"/>
      <c r="I416" s="548"/>
      <c r="J416" s="548"/>
      <c r="K416" s="548"/>
      <c r="L416" s="548"/>
      <c r="M416" s="540" t="str">
        <f>IF(ARBITRAGES!E416=0,"",ARBITRAGES!E416)</f>
        <v/>
      </c>
      <c r="N416" s="541" t="str">
        <f t="shared" si="168"/>
        <v/>
      </c>
      <c r="O416" s="542" t="str">
        <f>IF(M416="","",SUM(PRIX!B416:G416))</f>
        <v/>
      </c>
      <c r="Q416" s="546"/>
      <c r="R416" s="546"/>
      <c r="S416" s="547"/>
      <c r="T416" s="547"/>
    </row>
    <row r="417">
      <c r="A417" s="548"/>
      <c r="B417" s="548"/>
      <c r="C417" s="548"/>
      <c r="D417" s="548"/>
      <c r="E417" s="548"/>
      <c r="F417" s="548"/>
      <c r="G417" s="548"/>
      <c r="H417" s="548"/>
      <c r="I417" s="548"/>
      <c r="J417" s="548"/>
      <c r="K417" s="548"/>
      <c r="L417" s="548"/>
      <c r="M417" s="540" t="str">
        <f>IF(ARBITRAGES!E417=0,"",ARBITRAGES!E417)</f>
        <v/>
      </c>
      <c r="N417" s="541" t="str">
        <f t="shared" si="168"/>
        <v/>
      </c>
      <c r="O417" s="542" t="str">
        <f>IF(M417="","",SUM(PRIX!B417:G417))</f>
        <v/>
      </c>
      <c r="Q417" s="546"/>
      <c r="R417" s="546"/>
      <c r="S417" s="547"/>
      <c r="T417" s="547"/>
    </row>
    <row r="418">
      <c r="A418" s="548"/>
      <c r="B418" s="548"/>
      <c r="C418" s="548"/>
      <c r="D418" s="548"/>
      <c r="E418" s="548"/>
      <c r="F418" s="548"/>
      <c r="G418" s="548"/>
      <c r="H418" s="548"/>
      <c r="I418" s="548"/>
      <c r="J418" s="548"/>
      <c r="K418" s="548"/>
      <c r="L418" s="548"/>
      <c r="M418" s="540" t="str">
        <f>IF(ARBITRAGES!E418=0,"",ARBITRAGES!E418)</f>
        <v/>
      </c>
      <c r="N418" s="541" t="str">
        <f t="shared" si="168"/>
        <v/>
      </c>
      <c r="O418" s="542" t="str">
        <f>IF(M418="","",SUM(PRIX!B418:G418))</f>
        <v/>
      </c>
      <c r="Q418" s="546"/>
      <c r="R418" s="546"/>
      <c r="S418" s="547"/>
      <c r="T418" s="547"/>
    </row>
    <row r="419">
      <c r="A419" s="548"/>
      <c r="B419" s="548"/>
      <c r="C419" s="548"/>
      <c r="D419" s="548"/>
      <c r="E419" s="548"/>
      <c r="F419" s="548"/>
      <c r="G419" s="548"/>
      <c r="H419" s="548"/>
      <c r="I419" s="548"/>
      <c r="J419" s="548"/>
      <c r="K419" s="548"/>
      <c r="L419" s="548"/>
      <c r="M419" s="540" t="str">
        <f>IF(ARBITRAGES!E419=0,"",ARBITRAGES!E419)</f>
        <v/>
      </c>
      <c r="N419" s="541" t="str">
        <f t="shared" si="168"/>
        <v/>
      </c>
      <c r="O419" s="542" t="str">
        <f>IF(M419="","",SUM(PRIX!B419:G419))</f>
        <v/>
      </c>
      <c r="Q419" s="546"/>
      <c r="R419" s="546"/>
      <c r="S419" s="547"/>
      <c r="T419" s="547"/>
    </row>
    <row r="420">
      <c r="A420" s="548"/>
      <c r="B420" s="548"/>
      <c r="C420" s="548"/>
      <c r="D420" s="548"/>
      <c r="E420" s="548"/>
      <c r="F420" s="548"/>
      <c r="G420" s="548"/>
      <c r="H420" s="548"/>
      <c r="I420" s="548"/>
      <c r="J420" s="548"/>
      <c r="K420" s="548"/>
      <c r="L420" s="548"/>
      <c r="M420" s="540" t="str">
        <f>IF(ARBITRAGES!E420=0,"",ARBITRAGES!E420)</f>
        <v/>
      </c>
      <c r="N420" s="541" t="str">
        <f t="shared" si="168"/>
        <v/>
      </c>
      <c r="O420" s="542" t="str">
        <f>IF(M420="","",SUM(PRIX!B420:G420))</f>
        <v/>
      </c>
      <c r="Q420" s="546"/>
      <c r="R420" s="546"/>
      <c r="S420" s="547"/>
      <c r="T420" s="547"/>
    </row>
    <row r="421">
      <c r="A421" s="548"/>
      <c r="B421" s="548"/>
      <c r="C421" s="548"/>
      <c r="D421" s="548"/>
      <c r="E421" s="548"/>
      <c r="F421" s="548"/>
      <c r="G421" s="548"/>
      <c r="H421" s="548"/>
      <c r="I421" s="548"/>
      <c r="J421" s="548"/>
      <c r="K421" s="548"/>
      <c r="L421" s="548"/>
      <c r="M421" s="540" t="str">
        <f>IF(ARBITRAGES!E421=0,"",ARBITRAGES!E421)</f>
        <v/>
      </c>
      <c r="N421" s="541" t="str">
        <f t="shared" si="168"/>
        <v/>
      </c>
      <c r="O421" s="542" t="str">
        <f>IF(M421="","",SUM(PRIX!B421:G421))</f>
        <v/>
      </c>
      <c r="Q421" s="546"/>
      <c r="R421" s="546"/>
      <c r="S421" s="547"/>
      <c r="T421" s="547"/>
    </row>
    <row r="422">
      <c r="A422" s="548"/>
      <c r="B422" s="548"/>
      <c r="C422" s="548"/>
      <c r="D422" s="548"/>
      <c r="E422" s="548"/>
      <c r="F422" s="548"/>
      <c r="G422" s="548"/>
      <c r="H422" s="548"/>
      <c r="I422" s="548"/>
      <c r="J422" s="548"/>
      <c r="K422" s="548"/>
      <c r="L422" s="548"/>
      <c r="M422" s="540" t="str">
        <f>IF(ARBITRAGES!E422=0,"",ARBITRAGES!E422)</f>
        <v/>
      </c>
      <c r="N422" s="541" t="str">
        <f t="shared" si="168"/>
        <v/>
      </c>
      <c r="O422" s="542" t="str">
        <f>IF(M422="","",SUM(PRIX!B422:G422))</f>
        <v/>
      </c>
      <c r="Q422" s="546"/>
      <c r="R422" s="546"/>
      <c r="S422" s="547"/>
      <c r="T422" s="547"/>
    </row>
    <row r="423">
      <c r="A423" s="548"/>
      <c r="B423" s="548"/>
      <c r="C423" s="548"/>
      <c r="D423" s="548"/>
      <c r="E423" s="548"/>
      <c r="F423" s="548"/>
      <c r="G423" s="548"/>
      <c r="H423" s="548"/>
      <c r="I423" s="548"/>
      <c r="J423" s="548"/>
      <c r="K423" s="548"/>
      <c r="L423" s="548"/>
      <c r="M423" s="540" t="str">
        <f>IF(ARBITRAGES!E423=0,"",ARBITRAGES!E423)</f>
        <v/>
      </c>
      <c r="N423" s="541" t="str">
        <f t="shared" si="168"/>
        <v/>
      </c>
      <c r="O423" s="542" t="str">
        <f>IF(M423="","",SUM(PRIX!B423:G423))</f>
        <v/>
      </c>
      <c r="Q423" s="546"/>
      <c r="R423" s="546"/>
      <c r="S423" s="547"/>
      <c r="T423" s="547"/>
    </row>
    <row r="424">
      <c r="A424" s="548"/>
      <c r="B424" s="548"/>
      <c r="C424" s="548"/>
      <c r="D424" s="548"/>
      <c r="E424" s="548"/>
      <c r="F424" s="548"/>
      <c r="G424" s="548"/>
      <c r="H424" s="548"/>
      <c r="I424" s="548"/>
      <c r="J424" s="548"/>
      <c r="K424" s="548"/>
      <c r="L424" s="548"/>
      <c r="M424" s="540" t="str">
        <f>IF(ARBITRAGES!E424=0,"",ARBITRAGES!E424)</f>
        <v/>
      </c>
      <c r="N424" s="541" t="str">
        <f t="shared" si="168"/>
        <v/>
      </c>
      <c r="O424" s="542" t="str">
        <f>IF(M424="","",SUM(PRIX!B424:G424))</f>
        <v/>
      </c>
      <c r="Q424" s="546"/>
      <c r="R424" s="546"/>
      <c r="S424" s="547"/>
      <c r="T424" s="547"/>
    </row>
    <row r="425">
      <c r="A425" s="548"/>
      <c r="B425" s="548"/>
      <c r="C425" s="548"/>
      <c r="D425" s="548"/>
      <c r="E425" s="548"/>
      <c r="F425" s="548"/>
      <c r="G425" s="548"/>
      <c r="H425" s="548"/>
      <c r="I425" s="548"/>
      <c r="J425" s="548"/>
      <c r="K425" s="548"/>
      <c r="L425" s="548"/>
      <c r="M425" s="549"/>
      <c r="N425" s="546"/>
      <c r="O425" s="542" t="str">
        <f>IF(M425="","",SUM(PRIX!B425:G425))</f>
        <v/>
      </c>
      <c r="Q425" s="546"/>
      <c r="R425" s="546"/>
      <c r="S425" s="547"/>
      <c r="T425" s="547"/>
    </row>
    <row r="426">
      <c r="A426" s="548"/>
      <c r="B426" s="548"/>
      <c r="C426" s="548"/>
      <c r="D426" s="548"/>
      <c r="E426" s="548"/>
      <c r="F426" s="548"/>
      <c r="G426" s="548"/>
      <c r="H426" s="548"/>
      <c r="I426" s="548"/>
      <c r="J426" s="548"/>
      <c r="K426" s="548"/>
      <c r="L426" s="548"/>
      <c r="M426" s="549"/>
      <c r="N426" s="546"/>
      <c r="O426" s="542" t="str">
        <f>IF(M426="","",SUM(PRIX!B426:G426))</f>
        <v/>
      </c>
      <c r="Q426" s="546"/>
      <c r="R426" s="546"/>
      <c r="S426" s="547"/>
      <c r="T426" s="547"/>
    </row>
    <row r="427">
      <c r="A427" s="548"/>
      <c r="B427" s="548"/>
      <c r="C427" s="548"/>
      <c r="D427" s="548"/>
      <c r="E427" s="548"/>
      <c r="F427" s="548"/>
      <c r="G427" s="548"/>
      <c r="H427" s="548"/>
      <c r="I427" s="548"/>
      <c r="J427" s="548"/>
      <c r="K427" s="548"/>
      <c r="L427" s="548"/>
      <c r="M427" s="549"/>
      <c r="N427" s="546"/>
      <c r="O427" s="542" t="str">
        <f>IF(M427="","",SUM(PRIX!B427:G427))</f>
        <v/>
      </c>
      <c r="Q427" s="546"/>
      <c r="R427" s="546"/>
      <c r="S427" s="547"/>
      <c r="T427" s="547"/>
    </row>
    <row r="428">
      <c r="A428" s="548"/>
      <c r="B428" s="548"/>
      <c r="C428" s="548"/>
      <c r="D428" s="548"/>
      <c r="E428" s="548"/>
      <c r="F428" s="548"/>
      <c r="G428" s="548"/>
      <c r="H428" s="548"/>
      <c r="I428" s="548"/>
      <c r="J428" s="548"/>
      <c r="K428" s="548"/>
      <c r="L428" s="548"/>
      <c r="M428" s="549"/>
      <c r="N428" s="546"/>
      <c r="O428" s="542" t="str">
        <f>IF(M428="","",SUM(PRIX!B428:G428))</f>
        <v/>
      </c>
      <c r="Q428" s="546"/>
      <c r="R428" s="546"/>
      <c r="S428" s="547"/>
      <c r="T428" s="547"/>
    </row>
    <row r="429">
      <c r="A429" s="548"/>
      <c r="B429" s="548"/>
      <c r="C429" s="548"/>
      <c r="D429" s="548"/>
      <c r="E429" s="548"/>
      <c r="F429" s="548"/>
      <c r="G429" s="548"/>
      <c r="H429" s="548"/>
      <c r="I429" s="548"/>
      <c r="J429" s="548"/>
      <c r="K429" s="548"/>
      <c r="L429" s="548"/>
      <c r="M429" s="549"/>
      <c r="N429" s="546"/>
      <c r="O429" s="542" t="str">
        <f>IF(M429="","",SUM(PRIX!B429:G429))</f>
        <v/>
      </c>
      <c r="Q429" s="546"/>
      <c r="R429" s="546"/>
      <c r="S429" s="547"/>
      <c r="T429" s="547"/>
    </row>
    <row r="430">
      <c r="A430" s="548"/>
      <c r="B430" s="548"/>
      <c r="C430" s="548"/>
      <c r="D430" s="548"/>
      <c r="E430" s="548"/>
      <c r="F430" s="548"/>
      <c r="G430" s="548"/>
      <c r="H430" s="548"/>
      <c r="I430" s="548"/>
      <c r="J430" s="548"/>
      <c r="K430" s="548"/>
      <c r="L430" s="548"/>
      <c r="M430" s="549"/>
      <c r="N430" s="546"/>
      <c r="O430" s="542" t="str">
        <f>IF(M430="","",SUM(PRIX!B430:G430))</f>
        <v/>
      </c>
      <c r="Q430" s="546"/>
      <c r="R430" s="546"/>
      <c r="S430" s="547"/>
      <c r="T430" s="547"/>
    </row>
    <row r="431">
      <c r="A431" s="548"/>
      <c r="B431" s="548"/>
      <c r="C431" s="548"/>
      <c r="D431" s="548"/>
      <c r="E431" s="548"/>
      <c r="F431" s="548"/>
      <c r="G431" s="548"/>
      <c r="H431" s="548"/>
      <c r="I431" s="548"/>
      <c r="J431" s="548"/>
      <c r="K431" s="548"/>
      <c r="L431" s="548"/>
      <c r="M431" s="549"/>
      <c r="N431" s="546"/>
      <c r="O431" s="542" t="str">
        <f>IF(M431="","",SUM(PRIX!B431:G431))</f>
        <v/>
      </c>
      <c r="Q431" s="546"/>
      <c r="R431" s="546"/>
      <c r="S431" s="547"/>
      <c r="T431" s="547"/>
    </row>
    <row r="432">
      <c r="A432" s="548"/>
      <c r="B432" s="548"/>
      <c r="C432" s="548"/>
      <c r="D432" s="548"/>
      <c r="E432" s="548"/>
      <c r="F432" s="548"/>
      <c r="G432" s="548"/>
      <c r="H432" s="548"/>
      <c r="I432" s="548"/>
      <c r="J432" s="548"/>
      <c r="K432" s="548"/>
      <c r="L432" s="548"/>
      <c r="M432" s="549"/>
      <c r="N432" s="546"/>
      <c r="O432" s="542" t="str">
        <f>IF(M432="","",SUM(PRIX!B432:G432))</f>
        <v/>
      </c>
      <c r="Q432" s="546"/>
      <c r="R432" s="546"/>
      <c r="S432" s="547"/>
      <c r="T432" s="547"/>
    </row>
    <row r="433">
      <c r="A433" s="548"/>
      <c r="B433" s="548"/>
      <c r="C433" s="548"/>
      <c r="D433" s="548"/>
      <c r="E433" s="548"/>
      <c r="F433" s="548"/>
      <c r="G433" s="548"/>
      <c r="H433" s="548"/>
      <c r="I433" s="548"/>
      <c r="J433" s="548"/>
      <c r="K433" s="548"/>
      <c r="L433" s="548"/>
      <c r="M433" s="549"/>
      <c r="N433" s="546"/>
      <c r="O433" s="542" t="str">
        <f>IF(M433="","",SUM(PRIX!B433:G433))</f>
        <v/>
      </c>
      <c r="Q433" s="546"/>
      <c r="R433" s="546"/>
      <c r="S433" s="547"/>
      <c r="T433" s="547"/>
    </row>
    <row r="434">
      <c r="A434" s="548"/>
      <c r="B434" s="548"/>
      <c r="C434" s="548"/>
      <c r="D434" s="548"/>
      <c r="E434" s="548"/>
      <c r="F434" s="548"/>
      <c r="G434" s="548"/>
      <c r="H434" s="548"/>
      <c r="I434" s="548"/>
      <c r="J434" s="548"/>
      <c r="K434" s="548"/>
      <c r="L434" s="548"/>
      <c r="M434" s="549"/>
      <c r="N434" s="546"/>
      <c r="O434" s="542" t="str">
        <f>IF(M434="","",SUM(PRIX!B434:G434))</f>
        <v/>
      </c>
      <c r="Q434" s="546"/>
      <c r="R434" s="546"/>
      <c r="S434" s="547"/>
      <c r="T434" s="547"/>
    </row>
    <row r="435">
      <c r="A435" s="548"/>
      <c r="B435" s="548"/>
      <c r="C435" s="548"/>
      <c r="D435" s="548"/>
      <c r="E435" s="548"/>
      <c r="F435" s="548"/>
      <c r="G435" s="548"/>
      <c r="H435" s="548"/>
      <c r="I435" s="548"/>
      <c r="J435" s="548"/>
      <c r="K435" s="548"/>
      <c r="L435" s="548"/>
      <c r="M435" s="549"/>
      <c r="N435" s="546"/>
      <c r="O435" s="542" t="str">
        <f>IF(M435="","",SUM(PRIX!B435:G435))</f>
        <v/>
      </c>
      <c r="Q435" s="546"/>
      <c r="R435" s="546"/>
      <c r="S435" s="547"/>
      <c r="T435" s="547"/>
    </row>
    <row r="436">
      <c r="A436" s="548"/>
      <c r="B436" s="548"/>
      <c r="C436" s="548"/>
      <c r="D436" s="548"/>
      <c r="E436" s="548"/>
      <c r="F436" s="548"/>
      <c r="G436" s="548"/>
      <c r="H436" s="548"/>
      <c r="I436" s="548"/>
      <c r="J436" s="548"/>
      <c r="K436" s="548"/>
      <c r="L436" s="548"/>
      <c r="M436" s="549"/>
      <c r="N436" s="546"/>
      <c r="O436" s="546"/>
      <c r="Q436" s="546"/>
      <c r="R436" s="546"/>
      <c r="S436" s="547"/>
      <c r="T436" s="547"/>
    </row>
    <row r="437">
      <c r="A437" s="548"/>
      <c r="B437" s="548"/>
      <c r="C437" s="548"/>
      <c r="D437" s="548"/>
      <c r="E437" s="548"/>
      <c r="F437" s="548"/>
      <c r="G437" s="548"/>
      <c r="H437" s="548"/>
      <c r="I437" s="548"/>
      <c r="J437" s="548"/>
      <c r="K437" s="548"/>
      <c r="L437" s="548"/>
      <c r="M437" s="549"/>
      <c r="N437" s="546"/>
      <c r="O437" s="546"/>
      <c r="Q437" s="546"/>
      <c r="R437" s="546"/>
      <c r="S437" s="547"/>
      <c r="T437" s="547"/>
    </row>
    <row r="438">
      <c r="A438" s="548"/>
      <c r="B438" s="548"/>
      <c r="C438" s="548"/>
      <c r="D438" s="548"/>
      <c r="E438" s="548"/>
      <c r="F438" s="548"/>
      <c r="G438" s="548"/>
      <c r="H438" s="548"/>
      <c r="I438" s="548"/>
      <c r="J438" s="548"/>
      <c r="K438" s="548"/>
      <c r="L438" s="548"/>
      <c r="M438" s="549"/>
      <c r="N438" s="546"/>
      <c r="O438" s="546"/>
      <c r="Q438" s="546"/>
      <c r="R438" s="546"/>
      <c r="S438" s="547"/>
      <c r="T438" s="547"/>
    </row>
    <row r="439">
      <c r="A439" s="548"/>
      <c r="B439" s="548"/>
      <c r="C439" s="548"/>
      <c r="D439" s="548"/>
      <c r="E439" s="548"/>
      <c r="F439" s="548"/>
      <c r="G439" s="548"/>
      <c r="H439" s="548"/>
      <c r="I439" s="548"/>
      <c r="J439" s="548"/>
      <c r="K439" s="548"/>
      <c r="L439" s="548"/>
      <c r="M439" s="549"/>
      <c r="N439" s="546"/>
      <c r="O439" s="546"/>
      <c r="P439" s="546"/>
      <c r="Q439" s="546"/>
      <c r="R439" s="546"/>
      <c r="S439" s="547"/>
      <c r="T439" s="547"/>
    </row>
    <row r="440">
      <c r="A440" s="548"/>
      <c r="B440" s="548"/>
      <c r="C440" s="548"/>
      <c r="D440" s="548"/>
      <c r="E440" s="548"/>
      <c r="F440" s="548"/>
      <c r="G440" s="548"/>
      <c r="H440" s="548"/>
      <c r="I440" s="548"/>
      <c r="J440" s="548"/>
      <c r="K440" s="548"/>
      <c r="L440" s="548"/>
      <c r="M440" s="549"/>
      <c r="N440" s="546"/>
      <c r="O440" s="546"/>
      <c r="P440" s="546"/>
      <c r="Q440" s="546"/>
      <c r="R440" s="546"/>
      <c r="S440" s="547"/>
      <c r="T440" s="547"/>
    </row>
    <row r="441">
      <c r="A441" s="548"/>
      <c r="B441" s="548"/>
      <c r="C441" s="548"/>
      <c r="D441" s="548"/>
      <c r="E441" s="548"/>
      <c r="F441" s="548"/>
      <c r="G441" s="548"/>
      <c r="H441" s="548"/>
      <c r="I441" s="548"/>
      <c r="J441" s="548"/>
      <c r="K441" s="548"/>
      <c r="L441" s="548"/>
      <c r="M441" s="549"/>
      <c r="N441" s="546"/>
      <c r="O441" s="546"/>
      <c r="P441" s="546"/>
      <c r="Q441" s="546"/>
      <c r="R441" s="546"/>
      <c r="S441" s="547"/>
      <c r="T441" s="547"/>
    </row>
    <row r="442">
      <c r="A442" s="548"/>
      <c r="B442" s="548"/>
      <c r="C442" s="548"/>
      <c r="D442" s="548"/>
      <c r="E442" s="548"/>
      <c r="F442" s="548"/>
      <c r="G442" s="548"/>
      <c r="H442" s="548"/>
      <c r="I442" s="548"/>
      <c r="J442" s="548"/>
      <c r="K442" s="548"/>
      <c r="L442" s="548"/>
      <c r="M442" s="549"/>
      <c r="N442" s="546"/>
      <c r="O442" s="546"/>
      <c r="P442" s="546"/>
      <c r="Q442" s="546"/>
      <c r="R442" s="546"/>
      <c r="S442" s="547"/>
      <c r="T442" s="547"/>
    </row>
    <row r="443">
      <c r="A443" s="548"/>
      <c r="B443" s="548"/>
      <c r="C443" s="548"/>
      <c r="D443" s="548"/>
      <c r="E443" s="548"/>
      <c r="F443" s="548"/>
      <c r="G443" s="548"/>
      <c r="H443" s="548"/>
      <c r="I443" s="548"/>
      <c r="J443" s="548"/>
      <c r="K443" s="548"/>
      <c r="L443" s="548"/>
      <c r="M443" s="549"/>
      <c r="N443" s="546"/>
      <c r="O443" s="546"/>
      <c r="P443" s="546"/>
      <c r="Q443" s="546"/>
      <c r="R443" s="546"/>
      <c r="S443" s="547"/>
      <c r="T443" s="547"/>
    </row>
    <row r="444">
      <c r="A444" s="548"/>
      <c r="B444" s="548"/>
      <c r="C444" s="548"/>
      <c r="D444" s="548"/>
      <c r="E444" s="548"/>
      <c r="F444" s="548"/>
      <c r="G444" s="548"/>
      <c r="H444" s="548"/>
      <c r="I444" s="548"/>
      <c r="J444" s="548"/>
      <c r="K444" s="548"/>
      <c r="L444" s="548"/>
      <c r="M444" s="549"/>
      <c r="N444" s="546"/>
      <c r="O444" s="546"/>
      <c r="P444" s="546"/>
      <c r="Q444" s="546"/>
      <c r="R444" s="546"/>
      <c r="S444" s="547"/>
      <c r="T444" s="547"/>
    </row>
    <row r="445">
      <c r="A445" s="548"/>
      <c r="B445" s="548"/>
      <c r="C445" s="548"/>
      <c r="D445" s="548"/>
      <c r="E445" s="548"/>
      <c r="F445" s="548"/>
      <c r="G445" s="548"/>
      <c r="H445" s="548"/>
      <c r="I445" s="548"/>
      <c r="J445" s="548"/>
      <c r="K445" s="548"/>
      <c r="L445" s="548"/>
      <c r="M445" s="549"/>
      <c r="N445" s="546"/>
      <c r="O445" s="546"/>
      <c r="P445" s="546"/>
      <c r="Q445" s="546"/>
      <c r="R445" s="546"/>
      <c r="S445" s="547"/>
      <c r="T445" s="547"/>
    </row>
    <row r="446">
      <c r="A446" s="548"/>
      <c r="B446" s="548"/>
      <c r="C446" s="548"/>
      <c r="D446" s="548"/>
      <c r="E446" s="548"/>
      <c r="F446" s="548"/>
      <c r="G446" s="548"/>
      <c r="H446" s="548"/>
      <c r="I446" s="548"/>
      <c r="J446" s="548"/>
      <c r="K446" s="548"/>
      <c r="L446" s="548"/>
      <c r="M446" s="549"/>
      <c r="N446" s="546"/>
      <c r="O446" s="546"/>
      <c r="P446" s="546"/>
      <c r="Q446" s="546"/>
      <c r="R446" s="546"/>
      <c r="S446" s="547"/>
      <c r="T446" s="547"/>
    </row>
    <row r="447">
      <c r="A447" s="548"/>
      <c r="B447" s="548"/>
      <c r="C447" s="548"/>
      <c r="D447" s="548"/>
      <c r="E447" s="548"/>
      <c r="F447" s="548"/>
      <c r="G447" s="548"/>
      <c r="H447" s="548"/>
      <c r="I447" s="548"/>
      <c r="J447" s="548"/>
      <c r="K447" s="548"/>
      <c r="L447" s="548"/>
      <c r="M447" s="549"/>
      <c r="N447" s="546"/>
      <c r="O447" s="546"/>
      <c r="P447" s="546"/>
      <c r="Q447" s="546"/>
      <c r="R447" s="546"/>
      <c r="S447" s="547"/>
      <c r="T447" s="547"/>
    </row>
    <row r="448">
      <c r="A448" s="548"/>
      <c r="B448" s="548"/>
      <c r="C448" s="548"/>
      <c r="D448" s="548"/>
      <c r="E448" s="548"/>
      <c r="F448" s="548"/>
      <c r="G448" s="548"/>
      <c r="H448" s="548"/>
      <c r="I448" s="548"/>
      <c r="J448" s="548"/>
      <c r="K448" s="548"/>
      <c r="L448" s="548"/>
      <c r="M448" s="549"/>
      <c r="N448" s="546"/>
      <c r="O448" s="546"/>
      <c r="P448" s="546"/>
      <c r="Q448" s="546"/>
      <c r="R448" s="546"/>
      <c r="S448" s="547"/>
      <c r="T448" s="547"/>
    </row>
    <row r="449">
      <c r="A449" s="548"/>
      <c r="B449" s="548"/>
      <c r="C449" s="548"/>
      <c r="D449" s="548"/>
      <c r="E449" s="548"/>
      <c r="F449" s="548"/>
      <c r="G449" s="548"/>
      <c r="H449" s="548"/>
      <c r="I449" s="548"/>
      <c r="J449" s="548"/>
      <c r="K449" s="548"/>
      <c r="L449" s="548"/>
      <c r="M449" s="549"/>
      <c r="N449" s="546"/>
      <c r="O449" s="546"/>
      <c r="P449" s="546"/>
      <c r="Q449" s="546"/>
      <c r="R449" s="546"/>
      <c r="S449" s="547"/>
      <c r="T449" s="547"/>
    </row>
    <row r="450">
      <c r="A450" s="548"/>
      <c r="B450" s="548"/>
      <c r="C450" s="548"/>
      <c r="D450" s="548"/>
      <c r="E450" s="548"/>
      <c r="F450" s="548"/>
      <c r="G450" s="548"/>
      <c r="H450" s="548"/>
      <c r="I450" s="548"/>
      <c r="J450" s="548"/>
      <c r="K450" s="548"/>
      <c r="L450" s="548"/>
      <c r="M450" s="549"/>
      <c r="N450" s="546"/>
      <c r="O450" s="546"/>
      <c r="P450" s="546"/>
      <c r="Q450" s="546"/>
      <c r="R450" s="546"/>
      <c r="S450" s="547"/>
      <c r="T450" s="547"/>
    </row>
    <row r="451">
      <c r="A451" s="548"/>
      <c r="B451" s="548"/>
      <c r="C451" s="548"/>
      <c r="D451" s="548"/>
      <c r="E451" s="548"/>
      <c r="F451" s="548"/>
      <c r="G451" s="548"/>
      <c r="H451" s="548"/>
      <c r="I451" s="548"/>
      <c r="J451" s="548"/>
      <c r="K451" s="548"/>
      <c r="L451" s="548"/>
      <c r="M451" s="549"/>
      <c r="N451" s="546"/>
      <c r="O451" s="546"/>
      <c r="P451" s="546"/>
      <c r="Q451" s="546"/>
      <c r="R451" s="546"/>
      <c r="S451" s="547"/>
      <c r="T451" s="547"/>
    </row>
    <row r="452">
      <c r="A452" s="548"/>
      <c r="B452" s="548"/>
      <c r="C452" s="548"/>
      <c r="D452" s="548"/>
      <c r="E452" s="548"/>
      <c r="F452" s="548"/>
      <c r="G452" s="548"/>
      <c r="H452" s="548"/>
      <c r="I452" s="548"/>
      <c r="J452" s="548"/>
      <c r="K452" s="548"/>
      <c r="L452" s="548"/>
      <c r="M452" s="549"/>
      <c r="N452" s="546"/>
      <c r="O452" s="546"/>
      <c r="P452" s="546"/>
      <c r="Q452" s="546"/>
      <c r="R452" s="546"/>
      <c r="S452" s="547"/>
      <c r="T452" s="547"/>
    </row>
    <row r="453">
      <c r="A453" s="548"/>
      <c r="B453" s="548"/>
      <c r="C453" s="548"/>
      <c r="D453" s="548"/>
      <c r="E453" s="548"/>
      <c r="F453" s="548"/>
      <c r="G453" s="548"/>
      <c r="H453" s="548"/>
      <c r="I453" s="548"/>
      <c r="J453" s="548"/>
      <c r="K453" s="548"/>
      <c r="L453" s="548"/>
      <c r="M453" s="549"/>
      <c r="N453" s="546"/>
      <c r="O453" s="546"/>
      <c r="P453" s="546"/>
      <c r="Q453" s="546"/>
      <c r="R453" s="546"/>
      <c r="S453" s="547"/>
      <c r="T453" s="547"/>
    </row>
    <row r="454">
      <c r="A454" s="548"/>
      <c r="B454" s="548"/>
      <c r="C454" s="548"/>
      <c r="D454" s="548"/>
      <c r="E454" s="548"/>
      <c r="F454" s="548"/>
      <c r="G454" s="548"/>
      <c r="H454" s="548"/>
      <c r="I454" s="548"/>
      <c r="J454" s="548"/>
      <c r="K454" s="548"/>
      <c r="L454" s="548"/>
      <c r="M454" s="549"/>
      <c r="N454" s="546"/>
      <c r="O454" s="546"/>
      <c r="P454" s="546"/>
      <c r="Q454" s="546"/>
      <c r="R454" s="546"/>
      <c r="S454" s="547"/>
      <c r="T454" s="547"/>
    </row>
    <row r="455">
      <c r="A455" s="548"/>
      <c r="B455" s="548"/>
      <c r="C455" s="548"/>
      <c r="D455" s="548"/>
      <c r="E455" s="548"/>
      <c r="F455" s="548"/>
      <c r="G455" s="548"/>
      <c r="H455" s="548"/>
      <c r="I455" s="548"/>
      <c r="J455" s="548"/>
      <c r="K455" s="548"/>
      <c r="L455" s="548"/>
      <c r="M455" s="549"/>
      <c r="N455" s="546"/>
      <c r="O455" s="546"/>
      <c r="P455" s="546"/>
      <c r="Q455" s="546"/>
      <c r="R455" s="546"/>
      <c r="S455" s="547"/>
      <c r="T455" s="547"/>
    </row>
    <row r="456">
      <c r="A456" s="548"/>
      <c r="B456" s="548"/>
      <c r="C456" s="548"/>
      <c r="D456" s="548"/>
      <c r="E456" s="548"/>
      <c r="F456" s="548"/>
      <c r="G456" s="548"/>
      <c r="H456" s="548"/>
      <c r="I456" s="548"/>
      <c r="J456" s="548"/>
      <c r="K456" s="548"/>
      <c r="L456" s="548"/>
      <c r="M456" s="549"/>
      <c r="N456" s="546"/>
      <c r="O456" s="546"/>
      <c r="P456" s="546"/>
      <c r="Q456" s="546"/>
      <c r="R456" s="546"/>
      <c r="S456" s="547"/>
      <c r="T456" s="547"/>
    </row>
    <row r="457">
      <c r="A457" s="548"/>
      <c r="B457" s="548"/>
      <c r="C457" s="548"/>
      <c r="D457" s="548"/>
      <c r="E457" s="548"/>
      <c r="F457" s="548"/>
      <c r="G457" s="548"/>
      <c r="H457" s="548"/>
      <c r="I457" s="548"/>
      <c r="J457" s="548"/>
      <c r="K457" s="548"/>
      <c r="L457" s="548"/>
      <c r="M457" s="549"/>
      <c r="N457" s="546"/>
      <c r="O457" s="546"/>
      <c r="P457" s="546"/>
      <c r="Q457" s="546"/>
      <c r="R457" s="546"/>
      <c r="S457" s="547"/>
      <c r="T457" s="547"/>
    </row>
    <row r="458">
      <c r="A458" s="548"/>
      <c r="B458" s="548"/>
      <c r="C458" s="548"/>
      <c r="D458" s="548"/>
      <c r="E458" s="548"/>
      <c r="F458" s="548"/>
      <c r="G458" s="548"/>
      <c r="H458" s="548"/>
      <c r="I458" s="548"/>
      <c r="J458" s="548"/>
      <c r="K458" s="548"/>
      <c r="L458" s="548"/>
      <c r="M458" s="549"/>
      <c r="N458" s="546"/>
      <c r="O458" s="546"/>
      <c r="P458" s="546"/>
      <c r="Q458" s="546"/>
      <c r="R458" s="546"/>
      <c r="S458" s="547"/>
      <c r="T458" s="547"/>
    </row>
    <row r="459">
      <c r="A459" s="548"/>
      <c r="B459" s="548"/>
      <c r="C459" s="548"/>
      <c r="D459" s="548"/>
      <c r="E459" s="548"/>
      <c r="F459" s="548"/>
      <c r="G459" s="548"/>
      <c r="H459" s="548"/>
      <c r="I459" s="548"/>
      <c r="J459" s="548"/>
      <c r="K459" s="548"/>
      <c r="L459" s="548"/>
      <c r="M459" s="549"/>
      <c r="N459" s="546"/>
      <c r="O459" s="546"/>
      <c r="P459" s="546"/>
      <c r="Q459" s="546"/>
      <c r="R459" s="546"/>
      <c r="S459" s="547"/>
      <c r="T459" s="547"/>
    </row>
    <row r="460">
      <c r="A460" s="548"/>
      <c r="B460" s="548"/>
      <c r="C460" s="548"/>
      <c r="D460" s="548"/>
      <c r="E460" s="548"/>
      <c r="F460" s="548"/>
      <c r="G460" s="548"/>
      <c r="H460" s="548"/>
      <c r="I460" s="548"/>
      <c r="J460" s="548"/>
      <c r="K460" s="548"/>
      <c r="L460" s="548"/>
      <c r="M460" s="549"/>
      <c r="N460" s="546"/>
      <c r="O460" s="546"/>
      <c r="P460" s="546"/>
      <c r="Q460" s="546"/>
      <c r="R460" s="546"/>
      <c r="S460" s="547"/>
      <c r="T460" s="547"/>
    </row>
    <row r="461">
      <c r="A461" s="548"/>
      <c r="B461" s="548"/>
      <c r="C461" s="548"/>
      <c r="D461" s="548"/>
      <c r="E461" s="548"/>
      <c r="F461" s="548"/>
      <c r="G461" s="548"/>
      <c r="H461" s="548"/>
      <c r="I461" s="548"/>
      <c r="J461" s="548"/>
      <c r="K461" s="548"/>
      <c r="L461" s="548"/>
      <c r="M461" s="549"/>
      <c r="N461" s="546"/>
      <c r="O461" s="546"/>
      <c r="P461" s="546"/>
      <c r="Q461" s="546"/>
      <c r="R461" s="546"/>
      <c r="S461" s="547"/>
      <c r="T461" s="547"/>
    </row>
    <row r="462">
      <c r="A462" s="548"/>
      <c r="B462" s="548"/>
      <c r="C462" s="548"/>
      <c r="D462" s="548"/>
      <c r="E462" s="548"/>
      <c r="F462" s="548"/>
      <c r="G462" s="548"/>
      <c r="H462" s="548"/>
      <c r="I462" s="548"/>
      <c r="J462" s="548"/>
      <c r="K462" s="548"/>
      <c r="L462" s="548"/>
      <c r="M462" s="549"/>
      <c r="N462" s="546"/>
      <c r="O462" s="546"/>
      <c r="P462" s="546"/>
      <c r="Q462" s="546"/>
      <c r="R462" s="546"/>
      <c r="S462" s="547"/>
      <c r="T462" s="547"/>
    </row>
    <row r="463">
      <c r="A463" s="548"/>
      <c r="B463" s="548"/>
      <c r="C463" s="548"/>
      <c r="D463" s="548"/>
      <c r="E463" s="548"/>
      <c r="F463" s="548"/>
      <c r="G463" s="548"/>
      <c r="H463" s="548"/>
      <c r="I463" s="548"/>
      <c r="J463" s="548"/>
      <c r="K463" s="548"/>
      <c r="L463" s="548"/>
      <c r="M463" s="549"/>
      <c r="N463" s="546"/>
      <c r="O463" s="546"/>
      <c r="P463" s="546"/>
      <c r="Q463" s="546"/>
      <c r="R463" s="546"/>
      <c r="S463" s="547"/>
      <c r="T463" s="547"/>
    </row>
    <row r="464">
      <c r="A464" s="548"/>
      <c r="B464" s="548"/>
      <c r="C464" s="548"/>
      <c r="D464" s="548"/>
      <c r="E464" s="548"/>
      <c r="F464" s="548"/>
      <c r="G464" s="548"/>
      <c r="H464" s="548"/>
      <c r="I464" s="548"/>
      <c r="J464" s="548"/>
      <c r="K464" s="548"/>
      <c r="L464" s="548"/>
      <c r="M464" s="549"/>
      <c r="N464" s="546"/>
      <c r="O464" s="546"/>
      <c r="P464" s="546"/>
      <c r="Q464" s="546"/>
      <c r="R464" s="546"/>
      <c r="S464" s="547"/>
      <c r="T464" s="547"/>
    </row>
    <row r="465">
      <c r="A465" s="548"/>
      <c r="B465" s="548"/>
      <c r="C465" s="548"/>
      <c r="D465" s="548"/>
      <c r="E465" s="548"/>
      <c r="F465" s="548"/>
      <c r="G465" s="548"/>
      <c r="H465" s="548"/>
      <c r="I465" s="548"/>
      <c r="J465" s="548"/>
      <c r="K465" s="548"/>
      <c r="L465" s="548"/>
      <c r="M465" s="549"/>
      <c r="N465" s="546"/>
      <c r="O465" s="546"/>
      <c r="P465" s="546"/>
      <c r="Q465" s="546"/>
      <c r="R465" s="546"/>
      <c r="S465" s="547"/>
      <c r="T465" s="547"/>
    </row>
    <row r="466">
      <c r="A466" s="548"/>
      <c r="B466" s="548"/>
      <c r="C466" s="548"/>
      <c r="D466" s="548"/>
      <c r="E466" s="548"/>
      <c r="F466" s="548"/>
      <c r="G466" s="548"/>
      <c r="H466" s="548"/>
      <c r="I466" s="548"/>
      <c r="J466" s="548"/>
      <c r="K466" s="548"/>
      <c r="L466" s="548"/>
      <c r="M466" s="549"/>
      <c r="N466" s="546"/>
      <c r="O466" s="546"/>
      <c r="P466" s="546"/>
      <c r="Q466" s="546"/>
      <c r="R466" s="546"/>
      <c r="S466" s="547"/>
      <c r="T466" s="547"/>
    </row>
    <row r="467">
      <c r="A467" s="548"/>
      <c r="B467" s="548"/>
      <c r="C467" s="548"/>
      <c r="D467" s="548"/>
      <c r="E467" s="548"/>
      <c r="F467" s="548"/>
      <c r="G467" s="548"/>
      <c r="H467" s="548"/>
      <c r="I467" s="548"/>
      <c r="J467" s="548"/>
      <c r="K467" s="548"/>
      <c r="L467" s="548"/>
      <c r="M467" s="549"/>
      <c r="N467" s="546"/>
      <c r="O467" s="546"/>
      <c r="P467" s="546"/>
      <c r="Q467" s="546"/>
      <c r="R467" s="546"/>
      <c r="S467" s="547"/>
      <c r="T467" s="547"/>
    </row>
    <row r="468">
      <c r="A468" s="548"/>
      <c r="B468" s="548"/>
      <c r="C468" s="548"/>
      <c r="D468" s="548"/>
      <c r="E468" s="548"/>
      <c r="F468" s="548"/>
      <c r="G468" s="548"/>
      <c r="H468" s="548"/>
      <c r="I468" s="548"/>
      <c r="J468" s="548"/>
      <c r="K468" s="548"/>
      <c r="L468" s="548"/>
      <c r="M468" s="549"/>
      <c r="N468" s="546"/>
      <c r="O468" s="546"/>
      <c r="P468" s="546"/>
      <c r="Q468" s="546"/>
      <c r="R468" s="546"/>
      <c r="S468" s="547"/>
      <c r="T468" s="547"/>
    </row>
    <row r="469">
      <c r="A469" s="548"/>
      <c r="B469" s="548"/>
      <c r="C469" s="548"/>
      <c r="D469" s="548"/>
      <c r="E469" s="548"/>
      <c r="F469" s="548"/>
      <c r="G469" s="548"/>
      <c r="H469" s="548"/>
      <c r="I469" s="548"/>
      <c r="J469" s="548"/>
      <c r="K469" s="548"/>
      <c r="L469" s="548"/>
      <c r="M469" s="549"/>
      <c r="N469" s="546"/>
      <c r="O469" s="546"/>
      <c r="P469" s="546"/>
      <c r="Q469" s="546"/>
      <c r="R469" s="546"/>
      <c r="S469" s="547"/>
      <c r="T469" s="547"/>
    </row>
    <row r="470">
      <c r="A470" s="548"/>
      <c r="B470" s="548"/>
      <c r="C470" s="548"/>
      <c r="D470" s="548"/>
      <c r="E470" s="548"/>
      <c r="F470" s="548"/>
      <c r="G470" s="548"/>
      <c r="H470" s="548"/>
      <c r="I470" s="548"/>
      <c r="J470" s="548"/>
      <c r="K470" s="548"/>
      <c r="L470" s="548"/>
      <c r="M470" s="549"/>
      <c r="N470" s="546"/>
      <c r="O470" s="546"/>
      <c r="P470" s="546"/>
      <c r="Q470" s="546"/>
      <c r="R470" s="546"/>
      <c r="S470" s="547"/>
      <c r="T470" s="547"/>
    </row>
    <row r="471">
      <c r="A471" s="548"/>
      <c r="B471" s="548"/>
      <c r="C471" s="548"/>
      <c r="D471" s="548"/>
      <c r="E471" s="548"/>
      <c r="F471" s="548"/>
      <c r="G471" s="548"/>
      <c r="H471" s="548"/>
      <c r="I471" s="548"/>
      <c r="J471" s="548"/>
      <c r="K471" s="548"/>
      <c r="L471" s="548"/>
      <c r="M471" s="549"/>
      <c r="N471" s="546"/>
      <c r="O471" s="546"/>
      <c r="P471" s="546"/>
      <c r="Q471" s="546"/>
      <c r="R471" s="546"/>
      <c r="S471" s="547"/>
      <c r="T471" s="547"/>
    </row>
    <row r="472">
      <c r="A472" s="548"/>
      <c r="B472" s="548"/>
      <c r="C472" s="548"/>
      <c r="D472" s="548"/>
      <c r="E472" s="548"/>
      <c r="F472" s="548"/>
      <c r="G472" s="548"/>
      <c r="H472" s="548"/>
      <c r="I472" s="548"/>
      <c r="J472" s="548"/>
      <c r="K472" s="548"/>
      <c r="L472" s="548"/>
      <c r="M472" s="549"/>
      <c r="N472" s="546"/>
      <c r="O472" s="546"/>
      <c r="P472" s="546"/>
      <c r="Q472" s="546"/>
      <c r="R472" s="546"/>
      <c r="S472" s="547"/>
      <c r="T472" s="547"/>
    </row>
    <row r="473">
      <c r="A473" s="548"/>
      <c r="B473" s="548"/>
      <c r="C473" s="548"/>
      <c r="D473" s="548"/>
      <c r="E473" s="548"/>
      <c r="F473" s="548"/>
      <c r="G473" s="548"/>
      <c r="H473" s="548"/>
      <c r="I473" s="548"/>
      <c r="J473" s="548"/>
      <c r="K473" s="548"/>
      <c r="L473" s="548"/>
      <c r="M473" s="549"/>
      <c r="N473" s="546"/>
      <c r="O473" s="546"/>
      <c r="P473" s="546"/>
      <c r="Q473" s="546"/>
      <c r="R473" s="546"/>
      <c r="S473" s="547"/>
      <c r="T473" s="547"/>
    </row>
    <row r="474">
      <c r="A474" s="548"/>
      <c r="B474" s="548"/>
      <c r="C474" s="548"/>
      <c r="D474" s="548"/>
      <c r="E474" s="548"/>
      <c r="F474" s="548"/>
      <c r="G474" s="548"/>
      <c r="H474" s="548"/>
      <c r="I474" s="548"/>
      <c r="J474" s="548"/>
      <c r="K474" s="548"/>
      <c r="L474" s="548"/>
      <c r="M474" s="549"/>
      <c r="N474" s="546"/>
      <c r="O474" s="546"/>
      <c r="P474" s="546"/>
      <c r="Q474" s="546"/>
      <c r="R474" s="546"/>
      <c r="S474" s="547"/>
      <c r="T474" s="547"/>
    </row>
    <row r="475">
      <c r="A475" s="548"/>
      <c r="B475" s="548"/>
      <c r="C475" s="548"/>
      <c r="D475" s="548"/>
      <c r="E475" s="548"/>
      <c r="F475" s="548"/>
      <c r="G475" s="548"/>
      <c r="H475" s="548"/>
      <c r="I475" s="548"/>
      <c r="J475" s="548"/>
      <c r="K475" s="548"/>
      <c r="L475" s="548"/>
      <c r="M475" s="549"/>
      <c r="N475" s="546"/>
      <c r="O475" s="546"/>
      <c r="P475" s="546"/>
      <c r="Q475" s="546"/>
      <c r="R475" s="546"/>
      <c r="S475" s="547"/>
      <c r="T475" s="547"/>
    </row>
    <row r="476">
      <c r="A476" s="548"/>
      <c r="B476" s="548"/>
      <c r="C476" s="548"/>
      <c r="D476" s="548"/>
      <c r="E476" s="548"/>
      <c r="F476" s="548"/>
      <c r="G476" s="548"/>
      <c r="H476" s="548"/>
      <c r="I476" s="548"/>
      <c r="J476" s="548"/>
      <c r="K476" s="548"/>
      <c r="L476" s="548"/>
      <c r="M476" s="549"/>
      <c r="N476" s="546"/>
      <c r="O476" s="546"/>
      <c r="P476" s="546"/>
      <c r="Q476" s="546"/>
      <c r="R476" s="546"/>
      <c r="S476" s="547"/>
      <c r="T476" s="547"/>
    </row>
    <row r="477">
      <c r="A477" s="548"/>
      <c r="B477" s="548"/>
      <c r="C477" s="548"/>
      <c r="D477" s="548"/>
      <c r="E477" s="548"/>
      <c r="F477" s="548"/>
      <c r="G477" s="548"/>
      <c r="H477" s="548"/>
      <c r="I477" s="548"/>
      <c r="J477" s="548"/>
      <c r="K477" s="548"/>
      <c r="L477" s="548"/>
      <c r="M477" s="549"/>
      <c r="N477" s="546"/>
      <c r="O477" s="546"/>
      <c r="P477" s="546"/>
      <c r="Q477" s="546"/>
      <c r="R477" s="546"/>
      <c r="S477" s="547"/>
      <c r="T477" s="547"/>
    </row>
    <row r="478">
      <c r="A478" s="548"/>
      <c r="B478" s="548"/>
      <c r="C478" s="548"/>
      <c r="D478" s="548"/>
      <c r="E478" s="548"/>
      <c r="F478" s="548"/>
      <c r="G478" s="548"/>
      <c r="H478" s="548"/>
      <c r="I478" s="548"/>
      <c r="J478" s="548"/>
      <c r="K478" s="548"/>
      <c r="L478" s="548"/>
      <c r="M478" s="549"/>
      <c r="N478" s="546"/>
      <c r="O478" s="546"/>
      <c r="P478" s="546"/>
      <c r="Q478" s="546"/>
      <c r="R478" s="546"/>
      <c r="S478" s="547"/>
      <c r="T478" s="547"/>
    </row>
    <row r="479">
      <c r="A479" s="548"/>
      <c r="B479" s="548"/>
      <c r="C479" s="548"/>
      <c r="D479" s="548"/>
      <c r="E479" s="548"/>
      <c r="F479" s="548"/>
      <c r="G479" s="548"/>
      <c r="H479" s="548"/>
      <c r="I479" s="548"/>
      <c r="J479" s="548"/>
      <c r="K479" s="548"/>
      <c r="L479" s="548"/>
      <c r="M479" s="549"/>
      <c r="N479" s="546"/>
      <c r="O479" s="546"/>
      <c r="P479" s="546"/>
      <c r="Q479" s="546"/>
      <c r="R479" s="546"/>
      <c r="S479" s="547"/>
      <c r="T479" s="547"/>
    </row>
    <row r="480">
      <c r="A480" s="548"/>
      <c r="B480" s="548"/>
      <c r="C480" s="548"/>
      <c r="D480" s="548"/>
      <c r="E480" s="548"/>
      <c r="F480" s="548"/>
      <c r="G480" s="548"/>
      <c r="H480" s="548"/>
      <c r="I480" s="548"/>
      <c r="J480" s="548"/>
      <c r="K480" s="548"/>
      <c r="L480" s="548"/>
      <c r="M480" s="549"/>
      <c r="N480" s="546"/>
      <c r="O480" s="546"/>
      <c r="P480" s="546"/>
      <c r="Q480" s="546"/>
      <c r="R480" s="546"/>
      <c r="S480" s="547"/>
      <c r="T480" s="547"/>
    </row>
    <row r="481">
      <c r="A481" s="548"/>
      <c r="B481" s="548"/>
      <c r="C481" s="548"/>
      <c r="D481" s="548"/>
      <c r="E481" s="548"/>
      <c r="F481" s="548"/>
      <c r="G481" s="548"/>
      <c r="H481" s="548"/>
      <c r="I481" s="548"/>
      <c r="J481" s="548"/>
      <c r="K481" s="548"/>
      <c r="L481" s="548"/>
      <c r="M481" s="549"/>
      <c r="N481" s="546"/>
      <c r="O481" s="546"/>
      <c r="P481" s="546"/>
      <c r="Q481" s="546"/>
      <c r="R481" s="546"/>
      <c r="S481" s="547"/>
      <c r="T481" s="547"/>
    </row>
    <row r="482">
      <c r="A482" s="548"/>
      <c r="B482" s="548"/>
      <c r="C482" s="548"/>
      <c r="D482" s="548"/>
      <c r="E482" s="548"/>
      <c r="F482" s="548"/>
      <c r="G482" s="548"/>
      <c r="H482" s="548"/>
      <c r="I482" s="548"/>
      <c r="J482" s="548"/>
      <c r="K482" s="548"/>
      <c r="L482" s="548"/>
      <c r="M482" s="549"/>
      <c r="N482" s="546"/>
      <c r="O482" s="546"/>
      <c r="P482" s="546"/>
      <c r="Q482" s="546"/>
      <c r="R482" s="546"/>
      <c r="S482" s="547"/>
      <c r="T482" s="547"/>
    </row>
    <row r="483">
      <c r="A483" s="548"/>
      <c r="B483" s="548"/>
      <c r="C483" s="548"/>
      <c r="D483" s="548"/>
      <c r="E483" s="548"/>
      <c r="F483" s="548"/>
      <c r="G483" s="548"/>
      <c r="H483" s="548"/>
      <c r="I483" s="548"/>
      <c r="J483" s="548"/>
      <c r="K483" s="548"/>
      <c r="L483" s="548"/>
      <c r="M483" s="549"/>
      <c r="N483" s="546"/>
      <c r="O483" s="546"/>
      <c r="P483" s="546"/>
      <c r="Q483" s="546"/>
      <c r="R483" s="546"/>
      <c r="S483" s="547"/>
      <c r="T483" s="547"/>
    </row>
    <row r="484">
      <c r="A484" s="548"/>
      <c r="B484" s="548"/>
      <c r="C484" s="548"/>
      <c r="D484" s="548"/>
      <c r="E484" s="548"/>
      <c r="F484" s="548"/>
      <c r="G484" s="548"/>
      <c r="H484" s="548"/>
      <c r="I484" s="548"/>
      <c r="J484" s="548"/>
      <c r="K484" s="548"/>
      <c r="L484" s="548"/>
      <c r="M484" s="549"/>
      <c r="N484" s="546"/>
      <c r="O484" s="546"/>
      <c r="P484" s="546"/>
      <c r="Q484" s="546"/>
      <c r="R484" s="546"/>
      <c r="S484" s="547"/>
      <c r="T484" s="547"/>
    </row>
    <row r="485">
      <c r="A485" s="548"/>
      <c r="B485" s="548"/>
      <c r="C485" s="548"/>
      <c r="D485" s="548"/>
      <c r="E485" s="548"/>
      <c r="F485" s="548"/>
      <c r="G485" s="548"/>
      <c r="H485" s="548"/>
      <c r="I485" s="548"/>
      <c r="J485" s="548"/>
      <c r="K485" s="548"/>
      <c r="L485" s="548"/>
      <c r="M485" s="549"/>
      <c r="N485" s="546"/>
      <c r="O485" s="546"/>
      <c r="P485" s="546"/>
      <c r="Q485" s="546"/>
      <c r="R485" s="546"/>
      <c r="S485" s="547"/>
      <c r="T485" s="547"/>
    </row>
    <row r="486">
      <c r="A486" s="548"/>
      <c r="B486" s="548"/>
      <c r="C486" s="548"/>
      <c r="D486" s="548"/>
      <c r="E486" s="548"/>
      <c r="F486" s="548"/>
      <c r="G486" s="548"/>
      <c r="H486" s="548"/>
      <c r="I486" s="548"/>
      <c r="J486" s="548"/>
      <c r="K486" s="548"/>
      <c r="L486" s="548"/>
      <c r="M486" s="549"/>
      <c r="N486" s="546"/>
      <c r="O486" s="546"/>
      <c r="P486" s="546"/>
      <c r="Q486" s="546"/>
      <c r="R486" s="546"/>
      <c r="S486" s="547"/>
      <c r="T486" s="547"/>
    </row>
    <row r="487">
      <c r="A487" s="548"/>
      <c r="B487" s="548"/>
      <c r="C487" s="548"/>
      <c r="D487" s="548"/>
      <c r="E487" s="548"/>
      <c r="F487" s="548"/>
      <c r="G487" s="548"/>
      <c r="H487" s="548"/>
      <c r="I487" s="548"/>
      <c r="J487" s="548"/>
      <c r="K487" s="548"/>
      <c r="L487" s="548"/>
      <c r="M487" s="549"/>
      <c r="N487" s="546"/>
      <c r="O487" s="546"/>
      <c r="P487" s="546"/>
      <c r="Q487" s="546"/>
      <c r="R487" s="546"/>
      <c r="S487" s="547"/>
      <c r="T487" s="547"/>
    </row>
    <row r="488">
      <c r="A488" s="548"/>
      <c r="B488" s="548"/>
      <c r="C488" s="548"/>
      <c r="D488" s="548"/>
      <c r="E488" s="548"/>
      <c r="F488" s="548"/>
      <c r="G488" s="548"/>
      <c r="H488" s="548"/>
      <c r="I488" s="548"/>
      <c r="J488" s="548"/>
      <c r="K488" s="548"/>
      <c r="L488" s="548"/>
      <c r="M488" s="549"/>
      <c r="N488" s="546"/>
      <c r="O488" s="546"/>
      <c r="P488" s="546"/>
      <c r="Q488" s="546"/>
      <c r="R488" s="546"/>
      <c r="S488" s="547"/>
      <c r="T488" s="547"/>
    </row>
    <row r="489">
      <c r="A489" s="548"/>
      <c r="B489" s="548"/>
      <c r="C489" s="548"/>
      <c r="D489" s="548"/>
      <c r="E489" s="548"/>
      <c r="F489" s="548"/>
      <c r="G489" s="548"/>
      <c r="H489" s="548"/>
      <c r="I489" s="548"/>
      <c r="J489" s="548"/>
      <c r="K489" s="548"/>
      <c r="L489" s="548"/>
      <c r="M489" s="549"/>
      <c r="N489" s="546"/>
      <c r="O489" s="546"/>
      <c r="P489" s="546"/>
      <c r="Q489" s="546"/>
      <c r="R489" s="546"/>
      <c r="S489" s="547"/>
      <c r="T489" s="547"/>
    </row>
    <row r="490">
      <c r="A490" s="548"/>
      <c r="B490" s="548"/>
      <c r="C490" s="548"/>
      <c r="D490" s="548"/>
      <c r="E490" s="548"/>
      <c r="F490" s="548"/>
      <c r="G490" s="548"/>
      <c r="H490" s="548"/>
      <c r="I490" s="548"/>
      <c r="J490" s="548"/>
      <c r="K490" s="548"/>
      <c r="L490" s="548"/>
      <c r="M490" s="549"/>
      <c r="N490" s="546"/>
      <c r="O490" s="546"/>
      <c r="P490" s="546"/>
      <c r="Q490" s="546"/>
      <c r="R490" s="546"/>
      <c r="S490" s="547"/>
      <c r="T490" s="547"/>
    </row>
    <row r="491">
      <c r="A491" s="548"/>
      <c r="B491" s="548"/>
      <c r="C491" s="548"/>
      <c r="D491" s="548"/>
      <c r="E491" s="548"/>
      <c r="F491" s="548"/>
      <c r="G491" s="548"/>
      <c r="H491" s="548"/>
      <c r="I491" s="548"/>
      <c r="J491" s="548"/>
      <c r="K491" s="548"/>
      <c r="L491" s="548"/>
      <c r="M491" s="549"/>
      <c r="N491" s="546"/>
      <c r="O491" s="546"/>
      <c r="P491" s="546"/>
      <c r="Q491" s="546"/>
      <c r="R491" s="546"/>
      <c r="S491" s="547"/>
      <c r="T491" s="547"/>
    </row>
    <row r="492">
      <c r="A492" s="548"/>
      <c r="B492" s="548"/>
      <c r="C492" s="548"/>
      <c r="D492" s="548"/>
      <c r="E492" s="548"/>
      <c r="F492" s="548"/>
      <c r="G492" s="548"/>
      <c r="H492" s="548"/>
      <c r="I492" s="548"/>
      <c r="J492" s="548"/>
      <c r="K492" s="548"/>
      <c r="L492" s="548"/>
      <c r="M492" s="549"/>
      <c r="N492" s="546"/>
      <c r="O492" s="546"/>
      <c r="P492" s="546"/>
      <c r="Q492" s="546"/>
      <c r="R492" s="546"/>
      <c r="S492" s="547"/>
      <c r="T492" s="547"/>
    </row>
    <row r="493">
      <c r="A493" s="548"/>
      <c r="B493" s="548"/>
      <c r="C493" s="548"/>
      <c r="D493" s="548"/>
      <c r="E493" s="548"/>
      <c r="F493" s="548"/>
      <c r="G493" s="548"/>
      <c r="H493" s="548"/>
      <c r="I493" s="548"/>
      <c r="J493" s="548"/>
      <c r="K493" s="548"/>
      <c r="L493" s="548"/>
      <c r="M493" s="549"/>
      <c r="N493" s="546"/>
      <c r="O493" s="546"/>
      <c r="P493" s="546"/>
      <c r="Q493" s="546"/>
      <c r="R493" s="546"/>
      <c r="S493" s="547"/>
      <c r="T493" s="547"/>
    </row>
    <row r="494">
      <c r="A494" s="548"/>
      <c r="B494" s="548"/>
      <c r="C494" s="548"/>
      <c r="D494" s="548"/>
      <c r="E494" s="548"/>
      <c r="F494" s="548"/>
      <c r="G494" s="548"/>
      <c r="H494" s="548"/>
      <c r="I494" s="548"/>
      <c r="J494" s="548"/>
      <c r="K494" s="548"/>
      <c r="L494" s="548"/>
      <c r="M494" s="549"/>
      <c r="N494" s="546"/>
      <c r="O494" s="546"/>
      <c r="P494" s="546"/>
      <c r="Q494" s="546"/>
      <c r="R494" s="546"/>
      <c r="S494" s="547"/>
      <c r="T494" s="547"/>
    </row>
    <row r="495">
      <c r="A495" s="548"/>
      <c r="B495" s="548"/>
      <c r="C495" s="548"/>
      <c r="D495" s="548"/>
      <c r="E495" s="548"/>
      <c r="F495" s="548"/>
      <c r="G495" s="548"/>
      <c r="H495" s="548"/>
      <c r="I495" s="548"/>
      <c r="J495" s="548"/>
      <c r="K495" s="548"/>
      <c r="L495" s="548"/>
      <c r="M495" s="549"/>
      <c r="N495" s="546"/>
      <c r="O495" s="546"/>
      <c r="P495" s="546"/>
      <c r="Q495" s="546"/>
      <c r="R495" s="546"/>
      <c r="S495" s="547"/>
      <c r="T495" s="547"/>
    </row>
    <row r="496">
      <c r="A496" s="548"/>
      <c r="B496" s="548"/>
      <c r="C496" s="548"/>
      <c r="D496" s="548"/>
      <c r="E496" s="548"/>
      <c r="F496" s="548"/>
      <c r="G496" s="548"/>
      <c r="H496" s="548"/>
      <c r="I496" s="548"/>
      <c r="J496" s="548"/>
      <c r="K496" s="548"/>
      <c r="L496" s="548"/>
      <c r="M496" s="549"/>
      <c r="N496" s="546"/>
      <c r="O496" s="546"/>
      <c r="P496" s="546"/>
      <c r="Q496" s="546"/>
      <c r="R496" s="546"/>
      <c r="S496" s="547"/>
      <c r="T496" s="547"/>
    </row>
    <row r="497">
      <c r="A497" s="548"/>
      <c r="B497" s="548"/>
      <c r="C497" s="548"/>
      <c r="D497" s="548"/>
      <c r="E497" s="548"/>
      <c r="F497" s="548"/>
      <c r="G497" s="548"/>
      <c r="H497" s="548"/>
      <c r="I497" s="548"/>
      <c r="J497" s="548"/>
      <c r="K497" s="548"/>
      <c r="L497" s="548"/>
      <c r="M497" s="549"/>
      <c r="N497" s="546"/>
      <c r="O497" s="546"/>
      <c r="P497" s="546"/>
      <c r="Q497" s="546"/>
      <c r="R497" s="546"/>
      <c r="S497" s="547"/>
      <c r="T497" s="547"/>
    </row>
    <row r="498">
      <c r="A498" s="548"/>
      <c r="B498" s="548"/>
      <c r="C498" s="548"/>
      <c r="D498" s="548"/>
      <c r="E498" s="548"/>
      <c r="F498" s="548"/>
      <c r="G498" s="548"/>
      <c r="H498" s="548"/>
      <c r="I498" s="548"/>
      <c r="J498" s="548"/>
      <c r="K498" s="548"/>
      <c r="L498" s="548"/>
      <c r="M498" s="549"/>
      <c r="N498" s="546"/>
      <c r="O498" s="546"/>
      <c r="P498" s="546"/>
      <c r="Q498" s="546"/>
      <c r="R498" s="546"/>
      <c r="S498" s="547"/>
      <c r="T498" s="547"/>
    </row>
    <row r="499">
      <c r="A499" s="548"/>
      <c r="B499" s="548"/>
      <c r="C499" s="548"/>
      <c r="D499" s="548"/>
      <c r="E499" s="548"/>
      <c r="F499" s="548"/>
      <c r="G499" s="548"/>
      <c r="H499" s="548"/>
      <c r="I499" s="548"/>
      <c r="J499" s="548"/>
      <c r="K499" s="548"/>
      <c r="L499" s="548"/>
      <c r="M499" s="549"/>
      <c r="N499" s="546"/>
      <c r="O499" s="546"/>
      <c r="P499" s="546"/>
      <c r="Q499" s="546"/>
      <c r="R499" s="546"/>
      <c r="S499" s="547"/>
      <c r="T499" s="547"/>
    </row>
    <row r="500">
      <c r="A500" s="548"/>
      <c r="B500" s="548"/>
      <c r="C500" s="548"/>
      <c r="D500" s="548"/>
      <c r="E500" s="548"/>
      <c r="F500" s="548"/>
      <c r="G500" s="548"/>
      <c r="H500" s="548"/>
      <c r="I500" s="548"/>
      <c r="J500" s="548"/>
      <c r="K500" s="548"/>
      <c r="L500" s="548"/>
      <c r="M500" s="549"/>
      <c r="N500" s="546"/>
      <c r="O500" s="546"/>
      <c r="P500" s="546"/>
      <c r="Q500" s="546"/>
      <c r="R500" s="546"/>
      <c r="S500" s="547"/>
      <c r="T500" s="547"/>
    </row>
    <row r="501">
      <c r="A501" s="548"/>
      <c r="B501" s="548"/>
      <c r="C501" s="548"/>
      <c r="D501" s="548"/>
      <c r="E501" s="548"/>
      <c r="F501" s="548"/>
      <c r="G501" s="548"/>
      <c r="H501" s="548"/>
      <c r="I501" s="548"/>
      <c r="J501" s="548"/>
      <c r="K501" s="548"/>
      <c r="L501" s="548"/>
      <c r="M501" s="549"/>
      <c r="N501" s="546"/>
      <c r="O501" s="546"/>
      <c r="P501" s="546"/>
      <c r="Q501" s="546"/>
      <c r="R501" s="546"/>
      <c r="S501" s="547"/>
      <c r="T501" s="547"/>
    </row>
    <row r="502">
      <c r="A502" s="548"/>
      <c r="B502" s="548"/>
      <c r="C502" s="548"/>
      <c r="D502" s="548"/>
      <c r="E502" s="548"/>
      <c r="F502" s="548"/>
      <c r="G502" s="548"/>
      <c r="H502" s="548"/>
      <c r="I502" s="548"/>
      <c r="J502" s="548"/>
      <c r="K502" s="548"/>
      <c r="L502" s="548"/>
      <c r="M502" s="549"/>
      <c r="N502" s="546"/>
      <c r="O502" s="546"/>
      <c r="P502" s="546"/>
      <c r="Q502" s="546"/>
      <c r="R502" s="546"/>
      <c r="S502" s="547"/>
      <c r="T502" s="547"/>
    </row>
    <row r="503">
      <c r="A503" s="548"/>
      <c r="B503" s="548"/>
      <c r="C503" s="548"/>
      <c r="D503" s="548"/>
      <c r="E503" s="548"/>
      <c r="F503" s="548"/>
      <c r="G503" s="548"/>
      <c r="H503" s="548"/>
      <c r="I503" s="548"/>
      <c r="J503" s="548"/>
      <c r="K503" s="548"/>
      <c r="L503" s="548"/>
      <c r="M503" s="549"/>
      <c r="N503" s="546"/>
      <c r="O503" s="546"/>
      <c r="P503" s="546"/>
      <c r="Q503" s="546"/>
      <c r="R503" s="546"/>
      <c r="S503" s="547"/>
      <c r="T503" s="547"/>
    </row>
    <row r="504">
      <c r="A504" s="548"/>
      <c r="B504" s="548"/>
      <c r="C504" s="548"/>
      <c r="D504" s="548"/>
      <c r="E504" s="548"/>
      <c r="F504" s="548"/>
      <c r="G504" s="548"/>
      <c r="H504" s="548"/>
      <c r="I504" s="548"/>
      <c r="J504" s="548"/>
      <c r="K504" s="548"/>
      <c r="L504" s="548"/>
      <c r="M504" s="549"/>
      <c r="N504" s="546"/>
      <c r="O504" s="546"/>
      <c r="P504" s="546"/>
      <c r="Q504" s="546"/>
      <c r="R504" s="546"/>
      <c r="S504" s="547"/>
      <c r="T504" s="547"/>
    </row>
    <row r="505">
      <c r="A505" s="548"/>
      <c r="B505" s="548"/>
      <c r="C505" s="548"/>
      <c r="D505" s="548"/>
      <c r="E505" s="548"/>
      <c r="F505" s="548"/>
      <c r="G505" s="548"/>
      <c r="H505" s="548"/>
      <c r="I505" s="548"/>
      <c r="J505" s="548"/>
      <c r="K505" s="548"/>
      <c r="L505" s="548"/>
      <c r="M505" s="549"/>
      <c r="N505" s="546"/>
      <c r="O505" s="546"/>
      <c r="P505" s="546"/>
      <c r="Q505" s="546"/>
      <c r="R505" s="546"/>
      <c r="S505" s="547"/>
      <c r="T505" s="547"/>
    </row>
    <row r="506">
      <c r="A506" s="548"/>
      <c r="B506" s="548"/>
      <c r="C506" s="548"/>
      <c r="D506" s="548"/>
      <c r="E506" s="548"/>
      <c r="F506" s="548"/>
      <c r="G506" s="548"/>
      <c r="H506" s="548"/>
      <c r="I506" s="548"/>
      <c r="J506" s="548"/>
      <c r="K506" s="548"/>
      <c r="L506" s="548"/>
      <c r="M506" s="549"/>
      <c r="N506" s="546"/>
      <c r="O506" s="546"/>
      <c r="P506" s="546"/>
      <c r="Q506" s="546"/>
      <c r="R506" s="546"/>
      <c r="S506" s="547"/>
      <c r="T506" s="547"/>
    </row>
    <row r="507">
      <c r="A507" s="548"/>
      <c r="B507" s="548"/>
      <c r="C507" s="548"/>
      <c r="D507" s="548"/>
      <c r="E507" s="548"/>
      <c r="F507" s="548"/>
      <c r="G507" s="548"/>
      <c r="H507" s="548"/>
      <c r="I507" s="548"/>
      <c r="J507" s="548"/>
      <c r="K507" s="548"/>
      <c r="L507" s="548"/>
      <c r="M507" s="549"/>
      <c r="N507" s="546"/>
      <c r="O507" s="546"/>
      <c r="P507" s="546"/>
      <c r="Q507" s="546"/>
      <c r="R507" s="546"/>
      <c r="S507" s="547"/>
      <c r="T507" s="547"/>
    </row>
    <row r="508">
      <c r="A508" s="548"/>
      <c r="B508" s="548"/>
      <c r="C508" s="548"/>
      <c r="D508" s="548"/>
      <c r="E508" s="548"/>
      <c r="F508" s="548"/>
      <c r="G508" s="548"/>
      <c r="H508" s="548"/>
      <c r="I508" s="548"/>
      <c r="J508" s="548"/>
      <c r="K508" s="548"/>
      <c r="L508" s="548"/>
      <c r="M508" s="549"/>
      <c r="N508" s="546"/>
      <c r="O508" s="546"/>
      <c r="P508" s="546"/>
      <c r="Q508" s="546"/>
      <c r="R508" s="546"/>
      <c r="S508" s="547"/>
      <c r="T508" s="547"/>
    </row>
    <row r="509">
      <c r="A509" s="548"/>
      <c r="B509" s="548"/>
      <c r="C509" s="548"/>
      <c r="D509" s="548"/>
      <c r="E509" s="548"/>
      <c r="F509" s="548"/>
      <c r="G509" s="548"/>
      <c r="H509" s="548"/>
      <c r="I509" s="548"/>
      <c r="J509" s="548"/>
      <c r="K509" s="548"/>
      <c r="L509" s="548"/>
      <c r="M509" s="549"/>
      <c r="N509" s="546"/>
      <c r="O509" s="546"/>
      <c r="P509" s="546"/>
      <c r="Q509" s="546"/>
      <c r="R509" s="546"/>
      <c r="S509" s="547"/>
      <c r="T509" s="547"/>
    </row>
    <row r="510">
      <c r="A510" s="548"/>
      <c r="B510" s="548"/>
      <c r="C510" s="548"/>
      <c r="D510" s="548"/>
      <c r="E510" s="548"/>
      <c r="F510" s="548"/>
      <c r="G510" s="548"/>
      <c r="H510" s="548"/>
      <c r="I510" s="548"/>
      <c r="J510" s="548"/>
      <c r="K510" s="548"/>
      <c r="L510" s="548"/>
      <c r="M510" s="549"/>
      <c r="N510" s="546"/>
      <c r="O510" s="546"/>
      <c r="P510" s="546"/>
      <c r="Q510" s="546"/>
      <c r="R510" s="546"/>
      <c r="S510" s="547"/>
      <c r="T510" s="547"/>
    </row>
    <row r="511">
      <c r="A511" s="548"/>
      <c r="B511" s="548"/>
      <c r="C511" s="548"/>
      <c r="D511" s="548"/>
      <c r="E511" s="548"/>
      <c r="F511" s="548"/>
      <c r="G511" s="548"/>
      <c r="H511" s="548"/>
      <c r="I511" s="548"/>
      <c r="J511" s="548"/>
      <c r="K511" s="548"/>
      <c r="L511" s="548"/>
      <c r="M511" s="549"/>
      <c r="N511" s="546"/>
      <c r="O511" s="546"/>
      <c r="P511" s="546"/>
      <c r="Q511" s="546"/>
      <c r="R511" s="546"/>
      <c r="S511" s="547"/>
      <c r="T511" s="547"/>
    </row>
    <row r="512">
      <c r="A512" s="548"/>
      <c r="B512" s="548"/>
      <c r="C512" s="548"/>
      <c r="D512" s="548"/>
      <c r="E512" s="548"/>
      <c r="F512" s="548"/>
      <c r="G512" s="548"/>
      <c r="H512" s="548"/>
      <c r="I512" s="548"/>
      <c r="J512" s="548"/>
      <c r="K512" s="548"/>
      <c r="L512" s="548"/>
      <c r="M512" s="549"/>
      <c r="N512" s="546"/>
      <c r="O512" s="546"/>
      <c r="P512" s="546"/>
      <c r="Q512" s="546"/>
      <c r="R512" s="546"/>
      <c r="S512" s="547"/>
      <c r="T512" s="547"/>
    </row>
    <row r="513">
      <c r="A513" s="548"/>
      <c r="B513" s="548"/>
      <c r="C513" s="548"/>
      <c r="D513" s="548"/>
      <c r="E513" s="548"/>
      <c r="F513" s="548"/>
      <c r="G513" s="548"/>
      <c r="H513" s="548"/>
      <c r="I513" s="548"/>
      <c r="J513" s="548"/>
      <c r="K513" s="548"/>
      <c r="L513" s="548"/>
      <c r="M513" s="549"/>
      <c r="N513" s="546"/>
      <c r="O513" s="546"/>
      <c r="P513" s="546"/>
      <c r="Q513" s="546"/>
      <c r="R513" s="546"/>
      <c r="S513" s="547"/>
      <c r="T513" s="547"/>
    </row>
    <row r="514">
      <c r="A514" s="548"/>
      <c r="B514" s="548"/>
      <c r="C514" s="548"/>
      <c r="D514" s="548"/>
      <c r="E514" s="548"/>
      <c r="F514" s="548"/>
      <c r="G514" s="548"/>
      <c r="H514" s="548"/>
      <c r="I514" s="548"/>
      <c r="J514" s="548"/>
      <c r="K514" s="548"/>
      <c r="L514" s="548"/>
      <c r="M514" s="549"/>
      <c r="N514" s="546"/>
      <c r="O514" s="546"/>
      <c r="P514" s="546"/>
      <c r="Q514" s="546"/>
      <c r="R514" s="546"/>
      <c r="S514" s="547"/>
      <c r="T514" s="547"/>
    </row>
    <row r="515">
      <c r="A515" s="548"/>
      <c r="B515" s="548"/>
      <c r="C515" s="548"/>
      <c r="D515" s="548"/>
      <c r="E515" s="548"/>
      <c r="F515" s="548"/>
      <c r="G515" s="548"/>
      <c r="H515" s="548"/>
      <c r="I515" s="548"/>
      <c r="J515" s="548"/>
      <c r="K515" s="548"/>
      <c r="L515" s="548"/>
      <c r="M515" s="549"/>
      <c r="N515" s="546"/>
      <c r="O515" s="546"/>
      <c r="P515" s="546"/>
      <c r="Q515" s="546"/>
      <c r="R515" s="546"/>
      <c r="S515" s="547"/>
      <c r="T515" s="547"/>
    </row>
    <row r="516">
      <c r="A516" s="548"/>
      <c r="B516" s="548"/>
      <c r="C516" s="548"/>
      <c r="D516" s="548"/>
      <c r="E516" s="548"/>
      <c r="F516" s="548"/>
      <c r="G516" s="548"/>
      <c r="H516" s="548"/>
      <c r="I516" s="548"/>
      <c r="J516" s="548"/>
      <c r="K516" s="548"/>
      <c r="L516" s="548"/>
      <c r="M516" s="549"/>
      <c r="N516" s="546"/>
      <c r="O516" s="546"/>
      <c r="P516" s="546"/>
      <c r="Q516" s="546"/>
      <c r="R516" s="546"/>
      <c r="S516" s="547"/>
      <c r="T516" s="547"/>
    </row>
    <row r="517">
      <c r="A517" s="548"/>
      <c r="B517" s="548"/>
      <c r="C517" s="548"/>
      <c r="D517" s="548"/>
      <c r="E517" s="548"/>
      <c r="F517" s="548"/>
      <c r="G517" s="548"/>
      <c r="H517" s="548"/>
      <c r="I517" s="548"/>
      <c r="J517" s="548"/>
      <c r="K517" s="548"/>
      <c r="L517" s="548"/>
      <c r="M517" s="549"/>
      <c r="N517" s="546"/>
      <c r="O517" s="546"/>
      <c r="P517" s="546"/>
      <c r="Q517" s="546"/>
      <c r="R517" s="546"/>
      <c r="S517" s="547"/>
      <c r="T517" s="547"/>
    </row>
    <row r="518">
      <c r="A518" s="548"/>
      <c r="B518" s="548"/>
      <c r="C518" s="548"/>
      <c r="D518" s="548"/>
      <c r="E518" s="548"/>
      <c r="F518" s="548"/>
      <c r="G518" s="548"/>
      <c r="H518" s="548"/>
      <c r="I518" s="548"/>
      <c r="J518" s="548"/>
      <c r="K518" s="548"/>
      <c r="L518" s="548"/>
      <c r="M518" s="549"/>
      <c r="N518" s="546"/>
      <c r="O518" s="546"/>
      <c r="P518" s="546"/>
      <c r="Q518" s="546"/>
      <c r="R518" s="546"/>
      <c r="S518" s="547"/>
      <c r="T518" s="547"/>
    </row>
    <row r="519">
      <c r="A519" s="548"/>
      <c r="B519" s="548"/>
      <c r="C519" s="548"/>
      <c r="D519" s="548"/>
      <c r="E519" s="548"/>
      <c r="F519" s="548"/>
      <c r="G519" s="548"/>
      <c r="H519" s="548"/>
      <c r="I519" s="548"/>
      <c r="J519" s="548"/>
      <c r="K519" s="548"/>
      <c r="L519" s="548"/>
      <c r="M519" s="549"/>
      <c r="N519" s="546"/>
      <c r="O519" s="546"/>
      <c r="P519" s="546"/>
      <c r="Q519" s="546"/>
      <c r="R519" s="546"/>
      <c r="S519" s="547"/>
      <c r="T519" s="547"/>
    </row>
    <row r="520">
      <c r="A520" s="548"/>
      <c r="B520" s="548"/>
      <c r="C520" s="548"/>
      <c r="D520" s="548"/>
      <c r="E520" s="548"/>
      <c r="F520" s="548"/>
      <c r="G520" s="548"/>
      <c r="H520" s="548"/>
      <c r="I520" s="548"/>
      <c r="J520" s="548"/>
      <c r="K520" s="548"/>
      <c r="L520" s="548"/>
      <c r="M520" s="549"/>
      <c r="N520" s="546"/>
      <c r="O520" s="546"/>
      <c r="P520" s="546"/>
      <c r="Q520" s="546"/>
      <c r="R520" s="546"/>
      <c r="S520" s="547"/>
      <c r="T520" s="547"/>
    </row>
    <row r="521">
      <c r="A521" s="548"/>
      <c r="B521" s="548"/>
      <c r="C521" s="548"/>
      <c r="D521" s="548"/>
      <c r="E521" s="548"/>
      <c r="F521" s="548"/>
      <c r="G521" s="548"/>
      <c r="H521" s="548"/>
      <c r="I521" s="548"/>
      <c r="J521" s="548"/>
      <c r="K521" s="548"/>
      <c r="L521" s="548"/>
      <c r="M521" s="549"/>
      <c r="N521" s="546"/>
      <c r="O521" s="546"/>
      <c r="P521" s="546"/>
      <c r="Q521" s="546"/>
      <c r="R521" s="546"/>
      <c r="S521" s="547"/>
      <c r="T521" s="547"/>
    </row>
    <row r="522">
      <c r="A522" s="548"/>
      <c r="B522" s="548"/>
      <c r="C522" s="548"/>
      <c r="D522" s="548"/>
      <c r="E522" s="548"/>
      <c r="F522" s="548"/>
      <c r="G522" s="548"/>
      <c r="H522" s="548"/>
      <c r="I522" s="548"/>
      <c r="J522" s="548"/>
      <c r="K522" s="548"/>
      <c r="L522" s="548"/>
      <c r="M522" s="549"/>
      <c r="N522" s="546"/>
      <c r="O522" s="546"/>
      <c r="P522" s="546"/>
      <c r="Q522" s="546"/>
      <c r="R522" s="546"/>
      <c r="S522" s="547"/>
      <c r="T522" s="547"/>
    </row>
    <row r="523">
      <c r="A523" s="548"/>
      <c r="B523" s="548"/>
      <c r="C523" s="548"/>
      <c r="D523" s="548"/>
      <c r="E523" s="548"/>
      <c r="F523" s="548"/>
      <c r="G523" s="548"/>
      <c r="H523" s="548"/>
      <c r="I523" s="548"/>
      <c r="J523" s="548"/>
      <c r="K523" s="548"/>
      <c r="L523" s="548"/>
      <c r="M523" s="549"/>
      <c r="N523" s="546"/>
      <c r="O523" s="546"/>
      <c r="P523" s="546"/>
      <c r="Q523" s="546"/>
      <c r="R523" s="546"/>
      <c r="S523" s="547"/>
      <c r="T523" s="547"/>
    </row>
    <row r="524">
      <c r="A524" s="548"/>
      <c r="B524" s="548"/>
      <c r="C524" s="548"/>
      <c r="D524" s="548"/>
      <c r="E524" s="548"/>
      <c r="F524" s="548"/>
      <c r="G524" s="548"/>
      <c r="H524" s="548"/>
      <c r="I524" s="548"/>
      <c r="J524" s="548"/>
      <c r="K524" s="548"/>
      <c r="L524" s="548"/>
      <c r="M524" s="549"/>
      <c r="N524" s="546"/>
      <c r="O524" s="546"/>
      <c r="P524" s="546"/>
      <c r="Q524" s="546"/>
      <c r="R524" s="546"/>
      <c r="S524" s="547"/>
      <c r="T524" s="547"/>
    </row>
    <row r="525">
      <c r="A525" s="548"/>
      <c r="B525" s="548"/>
      <c r="C525" s="548"/>
      <c r="D525" s="548"/>
      <c r="E525" s="548"/>
      <c r="F525" s="548"/>
      <c r="G525" s="548"/>
      <c r="H525" s="548"/>
      <c r="I525" s="548"/>
      <c r="J525" s="548"/>
      <c r="K525" s="548"/>
      <c r="L525" s="548"/>
      <c r="M525" s="549"/>
      <c r="N525" s="546"/>
      <c r="O525" s="546"/>
      <c r="P525" s="546"/>
      <c r="Q525" s="546"/>
      <c r="R525" s="546"/>
      <c r="S525" s="547"/>
      <c r="T525" s="547"/>
    </row>
    <row r="526">
      <c r="A526" s="548"/>
      <c r="B526" s="548"/>
      <c r="C526" s="548"/>
      <c r="D526" s="548"/>
      <c r="E526" s="548"/>
      <c r="F526" s="548"/>
      <c r="G526" s="548"/>
      <c r="H526" s="548"/>
      <c r="I526" s="548"/>
      <c r="J526" s="548"/>
      <c r="K526" s="548"/>
      <c r="L526" s="548"/>
      <c r="M526" s="549"/>
      <c r="N526" s="546"/>
      <c r="O526" s="546"/>
      <c r="P526" s="546"/>
      <c r="Q526" s="546"/>
      <c r="R526" s="546"/>
      <c r="S526" s="547"/>
      <c r="T526" s="547"/>
    </row>
    <row r="527">
      <c r="A527" s="548"/>
      <c r="B527" s="548"/>
      <c r="C527" s="548"/>
      <c r="D527" s="548"/>
      <c r="E527" s="548"/>
      <c r="F527" s="548"/>
      <c r="G527" s="548"/>
      <c r="H527" s="548"/>
      <c r="I527" s="548"/>
      <c r="J527" s="548"/>
      <c r="K527" s="548"/>
      <c r="L527" s="548"/>
      <c r="M527" s="549"/>
      <c r="N527" s="546"/>
      <c r="O527" s="546"/>
      <c r="P527" s="546"/>
      <c r="Q527" s="546"/>
      <c r="R527" s="546"/>
      <c r="S527" s="547"/>
      <c r="T527" s="547"/>
    </row>
    <row r="528">
      <c r="A528" s="548"/>
      <c r="B528" s="548"/>
      <c r="C528" s="548"/>
      <c r="D528" s="548"/>
      <c r="E528" s="548"/>
      <c r="F528" s="548"/>
      <c r="G528" s="548"/>
      <c r="H528" s="548"/>
      <c r="I528" s="548"/>
      <c r="J528" s="548"/>
      <c r="K528" s="548"/>
      <c r="L528" s="548"/>
      <c r="M528" s="549"/>
      <c r="N528" s="546"/>
      <c r="O528" s="546"/>
      <c r="P528" s="546"/>
      <c r="Q528" s="546"/>
      <c r="R528" s="546"/>
      <c r="S528" s="547"/>
      <c r="T528" s="547"/>
    </row>
    <row r="529">
      <c r="A529" s="548"/>
      <c r="B529" s="548"/>
      <c r="C529" s="548"/>
      <c r="D529" s="548"/>
      <c r="E529" s="548"/>
      <c r="F529" s="548"/>
      <c r="G529" s="548"/>
      <c r="H529" s="548"/>
      <c r="I529" s="548"/>
      <c r="J529" s="548"/>
      <c r="K529" s="548"/>
      <c r="L529" s="548"/>
      <c r="M529" s="549"/>
      <c r="N529" s="546"/>
      <c r="O529" s="546"/>
      <c r="P529" s="546"/>
      <c r="Q529" s="546"/>
      <c r="R529" s="546"/>
      <c r="S529" s="547"/>
      <c r="T529" s="547"/>
    </row>
    <row r="530">
      <c r="A530" s="548"/>
      <c r="B530" s="548"/>
      <c r="C530" s="548"/>
      <c r="D530" s="548"/>
      <c r="E530" s="548"/>
      <c r="F530" s="548"/>
      <c r="G530" s="548"/>
      <c r="H530" s="548"/>
      <c r="I530" s="548"/>
      <c r="J530" s="548"/>
      <c r="K530" s="548"/>
      <c r="L530" s="548"/>
      <c r="M530" s="549"/>
      <c r="N530" s="546"/>
      <c r="O530" s="546"/>
      <c r="P530" s="546"/>
      <c r="Q530" s="546"/>
      <c r="R530" s="546"/>
      <c r="S530" s="547"/>
      <c r="T530" s="547"/>
    </row>
    <row r="531">
      <c r="A531" s="548"/>
      <c r="B531" s="548"/>
      <c r="C531" s="548"/>
      <c r="D531" s="548"/>
      <c r="E531" s="548"/>
      <c r="F531" s="548"/>
      <c r="G531" s="548"/>
      <c r="H531" s="548"/>
      <c r="I531" s="548"/>
      <c r="J531" s="548"/>
      <c r="K531" s="548"/>
      <c r="L531" s="548"/>
      <c r="M531" s="549"/>
      <c r="N531" s="546"/>
      <c r="O531" s="546"/>
      <c r="P531" s="546"/>
      <c r="Q531" s="546"/>
      <c r="R531" s="546"/>
      <c r="S531" s="547"/>
      <c r="T531" s="547"/>
    </row>
    <row r="532">
      <c r="A532" s="548"/>
      <c r="B532" s="548"/>
      <c r="C532" s="548"/>
      <c r="D532" s="548"/>
      <c r="E532" s="548"/>
      <c r="F532" s="548"/>
      <c r="G532" s="548"/>
      <c r="H532" s="548"/>
      <c r="I532" s="548"/>
      <c r="J532" s="548"/>
      <c r="K532" s="548"/>
      <c r="L532" s="548"/>
      <c r="M532" s="549"/>
      <c r="N532" s="546"/>
      <c r="O532" s="546"/>
      <c r="P532" s="546"/>
      <c r="Q532" s="546"/>
      <c r="R532" s="546"/>
      <c r="S532" s="547"/>
      <c r="T532" s="547"/>
    </row>
    <row r="533">
      <c r="A533" s="548"/>
      <c r="B533" s="548"/>
      <c r="C533" s="548"/>
      <c r="D533" s="548"/>
      <c r="E533" s="548"/>
      <c r="F533" s="548"/>
      <c r="G533" s="548"/>
      <c r="H533" s="548"/>
      <c r="I533" s="548"/>
      <c r="J533" s="548"/>
      <c r="K533" s="548"/>
      <c r="L533" s="548"/>
      <c r="M533" s="549"/>
      <c r="N533" s="546"/>
      <c r="O533" s="546"/>
      <c r="P533" s="546"/>
      <c r="Q533" s="546"/>
      <c r="R533" s="546"/>
      <c r="S533" s="547"/>
      <c r="T533" s="547"/>
    </row>
    <row r="534">
      <c r="A534" s="548"/>
      <c r="B534" s="548"/>
      <c r="C534" s="548"/>
      <c r="D534" s="548"/>
      <c r="E534" s="548"/>
      <c r="F534" s="548"/>
      <c r="G534" s="548"/>
      <c r="H534" s="548"/>
      <c r="I534" s="548"/>
      <c r="J534" s="548"/>
      <c r="K534" s="548"/>
      <c r="L534" s="548"/>
      <c r="M534" s="549"/>
      <c r="N534" s="546"/>
      <c r="O534" s="546"/>
      <c r="P534" s="546"/>
      <c r="Q534" s="546"/>
      <c r="R534" s="546"/>
      <c r="S534" s="547"/>
      <c r="T534" s="547"/>
    </row>
    <row r="535">
      <c r="A535" s="548"/>
      <c r="B535" s="548"/>
      <c r="C535" s="548"/>
      <c r="D535" s="548"/>
      <c r="E535" s="548"/>
      <c r="F535" s="548"/>
      <c r="G535" s="548"/>
      <c r="H535" s="548"/>
      <c r="I535" s="548"/>
      <c r="J535" s="548"/>
      <c r="K535" s="548"/>
      <c r="L535" s="548"/>
      <c r="M535" s="549"/>
      <c r="N535" s="546"/>
      <c r="O535" s="546"/>
      <c r="P535" s="546"/>
      <c r="Q535" s="546"/>
      <c r="R535" s="546"/>
      <c r="S535" s="547"/>
      <c r="T535" s="547"/>
    </row>
    <row r="536">
      <c r="A536" s="548"/>
      <c r="B536" s="548"/>
      <c r="C536" s="548"/>
      <c r="D536" s="548"/>
      <c r="E536" s="548"/>
      <c r="F536" s="548"/>
      <c r="G536" s="548"/>
      <c r="H536" s="548"/>
      <c r="I536" s="548"/>
      <c r="J536" s="548"/>
      <c r="K536" s="548"/>
      <c r="L536" s="548"/>
      <c r="M536" s="549"/>
      <c r="N536" s="546"/>
      <c r="O536" s="546"/>
      <c r="P536" s="546"/>
      <c r="Q536" s="546"/>
      <c r="R536" s="546"/>
      <c r="S536" s="547"/>
      <c r="T536" s="547"/>
    </row>
    <row r="537">
      <c r="A537" s="548"/>
      <c r="B537" s="548"/>
      <c r="C537" s="548"/>
      <c r="D537" s="548"/>
      <c r="E537" s="548"/>
      <c r="F537" s="548"/>
      <c r="G537" s="548"/>
      <c r="H537" s="548"/>
      <c r="I537" s="548"/>
      <c r="J537" s="548"/>
      <c r="K537" s="548"/>
      <c r="L537" s="548"/>
      <c r="M537" s="549"/>
      <c r="N537" s="546"/>
      <c r="O537" s="546"/>
      <c r="P537" s="546"/>
      <c r="Q537" s="546"/>
      <c r="R537" s="546"/>
      <c r="S537" s="547"/>
      <c r="T537" s="547"/>
    </row>
    <row r="538">
      <c r="A538" s="548"/>
      <c r="B538" s="548"/>
      <c r="C538" s="548"/>
      <c r="D538" s="548"/>
      <c r="E538" s="548"/>
      <c r="F538" s="548"/>
      <c r="G538" s="548"/>
      <c r="H538" s="548"/>
      <c r="I538" s="548"/>
      <c r="J538" s="548"/>
      <c r="K538" s="548"/>
      <c r="L538" s="548"/>
      <c r="M538" s="549"/>
      <c r="N538" s="546"/>
      <c r="O538" s="546"/>
      <c r="P538" s="546"/>
      <c r="Q538" s="546"/>
      <c r="R538" s="546"/>
      <c r="S538" s="547"/>
      <c r="T538" s="547"/>
    </row>
    <row r="539">
      <c r="A539" s="548"/>
      <c r="B539" s="548"/>
      <c r="C539" s="548"/>
      <c r="D539" s="548"/>
      <c r="E539" s="548"/>
      <c r="F539" s="548"/>
      <c r="G539" s="548"/>
      <c r="H539" s="548"/>
      <c r="I539" s="548"/>
      <c r="J539" s="548"/>
      <c r="K539" s="548"/>
      <c r="L539" s="548"/>
      <c r="M539" s="549"/>
      <c r="N539" s="546"/>
      <c r="O539" s="546"/>
      <c r="P539" s="546"/>
      <c r="Q539" s="546"/>
      <c r="R539" s="546"/>
      <c r="S539" s="547"/>
      <c r="T539" s="547"/>
    </row>
    <row r="540">
      <c r="A540" s="548"/>
      <c r="B540" s="548"/>
      <c r="C540" s="548"/>
      <c r="D540" s="548"/>
      <c r="E540" s="548"/>
      <c r="F540" s="548"/>
      <c r="G540" s="548"/>
      <c r="H540" s="548"/>
      <c r="I540" s="548"/>
      <c r="J540" s="548"/>
      <c r="K540" s="548"/>
      <c r="L540" s="548"/>
      <c r="M540" s="549"/>
      <c r="N540" s="546"/>
      <c r="O540" s="546"/>
      <c r="P540" s="546"/>
      <c r="Q540" s="546"/>
      <c r="R540" s="546"/>
      <c r="S540" s="547"/>
      <c r="T540" s="547"/>
    </row>
    <row r="541">
      <c r="A541" s="548"/>
      <c r="B541" s="548"/>
      <c r="C541" s="548"/>
      <c r="D541" s="548"/>
      <c r="E541" s="548"/>
      <c r="F541" s="548"/>
      <c r="G541" s="548"/>
      <c r="H541" s="548"/>
      <c r="I541" s="548"/>
      <c r="J541" s="548"/>
      <c r="K541" s="548"/>
      <c r="L541" s="548"/>
      <c r="M541" s="549"/>
      <c r="N541" s="546"/>
      <c r="O541" s="546"/>
      <c r="P541" s="546"/>
      <c r="Q541" s="546"/>
      <c r="R541" s="546"/>
      <c r="S541" s="547"/>
      <c r="T541" s="547"/>
    </row>
    <row r="542">
      <c r="A542" s="548"/>
      <c r="B542" s="548"/>
      <c r="C542" s="548"/>
      <c r="D542" s="548"/>
      <c r="E542" s="548"/>
      <c r="F542" s="548"/>
      <c r="G542" s="548"/>
      <c r="H542" s="548"/>
      <c r="I542" s="548"/>
      <c r="J542" s="548"/>
      <c r="K542" s="548"/>
      <c r="L542" s="548"/>
      <c r="M542" s="549"/>
      <c r="N542" s="546"/>
      <c r="O542" s="546"/>
      <c r="P542" s="546"/>
      <c r="Q542" s="546"/>
      <c r="R542" s="546"/>
      <c r="S542" s="547"/>
      <c r="T542" s="547"/>
    </row>
    <row r="543">
      <c r="A543" s="548"/>
      <c r="B543" s="548"/>
      <c r="C543" s="548"/>
      <c r="D543" s="548"/>
      <c r="E543" s="548"/>
      <c r="F543" s="548"/>
      <c r="G543" s="548"/>
      <c r="H543" s="548"/>
      <c r="I543" s="548"/>
      <c r="J543" s="548"/>
      <c r="K543" s="548"/>
      <c r="L543" s="548"/>
      <c r="M543" s="549"/>
      <c r="N543" s="546"/>
      <c r="O543" s="546"/>
      <c r="P543" s="546"/>
      <c r="Q543" s="546"/>
      <c r="R543" s="546"/>
      <c r="S543" s="547"/>
      <c r="T543" s="547"/>
    </row>
    <row r="544">
      <c r="A544" s="548"/>
      <c r="B544" s="548"/>
      <c r="C544" s="548"/>
      <c r="D544" s="548"/>
      <c r="E544" s="548"/>
      <c r="F544" s="548"/>
      <c r="G544" s="548"/>
      <c r="H544" s="548"/>
      <c r="I544" s="548"/>
      <c r="J544" s="548"/>
      <c r="K544" s="548"/>
      <c r="L544" s="548"/>
      <c r="M544" s="549"/>
      <c r="N544" s="546"/>
      <c r="O544" s="546"/>
      <c r="P544" s="546"/>
      <c r="Q544" s="546"/>
      <c r="R544" s="546"/>
      <c r="S544" s="547"/>
      <c r="T544" s="547"/>
    </row>
    <row r="545">
      <c r="A545" s="548"/>
      <c r="B545" s="548"/>
      <c r="C545" s="548"/>
      <c r="D545" s="548"/>
      <c r="E545" s="548"/>
      <c r="F545" s="548"/>
      <c r="G545" s="548"/>
      <c r="H545" s="548"/>
      <c r="I545" s="548"/>
      <c r="J545" s="548"/>
      <c r="K545" s="548"/>
      <c r="L545" s="548"/>
      <c r="M545" s="549"/>
      <c r="N545" s="546"/>
      <c r="O545" s="546"/>
      <c r="P545" s="546"/>
      <c r="Q545" s="546"/>
      <c r="R545" s="546"/>
      <c r="S545" s="547"/>
      <c r="T545" s="547"/>
    </row>
    <row r="546">
      <c r="A546" s="548"/>
      <c r="B546" s="548"/>
      <c r="C546" s="548"/>
      <c r="D546" s="548"/>
      <c r="E546" s="548"/>
      <c r="F546" s="548"/>
      <c r="G546" s="548"/>
      <c r="H546" s="548"/>
      <c r="I546" s="548"/>
      <c r="J546" s="548"/>
      <c r="K546" s="548"/>
      <c r="L546" s="548"/>
      <c r="M546" s="549"/>
      <c r="N546" s="546"/>
      <c r="O546" s="546"/>
      <c r="P546" s="546"/>
      <c r="Q546" s="546"/>
      <c r="R546" s="546"/>
      <c r="S546" s="547"/>
      <c r="T546" s="547"/>
    </row>
    <row r="547">
      <c r="A547" s="548"/>
      <c r="B547" s="548"/>
      <c r="C547" s="548"/>
      <c r="D547" s="548"/>
      <c r="E547" s="548"/>
      <c r="F547" s="548"/>
      <c r="G547" s="548"/>
      <c r="H547" s="548"/>
      <c r="I547" s="548"/>
      <c r="J547" s="548"/>
      <c r="K547" s="548"/>
      <c r="L547" s="548"/>
      <c r="M547" s="549"/>
      <c r="N547" s="546"/>
      <c r="O547" s="546"/>
      <c r="P547" s="546"/>
      <c r="Q547" s="546"/>
      <c r="R547" s="546"/>
      <c r="S547" s="547"/>
      <c r="T547" s="547"/>
    </row>
    <row r="548">
      <c r="A548" s="548"/>
      <c r="B548" s="548"/>
      <c r="C548" s="548"/>
      <c r="D548" s="548"/>
      <c r="E548" s="548"/>
      <c r="F548" s="548"/>
      <c r="G548" s="548"/>
      <c r="H548" s="548"/>
      <c r="I548" s="548"/>
      <c r="J548" s="548"/>
      <c r="K548" s="548"/>
      <c r="L548" s="548"/>
      <c r="M548" s="549"/>
      <c r="N548" s="546"/>
      <c r="O548" s="546"/>
      <c r="P548" s="546"/>
      <c r="Q548" s="546"/>
      <c r="R548" s="546"/>
      <c r="S548" s="547"/>
      <c r="T548" s="547"/>
    </row>
    <row r="549">
      <c r="A549" s="548"/>
      <c r="B549" s="548"/>
      <c r="C549" s="548"/>
      <c r="D549" s="548"/>
      <c r="E549" s="548"/>
      <c r="F549" s="548"/>
      <c r="G549" s="548"/>
      <c r="H549" s="548"/>
      <c r="I549" s="548"/>
      <c r="J549" s="548"/>
      <c r="K549" s="548"/>
      <c r="L549" s="548"/>
      <c r="M549" s="549"/>
      <c r="N549" s="546"/>
      <c r="O549" s="546"/>
      <c r="P549" s="546"/>
      <c r="Q549" s="546"/>
      <c r="R549" s="546"/>
      <c r="S549" s="547"/>
      <c r="T549" s="547"/>
    </row>
    <row r="550">
      <c r="A550" s="548"/>
      <c r="B550" s="548"/>
      <c r="C550" s="548"/>
      <c r="D550" s="548"/>
      <c r="E550" s="548"/>
      <c r="F550" s="548"/>
      <c r="G550" s="548"/>
      <c r="H550" s="548"/>
      <c r="I550" s="548"/>
      <c r="J550" s="548"/>
      <c r="K550" s="548"/>
      <c r="L550" s="548"/>
      <c r="M550" s="549"/>
      <c r="N550" s="546"/>
      <c r="O550" s="546"/>
      <c r="P550" s="546"/>
      <c r="Q550" s="546"/>
      <c r="R550" s="546"/>
      <c r="S550" s="547"/>
      <c r="T550" s="547"/>
    </row>
    <row r="551">
      <c r="A551" s="548"/>
      <c r="B551" s="548"/>
      <c r="C551" s="548"/>
      <c r="D551" s="548"/>
      <c r="E551" s="548"/>
      <c r="F551" s="548"/>
      <c r="G551" s="548"/>
      <c r="H551" s="548"/>
      <c r="I551" s="548"/>
      <c r="J551" s="548"/>
      <c r="K551" s="548"/>
      <c r="L551" s="548"/>
      <c r="M551" s="549"/>
      <c r="N551" s="546"/>
      <c r="O551" s="546"/>
      <c r="P551" s="546"/>
      <c r="Q551" s="546"/>
      <c r="R551" s="546"/>
      <c r="S551" s="547"/>
      <c r="T551" s="547"/>
    </row>
    <row r="552">
      <c r="A552" s="548"/>
      <c r="B552" s="548"/>
      <c r="C552" s="548"/>
      <c r="D552" s="548"/>
      <c r="E552" s="548"/>
      <c r="F552" s="548"/>
      <c r="G552" s="548"/>
      <c r="H552" s="548"/>
      <c r="I552" s="548"/>
      <c r="J552" s="548"/>
      <c r="K552" s="548"/>
      <c r="L552" s="548"/>
      <c r="M552" s="549"/>
      <c r="N552" s="546"/>
      <c r="O552" s="546"/>
      <c r="P552" s="546"/>
      <c r="Q552" s="546"/>
      <c r="R552" s="546"/>
      <c r="S552" s="547"/>
      <c r="T552" s="547"/>
    </row>
    <row r="553">
      <c r="A553" s="548"/>
      <c r="B553" s="548"/>
      <c r="C553" s="548"/>
      <c r="D553" s="548"/>
      <c r="E553" s="548"/>
      <c r="F553" s="548"/>
      <c r="G553" s="548"/>
      <c r="H553" s="548"/>
      <c r="I553" s="548"/>
      <c r="J553" s="548"/>
      <c r="K553" s="548"/>
      <c r="L553" s="548"/>
      <c r="M553" s="549"/>
      <c r="N553" s="546"/>
      <c r="O553" s="546"/>
      <c r="P553" s="546"/>
      <c r="Q553" s="546"/>
      <c r="R553" s="546"/>
      <c r="S553" s="547"/>
      <c r="T553" s="547"/>
    </row>
    <row r="554">
      <c r="A554" s="548"/>
      <c r="B554" s="548"/>
      <c r="C554" s="548"/>
      <c r="D554" s="548"/>
      <c r="E554" s="548"/>
      <c r="F554" s="548"/>
      <c r="G554" s="548"/>
      <c r="H554" s="548"/>
      <c r="I554" s="548"/>
      <c r="J554" s="548"/>
      <c r="K554" s="548"/>
      <c r="L554" s="548"/>
      <c r="M554" s="549"/>
      <c r="N554" s="546"/>
      <c r="O554" s="546"/>
      <c r="P554" s="546"/>
      <c r="Q554" s="546"/>
      <c r="R554" s="546"/>
      <c r="S554" s="547"/>
      <c r="T554" s="547"/>
    </row>
    <row r="555">
      <c r="A555" s="548"/>
      <c r="B555" s="548"/>
      <c r="C555" s="548"/>
      <c r="D555" s="548"/>
      <c r="E555" s="548"/>
      <c r="F555" s="548"/>
      <c r="G555" s="548"/>
      <c r="H555" s="548"/>
      <c r="I555" s="548"/>
      <c r="J555" s="548"/>
      <c r="K555" s="548"/>
      <c r="L555" s="548"/>
      <c r="M555" s="549"/>
      <c r="N555" s="546"/>
      <c r="O555" s="546"/>
      <c r="P555" s="546"/>
      <c r="Q555" s="546"/>
      <c r="R555" s="546"/>
      <c r="S555" s="547"/>
      <c r="T555" s="547"/>
    </row>
    <row r="556">
      <c r="A556" s="548"/>
      <c r="B556" s="548"/>
      <c r="C556" s="548"/>
      <c r="D556" s="548"/>
      <c r="E556" s="548"/>
      <c r="F556" s="548"/>
      <c r="G556" s="548"/>
      <c r="H556" s="548"/>
      <c r="I556" s="548"/>
      <c r="J556" s="548"/>
      <c r="K556" s="548"/>
      <c r="L556" s="548"/>
      <c r="M556" s="549"/>
      <c r="N556" s="546"/>
      <c r="O556" s="546"/>
      <c r="P556" s="546"/>
      <c r="Q556" s="546"/>
      <c r="R556" s="546"/>
      <c r="S556" s="547"/>
      <c r="T556" s="547"/>
    </row>
    <row r="557">
      <c r="A557" s="548"/>
      <c r="B557" s="548"/>
      <c r="C557" s="548"/>
      <c r="D557" s="548"/>
      <c r="E557" s="548"/>
      <c r="F557" s="548"/>
      <c r="G557" s="548"/>
      <c r="H557" s="548"/>
      <c r="I557" s="548"/>
      <c r="J557" s="548"/>
      <c r="K557" s="548"/>
      <c r="L557" s="548"/>
      <c r="M557" s="549"/>
      <c r="N557" s="546"/>
      <c r="O557" s="546"/>
      <c r="P557" s="546"/>
      <c r="Q557" s="546"/>
      <c r="R557" s="546"/>
      <c r="S557" s="547"/>
      <c r="T557" s="547"/>
    </row>
    <row r="558">
      <c r="A558" s="548"/>
      <c r="B558" s="548"/>
      <c r="C558" s="548"/>
      <c r="D558" s="548"/>
      <c r="E558" s="548"/>
      <c r="F558" s="548"/>
      <c r="G558" s="548"/>
      <c r="H558" s="548"/>
      <c r="I558" s="548"/>
      <c r="J558" s="548"/>
      <c r="K558" s="548"/>
      <c r="L558" s="548"/>
      <c r="M558" s="549"/>
      <c r="N558" s="546"/>
      <c r="O558" s="546"/>
      <c r="P558" s="546"/>
      <c r="Q558" s="546"/>
      <c r="R558" s="546"/>
      <c r="S558" s="547"/>
      <c r="T558" s="547"/>
    </row>
    <row r="559">
      <c r="A559" s="548"/>
      <c r="B559" s="548"/>
      <c r="C559" s="548"/>
      <c r="D559" s="548"/>
      <c r="E559" s="548"/>
      <c r="F559" s="548"/>
      <c r="G559" s="548"/>
      <c r="H559" s="548"/>
      <c r="I559" s="548"/>
      <c r="J559" s="548"/>
      <c r="K559" s="548"/>
      <c r="L559" s="548"/>
      <c r="M559" s="549"/>
      <c r="N559" s="546"/>
      <c r="O559" s="546"/>
      <c r="P559" s="546"/>
      <c r="Q559" s="546"/>
      <c r="R559" s="546"/>
      <c r="S559" s="547"/>
      <c r="T559" s="547"/>
    </row>
    <row r="560">
      <c r="A560" s="548"/>
      <c r="B560" s="548"/>
      <c r="C560" s="548"/>
      <c r="D560" s="548"/>
      <c r="E560" s="548"/>
      <c r="F560" s="548"/>
      <c r="G560" s="548"/>
      <c r="H560" s="548"/>
      <c r="I560" s="548"/>
      <c r="J560" s="548"/>
      <c r="K560" s="548"/>
      <c r="L560" s="548"/>
      <c r="M560" s="549"/>
      <c r="N560" s="546"/>
      <c r="O560" s="546"/>
      <c r="P560" s="546"/>
      <c r="Q560" s="546"/>
      <c r="R560" s="546"/>
      <c r="S560" s="547"/>
      <c r="T560" s="547"/>
    </row>
    <row r="561">
      <c r="A561" s="548"/>
      <c r="B561" s="548"/>
      <c r="C561" s="548"/>
      <c r="D561" s="548"/>
      <c r="E561" s="548"/>
      <c r="F561" s="548"/>
      <c r="G561" s="548"/>
      <c r="H561" s="548"/>
      <c r="I561" s="548"/>
      <c r="J561" s="548"/>
      <c r="K561" s="548"/>
      <c r="L561" s="548"/>
      <c r="M561" s="549"/>
      <c r="N561" s="546"/>
      <c r="O561" s="546"/>
      <c r="P561" s="546"/>
      <c r="Q561" s="546"/>
      <c r="R561" s="546"/>
      <c r="S561" s="547"/>
      <c r="T561" s="547"/>
    </row>
    <row r="562">
      <c r="A562" s="548"/>
      <c r="B562" s="548"/>
      <c r="C562" s="548"/>
      <c r="D562" s="548"/>
      <c r="E562" s="548"/>
      <c r="F562" s="548"/>
      <c r="G562" s="548"/>
      <c r="H562" s="548"/>
      <c r="I562" s="548"/>
      <c r="J562" s="548"/>
      <c r="K562" s="548"/>
      <c r="L562" s="548"/>
      <c r="M562" s="549"/>
      <c r="N562" s="546"/>
      <c r="O562" s="546"/>
      <c r="P562" s="546"/>
      <c r="Q562" s="546"/>
      <c r="R562" s="546"/>
      <c r="S562" s="547"/>
      <c r="T562" s="547"/>
    </row>
    <row r="563">
      <c r="A563" s="548"/>
      <c r="B563" s="548"/>
      <c r="C563" s="548"/>
      <c r="D563" s="548"/>
      <c r="E563" s="548"/>
      <c r="F563" s="548"/>
      <c r="G563" s="548"/>
      <c r="H563" s="548"/>
      <c r="I563" s="548"/>
      <c r="J563" s="548"/>
      <c r="K563" s="548"/>
      <c r="L563" s="548"/>
      <c r="M563" s="549"/>
      <c r="N563" s="546"/>
      <c r="O563" s="546"/>
      <c r="P563" s="546"/>
      <c r="Q563" s="546"/>
      <c r="R563" s="546"/>
      <c r="S563" s="547"/>
      <c r="T563" s="547"/>
    </row>
    <row r="564">
      <c r="A564" s="548"/>
      <c r="B564" s="548"/>
      <c r="C564" s="548"/>
      <c r="D564" s="548"/>
      <c r="E564" s="548"/>
      <c r="F564" s="548"/>
      <c r="G564" s="548"/>
      <c r="H564" s="548"/>
      <c r="I564" s="548"/>
      <c r="J564" s="548"/>
      <c r="K564" s="548"/>
      <c r="L564" s="548"/>
      <c r="M564" s="549"/>
      <c r="N564" s="546"/>
      <c r="O564" s="546"/>
      <c r="P564" s="546"/>
      <c r="Q564" s="546"/>
      <c r="R564" s="546"/>
      <c r="S564" s="547"/>
      <c r="T564" s="547"/>
    </row>
    <row r="565">
      <c r="A565" s="548"/>
      <c r="B565" s="548"/>
      <c r="C565" s="548"/>
      <c r="D565" s="548"/>
      <c r="E565" s="548"/>
      <c r="F565" s="548"/>
      <c r="G565" s="548"/>
      <c r="H565" s="548"/>
      <c r="I565" s="548"/>
      <c r="J565" s="548"/>
      <c r="K565" s="548"/>
      <c r="L565" s="548"/>
      <c r="M565" s="549"/>
      <c r="N565" s="546"/>
      <c r="O565" s="546"/>
      <c r="P565" s="546"/>
      <c r="Q565" s="546"/>
      <c r="R565" s="546"/>
      <c r="S565" s="547"/>
      <c r="T565" s="547"/>
    </row>
    <row r="566">
      <c r="A566" s="548"/>
      <c r="B566" s="548"/>
      <c r="C566" s="548"/>
      <c r="D566" s="548"/>
      <c r="E566" s="548"/>
      <c r="F566" s="548"/>
      <c r="G566" s="548"/>
      <c r="H566" s="548"/>
      <c r="I566" s="548"/>
      <c r="J566" s="548"/>
      <c r="K566" s="548"/>
      <c r="L566" s="548"/>
      <c r="M566" s="549"/>
      <c r="N566" s="546"/>
      <c r="O566" s="546"/>
      <c r="P566" s="546"/>
      <c r="Q566" s="546"/>
      <c r="R566" s="546"/>
      <c r="S566" s="547"/>
      <c r="T566" s="547"/>
    </row>
    <row r="567">
      <c r="A567" s="548"/>
      <c r="B567" s="548"/>
      <c r="C567" s="548"/>
      <c r="D567" s="548"/>
      <c r="E567" s="548"/>
      <c r="F567" s="548"/>
      <c r="G567" s="548"/>
      <c r="H567" s="548"/>
      <c r="I567" s="548"/>
      <c r="J567" s="548"/>
      <c r="K567" s="548"/>
      <c r="L567" s="548"/>
      <c r="M567" s="549"/>
      <c r="N567" s="546"/>
      <c r="O567" s="546"/>
      <c r="P567" s="546"/>
      <c r="Q567" s="546"/>
      <c r="R567" s="546"/>
      <c r="S567" s="547"/>
      <c r="T567" s="547"/>
    </row>
    <row r="568">
      <c r="A568" s="548"/>
      <c r="B568" s="548"/>
      <c r="C568" s="548"/>
      <c r="D568" s="548"/>
      <c r="E568" s="548"/>
      <c r="F568" s="548"/>
      <c r="G568" s="548"/>
      <c r="H568" s="548"/>
      <c r="I568" s="548"/>
      <c r="J568" s="548"/>
      <c r="K568" s="548"/>
      <c r="L568" s="548"/>
      <c r="M568" s="549"/>
      <c r="N568" s="546"/>
      <c r="O568" s="546"/>
      <c r="P568" s="546"/>
      <c r="Q568" s="546"/>
      <c r="R568" s="546"/>
      <c r="S568" s="547"/>
      <c r="T568" s="547"/>
    </row>
    <row r="569">
      <c r="A569" s="548"/>
      <c r="B569" s="548"/>
      <c r="C569" s="548"/>
      <c r="D569" s="548"/>
      <c r="E569" s="548"/>
      <c r="F569" s="548"/>
      <c r="G569" s="548"/>
      <c r="H569" s="548"/>
      <c r="I569" s="548"/>
      <c r="J569" s="548"/>
      <c r="K569" s="548"/>
      <c r="L569" s="548"/>
      <c r="M569" s="549"/>
      <c r="N569" s="546"/>
      <c r="O569" s="546"/>
      <c r="P569" s="546"/>
      <c r="Q569" s="546"/>
      <c r="R569" s="546"/>
      <c r="S569" s="547"/>
      <c r="T569" s="547"/>
    </row>
    <row r="570">
      <c r="A570" s="548"/>
      <c r="B570" s="548"/>
      <c r="C570" s="548"/>
      <c r="D570" s="548"/>
      <c r="E570" s="548"/>
      <c r="F570" s="548"/>
      <c r="G570" s="548"/>
      <c r="H570" s="548"/>
      <c r="I570" s="548"/>
      <c r="J570" s="548"/>
      <c r="K570" s="548"/>
      <c r="L570" s="548"/>
      <c r="M570" s="549"/>
      <c r="N570" s="546"/>
      <c r="O570" s="546"/>
      <c r="P570" s="546"/>
      <c r="Q570" s="546"/>
      <c r="R570" s="546"/>
      <c r="S570" s="547"/>
      <c r="T570" s="547"/>
    </row>
    <row r="571">
      <c r="A571" s="548"/>
      <c r="B571" s="548"/>
      <c r="C571" s="548"/>
      <c r="D571" s="548"/>
      <c r="E571" s="548"/>
      <c r="F571" s="548"/>
      <c r="G571" s="548"/>
      <c r="H571" s="548"/>
      <c r="I571" s="548"/>
      <c r="J571" s="548"/>
      <c r="K571" s="548"/>
      <c r="L571" s="548"/>
      <c r="M571" s="549"/>
      <c r="N571" s="546"/>
      <c r="O571" s="546"/>
      <c r="P571" s="546"/>
      <c r="Q571" s="546"/>
      <c r="R571" s="546"/>
      <c r="S571" s="547"/>
      <c r="T571" s="547"/>
    </row>
    <row r="572">
      <c r="A572" s="548"/>
      <c r="B572" s="548"/>
      <c r="C572" s="548"/>
      <c r="D572" s="548"/>
      <c r="E572" s="548"/>
      <c r="F572" s="548"/>
      <c r="G572" s="548"/>
      <c r="H572" s="548"/>
      <c r="I572" s="548"/>
      <c r="J572" s="548"/>
      <c r="K572" s="548"/>
      <c r="L572" s="548"/>
      <c r="M572" s="549"/>
      <c r="N572" s="546"/>
      <c r="O572" s="546"/>
      <c r="P572" s="546"/>
      <c r="Q572" s="546"/>
      <c r="R572" s="546"/>
      <c r="S572" s="547"/>
      <c r="T572" s="547"/>
    </row>
    <row r="573">
      <c r="A573" s="548"/>
      <c r="B573" s="548"/>
      <c r="C573" s="548"/>
      <c r="D573" s="548"/>
      <c r="E573" s="548"/>
      <c r="F573" s="548"/>
      <c r="G573" s="548"/>
      <c r="H573" s="548"/>
      <c r="I573" s="548"/>
      <c r="J573" s="548"/>
      <c r="K573" s="548"/>
      <c r="L573" s="548"/>
      <c r="M573" s="549"/>
      <c r="N573" s="546"/>
      <c r="O573" s="546"/>
      <c r="P573" s="546"/>
      <c r="Q573" s="546"/>
      <c r="R573" s="546"/>
      <c r="S573" s="547"/>
      <c r="T573" s="547"/>
    </row>
    <row r="574">
      <c r="A574" s="548"/>
      <c r="B574" s="548"/>
      <c r="C574" s="548"/>
      <c r="D574" s="548"/>
      <c r="E574" s="548"/>
      <c r="F574" s="548"/>
      <c r="G574" s="548"/>
      <c r="H574" s="548"/>
      <c r="I574" s="548"/>
      <c r="J574" s="548"/>
      <c r="K574" s="548"/>
      <c r="L574" s="548"/>
      <c r="M574" s="549"/>
      <c r="N574" s="546"/>
      <c r="O574" s="546"/>
      <c r="P574" s="546"/>
      <c r="Q574" s="546"/>
      <c r="R574" s="546"/>
      <c r="S574" s="547"/>
      <c r="T574" s="547"/>
    </row>
    <row r="575">
      <c r="A575" s="548"/>
      <c r="B575" s="548"/>
      <c r="C575" s="548"/>
      <c r="D575" s="548"/>
      <c r="E575" s="548"/>
      <c r="F575" s="548"/>
      <c r="G575" s="548"/>
      <c r="H575" s="548"/>
      <c r="I575" s="548"/>
      <c r="J575" s="548"/>
      <c r="K575" s="548"/>
      <c r="L575" s="548"/>
      <c r="M575" s="549"/>
      <c r="N575" s="546"/>
      <c r="O575" s="546"/>
      <c r="P575" s="546"/>
      <c r="Q575" s="546"/>
      <c r="R575" s="546"/>
      <c r="S575" s="547"/>
      <c r="T575" s="547"/>
    </row>
    <row r="576">
      <c r="A576" s="548"/>
      <c r="B576" s="548"/>
      <c r="C576" s="548"/>
      <c r="D576" s="548"/>
      <c r="E576" s="548"/>
      <c r="F576" s="548"/>
      <c r="G576" s="548"/>
      <c r="H576" s="548"/>
      <c r="I576" s="548"/>
      <c r="J576" s="548"/>
      <c r="K576" s="548"/>
      <c r="L576" s="548"/>
      <c r="M576" s="549"/>
      <c r="N576" s="546"/>
      <c r="O576" s="546"/>
      <c r="P576" s="546"/>
      <c r="Q576" s="546"/>
      <c r="R576" s="546"/>
      <c r="S576" s="547"/>
      <c r="T576" s="547"/>
    </row>
    <row r="577">
      <c r="A577" s="548"/>
      <c r="B577" s="548"/>
      <c r="C577" s="548"/>
      <c r="D577" s="548"/>
      <c r="E577" s="548"/>
      <c r="F577" s="548"/>
      <c r="G577" s="548"/>
      <c r="H577" s="548"/>
      <c r="I577" s="548"/>
      <c r="J577" s="548"/>
      <c r="K577" s="548"/>
      <c r="L577" s="548"/>
      <c r="M577" s="549"/>
      <c r="N577" s="546"/>
      <c r="O577" s="546"/>
      <c r="P577" s="546"/>
      <c r="Q577" s="546"/>
      <c r="R577" s="546"/>
      <c r="S577" s="547"/>
      <c r="T577" s="547"/>
    </row>
    <row r="578">
      <c r="A578" s="548"/>
      <c r="B578" s="548"/>
      <c r="C578" s="548"/>
      <c r="D578" s="548"/>
      <c r="E578" s="548"/>
      <c r="F578" s="548"/>
      <c r="G578" s="548"/>
      <c r="H578" s="548"/>
      <c r="I578" s="548"/>
      <c r="J578" s="548"/>
      <c r="K578" s="548"/>
      <c r="L578" s="548"/>
      <c r="M578" s="549"/>
      <c r="N578" s="546"/>
      <c r="O578" s="546"/>
      <c r="P578" s="546"/>
      <c r="Q578" s="546"/>
      <c r="R578" s="546"/>
      <c r="S578" s="547"/>
      <c r="T578" s="547"/>
    </row>
    <row r="579">
      <c r="A579" s="548"/>
      <c r="B579" s="548"/>
      <c r="C579" s="548"/>
      <c r="D579" s="548"/>
      <c r="E579" s="548"/>
      <c r="F579" s="548"/>
      <c r="G579" s="548"/>
      <c r="H579" s="548"/>
      <c r="I579" s="548"/>
      <c r="J579" s="548"/>
      <c r="K579" s="548"/>
      <c r="L579" s="548"/>
      <c r="M579" s="549"/>
      <c r="N579" s="546"/>
      <c r="O579" s="546"/>
      <c r="P579" s="546"/>
      <c r="Q579" s="546"/>
      <c r="R579" s="546"/>
      <c r="S579" s="547"/>
      <c r="T579" s="547"/>
    </row>
    <row r="580">
      <c r="A580" s="548"/>
      <c r="B580" s="548"/>
      <c r="C580" s="548"/>
      <c r="D580" s="548"/>
      <c r="E580" s="548"/>
      <c r="F580" s="548"/>
      <c r="G580" s="548"/>
      <c r="H580" s="548"/>
      <c r="I580" s="548"/>
      <c r="J580" s="548"/>
      <c r="K580" s="548"/>
      <c r="L580" s="548"/>
      <c r="M580" s="549"/>
      <c r="N580" s="546"/>
      <c r="O580" s="546"/>
      <c r="P580" s="546"/>
      <c r="Q580" s="546"/>
      <c r="R580" s="546"/>
      <c r="S580" s="547"/>
      <c r="T580" s="547"/>
    </row>
    <row r="581">
      <c r="A581" s="548"/>
      <c r="B581" s="548"/>
      <c r="C581" s="548"/>
      <c r="D581" s="548"/>
      <c r="E581" s="548"/>
      <c r="F581" s="548"/>
      <c r="G581" s="548"/>
      <c r="H581" s="548"/>
      <c r="I581" s="548"/>
      <c r="J581" s="548"/>
      <c r="K581" s="548"/>
      <c r="L581" s="548"/>
      <c r="M581" s="549"/>
      <c r="N581" s="546"/>
      <c r="O581" s="546"/>
      <c r="P581" s="546"/>
      <c r="Q581" s="546"/>
      <c r="R581" s="546"/>
      <c r="S581" s="547"/>
      <c r="T581" s="547"/>
    </row>
    <row r="582">
      <c r="A582" s="548"/>
      <c r="B582" s="548"/>
      <c r="C582" s="548"/>
      <c r="D582" s="548"/>
      <c r="E582" s="548"/>
      <c r="F582" s="548"/>
      <c r="G582" s="548"/>
      <c r="H582" s="548"/>
      <c r="I582" s="548"/>
      <c r="J582" s="548"/>
      <c r="K582" s="548"/>
      <c r="L582" s="548"/>
      <c r="M582" s="549"/>
      <c r="N582" s="546"/>
      <c r="O582" s="546"/>
      <c r="P582" s="546"/>
      <c r="Q582" s="546"/>
      <c r="R582" s="546"/>
      <c r="S582" s="547"/>
      <c r="T582" s="547"/>
    </row>
    <row r="583">
      <c r="A583" s="548"/>
      <c r="B583" s="548"/>
      <c r="C583" s="548"/>
      <c r="D583" s="548"/>
      <c r="E583" s="548"/>
      <c r="F583" s="548"/>
      <c r="G583" s="548"/>
      <c r="H583" s="548"/>
      <c r="I583" s="548"/>
      <c r="J583" s="548"/>
      <c r="K583" s="548"/>
      <c r="L583" s="548"/>
      <c r="M583" s="549"/>
      <c r="N583" s="546"/>
      <c r="O583" s="546"/>
      <c r="P583" s="546"/>
      <c r="Q583" s="546"/>
      <c r="R583" s="546"/>
      <c r="S583" s="547"/>
      <c r="T583" s="547"/>
    </row>
    <row r="584">
      <c r="A584" s="548"/>
      <c r="B584" s="548"/>
      <c r="C584" s="548"/>
      <c r="D584" s="548"/>
      <c r="E584" s="548"/>
      <c r="F584" s="548"/>
      <c r="G584" s="548"/>
      <c r="H584" s="548"/>
      <c r="I584" s="548"/>
      <c r="J584" s="548"/>
      <c r="K584" s="548"/>
      <c r="L584" s="548"/>
      <c r="M584" s="549"/>
      <c r="N584" s="546"/>
      <c r="O584" s="546"/>
      <c r="P584" s="546"/>
      <c r="Q584" s="546"/>
      <c r="R584" s="546"/>
      <c r="S584" s="547"/>
      <c r="T584" s="547"/>
    </row>
    <row r="585">
      <c r="A585" s="548"/>
      <c r="B585" s="548"/>
      <c r="C585" s="548"/>
      <c r="D585" s="548"/>
      <c r="E585" s="548"/>
      <c r="F585" s="548"/>
      <c r="G585" s="548"/>
      <c r="H585" s="548"/>
      <c r="I585" s="548"/>
      <c r="J585" s="548"/>
      <c r="K585" s="548"/>
      <c r="L585" s="548"/>
      <c r="M585" s="549"/>
      <c r="N585" s="546"/>
      <c r="O585" s="546"/>
      <c r="P585" s="546"/>
      <c r="Q585" s="546"/>
      <c r="R585" s="546"/>
      <c r="S585" s="547"/>
      <c r="T585" s="547"/>
    </row>
    <row r="586">
      <c r="A586" s="548"/>
      <c r="B586" s="548"/>
      <c r="C586" s="548"/>
      <c r="D586" s="548"/>
      <c r="E586" s="548"/>
      <c r="F586" s="548"/>
      <c r="G586" s="548"/>
      <c r="H586" s="548"/>
      <c r="I586" s="548"/>
      <c r="J586" s="548"/>
      <c r="K586" s="548"/>
      <c r="L586" s="548"/>
      <c r="M586" s="549"/>
      <c r="N586" s="546"/>
      <c r="O586" s="546"/>
      <c r="P586" s="546"/>
      <c r="Q586" s="546"/>
      <c r="R586" s="546"/>
      <c r="S586" s="547"/>
      <c r="T586" s="547"/>
    </row>
    <row r="587">
      <c r="A587" s="548"/>
      <c r="B587" s="548"/>
      <c r="C587" s="548"/>
      <c r="D587" s="548"/>
      <c r="E587" s="548"/>
      <c r="F587" s="548"/>
      <c r="G587" s="548"/>
      <c r="H587" s="548"/>
      <c r="I587" s="548"/>
      <c r="J587" s="548"/>
      <c r="K587" s="548"/>
      <c r="L587" s="548"/>
      <c r="M587" s="549"/>
      <c r="N587" s="546"/>
      <c r="O587" s="546"/>
      <c r="P587" s="546"/>
      <c r="Q587" s="546"/>
      <c r="R587" s="546"/>
      <c r="S587" s="547"/>
      <c r="T587" s="547"/>
    </row>
    <row r="588">
      <c r="A588" s="548"/>
      <c r="B588" s="548"/>
      <c r="C588" s="548"/>
      <c r="D588" s="548"/>
      <c r="E588" s="548"/>
      <c r="F588" s="548"/>
      <c r="G588" s="548"/>
      <c r="H588" s="548"/>
      <c r="I588" s="548"/>
      <c r="J588" s="548"/>
      <c r="K588" s="548"/>
      <c r="L588" s="548"/>
      <c r="M588" s="549"/>
      <c r="N588" s="546"/>
      <c r="O588" s="546"/>
      <c r="P588" s="546"/>
      <c r="Q588" s="546"/>
      <c r="R588" s="546"/>
      <c r="S588" s="547"/>
      <c r="T588" s="547"/>
    </row>
    <row r="589">
      <c r="A589" s="548"/>
      <c r="B589" s="548"/>
      <c r="C589" s="548"/>
      <c r="D589" s="548"/>
      <c r="E589" s="548"/>
      <c r="F589" s="548"/>
      <c r="G589" s="548"/>
      <c r="H589" s="548"/>
      <c r="I589" s="548"/>
      <c r="J589" s="548"/>
      <c r="K589" s="548"/>
      <c r="L589" s="548"/>
      <c r="M589" s="549"/>
      <c r="N589" s="546"/>
      <c r="O589" s="546"/>
      <c r="P589" s="546"/>
      <c r="Q589" s="546"/>
      <c r="R589" s="546"/>
      <c r="S589" s="547"/>
      <c r="T589" s="547"/>
    </row>
    <row r="590">
      <c r="A590" s="548"/>
      <c r="B590" s="548"/>
      <c r="C590" s="548"/>
      <c r="D590" s="548"/>
      <c r="E590" s="548"/>
      <c r="F590" s="548"/>
      <c r="G590" s="548"/>
      <c r="H590" s="548"/>
      <c r="I590" s="548"/>
      <c r="J590" s="548"/>
      <c r="K590" s="548"/>
      <c r="L590" s="548"/>
      <c r="M590" s="549"/>
      <c r="N590" s="546"/>
      <c r="O590" s="546"/>
      <c r="P590" s="546"/>
      <c r="Q590" s="546"/>
      <c r="R590" s="546"/>
      <c r="S590" s="547"/>
      <c r="T590" s="547"/>
    </row>
    <row r="591">
      <c r="A591" s="548"/>
      <c r="B591" s="548"/>
      <c r="C591" s="548"/>
      <c r="D591" s="548"/>
      <c r="E591" s="548"/>
      <c r="F591" s="548"/>
      <c r="G591" s="548"/>
      <c r="H591" s="548"/>
      <c r="I591" s="548"/>
      <c r="J591" s="548"/>
      <c r="K591" s="548"/>
      <c r="L591" s="548"/>
      <c r="M591" s="549"/>
      <c r="N591" s="546"/>
      <c r="O591" s="546"/>
      <c r="P591" s="546"/>
      <c r="Q591" s="546"/>
      <c r="R591" s="546"/>
      <c r="S591" s="547"/>
      <c r="T591" s="547"/>
    </row>
    <row r="592">
      <c r="A592" s="548"/>
      <c r="B592" s="548"/>
      <c r="C592" s="548"/>
      <c r="D592" s="548"/>
      <c r="E592" s="548"/>
      <c r="F592" s="548"/>
      <c r="G592" s="548"/>
      <c r="H592" s="548"/>
      <c r="I592" s="548"/>
      <c r="J592" s="548"/>
      <c r="K592" s="548"/>
      <c r="L592" s="548"/>
      <c r="M592" s="549"/>
      <c r="N592" s="546"/>
      <c r="O592" s="546"/>
      <c r="P592" s="546"/>
      <c r="Q592" s="546"/>
      <c r="R592" s="546"/>
      <c r="S592" s="547"/>
      <c r="T592" s="547"/>
    </row>
    <row r="593">
      <c r="A593" s="548"/>
      <c r="B593" s="548"/>
      <c r="C593" s="548"/>
      <c r="D593" s="548"/>
      <c r="E593" s="548"/>
      <c r="F593" s="548"/>
      <c r="G593" s="548"/>
      <c r="H593" s="548"/>
      <c r="I593" s="548"/>
      <c r="J593" s="548"/>
      <c r="K593" s="548"/>
      <c r="L593" s="548"/>
      <c r="M593" s="549"/>
      <c r="N593" s="546"/>
      <c r="O593" s="546"/>
      <c r="P593" s="546"/>
      <c r="Q593" s="546"/>
      <c r="R593" s="546"/>
      <c r="S593" s="547"/>
      <c r="T593" s="547"/>
    </row>
    <row r="594">
      <c r="A594" s="548"/>
      <c r="B594" s="548"/>
      <c r="C594" s="548"/>
      <c r="D594" s="548"/>
      <c r="E594" s="548"/>
      <c r="F594" s="548"/>
      <c r="G594" s="548"/>
      <c r="H594" s="548"/>
      <c r="I594" s="548"/>
      <c r="J594" s="548"/>
      <c r="K594" s="548"/>
      <c r="L594" s="548"/>
      <c r="M594" s="549"/>
      <c r="N594" s="546"/>
      <c r="O594" s="546"/>
      <c r="P594" s="546"/>
      <c r="Q594" s="546"/>
      <c r="R594" s="546"/>
      <c r="S594" s="547"/>
      <c r="T594" s="547"/>
    </row>
    <row r="595">
      <c r="A595" s="548"/>
      <c r="B595" s="548"/>
      <c r="C595" s="548"/>
      <c r="D595" s="548"/>
      <c r="E595" s="548"/>
      <c r="F595" s="548"/>
      <c r="G595" s="548"/>
      <c r="H595" s="548"/>
      <c r="I595" s="548"/>
      <c r="J595" s="548"/>
      <c r="K595" s="548"/>
      <c r="L595" s="548"/>
      <c r="M595" s="549"/>
      <c r="N595" s="546"/>
      <c r="O595" s="546"/>
      <c r="P595" s="546"/>
      <c r="Q595" s="546"/>
      <c r="R595" s="546"/>
      <c r="S595" s="547"/>
      <c r="T595" s="547"/>
    </row>
    <row r="596">
      <c r="A596" s="548"/>
      <c r="B596" s="548"/>
      <c r="C596" s="548"/>
      <c r="D596" s="548"/>
      <c r="E596" s="548"/>
      <c r="F596" s="548"/>
      <c r="G596" s="548"/>
      <c r="H596" s="548"/>
      <c r="I596" s="548"/>
      <c r="J596" s="548"/>
      <c r="K596" s="548"/>
      <c r="L596" s="548"/>
      <c r="M596" s="549"/>
      <c r="N596" s="546"/>
      <c r="O596" s="546"/>
      <c r="P596" s="546"/>
      <c r="Q596" s="546"/>
      <c r="R596" s="546"/>
      <c r="S596" s="547"/>
      <c r="T596" s="547"/>
    </row>
    <row r="597">
      <c r="A597" s="548"/>
      <c r="B597" s="548"/>
      <c r="C597" s="548"/>
      <c r="D597" s="548"/>
      <c r="E597" s="548"/>
      <c r="F597" s="548"/>
      <c r="G597" s="548"/>
      <c r="H597" s="548"/>
      <c r="I597" s="548"/>
      <c r="J597" s="548"/>
      <c r="K597" s="548"/>
      <c r="L597" s="548"/>
      <c r="M597" s="549"/>
      <c r="N597" s="546"/>
      <c r="O597" s="546"/>
      <c r="P597" s="546"/>
      <c r="Q597" s="546"/>
      <c r="R597" s="546"/>
      <c r="S597" s="547"/>
      <c r="T597" s="547"/>
    </row>
    <row r="598">
      <c r="A598" s="548"/>
      <c r="B598" s="548"/>
      <c r="C598" s="548"/>
      <c r="D598" s="548"/>
      <c r="E598" s="548"/>
      <c r="F598" s="548"/>
      <c r="G598" s="548"/>
      <c r="H598" s="548"/>
      <c r="I598" s="548"/>
      <c r="J598" s="548"/>
      <c r="K598" s="548"/>
      <c r="L598" s="548"/>
      <c r="M598" s="549"/>
      <c r="N598" s="546"/>
      <c r="O598" s="546"/>
      <c r="P598" s="546"/>
      <c r="Q598" s="546"/>
      <c r="R598" s="546"/>
      <c r="S598" s="547"/>
      <c r="T598" s="547"/>
    </row>
    <row r="599">
      <c r="A599" s="548"/>
      <c r="B599" s="548"/>
      <c r="C599" s="548"/>
      <c r="D599" s="548"/>
      <c r="E599" s="548"/>
      <c r="F599" s="548"/>
      <c r="G599" s="548"/>
      <c r="H599" s="548"/>
      <c r="I599" s="548"/>
      <c r="J599" s="548"/>
      <c r="K599" s="548"/>
      <c r="L599" s="548"/>
      <c r="M599" s="549"/>
      <c r="N599" s="546"/>
      <c r="O599" s="546"/>
      <c r="P599" s="546"/>
      <c r="Q599" s="546"/>
      <c r="R599" s="546"/>
      <c r="S599" s="547"/>
      <c r="T599" s="547"/>
    </row>
    <row r="600">
      <c r="A600" s="548"/>
      <c r="B600" s="548"/>
      <c r="C600" s="548"/>
      <c r="D600" s="548"/>
      <c r="E600" s="548"/>
      <c r="F600" s="548"/>
      <c r="G600" s="548"/>
      <c r="H600" s="548"/>
      <c r="I600" s="548"/>
      <c r="J600" s="548"/>
      <c r="K600" s="548"/>
      <c r="L600" s="548"/>
      <c r="M600" s="549"/>
      <c r="N600" s="546"/>
      <c r="O600" s="546"/>
      <c r="P600" s="546"/>
      <c r="Q600" s="546"/>
      <c r="R600" s="546"/>
      <c r="S600" s="547"/>
      <c r="T600" s="547"/>
    </row>
    <row r="601">
      <c r="A601" s="548"/>
      <c r="B601" s="548"/>
      <c r="C601" s="548"/>
      <c r="D601" s="548"/>
      <c r="E601" s="548"/>
      <c r="F601" s="548"/>
      <c r="G601" s="548"/>
      <c r="H601" s="548"/>
      <c r="I601" s="548"/>
      <c r="J601" s="548"/>
      <c r="K601" s="548"/>
      <c r="L601" s="548"/>
      <c r="M601" s="549"/>
      <c r="N601" s="546"/>
      <c r="O601" s="546"/>
      <c r="P601" s="546"/>
      <c r="Q601" s="546"/>
      <c r="R601" s="546"/>
      <c r="S601" s="547"/>
      <c r="T601" s="547"/>
    </row>
    <row r="602">
      <c r="A602" s="548"/>
      <c r="B602" s="548"/>
      <c r="C602" s="548"/>
      <c r="D602" s="548"/>
      <c r="E602" s="548"/>
      <c r="F602" s="548"/>
      <c r="G602" s="548"/>
      <c r="H602" s="548"/>
      <c r="I602" s="548"/>
      <c r="J602" s="548"/>
      <c r="K602" s="548"/>
      <c r="L602" s="548"/>
      <c r="M602" s="549"/>
      <c r="N602" s="546"/>
      <c r="O602" s="546"/>
      <c r="P602" s="546"/>
      <c r="Q602" s="546"/>
      <c r="R602" s="546"/>
      <c r="S602" s="547"/>
      <c r="T602" s="547"/>
    </row>
    <row r="603">
      <c r="A603" s="548"/>
      <c r="B603" s="548"/>
      <c r="C603" s="548"/>
      <c r="D603" s="548"/>
      <c r="E603" s="548"/>
      <c r="F603" s="548"/>
      <c r="G603" s="548"/>
      <c r="H603" s="548"/>
      <c r="I603" s="548"/>
      <c r="J603" s="548"/>
      <c r="K603" s="548"/>
      <c r="L603" s="548"/>
      <c r="M603" s="549"/>
      <c r="N603" s="546"/>
      <c r="O603" s="546"/>
      <c r="P603" s="546"/>
      <c r="Q603" s="546"/>
      <c r="R603" s="546"/>
      <c r="S603" s="547"/>
      <c r="T603" s="547"/>
    </row>
    <row r="604">
      <c r="A604" s="548"/>
      <c r="B604" s="548"/>
      <c r="C604" s="548"/>
      <c r="D604" s="548"/>
      <c r="E604" s="548"/>
      <c r="F604" s="548"/>
      <c r="G604" s="548"/>
      <c r="H604" s="548"/>
      <c r="I604" s="548"/>
      <c r="J604" s="548"/>
      <c r="K604" s="548"/>
      <c r="L604" s="548"/>
      <c r="M604" s="549"/>
      <c r="N604" s="546"/>
      <c r="O604" s="546"/>
      <c r="P604" s="546"/>
      <c r="Q604" s="546"/>
      <c r="R604" s="546"/>
      <c r="S604" s="547"/>
      <c r="T604" s="547"/>
    </row>
    <row r="605">
      <c r="A605" s="548"/>
      <c r="B605" s="548"/>
      <c r="C605" s="548"/>
      <c r="D605" s="548"/>
      <c r="E605" s="548"/>
      <c r="F605" s="548"/>
      <c r="G605" s="548"/>
      <c r="H605" s="548"/>
      <c r="I605" s="548"/>
      <c r="J605" s="548"/>
      <c r="K605" s="548"/>
      <c r="L605" s="548"/>
      <c r="M605" s="549"/>
      <c r="N605" s="546"/>
      <c r="O605" s="546"/>
      <c r="P605" s="546"/>
      <c r="Q605" s="546"/>
      <c r="R605" s="546"/>
      <c r="S605" s="547"/>
      <c r="T605" s="547"/>
    </row>
    <row r="606">
      <c r="A606" s="548"/>
      <c r="B606" s="548"/>
      <c r="C606" s="548"/>
      <c r="D606" s="548"/>
      <c r="E606" s="548"/>
      <c r="F606" s="548"/>
      <c r="G606" s="548"/>
      <c r="H606" s="548"/>
      <c r="I606" s="548"/>
      <c r="J606" s="548"/>
      <c r="K606" s="548"/>
      <c r="L606" s="548"/>
      <c r="M606" s="549"/>
      <c r="N606" s="546"/>
      <c r="O606" s="546"/>
      <c r="P606" s="546"/>
      <c r="Q606" s="546"/>
      <c r="R606" s="546"/>
      <c r="S606" s="547"/>
      <c r="T606" s="547"/>
    </row>
    <row r="607">
      <c r="A607" s="548"/>
      <c r="B607" s="548"/>
      <c r="C607" s="548"/>
      <c r="D607" s="548"/>
      <c r="E607" s="548"/>
      <c r="F607" s="548"/>
      <c r="G607" s="548"/>
      <c r="H607" s="548"/>
      <c r="I607" s="548"/>
      <c r="J607" s="548"/>
      <c r="K607" s="548"/>
      <c r="L607" s="548"/>
      <c r="M607" s="549"/>
      <c r="N607" s="546"/>
      <c r="O607" s="546"/>
      <c r="P607" s="546"/>
      <c r="Q607" s="546"/>
      <c r="R607" s="546"/>
      <c r="S607" s="547"/>
      <c r="T607" s="547"/>
    </row>
    <row r="608">
      <c r="A608" s="548"/>
      <c r="B608" s="548"/>
      <c r="C608" s="548"/>
      <c r="D608" s="548"/>
      <c r="E608" s="548"/>
      <c r="F608" s="548"/>
      <c r="G608" s="548"/>
      <c r="H608" s="548"/>
      <c r="I608" s="548"/>
      <c r="J608" s="548"/>
      <c r="K608" s="548"/>
      <c r="L608" s="548"/>
      <c r="M608" s="549"/>
      <c r="N608" s="546"/>
      <c r="O608" s="546"/>
      <c r="P608" s="546"/>
      <c r="Q608" s="546"/>
      <c r="R608" s="546"/>
      <c r="S608" s="547"/>
      <c r="T608" s="547"/>
    </row>
    <row r="609">
      <c r="A609" s="548"/>
      <c r="B609" s="548"/>
      <c r="C609" s="548"/>
      <c r="D609" s="548"/>
      <c r="E609" s="548"/>
      <c r="F609" s="548"/>
      <c r="G609" s="548"/>
      <c r="H609" s="548"/>
      <c r="I609" s="548"/>
      <c r="J609" s="548"/>
      <c r="K609" s="548"/>
      <c r="L609" s="548"/>
      <c r="M609" s="549"/>
      <c r="N609" s="546"/>
      <c r="O609" s="546"/>
      <c r="P609" s="546"/>
      <c r="Q609" s="546"/>
      <c r="R609" s="546"/>
      <c r="S609" s="547"/>
      <c r="T609" s="547"/>
    </row>
    <row r="610">
      <c r="A610" s="548"/>
      <c r="B610" s="548"/>
      <c r="C610" s="548"/>
      <c r="D610" s="548"/>
      <c r="E610" s="548"/>
      <c r="F610" s="548"/>
      <c r="G610" s="548"/>
      <c r="H610" s="548"/>
      <c r="I610" s="548"/>
      <c r="J610" s="548"/>
      <c r="K610" s="548"/>
      <c r="L610" s="548"/>
      <c r="M610" s="549"/>
      <c r="N610" s="546"/>
      <c r="O610" s="546"/>
      <c r="P610" s="546"/>
      <c r="Q610" s="546"/>
      <c r="R610" s="546"/>
      <c r="S610" s="547"/>
      <c r="T610" s="547"/>
    </row>
    <row r="611">
      <c r="A611" s="548"/>
      <c r="B611" s="548"/>
      <c r="C611" s="548"/>
      <c r="D611" s="548"/>
      <c r="E611" s="548"/>
      <c r="F611" s="548"/>
      <c r="G611" s="548"/>
      <c r="H611" s="548"/>
      <c r="I611" s="548"/>
      <c r="J611" s="548"/>
      <c r="K611" s="548"/>
      <c r="L611" s="548"/>
      <c r="M611" s="549"/>
      <c r="N611" s="546"/>
      <c r="O611" s="546"/>
      <c r="P611" s="546"/>
      <c r="Q611" s="546"/>
      <c r="R611" s="546"/>
      <c r="S611" s="547"/>
      <c r="T611" s="547"/>
    </row>
    <row r="612">
      <c r="A612" s="548"/>
      <c r="B612" s="548"/>
      <c r="C612" s="548"/>
      <c r="D612" s="548"/>
      <c r="E612" s="548"/>
      <c r="F612" s="548"/>
      <c r="G612" s="548"/>
      <c r="H612" s="548"/>
      <c r="I612" s="548"/>
      <c r="J612" s="548"/>
      <c r="K612" s="548"/>
      <c r="L612" s="548"/>
      <c r="M612" s="549"/>
      <c r="N612" s="546"/>
      <c r="O612" s="546"/>
      <c r="P612" s="546"/>
      <c r="Q612" s="546"/>
      <c r="R612" s="546"/>
      <c r="S612" s="547"/>
      <c r="T612" s="547"/>
    </row>
    <row r="613">
      <c r="A613" s="548"/>
      <c r="B613" s="548"/>
      <c r="C613" s="548"/>
      <c r="D613" s="548"/>
      <c r="E613" s="548"/>
      <c r="F613" s="548"/>
      <c r="G613" s="548"/>
      <c r="H613" s="548"/>
      <c r="I613" s="548"/>
      <c r="J613" s="548"/>
      <c r="K613" s="548"/>
      <c r="L613" s="548"/>
      <c r="M613" s="549"/>
      <c r="N613" s="546"/>
      <c r="O613" s="546"/>
      <c r="P613" s="546"/>
      <c r="Q613" s="546"/>
      <c r="R613" s="546"/>
      <c r="S613" s="547"/>
      <c r="T613" s="547"/>
    </row>
    <row r="614">
      <c r="A614" s="548"/>
      <c r="B614" s="548"/>
      <c r="C614" s="548"/>
      <c r="D614" s="548"/>
      <c r="E614" s="548"/>
      <c r="F614" s="548"/>
      <c r="G614" s="548"/>
      <c r="H614" s="548"/>
      <c r="I614" s="548"/>
      <c r="J614" s="548"/>
      <c r="K614" s="548"/>
      <c r="L614" s="548"/>
      <c r="M614" s="549"/>
      <c r="N614" s="546"/>
      <c r="O614" s="546"/>
      <c r="P614" s="546"/>
      <c r="Q614" s="546"/>
      <c r="R614" s="546"/>
      <c r="S614" s="547"/>
      <c r="T614" s="547"/>
    </row>
    <row r="615">
      <c r="A615" s="548"/>
      <c r="B615" s="548"/>
      <c r="C615" s="548"/>
      <c r="D615" s="548"/>
      <c r="E615" s="548"/>
      <c r="F615" s="548"/>
      <c r="G615" s="548"/>
      <c r="H615" s="548"/>
      <c r="I615" s="548"/>
      <c r="J615" s="548"/>
      <c r="K615" s="548"/>
      <c r="L615" s="548"/>
      <c r="M615" s="549"/>
      <c r="N615" s="546"/>
      <c r="O615" s="546"/>
      <c r="P615" s="546"/>
      <c r="Q615" s="546"/>
      <c r="R615" s="546"/>
      <c r="S615" s="547"/>
      <c r="T615" s="547"/>
    </row>
    <row r="616">
      <c r="A616" s="548"/>
      <c r="B616" s="548"/>
      <c r="C616" s="548"/>
      <c r="D616" s="548"/>
      <c r="E616" s="548"/>
      <c r="F616" s="548"/>
      <c r="G616" s="548"/>
      <c r="H616" s="548"/>
      <c r="I616" s="548"/>
      <c r="J616" s="548"/>
      <c r="K616" s="548"/>
      <c r="L616" s="548"/>
      <c r="M616" s="549"/>
      <c r="N616" s="546"/>
      <c r="O616" s="546"/>
      <c r="P616" s="546"/>
      <c r="Q616" s="546"/>
      <c r="R616" s="546"/>
      <c r="S616" s="547"/>
      <c r="T616" s="547"/>
    </row>
    <row r="617">
      <c r="A617" s="548"/>
      <c r="B617" s="548"/>
      <c r="C617" s="548"/>
      <c r="D617" s="548"/>
      <c r="E617" s="548"/>
      <c r="F617" s="548"/>
      <c r="G617" s="548"/>
      <c r="H617" s="548"/>
      <c r="I617" s="548"/>
      <c r="J617" s="548"/>
      <c r="K617" s="548"/>
      <c r="L617" s="548"/>
      <c r="M617" s="549"/>
      <c r="N617" s="546"/>
      <c r="O617" s="546"/>
      <c r="P617" s="546"/>
      <c r="Q617" s="546"/>
      <c r="R617" s="546"/>
      <c r="S617" s="547"/>
      <c r="T617" s="547"/>
    </row>
    <row r="618">
      <c r="A618" s="548"/>
      <c r="B618" s="548"/>
      <c r="C618" s="548"/>
      <c r="D618" s="548"/>
      <c r="E618" s="548"/>
      <c r="F618" s="548"/>
      <c r="G618" s="548"/>
      <c r="H618" s="548"/>
      <c r="I618" s="548"/>
      <c r="J618" s="548"/>
      <c r="K618" s="548"/>
      <c r="L618" s="548"/>
      <c r="M618" s="549"/>
      <c r="N618" s="546"/>
      <c r="O618" s="546"/>
      <c r="P618" s="546"/>
      <c r="Q618" s="546"/>
      <c r="R618" s="546"/>
      <c r="S618" s="547"/>
      <c r="T618" s="547"/>
    </row>
    <row r="619">
      <c r="A619" s="548"/>
      <c r="B619" s="548"/>
      <c r="C619" s="548"/>
      <c r="D619" s="548"/>
      <c r="E619" s="548"/>
      <c r="F619" s="548"/>
      <c r="G619" s="548"/>
      <c r="H619" s="548"/>
      <c r="I619" s="548"/>
      <c r="J619" s="548"/>
      <c r="K619" s="548"/>
      <c r="L619" s="548"/>
      <c r="M619" s="549"/>
      <c r="N619" s="546"/>
      <c r="O619" s="546"/>
      <c r="P619" s="546"/>
      <c r="Q619" s="546"/>
      <c r="R619" s="546"/>
      <c r="S619" s="547"/>
      <c r="T619" s="547"/>
    </row>
    <row r="620">
      <c r="A620" s="548"/>
      <c r="B620" s="548"/>
      <c r="C620" s="548"/>
      <c r="D620" s="548"/>
      <c r="E620" s="548"/>
      <c r="F620" s="548"/>
      <c r="G620" s="548"/>
      <c r="H620" s="548"/>
      <c r="I620" s="548"/>
      <c r="J620" s="548"/>
      <c r="K620" s="548"/>
      <c r="L620" s="548"/>
      <c r="M620" s="549"/>
      <c r="N620" s="546"/>
      <c r="O620" s="546"/>
      <c r="P620" s="546"/>
      <c r="Q620" s="546"/>
      <c r="R620" s="546"/>
      <c r="S620" s="547"/>
      <c r="T620" s="547"/>
    </row>
    <row r="621">
      <c r="A621" s="548"/>
      <c r="B621" s="548"/>
      <c r="C621" s="548"/>
      <c r="D621" s="548"/>
      <c r="E621" s="548"/>
      <c r="F621" s="548"/>
      <c r="G621" s="548"/>
      <c r="H621" s="548"/>
      <c r="I621" s="548"/>
      <c r="J621" s="548"/>
      <c r="K621" s="548"/>
      <c r="L621" s="548"/>
      <c r="M621" s="549"/>
      <c r="N621" s="546"/>
      <c r="O621" s="546"/>
      <c r="P621" s="546"/>
      <c r="Q621" s="546"/>
      <c r="R621" s="546"/>
      <c r="S621" s="547"/>
      <c r="T621" s="547"/>
    </row>
    <row r="622">
      <c r="A622" s="548"/>
      <c r="B622" s="548"/>
      <c r="C622" s="548"/>
      <c r="D622" s="548"/>
      <c r="E622" s="548"/>
      <c r="F622" s="548"/>
      <c r="G622" s="548"/>
      <c r="H622" s="548"/>
      <c r="I622" s="548"/>
      <c r="J622" s="548"/>
      <c r="K622" s="548"/>
      <c r="L622" s="548"/>
      <c r="M622" s="549"/>
      <c r="N622" s="546"/>
      <c r="O622" s="546"/>
      <c r="P622" s="546"/>
      <c r="Q622" s="546"/>
      <c r="R622" s="546"/>
      <c r="S622" s="547"/>
      <c r="T622" s="547"/>
    </row>
    <row r="623">
      <c r="A623" s="548"/>
      <c r="B623" s="548"/>
      <c r="C623" s="548"/>
      <c r="D623" s="548"/>
      <c r="E623" s="548"/>
      <c r="F623" s="548"/>
      <c r="G623" s="548"/>
      <c r="H623" s="548"/>
      <c r="I623" s="548"/>
      <c r="J623" s="548"/>
      <c r="K623" s="548"/>
      <c r="L623" s="548"/>
      <c r="M623" s="549"/>
      <c r="N623" s="546"/>
      <c r="O623" s="546"/>
      <c r="P623" s="546"/>
      <c r="Q623" s="546"/>
      <c r="R623" s="546"/>
      <c r="S623" s="547"/>
      <c r="T623" s="547"/>
    </row>
    <row r="624">
      <c r="A624" s="548"/>
      <c r="B624" s="548"/>
      <c r="C624" s="548"/>
      <c r="D624" s="548"/>
      <c r="E624" s="548"/>
      <c r="F624" s="548"/>
      <c r="G624" s="548"/>
      <c r="H624" s="548"/>
      <c r="I624" s="548"/>
      <c r="J624" s="548"/>
      <c r="K624" s="548"/>
      <c r="L624" s="548"/>
      <c r="M624" s="549"/>
      <c r="N624" s="546"/>
      <c r="O624" s="546"/>
      <c r="P624" s="546"/>
      <c r="Q624" s="546"/>
      <c r="R624" s="546"/>
      <c r="S624" s="547"/>
      <c r="T624" s="547"/>
    </row>
    <row r="625">
      <c r="A625" s="548"/>
      <c r="B625" s="548"/>
      <c r="C625" s="548"/>
      <c r="D625" s="548"/>
      <c r="E625" s="548"/>
      <c r="F625" s="548"/>
      <c r="G625" s="548"/>
      <c r="H625" s="548"/>
      <c r="I625" s="548"/>
      <c r="J625" s="548"/>
      <c r="K625" s="548"/>
      <c r="L625" s="548"/>
      <c r="M625" s="549"/>
      <c r="N625" s="546"/>
      <c r="O625" s="546"/>
      <c r="P625" s="546"/>
      <c r="Q625" s="546"/>
      <c r="R625" s="546"/>
      <c r="S625" s="547"/>
      <c r="T625" s="547"/>
    </row>
    <row r="626">
      <c r="A626" s="548"/>
      <c r="B626" s="548"/>
      <c r="C626" s="548"/>
      <c r="D626" s="548"/>
      <c r="E626" s="548"/>
      <c r="F626" s="548"/>
      <c r="G626" s="548"/>
      <c r="H626" s="548"/>
      <c r="I626" s="548"/>
      <c r="J626" s="548"/>
      <c r="K626" s="548"/>
      <c r="L626" s="548"/>
      <c r="M626" s="549"/>
      <c r="N626" s="546"/>
      <c r="O626" s="546"/>
      <c r="P626" s="546"/>
      <c r="Q626" s="546"/>
      <c r="R626" s="546"/>
      <c r="S626" s="547"/>
      <c r="T626" s="547"/>
    </row>
    <row r="627">
      <c r="A627" s="548"/>
      <c r="B627" s="548"/>
      <c r="C627" s="548"/>
      <c r="D627" s="548"/>
      <c r="E627" s="548"/>
      <c r="F627" s="548"/>
      <c r="G627" s="548"/>
      <c r="H627" s="548"/>
      <c r="I627" s="548"/>
      <c r="J627" s="548"/>
      <c r="K627" s="548"/>
      <c r="L627" s="548"/>
      <c r="M627" s="549"/>
      <c r="N627" s="546"/>
      <c r="O627" s="546"/>
      <c r="P627" s="546"/>
      <c r="Q627" s="546"/>
      <c r="R627" s="546"/>
      <c r="S627" s="547"/>
      <c r="T627" s="547"/>
    </row>
    <row r="628">
      <c r="A628" s="548"/>
      <c r="B628" s="548"/>
      <c r="C628" s="548"/>
      <c r="D628" s="548"/>
      <c r="E628" s="548"/>
      <c r="F628" s="548"/>
      <c r="G628" s="548"/>
      <c r="H628" s="548"/>
      <c r="I628" s="548"/>
      <c r="J628" s="548"/>
      <c r="K628" s="548"/>
      <c r="L628" s="548"/>
      <c r="M628" s="549"/>
      <c r="N628" s="546"/>
      <c r="O628" s="546"/>
      <c r="P628" s="546"/>
      <c r="Q628" s="546"/>
      <c r="R628" s="546"/>
      <c r="S628" s="547"/>
      <c r="T628" s="547"/>
    </row>
    <row r="629">
      <c r="A629" s="548"/>
      <c r="B629" s="548"/>
      <c r="C629" s="548"/>
      <c r="D629" s="548"/>
      <c r="E629" s="548"/>
      <c r="F629" s="548"/>
      <c r="G629" s="548"/>
      <c r="H629" s="548"/>
      <c r="I629" s="548"/>
      <c r="J629" s="548"/>
      <c r="K629" s="548"/>
      <c r="L629" s="548"/>
      <c r="M629" s="549"/>
      <c r="N629" s="546"/>
      <c r="O629" s="546"/>
      <c r="P629" s="546"/>
      <c r="Q629" s="546"/>
      <c r="R629" s="546"/>
      <c r="S629" s="547"/>
      <c r="T629" s="547"/>
    </row>
    <row r="630">
      <c r="A630" s="548"/>
      <c r="B630" s="548"/>
      <c r="C630" s="548"/>
      <c r="D630" s="548"/>
      <c r="E630" s="548"/>
      <c r="F630" s="548"/>
      <c r="G630" s="548"/>
      <c r="H630" s="548"/>
      <c r="I630" s="548"/>
      <c r="J630" s="548"/>
      <c r="K630" s="548"/>
      <c r="L630" s="548"/>
      <c r="M630" s="549"/>
      <c r="N630" s="546"/>
      <c r="O630" s="546"/>
      <c r="P630" s="546"/>
      <c r="Q630" s="546"/>
      <c r="R630" s="546"/>
      <c r="S630" s="547"/>
      <c r="T630" s="547"/>
    </row>
    <row r="631">
      <c r="A631" s="548"/>
      <c r="B631" s="548"/>
      <c r="C631" s="548"/>
      <c r="D631" s="548"/>
      <c r="E631" s="548"/>
      <c r="F631" s="548"/>
      <c r="G631" s="548"/>
      <c r="H631" s="548"/>
      <c r="I631" s="548"/>
      <c r="J631" s="548"/>
      <c r="K631" s="548"/>
      <c r="L631" s="548"/>
      <c r="M631" s="549"/>
      <c r="N631" s="546"/>
      <c r="O631" s="546"/>
      <c r="P631" s="546"/>
      <c r="Q631" s="546"/>
      <c r="R631" s="546"/>
      <c r="S631" s="547"/>
      <c r="T631" s="547"/>
    </row>
    <row r="632">
      <c r="A632" s="548"/>
      <c r="B632" s="548"/>
      <c r="C632" s="548"/>
      <c r="D632" s="548"/>
      <c r="E632" s="548"/>
      <c r="F632" s="548"/>
      <c r="G632" s="548"/>
      <c r="H632" s="548"/>
      <c r="I632" s="548"/>
      <c r="J632" s="548"/>
      <c r="K632" s="548"/>
      <c r="L632" s="548"/>
      <c r="M632" s="549"/>
      <c r="N632" s="546"/>
      <c r="O632" s="546"/>
      <c r="P632" s="546"/>
      <c r="Q632" s="546"/>
      <c r="R632" s="546"/>
      <c r="S632" s="547"/>
      <c r="T632" s="547"/>
    </row>
    <row r="633">
      <c r="A633" s="548"/>
      <c r="B633" s="548"/>
      <c r="C633" s="548"/>
      <c r="D633" s="548"/>
      <c r="E633" s="548"/>
      <c r="F633" s="548"/>
      <c r="G633" s="548"/>
      <c r="H633" s="548"/>
      <c r="I633" s="548"/>
      <c r="J633" s="548"/>
      <c r="K633" s="548"/>
      <c r="L633" s="548"/>
      <c r="M633" s="549"/>
      <c r="N633" s="546"/>
      <c r="O633" s="546"/>
      <c r="P633" s="546"/>
      <c r="Q633" s="546"/>
      <c r="R633" s="546"/>
      <c r="S633" s="547"/>
      <c r="T633" s="547"/>
    </row>
    <row r="634">
      <c r="A634" s="548"/>
      <c r="B634" s="548"/>
      <c r="C634" s="548"/>
      <c r="D634" s="548"/>
      <c r="E634" s="548"/>
      <c r="F634" s="548"/>
      <c r="G634" s="548"/>
      <c r="H634" s="548"/>
      <c r="I634" s="548"/>
      <c r="J634" s="548"/>
      <c r="K634" s="548"/>
      <c r="L634" s="548"/>
      <c r="M634" s="549"/>
      <c r="N634" s="546"/>
      <c r="O634" s="546"/>
      <c r="P634" s="546"/>
      <c r="Q634" s="546"/>
      <c r="R634" s="546"/>
      <c r="S634" s="547"/>
      <c r="T634" s="547"/>
    </row>
    <row r="635">
      <c r="A635" s="548"/>
      <c r="B635" s="548"/>
      <c r="C635" s="548"/>
      <c r="D635" s="548"/>
      <c r="E635" s="548"/>
      <c r="F635" s="548"/>
      <c r="G635" s="548"/>
      <c r="H635" s="548"/>
      <c r="I635" s="548"/>
      <c r="J635" s="548"/>
      <c r="K635" s="548"/>
      <c r="L635" s="548"/>
      <c r="M635" s="549"/>
      <c r="N635" s="546"/>
      <c r="O635" s="546"/>
      <c r="P635" s="546"/>
      <c r="Q635" s="546"/>
      <c r="R635" s="546"/>
      <c r="S635" s="547"/>
      <c r="T635" s="547"/>
    </row>
    <row r="636">
      <c r="A636" s="548"/>
      <c r="B636" s="548"/>
      <c r="C636" s="548"/>
      <c r="D636" s="548"/>
      <c r="E636" s="548"/>
      <c r="F636" s="548"/>
      <c r="G636" s="548"/>
      <c r="H636" s="548"/>
      <c r="I636" s="548"/>
      <c r="J636" s="548"/>
      <c r="K636" s="548"/>
      <c r="L636" s="548"/>
      <c r="M636" s="549"/>
      <c r="N636" s="546"/>
      <c r="O636" s="546"/>
      <c r="P636" s="546"/>
      <c r="Q636" s="546"/>
      <c r="R636" s="546"/>
      <c r="S636" s="547"/>
      <c r="T636" s="547"/>
    </row>
    <row r="637">
      <c r="A637" s="548"/>
      <c r="B637" s="548"/>
      <c r="C637" s="548"/>
      <c r="D637" s="548"/>
      <c r="E637" s="548"/>
      <c r="F637" s="548"/>
      <c r="G637" s="548"/>
      <c r="H637" s="548"/>
      <c r="I637" s="548"/>
      <c r="J637" s="548"/>
      <c r="K637" s="548"/>
      <c r="L637" s="548"/>
      <c r="M637" s="549"/>
      <c r="N637" s="546"/>
      <c r="O637" s="546"/>
      <c r="P637" s="546"/>
      <c r="Q637" s="546"/>
      <c r="R637" s="546"/>
      <c r="S637" s="547"/>
      <c r="T637" s="547"/>
    </row>
    <row r="638">
      <c r="A638" s="548"/>
      <c r="B638" s="548"/>
      <c r="C638" s="548"/>
      <c r="D638" s="548"/>
      <c r="E638" s="548"/>
      <c r="F638" s="548"/>
      <c r="G638" s="548"/>
      <c r="H638" s="548"/>
      <c r="I638" s="548"/>
      <c r="J638" s="548"/>
      <c r="K638" s="548"/>
      <c r="L638" s="548"/>
      <c r="M638" s="549"/>
      <c r="N638" s="546"/>
      <c r="O638" s="546"/>
      <c r="P638" s="546"/>
      <c r="Q638" s="546"/>
      <c r="R638" s="546"/>
      <c r="S638" s="547"/>
      <c r="T638" s="547"/>
    </row>
    <row r="639">
      <c r="A639" s="548"/>
      <c r="B639" s="548"/>
      <c r="C639" s="548"/>
      <c r="D639" s="548"/>
      <c r="E639" s="548"/>
      <c r="F639" s="548"/>
      <c r="G639" s="548"/>
      <c r="H639" s="548"/>
      <c r="I639" s="548"/>
      <c r="J639" s="548"/>
      <c r="K639" s="548"/>
      <c r="L639" s="548"/>
      <c r="M639" s="549"/>
      <c r="N639" s="546"/>
      <c r="O639" s="546"/>
      <c r="P639" s="546"/>
      <c r="Q639" s="546"/>
      <c r="R639" s="546"/>
      <c r="S639" s="547"/>
      <c r="T639" s="547"/>
    </row>
    <row r="640">
      <c r="A640" s="548"/>
      <c r="B640" s="548"/>
      <c r="C640" s="548"/>
      <c r="D640" s="548"/>
      <c r="E640" s="548"/>
      <c r="F640" s="548"/>
      <c r="G640" s="548"/>
      <c r="H640" s="548"/>
      <c r="I640" s="548"/>
      <c r="J640" s="548"/>
      <c r="K640" s="548"/>
      <c r="L640" s="548"/>
      <c r="M640" s="549"/>
      <c r="N640" s="546"/>
      <c r="O640" s="546"/>
      <c r="P640" s="546"/>
      <c r="Q640" s="546"/>
      <c r="R640" s="546"/>
      <c r="S640" s="547"/>
      <c r="T640" s="547"/>
    </row>
    <row r="641">
      <c r="A641" s="548"/>
      <c r="B641" s="548"/>
      <c r="C641" s="548"/>
      <c r="D641" s="548"/>
      <c r="E641" s="548"/>
      <c r="F641" s="548"/>
      <c r="G641" s="548"/>
      <c r="H641" s="548"/>
      <c r="I641" s="548"/>
      <c r="J641" s="548"/>
      <c r="K641" s="548"/>
      <c r="L641" s="548"/>
      <c r="M641" s="549"/>
      <c r="N641" s="546"/>
      <c r="O641" s="546"/>
      <c r="P641" s="546"/>
      <c r="Q641" s="546"/>
      <c r="R641" s="546"/>
      <c r="S641" s="547"/>
      <c r="T641" s="547"/>
    </row>
    <row r="642">
      <c r="A642" s="548"/>
      <c r="B642" s="548"/>
      <c r="C642" s="548"/>
      <c r="D642" s="548"/>
      <c r="E642" s="548"/>
      <c r="F642" s="548"/>
      <c r="G642" s="548"/>
      <c r="H642" s="548"/>
      <c r="I642" s="548"/>
      <c r="J642" s="548"/>
      <c r="K642" s="548"/>
      <c r="L642" s="548"/>
      <c r="M642" s="549"/>
      <c r="N642" s="546"/>
      <c r="O642" s="546"/>
      <c r="P642" s="546"/>
      <c r="Q642" s="546"/>
      <c r="R642" s="546"/>
      <c r="S642" s="547"/>
      <c r="T642" s="547"/>
    </row>
    <row r="643">
      <c r="A643" s="548"/>
      <c r="B643" s="548"/>
      <c r="C643" s="548"/>
      <c r="D643" s="548"/>
      <c r="E643" s="548"/>
      <c r="F643" s="548"/>
      <c r="G643" s="548"/>
      <c r="H643" s="548"/>
      <c r="I643" s="548"/>
      <c r="J643" s="548"/>
      <c r="K643" s="548"/>
      <c r="L643" s="548"/>
      <c r="M643" s="549"/>
      <c r="N643" s="546"/>
      <c r="O643" s="546"/>
      <c r="P643" s="546"/>
      <c r="Q643" s="546"/>
      <c r="R643" s="546"/>
      <c r="S643" s="547"/>
      <c r="T643" s="547"/>
    </row>
    <row r="644">
      <c r="A644" s="548"/>
      <c r="B644" s="548"/>
      <c r="C644" s="548"/>
      <c r="D644" s="548"/>
      <c r="E644" s="548"/>
      <c r="F644" s="548"/>
      <c r="G644" s="548"/>
      <c r="H644" s="548"/>
      <c r="I644" s="548"/>
      <c r="J644" s="548"/>
      <c r="K644" s="548"/>
      <c r="L644" s="548"/>
      <c r="M644" s="549"/>
      <c r="N644" s="546"/>
      <c r="O644" s="546"/>
      <c r="P644" s="546"/>
      <c r="Q644" s="546"/>
      <c r="R644" s="546"/>
      <c r="S644" s="547"/>
      <c r="T644" s="547"/>
    </row>
    <row r="645">
      <c r="A645" s="548"/>
      <c r="B645" s="548"/>
      <c r="C645" s="548"/>
      <c r="D645" s="548"/>
      <c r="E645" s="548"/>
      <c r="F645" s="548"/>
      <c r="G645" s="548"/>
      <c r="H645" s="548"/>
      <c r="I645" s="548"/>
      <c r="J645" s="548"/>
      <c r="K645" s="548"/>
      <c r="L645" s="548"/>
      <c r="M645" s="549"/>
      <c r="N645" s="546"/>
      <c r="O645" s="546"/>
      <c r="P645" s="546"/>
      <c r="Q645" s="546"/>
      <c r="R645" s="546"/>
      <c r="S645" s="547"/>
      <c r="T645" s="547"/>
    </row>
    <row r="646">
      <c r="A646" s="548"/>
      <c r="B646" s="548"/>
      <c r="C646" s="548"/>
      <c r="D646" s="548"/>
      <c r="E646" s="548"/>
      <c r="F646" s="548"/>
      <c r="G646" s="548"/>
      <c r="H646" s="548"/>
      <c r="I646" s="548"/>
      <c r="J646" s="548"/>
      <c r="K646" s="548"/>
      <c r="L646" s="548"/>
      <c r="M646" s="549"/>
      <c r="N646" s="546"/>
      <c r="O646" s="546"/>
      <c r="P646" s="546"/>
      <c r="Q646" s="546"/>
      <c r="R646" s="546"/>
      <c r="S646" s="547"/>
      <c r="T646" s="547"/>
    </row>
    <row r="647">
      <c r="A647" s="548"/>
      <c r="B647" s="548"/>
      <c r="C647" s="548"/>
      <c r="D647" s="548"/>
      <c r="E647" s="548"/>
      <c r="F647" s="548"/>
      <c r="G647" s="548"/>
      <c r="H647" s="548"/>
      <c r="I647" s="548"/>
      <c r="J647" s="548"/>
      <c r="K647" s="548"/>
      <c r="L647" s="548"/>
      <c r="M647" s="549"/>
      <c r="N647" s="546"/>
      <c r="O647" s="546"/>
      <c r="P647" s="546"/>
      <c r="Q647" s="546"/>
      <c r="R647" s="546"/>
      <c r="S647" s="547"/>
      <c r="T647" s="547"/>
    </row>
    <row r="648">
      <c r="A648" s="548"/>
      <c r="B648" s="548"/>
      <c r="C648" s="548"/>
      <c r="D648" s="548"/>
      <c r="E648" s="548"/>
      <c r="F648" s="548"/>
      <c r="G648" s="548"/>
      <c r="H648" s="548"/>
      <c r="I648" s="548"/>
      <c r="J648" s="548"/>
      <c r="K648" s="548"/>
      <c r="L648" s="548"/>
      <c r="M648" s="549"/>
      <c r="N648" s="546"/>
      <c r="O648" s="546"/>
      <c r="P648" s="546"/>
      <c r="Q648" s="546"/>
      <c r="R648" s="546"/>
      <c r="S648" s="547"/>
      <c r="T648" s="547"/>
    </row>
    <row r="649">
      <c r="A649" s="548"/>
      <c r="B649" s="548"/>
      <c r="C649" s="548"/>
      <c r="D649" s="548"/>
      <c r="E649" s="548"/>
      <c r="F649" s="548"/>
      <c r="G649" s="548"/>
      <c r="H649" s="548"/>
      <c r="I649" s="548"/>
      <c r="J649" s="548"/>
      <c r="K649" s="548"/>
      <c r="L649" s="548"/>
      <c r="M649" s="549"/>
      <c r="N649" s="546"/>
      <c r="O649" s="546"/>
      <c r="P649" s="546"/>
      <c r="Q649" s="546"/>
      <c r="R649" s="546"/>
      <c r="S649" s="547"/>
      <c r="T649" s="547"/>
    </row>
    <row r="650">
      <c r="A650" s="548"/>
      <c r="B650" s="548"/>
      <c r="C650" s="548"/>
      <c r="D650" s="548"/>
      <c r="E650" s="548"/>
      <c r="F650" s="548"/>
      <c r="G650" s="548"/>
      <c r="H650" s="548"/>
      <c r="I650" s="548"/>
      <c r="J650" s="548"/>
      <c r="K650" s="548"/>
      <c r="L650" s="548"/>
      <c r="M650" s="549"/>
      <c r="N650" s="546"/>
      <c r="O650" s="546"/>
      <c r="P650" s="546"/>
      <c r="Q650" s="546"/>
      <c r="R650" s="546"/>
      <c r="S650" s="547"/>
      <c r="T650" s="547"/>
    </row>
    <row r="651">
      <c r="A651" s="548"/>
      <c r="B651" s="548"/>
      <c r="C651" s="548"/>
      <c r="D651" s="548"/>
      <c r="E651" s="548"/>
      <c r="F651" s="548"/>
      <c r="G651" s="548"/>
      <c r="H651" s="548"/>
      <c r="I651" s="548"/>
      <c r="J651" s="548"/>
      <c r="K651" s="548"/>
      <c r="L651" s="548"/>
      <c r="M651" s="549"/>
      <c r="N651" s="546"/>
      <c r="O651" s="546"/>
      <c r="P651" s="546"/>
      <c r="Q651" s="546"/>
      <c r="R651" s="546"/>
      <c r="S651" s="547"/>
      <c r="T651" s="547"/>
    </row>
    <row r="652">
      <c r="A652" s="548"/>
      <c r="B652" s="548"/>
      <c r="C652" s="548"/>
      <c r="D652" s="548"/>
      <c r="E652" s="548"/>
      <c r="F652" s="548"/>
      <c r="G652" s="548"/>
      <c r="H652" s="548"/>
      <c r="I652" s="548"/>
      <c r="J652" s="548"/>
      <c r="K652" s="548"/>
      <c r="L652" s="548"/>
      <c r="M652" s="549"/>
      <c r="N652" s="546"/>
      <c r="O652" s="546"/>
      <c r="P652" s="546"/>
      <c r="Q652" s="546"/>
      <c r="R652" s="546"/>
      <c r="S652" s="547"/>
      <c r="T652" s="547"/>
    </row>
    <row r="653">
      <c r="A653" s="548"/>
      <c r="B653" s="548"/>
      <c r="C653" s="548"/>
      <c r="D653" s="548"/>
      <c r="E653" s="548"/>
      <c r="F653" s="548"/>
      <c r="G653" s="548"/>
      <c r="H653" s="548"/>
      <c r="I653" s="548"/>
      <c r="J653" s="548"/>
      <c r="K653" s="548"/>
      <c r="L653" s="548"/>
      <c r="M653" s="549"/>
      <c r="N653" s="546"/>
      <c r="O653" s="546"/>
      <c r="P653" s="546"/>
      <c r="Q653" s="546"/>
      <c r="R653" s="546"/>
      <c r="S653" s="547"/>
      <c r="T653" s="547"/>
    </row>
    <row r="654">
      <c r="A654" s="548"/>
      <c r="B654" s="548"/>
      <c r="C654" s="548"/>
      <c r="D654" s="548"/>
      <c r="E654" s="548"/>
      <c r="F654" s="548"/>
      <c r="G654" s="548"/>
      <c r="H654" s="548"/>
      <c r="I654" s="548"/>
      <c r="J654" s="548"/>
      <c r="K654" s="548"/>
      <c r="L654" s="548"/>
      <c r="M654" s="549"/>
      <c r="N654" s="546"/>
      <c r="O654" s="546"/>
      <c r="P654" s="546"/>
      <c r="Q654" s="546"/>
      <c r="R654" s="546"/>
      <c r="S654" s="547"/>
      <c r="T654" s="547"/>
    </row>
    <row r="655">
      <c r="A655" s="548"/>
      <c r="B655" s="548"/>
      <c r="C655" s="548"/>
      <c r="D655" s="548"/>
      <c r="E655" s="548"/>
      <c r="F655" s="548"/>
      <c r="G655" s="548"/>
      <c r="H655" s="548"/>
      <c r="I655" s="548"/>
      <c r="J655" s="548"/>
      <c r="K655" s="548"/>
      <c r="L655" s="548"/>
      <c r="M655" s="549"/>
      <c r="N655" s="546"/>
      <c r="O655" s="546"/>
      <c r="P655" s="546"/>
      <c r="Q655" s="546"/>
      <c r="R655" s="546"/>
      <c r="S655" s="547"/>
      <c r="T655" s="547"/>
    </row>
    <row r="656">
      <c r="A656" s="548"/>
      <c r="B656" s="548"/>
      <c r="C656" s="548"/>
      <c r="D656" s="548"/>
      <c r="E656" s="548"/>
      <c r="F656" s="548"/>
      <c r="G656" s="548"/>
      <c r="H656" s="548"/>
      <c r="I656" s="548"/>
      <c r="J656" s="548"/>
      <c r="K656" s="548"/>
      <c r="L656" s="548"/>
      <c r="M656" s="549"/>
      <c r="N656" s="546"/>
      <c r="O656" s="546"/>
      <c r="P656" s="546"/>
      <c r="Q656" s="546"/>
      <c r="R656" s="546"/>
      <c r="S656" s="547"/>
      <c r="T656" s="547"/>
    </row>
    <row r="657">
      <c r="A657" s="548"/>
      <c r="B657" s="548"/>
      <c r="C657" s="548"/>
      <c r="D657" s="548"/>
      <c r="E657" s="548"/>
      <c r="F657" s="548"/>
      <c r="G657" s="548"/>
      <c r="H657" s="548"/>
      <c r="I657" s="548"/>
      <c r="J657" s="548"/>
      <c r="K657" s="548"/>
      <c r="L657" s="548"/>
      <c r="M657" s="549"/>
      <c r="N657" s="546"/>
      <c r="O657" s="546"/>
      <c r="P657" s="546"/>
      <c r="Q657" s="546"/>
      <c r="R657" s="546"/>
      <c r="S657" s="547"/>
      <c r="T657" s="547"/>
    </row>
    <row r="658">
      <c r="A658" s="548"/>
      <c r="B658" s="548"/>
      <c r="C658" s="548"/>
      <c r="D658" s="548"/>
      <c r="E658" s="548"/>
      <c r="F658" s="548"/>
      <c r="G658" s="548"/>
      <c r="H658" s="548"/>
      <c r="I658" s="548"/>
      <c r="J658" s="548"/>
      <c r="K658" s="548"/>
      <c r="L658" s="548"/>
      <c r="M658" s="549"/>
      <c r="N658" s="546"/>
      <c r="O658" s="546"/>
      <c r="P658" s="546"/>
      <c r="Q658" s="546"/>
      <c r="R658" s="546"/>
      <c r="S658" s="547"/>
      <c r="T658" s="547"/>
    </row>
    <row r="659">
      <c r="A659" s="548"/>
      <c r="B659" s="548"/>
      <c r="C659" s="548"/>
      <c r="D659" s="548"/>
      <c r="E659" s="548"/>
      <c r="F659" s="548"/>
      <c r="G659" s="548"/>
      <c r="H659" s="548"/>
      <c r="I659" s="548"/>
      <c r="J659" s="548"/>
      <c r="K659" s="548"/>
      <c r="L659" s="548"/>
      <c r="M659" s="549"/>
      <c r="N659" s="546"/>
      <c r="O659" s="546"/>
      <c r="P659" s="546"/>
      <c r="Q659" s="546"/>
      <c r="R659" s="546"/>
      <c r="S659" s="547"/>
      <c r="T659" s="547"/>
    </row>
    <row r="660">
      <c r="A660" s="548"/>
      <c r="B660" s="548"/>
      <c r="C660" s="548"/>
      <c r="D660" s="548"/>
      <c r="E660" s="548"/>
      <c r="F660" s="548"/>
      <c r="G660" s="548"/>
      <c r="H660" s="548"/>
      <c r="I660" s="548"/>
      <c r="J660" s="548"/>
      <c r="K660" s="548"/>
      <c r="L660" s="548"/>
      <c r="M660" s="549"/>
      <c r="N660" s="546"/>
      <c r="O660" s="546"/>
      <c r="P660" s="546"/>
      <c r="Q660" s="546"/>
      <c r="R660" s="546"/>
      <c r="S660" s="547"/>
      <c r="T660" s="547"/>
    </row>
    <row r="661">
      <c r="A661" s="548"/>
      <c r="B661" s="548"/>
      <c r="C661" s="548"/>
      <c r="D661" s="548"/>
      <c r="E661" s="548"/>
      <c r="F661" s="548"/>
      <c r="G661" s="548"/>
      <c r="H661" s="548"/>
      <c r="I661" s="548"/>
      <c r="J661" s="548"/>
      <c r="K661" s="548"/>
      <c r="L661" s="548"/>
      <c r="M661" s="549"/>
      <c r="N661" s="546"/>
      <c r="O661" s="546"/>
      <c r="P661" s="546"/>
      <c r="Q661" s="546"/>
      <c r="R661" s="546"/>
      <c r="S661" s="547"/>
      <c r="T661" s="547"/>
    </row>
    <row r="662">
      <c r="A662" s="548"/>
      <c r="B662" s="548"/>
      <c r="C662" s="548"/>
      <c r="D662" s="548"/>
      <c r="E662" s="548"/>
      <c r="F662" s="548"/>
      <c r="G662" s="548"/>
      <c r="H662" s="548"/>
      <c r="I662" s="548"/>
      <c r="J662" s="548"/>
      <c r="K662" s="548"/>
      <c r="L662" s="548"/>
      <c r="M662" s="549"/>
      <c r="N662" s="546"/>
      <c r="O662" s="546"/>
      <c r="P662" s="546"/>
      <c r="Q662" s="546"/>
      <c r="R662" s="546"/>
      <c r="S662" s="547"/>
      <c r="T662" s="547"/>
    </row>
    <row r="663">
      <c r="A663" s="548"/>
      <c r="B663" s="548"/>
      <c r="C663" s="548"/>
      <c r="D663" s="548"/>
      <c r="E663" s="548"/>
      <c r="F663" s="548"/>
      <c r="G663" s="548"/>
      <c r="H663" s="548"/>
      <c r="I663" s="548"/>
      <c r="J663" s="548"/>
      <c r="K663" s="548"/>
      <c r="L663" s="548"/>
      <c r="M663" s="549"/>
      <c r="N663" s="546"/>
      <c r="O663" s="546"/>
      <c r="P663" s="546"/>
      <c r="Q663" s="546"/>
      <c r="R663" s="546"/>
      <c r="S663" s="547"/>
      <c r="T663" s="547"/>
    </row>
    <row r="664">
      <c r="A664" s="548"/>
      <c r="B664" s="548"/>
      <c r="C664" s="548"/>
      <c r="D664" s="548"/>
      <c r="E664" s="548"/>
      <c r="F664" s="548"/>
      <c r="G664" s="548"/>
      <c r="H664" s="548"/>
      <c r="I664" s="548"/>
      <c r="J664" s="548"/>
      <c r="K664" s="548"/>
      <c r="L664" s="548"/>
      <c r="M664" s="549"/>
      <c r="N664" s="546"/>
      <c r="O664" s="546"/>
      <c r="P664" s="546"/>
      <c r="Q664" s="546"/>
      <c r="R664" s="546"/>
      <c r="S664" s="547"/>
      <c r="T664" s="547"/>
    </row>
    <row r="665">
      <c r="A665" s="548"/>
      <c r="B665" s="548"/>
      <c r="C665" s="548"/>
      <c r="D665" s="548"/>
      <c r="E665" s="548"/>
      <c r="F665" s="548"/>
      <c r="G665" s="548"/>
      <c r="H665" s="548"/>
      <c r="I665" s="548"/>
      <c r="J665" s="548"/>
      <c r="K665" s="548"/>
      <c r="L665" s="548"/>
      <c r="M665" s="549"/>
      <c r="N665" s="546"/>
      <c r="O665" s="546"/>
      <c r="P665" s="546"/>
      <c r="Q665" s="546"/>
      <c r="R665" s="546"/>
      <c r="S665" s="547"/>
      <c r="T665" s="547"/>
    </row>
    <row r="666">
      <c r="A666" s="548"/>
      <c r="B666" s="548"/>
      <c r="C666" s="548"/>
      <c r="D666" s="548"/>
      <c r="E666" s="548"/>
      <c r="F666" s="548"/>
      <c r="G666" s="548"/>
      <c r="H666" s="548"/>
      <c r="I666" s="548"/>
      <c r="J666" s="548"/>
      <c r="K666" s="548"/>
      <c r="L666" s="548"/>
      <c r="M666" s="549"/>
      <c r="N666" s="546"/>
      <c r="O666" s="546"/>
      <c r="P666" s="546"/>
      <c r="Q666" s="546"/>
      <c r="R666" s="546"/>
      <c r="S666" s="547"/>
      <c r="T666" s="547"/>
    </row>
    <row r="667">
      <c r="A667" s="548"/>
      <c r="B667" s="548"/>
      <c r="C667" s="548"/>
      <c r="D667" s="548"/>
      <c r="E667" s="548"/>
      <c r="F667" s="548"/>
      <c r="G667" s="548"/>
      <c r="H667" s="548"/>
      <c r="I667" s="548"/>
      <c r="J667" s="548"/>
      <c r="K667" s="548"/>
      <c r="L667" s="548"/>
      <c r="M667" s="549"/>
      <c r="N667" s="546"/>
      <c r="O667" s="546"/>
      <c r="P667" s="546"/>
      <c r="Q667" s="546"/>
      <c r="R667" s="546"/>
      <c r="S667" s="547"/>
      <c r="T667" s="547"/>
    </row>
    <row r="668">
      <c r="A668" s="548"/>
      <c r="B668" s="548"/>
      <c r="C668" s="548"/>
      <c r="D668" s="548"/>
      <c r="E668" s="548"/>
      <c r="F668" s="548"/>
      <c r="G668" s="548"/>
      <c r="H668" s="548"/>
      <c r="I668" s="548"/>
      <c r="J668" s="548"/>
      <c r="K668" s="548"/>
      <c r="L668" s="548"/>
      <c r="M668" s="549"/>
      <c r="N668" s="546"/>
      <c r="O668" s="546"/>
      <c r="P668" s="546"/>
      <c r="Q668" s="546"/>
      <c r="R668" s="546"/>
      <c r="S668" s="547"/>
      <c r="T668" s="547"/>
    </row>
    <row r="669">
      <c r="A669" s="548"/>
      <c r="B669" s="548"/>
      <c r="C669" s="548"/>
      <c r="D669" s="548"/>
      <c r="E669" s="548"/>
      <c r="F669" s="548"/>
      <c r="G669" s="548"/>
      <c r="H669" s="548"/>
      <c r="I669" s="548"/>
      <c r="J669" s="548"/>
      <c r="K669" s="548"/>
      <c r="L669" s="548"/>
      <c r="M669" s="549"/>
      <c r="N669" s="546"/>
      <c r="O669" s="546"/>
      <c r="P669" s="546"/>
      <c r="Q669" s="546"/>
      <c r="R669" s="546"/>
      <c r="S669" s="547"/>
      <c r="T669" s="547"/>
    </row>
    <row r="670">
      <c r="A670" s="548"/>
      <c r="B670" s="548"/>
      <c r="C670" s="548"/>
      <c r="D670" s="548"/>
      <c r="E670" s="548"/>
      <c r="F670" s="548"/>
      <c r="G670" s="548"/>
      <c r="H670" s="548"/>
      <c r="I670" s="548"/>
      <c r="J670" s="548"/>
      <c r="K670" s="548"/>
      <c r="L670" s="548"/>
      <c r="M670" s="549"/>
      <c r="N670" s="546"/>
      <c r="O670" s="546"/>
      <c r="P670" s="546"/>
      <c r="Q670" s="546"/>
      <c r="R670" s="546"/>
      <c r="S670" s="547"/>
      <c r="T670" s="547"/>
    </row>
    <row r="671">
      <c r="A671" s="548"/>
      <c r="B671" s="548"/>
      <c r="C671" s="548"/>
      <c r="D671" s="548"/>
      <c r="E671" s="548"/>
      <c r="F671" s="548"/>
      <c r="G671" s="548"/>
      <c r="H671" s="548"/>
      <c r="I671" s="548"/>
      <c r="J671" s="548"/>
      <c r="K671" s="548"/>
      <c r="L671" s="548"/>
      <c r="M671" s="549"/>
      <c r="N671" s="546"/>
      <c r="O671" s="546"/>
      <c r="P671" s="546"/>
      <c r="Q671" s="546"/>
      <c r="R671" s="546"/>
      <c r="S671" s="547"/>
      <c r="T671" s="547"/>
    </row>
    <row r="672">
      <c r="A672" s="548"/>
      <c r="B672" s="548"/>
      <c r="C672" s="548"/>
      <c r="D672" s="548"/>
      <c r="E672" s="548"/>
      <c r="F672" s="548"/>
      <c r="G672" s="548"/>
      <c r="H672" s="548"/>
      <c r="I672" s="548"/>
      <c r="J672" s="548"/>
      <c r="K672" s="548"/>
      <c r="L672" s="548"/>
      <c r="M672" s="549"/>
      <c r="N672" s="546"/>
      <c r="O672" s="546"/>
      <c r="P672" s="546"/>
      <c r="Q672" s="546"/>
      <c r="R672" s="546"/>
      <c r="S672" s="547"/>
      <c r="T672" s="547"/>
    </row>
    <row r="673">
      <c r="A673" s="548"/>
      <c r="B673" s="548"/>
      <c r="C673" s="548"/>
      <c r="D673" s="548"/>
      <c r="E673" s="548"/>
      <c r="F673" s="548"/>
      <c r="G673" s="548"/>
      <c r="H673" s="548"/>
      <c r="I673" s="548"/>
      <c r="J673" s="548"/>
      <c r="K673" s="548"/>
      <c r="L673" s="548"/>
      <c r="M673" s="549"/>
      <c r="N673" s="546"/>
      <c r="O673" s="546"/>
      <c r="P673" s="546"/>
      <c r="Q673" s="546"/>
      <c r="R673" s="546"/>
      <c r="S673" s="547"/>
      <c r="T673" s="547"/>
    </row>
    <row r="674">
      <c r="A674" s="548"/>
      <c r="B674" s="548"/>
      <c r="C674" s="548"/>
      <c r="D674" s="548"/>
      <c r="E674" s="548"/>
      <c r="F674" s="548"/>
      <c r="G674" s="548"/>
      <c r="H674" s="548"/>
      <c r="I674" s="548"/>
      <c r="J674" s="548"/>
      <c r="K674" s="548"/>
      <c r="L674" s="548"/>
      <c r="M674" s="549"/>
      <c r="N674" s="546"/>
      <c r="O674" s="546"/>
      <c r="P674" s="546"/>
      <c r="Q674" s="546"/>
      <c r="R674" s="546"/>
      <c r="S674" s="547"/>
      <c r="T674" s="547"/>
    </row>
    <row r="675">
      <c r="A675" s="548"/>
      <c r="B675" s="548"/>
      <c r="C675" s="548"/>
      <c r="D675" s="548"/>
      <c r="E675" s="548"/>
      <c r="F675" s="548"/>
      <c r="G675" s="548"/>
      <c r="H675" s="548"/>
      <c r="I675" s="548"/>
      <c r="J675" s="548"/>
      <c r="K675" s="548"/>
      <c r="L675" s="548"/>
      <c r="M675" s="549"/>
      <c r="N675" s="546"/>
      <c r="O675" s="546"/>
      <c r="P675" s="546"/>
      <c r="Q675" s="546"/>
      <c r="R675" s="546"/>
      <c r="S675" s="547"/>
      <c r="T675" s="547"/>
    </row>
    <row r="676">
      <c r="A676" s="548"/>
      <c r="B676" s="548"/>
      <c r="C676" s="548"/>
      <c r="D676" s="548"/>
      <c r="E676" s="548"/>
      <c r="F676" s="548"/>
      <c r="G676" s="548"/>
      <c r="H676" s="548"/>
      <c r="I676" s="548"/>
      <c r="J676" s="548"/>
      <c r="K676" s="548"/>
      <c r="L676" s="548"/>
      <c r="M676" s="549"/>
      <c r="N676" s="546"/>
      <c r="O676" s="546"/>
      <c r="P676" s="546"/>
      <c r="Q676" s="546"/>
      <c r="R676" s="546"/>
      <c r="S676" s="547"/>
      <c r="T676" s="547"/>
    </row>
    <row r="677">
      <c r="A677" s="548"/>
      <c r="B677" s="548"/>
      <c r="C677" s="548"/>
      <c r="D677" s="548"/>
      <c r="E677" s="548"/>
      <c r="F677" s="548"/>
      <c r="G677" s="548"/>
      <c r="H677" s="548"/>
      <c r="I677" s="548"/>
      <c r="J677" s="548"/>
      <c r="K677" s="548"/>
      <c r="L677" s="548"/>
      <c r="M677" s="549"/>
      <c r="N677" s="546"/>
      <c r="O677" s="546"/>
      <c r="P677" s="546"/>
      <c r="Q677" s="546"/>
      <c r="R677" s="546"/>
      <c r="S677" s="547"/>
      <c r="T677" s="547"/>
    </row>
    <row r="678">
      <c r="A678" s="548"/>
      <c r="B678" s="548"/>
      <c r="C678" s="548"/>
      <c r="D678" s="548"/>
      <c r="E678" s="548"/>
      <c r="F678" s="548"/>
      <c r="G678" s="548"/>
      <c r="H678" s="548"/>
      <c r="I678" s="548"/>
      <c r="J678" s="548"/>
      <c r="K678" s="548"/>
      <c r="L678" s="548"/>
      <c r="M678" s="549"/>
      <c r="N678" s="546"/>
      <c r="O678" s="546"/>
      <c r="P678" s="546"/>
      <c r="Q678" s="546"/>
      <c r="R678" s="546"/>
      <c r="S678" s="547"/>
      <c r="T678" s="547"/>
    </row>
    <row r="679">
      <c r="A679" s="548"/>
      <c r="B679" s="548"/>
      <c r="C679" s="548"/>
      <c r="D679" s="548"/>
      <c r="E679" s="548"/>
      <c r="F679" s="548"/>
      <c r="G679" s="548"/>
      <c r="H679" s="548"/>
      <c r="I679" s="548"/>
      <c r="J679" s="548"/>
      <c r="K679" s="548"/>
      <c r="L679" s="548"/>
      <c r="M679" s="549"/>
      <c r="N679" s="546"/>
      <c r="O679" s="546"/>
      <c r="P679" s="546"/>
      <c r="Q679" s="546"/>
      <c r="R679" s="546"/>
      <c r="S679" s="547"/>
      <c r="T679" s="547"/>
    </row>
    <row r="680">
      <c r="A680" s="548"/>
      <c r="B680" s="548"/>
      <c r="C680" s="548"/>
      <c r="D680" s="548"/>
      <c r="E680" s="548"/>
      <c r="F680" s="548"/>
      <c r="G680" s="548"/>
      <c r="H680" s="548"/>
      <c r="I680" s="548"/>
      <c r="J680" s="548"/>
      <c r="K680" s="548"/>
      <c r="L680" s="548"/>
      <c r="M680" s="549"/>
      <c r="N680" s="546"/>
      <c r="O680" s="546"/>
      <c r="P680" s="546"/>
      <c r="Q680" s="546"/>
      <c r="R680" s="546"/>
      <c r="S680" s="547"/>
      <c r="T680" s="547"/>
    </row>
    <row r="681">
      <c r="A681" s="548"/>
      <c r="B681" s="548"/>
      <c r="C681" s="548"/>
      <c r="D681" s="548"/>
      <c r="E681" s="548"/>
      <c r="F681" s="548"/>
      <c r="G681" s="548"/>
      <c r="H681" s="548"/>
      <c r="I681" s="548"/>
      <c r="J681" s="548"/>
      <c r="K681" s="548"/>
      <c r="L681" s="548"/>
      <c r="M681" s="549"/>
      <c r="N681" s="546"/>
      <c r="O681" s="546"/>
      <c r="P681" s="546"/>
      <c r="Q681" s="546"/>
      <c r="R681" s="546"/>
      <c r="S681" s="547"/>
      <c r="T681" s="547"/>
    </row>
    <row r="682">
      <c r="A682" s="548"/>
      <c r="B682" s="548"/>
      <c r="C682" s="548"/>
      <c r="D682" s="548"/>
      <c r="E682" s="548"/>
      <c r="F682" s="548"/>
      <c r="G682" s="548"/>
      <c r="H682" s="548"/>
      <c r="I682" s="548"/>
      <c r="J682" s="548"/>
      <c r="K682" s="548"/>
      <c r="L682" s="548"/>
      <c r="M682" s="549"/>
      <c r="N682" s="546"/>
      <c r="O682" s="546"/>
      <c r="P682" s="546"/>
      <c r="Q682" s="546"/>
      <c r="R682" s="546"/>
      <c r="S682" s="547"/>
      <c r="T682" s="547"/>
    </row>
    <row r="683">
      <c r="A683" s="548"/>
      <c r="B683" s="548"/>
      <c r="C683" s="548"/>
      <c r="D683" s="548"/>
      <c r="E683" s="548"/>
      <c r="F683" s="548"/>
      <c r="G683" s="548"/>
      <c r="H683" s="548"/>
      <c r="I683" s="548"/>
      <c r="J683" s="548"/>
      <c r="K683" s="548"/>
      <c r="L683" s="548"/>
      <c r="M683" s="549"/>
      <c r="N683" s="546"/>
      <c r="O683" s="546"/>
      <c r="P683" s="546"/>
      <c r="Q683" s="546"/>
      <c r="R683" s="546"/>
      <c r="S683" s="547"/>
      <c r="T683" s="547"/>
    </row>
    <row r="684">
      <c r="A684" s="548"/>
      <c r="B684" s="548"/>
      <c r="C684" s="548"/>
      <c r="D684" s="548"/>
      <c r="E684" s="548"/>
      <c r="F684" s="548"/>
      <c r="G684" s="548"/>
      <c r="H684" s="548"/>
      <c r="I684" s="548"/>
      <c r="J684" s="548"/>
      <c r="K684" s="548"/>
      <c r="L684" s="548"/>
      <c r="M684" s="549"/>
      <c r="N684" s="546"/>
      <c r="O684" s="546"/>
      <c r="P684" s="546"/>
      <c r="Q684" s="546"/>
      <c r="R684" s="546"/>
      <c r="S684" s="547"/>
      <c r="T684" s="547"/>
    </row>
    <row r="685">
      <c r="A685" s="548"/>
      <c r="B685" s="548"/>
      <c r="C685" s="548"/>
      <c r="D685" s="548"/>
      <c r="E685" s="548"/>
      <c r="F685" s="548"/>
      <c r="G685" s="548"/>
      <c r="H685" s="548"/>
      <c r="I685" s="548"/>
      <c r="J685" s="548"/>
      <c r="K685" s="548"/>
      <c r="L685" s="548"/>
      <c r="M685" s="549"/>
      <c r="N685" s="546"/>
      <c r="O685" s="546"/>
      <c r="P685" s="546"/>
      <c r="Q685" s="546"/>
      <c r="R685" s="546"/>
      <c r="S685" s="547"/>
      <c r="T685" s="547"/>
    </row>
    <row r="686">
      <c r="A686" s="548"/>
      <c r="B686" s="548"/>
      <c r="C686" s="548"/>
      <c r="D686" s="548"/>
      <c r="E686" s="548"/>
      <c r="F686" s="548"/>
      <c r="G686" s="548"/>
      <c r="H686" s="548"/>
      <c r="I686" s="548"/>
      <c r="J686" s="548"/>
      <c r="K686" s="548"/>
      <c r="L686" s="548"/>
      <c r="M686" s="549"/>
      <c r="N686" s="546"/>
      <c r="O686" s="546"/>
      <c r="P686" s="546"/>
      <c r="Q686" s="546"/>
      <c r="R686" s="546"/>
      <c r="S686" s="547"/>
      <c r="T686" s="547"/>
    </row>
    <row r="687">
      <c r="A687" s="548"/>
      <c r="B687" s="548"/>
      <c r="C687" s="548"/>
      <c r="D687" s="548"/>
      <c r="E687" s="548"/>
      <c r="F687" s="548"/>
      <c r="G687" s="548"/>
      <c r="H687" s="548"/>
      <c r="I687" s="548"/>
      <c r="J687" s="548"/>
      <c r="K687" s="548"/>
      <c r="L687" s="548"/>
      <c r="M687" s="549"/>
      <c r="N687" s="546"/>
      <c r="O687" s="546"/>
      <c r="P687" s="546"/>
      <c r="Q687" s="546"/>
      <c r="R687" s="546"/>
      <c r="S687" s="547"/>
      <c r="T687" s="547"/>
    </row>
    <row r="688">
      <c r="A688" s="548"/>
      <c r="B688" s="548"/>
      <c r="C688" s="548"/>
      <c r="D688" s="548"/>
      <c r="E688" s="548"/>
      <c r="F688" s="548"/>
      <c r="G688" s="548"/>
      <c r="H688" s="548"/>
      <c r="I688" s="548"/>
      <c r="J688" s="548"/>
      <c r="K688" s="548"/>
      <c r="L688" s="548"/>
      <c r="M688" s="549"/>
      <c r="N688" s="546"/>
      <c r="O688" s="546"/>
      <c r="P688" s="546"/>
      <c r="Q688" s="546"/>
      <c r="R688" s="546"/>
      <c r="S688" s="547"/>
      <c r="T688" s="547"/>
    </row>
    <row r="689">
      <c r="A689" s="548"/>
      <c r="B689" s="548"/>
      <c r="C689" s="548"/>
      <c r="D689" s="548"/>
      <c r="E689" s="548"/>
      <c r="F689" s="548"/>
      <c r="G689" s="548"/>
      <c r="H689" s="548"/>
      <c r="I689" s="548"/>
      <c r="J689" s="548"/>
      <c r="K689" s="548"/>
      <c r="L689" s="548"/>
      <c r="M689" s="549"/>
      <c r="N689" s="546"/>
      <c r="O689" s="546"/>
      <c r="P689" s="546"/>
      <c r="Q689" s="546"/>
      <c r="R689" s="546"/>
      <c r="S689" s="547"/>
      <c r="T689" s="547"/>
    </row>
    <row r="690">
      <c r="A690" s="548"/>
      <c r="B690" s="548"/>
      <c r="C690" s="548"/>
      <c r="D690" s="548"/>
      <c r="E690" s="548"/>
      <c r="F690" s="548"/>
      <c r="G690" s="548"/>
      <c r="H690" s="548"/>
      <c r="I690" s="548"/>
      <c r="J690" s="548"/>
      <c r="K690" s="548"/>
      <c r="L690" s="548"/>
      <c r="M690" s="549"/>
      <c r="N690" s="546"/>
      <c r="O690" s="546"/>
      <c r="P690" s="546"/>
      <c r="Q690" s="546"/>
      <c r="R690" s="546"/>
      <c r="S690" s="547"/>
      <c r="T690" s="547"/>
    </row>
    <row r="691">
      <c r="A691" s="548"/>
      <c r="B691" s="548"/>
      <c r="C691" s="548"/>
      <c r="D691" s="548"/>
      <c r="E691" s="548"/>
      <c r="F691" s="548"/>
      <c r="G691" s="548"/>
      <c r="H691" s="548"/>
      <c r="I691" s="548"/>
      <c r="J691" s="548"/>
      <c r="K691" s="548"/>
      <c r="L691" s="548"/>
      <c r="M691" s="549"/>
      <c r="N691" s="546"/>
      <c r="O691" s="546"/>
      <c r="P691" s="546"/>
      <c r="Q691" s="546"/>
      <c r="R691" s="546"/>
      <c r="S691" s="547"/>
      <c r="T691" s="547"/>
    </row>
    <row r="692">
      <c r="A692" s="548"/>
      <c r="B692" s="548"/>
      <c r="C692" s="548"/>
      <c r="D692" s="548"/>
      <c r="E692" s="548"/>
      <c r="F692" s="548"/>
      <c r="G692" s="548"/>
      <c r="H692" s="548"/>
      <c r="I692" s="548"/>
      <c r="J692" s="548"/>
      <c r="K692" s="548"/>
      <c r="L692" s="548"/>
      <c r="M692" s="549"/>
      <c r="N692" s="546"/>
      <c r="O692" s="546"/>
      <c r="P692" s="546"/>
      <c r="Q692" s="546"/>
      <c r="R692" s="546"/>
      <c r="S692" s="547"/>
      <c r="T692" s="547"/>
    </row>
    <row r="693">
      <c r="A693" s="548"/>
      <c r="B693" s="548"/>
      <c r="C693" s="548"/>
      <c r="D693" s="548"/>
      <c r="E693" s="548"/>
      <c r="F693" s="548"/>
      <c r="G693" s="548"/>
      <c r="H693" s="548"/>
      <c r="I693" s="548"/>
      <c r="J693" s="548"/>
      <c r="K693" s="548"/>
      <c r="L693" s="548"/>
      <c r="M693" s="549"/>
      <c r="N693" s="546"/>
      <c r="O693" s="546"/>
      <c r="P693" s="546"/>
      <c r="Q693" s="546"/>
      <c r="R693" s="546"/>
      <c r="S693" s="547"/>
      <c r="T693" s="547"/>
    </row>
    <row r="694">
      <c r="A694" s="548"/>
      <c r="B694" s="548"/>
      <c r="C694" s="548"/>
      <c r="D694" s="548"/>
      <c r="E694" s="548"/>
      <c r="F694" s="548"/>
      <c r="G694" s="548"/>
      <c r="H694" s="548"/>
      <c r="I694" s="548"/>
      <c r="J694" s="548"/>
      <c r="K694" s="548"/>
      <c r="L694" s="548"/>
      <c r="M694" s="549"/>
      <c r="N694" s="546"/>
      <c r="O694" s="546"/>
      <c r="P694" s="546"/>
      <c r="Q694" s="546"/>
      <c r="R694" s="546"/>
      <c r="S694" s="547"/>
      <c r="T694" s="547"/>
    </row>
    <row r="695">
      <c r="A695" s="548"/>
      <c r="B695" s="548"/>
      <c r="C695" s="548"/>
      <c r="D695" s="548"/>
      <c r="E695" s="548"/>
      <c r="F695" s="548"/>
      <c r="G695" s="548"/>
      <c r="H695" s="548"/>
      <c r="I695" s="548"/>
      <c r="J695" s="548"/>
      <c r="K695" s="548"/>
      <c r="L695" s="548"/>
      <c r="M695" s="549"/>
      <c r="N695" s="546"/>
      <c r="O695" s="546"/>
      <c r="P695" s="546"/>
      <c r="Q695" s="546"/>
      <c r="R695" s="546"/>
      <c r="S695" s="547"/>
      <c r="T695" s="547"/>
    </row>
    <row r="696">
      <c r="A696" s="548"/>
      <c r="B696" s="548"/>
      <c r="C696" s="548"/>
      <c r="D696" s="548"/>
      <c r="E696" s="548"/>
      <c r="F696" s="548"/>
      <c r="G696" s="548"/>
      <c r="H696" s="548"/>
      <c r="I696" s="548"/>
      <c r="J696" s="548"/>
      <c r="K696" s="548"/>
      <c r="L696" s="548"/>
      <c r="M696" s="549"/>
      <c r="N696" s="546"/>
      <c r="O696" s="546"/>
      <c r="P696" s="546"/>
      <c r="Q696" s="546"/>
      <c r="R696" s="546"/>
      <c r="S696" s="547"/>
      <c r="T696" s="547"/>
    </row>
    <row r="697">
      <c r="A697" s="548"/>
      <c r="B697" s="548"/>
      <c r="C697" s="548"/>
      <c r="D697" s="548"/>
      <c r="E697" s="548"/>
      <c r="F697" s="548"/>
      <c r="G697" s="548"/>
      <c r="H697" s="548"/>
      <c r="I697" s="548"/>
      <c r="J697" s="548"/>
      <c r="K697" s="548"/>
      <c r="L697" s="548"/>
      <c r="M697" s="549"/>
      <c r="N697" s="546"/>
      <c r="O697" s="546"/>
      <c r="P697" s="546"/>
      <c r="Q697" s="546"/>
      <c r="R697" s="546"/>
      <c r="S697" s="547"/>
      <c r="T697" s="547"/>
    </row>
    <row r="698">
      <c r="A698" s="548"/>
      <c r="B698" s="548"/>
      <c r="C698" s="548"/>
      <c r="D698" s="548"/>
      <c r="E698" s="548"/>
      <c r="F698" s="548"/>
      <c r="G698" s="548"/>
      <c r="H698" s="548"/>
      <c r="I698" s="548"/>
      <c r="J698" s="548"/>
      <c r="K698" s="548"/>
      <c r="L698" s="548"/>
      <c r="M698" s="549"/>
      <c r="N698" s="546"/>
      <c r="O698" s="546"/>
      <c r="P698" s="546"/>
      <c r="Q698" s="546"/>
      <c r="R698" s="546"/>
      <c r="S698" s="547"/>
      <c r="T698" s="547"/>
    </row>
    <row r="699">
      <c r="A699" s="548"/>
      <c r="B699" s="548"/>
      <c r="C699" s="548"/>
      <c r="D699" s="548"/>
      <c r="E699" s="548"/>
      <c r="F699" s="548"/>
      <c r="G699" s="548"/>
      <c r="H699" s="548"/>
      <c r="I699" s="548"/>
      <c r="J699" s="548"/>
      <c r="K699" s="548"/>
      <c r="L699" s="548"/>
      <c r="M699" s="549"/>
      <c r="N699" s="546"/>
      <c r="O699" s="546"/>
      <c r="P699" s="546"/>
      <c r="Q699" s="546"/>
      <c r="R699" s="546"/>
      <c r="S699" s="547"/>
      <c r="T699" s="547"/>
    </row>
    <row r="700">
      <c r="A700" s="548"/>
      <c r="B700" s="548"/>
      <c r="C700" s="548"/>
      <c r="D700" s="548"/>
      <c r="E700" s="548"/>
      <c r="F700" s="548"/>
      <c r="G700" s="548"/>
      <c r="H700" s="548"/>
      <c r="I700" s="548"/>
      <c r="J700" s="548"/>
      <c r="K700" s="548"/>
      <c r="L700" s="548"/>
      <c r="M700" s="549"/>
      <c r="N700" s="546"/>
      <c r="O700" s="546"/>
      <c r="P700" s="546"/>
      <c r="Q700" s="546"/>
      <c r="R700" s="546"/>
      <c r="S700" s="547"/>
      <c r="T700" s="547"/>
    </row>
    <row r="701">
      <c r="A701" s="548"/>
      <c r="B701" s="548"/>
      <c r="C701" s="548"/>
      <c r="D701" s="548"/>
      <c r="E701" s="548"/>
      <c r="F701" s="548"/>
      <c r="G701" s="548"/>
      <c r="H701" s="548"/>
      <c r="I701" s="548"/>
      <c r="J701" s="548"/>
      <c r="K701" s="548"/>
      <c r="L701" s="548"/>
      <c r="M701" s="549"/>
      <c r="N701" s="546"/>
      <c r="O701" s="546"/>
      <c r="P701" s="546"/>
      <c r="Q701" s="546"/>
      <c r="R701" s="546"/>
      <c r="S701" s="547"/>
      <c r="T701" s="547"/>
    </row>
    <row r="702">
      <c r="A702" s="548"/>
      <c r="B702" s="548"/>
      <c r="C702" s="548"/>
      <c r="D702" s="548"/>
      <c r="E702" s="548"/>
      <c r="F702" s="548"/>
      <c r="G702" s="548"/>
      <c r="H702" s="548"/>
      <c r="I702" s="548"/>
      <c r="J702" s="548"/>
      <c r="K702" s="548"/>
      <c r="L702" s="548"/>
      <c r="M702" s="549"/>
      <c r="N702" s="546"/>
      <c r="O702" s="546"/>
      <c r="P702" s="546"/>
      <c r="Q702" s="546"/>
      <c r="R702" s="546"/>
      <c r="S702" s="547"/>
      <c r="T702" s="547"/>
    </row>
    <row r="703">
      <c r="A703" s="548"/>
      <c r="B703" s="548"/>
      <c r="C703" s="548"/>
      <c r="D703" s="548"/>
      <c r="E703" s="548"/>
      <c r="F703" s="548"/>
      <c r="G703" s="548"/>
      <c r="H703" s="548"/>
      <c r="I703" s="548"/>
      <c r="J703" s="548"/>
      <c r="K703" s="548"/>
      <c r="L703" s="548"/>
      <c r="M703" s="549"/>
      <c r="N703" s="546"/>
      <c r="O703" s="546"/>
      <c r="P703" s="546"/>
      <c r="Q703" s="546"/>
      <c r="R703" s="546"/>
      <c r="S703" s="547"/>
      <c r="T703" s="547"/>
    </row>
    <row r="704">
      <c r="A704" s="548"/>
      <c r="B704" s="548"/>
      <c r="C704" s="548"/>
      <c r="D704" s="548"/>
      <c r="E704" s="548"/>
      <c r="F704" s="548"/>
      <c r="G704" s="548"/>
      <c r="H704" s="548"/>
      <c r="I704" s="548"/>
      <c r="J704" s="548"/>
      <c r="K704" s="548"/>
      <c r="L704" s="548"/>
      <c r="M704" s="549"/>
      <c r="N704" s="546"/>
      <c r="O704" s="546"/>
      <c r="P704" s="546"/>
      <c r="Q704" s="546"/>
      <c r="R704" s="546"/>
      <c r="S704" s="547"/>
      <c r="T704" s="547"/>
    </row>
    <row r="705">
      <c r="A705" s="548"/>
      <c r="B705" s="548"/>
      <c r="C705" s="548"/>
      <c r="D705" s="548"/>
      <c r="E705" s="548"/>
      <c r="F705" s="548"/>
      <c r="G705" s="548"/>
      <c r="H705" s="548"/>
      <c r="I705" s="548"/>
      <c r="J705" s="548"/>
      <c r="K705" s="548"/>
      <c r="L705" s="548"/>
      <c r="M705" s="549"/>
      <c r="N705" s="546"/>
      <c r="O705" s="546"/>
      <c r="P705" s="546"/>
      <c r="Q705" s="546"/>
      <c r="R705" s="546"/>
      <c r="S705" s="547"/>
      <c r="T705" s="547"/>
    </row>
    <row r="706">
      <c r="A706" s="548"/>
      <c r="B706" s="548"/>
      <c r="C706" s="548"/>
      <c r="D706" s="548"/>
      <c r="E706" s="548"/>
      <c r="F706" s="548"/>
      <c r="G706" s="548"/>
      <c r="H706" s="548"/>
      <c r="I706" s="548"/>
      <c r="J706" s="548"/>
      <c r="K706" s="548"/>
      <c r="L706" s="548"/>
      <c r="M706" s="549"/>
      <c r="N706" s="546"/>
      <c r="O706" s="546"/>
      <c r="P706" s="546"/>
      <c r="Q706" s="546"/>
      <c r="R706" s="546"/>
      <c r="S706" s="547"/>
      <c r="T706" s="547"/>
    </row>
    <row r="707">
      <c r="A707" s="548"/>
      <c r="B707" s="548"/>
      <c r="C707" s="548"/>
      <c r="D707" s="548"/>
      <c r="E707" s="548"/>
      <c r="F707" s="548"/>
      <c r="G707" s="548"/>
      <c r="H707" s="548"/>
      <c r="I707" s="548"/>
      <c r="J707" s="548"/>
      <c r="K707" s="548"/>
      <c r="L707" s="548"/>
      <c r="M707" s="549"/>
      <c r="N707" s="546"/>
      <c r="O707" s="546"/>
      <c r="P707" s="546"/>
      <c r="Q707" s="546"/>
      <c r="R707" s="546"/>
      <c r="S707" s="547"/>
      <c r="T707" s="547"/>
    </row>
    <row r="708">
      <c r="A708" s="548"/>
      <c r="B708" s="548"/>
      <c r="C708" s="548"/>
      <c r="D708" s="548"/>
      <c r="E708" s="548"/>
      <c r="F708" s="548"/>
      <c r="G708" s="548"/>
      <c r="H708" s="548"/>
      <c r="I708" s="548"/>
      <c r="J708" s="548"/>
      <c r="K708" s="548"/>
      <c r="L708" s="548"/>
      <c r="M708" s="549"/>
      <c r="N708" s="546"/>
      <c r="O708" s="546"/>
      <c r="P708" s="546"/>
      <c r="Q708" s="546"/>
      <c r="R708" s="546"/>
      <c r="S708" s="547"/>
      <c r="T708" s="547"/>
    </row>
    <row r="709">
      <c r="A709" s="548"/>
      <c r="B709" s="548"/>
      <c r="C709" s="548"/>
      <c r="D709" s="548"/>
      <c r="E709" s="548"/>
      <c r="F709" s="548"/>
      <c r="G709" s="548"/>
      <c r="H709" s="548"/>
      <c r="I709" s="548"/>
      <c r="J709" s="548"/>
      <c r="K709" s="548"/>
      <c r="L709" s="548"/>
      <c r="M709" s="549"/>
      <c r="N709" s="546"/>
      <c r="O709" s="546"/>
      <c r="P709" s="546"/>
      <c r="Q709" s="546"/>
      <c r="R709" s="546"/>
      <c r="S709" s="547"/>
      <c r="T709" s="547"/>
    </row>
    <row r="710">
      <c r="A710" s="548"/>
      <c r="B710" s="548"/>
      <c r="C710" s="548"/>
      <c r="D710" s="548"/>
      <c r="E710" s="548"/>
      <c r="F710" s="548"/>
      <c r="G710" s="548"/>
      <c r="H710" s="548"/>
      <c r="I710" s="548"/>
      <c r="J710" s="548"/>
      <c r="K710" s="548"/>
      <c r="L710" s="548"/>
      <c r="M710" s="549"/>
      <c r="N710" s="546"/>
      <c r="O710" s="546"/>
      <c r="P710" s="546"/>
      <c r="Q710" s="546"/>
      <c r="R710" s="546"/>
      <c r="S710" s="547"/>
      <c r="T710" s="547"/>
    </row>
    <row r="711">
      <c r="A711" s="548"/>
      <c r="B711" s="548"/>
      <c r="C711" s="548"/>
      <c r="D711" s="548"/>
      <c r="E711" s="548"/>
      <c r="F711" s="548"/>
      <c r="G711" s="548"/>
      <c r="H711" s="548"/>
      <c r="I711" s="548"/>
      <c r="J711" s="548"/>
      <c r="K711" s="548"/>
      <c r="L711" s="548"/>
      <c r="M711" s="549"/>
      <c r="N711" s="546"/>
      <c r="O711" s="546"/>
      <c r="P711" s="546"/>
      <c r="Q711" s="546"/>
      <c r="R711" s="546"/>
      <c r="S711" s="547"/>
      <c r="T711" s="547"/>
    </row>
    <row r="712">
      <c r="A712" s="548"/>
      <c r="B712" s="548"/>
      <c r="C712" s="548"/>
      <c r="D712" s="548"/>
      <c r="E712" s="548"/>
      <c r="F712" s="548"/>
      <c r="G712" s="548"/>
      <c r="H712" s="548"/>
      <c r="I712" s="548"/>
      <c r="J712" s="548"/>
      <c r="K712" s="548"/>
      <c r="L712" s="548"/>
      <c r="M712" s="549"/>
      <c r="N712" s="546"/>
      <c r="O712" s="546"/>
      <c r="P712" s="546"/>
      <c r="Q712" s="546"/>
      <c r="R712" s="546"/>
      <c r="S712" s="547"/>
      <c r="T712" s="547"/>
    </row>
    <row r="713">
      <c r="A713" s="548"/>
      <c r="B713" s="548"/>
      <c r="C713" s="548"/>
      <c r="D713" s="548"/>
      <c r="E713" s="548"/>
      <c r="F713" s="548"/>
      <c r="G713" s="548"/>
      <c r="H713" s="548"/>
      <c r="I713" s="548"/>
      <c r="J713" s="548"/>
      <c r="K713" s="548"/>
      <c r="L713" s="548"/>
      <c r="M713" s="549"/>
      <c r="N713" s="546"/>
      <c r="O713" s="546"/>
      <c r="P713" s="546"/>
      <c r="Q713" s="546"/>
      <c r="R713" s="546"/>
      <c r="S713" s="547"/>
      <c r="T713" s="547"/>
    </row>
    <row r="714">
      <c r="A714" s="548"/>
      <c r="B714" s="548"/>
      <c r="C714" s="548"/>
      <c r="D714" s="548"/>
      <c r="E714" s="548"/>
      <c r="F714" s="548"/>
      <c r="G714" s="548"/>
      <c r="H714" s="548"/>
      <c r="I714" s="548"/>
      <c r="J714" s="548"/>
      <c r="K714" s="548"/>
      <c r="L714" s="548"/>
      <c r="M714" s="549"/>
      <c r="N714" s="546"/>
      <c r="O714" s="546"/>
      <c r="P714" s="546"/>
      <c r="Q714" s="546"/>
      <c r="R714" s="546"/>
      <c r="S714" s="547"/>
      <c r="T714" s="547"/>
    </row>
    <row r="715">
      <c r="A715" s="548"/>
      <c r="B715" s="548"/>
      <c r="C715" s="548"/>
      <c r="D715" s="548"/>
      <c r="E715" s="548"/>
      <c r="F715" s="548"/>
      <c r="G715" s="548"/>
      <c r="H715" s="548"/>
      <c r="I715" s="548"/>
      <c r="J715" s="548"/>
      <c r="K715" s="548"/>
      <c r="L715" s="548"/>
      <c r="M715" s="549"/>
      <c r="N715" s="546"/>
      <c r="O715" s="546"/>
      <c r="P715" s="546"/>
      <c r="Q715" s="546"/>
      <c r="R715" s="546"/>
      <c r="S715" s="547"/>
      <c r="T715" s="547"/>
    </row>
    <row r="716">
      <c r="A716" s="548"/>
      <c r="B716" s="548"/>
      <c r="C716" s="548"/>
      <c r="D716" s="548"/>
      <c r="E716" s="548"/>
      <c r="F716" s="548"/>
      <c r="G716" s="548"/>
      <c r="H716" s="548"/>
      <c r="I716" s="548"/>
      <c r="J716" s="548"/>
      <c r="K716" s="548"/>
      <c r="L716" s="548"/>
      <c r="M716" s="549"/>
      <c r="N716" s="546"/>
      <c r="O716" s="546"/>
      <c r="P716" s="546"/>
      <c r="Q716" s="546"/>
      <c r="R716" s="546"/>
      <c r="S716" s="547"/>
      <c r="T716" s="547"/>
    </row>
    <row r="717">
      <c r="A717" s="548"/>
      <c r="B717" s="548"/>
      <c r="C717" s="548"/>
      <c r="D717" s="548"/>
      <c r="E717" s="548"/>
      <c r="F717" s="548"/>
      <c r="G717" s="548"/>
      <c r="H717" s="548"/>
      <c r="I717" s="548"/>
      <c r="J717" s="548"/>
      <c r="K717" s="548"/>
      <c r="L717" s="548"/>
      <c r="M717" s="549"/>
      <c r="N717" s="546"/>
      <c r="O717" s="546"/>
      <c r="P717" s="546"/>
      <c r="Q717" s="546"/>
      <c r="R717" s="546"/>
      <c r="S717" s="547"/>
      <c r="T717" s="547"/>
    </row>
    <row r="718">
      <c r="A718" s="548"/>
      <c r="B718" s="548"/>
      <c r="C718" s="548"/>
      <c r="D718" s="548"/>
      <c r="E718" s="548"/>
      <c r="F718" s="548"/>
      <c r="G718" s="548"/>
      <c r="H718" s="548"/>
      <c r="I718" s="548"/>
      <c r="J718" s="548"/>
      <c r="K718" s="548"/>
      <c r="L718" s="548"/>
      <c r="M718" s="549"/>
      <c r="N718" s="546"/>
      <c r="O718" s="546"/>
      <c r="P718" s="546"/>
      <c r="Q718" s="546"/>
      <c r="R718" s="546"/>
      <c r="S718" s="547"/>
      <c r="T718" s="547"/>
    </row>
    <row r="719">
      <c r="A719" s="548"/>
      <c r="B719" s="548"/>
      <c r="C719" s="548"/>
      <c r="D719" s="548"/>
      <c r="E719" s="548"/>
      <c r="F719" s="548"/>
      <c r="G719" s="548"/>
      <c r="H719" s="548"/>
      <c r="I719" s="548"/>
      <c r="J719" s="548"/>
      <c r="K719" s="548"/>
      <c r="L719" s="548"/>
      <c r="M719" s="549"/>
      <c r="N719" s="546"/>
      <c r="O719" s="546"/>
      <c r="P719" s="546"/>
      <c r="Q719" s="546"/>
      <c r="R719" s="546"/>
      <c r="S719" s="547"/>
      <c r="T719" s="547"/>
    </row>
    <row r="720">
      <c r="A720" s="548"/>
      <c r="B720" s="548"/>
      <c r="C720" s="548"/>
      <c r="D720" s="548"/>
      <c r="E720" s="548"/>
      <c r="F720" s="548"/>
      <c r="G720" s="548"/>
      <c r="H720" s="548"/>
      <c r="I720" s="548"/>
      <c r="J720" s="548"/>
      <c r="K720" s="548"/>
      <c r="L720" s="548"/>
      <c r="M720" s="549"/>
      <c r="N720" s="546"/>
      <c r="O720" s="546"/>
      <c r="P720" s="546"/>
      <c r="Q720" s="546"/>
      <c r="R720" s="546"/>
      <c r="S720" s="547"/>
      <c r="T720" s="547"/>
    </row>
    <row r="721">
      <c r="A721" s="548"/>
      <c r="B721" s="548"/>
      <c r="C721" s="548"/>
      <c r="D721" s="548"/>
      <c r="E721" s="548"/>
      <c r="F721" s="548"/>
      <c r="G721" s="548"/>
      <c r="H721" s="548"/>
      <c r="I721" s="548"/>
      <c r="J721" s="548"/>
      <c r="K721" s="548"/>
      <c r="L721" s="548"/>
      <c r="M721" s="549"/>
      <c r="N721" s="546"/>
      <c r="O721" s="546"/>
      <c r="P721" s="546"/>
      <c r="Q721" s="546"/>
      <c r="R721" s="546"/>
      <c r="S721" s="547"/>
      <c r="T721" s="547"/>
    </row>
    <row r="722">
      <c r="A722" s="548"/>
      <c r="B722" s="548"/>
      <c r="C722" s="548"/>
      <c r="D722" s="548"/>
      <c r="E722" s="548"/>
      <c r="F722" s="548"/>
      <c r="G722" s="548"/>
      <c r="H722" s="548"/>
      <c r="I722" s="548"/>
      <c r="J722" s="548"/>
      <c r="K722" s="548"/>
      <c r="L722" s="548"/>
      <c r="M722" s="549"/>
      <c r="N722" s="546"/>
      <c r="O722" s="546"/>
      <c r="P722" s="546"/>
      <c r="Q722" s="546"/>
      <c r="R722" s="546"/>
      <c r="S722" s="547"/>
      <c r="T722" s="547"/>
    </row>
    <row r="723">
      <c r="A723" s="548"/>
      <c r="B723" s="548"/>
      <c r="C723" s="548"/>
      <c r="D723" s="548"/>
      <c r="E723" s="548"/>
      <c r="F723" s="548"/>
      <c r="G723" s="548"/>
      <c r="H723" s="548"/>
      <c r="I723" s="548"/>
      <c r="J723" s="548"/>
      <c r="K723" s="548"/>
      <c r="L723" s="548"/>
      <c r="M723" s="549"/>
      <c r="N723" s="546"/>
      <c r="O723" s="546"/>
      <c r="P723" s="546"/>
      <c r="Q723" s="546"/>
      <c r="R723" s="546"/>
      <c r="S723" s="547"/>
      <c r="T723" s="547"/>
    </row>
    <row r="724">
      <c r="A724" s="548"/>
      <c r="B724" s="548"/>
      <c r="C724" s="548"/>
      <c r="D724" s="548"/>
      <c r="E724" s="548"/>
      <c r="F724" s="548"/>
      <c r="G724" s="548"/>
      <c r="H724" s="548"/>
      <c r="I724" s="548"/>
      <c r="J724" s="548"/>
      <c r="K724" s="548"/>
      <c r="L724" s="548"/>
      <c r="M724" s="549"/>
      <c r="N724" s="546"/>
      <c r="O724" s="546"/>
      <c r="P724" s="546"/>
      <c r="Q724" s="546"/>
      <c r="R724" s="546"/>
      <c r="S724" s="547"/>
      <c r="T724" s="547"/>
    </row>
    <row r="725">
      <c r="A725" s="548"/>
      <c r="B725" s="548"/>
      <c r="C725" s="548"/>
      <c r="D725" s="548"/>
      <c r="E725" s="548"/>
      <c r="F725" s="548"/>
      <c r="G725" s="548"/>
      <c r="H725" s="548"/>
      <c r="I725" s="548"/>
      <c r="J725" s="548"/>
      <c r="K725" s="548"/>
      <c r="L725" s="548"/>
      <c r="M725" s="549"/>
      <c r="N725" s="546"/>
      <c r="O725" s="546"/>
      <c r="P725" s="546"/>
      <c r="Q725" s="546"/>
      <c r="R725" s="546"/>
      <c r="S725" s="547"/>
      <c r="T725" s="547"/>
    </row>
    <row r="726">
      <c r="A726" s="548"/>
      <c r="B726" s="548"/>
      <c r="C726" s="548"/>
      <c r="D726" s="548"/>
      <c r="E726" s="548"/>
      <c r="F726" s="548"/>
      <c r="G726" s="548"/>
      <c r="H726" s="548"/>
      <c r="I726" s="548"/>
      <c r="J726" s="548"/>
      <c r="K726" s="548"/>
      <c r="L726" s="548"/>
      <c r="M726" s="549"/>
      <c r="N726" s="546"/>
      <c r="O726" s="546"/>
      <c r="P726" s="546"/>
      <c r="Q726" s="546"/>
      <c r="R726" s="546"/>
      <c r="S726" s="547"/>
      <c r="T726" s="547"/>
    </row>
    <row r="727">
      <c r="A727" s="548"/>
      <c r="B727" s="548"/>
      <c r="C727" s="548"/>
      <c r="D727" s="548"/>
      <c r="E727" s="548"/>
      <c r="F727" s="548"/>
      <c r="G727" s="548"/>
      <c r="H727" s="548"/>
      <c r="I727" s="548"/>
      <c r="J727" s="548"/>
      <c r="K727" s="548"/>
      <c r="L727" s="548"/>
      <c r="M727" s="549"/>
      <c r="N727" s="546"/>
      <c r="O727" s="546"/>
      <c r="P727" s="546"/>
      <c r="Q727" s="546"/>
      <c r="R727" s="546"/>
      <c r="S727" s="547"/>
      <c r="T727" s="547"/>
    </row>
    <row r="728">
      <c r="A728" s="548"/>
      <c r="B728" s="548"/>
      <c r="C728" s="548"/>
      <c r="D728" s="548"/>
      <c r="E728" s="548"/>
      <c r="F728" s="548"/>
      <c r="G728" s="548"/>
      <c r="H728" s="548"/>
      <c r="I728" s="548"/>
      <c r="J728" s="548"/>
      <c r="K728" s="548"/>
      <c r="L728" s="548"/>
      <c r="M728" s="549"/>
      <c r="N728" s="546"/>
      <c r="O728" s="546"/>
      <c r="P728" s="546"/>
      <c r="Q728" s="546"/>
      <c r="R728" s="546"/>
      <c r="S728" s="547"/>
      <c r="T728" s="547"/>
    </row>
    <row r="729">
      <c r="A729" s="548"/>
      <c r="B729" s="548"/>
      <c r="C729" s="548"/>
      <c r="D729" s="548"/>
      <c r="E729" s="548"/>
      <c r="F729" s="548"/>
      <c r="G729" s="548"/>
      <c r="H729" s="548"/>
      <c r="I729" s="548"/>
      <c r="J729" s="548"/>
      <c r="K729" s="548"/>
      <c r="L729" s="548"/>
      <c r="M729" s="549"/>
      <c r="N729" s="546"/>
      <c r="O729" s="546"/>
      <c r="P729" s="546"/>
      <c r="Q729" s="546"/>
      <c r="R729" s="546"/>
      <c r="S729" s="547"/>
      <c r="T729" s="547"/>
    </row>
    <row r="730">
      <c r="A730" s="548"/>
      <c r="B730" s="548"/>
      <c r="C730" s="548"/>
      <c r="D730" s="548"/>
      <c r="E730" s="548"/>
      <c r="F730" s="548"/>
      <c r="G730" s="548"/>
      <c r="H730" s="548"/>
      <c r="I730" s="548"/>
      <c r="J730" s="548"/>
      <c r="K730" s="548"/>
      <c r="L730" s="548"/>
      <c r="M730" s="549"/>
      <c r="N730" s="546"/>
      <c r="O730" s="546"/>
      <c r="P730" s="546"/>
      <c r="Q730" s="546"/>
      <c r="R730" s="546"/>
      <c r="S730" s="547"/>
      <c r="T730" s="547"/>
    </row>
    <row r="731">
      <c r="A731" s="548"/>
      <c r="B731" s="548"/>
      <c r="C731" s="548"/>
      <c r="D731" s="548"/>
      <c r="E731" s="548"/>
      <c r="F731" s="548"/>
      <c r="G731" s="548"/>
      <c r="H731" s="548"/>
      <c r="I731" s="548"/>
      <c r="J731" s="548"/>
      <c r="K731" s="548"/>
      <c r="L731" s="548"/>
      <c r="M731" s="549"/>
      <c r="N731" s="546"/>
      <c r="O731" s="546"/>
      <c r="P731" s="546"/>
      <c r="Q731" s="546"/>
      <c r="R731" s="546"/>
      <c r="S731" s="547"/>
      <c r="T731" s="547"/>
    </row>
    <row r="732">
      <c r="A732" s="548"/>
      <c r="B732" s="548"/>
      <c r="C732" s="548"/>
      <c r="D732" s="548"/>
      <c r="E732" s="548"/>
      <c r="F732" s="548"/>
      <c r="G732" s="548"/>
      <c r="H732" s="548"/>
      <c r="I732" s="548"/>
      <c r="J732" s="548"/>
      <c r="K732" s="548"/>
      <c r="L732" s="548"/>
      <c r="M732" s="549"/>
      <c r="N732" s="546"/>
      <c r="O732" s="546"/>
      <c r="P732" s="546"/>
      <c r="Q732" s="546"/>
      <c r="R732" s="546"/>
      <c r="S732" s="547"/>
      <c r="T732" s="547"/>
    </row>
    <row r="733">
      <c r="A733" s="548"/>
      <c r="B733" s="548"/>
      <c r="C733" s="548"/>
      <c r="D733" s="548"/>
      <c r="E733" s="548"/>
      <c r="F733" s="548"/>
      <c r="G733" s="548"/>
      <c r="H733" s="548"/>
      <c r="I733" s="548"/>
      <c r="J733" s="548"/>
      <c r="K733" s="548"/>
      <c r="L733" s="548"/>
      <c r="M733" s="549"/>
      <c r="N733" s="546"/>
      <c r="O733" s="546"/>
      <c r="P733" s="546"/>
      <c r="Q733" s="546"/>
      <c r="R733" s="546"/>
      <c r="S733" s="547"/>
      <c r="T733" s="547"/>
    </row>
    <row r="734">
      <c r="A734" s="548"/>
      <c r="B734" s="548"/>
      <c r="C734" s="548"/>
      <c r="D734" s="548"/>
      <c r="E734" s="548"/>
      <c r="F734" s="548"/>
      <c r="G734" s="548"/>
      <c r="H734" s="548"/>
      <c r="I734" s="548"/>
      <c r="J734" s="548"/>
      <c r="K734" s="548"/>
      <c r="L734" s="548"/>
      <c r="M734" s="549"/>
      <c r="N734" s="546"/>
      <c r="O734" s="546"/>
      <c r="P734" s="546"/>
      <c r="Q734" s="546"/>
      <c r="R734" s="546"/>
      <c r="S734" s="547"/>
      <c r="T734" s="547"/>
    </row>
    <row r="735">
      <c r="A735" s="548"/>
      <c r="B735" s="548"/>
      <c r="C735" s="548"/>
      <c r="D735" s="548"/>
      <c r="E735" s="548"/>
      <c r="F735" s="548"/>
      <c r="G735" s="548"/>
      <c r="H735" s="548"/>
      <c r="I735" s="548"/>
      <c r="J735" s="548"/>
      <c r="K735" s="548"/>
      <c r="L735" s="548"/>
      <c r="M735" s="549"/>
      <c r="N735" s="546"/>
      <c r="O735" s="546"/>
      <c r="P735" s="546"/>
      <c r="Q735" s="546"/>
      <c r="R735" s="546"/>
      <c r="S735" s="547"/>
      <c r="T735" s="547"/>
    </row>
    <row r="736">
      <c r="A736" s="548"/>
      <c r="B736" s="548"/>
      <c r="C736" s="548"/>
      <c r="D736" s="548"/>
      <c r="E736" s="548"/>
      <c r="F736" s="548"/>
      <c r="G736" s="548"/>
      <c r="H736" s="548"/>
      <c r="I736" s="548"/>
      <c r="J736" s="548"/>
      <c r="K736" s="548"/>
      <c r="L736" s="548"/>
      <c r="M736" s="549"/>
      <c r="N736" s="546"/>
      <c r="O736" s="546"/>
      <c r="P736" s="546"/>
      <c r="Q736" s="546"/>
      <c r="R736" s="546"/>
      <c r="S736" s="547"/>
      <c r="T736" s="547"/>
    </row>
    <row r="737">
      <c r="A737" s="548"/>
      <c r="B737" s="548"/>
      <c r="C737" s="548"/>
      <c r="D737" s="548"/>
      <c r="E737" s="548"/>
      <c r="F737" s="548"/>
      <c r="G737" s="548"/>
      <c r="H737" s="548"/>
      <c r="I737" s="548"/>
      <c r="J737" s="548"/>
      <c r="K737" s="548"/>
      <c r="L737" s="548"/>
      <c r="M737" s="549"/>
      <c r="N737" s="546"/>
      <c r="O737" s="546"/>
      <c r="P737" s="546"/>
      <c r="Q737" s="546"/>
      <c r="R737" s="546"/>
      <c r="S737" s="547"/>
      <c r="T737" s="547"/>
    </row>
    <row r="738">
      <c r="A738" s="548"/>
      <c r="B738" s="548"/>
      <c r="C738" s="548"/>
      <c r="D738" s="548"/>
      <c r="E738" s="548"/>
      <c r="F738" s="548"/>
      <c r="G738" s="548"/>
      <c r="H738" s="548"/>
      <c r="I738" s="548"/>
      <c r="J738" s="548"/>
      <c r="K738" s="548"/>
      <c r="L738" s="548"/>
      <c r="M738" s="549"/>
      <c r="N738" s="546"/>
      <c r="O738" s="546"/>
      <c r="P738" s="546"/>
      <c r="Q738" s="546"/>
      <c r="R738" s="546"/>
      <c r="S738" s="547"/>
      <c r="T738" s="547"/>
    </row>
    <row r="739">
      <c r="A739" s="548"/>
      <c r="B739" s="548"/>
      <c r="C739" s="548"/>
      <c r="D739" s="548"/>
      <c r="E739" s="548"/>
      <c r="F739" s="548"/>
      <c r="G739" s="548"/>
      <c r="H739" s="548"/>
      <c r="I739" s="548"/>
      <c r="J739" s="548"/>
      <c r="K739" s="548"/>
      <c r="L739" s="548"/>
      <c r="M739" s="549"/>
      <c r="N739" s="546"/>
      <c r="O739" s="546"/>
      <c r="P739" s="546"/>
      <c r="Q739" s="546"/>
      <c r="R739" s="546"/>
      <c r="S739" s="547"/>
      <c r="T739" s="547"/>
    </row>
    <row r="740">
      <c r="A740" s="548"/>
      <c r="B740" s="548"/>
      <c r="C740" s="548"/>
      <c r="D740" s="548"/>
      <c r="E740" s="548"/>
      <c r="F740" s="548"/>
      <c r="G740" s="548"/>
      <c r="H740" s="548"/>
      <c r="I740" s="548"/>
      <c r="J740" s="548"/>
      <c r="K740" s="548"/>
      <c r="L740" s="548"/>
      <c r="M740" s="549"/>
      <c r="N740" s="546"/>
      <c r="O740" s="546"/>
      <c r="P740" s="546"/>
      <c r="Q740" s="546"/>
      <c r="R740" s="546"/>
      <c r="S740" s="547"/>
      <c r="T740" s="547"/>
    </row>
    <row r="741">
      <c r="A741" s="548"/>
      <c r="B741" s="548"/>
      <c r="C741" s="548"/>
      <c r="D741" s="548"/>
      <c r="E741" s="548"/>
      <c r="F741" s="548"/>
      <c r="G741" s="548"/>
      <c r="H741" s="548"/>
      <c r="I741" s="548"/>
      <c r="J741" s="548"/>
      <c r="K741" s="548"/>
      <c r="L741" s="548"/>
      <c r="M741" s="549"/>
      <c r="N741" s="546"/>
      <c r="O741" s="546"/>
      <c r="P741" s="546"/>
      <c r="Q741" s="546"/>
      <c r="R741" s="546"/>
      <c r="S741" s="547"/>
      <c r="T741" s="547"/>
    </row>
    <row r="742">
      <c r="A742" s="548"/>
      <c r="B742" s="548"/>
      <c r="C742" s="548"/>
      <c r="D742" s="548"/>
      <c r="E742" s="548"/>
      <c r="F742" s="548"/>
      <c r="G742" s="548"/>
      <c r="H742" s="548"/>
      <c r="I742" s="548"/>
      <c r="J742" s="548"/>
      <c r="K742" s="548"/>
      <c r="L742" s="548"/>
      <c r="M742" s="549"/>
      <c r="N742" s="546"/>
      <c r="O742" s="546"/>
      <c r="P742" s="546"/>
      <c r="Q742" s="546"/>
      <c r="R742" s="546"/>
      <c r="S742" s="547"/>
      <c r="T742" s="547"/>
    </row>
    <row r="743">
      <c r="A743" s="548"/>
      <c r="B743" s="548"/>
      <c r="C743" s="548"/>
      <c r="D743" s="548"/>
      <c r="E743" s="548"/>
      <c r="F743" s="548"/>
      <c r="G743" s="548"/>
      <c r="H743" s="548"/>
      <c r="I743" s="548"/>
      <c r="J743" s="548"/>
      <c r="K743" s="548"/>
      <c r="L743" s="548"/>
      <c r="M743" s="549"/>
      <c r="N743" s="546"/>
      <c r="O743" s="546"/>
      <c r="P743" s="546"/>
      <c r="Q743" s="546"/>
      <c r="R743" s="546"/>
      <c r="S743" s="547"/>
      <c r="T743" s="547"/>
    </row>
    <row r="744">
      <c r="A744" s="548"/>
      <c r="B744" s="548"/>
      <c r="C744" s="548"/>
      <c r="D744" s="548"/>
      <c r="E744" s="548"/>
      <c r="F744" s="548"/>
      <c r="G744" s="548"/>
      <c r="H744" s="548"/>
      <c r="I744" s="548"/>
      <c r="J744" s="548"/>
      <c r="K744" s="548"/>
      <c r="L744" s="548"/>
      <c r="M744" s="549"/>
      <c r="N744" s="546"/>
      <c r="O744" s="546"/>
      <c r="P744" s="546"/>
      <c r="Q744" s="546"/>
      <c r="R744" s="546"/>
      <c r="S744" s="547"/>
      <c r="T744" s="547"/>
    </row>
    <row r="745">
      <c r="A745" s="548"/>
      <c r="B745" s="548"/>
      <c r="C745" s="548"/>
      <c r="D745" s="548"/>
      <c r="E745" s="548"/>
      <c r="F745" s="548"/>
      <c r="G745" s="548"/>
      <c r="H745" s="548"/>
      <c r="I745" s="548"/>
      <c r="J745" s="548"/>
      <c r="K745" s="548"/>
      <c r="L745" s="548"/>
      <c r="M745" s="549"/>
      <c r="N745" s="546"/>
      <c r="O745" s="546"/>
      <c r="P745" s="546"/>
      <c r="Q745" s="546"/>
      <c r="R745" s="546"/>
      <c r="S745" s="547"/>
      <c r="T745" s="547"/>
    </row>
    <row r="746">
      <c r="A746" s="548"/>
      <c r="B746" s="548"/>
      <c r="C746" s="548"/>
      <c r="D746" s="548"/>
      <c r="E746" s="548"/>
      <c r="F746" s="548"/>
      <c r="G746" s="548"/>
      <c r="H746" s="548"/>
      <c r="I746" s="548"/>
      <c r="J746" s="548"/>
      <c r="K746" s="548"/>
      <c r="L746" s="548"/>
      <c r="M746" s="549"/>
      <c r="N746" s="546"/>
      <c r="O746" s="546"/>
      <c r="P746" s="546"/>
      <c r="Q746" s="546"/>
      <c r="R746" s="546"/>
      <c r="S746" s="547"/>
      <c r="T746" s="547"/>
    </row>
    <row r="747">
      <c r="A747" s="548"/>
      <c r="B747" s="548"/>
      <c r="C747" s="548"/>
      <c r="D747" s="548"/>
      <c r="E747" s="548"/>
      <c r="F747" s="548"/>
      <c r="G747" s="548"/>
      <c r="H747" s="548"/>
      <c r="I747" s="548"/>
      <c r="J747" s="548"/>
      <c r="K747" s="548"/>
      <c r="L747" s="548"/>
      <c r="M747" s="549"/>
      <c r="N747" s="546"/>
      <c r="O747" s="546"/>
      <c r="P747" s="546"/>
      <c r="Q747" s="546"/>
      <c r="R747" s="546"/>
      <c r="S747" s="547"/>
      <c r="T747" s="547"/>
    </row>
    <row r="748">
      <c r="A748" s="548"/>
      <c r="B748" s="548"/>
      <c r="C748" s="548"/>
      <c r="D748" s="548"/>
      <c r="E748" s="548"/>
      <c r="F748" s="548"/>
      <c r="G748" s="548"/>
      <c r="H748" s="548"/>
      <c r="I748" s="548"/>
      <c r="J748" s="548"/>
      <c r="K748" s="548"/>
      <c r="L748" s="548"/>
      <c r="M748" s="549"/>
      <c r="N748" s="546"/>
      <c r="O748" s="546"/>
      <c r="P748" s="546"/>
      <c r="Q748" s="546"/>
      <c r="R748" s="546"/>
      <c r="S748" s="547"/>
      <c r="T748" s="547"/>
    </row>
    <row r="749">
      <c r="A749" s="548"/>
      <c r="B749" s="548"/>
      <c r="C749" s="548"/>
      <c r="D749" s="548"/>
      <c r="E749" s="548"/>
      <c r="F749" s="548"/>
      <c r="G749" s="548"/>
      <c r="H749" s="548"/>
      <c r="I749" s="548"/>
      <c r="J749" s="548"/>
      <c r="K749" s="548"/>
      <c r="L749" s="548"/>
      <c r="M749" s="549"/>
      <c r="N749" s="546"/>
      <c r="O749" s="546"/>
      <c r="P749" s="546"/>
      <c r="Q749" s="546"/>
      <c r="R749" s="546"/>
      <c r="S749" s="547"/>
      <c r="T749" s="547"/>
    </row>
    <row r="750">
      <c r="A750" s="548"/>
      <c r="B750" s="548"/>
      <c r="C750" s="548"/>
      <c r="D750" s="548"/>
      <c r="E750" s="548"/>
      <c r="F750" s="548"/>
      <c r="G750" s="548"/>
      <c r="H750" s="548"/>
      <c r="I750" s="548"/>
      <c r="J750" s="548"/>
      <c r="K750" s="548"/>
      <c r="L750" s="548"/>
      <c r="M750" s="549"/>
      <c r="N750" s="546"/>
      <c r="O750" s="546"/>
      <c r="P750" s="546"/>
      <c r="Q750" s="546"/>
      <c r="R750" s="546"/>
      <c r="S750" s="547"/>
      <c r="T750" s="547"/>
    </row>
    <row r="751">
      <c r="A751" s="548"/>
      <c r="B751" s="548"/>
      <c r="C751" s="548"/>
      <c r="D751" s="548"/>
      <c r="E751" s="548"/>
      <c r="F751" s="548"/>
      <c r="G751" s="548"/>
      <c r="H751" s="548"/>
      <c r="I751" s="548"/>
      <c r="J751" s="548"/>
      <c r="K751" s="548"/>
      <c r="L751" s="548"/>
      <c r="M751" s="549"/>
      <c r="N751" s="546"/>
      <c r="O751" s="546"/>
      <c r="P751" s="546"/>
      <c r="Q751" s="546"/>
      <c r="R751" s="546"/>
      <c r="S751" s="547"/>
      <c r="T751" s="547"/>
    </row>
    <row r="752">
      <c r="A752" s="548"/>
      <c r="B752" s="548"/>
      <c r="C752" s="548"/>
      <c r="D752" s="548"/>
      <c r="E752" s="548"/>
      <c r="F752" s="548"/>
      <c r="G752" s="548"/>
      <c r="H752" s="548"/>
      <c r="I752" s="548"/>
      <c r="J752" s="548"/>
      <c r="K752" s="548"/>
      <c r="L752" s="548"/>
      <c r="M752" s="549"/>
      <c r="N752" s="546"/>
      <c r="O752" s="546"/>
      <c r="P752" s="546"/>
      <c r="Q752" s="546"/>
      <c r="R752" s="546"/>
      <c r="S752" s="547"/>
      <c r="T752" s="547"/>
    </row>
    <row r="753">
      <c r="A753" s="548"/>
      <c r="B753" s="548"/>
      <c r="C753" s="548"/>
      <c r="D753" s="548"/>
      <c r="E753" s="548"/>
      <c r="F753" s="548"/>
      <c r="G753" s="548"/>
      <c r="H753" s="548"/>
      <c r="I753" s="548"/>
      <c r="J753" s="548"/>
      <c r="K753" s="548"/>
      <c r="L753" s="548"/>
      <c r="M753" s="549"/>
      <c r="N753" s="546"/>
      <c r="O753" s="546"/>
      <c r="P753" s="546"/>
      <c r="Q753" s="546"/>
      <c r="R753" s="546"/>
      <c r="S753" s="547"/>
      <c r="T753" s="547"/>
    </row>
    <row r="754">
      <c r="A754" s="548"/>
      <c r="B754" s="548"/>
      <c r="C754" s="548"/>
      <c r="D754" s="548"/>
      <c r="E754" s="548"/>
      <c r="F754" s="548"/>
      <c r="G754" s="548"/>
      <c r="H754" s="548"/>
      <c r="I754" s="548"/>
      <c r="J754" s="548"/>
      <c r="K754" s="548"/>
      <c r="L754" s="548"/>
      <c r="M754" s="549"/>
      <c r="N754" s="546"/>
      <c r="O754" s="546"/>
      <c r="P754" s="546"/>
      <c r="Q754" s="546"/>
      <c r="R754" s="546"/>
      <c r="S754" s="547"/>
      <c r="T754" s="547"/>
    </row>
    <row r="755">
      <c r="A755" s="548"/>
      <c r="B755" s="548"/>
      <c r="C755" s="548"/>
      <c r="D755" s="548"/>
      <c r="E755" s="548"/>
      <c r="F755" s="548"/>
      <c r="G755" s="548"/>
      <c r="H755" s="548"/>
      <c r="I755" s="548"/>
      <c r="J755" s="548"/>
      <c r="K755" s="548"/>
      <c r="L755" s="548"/>
      <c r="M755" s="549"/>
      <c r="N755" s="546"/>
      <c r="O755" s="546"/>
      <c r="P755" s="546"/>
      <c r="Q755" s="546"/>
      <c r="R755" s="546"/>
      <c r="S755" s="547"/>
      <c r="T755" s="547"/>
    </row>
    <row r="756">
      <c r="A756" s="548"/>
      <c r="B756" s="548"/>
      <c r="C756" s="548"/>
      <c r="D756" s="548"/>
      <c r="E756" s="548"/>
      <c r="F756" s="548"/>
      <c r="G756" s="548"/>
      <c r="H756" s="548"/>
      <c r="I756" s="548"/>
      <c r="J756" s="548"/>
      <c r="K756" s="548"/>
      <c r="L756" s="548"/>
      <c r="M756" s="549"/>
      <c r="N756" s="546"/>
      <c r="O756" s="546"/>
      <c r="P756" s="546"/>
      <c r="Q756" s="546"/>
      <c r="R756" s="546"/>
      <c r="S756" s="547"/>
      <c r="T756" s="547"/>
    </row>
    <row r="757">
      <c r="A757" s="548"/>
      <c r="B757" s="548"/>
      <c r="C757" s="548"/>
      <c r="D757" s="548"/>
      <c r="E757" s="548"/>
      <c r="F757" s="548"/>
      <c r="G757" s="548"/>
      <c r="H757" s="548"/>
      <c r="I757" s="548"/>
      <c r="J757" s="548"/>
      <c r="K757" s="548"/>
      <c r="L757" s="548"/>
      <c r="M757" s="549"/>
      <c r="N757" s="546"/>
      <c r="O757" s="546"/>
      <c r="P757" s="546"/>
      <c r="Q757" s="546"/>
      <c r="R757" s="546"/>
      <c r="S757" s="547"/>
      <c r="T757" s="547"/>
    </row>
    <row r="758">
      <c r="A758" s="548"/>
      <c r="B758" s="548"/>
      <c r="C758" s="548"/>
      <c r="D758" s="548"/>
      <c r="E758" s="548"/>
      <c r="F758" s="548"/>
      <c r="G758" s="548"/>
      <c r="H758" s="548"/>
      <c r="I758" s="548"/>
      <c r="J758" s="548"/>
      <c r="K758" s="548"/>
      <c r="L758" s="548"/>
      <c r="M758" s="549"/>
      <c r="N758" s="546"/>
      <c r="O758" s="546"/>
      <c r="P758" s="546"/>
      <c r="Q758" s="546"/>
      <c r="R758" s="546"/>
      <c r="S758" s="547"/>
      <c r="T758" s="547"/>
    </row>
    <row r="759">
      <c r="A759" s="548"/>
      <c r="B759" s="548"/>
      <c r="C759" s="548"/>
      <c r="D759" s="548"/>
      <c r="E759" s="548"/>
      <c r="F759" s="548"/>
      <c r="G759" s="548"/>
      <c r="H759" s="548"/>
      <c r="I759" s="548"/>
      <c r="J759" s="548"/>
      <c r="K759" s="548"/>
      <c r="L759" s="548"/>
      <c r="M759" s="549"/>
      <c r="N759" s="546"/>
      <c r="O759" s="546"/>
      <c r="P759" s="546"/>
      <c r="Q759" s="546"/>
      <c r="R759" s="546"/>
      <c r="S759" s="547"/>
      <c r="T759" s="547"/>
    </row>
    <row r="760">
      <c r="A760" s="548"/>
      <c r="B760" s="548"/>
      <c r="C760" s="548"/>
      <c r="D760" s="548"/>
      <c r="E760" s="548"/>
      <c r="F760" s="548"/>
      <c r="G760" s="548"/>
      <c r="H760" s="548"/>
      <c r="I760" s="548"/>
      <c r="J760" s="548"/>
      <c r="K760" s="548"/>
      <c r="L760" s="548"/>
      <c r="M760" s="549"/>
      <c r="N760" s="546"/>
      <c r="O760" s="546"/>
      <c r="P760" s="546"/>
      <c r="Q760" s="546"/>
      <c r="R760" s="546"/>
      <c r="S760" s="547"/>
      <c r="T760" s="547"/>
    </row>
    <row r="761">
      <c r="A761" s="548"/>
      <c r="B761" s="548"/>
      <c r="C761" s="548"/>
      <c r="D761" s="548"/>
      <c r="E761" s="548"/>
      <c r="F761" s="548"/>
      <c r="G761" s="548"/>
      <c r="H761" s="548"/>
      <c r="I761" s="548"/>
      <c r="J761" s="548"/>
      <c r="K761" s="548"/>
      <c r="L761" s="548"/>
      <c r="M761" s="549"/>
      <c r="N761" s="546"/>
      <c r="O761" s="546"/>
      <c r="P761" s="546"/>
      <c r="Q761" s="546"/>
      <c r="R761" s="546"/>
      <c r="S761" s="547"/>
      <c r="T761" s="547"/>
    </row>
    <row r="762">
      <c r="A762" s="548"/>
      <c r="B762" s="548"/>
      <c r="C762" s="548"/>
      <c r="D762" s="548"/>
      <c r="E762" s="548"/>
      <c r="F762" s="548"/>
      <c r="G762" s="548"/>
      <c r="H762" s="548"/>
      <c r="I762" s="548"/>
      <c r="J762" s="548"/>
      <c r="K762" s="548"/>
      <c r="L762" s="548"/>
      <c r="M762" s="549"/>
      <c r="N762" s="546"/>
      <c r="O762" s="546"/>
      <c r="P762" s="546"/>
      <c r="Q762" s="546"/>
      <c r="R762" s="546"/>
      <c r="S762" s="547"/>
      <c r="T762" s="547"/>
    </row>
    <row r="763">
      <c r="A763" s="548"/>
      <c r="B763" s="548"/>
      <c r="C763" s="548"/>
      <c r="D763" s="548"/>
      <c r="E763" s="548"/>
      <c r="F763" s="548"/>
      <c r="G763" s="548"/>
      <c r="H763" s="548"/>
      <c r="I763" s="548"/>
      <c r="J763" s="548"/>
      <c r="K763" s="548"/>
      <c r="L763" s="548"/>
      <c r="M763" s="549"/>
      <c r="N763" s="546"/>
      <c r="O763" s="546"/>
      <c r="P763" s="546"/>
      <c r="Q763" s="546"/>
      <c r="R763" s="546"/>
      <c r="S763" s="547"/>
      <c r="T763" s="547"/>
    </row>
    <row r="764">
      <c r="A764" s="548"/>
      <c r="B764" s="548"/>
      <c r="C764" s="548"/>
      <c r="D764" s="548"/>
      <c r="E764" s="548"/>
      <c r="F764" s="548"/>
      <c r="G764" s="548"/>
      <c r="H764" s="548"/>
      <c r="I764" s="548"/>
      <c r="J764" s="548"/>
      <c r="K764" s="548"/>
      <c r="L764" s="548"/>
      <c r="M764" s="549"/>
      <c r="N764" s="546"/>
      <c r="O764" s="546"/>
      <c r="P764" s="546"/>
      <c r="Q764" s="546"/>
      <c r="R764" s="546"/>
      <c r="S764" s="547"/>
      <c r="T764" s="547"/>
    </row>
    <row r="765">
      <c r="A765" s="548"/>
      <c r="B765" s="548"/>
      <c r="C765" s="548"/>
      <c r="D765" s="548"/>
      <c r="E765" s="548"/>
      <c r="F765" s="548"/>
      <c r="G765" s="548"/>
      <c r="H765" s="548"/>
      <c r="I765" s="548"/>
      <c r="J765" s="548"/>
      <c r="K765" s="548"/>
      <c r="L765" s="548"/>
      <c r="M765" s="549"/>
      <c r="N765" s="546"/>
      <c r="O765" s="546"/>
      <c r="P765" s="546"/>
      <c r="Q765" s="546"/>
      <c r="R765" s="546"/>
      <c r="S765" s="547"/>
      <c r="T765" s="547"/>
    </row>
    <row r="766">
      <c r="A766" s="548"/>
      <c r="B766" s="548"/>
      <c r="C766" s="548"/>
      <c r="D766" s="548"/>
      <c r="E766" s="548"/>
      <c r="F766" s="548"/>
      <c r="G766" s="548"/>
      <c r="H766" s="548"/>
      <c r="I766" s="548"/>
      <c r="J766" s="548"/>
      <c r="K766" s="548"/>
      <c r="L766" s="548"/>
      <c r="M766" s="549"/>
      <c r="N766" s="546"/>
      <c r="O766" s="546"/>
      <c r="P766" s="546"/>
      <c r="Q766" s="546"/>
      <c r="R766" s="546"/>
      <c r="S766" s="547"/>
      <c r="T766" s="547"/>
    </row>
    <row r="767">
      <c r="A767" s="548"/>
      <c r="B767" s="548"/>
      <c r="C767" s="548"/>
      <c r="D767" s="548"/>
      <c r="E767" s="548"/>
      <c r="F767" s="548"/>
      <c r="G767" s="548"/>
      <c r="H767" s="548"/>
      <c r="I767" s="548"/>
      <c r="J767" s="548"/>
      <c r="K767" s="548"/>
      <c r="L767" s="548"/>
      <c r="M767" s="549"/>
      <c r="N767" s="546"/>
      <c r="O767" s="546"/>
      <c r="P767" s="546"/>
      <c r="Q767" s="546"/>
      <c r="R767" s="546"/>
      <c r="S767" s="547"/>
      <c r="T767" s="547"/>
    </row>
    <row r="768">
      <c r="A768" s="548"/>
      <c r="B768" s="548"/>
      <c r="C768" s="548"/>
      <c r="D768" s="548"/>
      <c r="E768" s="548"/>
      <c r="F768" s="548"/>
      <c r="G768" s="548"/>
      <c r="H768" s="548"/>
      <c r="I768" s="548"/>
      <c r="J768" s="548"/>
      <c r="K768" s="548"/>
      <c r="L768" s="548"/>
      <c r="M768" s="549"/>
      <c r="N768" s="546"/>
      <c r="O768" s="546"/>
      <c r="P768" s="546"/>
      <c r="Q768" s="546"/>
      <c r="R768" s="546"/>
      <c r="S768" s="547"/>
      <c r="T768" s="547"/>
    </row>
    <row r="769">
      <c r="A769" s="548"/>
      <c r="B769" s="548"/>
      <c r="C769" s="548"/>
      <c r="D769" s="548"/>
      <c r="E769" s="548"/>
      <c r="F769" s="548"/>
      <c r="G769" s="548"/>
      <c r="H769" s="548"/>
      <c r="I769" s="548"/>
      <c r="J769" s="548"/>
      <c r="K769" s="548"/>
      <c r="L769" s="548"/>
      <c r="M769" s="549"/>
      <c r="N769" s="546"/>
      <c r="O769" s="546"/>
      <c r="P769" s="546"/>
      <c r="Q769" s="546"/>
      <c r="R769" s="546"/>
      <c r="S769" s="547"/>
      <c r="T769" s="547"/>
    </row>
    <row r="770">
      <c r="A770" s="548"/>
      <c r="B770" s="548"/>
      <c r="C770" s="548"/>
      <c r="D770" s="548"/>
      <c r="E770" s="548"/>
      <c r="F770" s="548"/>
      <c r="G770" s="548"/>
      <c r="H770" s="548"/>
      <c r="I770" s="548"/>
      <c r="J770" s="548"/>
      <c r="K770" s="548"/>
      <c r="L770" s="548"/>
      <c r="M770" s="549"/>
      <c r="N770" s="546"/>
      <c r="O770" s="546"/>
      <c r="P770" s="546"/>
      <c r="Q770" s="546"/>
      <c r="R770" s="546"/>
      <c r="S770" s="547"/>
      <c r="T770" s="547"/>
    </row>
    <row r="771">
      <c r="A771" s="548"/>
      <c r="B771" s="548"/>
      <c r="C771" s="548"/>
      <c r="D771" s="548"/>
      <c r="E771" s="548"/>
      <c r="F771" s="548"/>
      <c r="G771" s="548"/>
      <c r="H771" s="548"/>
      <c r="I771" s="548"/>
      <c r="J771" s="548"/>
      <c r="K771" s="548"/>
      <c r="L771" s="548"/>
      <c r="M771" s="549"/>
      <c r="N771" s="546"/>
      <c r="O771" s="546"/>
      <c r="P771" s="546"/>
      <c r="Q771" s="546"/>
      <c r="R771" s="546"/>
      <c r="S771" s="547"/>
      <c r="T771" s="547"/>
    </row>
    <row r="772">
      <c r="A772" s="548"/>
      <c r="B772" s="548"/>
      <c r="C772" s="548"/>
      <c r="D772" s="548"/>
      <c r="E772" s="548"/>
      <c r="F772" s="548"/>
      <c r="G772" s="548"/>
      <c r="H772" s="548"/>
      <c r="I772" s="548"/>
      <c r="J772" s="548"/>
      <c r="K772" s="548"/>
      <c r="L772" s="548"/>
      <c r="M772" s="549"/>
      <c r="N772" s="546"/>
      <c r="O772" s="546"/>
      <c r="P772" s="546"/>
      <c r="Q772" s="546"/>
      <c r="R772" s="546"/>
      <c r="S772" s="547"/>
      <c r="T772" s="547"/>
    </row>
    <row r="773">
      <c r="A773" s="548"/>
      <c r="B773" s="548"/>
      <c r="C773" s="548"/>
      <c r="D773" s="548"/>
      <c r="E773" s="548"/>
      <c r="F773" s="548"/>
      <c r="G773" s="548"/>
      <c r="H773" s="548"/>
      <c r="I773" s="548"/>
      <c r="J773" s="548"/>
      <c r="K773" s="548"/>
      <c r="L773" s="548"/>
      <c r="M773" s="549"/>
      <c r="N773" s="546"/>
      <c r="O773" s="546"/>
      <c r="P773" s="546"/>
      <c r="Q773" s="546"/>
      <c r="R773" s="546"/>
      <c r="S773" s="547"/>
      <c r="T773" s="547"/>
    </row>
    <row r="774">
      <c r="A774" s="548"/>
      <c r="B774" s="548"/>
      <c r="C774" s="548"/>
      <c r="D774" s="548"/>
      <c r="E774" s="548"/>
      <c r="F774" s="548"/>
      <c r="G774" s="548"/>
      <c r="H774" s="548"/>
      <c r="I774" s="548"/>
      <c r="J774" s="548"/>
      <c r="K774" s="548"/>
      <c r="L774" s="548"/>
      <c r="M774" s="549"/>
      <c r="N774" s="546"/>
      <c r="O774" s="546"/>
      <c r="P774" s="546"/>
      <c r="Q774" s="546"/>
      <c r="R774" s="546"/>
      <c r="S774" s="547"/>
      <c r="T774" s="547"/>
    </row>
    <row r="775">
      <c r="A775" s="548"/>
      <c r="B775" s="548"/>
      <c r="C775" s="548"/>
      <c r="D775" s="548"/>
      <c r="E775" s="548"/>
      <c r="F775" s="548"/>
      <c r="G775" s="548"/>
      <c r="H775" s="548"/>
      <c r="I775" s="548"/>
      <c r="J775" s="548"/>
      <c r="K775" s="548"/>
      <c r="L775" s="548"/>
      <c r="M775" s="549"/>
      <c r="N775" s="546"/>
      <c r="O775" s="546"/>
      <c r="P775" s="546"/>
      <c r="Q775" s="546"/>
      <c r="R775" s="546"/>
      <c r="S775" s="547"/>
      <c r="T775" s="547"/>
    </row>
    <row r="776">
      <c r="A776" s="548"/>
      <c r="B776" s="548"/>
      <c r="C776" s="548"/>
      <c r="D776" s="548"/>
      <c r="E776" s="548"/>
      <c r="F776" s="548"/>
      <c r="G776" s="548"/>
      <c r="H776" s="548"/>
      <c r="I776" s="548"/>
      <c r="J776" s="548"/>
      <c r="K776" s="548"/>
      <c r="L776" s="548"/>
      <c r="M776" s="549"/>
      <c r="N776" s="546"/>
      <c r="O776" s="546"/>
      <c r="P776" s="546"/>
      <c r="Q776" s="546"/>
      <c r="R776" s="546"/>
      <c r="S776" s="547"/>
      <c r="T776" s="547"/>
    </row>
    <row r="777">
      <c r="A777" s="548"/>
      <c r="B777" s="548"/>
      <c r="C777" s="548"/>
      <c r="D777" s="548"/>
      <c r="E777" s="548"/>
      <c r="F777" s="548"/>
      <c r="G777" s="548"/>
      <c r="H777" s="548"/>
      <c r="I777" s="548"/>
      <c r="J777" s="548"/>
      <c r="K777" s="548"/>
      <c r="L777" s="548"/>
      <c r="M777" s="549"/>
      <c r="N777" s="546"/>
      <c r="O777" s="546"/>
      <c r="P777" s="546"/>
      <c r="Q777" s="546"/>
      <c r="R777" s="546"/>
      <c r="S777" s="547"/>
      <c r="T777" s="547"/>
    </row>
    <row r="778">
      <c r="A778" s="548"/>
      <c r="B778" s="548"/>
      <c r="C778" s="548"/>
      <c r="D778" s="548"/>
      <c r="E778" s="548"/>
      <c r="F778" s="548"/>
      <c r="G778" s="548"/>
      <c r="H778" s="548"/>
      <c r="I778" s="548"/>
      <c r="J778" s="548"/>
      <c r="K778" s="548"/>
      <c r="L778" s="548"/>
      <c r="M778" s="549"/>
      <c r="N778" s="546"/>
      <c r="O778" s="546"/>
      <c r="P778" s="546"/>
      <c r="Q778" s="546"/>
      <c r="R778" s="546"/>
      <c r="S778" s="547"/>
      <c r="T778" s="547"/>
    </row>
    <row r="779">
      <c r="A779" s="548"/>
      <c r="B779" s="548"/>
      <c r="C779" s="548"/>
      <c r="D779" s="548"/>
      <c r="E779" s="548"/>
      <c r="F779" s="548"/>
      <c r="G779" s="548"/>
      <c r="H779" s="548"/>
      <c r="I779" s="548"/>
      <c r="J779" s="548"/>
      <c r="K779" s="548"/>
      <c r="L779" s="548"/>
      <c r="M779" s="549"/>
      <c r="N779" s="546"/>
      <c r="O779" s="546"/>
      <c r="P779" s="546"/>
      <c r="Q779" s="546"/>
      <c r="R779" s="546"/>
      <c r="S779" s="547"/>
      <c r="T779" s="547"/>
    </row>
    <row r="780">
      <c r="A780" s="548"/>
      <c r="B780" s="548"/>
      <c r="C780" s="548"/>
      <c r="D780" s="548"/>
      <c r="E780" s="548"/>
      <c r="F780" s="548"/>
      <c r="G780" s="548"/>
      <c r="H780" s="548"/>
      <c r="I780" s="548"/>
      <c r="J780" s="548"/>
      <c r="K780" s="548"/>
      <c r="L780" s="548"/>
      <c r="M780" s="549"/>
      <c r="N780" s="546"/>
      <c r="O780" s="546"/>
      <c r="P780" s="546"/>
      <c r="Q780" s="546"/>
      <c r="R780" s="546"/>
      <c r="S780" s="547"/>
      <c r="T780" s="547"/>
    </row>
    <row r="781">
      <c r="A781" s="548"/>
      <c r="B781" s="548"/>
      <c r="C781" s="548"/>
      <c r="D781" s="548"/>
      <c r="E781" s="548"/>
      <c r="F781" s="548"/>
      <c r="G781" s="548"/>
      <c r="H781" s="548"/>
      <c r="I781" s="548"/>
      <c r="J781" s="548"/>
      <c r="K781" s="548"/>
      <c r="L781" s="548"/>
      <c r="M781" s="549"/>
      <c r="N781" s="546"/>
      <c r="O781" s="546"/>
      <c r="P781" s="546"/>
      <c r="Q781" s="546"/>
      <c r="R781" s="546"/>
      <c r="S781" s="547"/>
      <c r="T781" s="547"/>
    </row>
    <row r="782">
      <c r="A782" s="548"/>
      <c r="B782" s="548"/>
      <c r="C782" s="548"/>
      <c r="D782" s="548"/>
      <c r="E782" s="548"/>
      <c r="F782" s="548"/>
      <c r="G782" s="548"/>
      <c r="H782" s="548"/>
      <c r="I782" s="548"/>
      <c r="J782" s="548"/>
      <c r="K782" s="548"/>
      <c r="L782" s="548"/>
      <c r="M782" s="549"/>
      <c r="N782" s="546"/>
      <c r="O782" s="546"/>
      <c r="P782" s="546"/>
      <c r="Q782" s="546"/>
      <c r="R782" s="546"/>
      <c r="S782" s="547"/>
      <c r="T782" s="547"/>
    </row>
    <row r="783">
      <c r="A783" s="548"/>
      <c r="B783" s="548"/>
      <c r="C783" s="548"/>
      <c r="D783" s="548"/>
      <c r="E783" s="548"/>
      <c r="F783" s="548"/>
      <c r="G783" s="548"/>
      <c r="H783" s="548"/>
      <c r="I783" s="548"/>
      <c r="J783" s="548"/>
      <c r="K783" s="548"/>
      <c r="L783" s="548"/>
      <c r="M783" s="549"/>
      <c r="N783" s="546"/>
      <c r="O783" s="546"/>
      <c r="P783" s="546"/>
      <c r="Q783" s="546"/>
      <c r="R783" s="546"/>
      <c r="S783" s="547"/>
      <c r="T783" s="547"/>
    </row>
    <row r="784">
      <c r="A784" s="548"/>
      <c r="B784" s="548"/>
      <c r="C784" s="548"/>
      <c r="D784" s="548"/>
      <c r="E784" s="548"/>
      <c r="F784" s="548"/>
      <c r="G784" s="548"/>
      <c r="H784" s="548"/>
      <c r="I784" s="548"/>
      <c r="J784" s="548"/>
      <c r="K784" s="548"/>
      <c r="L784" s="548"/>
      <c r="M784" s="549"/>
      <c r="N784" s="546"/>
      <c r="O784" s="546"/>
      <c r="P784" s="546"/>
      <c r="Q784" s="546"/>
      <c r="R784" s="546"/>
      <c r="S784" s="547"/>
      <c r="T784" s="547"/>
    </row>
    <row r="785">
      <c r="A785" s="548"/>
      <c r="B785" s="548"/>
      <c r="C785" s="548"/>
      <c r="D785" s="548"/>
      <c r="E785" s="548"/>
      <c r="F785" s="548"/>
      <c r="G785" s="548"/>
      <c r="H785" s="548"/>
      <c r="I785" s="548"/>
      <c r="J785" s="548"/>
      <c r="K785" s="548"/>
      <c r="L785" s="548"/>
      <c r="M785" s="549"/>
      <c r="N785" s="546"/>
      <c r="O785" s="546"/>
      <c r="P785" s="546"/>
      <c r="Q785" s="546"/>
      <c r="R785" s="546"/>
      <c r="S785" s="547"/>
      <c r="T785" s="547"/>
    </row>
    <row r="786">
      <c r="A786" s="548"/>
      <c r="B786" s="548"/>
      <c r="C786" s="548"/>
      <c r="D786" s="548"/>
      <c r="E786" s="548"/>
      <c r="F786" s="548"/>
      <c r="G786" s="548"/>
      <c r="H786" s="548"/>
      <c r="I786" s="548"/>
      <c r="J786" s="548"/>
      <c r="K786" s="548"/>
      <c r="L786" s="548"/>
      <c r="M786" s="549"/>
      <c r="N786" s="546"/>
      <c r="O786" s="546"/>
      <c r="P786" s="546"/>
      <c r="Q786" s="546"/>
      <c r="R786" s="546"/>
      <c r="S786" s="547"/>
      <c r="T786" s="547"/>
    </row>
    <row r="787">
      <c r="A787" s="548"/>
      <c r="B787" s="548"/>
      <c r="C787" s="548"/>
      <c r="D787" s="548"/>
      <c r="E787" s="548"/>
      <c r="F787" s="548"/>
      <c r="G787" s="548"/>
      <c r="H787" s="548"/>
      <c r="I787" s="548"/>
      <c r="J787" s="548"/>
      <c r="K787" s="548"/>
      <c r="L787" s="548"/>
      <c r="M787" s="549"/>
      <c r="N787" s="546"/>
      <c r="O787" s="546"/>
      <c r="P787" s="546"/>
      <c r="Q787" s="546"/>
      <c r="R787" s="546"/>
      <c r="S787" s="547"/>
      <c r="T787" s="547"/>
    </row>
    <row r="788">
      <c r="A788" s="548"/>
      <c r="B788" s="548"/>
      <c r="C788" s="548"/>
      <c r="D788" s="548"/>
      <c r="E788" s="548"/>
      <c r="F788" s="548"/>
      <c r="G788" s="548"/>
      <c r="H788" s="548"/>
      <c r="I788" s="548"/>
      <c r="J788" s="548"/>
      <c r="K788" s="548"/>
      <c r="L788" s="548"/>
      <c r="M788" s="549"/>
      <c r="N788" s="546"/>
      <c r="O788" s="546"/>
      <c r="P788" s="546"/>
      <c r="Q788" s="546"/>
      <c r="R788" s="546"/>
      <c r="S788" s="547"/>
      <c r="T788" s="547"/>
    </row>
    <row r="789">
      <c r="A789" s="548"/>
      <c r="B789" s="548"/>
      <c r="C789" s="548"/>
      <c r="D789" s="548"/>
      <c r="E789" s="548"/>
      <c r="F789" s="548"/>
      <c r="G789" s="548"/>
      <c r="H789" s="548"/>
      <c r="I789" s="548"/>
      <c r="J789" s="548"/>
      <c r="K789" s="548"/>
      <c r="L789" s="548"/>
      <c r="M789" s="549"/>
      <c r="N789" s="546"/>
      <c r="O789" s="546"/>
      <c r="P789" s="546"/>
      <c r="Q789" s="546"/>
      <c r="R789" s="546"/>
      <c r="S789" s="547"/>
      <c r="T789" s="547"/>
    </row>
    <row r="790">
      <c r="A790" s="548"/>
      <c r="B790" s="548"/>
      <c r="C790" s="548"/>
      <c r="D790" s="548"/>
      <c r="E790" s="548"/>
      <c r="F790" s="548"/>
      <c r="G790" s="548"/>
      <c r="H790" s="548"/>
      <c r="I790" s="548"/>
      <c r="J790" s="548"/>
      <c r="K790" s="548"/>
      <c r="L790" s="548"/>
      <c r="M790" s="549"/>
      <c r="N790" s="546"/>
      <c r="O790" s="546"/>
      <c r="P790" s="546"/>
      <c r="Q790" s="546"/>
      <c r="R790" s="546"/>
      <c r="S790" s="547"/>
      <c r="T790" s="547"/>
    </row>
    <row r="791">
      <c r="A791" s="548"/>
      <c r="B791" s="548"/>
      <c r="C791" s="548"/>
      <c r="D791" s="548"/>
      <c r="E791" s="548"/>
      <c r="F791" s="548"/>
      <c r="G791" s="548"/>
      <c r="H791" s="548"/>
      <c r="I791" s="548"/>
      <c r="J791" s="548"/>
      <c r="K791" s="548"/>
      <c r="L791" s="548"/>
      <c r="M791" s="549"/>
      <c r="N791" s="546"/>
      <c r="O791" s="546"/>
      <c r="P791" s="546"/>
      <c r="Q791" s="546"/>
      <c r="R791" s="546"/>
      <c r="S791" s="547"/>
      <c r="T791" s="547"/>
    </row>
    <row r="792">
      <c r="A792" s="548"/>
      <c r="B792" s="548"/>
      <c r="C792" s="548"/>
      <c r="D792" s="548"/>
      <c r="E792" s="548"/>
      <c r="F792" s="548"/>
      <c r="G792" s="548"/>
      <c r="H792" s="548"/>
      <c r="I792" s="548"/>
      <c r="J792" s="548"/>
      <c r="K792" s="548"/>
      <c r="L792" s="548"/>
      <c r="M792" s="549"/>
      <c r="N792" s="546"/>
      <c r="O792" s="546"/>
      <c r="P792" s="546"/>
      <c r="Q792" s="546"/>
      <c r="R792" s="546"/>
      <c r="S792" s="547"/>
      <c r="T792" s="547"/>
    </row>
    <row r="793">
      <c r="A793" s="548"/>
      <c r="B793" s="548"/>
      <c r="C793" s="548"/>
      <c r="D793" s="548"/>
      <c r="E793" s="548"/>
      <c r="F793" s="548"/>
      <c r="G793" s="548"/>
      <c r="H793" s="548"/>
      <c r="I793" s="548"/>
      <c r="J793" s="548"/>
      <c r="K793" s="548"/>
      <c r="L793" s="548"/>
      <c r="M793" s="549"/>
      <c r="N793" s="546"/>
      <c r="O793" s="546"/>
      <c r="P793" s="546"/>
      <c r="Q793" s="546"/>
      <c r="R793" s="546"/>
      <c r="S793" s="547"/>
      <c r="T793" s="547"/>
    </row>
    <row r="794">
      <c r="A794" s="548"/>
      <c r="B794" s="548"/>
      <c r="C794" s="548"/>
      <c r="D794" s="548"/>
      <c r="E794" s="548"/>
      <c r="F794" s="548"/>
      <c r="G794" s="548"/>
      <c r="H794" s="548"/>
      <c r="I794" s="548"/>
      <c r="J794" s="548"/>
      <c r="K794" s="548"/>
      <c r="L794" s="548"/>
      <c r="M794" s="549"/>
      <c r="N794" s="546"/>
      <c r="O794" s="546"/>
      <c r="P794" s="546"/>
      <c r="Q794" s="546"/>
      <c r="R794" s="546"/>
      <c r="S794" s="547"/>
      <c r="T794" s="547"/>
    </row>
    <row r="795">
      <c r="A795" s="548"/>
      <c r="B795" s="548"/>
      <c r="C795" s="548"/>
      <c r="D795" s="548"/>
      <c r="E795" s="548"/>
      <c r="F795" s="548"/>
      <c r="G795" s="548"/>
      <c r="H795" s="548"/>
      <c r="I795" s="548"/>
      <c r="J795" s="548"/>
      <c r="K795" s="548"/>
      <c r="L795" s="548"/>
      <c r="M795" s="549"/>
      <c r="N795" s="546"/>
      <c r="O795" s="546"/>
      <c r="P795" s="546"/>
      <c r="Q795" s="546"/>
      <c r="R795" s="546"/>
      <c r="S795" s="547"/>
      <c r="T795" s="547"/>
    </row>
    <row r="796">
      <c r="A796" s="548"/>
      <c r="B796" s="548"/>
      <c r="C796" s="548"/>
      <c r="D796" s="548"/>
      <c r="E796" s="548"/>
      <c r="F796" s="548"/>
      <c r="G796" s="548"/>
      <c r="H796" s="548"/>
      <c r="I796" s="548"/>
      <c r="J796" s="548"/>
      <c r="K796" s="548"/>
      <c r="L796" s="548"/>
      <c r="M796" s="549"/>
      <c r="N796" s="546"/>
      <c r="O796" s="546"/>
      <c r="P796" s="546"/>
      <c r="Q796" s="546"/>
      <c r="R796" s="546"/>
      <c r="S796" s="547"/>
      <c r="T796" s="547"/>
    </row>
    <row r="797">
      <c r="A797" s="548"/>
      <c r="B797" s="548"/>
      <c r="C797" s="548"/>
      <c r="D797" s="548"/>
      <c r="E797" s="548"/>
      <c r="F797" s="548"/>
      <c r="G797" s="548"/>
      <c r="H797" s="548"/>
      <c r="I797" s="548"/>
      <c r="J797" s="548"/>
      <c r="K797" s="548"/>
      <c r="L797" s="548"/>
      <c r="M797" s="549"/>
      <c r="N797" s="546"/>
      <c r="O797" s="546"/>
      <c r="P797" s="546"/>
      <c r="Q797" s="546"/>
      <c r="R797" s="546"/>
      <c r="S797" s="547"/>
      <c r="T797" s="547"/>
    </row>
    <row r="798">
      <c r="A798" s="548"/>
      <c r="B798" s="548"/>
      <c r="C798" s="548"/>
      <c r="D798" s="548"/>
      <c r="E798" s="548"/>
      <c r="F798" s="548"/>
      <c r="G798" s="548"/>
      <c r="H798" s="548"/>
      <c r="I798" s="548"/>
      <c r="J798" s="548"/>
      <c r="K798" s="548"/>
      <c r="L798" s="548"/>
      <c r="M798" s="549"/>
      <c r="N798" s="546"/>
      <c r="O798" s="546"/>
      <c r="P798" s="546"/>
      <c r="Q798" s="546"/>
      <c r="R798" s="546"/>
      <c r="S798" s="547"/>
      <c r="T798" s="547"/>
    </row>
    <row r="799">
      <c r="A799" s="548"/>
      <c r="B799" s="548"/>
      <c r="C799" s="548"/>
      <c r="D799" s="548"/>
      <c r="E799" s="548"/>
      <c r="F799" s="548"/>
      <c r="G799" s="548"/>
      <c r="H799" s="548"/>
      <c r="I799" s="548"/>
      <c r="J799" s="548"/>
      <c r="K799" s="548"/>
      <c r="L799" s="548"/>
      <c r="M799" s="549"/>
      <c r="N799" s="546"/>
      <c r="O799" s="546"/>
      <c r="P799" s="546"/>
      <c r="Q799" s="546"/>
      <c r="R799" s="546"/>
      <c r="S799" s="547"/>
      <c r="T799" s="547"/>
    </row>
    <row r="800">
      <c r="A800" s="548"/>
      <c r="B800" s="548"/>
      <c r="C800" s="548"/>
      <c r="D800" s="548"/>
      <c r="E800" s="548"/>
      <c r="F800" s="548"/>
      <c r="G800" s="548"/>
      <c r="H800" s="548"/>
      <c r="I800" s="548"/>
      <c r="J800" s="548"/>
      <c r="K800" s="548"/>
      <c r="L800" s="548"/>
      <c r="M800" s="549"/>
      <c r="N800" s="546"/>
      <c r="O800" s="546"/>
      <c r="P800" s="546"/>
      <c r="Q800" s="546"/>
      <c r="R800" s="546"/>
      <c r="S800" s="547"/>
      <c r="T800" s="547"/>
    </row>
    <row r="801">
      <c r="A801" s="548"/>
      <c r="B801" s="548"/>
      <c r="C801" s="548"/>
      <c r="D801" s="548"/>
      <c r="E801" s="548"/>
      <c r="F801" s="548"/>
      <c r="G801" s="548"/>
      <c r="H801" s="548"/>
      <c r="I801" s="548"/>
      <c r="J801" s="548"/>
      <c r="K801" s="548"/>
      <c r="L801" s="548"/>
      <c r="M801" s="549"/>
      <c r="N801" s="546"/>
      <c r="O801" s="546"/>
      <c r="P801" s="546"/>
      <c r="Q801" s="546"/>
      <c r="R801" s="546"/>
      <c r="S801" s="547"/>
      <c r="T801" s="547"/>
    </row>
    <row r="802">
      <c r="A802" s="548"/>
      <c r="B802" s="548"/>
      <c r="C802" s="548"/>
      <c r="D802" s="548"/>
      <c r="E802" s="548"/>
      <c r="F802" s="548"/>
      <c r="G802" s="548"/>
      <c r="H802" s="548"/>
      <c r="I802" s="548"/>
      <c r="J802" s="548"/>
      <c r="K802" s="548"/>
      <c r="L802" s="548"/>
      <c r="M802" s="549"/>
      <c r="N802" s="546"/>
      <c r="O802" s="546"/>
      <c r="P802" s="546"/>
      <c r="Q802" s="546"/>
      <c r="R802" s="546"/>
      <c r="S802" s="547"/>
      <c r="T802" s="547"/>
    </row>
    <row r="803">
      <c r="A803" s="548"/>
      <c r="B803" s="548"/>
      <c r="C803" s="548"/>
      <c r="D803" s="548"/>
      <c r="E803" s="548"/>
      <c r="F803" s="548"/>
      <c r="G803" s="548"/>
      <c r="H803" s="548"/>
      <c r="I803" s="548"/>
      <c r="J803" s="548"/>
      <c r="K803" s="548"/>
      <c r="L803" s="548"/>
      <c r="M803" s="549"/>
      <c r="N803" s="546"/>
      <c r="O803" s="546"/>
      <c r="P803" s="546"/>
      <c r="Q803" s="546"/>
      <c r="R803" s="546"/>
      <c r="S803" s="547"/>
      <c r="T803" s="547"/>
    </row>
    <row r="804">
      <c r="A804" s="548"/>
      <c r="B804" s="548"/>
      <c r="C804" s="548"/>
      <c r="D804" s="548"/>
      <c r="E804" s="548"/>
      <c r="F804" s="548"/>
      <c r="G804" s="548"/>
      <c r="H804" s="548"/>
      <c r="I804" s="548"/>
      <c r="J804" s="548"/>
      <c r="K804" s="548"/>
      <c r="L804" s="548"/>
      <c r="M804" s="549"/>
      <c r="N804" s="546"/>
      <c r="O804" s="546"/>
      <c r="P804" s="546"/>
      <c r="Q804" s="546"/>
      <c r="R804" s="546"/>
      <c r="S804" s="547"/>
      <c r="T804" s="547"/>
    </row>
    <row r="805">
      <c r="A805" s="548"/>
      <c r="B805" s="548"/>
      <c r="C805" s="548"/>
      <c r="D805" s="548"/>
      <c r="E805" s="548"/>
      <c r="F805" s="548"/>
      <c r="G805" s="548"/>
      <c r="H805" s="548"/>
      <c r="I805" s="548"/>
      <c r="J805" s="548"/>
      <c r="K805" s="548"/>
      <c r="L805" s="548"/>
      <c r="M805" s="549"/>
      <c r="N805" s="546"/>
      <c r="O805" s="546"/>
      <c r="P805" s="546"/>
      <c r="Q805" s="546"/>
      <c r="R805" s="546"/>
      <c r="S805" s="547"/>
      <c r="T805" s="547"/>
    </row>
    <row r="806">
      <c r="A806" s="548"/>
      <c r="B806" s="548"/>
      <c r="C806" s="548"/>
      <c r="D806" s="548"/>
      <c r="E806" s="548"/>
      <c r="F806" s="548"/>
      <c r="G806" s="548"/>
      <c r="H806" s="548"/>
      <c r="I806" s="548"/>
      <c r="J806" s="548"/>
      <c r="K806" s="548"/>
      <c r="L806" s="548"/>
      <c r="M806" s="549"/>
      <c r="N806" s="546"/>
      <c r="O806" s="546"/>
      <c r="P806" s="546"/>
      <c r="Q806" s="546"/>
      <c r="R806" s="546"/>
      <c r="S806" s="547"/>
      <c r="T806" s="547"/>
    </row>
    <row r="807">
      <c r="A807" s="548"/>
      <c r="B807" s="548"/>
      <c r="C807" s="548"/>
      <c r="D807" s="548"/>
      <c r="E807" s="548"/>
      <c r="F807" s="548"/>
      <c r="G807" s="548"/>
      <c r="H807" s="548"/>
      <c r="I807" s="548"/>
      <c r="J807" s="548"/>
      <c r="K807" s="548"/>
      <c r="L807" s="548"/>
      <c r="M807" s="549"/>
      <c r="N807" s="546"/>
      <c r="O807" s="546"/>
      <c r="P807" s="546"/>
      <c r="Q807" s="546"/>
      <c r="R807" s="546"/>
      <c r="S807" s="547"/>
      <c r="T807" s="547"/>
    </row>
    <row r="808">
      <c r="A808" s="548"/>
      <c r="B808" s="548"/>
      <c r="C808" s="548"/>
      <c r="D808" s="548"/>
      <c r="E808" s="548"/>
      <c r="F808" s="548"/>
      <c r="G808" s="548"/>
      <c r="H808" s="548"/>
      <c r="I808" s="548"/>
      <c r="J808" s="548"/>
      <c r="K808" s="548"/>
      <c r="L808" s="548"/>
      <c r="M808" s="549"/>
      <c r="N808" s="546"/>
      <c r="O808" s="546"/>
      <c r="P808" s="546"/>
      <c r="Q808" s="546"/>
      <c r="R808" s="546"/>
      <c r="S808" s="547"/>
      <c r="T808" s="547"/>
    </row>
    <row r="809">
      <c r="A809" s="548"/>
      <c r="B809" s="548"/>
      <c r="C809" s="548"/>
      <c r="D809" s="548"/>
      <c r="E809" s="548"/>
      <c r="F809" s="548"/>
      <c r="G809" s="548"/>
      <c r="H809" s="548"/>
      <c r="I809" s="548"/>
      <c r="J809" s="548"/>
      <c r="K809" s="548"/>
      <c r="L809" s="548"/>
      <c r="M809" s="549"/>
      <c r="N809" s="546"/>
      <c r="O809" s="546"/>
      <c r="P809" s="546"/>
      <c r="Q809" s="546"/>
      <c r="R809" s="546"/>
      <c r="S809" s="547"/>
      <c r="T809" s="547"/>
    </row>
    <row r="810">
      <c r="A810" s="548"/>
      <c r="B810" s="548"/>
      <c r="C810" s="548"/>
      <c r="D810" s="548"/>
      <c r="E810" s="548"/>
      <c r="F810" s="548"/>
      <c r="G810" s="548"/>
      <c r="H810" s="548"/>
      <c r="I810" s="548"/>
      <c r="J810" s="548"/>
      <c r="K810" s="548"/>
      <c r="L810" s="548"/>
      <c r="M810" s="549"/>
      <c r="N810" s="546"/>
      <c r="O810" s="546"/>
      <c r="P810" s="546"/>
      <c r="Q810" s="546"/>
      <c r="R810" s="546"/>
      <c r="S810" s="547"/>
      <c r="T810" s="547"/>
    </row>
    <row r="811">
      <c r="A811" s="548"/>
      <c r="B811" s="548"/>
      <c r="C811" s="548"/>
      <c r="D811" s="548"/>
      <c r="E811" s="548"/>
      <c r="F811" s="548"/>
      <c r="G811" s="548"/>
      <c r="H811" s="548"/>
      <c r="I811" s="548"/>
      <c r="J811" s="548"/>
      <c r="K811" s="548"/>
      <c r="L811" s="548"/>
      <c r="M811" s="549"/>
      <c r="N811" s="546"/>
      <c r="O811" s="546"/>
      <c r="P811" s="546"/>
      <c r="Q811" s="546"/>
      <c r="R811" s="546"/>
      <c r="S811" s="547"/>
      <c r="T811" s="547"/>
    </row>
    <row r="812">
      <c r="A812" s="548"/>
      <c r="B812" s="548"/>
      <c r="C812" s="548"/>
      <c r="D812" s="548"/>
      <c r="E812" s="548"/>
      <c r="F812" s="548"/>
      <c r="G812" s="548"/>
      <c r="H812" s="548"/>
      <c r="I812" s="548"/>
      <c r="J812" s="548"/>
      <c r="K812" s="548"/>
      <c r="L812" s="548"/>
      <c r="M812" s="549"/>
      <c r="N812" s="546"/>
      <c r="O812" s="546"/>
      <c r="P812" s="546"/>
      <c r="Q812" s="546"/>
      <c r="R812" s="546"/>
      <c r="S812" s="547"/>
      <c r="T812" s="547"/>
    </row>
    <row r="813">
      <c r="A813" s="548"/>
      <c r="B813" s="548"/>
      <c r="C813" s="548"/>
      <c r="D813" s="548"/>
      <c r="E813" s="548"/>
      <c r="F813" s="548"/>
      <c r="G813" s="548"/>
      <c r="H813" s="548"/>
      <c r="I813" s="548"/>
      <c r="J813" s="548"/>
      <c r="K813" s="548"/>
      <c r="L813" s="548"/>
      <c r="M813" s="549"/>
      <c r="N813" s="546"/>
      <c r="O813" s="546"/>
      <c r="P813" s="546"/>
      <c r="Q813" s="546"/>
      <c r="R813" s="546"/>
      <c r="S813" s="547"/>
      <c r="T813" s="547"/>
    </row>
    <row r="814">
      <c r="A814" s="548"/>
      <c r="B814" s="548"/>
      <c r="C814" s="548"/>
      <c r="D814" s="548"/>
      <c r="E814" s="548"/>
      <c r="F814" s="548"/>
      <c r="G814" s="548"/>
      <c r="H814" s="548"/>
      <c r="I814" s="548"/>
      <c r="J814" s="548"/>
      <c r="K814" s="548"/>
      <c r="L814" s="548"/>
      <c r="M814" s="549"/>
      <c r="N814" s="546"/>
      <c r="O814" s="546"/>
      <c r="P814" s="546"/>
      <c r="Q814" s="546"/>
      <c r="R814" s="546"/>
      <c r="S814" s="547"/>
      <c r="T814" s="547"/>
    </row>
    <row r="815">
      <c r="A815" s="548"/>
      <c r="B815" s="548"/>
      <c r="C815" s="548"/>
      <c r="D815" s="548"/>
      <c r="E815" s="548"/>
      <c r="F815" s="548"/>
      <c r="G815" s="548"/>
      <c r="H815" s="548"/>
      <c r="I815" s="548"/>
      <c r="J815" s="548"/>
      <c r="K815" s="548"/>
      <c r="L815" s="548"/>
      <c r="M815" s="549"/>
      <c r="N815" s="546"/>
      <c r="O815" s="546"/>
      <c r="P815" s="546"/>
      <c r="Q815" s="546"/>
      <c r="R815" s="546"/>
      <c r="S815" s="547"/>
      <c r="T815" s="547"/>
    </row>
    <row r="816">
      <c r="A816" s="548"/>
      <c r="B816" s="548"/>
      <c r="C816" s="548"/>
      <c r="D816" s="548"/>
      <c r="E816" s="548"/>
      <c r="F816" s="548"/>
      <c r="G816" s="548"/>
      <c r="H816" s="548"/>
      <c r="I816" s="548"/>
      <c r="J816" s="548"/>
      <c r="K816" s="548"/>
      <c r="L816" s="548"/>
      <c r="M816" s="549"/>
      <c r="N816" s="546"/>
      <c r="O816" s="546"/>
      <c r="P816" s="546"/>
      <c r="Q816" s="546"/>
      <c r="R816" s="546"/>
      <c r="S816" s="547"/>
      <c r="T816" s="547"/>
    </row>
    <row r="817">
      <c r="A817" s="548"/>
      <c r="B817" s="548"/>
      <c r="C817" s="548"/>
      <c r="D817" s="548"/>
      <c r="E817" s="548"/>
      <c r="F817" s="548"/>
      <c r="G817" s="548"/>
      <c r="H817" s="548"/>
      <c r="I817" s="548"/>
      <c r="J817" s="548"/>
      <c r="K817" s="548"/>
      <c r="L817" s="548"/>
      <c r="M817" s="549"/>
      <c r="N817" s="546"/>
      <c r="O817" s="546"/>
      <c r="P817" s="546"/>
      <c r="Q817" s="546"/>
      <c r="R817" s="546"/>
      <c r="S817" s="547"/>
      <c r="T817" s="547"/>
    </row>
    <row r="818">
      <c r="A818" s="548"/>
      <c r="B818" s="548"/>
      <c r="C818" s="548"/>
      <c r="D818" s="548"/>
      <c r="E818" s="548"/>
      <c r="F818" s="548"/>
      <c r="G818" s="548"/>
      <c r="H818" s="548"/>
      <c r="I818" s="548"/>
      <c r="J818" s="548"/>
      <c r="K818" s="548"/>
      <c r="L818" s="548"/>
      <c r="M818" s="549"/>
      <c r="N818" s="546"/>
      <c r="O818" s="546"/>
      <c r="P818" s="546"/>
      <c r="Q818" s="546"/>
      <c r="R818" s="546"/>
      <c r="S818" s="547"/>
      <c r="T818" s="547"/>
    </row>
    <row r="819">
      <c r="A819" s="548"/>
      <c r="B819" s="548"/>
      <c r="C819" s="548"/>
      <c r="D819" s="548"/>
      <c r="E819" s="548"/>
      <c r="F819" s="548"/>
      <c r="G819" s="548"/>
      <c r="H819" s="548"/>
      <c r="I819" s="548"/>
      <c r="J819" s="548"/>
      <c r="K819" s="548"/>
      <c r="L819" s="548"/>
      <c r="M819" s="549"/>
      <c r="N819" s="546"/>
      <c r="O819" s="546"/>
      <c r="P819" s="546"/>
      <c r="Q819" s="546"/>
      <c r="R819" s="546"/>
      <c r="S819" s="547"/>
      <c r="T819" s="547"/>
    </row>
    <row r="820">
      <c r="A820" s="548"/>
      <c r="B820" s="548"/>
      <c r="C820" s="548"/>
      <c r="D820" s="548"/>
      <c r="E820" s="548"/>
      <c r="F820" s="548"/>
      <c r="G820" s="548"/>
      <c r="H820" s="548"/>
      <c r="I820" s="548"/>
      <c r="J820" s="548"/>
      <c r="K820" s="548"/>
      <c r="L820" s="548"/>
      <c r="M820" s="549"/>
      <c r="N820" s="546"/>
      <c r="O820" s="546"/>
      <c r="P820" s="546"/>
      <c r="Q820" s="546"/>
      <c r="R820" s="546"/>
      <c r="S820" s="547"/>
      <c r="T820" s="547"/>
    </row>
    <row r="821">
      <c r="A821" s="548"/>
      <c r="B821" s="548"/>
      <c r="C821" s="548"/>
      <c r="D821" s="548"/>
      <c r="E821" s="548"/>
      <c r="F821" s="548"/>
      <c r="G821" s="548"/>
      <c r="H821" s="548"/>
      <c r="I821" s="548"/>
      <c r="J821" s="548"/>
      <c r="K821" s="548"/>
      <c r="L821" s="548"/>
      <c r="M821" s="549"/>
      <c r="N821" s="546"/>
      <c r="O821" s="546"/>
      <c r="P821" s="546"/>
      <c r="Q821" s="546"/>
      <c r="R821" s="546"/>
      <c r="S821" s="547"/>
      <c r="T821" s="547"/>
    </row>
    <row r="822">
      <c r="A822" s="548"/>
      <c r="B822" s="548"/>
      <c r="C822" s="548"/>
      <c r="D822" s="548"/>
      <c r="E822" s="548"/>
      <c r="F822" s="548"/>
      <c r="G822" s="548"/>
      <c r="H822" s="548"/>
      <c r="I822" s="548"/>
      <c r="J822" s="548"/>
      <c r="K822" s="548"/>
      <c r="L822" s="548"/>
      <c r="M822" s="549"/>
      <c r="N822" s="546"/>
      <c r="O822" s="546"/>
      <c r="P822" s="546"/>
      <c r="Q822" s="546"/>
      <c r="R822" s="546"/>
      <c r="S822" s="547"/>
      <c r="T822" s="547"/>
    </row>
    <row r="823">
      <c r="A823" s="548"/>
      <c r="B823" s="548"/>
      <c r="C823" s="548"/>
      <c r="D823" s="548"/>
      <c r="E823" s="548"/>
      <c r="F823" s="548"/>
      <c r="G823" s="548"/>
      <c r="H823" s="548"/>
      <c r="I823" s="548"/>
      <c r="J823" s="548"/>
      <c r="K823" s="548"/>
      <c r="L823" s="548"/>
      <c r="M823" s="549"/>
      <c r="N823" s="546"/>
      <c r="O823" s="546"/>
      <c r="P823" s="546"/>
      <c r="Q823" s="546"/>
      <c r="R823" s="546"/>
      <c r="S823" s="547"/>
      <c r="T823" s="547"/>
    </row>
    <row r="824">
      <c r="A824" s="548"/>
      <c r="B824" s="548"/>
      <c r="C824" s="548"/>
      <c r="D824" s="548"/>
      <c r="E824" s="548"/>
      <c r="F824" s="548"/>
      <c r="G824" s="548"/>
      <c r="H824" s="548"/>
      <c r="I824" s="548"/>
      <c r="J824" s="548"/>
      <c r="K824" s="548"/>
      <c r="L824" s="548"/>
      <c r="M824" s="549"/>
      <c r="N824" s="546"/>
      <c r="O824" s="546"/>
      <c r="P824" s="546"/>
      <c r="Q824" s="546"/>
      <c r="R824" s="546"/>
      <c r="S824" s="547"/>
      <c r="T824" s="547"/>
    </row>
    <row r="825">
      <c r="A825" s="548"/>
      <c r="B825" s="548"/>
      <c r="C825" s="548"/>
      <c r="D825" s="548"/>
      <c r="E825" s="548"/>
      <c r="F825" s="548"/>
      <c r="G825" s="548"/>
      <c r="H825" s="548"/>
      <c r="I825" s="548"/>
      <c r="J825" s="548"/>
      <c r="K825" s="548"/>
      <c r="L825" s="548"/>
      <c r="M825" s="549"/>
      <c r="N825" s="546"/>
      <c r="O825" s="546"/>
      <c r="P825" s="546"/>
      <c r="Q825" s="546"/>
      <c r="R825" s="546"/>
      <c r="S825" s="547"/>
      <c r="T825" s="547"/>
    </row>
    <row r="826">
      <c r="A826" s="548"/>
      <c r="B826" s="548"/>
      <c r="C826" s="548"/>
      <c r="D826" s="548"/>
      <c r="E826" s="548"/>
      <c r="F826" s="548"/>
      <c r="G826" s="548"/>
      <c r="H826" s="548"/>
      <c r="I826" s="548"/>
      <c r="J826" s="548"/>
      <c r="K826" s="548"/>
      <c r="L826" s="548"/>
      <c r="M826" s="549"/>
      <c r="N826" s="546"/>
      <c r="O826" s="546"/>
      <c r="P826" s="546"/>
      <c r="Q826" s="546"/>
      <c r="R826" s="546"/>
      <c r="S826" s="547"/>
      <c r="T826" s="547"/>
    </row>
    <row r="827">
      <c r="A827" s="548"/>
      <c r="B827" s="548"/>
      <c r="C827" s="548"/>
      <c r="D827" s="548"/>
      <c r="E827" s="548"/>
      <c r="F827" s="548"/>
      <c r="G827" s="548"/>
      <c r="H827" s="548"/>
      <c r="I827" s="548"/>
      <c r="J827" s="548"/>
      <c r="K827" s="548"/>
      <c r="L827" s="548"/>
      <c r="M827" s="549"/>
      <c r="N827" s="546"/>
      <c r="O827" s="546"/>
      <c r="P827" s="546"/>
      <c r="Q827" s="546"/>
      <c r="R827" s="546"/>
      <c r="S827" s="547"/>
      <c r="T827" s="547"/>
    </row>
    <row r="828">
      <c r="A828" s="548"/>
      <c r="B828" s="548"/>
      <c r="C828" s="548"/>
      <c r="D828" s="548"/>
      <c r="E828" s="548"/>
      <c r="F828" s="548"/>
      <c r="G828" s="548"/>
      <c r="H828" s="548"/>
      <c r="I828" s="548"/>
      <c r="J828" s="548"/>
      <c r="K828" s="548"/>
      <c r="L828" s="548"/>
      <c r="M828" s="549"/>
      <c r="N828" s="546"/>
      <c r="O828" s="546"/>
      <c r="P828" s="546"/>
      <c r="Q828" s="546"/>
      <c r="R828" s="546"/>
      <c r="S828" s="547"/>
      <c r="T828" s="547"/>
    </row>
    <row r="829">
      <c r="A829" s="548"/>
      <c r="B829" s="548"/>
      <c r="C829" s="548"/>
      <c r="D829" s="548"/>
      <c r="E829" s="548"/>
      <c r="F829" s="548"/>
      <c r="G829" s="548"/>
      <c r="H829" s="548"/>
      <c r="I829" s="548"/>
      <c r="J829" s="548"/>
      <c r="K829" s="548"/>
      <c r="L829" s="548"/>
      <c r="M829" s="549"/>
      <c r="N829" s="546"/>
      <c r="O829" s="546"/>
      <c r="P829" s="546"/>
      <c r="Q829" s="546"/>
      <c r="R829" s="546"/>
      <c r="S829" s="547"/>
      <c r="T829" s="547"/>
    </row>
    <row r="830">
      <c r="A830" s="548"/>
      <c r="B830" s="548"/>
      <c r="C830" s="548"/>
      <c r="D830" s="548"/>
      <c r="E830" s="548"/>
      <c r="F830" s="548"/>
      <c r="G830" s="548"/>
      <c r="H830" s="548"/>
      <c r="I830" s="548"/>
      <c r="J830" s="548"/>
      <c r="K830" s="548"/>
      <c r="L830" s="548"/>
      <c r="M830" s="549"/>
      <c r="N830" s="546"/>
      <c r="O830" s="546"/>
      <c r="P830" s="546"/>
      <c r="Q830" s="546"/>
      <c r="R830" s="546"/>
      <c r="S830" s="547"/>
      <c r="T830" s="547"/>
    </row>
    <row r="831">
      <c r="A831" s="548"/>
      <c r="B831" s="548"/>
      <c r="C831" s="548"/>
      <c r="D831" s="548"/>
      <c r="E831" s="548"/>
      <c r="F831" s="548"/>
      <c r="G831" s="548"/>
      <c r="H831" s="548"/>
      <c r="I831" s="548"/>
      <c r="J831" s="548"/>
      <c r="K831" s="548"/>
      <c r="L831" s="548"/>
      <c r="M831" s="549"/>
      <c r="N831" s="546"/>
      <c r="O831" s="546"/>
      <c r="P831" s="546"/>
      <c r="Q831" s="546"/>
      <c r="R831" s="546"/>
      <c r="S831" s="547"/>
      <c r="T831" s="547"/>
    </row>
    <row r="832">
      <c r="A832" s="548"/>
      <c r="B832" s="548"/>
      <c r="C832" s="548"/>
      <c r="D832" s="548"/>
      <c r="E832" s="548"/>
      <c r="F832" s="548"/>
      <c r="G832" s="548"/>
      <c r="H832" s="548"/>
      <c r="I832" s="548"/>
      <c r="J832" s="548"/>
      <c r="K832" s="548"/>
      <c r="L832" s="548"/>
      <c r="M832" s="549"/>
      <c r="N832" s="546"/>
      <c r="O832" s="546"/>
      <c r="P832" s="546"/>
      <c r="Q832" s="546"/>
      <c r="R832" s="546"/>
      <c r="S832" s="547"/>
      <c r="T832" s="547"/>
    </row>
    <row r="833">
      <c r="A833" s="548"/>
      <c r="B833" s="548"/>
      <c r="C833" s="548"/>
      <c r="D833" s="548"/>
      <c r="E833" s="548"/>
      <c r="F833" s="548"/>
      <c r="G833" s="548"/>
      <c r="H833" s="548"/>
      <c r="I833" s="548"/>
      <c r="J833" s="548"/>
      <c r="K833" s="548"/>
      <c r="L833" s="548"/>
      <c r="M833" s="549"/>
      <c r="N833" s="546"/>
      <c r="O833" s="546"/>
      <c r="P833" s="546"/>
      <c r="Q833" s="546"/>
      <c r="R833" s="546"/>
      <c r="S833" s="547"/>
      <c r="T833" s="547"/>
    </row>
    <row r="834">
      <c r="A834" s="548"/>
      <c r="B834" s="548"/>
      <c r="C834" s="548"/>
      <c r="D834" s="548"/>
      <c r="E834" s="548"/>
      <c r="F834" s="548"/>
      <c r="G834" s="548"/>
      <c r="H834" s="548"/>
      <c r="I834" s="548"/>
      <c r="J834" s="548"/>
      <c r="K834" s="548"/>
      <c r="L834" s="548"/>
      <c r="M834" s="549"/>
      <c r="N834" s="546"/>
      <c r="O834" s="546"/>
      <c r="P834" s="546"/>
      <c r="Q834" s="546"/>
      <c r="R834" s="546"/>
      <c r="S834" s="547"/>
      <c r="T834" s="547"/>
    </row>
    <row r="835">
      <c r="A835" s="548"/>
      <c r="B835" s="548"/>
      <c r="C835" s="548"/>
      <c r="D835" s="548"/>
      <c r="E835" s="548"/>
      <c r="F835" s="548"/>
      <c r="G835" s="548"/>
      <c r="H835" s="548"/>
      <c r="I835" s="548"/>
      <c r="J835" s="548"/>
      <c r="K835" s="548"/>
      <c r="L835" s="548"/>
      <c r="M835" s="549"/>
      <c r="N835" s="546"/>
      <c r="O835" s="546"/>
      <c r="P835" s="546"/>
      <c r="Q835" s="546"/>
      <c r="R835" s="546"/>
      <c r="S835" s="547"/>
      <c r="T835" s="547"/>
    </row>
    <row r="836">
      <c r="A836" s="548"/>
      <c r="B836" s="548"/>
      <c r="C836" s="548"/>
      <c r="D836" s="548"/>
      <c r="E836" s="548"/>
      <c r="F836" s="548"/>
      <c r="G836" s="548"/>
      <c r="H836" s="548"/>
      <c r="I836" s="548"/>
      <c r="J836" s="548"/>
      <c r="K836" s="548"/>
      <c r="L836" s="548"/>
      <c r="M836" s="549"/>
      <c r="N836" s="546"/>
      <c r="O836" s="546"/>
      <c r="P836" s="546"/>
      <c r="Q836" s="546"/>
      <c r="R836" s="546"/>
      <c r="S836" s="547"/>
      <c r="T836" s="547"/>
    </row>
    <row r="837">
      <c r="A837" s="548"/>
      <c r="B837" s="548"/>
      <c r="C837" s="548"/>
      <c r="D837" s="548"/>
      <c r="E837" s="548"/>
      <c r="F837" s="548"/>
      <c r="G837" s="548"/>
      <c r="H837" s="548"/>
      <c r="I837" s="548"/>
      <c r="J837" s="548"/>
      <c r="K837" s="548"/>
      <c r="L837" s="548"/>
      <c r="M837" s="549"/>
      <c r="N837" s="546"/>
      <c r="O837" s="546"/>
      <c r="P837" s="546"/>
      <c r="Q837" s="546"/>
      <c r="R837" s="546"/>
      <c r="S837" s="547"/>
      <c r="T837" s="547"/>
    </row>
    <row r="838">
      <c r="A838" s="548"/>
      <c r="B838" s="548"/>
      <c r="C838" s="548"/>
      <c r="D838" s="548"/>
      <c r="E838" s="548"/>
      <c r="F838" s="548"/>
      <c r="G838" s="548"/>
      <c r="H838" s="548"/>
      <c r="I838" s="548"/>
      <c r="J838" s="548"/>
      <c r="K838" s="548"/>
      <c r="L838" s="548"/>
      <c r="M838" s="549"/>
      <c r="N838" s="546"/>
      <c r="O838" s="546"/>
      <c r="P838" s="546"/>
      <c r="Q838" s="546"/>
      <c r="R838" s="546"/>
      <c r="S838" s="547"/>
      <c r="T838" s="547"/>
    </row>
    <row r="839">
      <c r="A839" s="548"/>
      <c r="B839" s="548"/>
      <c r="C839" s="548"/>
      <c r="D839" s="548"/>
      <c r="E839" s="548"/>
      <c r="F839" s="548"/>
      <c r="G839" s="548"/>
      <c r="H839" s="548"/>
      <c r="I839" s="548"/>
      <c r="J839" s="548"/>
      <c r="K839" s="548"/>
      <c r="L839" s="548"/>
      <c r="M839" s="549"/>
      <c r="N839" s="546"/>
      <c r="O839" s="546"/>
      <c r="P839" s="546"/>
      <c r="Q839" s="546"/>
      <c r="R839" s="546"/>
      <c r="S839" s="547"/>
      <c r="T839" s="547"/>
    </row>
    <row r="840">
      <c r="A840" s="548"/>
      <c r="B840" s="548"/>
      <c r="C840" s="548"/>
      <c r="D840" s="548"/>
      <c r="E840" s="548"/>
      <c r="F840" s="548"/>
      <c r="G840" s="548"/>
      <c r="H840" s="548"/>
      <c r="I840" s="548"/>
      <c r="J840" s="548"/>
      <c r="K840" s="548"/>
      <c r="L840" s="548"/>
      <c r="M840" s="549"/>
      <c r="N840" s="546"/>
      <c r="O840" s="546"/>
      <c r="P840" s="546"/>
      <c r="Q840" s="546"/>
      <c r="R840" s="546"/>
      <c r="S840" s="547"/>
      <c r="T840" s="547"/>
    </row>
    <row r="841">
      <c r="A841" s="548"/>
      <c r="B841" s="548"/>
      <c r="C841" s="548"/>
      <c r="D841" s="548"/>
      <c r="E841" s="548"/>
      <c r="F841" s="548"/>
      <c r="G841" s="548"/>
      <c r="H841" s="548"/>
      <c r="I841" s="548"/>
      <c r="J841" s="548"/>
      <c r="K841" s="548"/>
      <c r="L841" s="548"/>
      <c r="M841" s="549"/>
      <c r="N841" s="546"/>
      <c r="O841" s="546"/>
      <c r="P841" s="546"/>
      <c r="Q841" s="546"/>
      <c r="R841" s="546"/>
      <c r="S841" s="547"/>
      <c r="T841" s="547"/>
    </row>
    <row r="842">
      <c r="A842" s="548"/>
      <c r="B842" s="548"/>
      <c r="C842" s="548"/>
      <c r="D842" s="548"/>
      <c r="E842" s="548"/>
      <c r="F842" s="548"/>
      <c r="G842" s="548"/>
      <c r="H842" s="548"/>
      <c r="I842" s="548"/>
      <c r="J842" s="548"/>
      <c r="K842" s="548"/>
      <c r="L842" s="548"/>
      <c r="M842" s="549"/>
      <c r="N842" s="546"/>
      <c r="O842" s="546"/>
      <c r="P842" s="546"/>
      <c r="Q842" s="546"/>
      <c r="R842" s="546"/>
      <c r="S842" s="547"/>
      <c r="T842" s="547"/>
    </row>
    <row r="843">
      <c r="A843" s="548"/>
      <c r="B843" s="548"/>
      <c r="C843" s="548"/>
      <c r="D843" s="548"/>
      <c r="E843" s="548"/>
      <c r="F843" s="548"/>
      <c r="G843" s="548"/>
      <c r="H843" s="548"/>
      <c r="I843" s="548"/>
      <c r="J843" s="548"/>
      <c r="K843" s="548"/>
      <c r="L843" s="548"/>
      <c r="M843" s="549"/>
      <c r="N843" s="546"/>
      <c r="O843" s="546"/>
      <c r="P843" s="546"/>
      <c r="Q843" s="546"/>
      <c r="R843" s="546"/>
      <c r="S843" s="547"/>
      <c r="T843" s="547"/>
    </row>
    <row r="844">
      <c r="A844" s="548"/>
      <c r="B844" s="548"/>
      <c r="C844" s="548"/>
      <c r="D844" s="548"/>
      <c r="E844" s="548"/>
      <c r="F844" s="548"/>
      <c r="G844" s="548"/>
      <c r="H844" s="548"/>
      <c r="I844" s="548"/>
      <c r="J844" s="548"/>
      <c r="K844" s="548"/>
      <c r="L844" s="548"/>
      <c r="M844" s="549"/>
      <c r="N844" s="546"/>
      <c r="O844" s="546"/>
      <c r="P844" s="546"/>
      <c r="Q844" s="546"/>
      <c r="R844" s="546"/>
      <c r="S844" s="547"/>
      <c r="T844" s="547"/>
    </row>
    <row r="845">
      <c r="A845" s="548"/>
      <c r="B845" s="548"/>
      <c r="C845" s="548"/>
      <c r="D845" s="548"/>
      <c r="E845" s="548"/>
      <c r="F845" s="548"/>
      <c r="G845" s="548"/>
      <c r="H845" s="548"/>
      <c r="I845" s="548"/>
      <c r="J845" s="548"/>
      <c r="K845" s="548"/>
      <c r="L845" s="548"/>
      <c r="M845" s="549"/>
      <c r="N845" s="546"/>
      <c r="O845" s="546"/>
      <c r="P845" s="546"/>
      <c r="Q845" s="546"/>
      <c r="R845" s="546"/>
      <c r="S845" s="547"/>
      <c r="T845" s="547"/>
    </row>
    <row r="846">
      <c r="A846" s="548"/>
      <c r="B846" s="548"/>
      <c r="C846" s="548"/>
      <c r="D846" s="548"/>
      <c r="E846" s="548"/>
      <c r="F846" s="548"/>
      <c r="G846" s="548"/>
      <c r="H846" s="548"/>
      <c r="I846" s="548"/>
      <c r="J846" s="548"/>
      <c r="K846" s="548"/>
      <c r="L846" s="548"/>
      <c r="M846" s="549"/>
      <c r="N846" s="546"/>
      <c r="O846" s="546"/>
      <c r="P846" s="546"/>
      <c r="Q846" s="546"/>
      <c r="R846" s="546"/>
      <c r="S846" s="547"/>
      <c r="T846" s="547"/>
    </row>
    <row r="847">
      <c r="A847" s="548"/>
      <c r="B847" s="548"/>
      <c r="C847" s="548"/>
      <c r="D847" s="548"/>
      <c r="E847" s="548"/>
      <c r="F847" s="548"/>
      <c r="G847" s="548"/>
      <c r="H847" s="548"/>
      <c r="I847" s="548"/>
      <c r="J847" s="548"/>
      <c r="K847" s="548"/>
      <c r="L847" s="548"/>
      <c r="M847" s="549"/>
      <c r="N847" s="546"/>
      <c r="O847" s="546"/>
      <c r="P847" s="546"/>
      <c r="Q847" s="546"/>
      <c r="R847" s="546"/>
      <c r="S847" s="547"/>
      <c r="T847" s="547"/>
    </row>
    <row r="848">
      <c r="A848" s="548"/>
      <c r="B848" s="548"/>
      <c r="C848" s="548"/>
      <c r="D848" s="548"/>
      <c r="E848" s="548"/>
      <c r="F848" s="548"/>
      <c r="G848" s="548"/>
      <c r="H848" s="548"/>
      <c r="I848" s="548"/>
      <c r="J848" s="548"/>
      <c r="K848" s="548"/>
      <c r="L848" s="548"/>
      <c r="M848" s="549"/>
      <c r="N848" s="546"/>
      <c r="O848" s="546"/>
      <c r="P848" s="546"/>
      <c r="Q848" s="546"/>
      <c r="R848" s="546"/>
      <c r="S848" s="547"/>
      <c r="T848" s="547"/>
    </row>
    <row r="849">
      <c r="A849" s="548"/>
      <c r="B849" s="548"/>
      <c r="C849" s="548"/>
      <c r="D849" s="548"/>
      <c r="E849" s="548"/>
      <c r="F849" s="548"/>
      <c r="G849" s="548"/>
      <c r="H849" s="548"/>
      <c r="I849" s="548"/>
      <c r="J849" s="548"/>
      <c r="K849" s="548"/>
      <c r="L849" s="548"/>
      <c r="M849" s="549"/>
      <c r="N849" s="546"/>
      <c r="O849" s="546"/>
      <c r="P849" s="546"/>
      <c r="Q849" s="546"/>
      <c r="R849" s="546"/>
      <c r="S849" s="547"/>
      <c r="T849" s="547"/>
    </row>
    <row r="850">
      <c r="A850" s="548"/>
      <c r="B850" s="548"/>
      <c r="C850" s="548"/>
      <c r="D850" s="548"/>
      <c r="E850" s="548"/>
      <c r="F850" s="548"/>
      <c r="G850" s="548"/>
      <c r="H850" s="548"/>
      <c r="I850" s="548"/>
      <c r="J850" s="548"/>
      <c r="K850" s="548"/>
      <c r="L850" s="548"/>
      <c r="M850" s="549"/>
      <c r="N850" s="546"/>
      <c r="O850" s="546"/>
      <c r="P850" s="546"/>
      <c r="Q850" s="546"/>
      <c r="R850" s="546"/>
      <c r="S850" s="547"/>
      <c r="T850" s="547"/>
    </row>
    <row r="851">
      <c r="A851" s="548"/>
      <c r="B851" s="548"/>
      <c r="C851" s="548"/>
      <c r="D851" s="548"/>
      <c r="E851" s="548"/>
      <c r="F851" s="548"/>
      <c r="G851" s="548"/>
      <c r="H851" s="548"/>
      <c r="I851" s="548"/>
      <c r="J851" s="548"/>
      <c r="K851" s="548"/>
      <c r="L851" s="548"/>
      <c r="M851" s="549"/>
      <c r="N851" s="546"/>
      <c r="O851" s="546"/>
      <c r="P851" s="546"/>
      <c r="Q851" s="546"/>
      <c r="R851" s="546"/>
      <c r="S851" s="547"/>
      <c r="T851" s="547"/>
    </row>
    <row r="852">
      <c r="A852" s="548"/>
      <c r="B852" s="548"/>
      <c r="C852" s="548"/>
      <c r="D852" s="548"/>
      <c r="E852" s="548"/>
      <c r="F852" s="548"/>
      <c r="G852" s="548"/>
      <c r="H852" s="548"/>
      <c r="I852" s="548"/>
      <c r="J852" s="548"/>
      <c r="K852" s="548"/>
      <c r="L852" s="548"/>
      <c r="M852" s="549"/>
      <c r="N852" s="546"/>
      <c r="O852" s="546"/>
      <c r="P852" s="546"/>
      <c r="Q852" s="546"/>
      <c r="R852" s="546"/>
      <c r="S852" s="547"/>
      <c r="T852" s="547"/>
    </row>
    <row r="853">
      <c r="A853" s="548"/>
      <c r="B853" s="548"/>
      <c r="C853" s="548"/>
      <c r="D853" s="548"/>
      <c r="E853" s="548"/>
      <c r="F853" s="548"/>
      <c r="G853" s="548"/>
      <c r="H853" s="548"/>
      <c r="I853" s="548"/>
      <c r="J853" s="548"/>
      <c r="K853" s="548"/>
      <c r="L853" s="548"/>
      <c r="M853" s="549"/>
      <c r="N853" s="546"/>
      <c r="O853" s="546"/>
      <c r="P853" s="546"/>
      <c r="Q853" s="546"/>
      <c r="R853" s="546"/>
      <c r="S853" s="547"/>
      <c r="T853" s="547"/>
    </row>
    <row r="854">
      <c r="A854" s="548"/>
      <c r="B854" s="548"/>
      <c r="C854" s="548"/>
      <c r="D854" s="548"/>
      <c r="E854" s="548"/>
      <c r="F854" s="548"/>
      <c r="G854" s="548"/>
      <c r="H854" s="548"/>
      <c r="I854" s="548"/>
      <c r="J854" s="548"/>
      <c r="K854" s="548"/>
      <c r="L854" s="548"/>
      <c r="M854" s="549"/>
      <c r="N854" s="546"/>
      <c r="O854" s="546"/>
      <c r="P854" s="546"/>
      <c r="Q854" s="546"/>
      <c r="R854" s="546"/>
      <c r="S854" s="547"/>
      <c r="T854" s="547"/>
    </row>
    <row r="855">
      <c r="A855" s="548"/>
      <c r="B855" s="548"/>
      <c r="C855" s="548"/>
      <c r="D855" s="548"/>
      <c r="E855" s="548"/>
      <c r="F855" s="548"/>
      <c r="G855" s="548"/>
      <c r="H855" s="548"/>
      <c r="I855" s="548"/>
      <c r="J855" s="548"/>
      <c r="K855" s="548"/>
      <c r="L855" s="548"/>
      <c r="M855" s="549"/>
      <c r="N855" s="546"/>
      <c r="O855" s="546"/>
      <c r="P855" s="546"/>
      <c r="Q855" s="546"/>
      <c r="R855" s="546"/>
      <c r="S855" s="547"/>
      <c r="T855" s="547"/>
    </row>
    <row r="856">
      <c r="A856" s="548"/>
      <c r="B856" s="548"/>
      <c r="C856" s="548"/>
      <c r="D856" s="548"/>
      <c r="E856" s="548"/>
      <c r="F856" s="548"/>
      <c r="G856" s="548"/>
      <c r="H856" s="548"/>
      <c r="I856" s="548"/>
      <c r="J856" s="548"/>
      <c r="K856" s="548"/>
      <c r="L856" s="548"/>
      <c r="M856" s="549"/>
      <c r="N856" s="546"/>
      <c r="O856" s="546"/>
      <c r="P856" s="546"/>
      <c r="Q856" s="546"/>
      <c r="R856" s="546"/>
      <c r="S856" s="547"/>
      <c r="T856" s="547"/>
    </row>
    <row r="857">
      <c r="A857" s="548"/>
      <c r="B857" s="548"/>
      <c r="C857" s="548"/>
      <c r="D857" s="548"/>
      <c r="E857" s="548"/>
      <c r="F857" s="548"/>
      <c r="G857" s="548"/>
      <c r="H857" s="548"/>
      <c r="I857" s="548"/>
      <c r="J857" s="548"/>
      <c r="K857" s="548"/>
      <c r="L857" s="548"/>
      <c r="M857" s="549"/>
      <c r="N857" s="546"/>
      <c r="O857" s="546"/>
      <c r="P857" s="546"/>
      <c r="Q857" s="546"/>
      <c r="R857" s="546"/>
      <c r="S857" s="547"/>
      <c r="T857" s="547"/>
    </row>
    <row r="858">
      <c r="A858" s="548"/>
      <c r="B858" s="548"/>
      <c r="C858" s="548"/>
      <c r="D858" s="548"/>
      <c r="E858" s="548"/>
      <c r="F858" s="548"/>
      <c r="G858" s="548"/>
      <c r="H858" s="548"/>
      <c r="I858" s="548"/>
      <c r="J858" s="548"/>
      <c r="K858" s="548"/>
      <c r="L858" s="548"/>
      <c r="M858" s="549"/>
      <c r="N858" s="546"/>
      <c r="O858" s="546"/>
      <c r="P858" s="546"/>
      <c r="Q858" s="546"/>
      <c r="R858" s="546"/>
      <c r="S858" s="547"/>
      <c r="T858" s="547"/>
    </row>
    <row r="859">
      <c r="A859" s="548"/>
      <c r="B859" s="548"/>
      <c r="C859" s="548"/>
      <c r="D859" s="548"/>
      <c r="E859" s="548"/>
      <c r="F859" s="548"/>
      <c r="G859" s="548"/>
      <c r="H859" s="548"/>
      <c r="I859" s="548"/>
      <c r="J859" s="548"/>
      <c r="K859" s="548"/>
      <c r="L859" s="548"/>
      <c r="M859" s="549"/>
      <c r="N859" s="546"/>
      <c r="O859" s="546"/>
      <c r="P859" s="546"/>
      <c r="Q859" s="546"/>
      <c r="R859" s="546"/>
      <c r="S859" s="547"/>
      <c r="T859" s="547"/>
    </row>
    <row r="860">
      <c r="A860" s="548"/>
      <c r="B860" s="548"/>
      <c r="C860" s="548"/>
      <c r="D860" s="548"/>
      <c r="E860" s="548"/>
      <c r="F860" s="548"/>
      <c r="G860" s="548"/>
      <c r="H860" s="548"/>
      <c r="I860" s="548"/>
      <c r="J860" s="548"/>
      <c r="K860" s="548"/>
      <c r="L860" s="548"/>
      <c r="M860" s="549"/>
      <c r="N860" s="546"/>
      <c r="O860" s="546"/>
      <c r="P860" s="546"/>
      <c r="Q860" s="546"/>
      <c r="R860" s="546"/>
      <c r="S860" s="547"/>
      <c r="T860" s="547"/>
    </row>
    <row r="861">
      <c r="A861" s="548"/>
      <c r="B861" s="548"/>
      <c r="C861" s="548"/>
      <c r="D861" s="548"/>
      <c r="E861" s="548"/>
      <c r="F861" s="548"/>
      <c r="G861" s="548"/>
      <c r="H861" s="548"/>
      <c r="I861" s="548"/>
      <c r="J861" s="548"/>
      <c r="K861" s="548"/>
      <c r="L861" s="548"/>
      <c r="M861" s="549"/>
      <c r="N861" s="546"/>
      <c r="O861" s="546"/>
      <c r="P861" s="546"/>
      <c r="Q861" s="546"/>
      <c r="R861" s="546"/>
      <c r="S861" s="547"/>
      <c r="T861" s="547"/>
    </row>
    <row r="862">
      <c r="A862" s="548"/>
      <c r="B862" s="548"/>
      <c r="C862" s="548"/>
      <c r="D862" s="548"/>
      <c r="E862" s="548"/>
      <c r="F862" s="548"/>
      <c r="G862" s="548"/>
      <c r="H862" s="548"/>
      <c r="I862" s="548"/>
      <c r="J862" s="548"/>
      <c r="K862" s="548"/>
      <c r="L862" s="548"/>
      <c r="M862" s="549"/>
      <c r="N862" s="546"/>
      <c r="O862" s="546"/>
      <c r="P862" s="546"/>
      <c r="Q862" s="546"/>
      <c r="R862" s="546"/>
      <c r="S862" s="547"/>
      <c r="T862" s="547"/>
    </row>
    <row r="863">
      <c r="A863" s="548"/>
      <c r="B863" s="548"/>
      <c r="C863" s="548"/>
      <c r="D863" s="548"/>
      <c r="E863" s="548"/>
      <c r="F863" s="548"/>
      <c r="G863" s="548"/>
      <c r="H863" s="548"/>
      <c r="I863" s="548"/>
      <c r="J863" s="548"/>
      <c r="K863" s="548"/>
      <c r="L863" s="548"/>
      <c r="M863" s="549"/>
      <c r="N863" s="546"/>
      <c r="O863" s="546"/>
      <c r="P863" s="546"/>
      <c r="Q863" s="546"/>
      <c r="R863" s="546"/>
      <c r="S863" s="547"/>
      <c r="T863" s="547"/>
    </row>
    <row r="864">
      <c r="A864" s="548"/>
      <c r="B864" s="548"/>
      <c r="C864" s="548"/>
      <c r="D864" s="548"/>
      <c r="E864" s="548"/>
      <c r="F864" s="548"/>
      <c r="G864" s="548"/>
      <c r="H864" s="548"/>
      <c r="I864" s="548"/>
      <c r="J864" s="548"/>
      <c r="K864" s="548"/>
      <c r="L864" s="548"/>
      <c r="M864" s="549"/>
      <c r="N864" s="546"/>
      <c r="O864" s="546"/>
      <c r="P864" s="546"/>
      <c r="Q864" s="546"/>
      <c r="R864" s="546"/>
      <c r="S864" s="547"/>
      <c r="T864" s="547"/>
    </row>
    <row r="865">
      <c r="A865" s="548"/>
      <c r="B865" s="548"/>
      <c r="C865" s="548"/>
      <c r="D865" s="548"/>
      <c r="E865" s="548"/>
      <c r="F865" s="548"/>
      <c r="G865" s="548"/>
      <c r="H865" s="548"/>
      <c r="I865" s="548"/>
      <c r="J865" s="548"/>
      <c r="K865" s="548"/>
      <c r="L865" s="548"/>
      <c r="M865" s="549"/>
      <c r="N865" s="546"/>
      <c r="O865" s="546"/>
      <c r="P865" s="546"/>
      <c r="Q865" s="546"/>
      <c r="R865" s="546"/>
      <c r="S865" s="547"/>
      <c r="T865" s="547"/>
    </row>
    <row r="866">
      <c r="A866" s="548"/>
      <c r="B866" s="548"/>
      <c r="C866" s="548"/>
      <c r="D866" s="548"/>
      <c r="E866" s="548"/>
      <c r="F866" s="548"/>
      <c r="G866" s="548"/>
      <c r="H866" s="548"/>
      <c r="I866" s="548"/>
      <c r="J866" s="548"/>
      <c r="K866" s="548"/>
      <c r="L866" s="548"/>
      <c r="M866" s="549"/>
      <c r="N866" s="546"/>
      <c r="O866" s="546"/>
      <c r="P866" s="546"/>
      <c r="Q866" s="546"/>
      <c r="R866" s="546"/>
      <c r="S866" s="547"/>
      <c r="T866" s="547"/>
    </row>
    <row r="867">
      <c r="A867" s="548"/>
      <c r="B867" s="548"/>
      <c r="C867" s="548"/>
      <c r="D867" s="548"/>
      <c r="E867" s="548"/>
      <c r="F867" s="548"/>
      <c r="G867" s="548"/>
      <c r="H867" s="548"/>
      <c r="I867" s="548"/>
      <c r="J867" s="548"/>
      <c r="K867" s="548"/>
      <c r="L867" s="548"/>
      <c r="M867" s="549"/>
      <c r="N867" s="546"/>
      <c r="O867" s="546"/>
      <c r="P867" s="546"/>
      <c r="Q867" s="546"/>
      <c r="R867" s="546"/>
      <c r="S867" s="547"/>
      <c r="T867" s="547"/>
    </row>
    <row r="868">
      <c r="A868" s="548"/>
      <c r="B868" s="548"/>
      <c r="C868" s="548"/>
      <c r="D868" s="548"/>
      <c r="E868" s="548"/>
      <c r="F868" s="548"/>
      <c r="G868" s="548"/>
      <c r="H868" s="548"/>
      <c r="I868" s="548"/>
      <c r="J868" s="548"/>
      <c r="K868" s="548"/>
      <c r="L868" s="548"/>
      <c r="M868" s="549"/>
      <c r="N868" s="546"/>
      <c r="O868" s="546"/>
      <c r="P868" s="546"/>
      <c r="Q868" s="546"/>
      <c r="R868" s="546"/>
      <c r="S868" s="547"/>
      <c r="T868" s="547"/>
    </row>
    <row r="869">
      <c r="A869" s="548"/>
      <c r="B869" s="548"/>
      <c r="C869" s="548"/>
      <c r="D869" s="548"/>
      <c r="E869" s="548"/>
      <c r="F869" s="548"/>
      <c r="G869" s="548"/>
      <c r="H869" s="548"/>
      <c r="I869" s="548"/>
      <c r="J869" s="548"/>
      <c r="K869" s="548"/>
      <c r="L869" s="548"/>
      <c r="M869" s="549"/>
      <c r="N869" s="546"/>
      <c r="O869" s="546"/>
      <c r="P869" s="546"/>
      <c r="Q869" s="546"/>
      <c r="R869" s="546"/>
      <c r="S869" s="547"/>
      <c r="T869" s="547"/>
    </row>
    <row r="870">
      <c r="A870" s="548"/>
      <c r="B870" s="548"/>
      <c r="C870" s="548"/>
      <c r="D870" s="548"/>
      <c r="E870" s="548"/>
      <c r="F870" s="548"/>
      <c r="G870" s="548"/>
      <c r="H870" s="548"/>
      <c r="I870" s="548"/>
      <c r="J870" s="548"/>
      <c r="K870" s="548"/>
      <c r="L870" s="548"/>
      <c r="M870" s="549"/>
      <c r="N870" s="546"/>
      <c r="O870" s="546"/>
      <c r="P870" s="546"/>
      <c r="Q870" s="546"/>
      <c r="R870" s="546"/>
      <c r="S870" s="547"/>
      <c r="T870" s="547"/>
    </row>
    <row r="871">
      <c r="A871" s="548"/>
      <c r="B871" s="548"/>
      <c r="C871" s="548"/>
      <c r="D871" s="548"/>
      <c r="E871" s="548"/>
      <c r="F871" s="548"/>
      <c r="G871" s="548"/>
      <c r="H871" s="548"/>
      <c r="I871" s="548"/>
      <c r="J871" s="548"/>
      <c r="K871" s="548"/>
      <c r="L871" s="548"/>
      <c r="M871" s="549"/>
      <c r="N871" s="546"/>
      <c r="O871" s="546"/>
      <c r="P871" s="546"/>
      <c r="Q871" s="546"/>
      <c r="R871" s="546"/>
      <c r="S871" s="547"/>
      <c r="T871" s="547"/>
    </row>
    <row r="872">
      <c r="A872" s="548"/>
      <c r="B872" s="548"/>
      <c r="C872" s="548"/>
      <c r="D872" s="548"/>
      <c r="E872" s="548"/>
      <c r="F872" s="548"/>
      <c r="G872" s="548"/>
      <c r="H872" s="548"/>
      <c r="I872" s="548"/>
      <c r="J872" s="548"/>
      <c r="K872" s="548"/>
      <c r="L872" s="548"/>
      <c r="M872" s="549"/>
      <c r="N872" s="546"/>
      <c r="O872" s="546"/>
      <c r="P872" s="546"/>
      <c r="Q872" s="546"/>
      <c r="R872" s="546"/>
      <c r="S872" s="547"/>
      <c r="T872" s="547"/>
    </row>
    <row r="873">
      <c r="A873" s="548"/>
      <c r="B873" s="548"/>
      <c r="C873" s="548"/>
      <c r="D873" s="548"/>
      <c r="E873" s="548"/>
      <c r="F873" s="548"/>
      <c r="G873" s="548"/>
      <c r="H873" s="548"/>
      <c r="I873" s="548"/>
      <c r="J873" s="548"/>
      <c r="K873" s="548"/>
      <c r="L873" s="548"/>
      <c r="M873" s="549"/>
      <c r="N873" s="546"/>
      <c r="O873" s="546"/>
      <c r="P873" s="546"/>
      <c r="Q873" s="546"/>
      <c r="R873" s="546"/>
      <c r="S873" s="547"/>
      <c r="T873" s="547"/>
    </row>
    <row r="874">
      <c r="A874" s="548"/>
      <c r="B874" s="548"/>
      <c r="C874" s="548"/>
      <c r="D874" s="548"/>
      <c r="E874" s="548"/>
      <c r="F874" s="548"/>
      <c r="G874" s="548"/>
      <c r="H874" s="548"/>
      <c r="I874" s="548"/>
      <c r="J874" s="548"/>
      <c r="K874" s="548"/>
      <c r="L874" s="548"/>
      <c r="M874" s="549"/>
      <c r="N874" s="546"/>
      <c r="O874" s="546"/>
      <c r="P874" s="546"/>
      <c r="Q874" s="546"/>
      <c r="R874" s="546"/>
      <c r="S874" s="547"/>
      <c r="T874" s="547"/>
    </row>
    <row r="875">
      <c r="A875" s="548"/>
      <c r="B875" s="548"/>
      <c r="C875" s="548"/>
      <c r="D875" s="548"/>
      <c r="E875" s="548"/>
      <c r="F875" s="548"/>
      <c r="G875" s="548"/>
      <c r="H875" s="548"/>
      <c r="I875" s="548"/>
      <c r="J875" s="548"/>
      <c r="K875" s="548"/>
      <c r="L875" s="548"/>
      <c r="M875" s="549"/>
      <c r="N875" s="546"/>
      <c r="O875" s="546"/>
      <c r="P875" s="546"/>
      <c r="Q875" s="546"/>
      <c r="R875" s="546"/>
      <c r="S875" s="547"/>
      <c r="T875" s="547"/>
    </row>
    <row r="876">
      <c r="A876" s="548"/>
      <c r="B876" s="548"/>
      <c r="C876" s="548"/>
      <c r="D876" s="548"/>
      <c r="E876" s="548"/>
      <c r="F876" s="548"/>
      <c r="G876" s="548"/>
      <c r="H876" s="548"/>
      <c r="I876" s="548"/>
      <c r="J876" s="548"/>
      <c r="K876" s="548"/>
      <c r="L876" s="548"/>
      <c r="M876" s="549"/>
      <c r="N876" s="546"/>
      <c r="O876" s="546"/>
      <c r="P876" s="546"/>
      <c r="Q876" s="546"/>
      <c r="R876" s="546"/>
      <c r="S876" s="547"/>
      <c r="T876" s="547"/>
    </row>
    <row r="877">
      <c r="A877" s="548"/>
      <c r="B877" s="548"/>
      <c r="C877" s="548"/>
      <c r="D877" s="548"/>
      <c r="E877" s="548"/>
      <c r="F877" s="548"/>
      <c r="G877" s="548"/>
      <c r="H877" s="548"/>
      <c r="I877" s="548"/>
      <c r="J877" s="548"/>
      <c r="K877" s="548"/>
      <c r="L877" s="548"/>
      <c r="M877" s="549"/>
      <c r="N877" s="546"/>
      <c r="O877" s="546"/>
      <c r="P877" s="546"/>
      <c r="Q877" s="546"/>
      <c r="R877" s="546"/>
      <c r="S877" s="547"/>
      <c r="T877" s="547"/>
    </row>
    <row r="878">
      <c r="A878" s="548"/>
      <c r="B878" s="548"/>
      <c r="C878" s="548"/>
      <c r="D878" s="548"/>
      <c r="E878" s="548"/>
      <c r="F878" s="548"/>
      <c r="G878" s="548"/>
      <c r="H878" s="548"/>
      <c r="I878" s="548"/>
      <c r="J878" s="548"/>
      <c r="K878" s="548"/>
      <c r="L878" s="548"/>
      <c r="M878" s="549"/>
      <c r="N878" s="546"/>
      <c r="O878" s="546"/>
      <c r="P878" s="546"/>
      <c r="Q878" s="546"/>
      <c r="R878" s="546"/>
      <c r="S878" s="547"/>
      <c r="T878" s="547"/>
    </row>
    <row r="879">
      <c r="A879" s="548"/>
      <c r="B879" s="548"/>
      <c r="C879" s="548"/>
      <c r="D879" s="548"/>
      <c r="E879" s="548"/>
      <c r="F879" s="548"/>
      <c r="G879" s="548"/>
      <c r="H879" s="548"/>
      <c r="I879" s="548"/>
      <c r="J879" s="548"/>
      <c r="K879" s="548"/>
      <c r="L879" s="548"/>
      <c r="M879" s="549"/>
      <c r="N879" s="546"/>
      <c r="O879" s="546"/>
      <c r="P879" s="546"/>
      <c r="Q879" s="546"/>
      <c r="R879" s="546"/>
      <c r="S879" s="547"/>
      <c r="T879" s="547"/>
    </row>
    <row r="880">
      <c r="A880" s="548"/>
      <c r="B880" s="548"/>
      <c r="C880" s="548"/>
      <c r="D880" s="548"/>
      <c r="E880" s="548"/>
      <c r="F880" s="548"/>
      <c r="G880" s="548"/>
      <c r="H880" s="548"/>
      <c r="I880" s="548"/>
      <c r="J880" s="548"/>
      <c r="K880" s="548"/>
      <c r="L880" s="548"/>
      <c r="M880" s="549"/>
      <c r="N880" s="546"/>
      <c r="O880" s="546"/>
      <c r="P880" s="546"/>
      <c r="Q880" s="546"/>
      <c r="R880" s="546"/>
      <c r="S880" s="547"/>
      <c r="T880" s="547"/>
    </row>
    <row r="881">
      <c r="A881" s="548"/>
      <c r="B881" s="548"/>
      <c r="C881" s="548"/>
      <c r="D881" s="548"/>
      <c r="E881" s="548"/>
      <c r="F881" s="548"/>
      <c r="G881" s="548"/>
      <c r="H881" s="548"/>
      <c r="I881" s="548"/>
      <c r="J881" s="548"/>
      <c r="K881" s="548"/>
      <c r="L881" s="548"/>
      <c r="M881" s="549"/>
      <c r="N881" s="546"/>
      <c r="O881" s="546"/>
      <c r="P881" s="546"/>
      <c r="Q881" s="546"/>
      <c r="R881" s="546"/>
      <c r="S881" s="547"/>
      <c r="T881" s="547"/>
    </row>
    <row r="882">
      <c r="A882" s="548"/>
      <c r="B882" s="548"/>
      <c r="C882" s="548"/>
      <c r="D882" s="548"/>
      <c r="E882" s="548"/>
      <c r="F882" s="548"/>
      <c r="G882" s="548"/>
      <c r="H882" s="548"/>
      <c r="I882" s="548"/>
      <c r="J882" s="548"/>
      <c r="K882" s="548"/>
      <c r="L882" s="548"/>
      <c r="M882" s="549"/>
      <c r="N882" s="546"/>
      <c r="O882" s="546"/>
      <c r="P882" s="546"/>
      <c r="Q882" s="546"/>
      <c r="R882" s="546"/>
      <c r="S882" s="547"/>
      <c r="T882" s="547"/>
    </row>
    <row r="883">
      <c r="A883" s="548"/>
      <c r="B883" s="548"/>
      <c r="C883" s="548"/>
      <c r="D883" s="548"/>
      <c r="E883" s="548"/>
      <c r="F883" s="548"/>
      <c r="G883" s="548"/>
      <c r="H883" s="548"/>
      <c r="I883" s="548"/>
      <c r="J883" s="548"/>
      <c r="K883" s="548"/>
      <c r="L883" s="548"/>
      <c r="M883" s="549"/>
      <c r="N883" s="546"/>
      <c r="O883" s="546"/>
      <c r="P883" s="546"/>
      <c r="Q883" s="546"/>
      <c r="R883" s="546"/>
      <c r="S883" s="547"/>
      <c r="T883" s="547"/>
    </row>
    <row r="884">
      <c r="A884" s="548"/>
      <c r="B884" s="548"/>
      <c r="C884" s="548"/>
      <c r="D884" s="548"/>
      <c r="E884" s="548"/>
      <c r="F884" s="548"/>
      <c r="G884" s="548"/>
      <c r="H884" s="548"/>
      <c r="I884" s="548"/>
      <c r="J884" s="548"/>
      <c r="K884" s="548"/>
      <c r="L884" s="548"/>
      <c r="M884" s="549"/>
      <c r="N884" s="546"/>
      <c r="O884" s="546"/>
      <c r="P884" s="546"/>
      <c r="Q884" s="546"/>
      <c r="R884" s="546"/>
      <c r="S884" s="547"/>
      <c r="T884" s="547"/>
    </row>
    <row r="885">
      <c r="A885" s="548"/>
      <c r="B885" s="548"/>
      <c r="C885" s="548"/>
      <c r="D885" s="548"/>
      <c r="E885" s="548"/>
      <c r="F885" s="548"/>
      <c r="G885" s="548"/>
      <c r="H885" s="548"/>
      <c r="I885" s="548"/>
      <c r="J885" s="548"/>
      <c r="K885" s="548"/>
      <c r="L885" s="548"/>
      <c r="M885" s="549"/>
      <c r="N885" s="546"/>
      <c r="O885" s="546"/>
      <c r="P885" s="546"/>
      <c r="Q885" s="546"/>
      <c r="R885" s="546"/>
      <c r="S885" s="547"/>
      <c r="T885" s="547"/>
    </row>
    <row r="886">
      <c r="A886" s="548"/>
      <c r="B886" s="548"/>
      <c r="C886" s="548"/>
      <c r="D886" s="548"/>
      <c r="E886" s="548"/>
      <c r="F886" s="548"/>
      <c r="G886" s="548"/>
      <c r="H886" s="548"/>
      <c r="I886" s="548"/>
      <c r="J886" s="548"/>
      <c r="K886" s="548"/>
      <c r="L886" s="548"/>
      <c r="M886" s="549"/>
      <c r="N886" s="546"/>
      <c r="O886" s="546"/>
      <c r="P886" s="546"/>
      <c r="Q886" s="546"/>
      <c r="R886" s="546"/>
      <c r="S886" s="547"/>
      <c r="T886" s="547"/>
    </row>
    <row r="887">
      <c r="A887" s="548"/>
      <c r="B887" s="548"/>
      <c r="C887" s="548"/>
      <c r="D887" s="548"/>
      <c r="E887" s="548"/>
      <c r="F887" s="548"/>
      <c r="G887" s="548"/>
      <c r="H887" s="548"/>
      <c r="I887" s="548"/>
      <c r="J887" s="548"/>
      <c r="K887" s="548"/>
      <c r="L887" s="548"/>
      <c r="M887" s="549"/>
      <c r="N887" s="546"/>
      <c r="O887" s="546"/>
      <c r="P887" s="546"/>
      <c r="Q887" s="546"/>
      <c r="R887" s="546"/>
      <c r="S887" s="547"/>
      <c r="T887" s="547"/>
    </row>
    <row r="888">
      <c r="A888" s="548"/>
      <c r="B888" s="548"/>
      <c r="C888" s="548"/>
      <c r="D888" s="548"/>
      <c r="E888" s="548"/>
      <c r="F888" s="548"/>
      <c r="G888" s="548"/>
      <c r="H888" s="548"/>
      <c r="I888" s="548"/>
      <c r="J888" s="548"/>
      <c r="K888" s="548"/>
      <c r="L888" s="548"/>
      <c r="M888" s="549"/>
      <c r="N888" s="546"/>
      <c r="O888" s="546"/>
      <c r="P888" s="546"/>
      <c r="Q888" s="546"/>
      <c r="R888" s="546"/>
      <c r="S888" s="547"/>
      <c r="T888" s="547"/>
    </row>
    <row r="889">
      <c r="A889" s="548"/>
      <c r="B889" s="548"/>
      <c r="C889" s="548"/>
      <c r="D889" s="548"/>
      <c r="E889" s="548"/>
      <c r="F889" s="548"/>
      <c r="G889" s="548"/>
      <c r="H889" s="548"/>
      <c r="I889" s="548"/>
      <c r="J889" s="548"/>
      <c r="K889" s="548"/>
      <c r="L889" s="548"/>
      <c r="M889" s="549"/>
      <c r="N889" s="546"/>
      <c r="O889" s="546"/>
      <c r="P889" s="546"/>
      <c r="Q889" s="546"/>
      <c r="R889" s="546"/>
      <c r="S889" s="547"/>
      <c r="T889" s="547"/>
    </row>
    <row r="890">
      <c r="A890" s="548"/>
      <c r="B890" s="548"/>
      <c r="C890" s="548"/>
      <c r="D890" s="548"/>
      <c r="E890" s="548"/>
      <c r="F890" s="548"/>
      <c r="G890" s="548"/>
      <c r="H890" s="548"/>
      <c r="I890" s="548"/>
      <c r="J890" s="548"/>
      <c r="K890" s="548"/>
      <c r="L890" s="548"/>
      <c r="M890" s="549"/>
      <c r="N890" s="546"/>
      <c r="O890" s="546"/>
      <c r="P890" s="546"/>
      <c r="Q890" s="546"/>
      <c r="R890" s="546"/>
      <c r="S890" s="547"/>
      <c r="T890" s="547"/>
    </row>
    <row r="891">
      <c r="A891" s="548"/>
      <c r="B891" s="548"/>
      <c r="C891" s="548"/>
      <c r="D891" s="548"/>
      <c r="E891" s="548"/>
      <c r="F891" s="548"/>
      <c r="G891" s="548"/>
      <c r="H891" s="548"/>
      <c r="I891" s="548"/>
      <c r="J891" s="548"/>
      <c r="K891" s="548"/>
      <c r="L891" s="548"/>
      <c r="M891" s="549"/>
      <c r="N891" s="546"/>
      <c r="O891" s="546"/>
      <c r="P891" s="546"/>
      <c r="Q891" s="546"/>
      <c r="R891" s="546"/>
      <c r="S891" s="547"/>
      <c r="T891" s="547"/>
    </row>
    <row r="892">
      <c r="A892" s="548"/>
      <c r="B892" s="548"/>
      <c r="C892" s="548"/>
      <c r="D892" s="548"/>
      <c r="E892" s="548"/>
      <c r="F892" s="548"/>
      <c r="G892" s="548"/>
      <c r="H892" s="548"/>
      <c r="I892" s="548"/>
      <c r="J892" s="548"/>
      <c r="K892" s="548"/>
      <c r="L892" s="548"/>
      <c r="M892" s="549"/>
      <c r="N892" s="546"/>
      <c r="O892" s="546"/>
      <c r="P892" s="546"/>
      <c r="Q892" s="546"/>
      <c r="R892" s="546"/>
      <c r="S892" s="547"/>
      <c r="T892" s="547"/>
    </row>
    <row r="893">
      <c r="A893" s="548"/>
      <c r="B893" s="548"/>
      <c r="C893" s="548"/>
      <c r="D893" s="548"/>
      <c r="E893" s="548"/>
      <c r="F893" s="548"/>
      <c r="G893" s="548"/>
      <c r="H893" s="548"/>
      <c r="I893" s="548"/>
      <c r="J893" s="548"/>
      <c r="K893" s="548"/>
      <c r="L893" s="548"/>
      <c r="M893" s="549"/>
      <c r="N893" s="546"/>
      <c r="O893" s="546"/>
      <c r="P893" s="546"/>
      <c r="Q893" s="546"/>
      <c r="R893" s="546"/>
      <c r="S893" s="547"/>
      <c r="T893" s="547"/>
    </row>
    <row r="894">
      <c r="A894" s="548"/>
      <c r="B894" s="548"/>
      <c r="C894" s="548"/>
      <c r="D894" s="548"/>
      <c r="E894" s="548"/>
      <c r="F894" s="548"/>
      <c r="G894" s="548"/>
      <c r="H894" s="548"/>
      <c r="I894" s="548"/>
      <c r="J894" s="548"/>
      <c r="K894" s="548"/>
      <c r="L894" s="548"/>
      <c r="M894" s="549"/>
      <c r="N894" s="546"/>
      <c r="O894" s="546"/>
      <c r="P894" s="546"/>
      <c r="Q894" s="546"/>
      <c r="R894" s="546"/>
      <c r="S894" s="547"/>
      <c r="T894" s="547"/>
    </row>
    <row r="895">
      <c r="A895" s="548"/>
      <c r="B895" s="548"/>
      <c r="C895" s="548"/>
      <c r="D895" s="548"/>
      <c r="E895" s="548"/>
      <c r="F895" s="548"/>
      <c r="G895" s="548"/>
      <c r="H895" s="548"/>
      <c r="I895" s="548"/>
      <c r="J895" s="548"/>
      <c r="K895" s="548"/>
      <c r="L895" s="548"/>
      <c r="M895" s="549"/>
      <c r="N895" s="546"/>
      <c r="O895" s="546"/>
      <c r="P895" s="546"/>
      <c r="Q895" s="546"/>
      <c r="R895" s="546"/>
      <c r="S895" s="547"/>
      <c r="T895" s="547"/>
    </row>
    <row r="896">
      <c r="A896" s="548"/>
      <c r="B896" s="548"/>
      <c r="C896" s="548"/>
      <c r="D896" s="548"/>
      <c r="E896" s="548"/>
      <c r="F896" s="548"/>
      <c r="G896" s="548"/>
      <c r="H896" s="548"/>
      <c r="I896" s="548"/>
      <c r="J896" s="548"/>
      <c r="K896" s="548"/>
      <c r="L896" s="548"/>
      <c r="M896" s="549"/>
      <c r="N896" s="546"/>
      <c r="O896" s="546"/>
      <c r="P896" s="546"/>
      <c r="Q896" s="546"/>
      <c r="R896" s="546"/>
      <c r="S896" s="547"/>
      <c r="T896" s="547"/>
    </row>
    <row r="897">
      <c r="A897" s="548"/>
      <c r="B897" s="548"/>
      <c r="C897" s="548"/>
      <c r="D897" s="548"/>
      <c r="E897" s="548"/>
      <c r="F897" s="548"/>
      <c r="G897" s="548"/>
      <c r="H897" s="548"/>
      <c r="I897" s="548"/>
      <c r="J897" s="548"/>
      <c r="K897" s="548"/>
      <c r="L897" s="548"/>
      <c r="M897" s="549"/>
      <c r="N897" s="546"/>
      <c r="O897" s="546"/>
      <c r="P897" s="546"/>
      <c r="Q897" s="546"/>
      <c r="R897" s="546"/>
      <c r="S897" s="547"/>
      <c r="T897" s="547"/>
    </row>
    <row r="898">
      <c r="A898" s="548"/>
      <c r="B898" s="548"/>
      <c r="C898" s="548"/>
      <c r="D898" s="548"/>
      <c r="E898" s="548"/>
      <c r="F898" s="548"/>
      <c r="G898" s="548"/>
      <c r="H898" s="548"/>
      <c r="I898" s="548"/>
      <c r="J898" s="548"/>
      <c r="K898" s="548"/>
      <c r="L898" s="548"/>
      <c r="M898" s="549"/>
      <c r="N898" s="546"/>
      <c r="O898" s="546"/>
      <c r="P898" s="546"/>
      <c r="Q898" s="546"/>
      <c r="R898" s="546"/>
      <c r="S898" s="547"/>
      <c r="T898" s="547"/>
    </row>
    <row r="899">
      <c r="A899" s="548"/>
      <c r="B899" s="548"/>
      <c r="C899" s="548"/>
      <c r="D899" s="548"/>
      <c r="E899" s="548"/>
      <c r="F899" s="548"/>
      <c r="G899" s="548"/>
      <c r="H899" s="548"/>
      <c r="I899" s="548"/>
      <c r="J899" s="548"/>
      <c r="K899" s="548"/>
      <c r="L899" s="548"/>
      <c r="M899" s="549"/>
      <c r="N899" s="546"/>
      <c r="O899" s="546"/>
      <c r="P899" s="546"/>
      <c r="Q899" s="546"/>
      <c r="R899" s="546"/>
      <c r="S899" s="547"/>
      <c r="T899" s="547"/>
    </row>
    <row r="900">
      <c r="A900" s="548"/>
      <c r="B900" s="548"/>
      <c r="C900" s="548"/>
      <c r="D900" s="548"/>
      <c r="E900" s="548"/>
      <c r="F900" s="548"/>
      <c r="G900" s="548"/>
      <c r="H900" s="548"/>
      <c r="I900" s="548"/>
      <c r="J900" s="548"/>
      <c r="K900" s="548"/>
      <c r="L900" s="548"/>
      <c r="M900" s="549"/>
      <c r="N900" s="546"/>
      <c r="O900" s="546"/>
      <c r="P900" s="546"/>
      <c r="Q900" s="546"/>
      <c r="R900" s="546"/>
      <c r="S900" s="547"/>
      <c r="T900" s="547"/>
    </row>
    <row r="901">
      <c r="A901" s="548"/>
      <c r="B901" s="548"/>
      <c r="C901" s="548"/>
      <c r="D901" s="548"/>
      <c r="E901" s="548"/>
      <c r="F901" s="548"/>
      <c r="G901" s="548"/>
      <c r="H901" s="548"/>
      <c r="I901" s="548"/>
      <c r="J901" s="548"/>
      <c r="K901" s="548"/>
      <c r="L901" s="548"/>
      <c r="M901" s="549"/>
      <c r="N901" s="546"/>
      <c r="O901" s="546"/>
      <c r="P901" s="546"/>
      <c r="Q901" s="546"/>
      <c r="R901" s="546"/>
      <c r="S901" s="547"/>
      <c r="T901" s="547"/>
    </row>
    <row r="902">
      <c r="A902" s="548"/>
      <c r="B902" s="548"/>
      <c r="C902" s="548"/>
      <c r="D902" s="548"/>
      <c r="E902" s="548"/>
      <c r="F902" s="548"/>
      <c r="G902" s="548"/>
      <c r="H902" s="548"/>
      <c r="I902" s="548"/>
      <c r="J902" s="548"/>
      <c r="K902" s="548"/>
      <c r="L902" s="548"/>
      <c r="M902" s="549"/>
      <c r="N902" s="546"/>
      <c r="O902" s="546"/>
      <c r="P902" s="546"/>
      <c r="Q902" s="546"/>
      <c r="R902" s="546"/>
      <c r="S902" s="547"/>
      <c r="T902" s="547"/>
    </row>
    <row r="903">
      <c r="A903" s="548"/>
      <c r="B903" s="548"/>
      <c r="C903" s="548"/>
      <c r="D903" s="548"/>
      <c r="E903" s="548"/>
      <c r="F903" s="548"/>
      <c r="G903" s="548"/>
      <c r="H903" s="548"/>
      <c r="I903" s="548"/>
      <c r="J903" s="548"/>
      <c r="K903" s="548"/>
      <c r="L903" s="548"/>
      <c r="M903" s="549"/>
      <c r="N903" s="546"/>
      <c r="O903" s="546"/>
      <c r="P903" s="546"/>
      <c r="Q903" s="546"/>
      <c r="R903" s="546"/>
      <c r="S903" s="547"/>
      <c r="T903" s="547"/>
    </row>
    <row r="904">
      <c r="A904" s="548"/>
      <c r="B904" s="548"/>
      <c r="C904" s="548"/>
      <c r="D904" s="548"/>
      <c r="E904" s="548"/>
      <c r="F904" s="548"/>
      <c r="G904" s="548"/>
      <c r="H904" s="548"/>
      <c r="I904" s="548"/>
      <c r="J904" s="548"/>
      <c r="K904" s="548"/>
      <c r="L904" s="548"/>
      <c r="M904" s="549"/>
      <c r="N904" s="546"/>
      <c r="O904" s="546"/>
      <c r="P904" s="546"/>
      <c r="Q904" s="546"/>
      <c r="R904" s="546"/>
      <c r="S904" s="547"/>
      <c r="T904" s="547"/>
    </row>
    <row r="905">
      <c r="A905" s="548"/>
      <c r="B905" s="548"/>
      <c r="C905" s="548"/>
      <c r="D905" s="548"/>
      <c r="E905" s="548"/>
      <c r="F905" s="548"/>
      <c r="G905" s="548"/>
      <c r="H905" s="548"/>
      <c r="I905" s="548"/>
      <c r="J905" s="548"/>
      <c r="K905" s="548"/>
      <c r="L905" s="548"/>
      <c r="M905" s="549"/>
      <c r="N905" s="546"/>
      <c r="O905" s="546"/>
      <c r="P905" s="546"/>
      <c r="Q905" s="546"/>
      <c r="R905" s="546"/>
      <c r="S905" s="547"/>
      <c r="T905" s="547"/>
    </row>
    <row r="906">
      <c r="A906" s="548"/>
      <c r="B906" s="548"/>
      <c r="C906" s="548"/>
      <c r="D906" s="548"/>
      <c r="E906" s="548"/>
      <c r="F906" s="548"/>
      <c r="G906" s="548"/>
      <c r="H906" s="548"/>
      <c r="I906" s="548"/>
      <c r="J906" s="548"/>
      <c r="K906" s="548"/>
      <c r="L906" s="548"/>
      <c r="M906" s="549"/>
      <c r="N906" s="546"/>
      <c r="O906" s="546"/>
      <c r="P906" s="546"/>
      <c r="Q906" s="546"/>
      <c r="R906" s="546"/>
      <c r="S906" s="547"/>
      <c r="T906" s="547"/>
    </row>
    <row r="907">
      <c r="A907" s="548"/>
      <c r="B907" s="548"/>
      <c r="C907" s="548"/>
      <c r="D907" s="548"/>
      <c r="E907" s="548"/>
      <c r="F907" s="548"/>
      <c r="G907" s="548"/>
      <c r="H907" s="548"/>
      <c r="I907" s="548"/>
      <c r="J907" s="548"/>
      <c r="K907" s="548"/>
      <c r="L907" s="548"/>
      <c r="M907" s="549"/>
      <c r="N907" s="546"/>
      <c r="O907" s="546"/>
      <c r="P907" s="546"/>
      <c r="Q907" s="546"/>
      <c r="R907" s="546"/>
      <c r="S907" s="547"/>
      <c r="T907" s="547"/>
    </row>
    <row r="908">
      <c r="A908" s="548"/>
      <c r="B908" s="548"/>
      <c r="C908" s="548"/>
      <c r="D908" s="548"/>
      <c r="E908" s="548"/>
      <c r="F908" s="548"/>
      <c r="G908" s="548"/>
      <c r="H908" s="548"/>
      <c r="I908" s="548"/>
      <c r="J908" s="548"/>
      <c r="K908" s="548"/>
      <c r="L908" s="548"/>
      <c r="M908" s="549"/>
      <c r="N908" s="546"/>
      <c r="O908" s="546"/>
      <c r="P908" s="546"/>
      <c r="Q908" s="546"/>
      <c r="R908" s="546"/>
      <c r="S908" s="547"/>
      <c r="T908" s="547"/>
    </row>
    <row r="909">
      <c r="A909" s="548"/>
      <c r="B909" s="548"/>
      <c r="C909" s="548"/>
      <c r="D909" s="548"/>
      <c r="E909" s="548"/>
      <c r="F909" s="548"/>
      <c r="G909" s="548"/>
      <c r="H909" s="548"/>
      <c r="I909" s="548"/>
      <c r="J909" s="548"/>
      <c r="K909" s="548"/>
      <c r="L909" s="548"/>
      <c r="M909" s="549"/>
      <c r="N909" s="546"/>
      <c r="O909" s="546"/>
      <c r="P909" s="546"/>
      <c r="Q909" s="546"/>
      <c r="R909" s="546"/>
      <c r="S909" s="547"/>
      <c r="T909" s="547"/>
    </row>
    <row r="910">
      <c r="A910" s="548"/>
      <c r="B910" s="548"/>
      <c r="C910" s="548"/>
      <c r="D910" s="548"/>
      <c r="E910" s="548"/>
      <c r="F910" s="548"/>
      <c r="G910" s="548"/>
      <c r="H910" s="548"/>
      <c r="I910" s="548"/>
      <c r="J910" s="548"/>
      <c r="K910" s="548"/>
      <c r="L910" s="548"/>
      <c r="M910" s="549"/>
      <c r="N910" s="546"/>
      <c r="O910" s="546"/>
      <c r="P910" s="546"/>
      <c r="Q910" s="546"/>
      <c r="R910" s="546"/>
      <c r="S910" s="547"/>
      <c r="T910" s="547"/>
    </row>
    <row r="911">
      <c r="A911" s="548"/>
      <c r="B911" s="548"/>
      <c r="C911" s="548"/>
      <c r="D911" s="548"/>
      <c r="E911" s="548"/>
      <c r="F911" s="548"/>
      <c r="G911" s="548"/>
      <c r="H911" s="548"/>
      <c r="I911" s="548"/>
      <c r="J911" s="548"/>
      <c r="K911" s="548"/>
      <c r="L911" s="548"/>
      <c r="M911" s="549"/>
      <c r="N911" s="546"/>
      <c r="O911" s="546"/>
      <c r="P911" s="546"/>
      <c r="Q911" s="546"/>
      <c r="R911" s="546"/>
      <c r="S911" s="547"/>
      <c r="T911" s="547"/>
    </row>
    <row r="912">
      <c r="A912" s="548"/>
      <c r="B912" s="548"/>
      <c r="C912" s="548"/>
      <c r="D912" s="548"/>
      <c r="E912" s="548"/>
      <c r="F912" s="548"/>
      <c r="G912" s="548"/>
      <c r="H912" s="548"/>
      <c r="I912" s="548"/>
      <c r="J912" s="548"/>
      <c r="K912" s="548"/>
      <c r="L912" s="548"/>
      <c r="M912" s="549"/>
      <c r="N912" s="546"/>
      <c r="O912" s="546"/>
      <c r="P912" s="546"/>
      <c r="Q912" s="546"/>
      <c r="R912" s="546"/>
      <c r="S912" s="547"/>
      <c r="T912" s="547"/>
    </row>
    <row r="913">
      <c r="A913" s="548"/>
      <c r="B913" s="548"/>
      <c r="C913" s="548"/>
      <c r="D913" s="548"/>
      <c r="E913" s="548"/>
      <c r="F913" s="548"/>
      <c r="G913" s="548"/>
      <c r="H913" s="548"/>
      <c r="I913" s="548"/>
      <c r="J913" s="548"/>
      <c r="K913" s="548"/>
      <c r="L913" s="548"/>
      <c r="M913" s="549"/>
      <c r="N913" s="546"/>
      <c r="O913" s="546"/>
      <c r="P913" s="546"/>
      <c r="Q913" s="546"/>
      <c r="R913" s="546"/>
      <c r="S913" s="547"/>
      <c r="T913" s="547"/>
    </row>
    <row r="914">
      <c r="A914" s="548"/>
      <c r="B914" s="548"/>
      <c r="C914" s="548"/>
      <c r="D914" s="548"/>
      <c r="E914" s="548"/>
      <c r="F914" s="548"/>
      <c r="G914" s="548"/>
      <c r="H914" s="548"/>
      <c r="I914" s="548"/>
      <c r="J914" s="548"/>
      <c r="K914" s="548"/>
      <c r="L914" s="548"/>
      <c r="M914" s="549"/>
      <c r="N914" s="546"/>
      <c r="O914" s="546"/>
      <c r="P914" s="546"/>
      <c r="Q914" s="546"/>
      <c r="R914" s="546"/>
      <c r="S914" s="547"/>
      <c r="T914" s="547"/>
    </row>
    <row r="915">
      <c r="A915" s="548"/>
      <c r="B915" s="548"/>
      <c r="C915" s="548"/>
      <c r="D915" s="548"/>
      <c r="E915" s="548"/>
      <c r="F915" s="548"/>
      <c r="G915" s="548"/>
      <c r="H915" s="548"/>
      <c r="I915" s="548"/>
      <c r="J915" s="548"/>
      <c r="K915" s="548"/>
      <c r="L915" s="548"/>
      <c r="M915" s="549"/>
      <c r="N915" s="546"/>
      <c r="O915" s="546"/>
      <c r="P915" s="546"/>
      <c r="Q915" s="546"/>
      <c r="R915" s="546"/>
      <c r="S915" s="547"/>
      <c r="T915" s="547"/>
    </row>
    <row r="916">
      <c r="A916" s="548"/>
      <c r="B916" s="548"/>
      <c r="C916" s="548"/>
      <c r="D916" s="548"/>
      <c r="E916" s="548"/>
      <c r="F916" s="548"/>
      <c r="G916" s="548"/>
      <c r="H916" s="548"/>
      <c r="I916" s="548"/>
      <c r="J916" s="548"/>
      <c r="K916" s="548"/>
      <c r="L916" s="548"/>
      <c r="M916" s="549"/>
      <c r="N916" s="546"/>
      <c r="O916" s="546"/>
      <c r="P916" s="546"/>
      <c r="Q916" s="546"/>
      <c r="R916" s="546"/>
      <c r="S916" s="547"/>
      <c r="T916" s="547"/>
    </row>
    <row r="917">
      <c r="A917" s="548"/>
      <c r="B917" s="548"/>
      <c r="C917" s="548"/>
      <c r="D917" s="548"/>
      <c r="E917" s="548"/>
      <c r="F917" s="548"/>
      <c r="G917" s="548"/>
      <c r="H917" s="548"/>
      <c r="I917" s="548"/>
      <c r="J917" s="548"/>
      <c r="K917" s="548"/>
      <c r="L917" s="548"/>
      <c r="M917" s="549"/>
      <c r="N917" s="546"/>
      <c r="O917" s="546"/>
      <c r="P917" s="546"/>
      <c r="Q917" s="546"/>
      <c r="R917" s="546"/>
      <c r="S917" s="547"/>
      <c r="T917" s="547"/>
    </row>
    <row r="918">
      <c r="A918" s="548"/>
      <c r="B918" s="548"/>
      <c r="C918" s="548"/>
      <c r="D918" s="548"/>
      <c r="E918" s="548"/>
      <c r="F918" s="548"/>
      <c r="G918" s="548"/>
      <c r="H918" s="548"/>
      <c r="I918" s="548"/>
      <c r="J918" s="548"/>
      <c r="K918" s="548"/>
      <c r="L918" s="548"/>
      <c r="M918" s="549"/>
      <c r="N918" s="546"/>
      <c r="O918" s="546"/>
      <c r="P918" s="546"/>
      <c r="Q918" s="546"/>
      <c r="R918" s="546"/>
      <c r="S918" s="547"/>
      <c r="T918" s="547"/>
    </row>
    <row r="919">
      <c r="A919" s="548"/>
      <c r="B919" s="548"/>
      <c r="C919" s="548"/>
      <c r="D919" s="548"/>
      <c r="E919" s="548"/>
      <c r="F919" s="548"/>
      <c r="G919" s="548"/>
      <c r="H919" s="548"/>
      <c r="I919" s="548"/>
      <c r="J919" s="548"/>
      <c r="K919" s="548"/>
      <c r="L919" s="548"/>
      <c r="M919" s="549"/>
      <c r="N919" s="546"/>
      <c r="O919" s="546"/>
      <c r="P919" s="546"/>
      <c r="Q919" s="546"/>
      <c r="R919" s="546"/>
      <c r="S919" s="547"/>
      <c r="T919" s="547"/>
    </row>
    <row r="920">
      <c r="A920" s="548"/>
      <c r="B920" s="548"/>
      <c r="C920" s="548"/>
      <c r="D920" s="548"/>
      <c r="E920" s="548"/>
      <c r="F920" s="548"/>
      <c r="G920" s="548"/>
      <c r="H920" s="548"/>
      <c r="I920" s="548"/>
      <c r="J920" s="548"/>
      <c r="K920" s="548"/>
      <c r="L920" s="548"/>
      <c r="M920" s="549"/>
      <c r="N920" s="546"/>
      <c r="O920" s="546"/>
      <c r="P920" s="546"/>
      <c r="Q920" s="546"/>
      <c r="R920" s="546"/>
      <c r="S920" s="547"/>
      <c r="T920" s="547"/>
    </row>
    <row r="921">
      <c r="A921" s="548"/>
      <c r="B921" s="548"/>
      <c r="C921" s="548"/>
      <c r="D921" s="548"/>
      <c r="E921" s="548"/>
      <c r="F921" s="548"/>
      <c r="G921" s="548"/>
      <c r="H921" s="548"/>
      <c r="I921" s="548"/>
      <c r="J921" s="548"/>
      <c r="K921" s="548"/>
      <c r="L921" s="548"/>
      <c r="M921" s="549"/>
      <c r="N921" s="546"/>
      <c r="O921" s="546"/>
      <c r="P921" s="546"/>
      <c r="Q921" s="546"/>
      <c r="R921" s="546"/>
      <c r="S921" s="547"/>
      <c r="T921" s="547"/>
    </row>
    <row r="922">
      <c r="A922" s="548"/>
      <c r="B922" s="548"/>
      <c r="C922" s="548"/>
      <c r="D922" s="548"/>
      <c r="E922" s="548"/>
      <c r="F922" s="548"/>
      <c r="G922" s="548"/>
      <c r="H922" s="548"/>
      <c r="I922" s="548"/>
      <c r="J922" s="548"/>
      <c r="K922" s="548"/>
      <c r="L922" s="548"/>
      <c r="M922" s="549"/>
      <c r="N922" s="546"/>
      <c r="O922" s="546"/>
      <c r="P922" s="546"/>
      <c r="Q922" s="546"/>
      <c r="R922" s="546"/>
      <c r="S922" s="547"/>
      <c r="T922" s="547"/>
    </row>
    <row r="923">
      <c r="A923" s="548"/>
      <c r="B923" s="548"/>
      <c r="C923" s="548"/>
      <c r="D923" s="548"/>
      <c r="E923" s="548"/>
      <c r="F923" s="548"/>
      <c r="G923" s="548"/>
      <c r="H923" s="548"/>
      <c r="I923" s="548"/>
      <c r="J923" s="548"/>
      <c r="K923" s="548"/>
      <c r="L923" s="548"/>
      <c r="M923" s="549"/>
      <c r="N923" s="546"/>
      <c r="O923" s="546"/>
      <c r="P923" s="546"/>
      <c r="Q923" s="546"/>
      <c r="R923" s="546"/>
      <c r="S923" s="547"/>
      <c r="T923" s="547"/>
    </row>
    <row r="924">
      <c r="A924" s="548"/>
      <c r="B924" s="548"/>
      <c r="C924" s="548"/>
      <c r="D924" s="548"/>
      <c r="E924" s="548"/>
      <c r="F924" s="548"/>
      <c r="G924" s="548"/>
      <c r="H924" s="548"/>
      <c r="I924" s="548"/>
      <c r="J924" s="548"/>
      <c r="K924" s="548"/>
      <c r="L924" s="548"/>
      <c r="M924" s="549"/>
      <c r="N924" s="546"/>
      <c r="O924" s="546"/>
      <c r="P924" s="546"/>
      <c r="Q924" s="546"/>
      <c r="R924" s="546"/>
      <c r="S924" s="547"/>
      <c r="T924" s="547"/>
    </row>
    <row r="925">
      <c r="A925" s="548"/>
      <c r="B925" s="548"/>
      <c r="C925" s="548"/>
      <c r="D925" s="548"/>
      <c r="E925" s="548"/>
      <c r="F925" s="548"/>
      <c r="G925" s="548"/>
      <c r="H925" s="548"/>
      <c r="I925" s="548"/>
      <c r="J925" s="548"/>
      <c r="K925" s="548"/>
      <c r="L925" s="548"/>
      <c r="M925" s="549"/>
      <c r="N925" s="546"/>
      <c r="O925" s="546"/>
      <c r="P925" s="546"/>
      <c r="Q925" s="546"/>
      <c r="R925" s="546"/>
      <c r="S925" s="547"/>
      <c r="T925" s="547"/>
    </row>
    <row r="926">
      <c r="A926" s="548"/>
      <c r="B926" s="548"/>
      <c r="C926" s="548"/>
      <c r="D926" s="548"/>
      <c r="E926" s="548"/>
      <c r="F926" s="548"/>
      <c r="G926" s="548"/>
      <c r="H926" s="548"/>
      <c r="I926" s="548"/>
      <c r="J926" s="548"/>
      <c r="K926" s="548"/>
      <c r="L926" s="548"/>
      <c r="M926" s="549"/>
      <c r="N926" s="546"/>
      <c r="O926" s="546"/>
      <c r="P926" s="546"/>
      <c r="Q926" s="546"/>
      <c r="R926" s="546"/>
      <c r="S926" s="547"/>
      <c r="T926" s="547"/>
    </row>
    <row r="927">
      <c r="A927" s="548"/>
      <c r="B927" s="548"/>
      <c r="C927" s="548"/>
      <c r="D927" s="548"/>
      <c r="E927" s="548"/>
      <c r="F927" s="548"/>
      <c r="G927" s="548"/>
      <c r="H927" s="548"/>
      <c r="I927" s="548"/>
      <c r="J927" s="548"/>
      <c r="K927" s="548"/>
      <c r="L927" s="548"/>
      <c r="M927" s="549"/>
      <c r="N927" s="546"/>
      <c r="O927" s="546"/>
      <c r="P927" s="546"/>
      <c r="Q927" s="546"/>
      <c r="R927" s="546"/>
      <c r="S927" s="547"/>
      <c r="T927" s="547"/>
    </row>
    <row r="928">
      <c r="A928" s="548"/>
      <c r="B928" s="548"/>
      <c r="C928" s="548"/>
      <c r="D928" s="548"/>
      <c r="E928" s="548"/>
      <c r="F928" s="548"/>
      <c r="G928" s="548"/>
      <c r="H928" s="548"/>
      <c r="I928" s="548"/>
      <c r="J928" s="548"/>
      <c r="K928" s="548"/>
      <c r="L928" s="548"/>
      <c r="M928" s="549"/>
      <c r="N928" s="546"/>
      <c r="O928" s="546"/>
      <c r="P928" s="546"/>
      <c r="Q928" s="546"/>
      <c r="R928" s="546"/>
      <c r="S928" s="547"/>
      <c r="T928" s="547"/>
    </row>
    <row r="929">
      <c r="A929" s="548"/>
      <c r="B929" s="548"/>
      <c r="C929" s="548"/>
      <c r="D929" s="548"/>
      <c r="E929" s="548"/>
      <c r="F929" s="548"/>
      <c r="G929" s="548"/>
      <c r="H929" s="548"/>
      <c r="I929" s="548"/>
      <c r="J929" s="548"/>
      <c r="K929" s="548"/>
      <c r="L929" s="548"/>
      <c r="M929" s="549"/>
      <c r="N929" s="546"/>
      <c r="O929" s="546"/>
      <c r="P929" s="546"/>
      <c r="Q929" s="546"/>
      <c r="R929" s="546"/>
      <c r="S929" s="547"/>
      <c r="T929" s="547"/>
    </row>
    <row r="930">
      <c r="A930" s="548"/>
      <c r="B930" s="548"/>
      <c r="C930" s="548"/>
      <c r="D930" s="548"/>
      <c r="E930" s="548"/>
      <c r="F930" s="548"/>
      <c r="G930" s="548"/>
      <c r="H930" s="548"/>
      <c r="I930" s="548"/>
      <c r="J930" s="548"/>
      <c r="K930" s="548"/>
      <c r="L930" s="548"/>
      <c r="M930" s="549"/>
      <c r="N930" s="546"/>
      <c r="O930" s="546"/>
      <c r="P930" s="546"/>
      <c r="Q930" s="546"/>
      <c r="R930" s="546"/>
      <c r="S930" s="547"/>
      <c r="T930" s="547"/>
    </row>
    <row r="931">
      <c r="A931" s="548"/>
      <c r="B931" s="548"/>
      <c r="C931" s="548"/>
      <c r="D931" s="548"/>
      <c r="E931" s="548"/>
      <c r="F931" s="548"/>
      <c r="G931" s="548"/>
      <c r="H931" s="548"/>
      <c r="I931" s="548"/>
      <c r="J931" s="548"/>
      <c r="K931" s="548"/>
      <c r="L931" s="548"/>
      <c r="M931" s="549"/>
      <c r="N931" s="546"/>
      <c r="O931" s="546"/>
      <c r="P931" s="546"/>
      <c r="Q931" s="546"/>
      <c r="R931" s="546"/>
      <c r="S931" s="547"/>
      <c r="T931" s="547"/>
    </row>
    <row r="932">
      <c r="A932" s="548"/>
      <c r="B932" s="548"/>
      <c r="C932" s="548"/>
      <c r="D932" s="548"/>
      <c r="E932" s="548"/>
      <c r="F932" s="548"/>
      <c r="G932" s="548"/>
      <c r="H932" s="548"/>
      <c r="I932" s="548"/>
      <c r="J932" s="548"/>
      <c r="K932" s="548"/>
      <c r="L932" s="548"/>
      <c r="M932" s="549"/>
      <c r="N932" s="546"/>
      <c r="O932" s="546"/>
      <c r="P932" s="546"/>
      <c r="Q932" s="546"/>
      <c r="R932" s="546"/>
      <c r="S932" s="547"/>
      <c r="T932" s="547"/>
    </row>
    <row r="933">
      <c r="A933" s="548"/>
      <c r="B933" s="548"/>
      <c r="C933" s="548"/>
      <c r="D933" s="548"/>
      <c r="E933" s="548"/>
      <c r="F933" s="548"/>
      <c r="G933" s="548"/>
      <c r="H933" s="548"/>
      <c r="I933" s="548"/>
      <c r="J933" s="548"/>
      <c r="K933" s="548"/>
      <c r="L933" s="548"/>
      <c r="M933" s="549"/>
      <c r="N933" s="546"/>
      <c r="O933" s="546"/>
      <c r="P933" s="546"/>
      <c r="Q933" s="546"/>
      <c r="R933" s="546"/>
      <c r="S933" s="547"/>
      <c r="T933" s="547"/>
    </row>
    <row r="934">
      <c r="A934" s="548"/>
      <c r="B934" s="548"/>
      <c r="C934" s="548"/>
      <c r="D934" s="548"/>
      <c r="E934" s="548"/>
      <c r="F934" s="548"/>
      <c r="G934" s="548"/>
      <c r="H934" s="548"/>
      <c r="I934" s="548"/>
      <c r="J934" s="548"/>
      <c r="K934" s="548"/>
      <c r="L934" s="548"/>
      <c r="M934" s="549"/>
      <c r="N934" s="546"/>
      <c r="O934" s="546"/>
      <c r="P934" s="546"/>
      <c r="Q934" s="546"/>
      <c r="R934" s="546"/>
      <c r="S934" s="547"/>
      <c r="T934" s="547"/>
    </row>
    <row r="935">
      <c r="A935" s="548"/>
      <c r="B935" s="548"/>
      <c r="C935" s="548"/>
      <c r="D935" s="548"/>
      <c r="E935" s="548"/>
      <c r="F935" s="548"/>
      <c r="G935" s="548"/>
      <c r="H935" s="548"/>
      <c r="I935" s="548"/>
      <c r="J935" s="548"/>
      <c r="K935" s="548"/>
      <c r="L935" s="548"/>
      <c r="M935" s="549"/>
      <c r="N935" s="546"/>
      <c r="O935" s="546"/>
      <c r="P935" s="546"/>
      <c r="Q935" s="546"/>
      <c r="R935" s="546"/>
      <c r="S935" s="547"/>
      <c r="T935" s="547"/>
    </row>
    <row r="936">
      <c r="A936" s="548"/>
      <c r="B936" s="548"/>
      <c r="C936" s="548"/>
      <c r="D936" s="548"/>
      <c r="E936" s="548"/>
      <c r="F936" s="548"/>
      <c r="G936" s="548"/>
      <c r="H936" s="548"/>
      <c r="I936" s="548"/>
      <c r="J936" s="548"/>
      <c r="K936" s="548"/>
      <c r="L936" s="548"/>
      <c r="M936" s="549"/>
      <c r="N936" s="546"/>
      <c r="O936" s="546"/>
      <c r="P936" s="546"/>
      <c r="Q936" s="546"/>
      <c r="R936" s="546"/>
      <c r="S936" s="547"/>
      <c r="T936" s="547"/>
    </row>
    <row r="937">
      <c r="A937" s="548"/>
      <c r="B937" s="548"/>
      <c r="C937" s="548"/>
      <c r="D937" s="548"/>
      <c r="E937" s="548"/>
      <c r="F937" s="548"/>
      <c r="G937" s="548"/>
      <c r="H937" s="548"/>
      <c r="I937" s="548"/>
      <c r="J937" s="548"/>
      <c r="K937" s="548"/>
      <c r="L937" s="548"/>
      <c r="M937" s="549"/>
      <c r="N937" s="546"/>
      <c r="O937" s="546"/>
      <c r="P937" s="546"/>
      <c r="Q937" s="546"/>
      <c r="R937" s="546"/>
      <c r="S937" s="547"/>
      <c r="T937" s="547"/>
    </row>
    <row r="938">
      <c r="A938" s="548"/>
      <c r="B938" s="548"/>
      <c r="C938" s="548"/>
      <c r="D938" s="548"/>
      <c r="E938" s="548"/>
      <c r="F938" s="548"/>
      <c r="G938" s="548"/>
      <c r="H938" s="548"/>
      <c r="I938" s="548"/>
      <c r="J938" s="548"/>
      <c r="K938" s="548"/>
      <c r="L938" s="548"/>
      <c r="M938" s="549"/>
      <c r="N938" s="546"/>
      <c r="O938" s="546"/>
      <c r="P938" s="546"/>
      <c r="Q938" s="546"/>
      <c r="R938" s="546"/>
      <c r="S938" s="547"/>
      <c r="T938" s="547"/>
    </row>
    <row r="939">
      <c r="A939" s="548"/>
      <c r="B939" s="548"/>
      <c r="C939" s="548"/>
      <c r="D939" s="548"/>
      <c r="E939" s="548"/>
      <c r="F939" s="548"/>
      <c r="G939" s="548"/>
      <c r="H939" s="548"/>
      <c r="I939" s="548"/>
      <c r="J939" s="548"/>
      <c r="K939" s="548"/>
      <c r="L939" s="548"/>
      <c r="M939" s="549"/>
      <c r="N939" s="546"/>
      <c r="O939" s="546"/>
      <c r="P939" s="546"/>
      <c r="Q939" s="546"/>
      <c r="R939" s="546"/>
      <c r="S939" s="547"/>
      <c r="T939" s="547"/>
    </row>
    <row r="940">
      <c r="A940" s="548"/>
      <c r="B940" s="548"/>
      <c r="C940" s="548"/>
      <c r="D940" s="548"/>
      <c r="E940" s="548"/>
      <c r="F940" s="548"/>
      <c r="G940" s="548"/>
      <c r="H940" s="548"/>
      <c r="I940" s="548"/>
      <c r="J940" s="548"/>
      <c r="K940" s="548"/>
      <c r="L940" s="548"/>
      <c r="M940" s="549"/>
      <c r="N940" s="546"/>
      <c r="O940" s="546"/>
      <c r="P940" s="546"/>
      <c r="Q940" s="546"/>
      <c r="R940" s="546"/>
      <c r="S940" s="547"/>
      <c r="T940" s="547"/>
    </row>
    <row r="941">
      <c r="A941" s="548"/>
      <c r="B941" s="548"/>
      <c r="C941" s="548"/>
      <c r="D941" s="548"/>
      <c r="E941" s="548"/>
      <c r="F941" s="548"/>
      <c r="G941" s="548"/>
      <c r="H941" s="548"/>
      <c r="I941" s="548"/>
      <c r="J941" s="548"/>
      <c r="K941" s="548"/>
      <c r="L941" s="548"/>
      <c r="M941" s="549"/>
      <c r="N941" s="546"/>
      <c r="O941" s="546"/>
      <c r="P941" s="546"/>
      <c r="Q941" s="546"/>
      <c r="R941" s="546"/>
      <c r="S941" s="547"/>
      <c r="T941" s="547"/>
    </row>
    <row r="942">
      <c r="A942" s="548"/>
      <c r="B942" s="548"/>
      <c r="C942" s="548"/>
      <c r="D942" s="548"/>
      <c r="E942" s="548"/>
      <c r="F942" s="548"/>
      <c r="G942" s="548"/>
      <c r="H942" s="548"/>
      <c r="I942" s="548"/>
      <c r="J942" s="548"/>
      <c r="K942" s="548"/>
      <c r="L942" s="548"/>
      <c r="M942" s="549"/>
      <c r="N942" s="546"/>
      <c r="O942" s="546"/>
      <c r="P942" s="546"/>
      <c r="Q942" s="546"/>
      <c r="R942" s="546"/>
      <c r="S942" s="547"/>
      <c r="T942" s="547"/>
    </row>
    <row r="943">
      <c r="A943" s="548"/>
      <c r="B943" s="548"/>
      <c r="C943" s="548"/>
      <c r="D943" s="548"/>
      <c r="E943" s="548"/>
      <c r="F943" s="548"/>
      <c r="G943" s="548"/>
      <c r="H943" s="548"/>
      <c r="I943" s="548"/>
      <c r="J943" s="548"/>
      <c r="K943" s="548"/>
      <c r="L943" s="548"/>
      <c r="M943" s="549"/>
      <c r="N943" s="546"/>
      <c r="O943" s="546"/>
      <c r="P943" s="546"/>
      <c r="Q943" s="546"/>
      <c r="R943" s="546"/>
      <c r="S943" s="547"/>
      <c r="T943" s="547"/>
    </row>
    <row r="944">
      <c r="A944" s="548"/>
      <c r="B944" s="548"/>
      <c r="C944" s="548"/>
      <c r="D944" s="548"/>
      <c r="E944" s="548"/>
      <c r="F944" s="548"/>
      <c r="G944" s="548"/>
      <c r="H944" s="548"/>
      <c r="I944" s="548"/>
      <c r="J944" s="548"/>
      <c r="K944" s="548"/>
      <c r="L944" s="548"/>
      <c r="M944" s="549"/>
      <c r="N944" s="546"/>
      <c r="O944" s="546"/>
      <c r="P944" s="546"/>
      <c r="Q944" s="546"/>
      <c r="R944" s="546"/>
      <c r="S944" s="547"/>
      <c r="T944" s="547"/>
    </row>
    <row r="945">
      <c r="A945" s="548"/>
      <c r="B945" s="548"/>
      <c r="C945" s="548"/>
      <c r="D945" s="548"/>
      <c r="E945" s="548"/>
      <c r="F945" s="548"/>
      <c r="G945" s="548"/>
      <c r="H945" s="548"/>
      <c r="I945" s="548"/>
      <c r="J945" s="548"/>
      <c r="K945" s="548"/>
      <c r="L945" s="548"/>
      <c r="M945" s="549"/>
      <c r="N945" s="546"/>
      <c r="O945" s="546"/>
      <c r="P945" s="546"/>
      <c r="Q945" s="546"/>
      <c r="R945" s="546"/>
      <c r="S945" s="547"/>
      <c r="T945" s="547"/>
    </row>
    <row r="946">
      <c r="A946" s="548"/>
      <c r="B946" s="548"/>
      <c r="C946" s="548"/>
      <c r="D946" s="548"/>
      <c r="E946" s="548"/>
      <c r="F946" s="548"/>
      <c r="G946" s="548"/>
      <c r="H946" s="548"/>
      <c r="I946" s="548"/>
      <c r="J946" s="548"/>
      <c r="K946" s="548"/>
      <c r="L946" s="548"/>
      <c r="M946" s="549"/>
      <c r="N946" s="546"/>
      <c r="O946" s="546"/>
      <c r="P946" s="546"/>
      <c r="Q946" s="546"/>
      <c r="R946" s="546"/>
      <c r="S946" s="547"/>
      <c r="T946" s="547"/>
    </row>
    <row r="947">
      <c r="A947" s="548"/>
      <c r="B947" s="548"/>
      <c r="C947" s="548"/>
      <c r="D947" s="548"/>
      <c r="E947" s="548"/>
      <c r="F947" s="548"/>
      <c r="G947" s="548"/>
      <c r="H947" s="548"/>
      <c r="I947" s="548"/>
      <c r="J947" s="548"/>
      <c r="K947" s="548"/>
      <c r="L947" s="548"/>
      <c r="M947" s="549"/>
      <c r="N947" s="546"/>
      <c r="O947" s="546"/>
      <c r="P947" s="546"/>
      <c r="Q947" s="546"/>
      <c r="R947" s="546"/>
      <c r="S947" s="547"/>
      <c r="T947" s="547"/>
    </row>
    <row r="948">
      <c r="A948" s="548"/>
      <c r="B948" s="548"/>
      <c r="C948" s="548"/>
      <c r="D948" s="548"/>
      <c r="E948" s="548"/>
      <c r="F948" s="548"/>
      <c r="G948" s="548"/>
      <c r="H948" s="548"/>
      <c r="I948" s="548"/>
      <c r="J948" s="548"/>
      <c r="K948" s="548"/>
      <c r="L948" s="548"/>
      <c r="M948" s="549"/>
      <c r="N948" s="546"/>
      <c r="O948" s="546"/>
      <c r="P948" s="546"/>
      <c r="Q948" s="546"/>
      <c r="R948" s="546"/>
      <c r="S948" s="547"/>
      <c r="T948" s="547"/>
    </row>
    <row r="949">
      <c r="A949" s="548"/>
      <c r="B949" s="548"/>
      <c r="C949" s="548"/>
      <c r="D949" s="548"/>
      <c r="E949" s="548"/>
      <c r="F949" s="548"/>
      <c r="G949" s="548"/>
      <c r="H949" s="548"/>
      <c r="I949" s="548"/>
      <c r="J949" s="548"/>
      <c r="K949" s="548"/>
      <c r="L949" s="548"/>
      <c r="M949" s="549"/>
      <c r="N949" s="546"/>
      <c r="O949" s="546"/>
      <c r="P949" s="546"/>
      <c r="Q949" s="546"/>
      <c r="R949" s="546"/>
      <c r="S949" s="547"/>
      <c r="T949" s="547"/>
    </row>
    <row r="950">
      <c r="A950" s="548"/>
      <c r="B950" s="548"/>
      <c r="C950" s="548"/>
      <c r="D950" s="548"/>
      <c r="E950" s="548"/>
      <c r="F950" s="548"/>
      <c r="G950" s="548"/>
      <c r="H950" s="548"/>
      <c r="I950" s="548"/>
      <c r="J950" s="548"/>
      <c r="K950" s="548"/>
      <c r="L950" s="548"/>
      <c r="M950" s="549"/>
      <c r="N950" s="546"/>
      <c r="O950" s="546"/>
      <c r="P950" s="546"/>
      <c r="Q950" s="546"/>
      <c r="R950" s="546"/>
      <c r="S950" s="547"/>
      <c r="T950" s="547"/>
    </row>
    <row r="951">
      <c r="A951" s="548"/>
      <c r="B951" s="548"/>
      <c r="C951" s="548"/>
      <c r="D951" s="548"/>
      <c r="E951" s="548"/>
      <c r="F951" s="548"/>
      <c r="G951" s="548"/>
      <c r="H951" s="548"/>
      <c r="I951" s="548"/>
      <c r="J951" s="548"/>
      <c r="K951" s="548"/>
      <c r="L951" s="548"/>
      <c r="M951" s="549"/>
      <c r="N951" s="546"/>
      <c r="O951" s="546"/>
      <c r="P951" s="546"/>
      <c r="Q951" s="546"/>
      <c r="R951" s="546"/>
      <c r="S951" s="547"/>
      <c r="T951" s="547"/>
    </row>
    <row r="952">
      <c r="A952" s="548"/>
      <c r="B952" s="548"/>
      <c r="C952" s="548"/>
      <c r="D952" s="548"/>
      <c r="E952" s="548"/>
      <c r="F952" s="548"/>
      <c r="G952" s="548"/>
      <c r="H952" s="548"/>
      <c r="I952" s="548"/>
      <c r="J952" s="548"/>
      <c r="K952" s="548"/>
      <c r="L952" s="548"/>
      <c r="M952" s="549"/>
      <c r="N952" s="546"/>
      <c r="O952" s="546"/>
      <c r="P952" s="546"/>
      <c r="Q952" s="546"/>
      <c r="R952" s="546"/>
      <c r="S952" s="547"/>
      <c r="T952" s="547"/>
    </row>
    <row r="953">
      <c r="A953" s="548"/>
      <c r="B953" s="548"/>
      <c r="C953" s="548"/>
      <c r="D953" s="548"/>
      <c r="E953" s="548"/>
      <c r="F953" s="548"/>
      <c r="G953" s="548"/>
      <c r="H953" s="548"/>
      <c r="I953" s="548"/>
      <c r="J953" s="548"/>
      <c r="K953" s="548"/>
      <c r="L953" s="548"/>
      <c r="M953" s="549"/>
      <c r="N953" s="546"/>
      <c r="O953" s="546"/>
      <c r="P953" s="546"/>
      <c r="Q953" s="546"/>
      <c r="R953" s="546"/>
      <c r="S953" s="547"/>
      <c r="T953" s="547"/>
    </row>
    <row r="954">
      <c r="A954" s="548"/>
      <c r="B954" s="548"/>
      <c r="C954" s="548"/>
      <c r="D954" s="548"/>
      <c r="E954" s="548"/>
      <c r="F954" s="548"/>
      <c r="G954" s="548"/>
      <c r="H954" s="548"/>
      <c r="I954" s="548"/>
      <c r="J954" s="548"/>
      <c r="K954" s="548"/>
      <c r="L954" s="548"/>
      <c r="M954" s="549"/>
      <c r="N954" s="546"/>
      <c r="O954" s="546"/>
      <c r="P954" s="546"/>
      <c r="Q954" s="546"/>
      <c r="R954" s="546"/>
      <c r="S954" s="547"/>
      <c r="T954" s="547"/>
    </row>
    <row r="955">
      <c r="A955" s="548"/>
      <c r="B955" s="548"/>
      <c r="C955" s="548"/>
      <c r="D955" s="548"/>
      <c r="E955" s="548"/>
      <c r="F955" s="548"/>
      <c r="G955" s="548"/>
      <c r="H955" s="548"/>
      <c r="I955" s="548"/>
      <c r="J955" s="548"/>
      <c r="K955" s="548"/>
      <c r="L955" s="548"/>
      <c r="M955" s="549"/>
      <c r="N955" s="546"/>
      <c r="O955" s="546"/>
      <c r="P955" s="546"/>
      <c r="Q955" s="546"/>
      <c r="R955" s="546"/>
      <c r="S955" s="547"/>
      <c r="T955" s="547"/>
    </row>
    <row r="956">
      <c r="A956" s="548"/>
      <c r="B956" s="548"/>
      <c r="C956" s="548"/>
      <c r="D956" s="548"/>
      <c r="E956" s="548"/>
      <c r="F956" s="548"/>
      <c r="G956" s="548"/>
      <c r="H956" s="548"/>
      <c r="I956" s="548"/>
      <c r="J956" s="548"/>
      <c r="K956" s="548"/>
      <c r="L956" s="548"/>
      <c r="M956" s="549"/>
      <c r="N956" s="546"/>
      <c r="O956" s="546"/>
      <c r="P956" s="546"/>
      <c r="Q956" s="546"/>
      <c r="R956" s="546"/>
      <c r="S956" s="547"/>
      <c r="T956" s="547"/>
    </row>
    <row r="957">
      <c r="A957" s="548"/>
      <c r="B957" s="548"/>
      <c r="C957" s="548"/>
      <c r="D957" s="548"/>
      <c r="E957" s="548"/>
      <c r="F957" s="548"/>
      <c r="G957" s="548"/>
      <c r="H957" s="548"/>
      <c r="I957" s="548"/>
      <c r="J957" s="548"/>
      <c r="K957" s="548"/>
      <c r="L957" s="548"/>
      <c r="M957" s="549"/>
      <c r="N957" s="546"/>
      <c r="O957" s="546"/>
      <c r="P957" s="546"/>
      <c r="Q957" s="546"/>
      <c r="R957" s="546"/>
      <c r="S957" s="547"/>
      <c r="T957" s="547"/>
    </row>
    <row r="958">
      <c r="A958" s="548"/>
      <c r="B958" s="548"/>
      <c r="C958" s="548"/>
      <c r="D958" s="548"/>
      <c r="E958" s="548"/>
      <c r="F958" s="548"/>
      <c r="G958" s="548"/>
      <c r="H958" s="548"/>
      <c r="I958" s="548"/>
      <c r="J958" s="548"/>
      <c r="K958" s="548"/>
      <c r="L958" s="548"/>
      <c r="M958" s="549"/>
      <c r="N958" s="546"/>
      <c r="O958" s="546"/>
      <c r="P958" s="546"/>
      <c r="Q958" s="546"/>
      <c r="R958" s="546"/>
      <c r="S958" s="547"/>
      <c r="T958" s="547"/>
    </row>
    <row r="959">
      <c r="A959" s="548"/>
      <c r="B959" s="548"/>
      <c r="C959" s="548"/>
      <c r="D959" s="548"/>
      <c r="E959" s="548"/>
      <c r="F959" s="548"/>
      <c r="G959" s="548"/>
      <c r="H959" s="548"/>
      <c r="I959" s="548"/>
      <c r="J959" s="548"/>
      <c r="K959" s="548"/>
      <c r="L959" s="548"/>
      <c r="M959" s="549"/>
      <c r="N959" s="546"/>
      <c r="O959" s="546"/>
      <c r="P959" s="546"/>
      <c r="Q959" s="546"/>
      <c r="R959" s="546"/>
      <c r="S959" s="547"/>
      <c r="T959" s="547"/>
    </row>
    <row r="960">
      <c r="A960" s="548"/>
      <c r="B960" s="548"/>
      <c r="C960" s="548"/>
      <c r="D960" s="548"/>
      <c r="E960" s="548"/>
      <c r="F960" s="548"/>
      <c r="G960" s="548"/>
      <c r="H960" s="548"/>
      <c r="I960" s="548"/>
      <c r="J960" s="548"/>
      <c r="K960" s="548"/>
      <c r="L960" s="548"/>
      <c r="M960" s="549"/>
      <c r="N960" s="546"/>
      <c r="O960" s="546"/>
      <c r="P960" s="546"/>
      <c r="Q960" s="546"/>
      <c r="R960" s="546"/>
      <c r="S960" s="547"/>
      <c r="T960" s="547"/>
    </row>
    <row r="961">
      <c r="A961" s="548"/>
      <c r="B961" s="548"/>
      <c r="C961" s="548"/>
      <c r="D961" s="548"/>
      <c r="E961" s="548"/>
      <c r="F961" s="548"/>
      <c r="G961" s="548"/>
      <c r="H961" s="548"/>
      <c r="I961" s="548"/>
      <c r="J961" s="548"/>
      <c r="K961" s="548"/>
      <c r="L961" s="548"/>
      <c r="M961" s="549"/>
      <c r="N961" s="546"/>
      <c r="O961" s="546"/>
      <c r="P961" s="546"/>
      <c r="Q961" s="546"/>
      <c r="R961" s="546"/>
      <c r="S961" s="547"/>
      <c r="T961" s="547"/>
    </row>
    <row r="962">
      <c r="A962" s="548"/>
      <c r="B962" s="548"/>
      <c r="C962" s="548"/>
      <c r="D962" s="548"/>
      <c r="E962" s="548"/>
      <c r="F962" s="548"/>
      <c r="G962" s="548"/>
      <c r="H962" s="548"/>
      <c r="I962" s="548"/>
      <c r="J962" s="548"/>
      <c r="K962" s="548"/>
      <c r="L962" s="548"/>
      <c r="M962" s="549"/>
      <c r="N962" s="546"/>
      <c r="O962" s="546"/>
      <c r="P962" s="546"/>
      <c r="Q962" s="546"/>
      <c r="R962" s="546"/>
      <c r="S962" s="547"/>
      <c r="T962" s="547"/>
    </row>
    <row r="963">
      <c r="A963" s="548"/>
      <c r="B963" s="548"/>
      <c r="C963" s="548"/>
      <c r="D963" s="548"/>
      <c r="E963" s="548"/>
      <c r="F963" s="548"/>
      <c r="G963" s="548"/>
      <c r="H963" s="548"/>
      <c r="I963" s="548"/>
      <c r="J963" s="548"/>
      <c r="K963" s="548"/>
      <c r="L963" s="548"/>
      <c r="M963" s="549"/>
      <c r="N963" s="546"/>
      <c r="O963" s="546"/>
      <c r="P963" s="546"/>
      <c r="Q963" s="546"/>
      <c r="R963" s="546"/>
      <c r="S963" s="547"/>
      <c r="T963" s="547"/>
    </row>
    <row r="964">
      <c r="A964" s="548"/>
      <c r="B964" s="548"/>
      <c r="C964" s="548"/>
      <c r="D964" s="548"/>
      <c r="E964" s="548"/>
      <c r="F964" s="548"/>
      <c r="G964" s="548"/>
      <c r="H964" s="548"/>
      <c r="I964" s="548"/>
      <c r="J964" s="548"/>
      <c r="K964" s="548"/>
      <c r="L964" s="548"/>
      <c r="M964" s="549"/>
      <c r="N964" s="546"/>
      <c r="O964" s="546"/>
      <c r="P964" s="546"/>
      <c r="Q964" s="546"/>
      <c r="R964" s="546"/>
      <c r="S964" s="547"/>
      <c r="T964" s="547"/>
    </row>
    <row r="965">
      <c r="A965" s="548"/>
      <c r="B965" s="548"/>
      <c r="C965" s="548"/>
      <c r="D965" s="548"/>
      <c r="E965" s="548"/>
      <c r="F965" s="548"/>
      <c r="G965" s="548"/>
      <c r="H965" s="548"/>
      <c r="I965" s="548"/>
      <c r="J965" s="548"/>
      <c r="K965" s="548"/>
      <c r="L965" s="548"/>
      <c r="M965" s="549"/>
      <c r="N965" s="546"/>
      <c r="O965" s="546"/>
      <c r="P965" s="546"/>
      <c r="Q965" s="546"/>
      <c r="R965" s="546"/>
      <c r="S965" s="547"/>
      <c r="T965" s="547"/>
    </row>
    <row r="966">
      <c r="A966" s="548"/>
      <c r="B966" s="548"/>
      <c r="C966" s="548"/>
      <c r="D966" s="548"/>
      <c r="E966" s="548"/>
      <c r="F966" s="548"/>
      <c r="G966" s="548"/>
      <c r="H966" s="548"/>
      <c r="I966" s="548"/>
      <c r="J966" s="548"/>
      <c r="K966" s="548"/>
      <c r="L966" s="548"/>
      <c r="M966" s="549"/>
      <c r="N966" s="546"/>
      <c r="O966" s="546"/>
      <c r="P966" s="546"/>
      <c r="Q966" s="546"/>
      <c r="R966" s="546"/>
      <c r="S966" s="547"/>
      <c r="T966" s="547"/>
    </row>
    <row r="967">
      <c r="A967" s="548"/>
      <c r="B967" s="548"/>
      <c r="C967" s="548"/>
      <c r="D967" s="548"/>
      <c r="E967" s="548"/>
      <c r="F967" s="548"/>
      <c r="G967" s="548"/>
      <c r="H967" s="548"/>
      <c r="I967" s="548"/>
      <c r="J967" s="548"/>
      <c r="K967" s="548"/>
      <c r="L967" s="548"/>
      <c r="M967" s="549"/>
      <c r="N967" s="546"/>
      <c r="O967" s="546"/>
      <c r="P967" s="546"/>
      <c r="Q967" s="546"/>
      <c r="R967" s="546"/>
      <c r="S967" s="547"/>
      <c r="T967" s="547"/>
    </row>
    <row r="968">
      <c r="A968" s="548"/>
      <c r="B968" s="548"/>
      <c r="C968" s="548"/>
      <c r="D968" s="548"/>
      <c r="E968" s="548"/>
      <c r="F968" s="548"/>
      <c r="G968" s="548"/>
      <c r="H968" s="548"/>
      <c r="I968" s="548"/>
      <c r="J968" s="548"/>
      <c r="K968" s="548"/>
      <c r="L968" s="548"/>
      <c r="M968" s="549"/>
      <c r="N968" s="546"/>
      <c r="O968" s="546"/>
      <c r="P968" s="546"/>
      <c r="Q968" s="546"/>
      <c r="R968" s="546"/>
      <c r="S968" s="547"/>
      <c r="T968" s="547"/>
    </row>
    <row r="969">
      <c r="A969" s="548"/>
      <c r="B969" s="548"/>
      <c r="C969" s="548"/>
      <c r="D969" s="548"/>
      <c r="E969" s="548"/>
      <c r="F969" s="548"/>
      <c r="G969" s="548"/>
      <c r="H969" s="548"/>
      <c r="I969" s="548"/>
      <c r="J969" s="548"/>
      <c r="K969" s="548"/>
      <c r="L969" s="548"/>
      <c r="M969" s="549"/>
      <c r="N969" s="546"/>
      <c r="O969" s="546"/>
      <c r="P969" s="546"/>
      <c r="Q969" s="546"/>
      <c r="R969" s="546"/>
      <c r="S969" s="547"/>
      <c r="T969" s="547"/>
    </row>
    <row r="970">
      <c r="A970" s="548"/>
      <c r="B970" s="548"/>
      <c r="C970" s="548"/>
      <c r="D970" s="548"/>
      <c r="E970" s="548"/>
      <c r="F970" s="548"/>
      <c r="G970" s="548"/>
      <c r="H970" s="548"/>
      <c r="I970" s="548"/>
      <c r="J970" s="548"/>
      <c r="K970" s="548"/>
      <c r="L970" s="548"/>
      <c r="M970" s="549"/>
      <c r="N970" s="546"/>
      <c r="O970" s="546"/>
      <c r="P970" s="546"/>
      <c r="Q970" s="546"/>
      <c r="R970" s="546"/>
      <c r="S970" s="547"/>
      <c r="T970" s="547"/>
    </row>
    <row r="971">
      <c r="A971" s="548"/>
      <c r="B971" s="548"/>
      <c r="C971" s="548"/>
      <c r="D971" s="548"/>
      <c r="E971" s="548"/>
      <c r="F971" s="548"/>
      <c r="G971" s="548"/>
      <c r="H971" s="548"/>
      <c r="I971" s="548"/>
      <c r="J971" s="548"/>
      <c r="K971" s="548"/>
      <c r="L971" s="548"/>
      <c r="M971" s="549"/>
      <c r="N971" s="546"/>
      <c r="O971" s="546"/>
      <c r="P971" s="546"/>
      <c r="Q971" s="546"/>
      <c r="R971" s="546"/>
      <c r="S971" s="547"/>
      <c r="T971" s="547"/>
    </row>
    <row r="972">
      <c r="A972" s="548"/>
      <c r="B972" s="548"/>
      <c r="C972" s="548"/>
      <c r="D972" s="548"/>
      <c r="E972" s="548"/>
      <c r="F972" s="548"/>
      <c r="G972" s="548"/>
      <c r="H972" s="548"/>
      <c r="I972" s="548"/>
      <c r="J972" s="548"/>
      <c r="K972" s="548"/>
      <c r="L972" s="548"/>
      <c r="M972" s="549"/>
      <c r="N972" s="546"/>
      <c r="O972" s="546"/>
      <c r="P972" s="546"/>
      <c r="Q972" s="546"/>
      <c r="R972" s="546"/>
      <c r="S972" s="547"/>
      <c r="T972" s="547"/>
    </row>
    <row r="973">
      <c r="A973" s="548"/>
      <c r="B973" s="548"/>
      <c r="C973" s="548"/>
      <c r="D973" s="548"/>
      <c r="E973" s="548"/>
      <c r="F973" s="548"/>
      <c r="G973" s="548"/>
      <c r="H973" s="548"/>
      <c r="I973" s="548"/>
      <c r="J973" s="548"/>
      <c r="K973" s="548"/>
      <c r="L973" s="548"/>
      <c r="M973" s="549"/>
      <c r="N973" s="546"/>
      <c r="O973" s="546"/>
      <c r="P973" s="546"/>
      <c r="Q973" s="546"/>
      <c r="R973" s="546"/>
      <c r="S973" s="547"/>
      <c r="T973" s="547"/>
    </row>
    <row r="974">
      <c r="A974" s="548"/>
      <c r="B974" s="548"/>
      <c r="C974" s="548"/>
      <c r="D974" s="548"/>
      <c r="E974" s="548"/>
      <c r="F974" s="548"/>
      <c r="G974" s="548"/>
      <c r="H974" s="548"/>
      <c r="I974" s="548"/>
      <c r="J974" s="548"/>
      <c r="K974" s="548"/>
      <c r="L974" s="548"/>
      <c r="M974" s="549"/>
      <c r="N974" s="546"/>
      <c r="O974" s="546"/>
      <c r="P974" s="546"/>
      <c r="Q974" s="546"/>
      <c r="R974" s="546"/>
      <c r="S974" s="547"/>
      <c r="T974" s="547"/>
    </row>
    <row r="975">
      <c r="A975" s="548"/>
      <c r="B975" s="548"/>
      <c r="C975" s="548"/>
      <c r="D975" s="548"/>
      <c r="E975" s="548"/>
      <c r="F975" s="548"/>
      <c r="G975" s="548"/>
      <c r="H975" s="548"/>
      <c r="I975" s="548"/>
      <c r="J975" s="548"/>
      <c r="K975" s="548"/>
      <c r="L975" s="548"/>
      <c r="M975" s="549"/>
      <c r="N975" s="546"/>
      <c r="O975" s="546"/>
      <c r="P975" s="546"/>
      <c r="Q975" s="546"/>
      <c r="R975" s="546"/>
      <c r="S975" s="547"/>
      <c r="T975" s="547"/>
    </row>
    <row r="976">
      <c r="A976" s="548"/>
      <c r="B976" s="548"/>
      <c r="C976" s="548"/>
      <c r="D976" s="548"/>
      <c r="E976" s="548"/>
      <c r="F976" s="548"/>
      <c r="G976" s="548"/>
      <c r="H976" s="548"/>
      <c r="I976" s="548"/>
      <c r="J976" s="548"/>
      <c r="K976" s="548"/>
      <c r="L976" s="548"/>
      <c r="M976" s="549"/>
      <c r="N976" s="546"/>
      <c r="O976" s="546"/>
      <c r="P976" s="546"/>
      <c r="Q976" s="546"/>
      <c r="R976" s="546"/>
      <c r="S976" s="547"/>
      <c r="T976" s="547"/>
    </row>
    <row r="977">
      <c r="A977" s="548"/>
      <c r="B977" s="548"/>
      <c r="C977" s="548"/>
      <c r="D977" s="548"/>
      <c r="E977" s="548"/>
      <c r="F977" s="548"/>
      <c r="G977" s="548"/>
      <c r="H977" s="548"/>
      <c r="I977" s="548"/>
      <c r="J977" s="548"/>
      <c r="K977" s="548"/>
      <c r="L977" s="548"/>
      <c r="M977" s="549"/>
      <c r="N977" s="546"/>
      <c r="O977" s="546"/>
      <c r="P977" s="546"/>
      <c r="Q977" s="546"/>
      <c r="R977" s="546"/>
      <c r="S977" s="547"/>
      <c r="T977" s="547"/>
    </row>
    <row r="978">
      <c r="A978" s="548"/>
      <c r="B978" s="548"/>
      <c r="C978" s="548"/>
      <c r="D978" s="548"/>
      <c r="E978" s="548"/>
      <c r="F978" s="548"/>
      <c r="G978" s="548"/>
      <c r="H978" s="548"/>
      <c r="I978" s="548"/>
      <c r="J978" s="548"/>
      <c r="K978" s="548"/>
      <c r="L978" s="548"/>
      <c r="M978" s="549"/>
      <c r="N978" s="546"/>
      <c r="O978" s="546"/>
      <c r="P978" s="546"/>
      <c r="Q978" s="546"/>
      <c r="R978" s="546"/>
      <c r="S978" s="547"/>
      <c r="T978" s="547"/>
    </row>
    <row r="979">
      <c r="A979" s="548"/>
      <c r="B979" s="548"/>
      <c r="C979" s="548"/>
      <c r="D979" s="548"/>
      <c r="E979" s="548"/>
      <c r="F979" s="548"/>
      <c r="G979" s="548"/>
      <c r="H979" s="548"/>
      <c r="I979" s="548"/>
      <c r="J979" s="548"/>
      <c r="K979" s="548"/>
      <c r="L979" s="548"/>
      <c r="M979" s="549"/>
      <c r="N979" s="546"/>
      <c r="O979" s="546"/>
      <c r="P979" s="546"/>
      <c r="Q979" s="546"/>
      <c r="R979" s="546"/>
      <c r="S979" s="547"/>
      <c r="T979" s="547"/>
    </row>
    <row r="980">
      <c r="A980" s="548"/>
      <c r="B980" s="548"/>
      <c r="C980" s="548"/>
      <c r="D980" s="548"/>
      <c r="E980" s="548"/>
      <c r="F980" s="548"/>
      <c r="G980" s="548"/>
      <c r="H980" s="548"/>
      <c r="I980" s="548"/>
      <c r="J980" s="548"/>
      <c r="K980" s="548"/>
      <c r="L980" s="548"/>
      <c r="M980" s="549"/>
      <c r="N980" s="546"/>
      <c r="O980" s="546"/>
      <c r="P980" s="546"/>
      <c r="Q980" s="546"/>
      <c r="R980" s="546"/>
      <c r="S980" s="547"/>
      <c r="T980" s="547"/>
    </row>
    <row r="981">
      <c r="A981" s="548"/>
      <c r="B981" s="548"/>
      <c r="C981" s="548"/>
      <c r="D981" s="548"/>
      <c r="E981" s="548"/>
      <c r="F981" s="548"/>
      <c r="G981" s="548"/>
      <c r="H981" s="548"/>
      <c r="I981" s="548"/>
      <c r="J981" s="548"/>
      <c r="K981" s="548"/>
      <c r="L981" s="548"/>
      <c r="M981" s="549"/>
      <c r="N981" s="546"/>
      <c r="O981" s="546"/>
      <c r="P981" s="546"/>
      <c r="Q981" s="546"/>
      <c r="R981" s="546"/>
      <c r="S981" s="547"/>
      <c r="T981" s="547"/>
    </row>
    <row r="982">
      <c r="A982" s="548"/>
      <c r="B982" s="548"/>
      <c r="C982" s="548"/>
      <c r="D982" s="548"/>
      <c r="E982" s="548"/>
      <c r="F982" s="548"/>
      <c r="G982" s="548"/>
      <c r="H982" s="548"/>
      <c r="I982" s="548"/>
      <c r="J982" s="548"/>
      <c r="K982" s="548"/>
      <c r="L982" s="548"/>
      <c r="M982" s="549"/>
      <c r="N982" s="546"/>
      <c r="O982" s="546"/>
      <c r="P982" s="546"/>
      <c r="Q982" s="546"/>
      <c r="R982" s="546"/>
      <c r="S982" s="547"/>
      <c r="T982" s="547"/>
    </row>
    <row r="983">
      <c r="A983" s="548"/>
      <c r="B983" s="548"/>
      <c r="C983" s="548"/>
      <c r="D983" s="548"/>
      <c r="E983" s="548"/>
      <c r="F983" s="548"/>
      <c r="G983" s="548"/>
      <c r="H983" s="548"/>
      <c r="I983" s="548"/>
      <c r="J983" s="548"/>
      <c r="K983" s="548"/>
      <c r="L983" s="548"/>
      <c r="M983" s="549"/>
      <c r="N983" s="546"/>
      <c r="O983" s="546"/>
      <c r="P983" s="546"/>
      <c r="Q983" s="546"/>
      <c r="R983" s="546"/>
      <c r="S983" s="547"/>
      <c r="T983" s="547"/>
    </row>
    <row r="984">
      <c r="A984" s="548"/>
      <c r="B984" s="548"/>
      <c r="C984" s="548"/>
      <c r="D984" s="548"/>
      <c r="E984" s="548"/>
      <c r="F984" s="548"/>
      <c r="G984" s="548"/>
      <c r="H984" s="548"/>
      <c r="I984" s="548"/>
      <c r="J984" s="548"/>
      <c r="K984" s="548"/>
      <c r="L984" s="548"/>
      <c r="M984" s="549"/>
      <c r="N984" s="546"/>
      <c r="O984" s="546"/>
      <c r="P984" s="546"/>
      <c r="Q984" s="546"/>
      <c r="R984" s="546"/>
      <c r="S984" s="547"/>
      <c r="T984" s="547"/>
    </row>
    <row r="985">
      <c r="A985" s="548"/>
      <c r="B985" s="548"/>
      <c r="C985" s="548"/>
      <c r="D985" s="548"/>
      <c r="E985" s="548"/>
      <c r="F985" s="548"/>
      <c r="G985" s="548"/>
      <c r="H985" s="548"/>
      <c r="I985" s="548"/>
      <c r="J985" s="548"/>
      <c r="K985" s="548"/>
      <c r="L985" s="548"/>
      <c r="M985" s="549"/>
      <c r="N985" s="546"/>
      <c r="O985" s="546"/>
      <c r="P985" s="546"/>
      <c r="Q985" s="546"/>
      <c r="R985" s="546"/>
      <c r="S985" s="547"/>
      <c r="T985" s="547"/>
    </row>
    <row r="986">
      <c r="A986" s="548"/>
      <c r="B986" s="548"/>
      <c r="C986" s="548"/>
      <c r="D986" s="548"/>
      <c r="E986" s="548"/>
      <c r="F986" s="548"/>
      <c r="G986" s="548"/>
      <c r="H986" s="548"/>
      <c r="I986" s="548"/>
      <c r="J986" s="548"/>
      <c r="K986" s="548"/>
      <c r="L986" s="548"/>
      <c r="M986" s="549"/>
      <c r="N986" s="546"/>
      <c r="O986" s="546"/>
      <c r="P986" s="546"/>
      <c r="Q986" s="546"/>
      <c r="R986" s="546"/>
      <c r="S986" s="547"/>
      <c r="T986" s="547"/>
    </row>
    <row r="987">
      <c r="A987" s="548"/>
      <c r="B987" s="548"/>
      <c r="C987" s="548"/>
      <c r="D987" s="548"/>
      <c r="E987" s="548"/>
      <c r="F987" s="548"/>
      <c r="G987" s="548"/>
      <c r="H987" s="548"/>
      <c r="I987" s="548"/>
      <c r="J987" s="548"/>
      <c r="K987" s="548"/>
      <c r="L987" s="548"/>
      <c r="M987" s="549"/>
      <c r="N987" s="546"/>
      <c r="O987" s="546"/>
      <c r="P987" s="546"/>
      <c r="Q987" s="546"/>
      <c r="R987" s="546"/>
      <c r="S987" s="547"/>
      <c r="T987" s="547"/>
    </row>
    <row r="988">
      <c r="A988" s="548"/>
      <c r="B988" s="548"/>
      <c r="C988" s="548"/>
      <c r="D988" s="548"/>
      <c r="E988" s="548"/>
      <c r="F988" s="548"/>
      <c r="G988" s="548"/>
      <c r="H988" s="548"/>
      <c r="I988" s="548"/>
      <c r="J988" s="548"/>
      <c r="K988" s="548"/>
      <c r="L988" s="548"/>
      <c r="M988" s="549"/>
      <c r="N988" s="546"/>
      <c r="O988" s="546"/>
      <c r="P988" s="546"/>
      <c r="Q988" s="546"/>
      <c r="R988" s="546"/>
      <c r="S988" s="547"/>
      <c r="T988" s="547"/>
    </row>
    <row r="989">
      <c r="A989" s="548"/>
      <c r="B989" s="548"/>
      <c r="C989" s="548"/>
      <c r="D989" s="548"/>
      <c r="E989" s="548"/>
      <c r="F989" s="548"/>
      <c r="G989" s="548"/>
      <c r="H989" s="548"/>
      <c r="I989" s="548"/>
      <c r="J989" s="548"/>
      <c r="K989" s="548"/>
      <c r="L989" s="548"/>
      <c r="M989" s="549"/>
      <c r="N989" s="546"/>
      <c r="O989" s="546"/>
      <c r="P989" s="546"/>
      <c r="Q989" s="546"/>
      <c r="R989" s="546"/>
      <c r="S989" s="547"/>
      <c r="T989" s="547"/>
    </row>
    <row r="990">
      <c r="A990" s="548"/>
      <c r="B990" s="548"/>
      <c r="C990" s="548"/>
      <c r="D990" s="548"/>
      <c r="E990" s="548"/>
      <c r="F990" s="548"/>
      <c r="G990" s="548"/>
      <c r="H990" s="548"/>
      <c r="I990" s="548"/>
      <c r="J990" s="548"/>
      <c r="K990" s="548"/>
      <c r="L990" s="548"/>
      <c r="M990" s="549"/>
      <c r="N990" s="546"/>
      <c r="O990" s="546"/>
      <c r="P990" s="546"/>
      <c r="Q990" s="546"/>
      <c r="R990" s="546"/>
      <c r="S990" s="547"/>
      <c r="T990" s="547"/>
    </row>
    <row r="991">
      <c r="A991" s="548"/>
      <c r="B991" s="548"/>
      <c r="C991" s="548"/>
      <c r="D991" s="548"/>
      <c r="E991" s="548"/>
      <c r="F991" s="548"/>
      <c r="G991" s="548"/>
      <c r="H991" s="548"/>
      <c r="I991" s="548"/>
      <c r="J991" s="548"/>
      <c r="K991" s="548"/>
      <c r="L991" s="548"/>
      <c r="M991" s="549"/>
      <c r="N991" s="546"/>
      <c r="O991" s="546"/>
      <c r="P991" s="546"/>
      <c r="Q991" s="546"/>
      <c r="R991" s="546"/>
      <c r="S991" s="547"/>
      <c r="T991" s="547"/>
    </row>
    <row r="992">
      <c r="A992" s="548"/>
      <c r="B992" s="548"/>
      <c r="C992" s="548"/>
      <c r="D992" s="548"/>
      <c r="E992" s="548"/>
      <c r="F992" s="548"/>
      <c r="G992" s="548"/>
      <c r="H992" s="548"/>
      <c r="I992" s="548"/>
      <c r="J992" s="548"/>
      <c r="K992" s="548"/>
      <c r="L992" s="548"/>
      <c r="M992" s="549"/>
      <c r="N992" s="546"/>
      <c r="O992" s="546"/>
      <c r="P992" s="546"/>
      <c r="Q992" s="546"/>
      <c r="R992" s="546"/>
      <c r="S992" s="547"/>
      <c r="T992" s="547"/>
    </row>
    <row r="993">
      <c r="A993" s="548"/>
      <c r="B993" s="548"/>
      <c r="C993" s="548"/>
      <c r="D993" s="548"/>
      <c r="E993" s="548"/>
      <c r="F993" s="548"/>
      <c r="G993" s="548"/>
      <c r="H993" s="548"/>
      <c r="I993" s="548"/>
      <c r="J993" s="548"/>
      <c r="K993" s="548"/>
      <c r="L993" s="548"/>
      <c r="M993" s="549"/>
      <c r="N993" s="546"/>
      <c r="O993" s="546"/>
      <c r="P993" s="546"/>
      <c r="Q993" s="546"/>
      <c r="R993" s="546"/>
      <c r="S993" s="547"/>
      <c r="T993" s="547"/>
    </row>
    <row r="994">
      <c r="A994" s="548"/>
      <c r="B994" s="548"/>
      <c r="C994" s="548"/>
      <c r="D994" s="548"/>
      <c r="E994" s="548"/>
      <c r="F994" s="548"/>
      <c r="G994" s="548"/>
      <c r="H994" s="548"/>
      <c r="I994" s="548"/>
      <c r="J994" s="548"/>
      <c r="K994" s="548"/>
      <c r="L994" s="548"/>
      <c r="M994" s="549"/>
      <c r="N994" s="546"/>
      <c r="O994" s="546"/>
      <c r="P994" s="546"/>
      <c r="Q994" s="546"/>
      <c r="R994" s="546"/>
      <c r="S994" s="547"/>
      <c r="T994" s="547"/>
    </row>
    <row r="995">
      <c r="A995" s="548"/>
      <c r="B995" s="548"/>
      <c r="C995" s="548"/>
      <c r="D995" s="548"/>
      <c r="E995" s="548"/>
      <c r="F995" s="548"/>
      <c r="G995" s="548"/>
      <c r="H995" s="548"/>
      <c r="I995" s="548"/>
      <c r="J995" s="548"/>
      <c r="K995" s="548"/>
      <c r="L995" s="548"/>
      <c r="M995" s="549"/>
      <c r="N995" s="546"/>
      <c r="O995" s="546"/>
      <c r="P995" s="546"/>
      <c r="Q995" s="546"/>
      <c r="R995" s="546"/>
      <c r="S995" s="547"/>
      <c r="T995" s="547"/>
    </row>
    <row r="996">
      <c r="A996" s="548"/>
      <c r="B996" s="548"/>
      <c r="C996" s="548"/>
      <c r="D996" s="548"/>
      <c r="E996" s="548"/>
      <c r="F996" s="548"/>
      <c r="G996" s="548"/>
      <c r="H996" s="548"/>
      <c r="I996" s="548"/>
      <c r="J996" s="548"/>
      <c r="K996" s="548"/>
      <c r="L996" s="548"/>
      <c r="M996" s="549"/>
      <c r="N996" s="546"/>
      <c r="O996" s="546"/>
      <c r="P996" s="546"/>
      <c r="Q996" s="546"/>
      <c r="R996" s="546"/>
      <c r="S996" s="547"/>
      <c r="T996" s="547"/>
    </row>
    <row r="997">
      <c r="A997" s="548"/>
      <c r="B997" s="548"/>
      <c r="C997" s="548"/>
      <c r="D997" s="548"/>
      <c r="E997" s="548"/>
      <c r="F997" s="548"/>
      <c r="G997" s="548"/>
      <c r="H997" s="548"/>
      <c r="I997" s="548"/>
      <c r="J997" s="548"/>
      <c r="K997" s="548"/>
      <c r="L997" s="548"/>
      <c r="M997" s="549"/>
      <c r="N997" s="546"/>
      <c r="O997" s="546"/>
      <c r="P997" s="546"/>
      <c r="Q997" s="546"/>
      <c r="R997" s="546"/>
      <c r="S997" s="547"/>
      <c r="T997" s="547"/>
    </row>
    <row r="998">
      <c r="A998" s="548"/>
      <c r="B998" s="548"/>
      <c r="C998" s="548"/>
      <c r="D998" s="548"/>
      <c r="E998" s="548"/>
      <c r="F998" s="548"/>
      <c r="G998" s="548"/>
      <c r="H998" s="548"/>
      <c r="I998" s="548"/>
      <c r="J998" s="548"/>
      <c r="K998" s="548"/>
      <c r="L998" s="548"/>
      <c r="M998" s="549"/>
      <c r="N998" s="546"/>
      <c r="O998" s="546"/>
      <c r="P998" s="546"/>
      <c r="Q998" s="546"/>
      <c r="R998" s="546"/>
      <c r="S998" s="547"/>
      <c r="T998" s="547"/>
    </row>
    <row r="999">
      <c r="A999" s="548"/>
      <c r="B999" s="548"/>
      <c r="C999" s="548"/>
      <c r="D999" s="548"/>
      <c r="E999" s="548"/>
      <c r="F999" s="548"/>
      <c r="G999" s="548"/>
      <c r="H999" s="548"/>
      <c r="I999" s="548"/>
      <c r="J999" s="548"/>
      <c r="K999" s="548"/>
      <c r="L999" s="548"/>
      <c r="M999" s="549"/>
      <c r="N999" s="546"/>
      <c r="O999" s="546"/>
      <c r="P999" s="546"/>
      <c r="Q999" s="546"/>
      <c r="R999" s="546"/>
      <c r="S999" s="547"/>
      <c r="T999" s="547"/>
    </row>
    <row r="1000">
      <c r="A1000" s="548"/>
      <c r="B1000" s="548"/>
      <c r="C1000" s="548"/>
      <c r="D1000" s="548"/>
      <c r="E1000" s="548"/>
      <c r="F1000" s="548"/>
      <c r="G1000" s="548"/>
      <c r="H1000" s="548"/>
      <c r="I1000" s="548"/>
      <c r="J1000" s="548"/>
      <c r="K1000" s="548"/>
      <c r="L1000" s="548"/>
      <c r="M1000" s="549"/>
      <c r="N1000" s="546"/>
      <c r="O1000" s="546"/>
      <c r="P1000" s="546"/>
      <c r="Q1000" s="546"/>
      <c r="R1000" s="546"/>
      <c r="S1000" s="547"/>
      <c r="T1000" s="547"/>
    </row>
  </sheetData>
  <mergeCells count="895">
    <mergeCell ref="Q3:R3"/>
    <mergeCell ref="S3:T3"/>
    <mergeCell ref="O4:P4"/>
    <mergeCell ref="Q4:R4"/>
    <mergeCell ref="O3:P3"/>
    <mergeCell ref="O5:P5"/>
    <mergeCell ref="Q5:R5"/>
    <mergeCell ref="S5:T5"/>
    <mergeCell ref="O6:P6"/>
    <mergeCell ref="Q6:R6"/>
    <mergeCell ref="S6:T6"/>
    <mergeCell ref="O7:P7"/>
    <mergeCell ref="Q7:R7"/>
    <mergeCell ref="S7:T7"/>
    <mergeCell ref="O8:P8"/>
    <mergeCell ref="Q8:R8"/>
    <mergeCell ref="S8:T8"/>
    <mergeCell ref="O9:P9"/>
    <mergeCell ref="Q9:R9"/>
    <mergeCell ref="S9:T9"/>
    <mergeCell ref="O10:P10"/>
    <mergeCell ref="Q10:R10"/>
    <mergeCell ref="S10:T10"/>
    <mergeCell ref="O11:P11"/>
    <mergeCell ref="Q11:R11"/>
    <mergeCell ref="S11:T11"/>
    <mergeCell ref="O12:P12"/>
    <mergeCell ref="Q12:R12"/>
    <mergeCell ref="S12:T12"/>
    <mergeCell ref="O13:P13"/>
    <mergeCell ref="Q13:R13"/>
    <mergeCell ref="S13:T13"/>
    <mergeCell ref="O14:P14"/>
    <mergeCell ref="Q14:R14"/>
    <mergeCell ref="O16:P16"/>
    <mergeCell ref="Q16:R16"/>
    <mergeCell ref="S14:T14"/>
    <mergeCell ref="O15:P15"/>
    <mergeCell ref="Q15:R15"/>
    <mergeCell ref="S15:T15"/>
    <mergeCell ref="S16:T16"/>
    <mergeCell ref="O17:P17"/>
    <mergeCell ref="Q17:R17"/>
    <mergeCell ref="S17:T17"/>
    <mergeCell ref="O18:P18"/>
    <mergeCell ref="Q18:R18"/>
    <mergeCell ref="S18:T18"/>
    <mergeCell ref="O19:P19"/>
    <mergeCell ref="Q19:R19"/>
    <mergeCell ref="S19:T19"/>
    <mergeCell ref="O20:P20"/>
    <mergeCell ref="Q20:R20"/>
    <mergeCell ref="S20:T20"/>
    <mergeCell ref="O21:P21"/>
    <mergeCell ref="Q21:R21"/>
    <mergeCell ref="S21:T21"/>
    <mergeCell ref="O22:P22"/>
    <mergeCell ref="Q22:R22"/>
    <mergeCell ref="S22:T22"/>
    <mergeCell ref="O23:P23"/>
    <mergeCell ref="Q23:R23"/>
    <mergeCell ref="S23:T23"/>
    <mergeCell ref="O24:P24"/>
    <mergeCell ref="Q24:R24"/>
    <mergeCell ref="S24:T24"/>
    <mergeCell ref="O25:P25"/>
    <mergeCell ref="Q25:R25"/>
    <mergeCell ref="S25:T25"/>
    <mergeCell ref="O26:P26"/>
    <mergeCell ref="Q26:R26"/>
    <mergeCell ref="S26:T26"/>
    <mergeCell ref="O27:P27"/>
    <mergeCell ref="Q27:R27"/>
    <mergeCell ref="S27:T27"/>
    <mergeCell ref="O28:P28"/>
    <mergeCell ref="Q28:R28"/>
    <mergeCell ref="O30:P30"/>
    <mergeCell ref="Q30:R30"/>
    <mergeCell ref="S28:T28"/>
    <mergeCell ref="O29:P29"/>
    <mergeCell ref="Q29:R29"/>
    <mergeCell ref="S29:T29"/>
    <mergeCell ref="S30:T30"/>
    <mergeCell ref="O31:P31"/>
    <mergeCell ref="Q31:R31"/>
    <mergeCell ref="S31:T31"/>
    <mergeCell ref="O32:P32"/>
    <mergeCell ref="Q32:R32"/>
    <mergeCell ref="S32:T32"/>
    <mergeCell ref="O33:P33"/>
    <mergeCell ref="Q33:R33"/>
    <mergeCell ref="S33:T33"/>
    <mergeCell ref="O34:P34"/>
    <mergeCell ref="Q34:R34"/>
    <mergeCell ref="S34:T34"/>
    <mergeCell ref="O35:P35"/>
    <mergeCell ref="Q35:R35"/>
    <mergeCell ref="S35:T35"/>
    <mergeCell ref="O36:P36"/>
    <mergeCell ref="Q36:R36"/>
    <mergeCell ref="S36:T36"/>
    <mergeCell ref="O37:P37"/>
    <mergeCell ref="Q37:R37"/>
    <mergeCell ref="S37:T37"/>
    <mergeCell ref="O38:P38"/>
    <mergeCell ref="Q38:R38"/>
    <mergeCell ref="S38:T38"/>
    <mergeCell ref="O39:P39"/>
    <mergeCell ref="Q39:R39"/>
    <mergeCell ref="S39:T39"/>
    <mergeCell ref="O40:P40"/>
    <mergeCell ref="Q40:R40"/>
    <mergeCell ref="S40:T40"/>
    <mergeCell ref="O41:P41"/>
    <mergeCell ref="Q41:R41"/>
    <mergeCell ref="S41:T41"/>
    <mergeCell ref="O42:P42"/>
    <mergeCell ref="Q42:R42"/>
    <mergeCell ref="O44:P44"/>
    <mergeCell ref="Q44:R44"/>
    <mergeCell ref="S42:T42"/>
    <mergeCell ref="O43:P43"/>
    <mergeCell ref="Q43:R43"/>
    <mergeCell ref="S43:T43"/>
    <mergeCell ref="S44:T44"/>
    <mergeCell ref="O45:P45"/>
    <mergeCell ref="Q45:R45"/>
    <mergeCell ref="S45:T45"/>
    <mergeCell ref="O46:P46"/>
    <mergeCell ref="Q46:R46"/>
    <mergeCell ref="S46:T46"/>
    <mergeCell ref="O47:P47"/>
    <mergeCell ref="Q47:R47"/>
    <mergeCell ref="S47:T47"/>
    <mergeCell ref="O48:P48"/>
    <mergeCell ref="Q48:R48"/>
    <mergeCell ref="S48:T48"/>
    <mergeCell ref="O49:P49"/>
    <mergeCell ref="Q49:R49"/>
    <mergeCell ref="S49:T49"/>
    <mergeCell ref="O50:P50"/>
    <mergeCell ref="Q50:R50"/>
    <mergeCell ref="S50:T50"/>
    <mergeCell ref="O51:P51"/>
    <mergeCell ref="Q51:R51"/>
    <mergeCell ref="S51:T51"/>
    <mergeCell ref="O52:P52"/>
    <mergeCell ref="Q52:R52"/>
    <mergeCell ref="S52:T52"/>
    <mergeCell ref="O53:P53"/>
    <mergeCell ref="Q53:R53"/>
    <mergeCell ref="S53:T53"/>
    <mergeCell ref="O54:P54"/>
    <mergeCell ref="Q54:R54"/>
    <mergeCell ref="S54:T54"/>
    <mergeCell ref="O55:P55"/>
    <mergeCell ref="Q55:R55"/>
    <mergeCell ref="S55:T55"/>
    <mergeCell ref="O56:P56"/>
    <mergeCell ref="Q56:R56"/>
    <mergeCell ref="O58:P58"/>
    <mergeCell ref="Q58:R58"/>
    <mergeCell ref="S56:T56"/>
    <mergeCell ref="O57:P57"/>
    <mergeCell ref="Q57:R57"/>
    <mergeCell ref="S57:T57"/>
    <mergeCell ref="S58:T58"/>
    <mergeCell ref="O59:P59"/>
    <mergeCell ref="Q59:R59"/>
    <mergeCell ref="S59:T59"/>
    <mergeCell ref="O60:P60"/>
    <mergeCell ref="Q60:R60"/>
    <mergeCell ref="S60:T60"/>
    <mergeCell ref="O61:P61"/>
    <mergeCell ref="Q61:R61"/>
    <mergeCell ref="S61:T61"/>
    <mergeCell ref="O62:P62"/>
    <mergeCell ref="Q62:R62"/>
    <mergeCell ref="S62:T62"/>
    <mergeCell ref="O63:P63"/>
    <mergeCell ref="Q63:R63"/>
    <mergeCell ref="S63:T63"/>
    <mergeCell ref="O64:P64"/>
    <mergeCell ref="Q64:R64"/>
    <mergeCell ref="S64:T64"/>
    <mergeCell ref="O65:P65"/>
    <mergeCell ref="Q65:R65"/>
    <mergeCell ref="S65:T65"/>
    <mergeCell ref="O66:P66"/>
    <mergeCell ref="Q66:R66"/>
    <mergeCell ref="S66:T66"/>
    <mergeCell ref="O67:P67"/>
    <mergeCell ref="Q67:R67"/>
    <mergeCell ref="S67:T67"/>
    <mergeCell ref="O68:P68"/>
    <mergeCell ref="Q68:R68"/>
    <mergeCell ref="S68:T68"/>
    <mergeCell ref="O69:P69"/>
    <mergeCell ref="Q69:R69"/>
    <mergeCell ref="S69:T69"/>
    <mergeCell ref="O70:P70"/>
    <mergeCell ref="Q70:R70"/>
    <mergeCell ref="O72:P72"/>
    <mergeCell ref="Q72:R72"/>
    <mergeCell ref="S70:T70"/>
    <mergeCell ref="O71:P71"/>
    <mergeCell ref="Q71:R71"/>
    <mergeCell ref="S71:T71"/>
    <mergeCell ref="S72:T72"/>
    <mergeCell ref="O73:P73"/>
    <mergeCell ref="Q73:R73"/>
    <mergeCell ref="S73:T73"/>
    <mergeCell ref="O74:P74"/>
    <mergeCell ref="Q74:R74"/>
    <mergeCell ref="S74:T74"/>
    <mergeCell ref="O75:P75"/>
    <mergeCell ref="Q75:R75"/>
    <mergeCell ref="S75:T75"/>
    <mergeCell ref="O76:P76"/>
    <mergeCell ref="Q76:R76"/>
    <mergeCell ref="S76:T76"/>
    <mergeCell ref="O77:P77"/>
    <mergeCell ref="Q77:R77"/>
    <mergeCell ref="S77:T77"/>
    <mergeCell ref="O78:P78"/>
    <mergeCell ref="Q78:R78"/>
    <mergeCell ref="S78:T78"/>
    <mergeCell ref="O79:P79"/>
    <mergeCell ref="Q79:R79"/>
    <mergeCell ref="S79:T79"/>
    <mergeCell ref="O80:P80"/>
    <mergeCell ref="Q80:R80"/>
    <mergeCell ref="S80:T80"/>
    <mergeCell ref="O81:P81"/>
    <mergeCell ref="Q81:R81"/>
    <mergeCell ref="S81:T81"/>
    <mergeCell ref="O82:P82"/>
    <mergeCell ref="Q82:R82"/>
    <mergeCell ref="S82:T82"/>
    <mergeCell ref="O83:P83"/>
    <mergeCell ref="Q83:R83"/>
    <mergeCell ref="S83:T83"/>
    <mergeCell ref="O84:P84"/>
    <mergeCell ref="Q84:R84"/>
    <mergeCell ref="O86:P86"/>
    <mergeCell ref="Q86:R86"/>
    <mergeCell ref="S84:T84"/>
    <mergeCell ref="O85:P85"/>
    <mergeCell ref="Q85:R85"/>
    <mergeCell ref="S85:T85"/>
    <mergeCell ref="S86:T86"/>
    <mergeCell ref="O87:P87"/>
    <mergeCell ref="Q87:R87"/>
    <mergeCell ref="S87:T87"/>
    <mergeCell ref="O88:P88"/>
    <mergeCell ref="Q88:R88"/>
    <mergeCell ref="S88:T88"/>
    <mergeCell ref="O89:P89"/>
    <mergeCell ref="Q89:R89"/>
    <mergeCell ref="S89:T89"/>
    <mergeCell ref="O90:P90"/>
    <mergeCell ref="Q90:R90"/>
    <mergeCell ref="S90:T90"/>
    <mergeCell ref="O91:P91"/>
    <mergeCell ref="Q91:R91"/>
    <mergeCell ref="S91:T91"/>
    <mergeCell ref="O92:P92"/>
    <mergeCell ref="Q92:R92"/>
    <mergeCell ref="S92:T92"/>
    <mergeCell ref="O93:P93"/>
    <mergeCell ref="Q93:R93"/>
    <mergeCell ref="S93:T93"/>
    <mergeCell ref="O94:P94"/>
    <mergeCell ref="Q94:R94"/>
    <mergeCell ref="S94:T94"/>
    <mergeCell ref="O95:P95"/>
    <mergeCell ref="Q95:R95"/>
    <mergeCell ref="S95:T95"/>
    <mergeCell ref="O96:P96"/>
    <mergeCell ref="Q96:R96"/>
    <mergeCell ref="S96:T96"/>
    <mergeCell ref="O97:P97"/>
    <mergeCell ref="Q97:R97"/>
    <mergeCell ref="S97:T97"/>
    <mergeCell ref="O98:P98"/>
    <mergeCell ref="Q98:R98"/>
    <mergeCell ref="O100:P100"/>
    <mergeCell ref="Q100:R100"/>
    <mergeCell ref="S98:T98"/>
    <mergeCell ref="O99:P99"/>
    <mergeCell ref="Q99:R99"/>
    <mergeCell ref="S99:T99"/>
    <mergeCell ref="S100:T100"/>
    <mergeCell ref="O101:P101"/>
    <mergeCell ref="Q101:R101"/>
    <mergeCell ref="S101:T101"/>
    <mergeCell ref="O102:P102"/>
    <mergeCell ref="Q102:R102"/>
    <mergeCell ref="S102:T102"/>
    <mergeCell ref="O103:P103"/>
    <mergeCell ref="Q103:R103"/>
    <mergeCell ref="S103:T103"/>
    <mergeCell ref="O104:P104"/>
    <mergeCell ref="Q104:R104"/>
    <mergeCell ref="S104:T104"/>
    <mergeCell ref="O105:P105"/>
    <mergeCell ref="Q105:R105"/>
    <mergeCell ref="S105:T105"/>
    <mergeCell ref="O106:P106"/>
    <mergeCell ref="Q106:R106"/>
    <mergeCell ref="S106:T106"/>
    <mergeCell ref="O107:P107"/>
    <mergeCell ref="Q107:R107"/>
    <mergeCell ref="S107:T107"/>
    <mergeCell ref="O108:P108"/>
    <mergeCell ref="Q108:R108"/>
    <mergeCell ref="S108:T108"/>
    <mergeCell ref="O109:P109"/>
    <mergeCell ref="Q109:R109"/>
    <mergeCell ref="S109:T109"/>
    <mergeCell ref="O110:P110"/>
    <mergeCell ref="Q110:R110"/>
    <mergeCell ref="S110:T110"/>
    <mergeCell ref="O111:P111"/>
    <mergeCell ref="Q111:R111"/>
    <mergeCell ref="S111:T111"/>
    <mergeCell ref="O112:P112"/>
    <mergeCell ref="Q112:R112"/>
    <mergeCell ref="O114:P114"/>
    <mergeCell ref="Q114:R114"/>
    <mergeCell ref="S112:T112"/>
    <mergeCell ref="O113:P113"/>
    <mergeCell ref="Q113:R113"/>
    <mergeCell ref="S113:T113"/>
    <mergeCell ref="S114:T114"/>
    <mergeCell ref="O115:P115"/>
    <mergeCell ref="Q115:R115"/>
    <mergeCell ref="S115:T115"/>
    <mergeCell ref="O116:P116"/>
    <mergeCell ref="Q116:R116"/>
    <mergeCell ref="S116:T116"/>
    <mergeCell ref="O117:P117"/>
    <mergeCell ref="Q117:R117"/>
    <mergeCell ref="S117:T117"/>
    <mergeCell ref="O118:P118"/>
    <mergeCell ref="Q118:R118"/>
    <mergeCell ref="S118:T118"/>
    <mergeCell ref="O119:P119"/>
    <mergeCell ref="Q119:R119"/>
    <mergeCell ref="S119:T119"/>
    <mergeCell ref="O120:P120"/>
    <mergeCell ref="Q120:R120"/>
    <mergeCell ref="S120:T120"/>
    <mergeCell ref="O121:P121"/>
    <mergeCell ref="Q121:R121"/>
    <mergeCell ref="S121:T121"/>
    <mergeCell ref="O122:P122"/>
    <mergeCell ref="Q122:R122"/>
    <mergeCell ref="S122:T122"/>
    <mergeCell ref="O123:P123"/>
    <mergeCell ref="Q123:R123"/>
    <mergeCell ref="S123:T123"/>
    <mergeCell ref="O124:P124"/>
    <mergeCell ref="Q124:R124"/>
    <mergeCell ref="S124:T124"/>
    <mergeCell ref="O125:P125"/>
    <mergeCell ref="Q125:R125"/>
    <mergeCell ref="S125:T125"/>
    <mergeCell ref="O126:P126"/>
    <mergeCell ref="Q126:R126"/>
    <mergeCell ref="O128:P128"/>
    <mergeCell ref="Q128:R128"/>
    <mergeCell ref="S126:T126"/>
    <mergeCell ref="O127:P127"/>
    <mergeCell ref="Q127:R127"/>
    <mergeCell ref="S127:T127"/>
    <mergeCell ref="S128:T128"/>
    <mergeCell ref="O129:P129"/>
    <mergeCell ref="Q129:R129"/>
    <mergeCell ref="S129:T129"/>
    <mergeCell ref="O130:P130"/>
    <mergeCell ref="Q130:R130"/>
    <mergeCell ref="S130:T130"/>
    <mergeCell ref="O131:P131"/>
    <mergeCell ref="Q131:R131"/>
    <mergeCell ref="S131:T131"/>
    <mergeCell ref="O132:P132"/>
    <mergeCell ref="Q132:R132"/>
    <mergeCell ref="S132:T132"/>
    <mergeCell ref="O133:P133"/>
    <mergeCell ref="Q133:R133"/>
    <mergeCell ref="S133:T133"/>
    <mergeCell ref="O134:P134"/>
    <mergeCell ref="Q134:R134"/>
    <mergeCell ref="S134:T134"/>
    <mergeCell ref="O135:P135"/>
    <mergeCell ref="Q135:R135"/>
    <mergeCell ref="S135:T135"/>
    <mergeCell ref="O136:P136"/>
    <mergeCell ref="Q136:R136"/>
    <mergeCell ref="S136:T136"/>
    <mergeCell ref="O137:P137"/>
    <mergeCell ref="Q137:R137"/>
    <mergeCell ref="S137:T137"/>
    <mergeCell ref="O138:P138"/>
    <mergeCell ref="Q138:R138"/>
    <mergeCell ref="S138:T138"/>
    <mergeCell ref="O139:P139"/>
    <mergeCell ref="Q139:R139"/>
    <mergeCell ref="S139:T139"/>
    <mergeCell ref="O140:P140"/>
    <mergeCell ref="Q140:R140"/>
    <mergeCell ref="O142:P142"/>
    <mergeCell ref="Q142:R142"/>
    <mergeCell ref="S140:T140"/>
    <mergeCell ref="O141:P141"/>
    <mergeCell ref="Q141:R141"/>
    <mergeCell ref="S141:T141"/>
    <mergeCell ref="S142:T142"/>
    <mergeCell ref="O143:P143"/>
    <mergeCell ref="Q143:R143"/>
    <mergeCell ref="S143:T143"/>
    <mergeCell ref="O144:P144"/>
    <mergeCell ref="Q144:R144"/>
    <mergeCell ref="S144:T144"/>
    <mergeCell ref="O145:P145"/>
    <mergeCell ref="Q145:R145"/>
    <mergeCell ref="S145:T145"/>
    <mergeCell ref="O146:P146"/>
    <mergeCell ref="Q146:R146"/>
    <mergeCell ref="S146:T146"/>
    <mergeCell ref="O147:P147"/>
    <mergeCell ref="Q147:R147"/>
    <mergeCell ref="S147:T147"/>
    <mergeCell ref="O148:P148"/>
    <mergeCell ref="Q148:R148"/>
    <mergeCell ref="S148:T148"/>
    <mergeCell ref="O149:P149"/>
    <mergeCell ref="Q149:R149"/>
    <mergeCell ref="S149:T149"/>
    <mergeCell ref="O150:P150"/>
    <mergeCell ref="Q150:R150"/>
    <mergeCell ref="S150:T150"/>
    <mergeCell ref="O151:P151"/>
    <mergeCell ref="Q151:R151"/>
    <mergeCell ref="S151:T151"/>
    <mergeCell ref="O152:P152"/>
    <mergeCell ref="Q152:R152"/>
    <mergeCell ref="S152:T152"/>
    <mergeCell ref="O153:P153"/>
    <mergeCell ref="Q153:R153"/>
    <mergeCell ref="S153:T153"/>
    <mergeCell ref="O154:P154"/>
    <mergeCell ref="Q154:R154"/>
    <mergeCell ref="O156:P156"/>
    <mergeCell ref="Q156:R156"/>
    <mergeCell ref="S154:T154"/>
    <mergeCell ref="O155:P155"/>
    <mergeCell ref="Q155:R155"/>
    <mergeCell ref="S155:T155"/>
    <mergeCell ref="S156:T156"/>
    <mergeCell ref="O157:P157"/>
    <mergeCell ref="Q157:R157"/>
    <mergeCell ref="S157:T157"/>
    <mergeCell ref="O158:P158"/>
    <mergeCell ref="Q158:R158"/>
    <mergeCell ref="S158:T158"/>
    <mergeCell ref="O159:P159"/>
    <mergeCell ref="Q159:R159"/>
    <mergeCell ref="S159:T159"/>
    <mergeCell ref="O160:P160"/>
    <mergeCell ref="Q160:R160"/>
    <mergeCell ref="S160:T160"/>
    <mergeCell ref="O161:P161"/>
    <mergeCell ref="Q161:R161"/>
    <mergeCell ref="S161:T161"/>
    <mergeCell ref="O162:P162"/>
    <mergeCell ref="Q162:R162"/>
    <mergeCell ref="S162:T162"/>
    <mergeCell ref="O163:P163"/>
    <mergeCell ref="Q163:R163"/>
    <mergeCell ref="S163:T163"/>
    <mergeCell ref="O164:P164"/>
    <mergeCell ref="Q164:R164"/>
    <mergeCell ref="S164:T164"/>
    <mergeCell ref="O165:P165"/>
    <mergeCell ref="Q165:R165"/>
    <mergeCell ref="S165:T165"/>
    <mergeCell ref="O166:P166"/>
    <mergeCell ref="Q166:R166"/>
    <mergeCell ref="S166:T166"/>
    <mergeCell ref="O167:P167"/>
    <mergeCell ref="Q167:R167"/>
    <mergeCell ref="S167:T167"/>
    <mergeCell ref="O168:P168"/>
    <mergeCell ref="Q168:R168"/>
    <mergeCell ref="O170:P170"/>
    <mergeCell ref="Q170:R170"/>
    <mergeCell ref="S168:T168"/>
    <mergeCell ref="O169:P169"/>
    <mergeCell ref="Q169:R169"/>
    <mergeCell ref="S169:T169"/>
    <mergeCell ref="S170:T170"/>
    <mergeCell ref="O171:P171"/>
    <mergeCell ref="Q171:R171"/>
    <mergeCell ref="S171:T171"/>
    <mergeCell ref="O172:P172"/>
    <mergeCell ref="Q172:R172"/>
    <mergeCell ref="S172:T172"/>
    <mergeCell ref="O173:P173"/>
    <mergeCell ref="Q173:R173"/>
    <mergeCell ref="S173:T173"/>
    <mergeCell ref="O174:P174"/>
    <mergeCell ref="Q174:R174"/>
    <mergeCell ref="S174:T174"/>
    <mergeCell ref="O175:P175"/>
    <mergeCell ref="Q175:R175"/>
    <mergeCell ref="S175:T175"/>
    <mergeCell ref="O176:P176"/>
    <mergeCell ref="Q176:R176"/>
    <mergeCell ref="S176:T176"/>
    <mergeCell ref="O177:P177"/>
    <mergeCell ref="Q177:R177"/>
    <mergeCell ref="S177:T177"/>
    <mergeCell ref="O178:P178"/>
    <mergeCell ref="Q178:R178"/>
    <mergeCell ref="S178:T178"/>
    <mergeCell ref="O179:P179"/>
    <mergeCell ref="Q179:R179"/>
    <mergeCell ref="S179:T179"/>
    <mergeCell ref="O180:P180"/>
    <mergeCell ref="Q180:R180"/>
    <mergeCell ref="S180:T180"/>
    <mergeCell ref="O181:P181"/>
    <mergeCell ref="Q181:R181"/>
    <mergeCell ref="S181:T181"/>
    <mergeCell ref="O182:P182"/>
    <mergeCell ref="Q182:R182"/>
    <mergeCell ref="O184:P184"/>
    <mergeCell ref="Q184:R184"/>
    <mergeCell ref="S182:T182"/>
    <mergeCell ref="O183:P183"/>
    <mergeCell ref="Q183:R183"/>
    <mergeCell ref="S183:T183"/>
    <mergeCell ref="S184:T184"/>
    <mergeCell ref="O185:P185"/>
    <mergeCell ref="Q185:R185"/>
    <mergeCell ref="S185:T185"/>
    <mergeCell ref="O186:P186"/>
    <mergeCell ref="Q186:R186"/>
    <mergeCell ref="S186:T186"/>
    <mergeCell ref="O187:P187"/>
    <mergeCell ref="Q187:R187"/>
    <mergeCell ref="S187:T187"/>
    <mergeCell ref="O188:P188"/>
    <mergeCell ref="Q188:R188"/>
    <mergeCell ref="S188:T188"/>
    <mergeCell ref="O189:P189"/>
    <mergeCell ref="Q189:R189"/>
    <mergeCell ref="S189:T189"/>
    <mergeCell ref="O190:P190"/>
    <mergeCell ref="Q190:R190"/>
    <mergeCell ref="S190:T190"/>
    <mergeCell ref="O191:P191"/>
    <mergeCell ref="Q191:R191"/>
    <mergeCell ref="S191:T191"/>
    <mergeCell ref="O192:P192"/>
    <mergeCell ref="Q192:R192"/>
    <mergeCell ref="S192:T192"/>
    <mergeCell ref="O193:P193"/>
    <mergeCell ref="Q193:R193"/>
    <mergeCell ref="S193:T193"/>
    <mergeCell ref="O194:P194"/>
    <mergeCell ref="Q194:R194"/>
    <mergeCell ref="S194:T194"/>
    <mergeCell ref="O195:P195"/>
    <mergeCell ref="Q195:R195"/>
    <mergeCell ref="S195:T195"/>
    <mergeCell ref="O196:P196"/>
    <mergeCell ref="Q196:R196"/>
    <mergeCell ref="O198:P198"/>
    <mergeCell ref="Q198:R198"/>
    <mergeCell ref="S196:T196"/>
    <mergeCell ref="O197:P197"/>
    <mergeCell ref="Q197:R197"/>
    <mergeCell ref="S197:T197"/>
    <mergeCell ref="S198:T198"/>
    <mergeCell ref="O199:P199"/>
    <mergeCell ref="Q199:R199"/>
    <mergeCell ref="S199:T199"/>
    <mergeCell ref="O200:P200"/>
    <mergeCell ref="Q200:R200"/>
    <mergeCell ref="S200:T200"/>
    <mergeCell ref="O201:P201"/>
    <mergeCell ref="Q201:R201"/>
    <mergeCell ref="S201:T201"/>
    <mergeCell ref="O202:P202"/>
    <mergeCell ref="Q202:R202"/>
    <mergeCell ref="O204:P204"/>
    <mergeCell ref="S204:T204"/>
    <mergeCell ref="O205:P205"/>
    <mergeCell ref="S205:T205"/>
    <mergeCell ref="O206:P206"/>
    <mergeCell ref="S206:T206"/>
    <mergeCell ref="O207:P207"/>
    <mergeCell ref="S207:T207"/>
    <mergeCell ref="O208:P208"/>
    <mergeCell ref="S208:T208"/>
    <mergeCell ref="O209:P209"/>
    <mergeCell ref="S209:T209"/>
    <mergeCell ref="O210:P210"/>
    <mergeCell ref="S210:T210"/>
    <mergeCell ref="O211:P211"/>
    <mergeCell ref="S211:T211"/>
    <mergeCell ref="O212:P212"/>
    <mergeCell ref="S212:T212"/>
    <mergeCell ref="O213:P213"/>
    <mergeCell ref="S213:T213"/>
    <mergeCell ref="O214:P214"/>
    <mergeCell ref="S214:T214"/>
    <mergeCell ref="O215:P215"/>
    <mergeCell ref="S215:T215"/>
    <mergeCell ref="O216:P216"/>
    <mergeCell ref="S216:T216"/>
    <mergeCell ref="O217:P217"/>
    <mergeCell ref="S217:T217"/>
    <mergeCell ref="O218:P218"/>
    <mergeCell ref="S218:T218"/>
    <mergeCell ref="O219:P219"/>
    <mergeCell ref="S219:T219"/>
    <mergeCell ref="O220:P220"/>
    <mergeCell ref="S220:T220"/>
    <mergeCell ref="O221:P221"/>
    <mergeCell ref="S221:T221"/>
    <mergeCell ref="O222:P222"/>
    <mergeCell ref="S222:T222"/>
    <mergeCell ref="O223:P223"/>
    <mergeCell ref="S223:T223"/>
    <mergeCell ref="O224:P224"/>
    <mergeCell ref="S224:T224"/>
    <mergeCell ref="O225:P225"/>
    <mergeCell ref="S225:T225"/>
    <mergeCell ref="O226:P226"/>
    <mergeCell ref="S226:T226"/>
    <mergeCell ref="O227:P227"/>
    <mergeCell ref="S227:T227"/>
    <mergeCell ref="O228:P228"/>
    <mergeCell ref="S228:T228"/>
    <mergeCell ref="O229:P229"/>
    <mergeCell ref="S229:T229"/>
    <mergeCell ref="O230:P230"/>
    <mergeCell ref="S230:T230"/>
    <mergeCell ref="O231:P231"/>
    <mergeCell ref="S231:T231"/>
    <mergeCell ref="O232:P232"/>
    <mergeCell ref="S232:T232"/>
    <mergeCell ref="O233:P233"/>
    <mergeCell ref="S233:T233"/>
    <mergeCell ref="O234:P234"/>
    <mergeCell ref="S234:T234"/>
    <mergeCell ref="O235:P235"/>
    <mergeCell ref="S235:T235"/>
    <mergeCell ref="O236:P236"/>
    <mergeCell ref="S236:T236"/>
    <mergeCell ref="O237:P237"/>
    <mergeCell ref="S237:T237"/>
    <mergeCell ref="O238:P238"/>
    <mergeCell ref="S238:T238"/>
    <mergeCell ref="O239:P239"/>
    <mergeCell ref="S239:T239"/>
    <mergeCell ref="O240:P240"/>
    <mergeCell ref="S240:T240"/>
    <mergeCell ref="O241:P241"/>
    <mergeCell ref="S241:T241"/>
    <mergeCell ref="O242:P242"/>
    <mergeCell ref="S242:T242"/>
    <mergeCell ref="O243:P243"/>
    <mergeCell ref="S243:T243"/>
    <mergeCell ref="O244:P244"/>
    <mergeCell ref="S244:T244"/>
    <mergeCell ref="O245:P245"/>
    <mergeCell ref="S245:T245"/>
    <mergeCell ref="O246:P246"/>
    <mergeCell ref="S246:T246"/>
    <mergeCell ref="O247:P247"/>
    <mergeCell ref="S247:T247"/>
    <mergeCell ref="O338:P338"/>
    <mergeCell ref="O339:P339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0:P360"/>
    <mergeCell ref="O361:P361"/>
    <mergeCell ref="O362:P362"/>
    <mergeCell ref="O363:P363"/>
    <mergeCell ref="O364:P364"/>
    <mergeCell ref="O365:P365"/>
    <mergeCell ref="O366:P366"/>
    <mergeCell ref="O367:P367"/>
    <mergeCell ref="O368:P368"/>
    <mergeCell ref="O369:P369"/>
    <mergeCell ref="O370:P370"/>
    <mergeCell ref="O371:P371"/>
    <mergeCell ref="O372:P372"/>
    <mergeCell ref="O373:P373"/>
    <mergeCell ref="O374:P374"/>
    <mergeCell ref="O375:P375"/>
    <mergeCell ref="O376:P376"/>
    <mergeCell ref="O377:P377"/>
    <mergeCell ref="O378:P378"/>
    <mergeCell ref="O379:P379"/>
    <mergeCell ref="O380:P380"/>
    <mergeCell ref="O381:P381"/>
    <mergeCell ref="O382:P382"/>
    <mergeCell ref="O383:P383"/>
    <mergeCell ref="O384:P384"/>
    <mergeCell ref="O385:P385"/>
    <mergeCell ref="O386:P386"/>
    <mergeCell ref="O387:P387"/>
    <mergeCell ref="O388:P388"/>
    <mergeCell ref="O389:P389"/>
    <mergeCell ref="O390:P390"/>
    <mergeCell ref="O391:P391"/>
    <mergeCell ref="O392:P392"/>
    <mergeCell ref="O393:P393"/>
    <mergeCell ref="O394:P394"/>
    <mergeCell ref="O395:P395"/>
    <mergeCell ref="O396:P396"/>
    <mergeCell ref="O397:P397"/>
    <mergeCell ref="O398:P398"/>
    <mergeCell ref="O399:P399"/>
    <mergeCell ref="O400:P400"/>
    <mergeCell ref="O401:P401"/>
    <mergeCell ref="O402:P402"/>
    <mergeCell ref="O403:P403"/>
    <mergeCell ref="O404:P404"/>
    <mergeCell ref="O405:P405"/>
    <mergeCell ref="O406:P406"/>
    <mergeCell ref="O407:P407"/>
    <mergeCell ref="O408:P408"/>
    <mergeCell ref="O409:P409"/>
    <mergeCell ref="O410:P410"/>
    <mergeCell ref="O411:P411"/>
    <mergeCell ref="O412:P412"/>
    <mergeCell ref="O413:P413"/>
    <mergeCell ref="O414:P414"/>
    <mergeCell ref="O415:P415"/>
    <mergeCell ref="O416:P416"/>
    <mergeCell ref="O417:P417"/>
    <mergeCell ref="O418:P418"/>
    <mergeCell ref="O419:P419"/>
    <mergeCell ref="O420:P420"/>
    <mergeCell ref="O421:P421"/>
    <mergeCell ref="S202:T202"/>
    <mergeCell ref="O203:P203"/>
    <mergeCell ref="S203:T203"/>
    <mergeCell ref="O436:P436"/>
    <mergeCell ref="O437:P437"/>
    <mergeCell ref="A1:L1"/>
    <mergeCell ref="N1:T1"/>
    <mergeCell ref="U1:AB1000"/>
    <mergeCell ref="O2:P2"/>
    <mergeCell ref="Q2:R2"/>
    <mergeCell ref="S2:T2"/>
    <mergeCell ref="S4:T4"/>
    <mergeCell ref="O438:P438"/>
    <mergeCell ref="O422:P422"/>
    <mergeCell ref="O423:P423"/>
    <mergeCell ref="O424:P424"/>
    <mergeCell ref="O425:P425"/>
    <mergeCell ref="O426:P426"/>
    <mergeCell ref="O427:P427"/>
    <mergeCell ref="O428:P428"/>
    <mergeCell ref="O429:P429"/>
    <mergeCell ref="O430:P430"/>
    <mergeCell ref="O431:P431"/>
    <mergeCell ref="O432:P432"/>
    <mergeCell ref="O433:P433"/>
    <mergeCell ref="O434:P434"/>
    <mergeCell ref="O435:P435"/>
    <mergeCell ref="O248:P248"/>
    <mergeCell ref="S248:T248"/>
    <mergeCell ref="O249:P249"/>
    <mergeCell ref="S249:T249"/>
    <mergeCell ref="O250:P250"/>
    <mergeCell ref="S250:T250"/>
    <mergeCell ref="O251:P251"/>
    <mergeCell ref="S251:T251"/>
    <mergeCell ref="O252:P252"/>
    <mergeCell ref="S252:T252"/>
    <mergeCell ref="O253:P253"/>
    <mergeCell ref="S253:T253"/>
    <mergeCell ref="O254:P254"/>
    <mergeCell ref="S254:T254"/>
    <mergeCell ref="O255:P255"/>
    <mergeCell ref="S255:T255"/>
    <mergeCell ref="O256:P256"/>
    <mergeCell ref="O257:P257"/>
    <mergeCell ref="O258:P258"/>
    <mergeCell ref="O259:P259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0:P330"/>
    <mergeCell ref="O331:P331"/>
    <mergeCell ref="O332:P332"/>
    <mergeCell ref="O333:P333"/>
    <mergeCell ref="O334:P334"/>
    <mergeCell ref="O335:P335"/>
    <mergeCell ref="O336:P336"/>
    <mergeCell ref="O337:P337"/>
  </mergeCells>
  <conditionalFormatting sqref="A1:L1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6" max="6" width="13.75"/>
    <col customWidth="1" min="7" max="8" width="13.5"/>
    <col customWidth="1" min="9" max="10" width="14.13"/>
    <col customWidth="1" min="15" max="15" width="10.88"/>
    <col customWidth="1" min="16" max="16" width="5.75"/>
    <col customWidth="1" min="17" max="17" width="8.63"/>
    <col customWidth="1" min="18" max="18" width="10.75"/>
    <col customWidth="1" min="19" max="19" width="6.88"/>
    <col customWidth="1" min="20" max="20" width="30.5"/>
  </cols>
  <sheetData>
    <row r="1">
      <c r="A1" s="550"/>
      <c r="U1" s="550"/>
    </row>
    <row r="2">
      <c r="A2" s="449" t="s">
        <v>151</v>
      </c>
      <c r="B2" s="362"/>
      <c r="C2" s="362"/>
      <c r="D2" s="362"/>
      <c r="E2" s="362"/>
      <c r="F2" s="362"/>
      <c r="G2" s="362"/>
      <c r="H2" s="362"/>
      <c r="I2" s="362"/>
      <c r="J2" s="363"/>
      <c r="K2" s="551"/>
      <c r="L2" s="551"/>
      <c r="M2" s="551"/>
      <c r="N2" s="551"/>
      <c r="O2" s="551"/>
      <c r="P2" s="551"/>
      <c r="Q2" s="551"/>
      <c r="R2" s="551"/>
      <c r="S2" s="551"/>
      <c r="T2" s="551"/>
    </row>
    <row r="3">
      <c r="A3" s="456"/>
      <c r="J3" s="552"/>
      <c r="K3" s="551"/>
      <c r="L3" s="551"/>
      <c r="M3" s="551"/>
      <c r="N3" s="551"/>
      <c r="O3" s="551"/>
      <c r="P3" s="551"/>
      <c r="Q3" s="551"/>
      <c r="R3" s="551"/>
      <c r="S3" s="551"/>
      <c r="T3" s="551"/>
    </row>
    <row r="4">
      <c r="A4" s="469" t="s">
        <v>140</v>
      </c>
      <c r="B4" s="458">
        <v>38000.0</v>
      </c>
      <c r="C4" s="459">
        <f>B4*C5/B5</f>
        <v>59375</v>
      </c>
      <c r="D4" s="459">
        <f>((C4-C7)*D5/C5)-D7</f>
        <v>71250</v>
      </c>
      <c r="E4" s="459">
        <f>(D4)*E5/D5</f>
        <v>89062.5</v>
      </c>
      <c r="F4" s="459">
        <f t="shared" ref="F4:J4" si="1">(E4-E7)*F5/E5</f>
        <v>77187.5</v>
      </c>
      <c r="G4" s="460">
        <f t="shared" si="1"/>
        <v>17753.125</v>
      </c>
      <c r="H4" s="460">
        <f t="shared" si="1"/>
        <v>9648.4375</v>
      </c>
      <c r="I4" s="461">
        <f t="shared" si="1"/>
        <v>2315.625</v>
      </c>
      <c r="J4" s="462">
        <f t="shared" si="1"/>
        <v>771.875</v>
      </c>
      <c r="K4" s="551"/>
      <c r="L4" s="551"/>
      <c r="M4" s="551"/>
      <c r="N4" s="551"/>
      <c r="O4" s="551"/>
      <c r="P4" s="551"/>
      <c r="Q4" s="551"/>
      <c r="R4" s="551"/>
      <c r="S4" s="551"/>
      <c r="T4" s="551"/>
    </row>
    <row r="5">
      <c r="A5" s="469" t="s">
        <v>156</v>
      </c>
      <c r="B5" s="458">
        <v>64000.0</v>
      </c>
      <c r="C5" s="459">
        <v>100000.0</v>
      </c>
      <c r="D5" s="458">
        <v>120000.0</v>
      </c>
      <c r="E5" s="459">
        <v>150000.0</v>
      </c>
      <c r="F5" s="459">
        <v>200000.0</v>
      </c>
      <c r="G5" s="460">
        <v>230000.0</v>
      </c>
      <c r="H5" s="460">
        <v>250000.0</v>
      </c>
      <c r="I5" s="461">
        <v>300000.0</v>
      </c>
      <c r="J5" s="462">
        <v>1000000.0</v>
      </c>
      <c r="K5" s="551"/>
      <c r="L5" s="551"/>
      <c r="M5" s="551"/>
      <c r="N5" s="551"/>
      <c r="O5" s="551"/>
      <c r="P5" s="551"/>
      <c r="Q5" s="551"/>
      <c r="R5" s="551"/>
      <c r="S5" s="551"/>
      <c r="T5" s="551"/>
    </row>
    <row r="6">
      <c r="A6" s="469" t="s">
        <v>142</v>
      </c>
      <c r="B6" s="470">
        <v>0.0</v>
      </c>
      <c r="C6" s="471">
        <v>0.0</v>
      </c>
      <c r="D6" s="553">
        <v>0.0</v>
      </c>
      <c r="E6" s="485">
        <v>0.35</v>
      </c>
      <c r="F6" s="472">
        <v>0.8</v>
      </c>
      <c r="G6" s="474">
        <v>0.5</v>
      </c>
      <c r="H6" s="474">
        <v>0.8</v>
      </c>
      <c r="I6" s="475">
        <v>0.9</v>
      </c>
      <c r="J6" s="476">
        <v>1.0</v>
      </c>
      <c r="K6" s="551"/>
      <c r="L6" s="554"/>
      <c r="M6" s="555"/>
      <c r="N6" s="555"/>
      <c r="O6" s="555"/>
      <c r="P6" s="555"/>
      <c r="Q6" s="555"/>
      <c r="R6" s="555"/>
      <c r="S6" s="555"/>
      <c r="T6" s="556"/>
    </row>
    <row r="7">
      <c r="A7" s="469" t="s">
        <v>143</v>
      </c>
      <c r="B7" s="480">
        <v>0.0</v>
      </c>
      <c r="C7" s="480">
        <f>C6*C4</f>
        <v>0</v>
      </c>
      <c r="D7" s="480">
        <f>-0.5*C7</f>
        <v>0</v>
      </c>
      <c r="E7" s="480">
        <f t="shared" ref="E7:J7" si="2">E4*E6</f>
        <v>31171.875</v>
      </c>
      <c r="F7" s="480">
        <f t="shared" si="2"/>
        <v>61750</v>
      </c>
      <c r="G7" s="481">
        <f t="shared" si="2"/>
        <v>8876.5625</v>
      </c>
      <c r="H7" s="481">
        <f t="shared" si="2"/>
        <v>7718.75</v>
      </c>
      <c r="I7" s="482">
        <f t="shared" si="2"/>
        <v>2084.0625</v>
      </c>
      <c r="J7" s="483">
        <f t="shared" si="2"/>
        <v>771.875</v>
      </c>
      <c r="K7" s="551"/>
      <c r="L7" s="557"/>
      <c r="M7" s="558"/>
      <c r="N7" s="558"/>
      <c r="O7" s="558"/>
      <c r="P7" s="558"/>
      <c r="Q7" s="558"/>
      <c r="R7" s="558"/>
      <c r="S7" s="558"/>
      <c r="T7" s="559"/>
    </row>
    <row r="8">
      <c r="A8" s="469" t="s">
        <v>144</v>
      </c>
      <c r="B8" s="485">
        <v>1.0</v>
      </c>
      <c r="C8" s="485">
        <v>1.0</v>
      </c>
      <c r="D8" s="486">
        <v>0.98</v>
      </c>
      <c r="E8" s="486">
        <v>0.93</v>
      </c>
      <c r="F8" s="486">
        <v>0.8</v>
      </c>
      <c r="G8" s="487">
        <v>0.65</v>
      </c>
      <c r="H8" s="487">
        <v>0.5</v>
      </c>
      <c r="I8" s="488">
        <v>0.3</v>
      </c>
      <c r="J8" s="489">
        <v>0.01</v>
      </c>
      <c r="K8" s="551"/>
      <c r="L8" s="560" t="s">
        <v>160</v>
      </c>
      <c r="T8" s="552"/>
    </row>
    <row r="9">
      <c r="A9" s="492" t="s">
        <v>146</v>
      </c>
      <c r="B9" s="493" t="s">
        <v>62</v>
      </c>
      <c r="C9" s="561" t="s">
        <v>161</v>
      </c>
      <c r="D9" s="561" t="s">
        <v>162</v>
      </c>
      <c r="E9" s="561" t="s">
        <v>163</v>
      </c>
      <c r="F9" s="561" t="s">
        <v>164</v>
      </c>
      <c r="G9" s="561" t="s">
        <v>165</v>
      </c>
      <c r="H9" s="493" t="s">
        <v>153</v>
      </c>
      <c r="I9" s="493" t="s">
        <v>155</v>
      </c>
      <c r="J9" s="494" t="s">
        <v>157</v>
      </c>
      <c r="K9" s="551"/>
      <c r="L9" s="562" t="s">
        <v>166</v>
      </c>
      <c r="T9" s="552"/>
    </row>
    <row r="10">
      <c r="A10" s="551"/>
      <c r="B10" s="551"/>
      <c r="C10" s="563"/>
      <c r="D10" s="551"/>
      <c r="E10" s="551"/>
      <c r="F10" s="551"/>
      <c r="G10" s="551"/>
      <c r="H10" s="551"/>
      <c r="I10" s="551"/>
      <c r="J10" s="551"/>
      <c r="K10" s="551"/>
      <c r="L10" s="557"/>
      <c r="M10" s="558"/>
      <c r="N10" s="558"/>
      <c r="O10" s="558"/>
      <c r="P10" s="558"/>
      <c r="Q10" s="558"/>
      <c r="R10" s="558"/>
      <c r="S10" s="558"/>
      <c r="T10" s="559"/>
    </row>
    <row r="11">
      <c r="A11" s="564" t="s">
        <v>167</v>
      </c>
      <c r="B11" s="565">
        <f>SUM(B7)+(B4-B7)</f>
        <v>38000</v>
      </c>
      <c r="C11" s="566">
        <f>SUM(B7:C7)+(C4-C7)*(B5/C5)</f>
        <v>38000</v>
      </c>
      <c r="D11" s="566">
        <f>SUM(B7:D7)+(D4-D7)*(B5/D5)</f>
        <v>38000</v>
      </c>
      <c r="E11" s="566">
        <f>SUM(B7:E7)+(E4-E7)*(D5/E5)</f>
        <v>77484.375</v>
      </c>
      <c r="F11" s="566">
        <f>SUM(B7:F7)+(F4-F7)*(E5/F5)</f>
        <v>104500</v>
      </c>
      <c r="G11" s="566">
        <f t="shared" ref="G11:H11" si="3">SUM(B7:G7)+(G4-G7)*(F5/G5)</f>
        <v>109517.1875</v>
      </c>
      <c r="H11" s="566">
        <f t="shared" si="3"/>
        <v>111292.5</v>
      </c>
      <c r="I11" s="566">
        <f>SUM(B7:I7)+(I4-I7)*(H5/I5)</f>
        <v>111794.2188</v>
      </c>
      <c r="J11" s="567">
        <f>SUM(B7:J7)+(J4-J7)*(I5/J5)</f>
        <v>112373.125</v>
      </c>
      <c r="K11" s="551"/>
      <c r="L11" s="557"/>
      <c r="M11" s="568" t="s">
        <v>168</v>
      </c>
      <c r="T11" s="559"/>
    </row>
    <row r="12">
      <c r="A12" s="469" t="s">
        <v>169</v>
      </c>
      <c r="B12" s="569">
        <f t="shared" ref="B12:J12" si="4">IF(B4&gt;=$B$4,B7*0.05,0)</f>
        <v>0</v>
      </c>
      <c r="C12" s="569">
        <f t="shared" si="4"/>
        <v>0</v>
      </c>
      <c r="D12" s="569">
        <f t="shared" si="4"/>
        <v>0</v>
      </c>
      <c r="E12" s="569">
        <f t="shared" si="4"/>
        <v>1558.59375</v>
      </c>
      <c r="F12" s="569">
        <f t="shared" si="4"/>
        <v>3087.5</v>
      </c>
      <c r="G12" s="569">
        <f t="shared" si="4"/>
        <v>0</v>
      </c>
      <c r="H12" s="569">
        <f t="shared" si="4"/>
        <v>0</v>
      </c>
      <c r="I12" s="569">
        <f t="shared" si="4"/>
        <v>0</v>
      </c>
      <c r="J12" s="570">
        <f t="shared" si="4"/>
        <v>0</v>
      </c>
      <c r="K12" s="551"/>
      <c r="L12" s="557"/>
      <c r="M12" s="558"/>
      <c r="N12" s="558"/>
      <c r="O12" s="558"/>
      <c r="P12" s="558"/>
      <c r="Q12" s="558"/>
      <c r="R12" s="558"/>
      <c r="S12" s="558"/>
      <c r="T12" s="559"/>
    </row>
    <row r="13">
      <c r="A13" s="571" t="s">
        <v>170</v>
      </c>
      <c r="B13" s="572">
        <f t="shared" ref="B13:J13" si="5">B11-B12</f>
        <v>38000</v>
      </c>
      <c r="C13" s="572">
        <f t="shared" si="5"/>
        <v>38000</v>
      </c>
      <c r="D13" s="572">
        <f t="shared" si="5"/>
        <v>38000</v>
      </c>
      <c r="E13" s="572">
        <f t="shared" si="5"/>
        <v>75925.78125</v>
      </c>
      <c r="F13" s="572">
        <f t="shared" si="5"/>
        <v>101412.5</v>
      </c>
      <c r="G13" s="572">
        <f t="shared" si="5"/>
        <v>109517.1875</v>
      </c>
      <c r="H13" s="572">
        <f t="shared" si="5"/>
        <v>111292.5</v>
      </c>
      <c r="I13" s="572">
        <f t="shared" si="5"/>
        <v>111794.2188</v>
      </c>
      <c r="J13" s="573">
        <f t="shared" si="5"/>
        <v>112373.125</v>
      </c>
      <c r="K13" s="551"/>
      <c r="L13" s="557"/>
      <c r="M13" s="558"/>
      <c r="N13" s="574" t="s">
        <v>171</v>
      </c>
      <c r="O13" s="575">
        <f>SUM(B12:J12)</f>
        <v>4646.09375</v>
      </c>
      <c r="P13" s="574" t="s">
        <v>172</v>
      </c>
      <c r="Q13" s="576">
        <f>O13/H13</f>
        <v>0.04174669227</v>
      </c>
      <c r="R13" s="577" t="s">
        <v>173</v>
      </c>
      <c r="S13" s="558"/>
      <c r="T13" s="559"/>
    </row>
    <row r="14">
      <c r="A14" s="551"/>
      <c r="B14" s="551"/>
      <c r="C14" s="551"/>
      <c r="D14" s="551"/>
      <c r="E14" s="551"/>
      <c r="F14" s="551"/>
      <c r="G14" s="551"/>
      <c r="H14" s="551"/>
      <c r="I14" s="551"/>
      <c r="J14" s="551"/>
      <c r="K14" s="551"/>
      <c r="L14" s="578" t="s">
        <v>174</v>
      </c>
      <c r="T14" s="552"/>
    </row>
    <row r="15">
      <c r="A15" s="551" t="s">
        <v>175</v>
      </c>
      <c r="F15" s="551"/>
      <c r="G15" s="551"/>
      <c r="H15" s="551"/>
      <c r="I15" s="551"/>
      <c r="J15" s="551"/>
      <c r="K15" s="551"/>
      <c r="L15" s="557"/>
      <c r="M15" s="558"/>
      <c r="N15" s="558"/>
      <c r="O15" s="558"/>
      <c r="P15" s="558"/>
      <c r="Q15" s="558"/>
      <c r="R15" s="558"/>
      <c r="S15" s="558"/>
      <c r="T15" s="559"/>
    </row>
    <row r="16">
      <c r="A16" s="551" t="s">
        <v>176</v>
      </c>
      <c r="B16" s="551"/>
      <c r="C16" s="551"/>
      <c r="D16" s="551"/>
      <c r="E16" s="551"/>
      <c r="F16" s="551"/>
      <c r="G16" s="579"/>
      <c r="H16" s="551"/>
      <c r="I16" s="551"/>
      <c r="J16" s="551"/>
      <c r="K16" s="551"/>
      <c r="L16" s="557"/>
      <c r="M16" s="558"/>
      <c r="N16" s="558" t="s">
        <v>177</v>
      </c>
      <c r="O16" s="558"/>
      <c r="P16" s="558"/>
      <c r="Q16" s="558"/>
      <c r="R16" s="580">
        <f>1-SUM(B8:E8)/4</f>
        <v>0.0225</v>
      </c>
      <c r="S16" s="558"/>
      <c r="T16" s="559"/>
    </row>
    <row r="17">
      <c r="A17" s="581" t="s">
        <v>178</v>
      </c>
      <c r="B17" s="551"/>
      <c r="C17" s="551"/>
      <c r="D17" s="551"/>
      <c r="E17" s="551"/>
      <c r="F17" s="551"/>
      <c r="G17" s="551"/>
      <c r="H17" s="551"/>
      <c r="I17" s="551"/>
      <c r="J17" s="551"/>
      <c r="K17" s="551"/>
      <c r="L17" s="557"/>
      <c r="M17" s="558"/>
      <c r="N17" s="582" t="s">
        <v>179</v>
      </c>
      <c r="O17" s="558"/>
      <c r="P17" s="558"/>
      <c r="Q17" s="558"/>
      <c r="R17" s="583"/>
      <c r="S17" s="583">
        <f>SUM(B8:F8)/5</f>
        <v>0.942</v>
      </c>
      <c r="T17" s="584"/>
    </row>
    <row r="18">
      <c r="A18" s="551"/>
      <c r="B18" s="551"/>
      <c r="C18" s="551"/>
      <c r="D18" s="551"/>
      <c r="E18" s="551"/>
      <c r="F18" s="551"/>
      <c r="G18" s="551"/>
      <c r="H18" s="551"/>
      <c r="I18" s="551"/>
      <c r="J18" s="551"/>
      <c r="K18" s="551"/>
      <c r="L18" s="557"/>
      <c r="M18" s="558"/>
      <c r="N18" s="558"/>
      <c r="O18" s="558"/>
      <c r="P18" s="558"/>
      <c r="Q18" s="558"/>
      <c r="R18" s="558"/>
      <c r="S18" s="558"/>
      <c r="T18" s="559"/>
    </row>
    <row r="19">
      <c r="A19" s="585"/>
      <c r="B19" s="585"/>
      <c r="C19" s="585"/>
      <c r="D19" s="585"/>
      <c r="E19" s="585"/>
      <c r="F19" s="585"/>
      <c r="G19" s="585"/>
      <c r="H19" s="585"/>
      <c r="I19" s="585"/>
      <c r="J19" s="585"/>
      <c r="K19" s="551"/>
      <c r="L19" s="586"/>
      <c r="M19" s="587"/>
      <c r="N19" s="587"/>
      <c r="O19" s="587"/>
      <c r="P19" s="587"/>
      <c r="Q19" s="587"/>
      <c r="R19" s="587"/>
      <c r="S19" s="587"/>
      <c r="T19" s="588"/>
    </row>
    <row r="20">
      <c r="A20" s="589" t="s">
        <v>180</v>
      </c>
      <c r="B20" s="590" t="s">
        <v>127</v>
      </c>
      <c r="C20" s="591">
        <f>RECAP!K11</f>
        <v>38821.35275</v>
      </c>
      <c r="D20" s="592">
        <f>SUM(D21:D28)</f>
        <v>1</v>
      </c>
      <c r="E20" s="590" t="s">
        <v>181</v>
      </c>
      <c r="J20" s="585"/>
    </row>
    <row r="21">
      <c r="B21" s="351" t="s">
        <v>25</v>
      </c>
      <c r="C21" s="593">
        <f t="shared" ref="C21:C28" si="6">$C$20*D21</f>
        <v>17469.60874</v>
      </c>
      <c r="D21" s="594">
        <v>0.45</v>
      </c>
      <c r="E21" s="595" t="s">
        <v>182</v>
      </c>
    </row>
    <row r="22">
      <c r="B22" s="596" t="s">
        <v>6</v>
      </c>
      <c r="C22" s="597">
        <f t="shared" si="6"/>
        <v>7764.27055</v>
      </c>
      <c r="D22" s="598">
        <v>0.2</v>
      </c>
      <c r="E22" s="471" t="s">
        <v>183</v>
      </c>
    </row>
    <row r="23">
      <c r="B23" s="364" t="s">
        <v>7</v>
      </c>
      <c r="C23" s="599">
        <f t="shared" si="6"/>
        <v>3882.135275</v>
      </c>
      <c r="D23" s="600">
        <v>0.1</v>
      </c>
      <c r="E23" s="601" t="s">
        <v>184</v>
      </c>
    </row>
    <row r="24">
      <c r="B24" s="355" t="s">
        <v>33</v>
      </c>
      <c r="C24" s="602">
        <f t="shared" si="6"/>
        <v>3882.135275</v>
      </c>
      <c r="D24" s="603">
        <v>0.1</v>
      </c>
      <c r="E24" s="604" t="s">
        <v>185</v>
      </c>
    </row>
    <row r="25">
      <c r="B25" s="605" t="s">
        <v>36</v>
      </c>
      <c r="C25" s="606">
        <f t="shared" si="6"/>
        <v>1941.067637</v>
      </c>
      <c r="D25" s="607">
        <v>0.05</v>
      </c>
      <c r="E25" s="608" t="s">
        <v>186</v>
      </c>
    </row>
    <row r="26">
      <c r="B26" s="609" t="s">
        <v>13</v>
      </c>
      <c r="C26" s="610">
        <f t="shared" si="6"/>
        <v>1552.85411</v>
      </c>
      <c r="D26" s="611">
        <v>0.04</v>
      </c>
      <c r="E26" s="612" t="s">
        <v>187</v>
      </c>
    </row>
    <row r="27">
      <c r="B27" s="613" t="s">
        <v>12</v>
      </c>
      <c r="C27" s="614">
        <f t="shared" si="6"/>
        <v>1941.067637</v>
      </c>
      <c r="D27" s="615">
        <v>0.05</v>
      </c>
      <c r="E27" s="616" t="s">
        <v>188</v>
      </c>
    </row>
    <row r="28">
      <c r="B28" s="251" t="s">
        <v>14</v>
      </c>
      <c r="C28" s="617">
        <f t="shared" si="6"/>
        <v>388.2135275</v>
      </c>
      <c r="D28" s="618">
        <v>0.01</v>
      </c>
      <c r="E28" s="619" t="s">
        <v>189</v>
      </c>
    </row>
    <row r="29">
      <c r="A29" s="551"/>
    </row>
    <row r="390">
      <c r="A390" s="620"/>
      <c r="B390" s="620"/>
      <c r="C390" s="620"/>
      <c r="D390" s="620"/>
      <c r="E390" s="620"/>
      <c r="F390" s="620"/>
      <c r="G390" s="620"/>
      <c r="H390" s="620"/>
      <c r="I390" s="620"/>
      <c r="J390" s="620"/>
      <c r="K390" s="620"/>
      <c r="L390" s="620"/>
      <c r="M390" s="620"/>
      <c r="N390" s="620"/>
      <c r="O390" s="620"/>
      <c r="P390" s="620"/>
      <c r="Q390" s="620"/>
      <c r="R390" s="620"/>
      <c r="S390" s="620"/>
      <c r="T390" s="620"/>
    </row>
    <row r="391">
      <c r="A391" s="620"/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</row>
    <row r="392">
      <c r="A392" s="620"/>
      <c r="B392" s="620"/>
      <c r="C392" s="620"/>
      <c r="D392" s="620"/>
      <c r="E392" s="620"/>
      <c r="F392" s="620"/>
      <c r="G392" s="620"/>
      <c r="H392" s="620"/>
      <c r="I392" s="620"/>
      <c r="J392" s="620"/>
      <c r="K392" s="620"/>
      <c r="L392" s="620"/>
      <c r="M392" s="620"/>
      <c r="N392" s="620"/>
      <c r="O392" s="620"/>
      <c r="P392" s="620"/>
      <c r="Q392" s="620"/>
      <c r="R392" s="620"/>
      <c r="S392" s="620"/>
      <c r="T392" s="620"/>
    </row>
    <row r="393">
      <c r="A393" s="620"/>
      <c r="B393" s="620"/>
      <c r="C393" s="620"/>
      <c r="D393" s="620"/>
      <c r="E393" s="620"/>
      <c r="F393" s="620"/>
      <c r="G393" s="620"/>
      <c r="H393" s="620"/>
      <c r="I393" s="620"/>
      <c r="J393" s="620"/>
      <c r="K393" s="620"/>
      <c r="L393" s="620"/>
      <c r="M393" s="620"/>
      <c r="N393" s="620"/>
      <c r="O393" s="620"/>
      <c r="P393" s="620"/>
      <c r="Q393" s="620"/>
      <c r="R393" s="620"/>
      <c r="S393" s="620"/>
      <c r="T393" s="620"/>
    </row>
    <row r="394">
      <c r="A394" s="620"/>
      <c r="B394" s="620"/>
      <c r="C394" s="620"/>
      <c r="D394" s="620"/>
      <c r="E394" s="620"/>
      <c r="F394" s="620"/>
      <c r="G394" s="620"/>
      <c r="H394" s="620"/>
      <c r="I394" s="620"/>
      <c r="J394" s="620"/>
      <c r="K394" s="620"/>
      <c r="L394" s="620"/>
      <c r="M394" s="620"/>
      <c r="N394" s="620"/>
      <c r="O394" s="620"/>
      <c r="P394" s="620"/>
      <c r="Q394" s="620"/>
      <c r="R394" s="620"/>
      <c r="S394" s="620"/>
      <c r="T394" s="620"/>
    </row>
    <row r="395">
      <c r="A395" s="620"/>
      <c r="B395" s="620"/>
      <c r="C395" s="620"/>
      <c r="D395" s="620"/>
      <c r="E395" s="620"/>
      <c r="F395" s="620"/>
      <c r="G395" s="620"/>
      <c r="H395" s="620"/>
      <c r="I395" s="620"/>
      <c r="J395" s="620"/>
      <c r="K395" s="620"/>
      <c r="L395" s="620"/>
      <c r="M395" s="620"/>
      <c r="N395" s="620"/>
      <c r="O395" s="620"/>
      <c r="P395" s="620"/>
      <c r="Q395" s="620"/>
      <c r="R395" s="620"/>
      <c r="S395" s="620"/>
      <c r="T395" s="620"/>
    </row>
    <row r="396">
      <c r="A396" s="620"/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</row>
    <row r="397">
      <c r="A397" s="620"/>
      <c r="B397" s="620"/>
      <c r="C397" s="620"/>
      <c r="D397" s="620"/>
      <c r="E397" s="620"/>
      <c r="F397" s="620"/>
      <c r="G397" s="620"/>
      <c r="H397" s="620"/>
      <c r="I397" s="620"/>
      <c r="J397" s="620"/>
      <c r="K397" s="620"/>
      <c r="L397" s="620"/>
      <c r="M397" s="620"/>
      <c r="N397" s="620"/>
      <c r="O397" s="620"/>
      <c r="P397" s="620"/>
      <c r="Q397" s="620"/>
      <c r="R397" s="620"/>
      <c r="S397" s="620"/>
      <c r="T397" s="620"/>
    </row>
    <row r="398">
      <c r="A398" s="620"/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</row>
    <row r="399">
      <c r="A399" s="620"/>
      <c r="B399" s="620"/>
      <c r="C399" s="620"/>
      <c r="D399" s="620"/>
      <c r="E399" s="620"/>
      <c r="F399" s="620"/>
      <c r="G399" s="620"/>
      <c r="H399" s="620"/>
      <c r="I399" s="620"/>
      <c r="J399" s="620"/>
      <c r="K399" s="620"/>
      <c r="L399" s="620"/>
      <c r="M399" s="620"/>
      <c r="N399" s="620"/>
      <c r="O399" s="620"/>
      <c r="P399" s="620"/>
      <c r="Q399" s="620"/>
      <c r="R399" s="620"/>
      <c r="S399" s="620"/>
      <c r="T399" s="620"/>
    </row>
    <row r="400">
      <c r="A400" s="620"/>
      <c r="B400" s="620"/>
      <c r="C400" s="620"/>
      <c r="D400" s="620"/>
      <c r="E400" s="620"/>
      <c r="F400" s="620"/>
      <c r="G400" s="620"/>
      <c r="H400" s="620"/>
      <c r="I400" s="620"/>
      <c r="J400" s="620"/>
      <c r="K400" s="620"/>
      <c r="L400" s="620"/>
      <c r="M400" s="620"/>
      <c r="N400" s="620"/>
      <c r="O400" s="620"/>
      <c r="P400" s="620"/>
      <c r="Q400" s="620"/>
      <c r="R400" s="620"/>
      <c r="S400" s="620"/>
      <c r="T400" s="620"/>
    </row>
    <row r="401">
      <c r="A401" s="620"/>
      <c r="B401" s="620"/>
      <c r="C401" s="620"/>
      <c r="D401" s="620"/>
      <c r="E401" s="620"/>
      <c r="F401" s="620"/>
      <c r="G401" s="620"/>
      <c r="H401" s="620"/>
      <c r="I401" s="620"/>
      <c r="J401" s="620"/>
      <c r="K401" s="620"/>
      <c r="L401" s="620"/>
      <c r="M401" s="620"/>
      <c r="N401" s="620"/>
      <c r="O401" s="620"/>
      <c r="P401" s="620"/>
      <c r="Q401" s="620"/>
      <c r="R401" s="620"/>
      <c r="S401" s="620"/>
      <c r="T401" s="620"/>
    </row>
    <row r="402">
      <c r="A402" s="620"/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</row>
    <row r="403">
      <c r="A403" s="620"/>
      <c r="B403" s="620"/>
      <c r="C403" s="620"/>
      <c r="D403" s="620"/>
      <c r="E403" s="620"/>
      <c r="F403" s="620"/>
      <c r="G403" s="620"/>
      <c r="H403" s="620"/>
      <c r="I403" s="620"/>
      <c r="J403" s="620"/>
      <c r="K403" s="620"/>
      <c r="L403" s="620"/>
      <c r="M403" s="620"/>
      <c r="N403" s="620"/>
      <c r="O403" s="620"/>
      <c r="P403" s="620"/>
      <c r="Q403" s="620"/>
      <c r="R403" s="620"/>
      <c r="S403" s="620"/>
      <c r="T403" s="620"/>
    </row>
    <row r="404">
      <c r="A404" s="620"/>
      <c r="B404" s="620"/>
      <c r="C404" s="620"/>
      <c r="D404" s="620"/>
      <c r="E404" s="620"/>
      <c r="F404" s="620"/>
      <c r="G404" s="620"/>
      <c r="H404" s="620"/>
      <c r="I404" s="620"/>
      <c r="J404" s="620"/>
      <c r="K404" s="620"/>
      <c r="L404" s="620"/>
      <c r="M404" s="620"/>
      <c r="N404" s="620"/>
      <c r="O404" s="620"/>
      <c r="P404" s="620"/>
      <c r="Q404" s="620"/>
      <c r="R404" s="620"/>
      <c r="S404" s="620"/>
      <c r="T404" s="620"/>
    </row>
    <row r="405">
      <c r="A405" s="620"/>
      <c r="B405" s="620"/>
      <c r="C405" s="620"/>
      <c r="D405" s="620"/>
      <c r="E405" s="620"/>
      <c r="F405" s="620"/>
      <c r="G405" s="620"/>
      <c r="H405" s="620"/>
      <c r="I405" s="620"/>
      <c r="J405" s="620"/>
      <c r="K405" s="620"/>
      <c r="L405" s="620"/>
      <c r="M405" s="620"/>
      <c r="N405" s="620"/>
      <c r="O405" s="620"/>
      <c r="P405" s="620"/>
      <c r="Q405" s="620"/>
      <c r="R405" s="620"/>
      <c r="S405" s="620"/>
      <c r="T405" s="620"/>
    </row>
    <row r="406">
      <c r="A406" s="620"/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</row>
    <row r="407">
      <c r="A407" s="620"/>
      <c r="B407" s="620"/>
      <c r="C407" s="620"/>
      <c r="D407" s="620"/>
      <c r="E407" s="620"/>
      <c r="F407" s="620"/>
      <c r="G407" s="620"/>
      <c r="H407" s="620"/>
      <c r="I407" s="620"/>
      <c r="J407" s="620"/>
      <c r="K407" s="620"/>
      <c r="L407" s="620"/>
      <c r="M407" s="620"/>
      <c r="N407" s="620"/>
      <c r="O407" s="620"/>
      <c r="P407" s="620"/>
      <c r="Q407" s="620"/>
      <c r="R407" s="620"/>
      <c r="S407" s="620"/>
      <c r="T407" s="620"/>
    </row>
    <row r="408">
      <c r="A408" s="620"/>
      <c r="B408" s="620"/>
      <c r="C408" s="620"/>
      <c r="D408" s="620"/>
      <c r="E408" s="620"/>
      <c r="F408" s="620"/>
      <c r="G408" s="620"/>
      <c r="H408" s="620"/>
      <c r="I408" s="620"/>
      <c r="J408" s="620"/>
      <c r="K408" s="620"/>
      <c r="L408" s="620"/>
      <c r="M408" s="620"/>
      <c r="N408" s="620"/>
      <c r="O408" s="620"/>
      <c r="P408" s="620"/>
      <c r="Q408" s="620"/>
      <c r="R408" s="620"/>
      <c r="S408" s="620"/>
      <c r="T408" s="620"/>
    </row>
    <row r="409">
      <c r="A409" s="620"/>
      <c r="B409" s="620"/>
      <c r="C409" s="620"/>
      <c r="D409" s="620"/>
      <c r="E409" s="620"/>
      <c r="F409" s="620"/>
      <c r="G409" s="620"/>
      <c r="H409" s="620"/>
      <c r="I409" s="620"/>
      <c r="J409" s="620"/>
      <c r="K409" s="620"/>
      <c r="L409" s="620"/>
      <c r="M409" s="620"/>
      <c r="N409" s="620"/>
      <c r="O409" s="620"/>
      <c r="P409" s="620"/>
      <c r="Q409" s="620"/>
      <c r="R409" s="620"/>
      <c r="S409" s="620"/>
      <c r="T409" s="620"/>
    </row>
    <row r="410">
      <c r="A410" s="620"/>
      <c r="B410" s="620"/>
      <c r="C410" s="620"/>
      <c r="D410" s="620"/>
      <c r="E410" s="620"/>
      <c r="F410" s="620"/>
      <c r="G410" s="620"/>
      <c r="H410" s="620"/>
      <c r="I410" s="620"/>
      <c r="J410" s="620"/>
      <c r="K410" s="620"/>
      <c r="L410" s="620"/>
      <c r="M410" s="620"/>
      <c r="N410" s="620"/>
      <c r="O410" s="620"/>
      <c r="P410" s="620"/>
      <c r="Q410" s="620"/>
      <c r="R410" s="620"/>
      <c r="S410" s="620"/>
      <c r="T410" s="620"/>
    </row>
    <row r="411">
      <c r="A411" s="620"/>
      <c r="B411" s="620"/>
      <c r="C411" s="620"/>
      <c r="D411" s="620"/>
      <c r="E411" s="620"/>
      <c r="F411" s="620"/>
      <c r="G411" s="620"/>
      <c r="H411" s="620"/>
      <c r="I411" s="620"/>
      <c r="J411" s="620"/>
      <c r="K411" s="620"/>
      <c r="L411" s="620"/>
      <c r="M411" s="620"/>
      <c r="N411" s="620"/>
      <c r="O411" s="620"/>
      <c r="P411" s="620"/>
      <c r="Q411" s="620"/>
      <c r="R411" s="620"/>
      <c r="S411" s="620"/>
      <c r="T411" s="620"/>
    </row>
    <row r="412">
      <c r="A412" s="620"/>
      <c r="B412" s="620"/>
      <c r="C412" s="620"/>
      <c r="D412" s="620"/>
      <c r="E412" s="620"/>
      <c r="F412" s="620"/>
      <c r="G412" s="620"/>
      <c r="H412" s="620"/>
      <c r="I412" s="620"/>
      <c r="J412" s="620"/>
      <c r="K412" s="620"/>
      <c r="L412" s="620"/>
      <c r="M412" s="620"/>
      <c r="N412" s="620"/>
      <c r="O412" s="620"/>
      <c r="P412" s="620"/>
      <c r="Q412" s="620"/>
      <c r="R412" s="620"/>
      <c r="S412" s="620"/>
      <c r="T412" s="620"/>
    </row>
    <row r="413">
      <c r="A413" s="620"/>
      <c r="B413" s="620"/>
      <c r="C413" s="620"/>
      <c r="D413" s="620"/>
      <c r="E413" s="620"/>
      <c r="F413" s="620"/>
      <c r="G413" s="620"/>
      <c r="H413" s="620"/>
      <c r="I413" s="620"/>
      <c r="J413" s="620"/>
      <c r="K413" s="620"/>
      <c r="L413" s="620"/>
      <c r="M413" s="620"/>
      <c r="N413" s="620"/>
      <c r="O413" s="620"/>
      <c r="P413" s="620"/>
      <c r="Q413" s="620"/>
      <c r="R413" s="620"/>
      <c r="S413" s="620"/>
      <c r="T413" s="620"/>
    </row>
    <row r="414">
      <c r="A414" s="620"/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</row>
    <row r="415">
      <c r="A415" s="620"/>
      <c r="B415" s="620"/>
      <c r="C415" s="620"/>
      <c r="D415" s="620"/>
      <c r="E415" s="620"/>
      <c r="F415" s="620"/>
      <c r="G415" s="620"/>
      <c r="H415" s="620"/>
      <c r="I415" s="620"/>
      <c r="J415" s="620"/>
      <c r="K415" s="620"/>
      <c r="L415" s="620"/>
      <c r="M415" s="620"/>
      <c r="N415" s="620"/>
      <c r="O415" s="620"/>
      <c r="P415" s="620"/>
      <c r="Q415" s="620"/>
      <c r="R415" s="620"/>
      <c r="S415" s="620"/>
      <c r="T415" s="620"/>
    </row>
    <row r="416">
      <c r="A416" s="620"/>
      <c r="B416" s="620"/>
      <c r="C416" s="620"/>
      <c r="D416" s="620"/>
      <c r="E416" s="620"/>
      <c r="F416" s="620"/>
      <c r="G416" s="620"/>
      <c r="H416" s="620"/>
      <c r="I416" s="620"/>
      <c r="J416" s="620"/>
      <c r="K416" s="620"/>
      <c r="L416" s="620"/>
      <c r="M416" s="620"/>
      <c r="N416" s="620"/>
      <c r="O416" s="620"/>
      <c r="P416" s="620"/>
      <c r="Q416" s="620"/>
      <c r="R416" s="620"/>
      <c r="S416" s="620"/>
      <c r="T416" s="620"/>
    </row>
    <row r="417">
      <c r="A417" s="620"/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</row>
    <row r="418">
      <c r="A418" s="620"/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</row>
    <row r="419">
      <c r="A419" s="620"/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</row>
    <row r="420">
      <c r="A420" s="620"/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</row>
    <row r="421">
      <c r="A421" s="620"/>
      <c r="B421" s="620"/>
      <c r="C421" s="620"/>
      <c r="D421" s="620"/>
      <c r="E421" s="620"/>
      <c r="F421" s="620"/>
      <c r="G421" s="620"/>
      <c r="H421" s="620"/>
      <c r="I421" s="620"/>
      <c r="J421" s="620"/>
      <c r="K421" s="620"/>
      <c r="L421" s="620"/>
      <c r="M421" s="620"/>
      <c r="N421" s="620"/>
      <c r="O421" s="620"/>
      <c r="P421" s="620"/>
      <c r="Q421" s="620"/>
      <c r="R421" s="620"/>
      <c r="S421" s="620"/>
      <c r="T421" s="620"/>
    </row>
    <row r="422">
      <c r="A422" s="620"/>
      <c r="B422" s="620"/>
      <c r="C422" s="620"/>
      <c r="D422" s="620"/>
      <c r="E422" s="620"/>
      <c r="F422" s="620"/>
      <c r="G422" s="620"/>
      <c r="H422" s="620"/>
      <c r="I422" s="620"/>
      <c r="J422" s="620"/>
      <c r="K422" s="620"/>
      <c r="L422" s="620"/>
      <c r="M422" s="620"/>
      <c r="N422" s="620"/>
      <c r="O422" s="620"/>
      <c r="P422" s="620"/>
      <c r="Q422" s="620"/>
      <c r="R422" s="620"/>
      <c r="S422" s="620"/>
      <c r="T422" s="620"/>
    </row>
    <row r="423">
      <c r="A423" s="620"/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</row>
    <row r="424">
      <c r="A424" s="620"/>
      <c r="B424" s="620"/>
      <c r="C424" s="620"/>
      <c r="D424" s="620"/>
      <c r="E424" s="620"/>
      <c r="F424" s="620"/>
      <c r="G424" s="620"/>
      <c r="H424" s="620"/>
      <c r="I424" s="620"/>
      <c r="J424" s="620"/>
      <c r="K424" s="620"/>
      <c r="L424" s="620"/>
      <c r="M424" s="620"/>
      <c r="N424" s="620"/>
      <c r="O424" s="620"/>
      <c r="P424" s="620"/>
      <c r="Q424" s="620"/>
      <c r="R424" s="620"/>
      <c r="S424" s="620"/>
      <c r="T424" s="620"/>
    </row>
    <row r="425">
      <c r="A425" s="620"/>
      <c r="B425" s="620"/>
      <c r="C425" s="620"/>
      <c r="D425" s="620"/>
      <c r="E425" s="620"/>
      <c r="F425" s="620"/>
      <c r="G425" s="620"/>
      <c r="H425" s="620"/>
      <c r="I425" s="620"/>
      <c r="J425" s="620"/>
      <c r="K425" s="620"/>
      <c r="L425" s="620"/>
      <c r="M425" s="620"/>
      <c r="N425" s="620"/>
      <c r="O425" s="620"/>
      <c r="P425" s="620"/>
      <c r="Q425" s="620"/>
      <c r="R425" s="620"/>
      <c r="S425" s="620"/>
      <c r="T425" s="620"/>
    </row>
    <row r="426">
      <c r="A426" s="620"/>
      <c r="B426" s="620"/>
      <c r="C426" s="620"/>
      <c r="D426" s="620"/>
      <c r="E426" s="620"/>
      <c r="F426" s="620"/>
      <c r="G426" s="620"/>
      <c r="H426" s="620"/>
      <c r="I426" s="620"/>
      <c r="J426" s="620"/>
      <c r="K426" s="620"/>
      <c r="L426" s="620"/>
      <c r="M426" s="620"/>
      <c r="N426" s="620"/>
      <c r="O426" s="620"/>
      <c r="P426" s="620"/>
      <c r="Q426" s="620"/>
      <c r="R426" s="620"/>
      <c r="S426" s="620"/>
      <c r="T426" s="620"/>
    </row>
    <row r="427">
      <c r="A427" s="620"/>
      <c r="B427" s="620"/>
      <c r="C427" s="620"/>
      <c r="D427" s="620"/>
      <c r="E427" s="620"/>
      <c r="F427" s="620"/>
      <c r="G427" s="620"/>
      <c r="H427" s="620"/>
      <c r="I427" s="620"/>
      <c r="J427" s="620"/>
      <c r="K427" s="620"/>
      <c r="L427" s="620"/>
      <c r="M427" s="620"/>
      <c r="N427" s="620"/>
      <c r="O427" s="620"/>
      <c r="P427" s="620"/>
      <c r="Q427" s="620"/>
      <c r="R427" s="620"/>
      <c r="S427" s="620"/>
      <c r="T427" s="620"/>
    </row>
    <row r="428">
      <c r="A428" s="620"/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</row>
    <row r="429">
      <c r="A429" s="620"/>
      <c r="B429" s="620"/>
      <c r="C429" s="620"/>
      <c r="D429" s="620"/>
      <c r="E429" s="620"/>
      <c r="F429" s="620"/>
      <c r="G429" s="620"/>
      <c r="H429" s="620"/>
      <c r="I429" s="620"/>
      <c r="J429" s="620"/>
      <c r="K429" s="620"/>
      <c r="L429" s="620"/>
      <c r="M429" s="620"/>
      <c r="N429" s="620"/>
      <c r="O429" s="620"/>
      <c r="P429" s="620"/>
      <c r="Q429" s="620"/>
      <c r="R429" s="620"/>
      <c r="S429" s="620"/>
      <c r="T429" s="620"/>
    </row>
    <row r="430">
      <c r="A430" s="620"/>
      <c r="B430" s="620"/>
      <c r="C430" s="620"/>
      <c r="D430" s="620"/>
      <c r="E430" s="620"/>
      <c r="F430" s="620"/>
      <c r="G430" s="620"/>
      <c r="H430" s="620"/>
      <c r="I430" s="620"/>
      <c r="J430" s="620"/>
      <c r="K430" s="620"/>
      <c r="L430" s="620"/>
      <c r="M430" s="620"/>
      <c r="N430" s="620"/>
      <c r="O430" s="620"/>
      <c r="P430" s="620"/>
      <c r="Q430" s="620"/>
      <c r="R430" s="620"/>
      <c r="S430" s="620"/>
      <c r="T430" s="620"/>
    </row>
    <row r="431">
      <c r="A431" s="620"/>
      <c r="B431" s="620"/>
      <c r="C431" s="620"/>
      <c r="D431" s="620"/>
      <c r="E431" s="620"/>
      <c r="F431" s="620"/>
      <c r="G431" s="620"/>
      <c r="H431" s="620"/>
      <c r="I431" s="620"/>
      <c r="J431" s="620"/>
      <c r="K431" s="620"/>
      <c r="L431" s="620"/>
      <c r="M431" s="620"/>
      <c r="N431" s="620"/>
      <c r="O431" s="620"/>
      <c r="P431" s="620"/>
      <c r="Q431" s="620"/>
      <c r="R431" s="620"/>
      <c r="S431" s="620"/>
      <c r="T431" s="620"/>
    </row>
    <row r="432">
      <c r="A432" s="620"/>
      <c r="B432" s="620"/>
      <c r="C432" s="620"/>
      <c r="D432" s="620"/>
      <c r="E432" s="620"/>
      <c r="F432" s="620"/>
      <c r="G432" s="620"/>
      <c r="H432" s="620"/>
      <c r="I432" s="620"/>
      <c r="J432" s="620"/>
      <c r="K432" s="620"/>
      <c r="L432" s="620"/>
      <c r="M432" s="620"/>
      <c r="N432" s="620"/>
      <c r="O432" s="620"/>
      <c r="P432" s="620"/>
      <c r="Q432" s="620"/>
      <c r="R432" s="620"/>
      <c r="S432" s="620"/>
      <c r="T432" s="620"/>
    </row>
    <row r="433">
      <c r="A433" s="620"/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</row>
    <row r="434">
      <c r="A434" s="620"/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</row>
    <row r="435">
      <c r="A435" s="620"/>
      <c r="B435" s="620"/>
      <c r="C435" s="620"/>
      <c r="D435" s="620"/>
      <c r="E435" s="620"/>
      <c r="F435" s="620"/>
      <c r="G435" s="620"/>
      <c r="H435" s="620"/>
      <c r="I435" s="620"/>
      <c r="J435" s="620"/>
      <c r="K435" s="620"/>
      <c r="L435" s="620"/>
      <c r="M435" s="620"/>
      <c r="N435" s="620"/>
      <c r="O435" s="620"/>
      <c r="P435" s="620"/>
      <c r="Q435" s="620"/>
      <c r="R435" s="620"/>
      <c r="S435" s="620"/>
      <c r="T435" s="620"/>
    </row>
    <row r="436">
      <c r="A436" s="620"/>
      <c r="B436" s="620"/>
      <c r="C436" s="620"/>
      <c r="D436" s="620"/>
      <c r="E436" s="620"/>
      <c r="F436" s="620"/>
      <c r="G436" s="620"/>
      <c r="H436" s="620"/>
      <c r="I436" s="620"/>
      <c r="J436" s="620"/>
      <c r="K436" s="620"/>
      <c r="L436" s="620"/>
      <c r="M436" s="620"/>
      <c r="N436" s="620"/>
      <c r="O436" s="620"/>
      <c r="P436" s="620"/>
      <c r="Q436" s="620"/>
      <c r="R436" s="620"/>
      <c r="S436" s="620"/>
      <c r="T436" s="620"/>
    </row>
    <row r="437">
      <c r="A437" s="620"/>
      <c r="B437" s="620"/>
      <c r="C437" s="620"/>
      <c r="D437" s="620"/>
      <c r="E437" s="620"/>
      <c r="F437" s="620"/>
      <c r="G437" s="620"/>
      <c r="H437" s="620"/>
      <c r="I437" s="620"/>
      <c r="J437" s="620"/>
      <c r="K437" s="620"/>
      <c r="L437" s="620"/>
      <c r="M437" s="620"/>
      <c r="N437" s="620"/>
      <c r="O437" s="620"/>
      <c r="P437" s="620"/>
      <c r="Q437" s="620"/>
      <c r="R437" s="620"/>
      <c r="S437" s="620"/>
      <c r="T437" s="620"/>
    </row>
    <row r="438">
      <c r="A438" s="620"/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</row>
    <row r="439">
      <c r="A439" s="620"/>
      <c r="B439" s="620"/>
      <c r="C439" s="620"/>
      <c r="D439" s="620"/>
      <c r="E439" s="620"/>
      <c r="F439" s="620"/>
      <c r="G439" s="620"/>
      <c r="H439" s="620"/>
      <c r="I439" s="620"/>
      <c r="J439" s="620"/>
      <c r="K439" s="620"/>
      <c r="L439" s="620"/>
      <c r="M439" s="620"/>
      <c r="N439" s="620"/>
      <c r="O439" s="620"/>
      <c r="P439" s="620"/>
      <c r="Q439" s="620"/>
      <c r="R439" s="620"/>
      <c r="S439" s="620"/>
      <c r="T439" s="620"/>
    </row>
    <row r="440">
      <c r="A440" s="620"/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</row>
    <row r="441">
      <c r="A441" s="620"/>
      <c r="B441" s="620"/>
      <c r="C441" s="620"/>
      <c r="D441" s="620"/>
      <c r="E441" s="620"/>
      <c r="F441" s="620"/>
      <c r="G441" s="620"/>
      <c r="H441" s="620"/>
      <c r="I441" s="620"/>
      <c r="J441" s="620"/>
      <c r="K441" s="620"/>
      <c r="L441" s="620"/>
      <c r="M441" s="620"/>
      <c r="N441" s="620"/>
      <c r="O441" s="620"/>
      <c r="P441" s="620"/>
      <c r="Q441" s="620"/>
      <c r="R441" s="620"/>
      <c r="S441" s="620"/>
      <c r="T441" s="620"/>
    </row>
    <row r="442">
      <c r="A442" s="620"/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</row>
    <row r="443">
      <c r="A443" s="620"/>
      <c r="B443" s="620"/>
      <c r="C443" s="620"/>
      <c r="D443" s="620"/>
      <c r="E443" s="620"/>
      <c r="F443" s="620"/>
      <c r="G443" s="620"/>
      <c r="H443" s="620"/>
      <c r="I443" s="620"/>
      <c r="J443" s="620"/>
      <c r="K443" s="620"/>
      <c r="L443" s="620"/>
      <c r="M443" s="620"/>
      <c r="N443" s="620"/>
      <c r="O443" s="620"/>
      <c r="P443" s="620"/>
      <c r="Q443" s="620"/>
      <c r="R443" s="620"/>
      <c r="S443" s="620"/>
      <c r="T443" s="620"/>
    </row>
    <row r="444">
      <c r="A444" s="620"/>
      <c r="B444" s="620"/>
      <c r="C444" s="620"/>
      <c r="D444" s="620"/>
      <c r="E444" s="620"/>
      <c r="F444" s="620"/>
      <c r="G444" s="620"/>
      <c r="H444" s="620"/>
      <c r="I444" s="620"/>
      <c r="J444" s="620"/>
      <c r="K444" s="620"/>
      <c r="L444" s="620"/>
      <c r="M444" s="620"/>
      <c r="N444" s="620"/>
      <c r="O444" s="620"/>
      <c r="P444" s="620"/>
      <c r="Q444" s="620"/>
      <c r="R444" s="620"/>
      <c r="S444" s="620"/>
      <c r="T444" s="620"/>
    </row>
    <row r="445">
      <c r="A445" s="620"/>
      <c r="B445" s="620"/>
      <c r="C445" s="620"/>
      <c r="D445" s="620"/>
      <c r="E445" s="620"/>
      <c r="F445" s="620"/>
      <c r="G445" s="620"/>
      <c r="H445" s="620"/>
      <c r="I445" s="620"/>
      <c r="J445" s="620"/>
      <c r="K445" s="620"/>
      <c r="L445" s="620"/>
      <c r="M445" s="620"/>
      <c r="N445" s="620"/>
      <c r="O445" s="620"/>
      <c r="P445" s="620"/>
      <c r="Q445" s="620"/>
      <c r="R445" s="620"/>
      <c r="S445" s="620"/>
      <c r="T445" s="620"/>
    </row>
    <row r="446">
      <c r="A446" s="620"/>
      <c r="B446" s="620"/>
      <c r="C446" s="620"/>
      <c r="D446" s="620"/>
      <c r="E446" s="620"/>
      <c r="F446" s="620"/>
      <c r="G446" s="620"/>
      <c r="H446" s="620"/>
      <c r="I446" s="620"/>
      <c r="J446" s="620"/>
      <c r="K446" s="620"/>
      <c r="L446" s="620"/>
      <c r="M446" s="620"/>
      <c r="N446" s="620"/>
      <c r="O446" s="620"/>
      <c r="P446" s="620"/>
      <c r="Q446" s="620"/>
      <c r="R446" s="620"/>
      <c r="S446" s="620"/>
      <c r="T446" s="620"/>
    </row>
    <row r="447">
      <c r="A447" s="620"/>
      <c r="B447" s="620"/>
      <c r="C447" s="620"/>
      <c r="D447" s="620"/>
      <c r="E447" s="620"/>
      <c r="F447" s="620"/>
      <c r="G447" s="620"/>
      <c r="H447" s="620"/>
      <c r="I447" s="620"/>
      <c r="J447" s="620"/>
      <c r="K447" s="620"/>
      <c r="L447" s="620"/>
      <c r="M447" s="620"/>
      <c r="N447" s="620"/>
      <c r="O447" s="620"/>
      <c r="P447" s="620"/>
      <c r="Q447" s="620"/>
      <c r="R447" s="620"/>
      <c r="S447" s="620"/>
      <c r="T447" s="620"/>
    </row>
    <row r="448">
      <c r="A448" s="620"/>
      <c r="B448" s="620"/>
      <c r="C448" s="620"/>
      <c r="D448" s="620"/>
      <c r="E448" s="620"/>
      <c r="F448" s="620"/>
      <c r="G448" s="620"/>
      <c r="H448" s="620"/>
      <c r="I448" s="620"/>
      <c r="J448" s="620"/>
      <c r="K448" s="620"/>
      <c r="L448" s="620"/>
      <c r="M448" s="620"/>
      <c r="N448" s="620"/>
      <c r="O448" s="620"/>
      <c r="P448" s="620"/>
      <c r="Q448" s="620"/>
      <c r="R448" s="620"/>
      <c r="S448" s="620"/>
      <c r="T448" s="620"/>
    </row>
    <row r="449">
      <c r="A449" s="620"/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</row>
    <row r="450">
      <c r="A450" s="620"/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</row>
    <row r="451">
      <c r="A451" s="620"/>
      <c r="B451" s="620"/>
      <c r="C451" s="620"/>
      <c r="D451" s="620"/>
      <c r="E451" s="620"/>
      <c r="F451" s="620"/>
      <c r="G451" s="620"/>
      <c r="H451" s="620"/>
      <c r="I451" s="620"/>
      <c r="J451" s="620"/>
      <c r="K451" s="620"/>
      <c r="L451" s="620"/>
      <c r="M451" s="620"/>
      <c r="N451" s="620"/>
      <c r="O451" s="620"/>
      <c r="P451" s="620"/>
      <c r="Q451" s="620"/>
      <c r="R451" s="620"/>
      <c r="S451" s="620"/>
      <c r="T451" s="620"/>
    </row>
    <row r="452">
      <c r="A452" s="620"/>
      <c r="B452" s="620"/>
      <c r="C452" s="620"/>
      <c r="D452" s="620"/>
      <c r="E452" s="620"/>
      <c r="F452" s="620"/>
      <c r="G452" s="620"/>
      <c r="H452" s="620"/>
      <c r="I452" s="620"/>
      <c r="J452" s="620"/>
      <c r="K452" s="620"/>
      <c r="L452" s="620"/>
      <c r="M452" s="620"/>
      <c r="N452" s="620"/>
      <c r="O452" s="620"/>
      <c r="P452" s="620"/>
      <c r="Q452" s="620"/>
      <c r="R452" s="620"/>
      <c r="S452" s="620"/>
      <c r="T452" s="620"/>
    </row>
    <row r="453">
      <c r="A453" s="620"/>
      <c r="B453" s="620"/>
      <c r="C453" s="620"/>
      <c r="D453" s="620"/>
      <c r="E453" s="620"/>
      <c r="F453" s="620"/>
      <c r="G453" s="620"/>
      <c r="H453" s="620"/>
      <c r="I453" s="620"/>
      <c r="J453" s="620"/>
      <c r="K453" s="620"/>
      <c r="L453" s="620"/>
      <c r="M453" s="620"/>
      <c r="N453" s="620"/>
      <c r="O453" s="620"/>
      <c r="P453" s="620"/>
      <c r="Q453" s="620"/>
      <c r="R453" s="620"/>
      <c r="S453" s="620"/>
      <c r="T453" s="620"/>
    </row>
    <row r="454">
      <c r="A454" s="620"/>
      <c r="B454" s="620"/>
      <c r="C454" s="620"/>
      <c r="D454" s="620"/>
      <c r="E454" s="620"/>
      <c r="F454" s="620"/>
      <c r="G454" s="620"/>
      <c r="H454" s="620"/>
      <c r="I454" s="620"/>
      <c r="J454" s="620"/>
      <c r="K454" s="620"/>
      <c r="L454" s="620"/>
      <c r="M454" s="620"/>
      <c r="N454" s="620"/>
      <c r="O454" s="620"/>
      <c r="P454" s="620"/>
      <c r="Q454" s="620"/>
      <c r="R454" s="620"/>
      <c r="S454" s="620"/>
      <c r="T454" s="620"/>
    </row>
    <row r="455">
      <c r="A455" s="620"/>
      <c r="B455" s="620"/>
      <c r="C455" s="620"/>
      <c r="D455" s="620"/>
      <c r="E455" s="620"/>
      <c r="F455" s="620"/>
      <c r="G455" s="620"/>
      <c r="H455" s="620"/>
      <c r="I455" s="620"/>
      <c r="J455" s="620"/>
      <c r="K455" s="620"/>
      <c r="L455" s="620"/>
      <c r="M455" s="620"/>
      <c r="N455" s="620"/>
      <c r="O455" s="620"/>
      <c r="P455" s="620"/>
      <c r="Q455" s="620"/>
      <c r="R455" s="620"/>
      <c r="S455" s="620"/>
      <c r="T455" s="620"/>
    </row>
    <row r="456">
      <c r="A456" s="620"/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</row>
    <row r="457">
      <c r="A457" s="620"/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</row>
    <row r="458">
      <c r="A458" s="620"/>
      <c r="B458" s="620"/>
      <c r="C458" s="620"/>
      <c r="D458" s="620"/>
      <c r="E458" s="620"/>
      <c r="F458" s="620"/>
      <c r="G458" s="620"/>
      <c r="H458" s="620"/>
      <c r="I458" s="620"/>
      <c r="J458" s="620"/>
      <c r="K458" s="620"/>
      <c r="L458" s="620"/>
      <c r="M458" s="620"/>
      <c r="N458" s="620"/>
      <c r="O458" s="620"/>
      <c r="P458" s="620"/>
      <c r="Q458" s="620"/>
      <c r="R458" s="620"/>
      <c r="S458" s="620"/>
      <c r="T458" s="620"/>
    </row>
    <row r="459">
      <c r="A459" s="620"/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</row>
    <row r="460">
      <c r="A460" s="620"/>
      <c r="B460" s="620"/>
      <c r="C460" s="620"/>
      <c r="D460" s="620"/>
      <c r="E460" s="620"/>
      <c r="F460" s="620"/>
      <c r="G460" s="620"/>
      <c r="H460" s="620"/>
      <c r="I460" s="620"/>
      <c r="J460" s="620"/>
      <c r="K460" s="620"/>
      <c r="L460" s="620"/>
      <c r="M460" s="620"/>
      <c r="N460" s="620"/>
      <c r="O460" s="620"/>
      <c r="P460" s="620"/>
      <c r="Q460" s="620"/>
      <c r="R460" s="620"/>
      <c r="S460" s="620"/>
      <c r="T460" s="620"/>
    </row>
    <row r="461">
      <c r="A461" s="620"/>
      <c r="B461" s="620"/>
      <c r="C461" s="620"/>
      <c r="D461" s="620"/>
      <c r="E461" s="620"/>
      <c r="F461" s="620"/>
      <c r="G461" s="620"/>
      <c r="H461" s="620"/>
      <c r="I461" s="620"/>
      <c r="J461" s="620"/>
      <c r="K461" s="620"/>
      <c r="L461" s="620"/>
      <c r="M461" s="620"/>
      <c r="N461" s="620"/>
      <c r="O461" s="620"/>
      <c r="P461" s="620"/>
      <c r="Q461" s="620"/>
      <c r="R461" s="620"/>
      <c r="S461" s="620"/>
      <c r="T461" s="620"/>
    </row>
    <row r="462">
      <c r="A462" s="620"/>
      <c r="B462" s="620"/>
      <c r="C462" s="620"/>
      <c r="D462" s="620"/>
      <c r="E462" s="620"/>
      <c r="F462" s="620"/>
      <c r="G462" s="620"/>
      <c r="H462" s="620"/>
      <c r="I462" s="620"/>
      <c r="J462" s="620"/>
      <c r="K462" s="620"/>
      <c r="L462" s="620"/>
      <c r="M462" s="620"/>
      <c r="N462" s="620"/>
      <c r="O462" s="620"/>
      <c r="P462" s="620"/>
      <c r="Q462" s="620"/>
      <c r="R462" s="620"/>
      <c r="S462" s="620"/>
      <c r="T462" s="620"/>
    </row>
    <row r="463">
      <c r="A463" s="620"/>
      <c r="B463" s="620"/>
      <c r="C463" s="620"/>
      <c r="D463" s="620"/>
      <c r="E463" s="620"/>
      <c r="F463" s="620"/>
      <c r="G463" s="620"/>
      <c r="H463" s="620"/>
      <c r="I463" s="620"/>
      <c r="J463" s="620"/>
      <c r="K463" s="620"/>
      <c r="L463" s="620"/>
      <c r="M463" s="620"/>
      <c r="N463" s="620"/>
      <c r="O463" s="620"/>
      <c r="P463" s="620"/>
      <c r="Q463" s="620"/>
      <c r="R463" s="620"/>
      <c r="S463" s="620"/>
      <c r="T463" s="620"/>
    </row>
    <row r="464">
      <c r="A464" s="620"/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</row>
    <row r="465">
      <c r="A465" s="620"/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</row>
    <row r="466">
      <c r="A466" s="620"/>
      <c r="B466" s="620"/>
      <c r="C466" s="620"/>
      <c r="D466" s="620"/>
      <c r="E466" s="620"/>
      <c r="F466" s="620"/>
      <c r="G466" s="620"/>
      <c r="H466" s="620"/>
      <c r="I466" s="620"/>
      <c r="J466" s="620"/>
      <c r="K466" s="620"/>
      <c r="L466" s="620"/>
      <c r="M466" s="620"/>
      <c r="N466" s="620"/>
      <c r="O466" s="620"/>
      <c r="P466" s="620"/>
      <c r="Q466" s="620"/>
      <c r="R466" s="620"/>
      <c r="S466" s="620"/>
      <c r="T466" s="620"/>
    </row>
    <row r="467">
      <c r="A467" s="620"/>
      <c r="B467" s="620"/>
      <c r="C467" s="620"/>
      <c r="D467" s="620"/>
      <c r="E467" s="620"/>
      <c r="F467" s="620"/>
      <c r="G467" s="620"/>
      <c r="H467" s="620"/>
      <c r="I467" s="620"/>
      <c r="J467" s="620"/>
      <c r="K467" s="620"/>
      <c r="L467" s="620"/>
      <c r="M467" s="620"/>
      <c r="N467" s="620"/>
      <c r="O467" s="620"/>
      <c r="P467" s="620"/>
      <c r="Q467" s="620"/>
      <c r="R467" s="620"/>
      <c r="S467" s="620"/>
      <c r="T467" s="620"/>
    </row>
    <row r="468">
      <c r="A468" s="620"/>
      <c r="B468" s="620"/>
      <c r="C468" s="620"/>
      <c r="D468" s="620"/>
      <c r="E468" s="620"/>
      <c r="F468" s="620"/>
      <c r="G468" s="620"/>
      <c r="H468" s="620"/>
      <c r="I468" s="620"/>
      <c r="J468" s="620"/>
      <c r="K468" s="620"/>
      <c r="L468" s="620"/>
      <c r="M468" s="620"/>
      <c r="N468" s="620"/>
      <c r="O468" s="620"/>
      <c r="P468" s="620"/>
      <c r="Q468" s="620"/>
      <c r="R468" s="620"/>
      <c r="S468" s="620"/>
      <c r="T468" s="620"/>
    </row>
    <row r="469">
      <c r="A469" s="620"/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</row>
    <row r="470">
      <c r="A470" s="620"/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</row>
    <row r="471">
      <c r="A471" s="620"/>
      <c r="B471" s="620"/>
      <c r="C471" s="620"/>
      <c r="D471" s="620"/>
      <c r="E471" s="620"/>
      <c r="F471" s="620"/>
      <c r="G471" s="620"/>
      <c r="H471" s="620"/>
      <c r="I471" s="620"/>
      <c r="J471" s="620"/>
      <c r="K471" s="620"/>
      <c r="L471" s="620"/>
      <c r="M471" s="620"/>
      <c r="N471" s="620"/>
      <c r="O471" s="620"/>
      <c r="P471" s="620"/>
      <c r="Q471" s="620"/>
      <c r="R471" s="620"/>
      <c r="S471" s="620"/>
      <c r="T471" s="620"/>
    </row>
    <row r="472">
      <c r="A472" s="620"/>
      <c r="B472" s="620"/>
      <c r="C472" s="620"/>
      <c r="D472" s="620"/>
      <c r="E472" s="620"/>
      <c r="F472" s="620"/>
      <c r="G472" s="620"/>
      <c r="H472" s="620"/>
      <c r="I472" s="620"/>
      <c r="J472" s="620"/>
      <c r="K472" s="620"/>
      <c r="L472" s="620"/>
      <c r="M472" s="620"/>
      <c r="N472" s="620"/>
      <c r="O472" s="620"/>
      <c r="P472" s="620"/>
      <c r="Q472" s="620"/>
      <c r="R472" s="620"/>
      <c r="S472" s="620"/>
      <c r="T472" s="620"/>
    </row>
    <row r="473">
      <c r="A473" s="620"/>
      <c r="B473" s="620"/>
      <c r="C473" s="620"/>
      <c r="D473" s="620"/>
      <c r="E473" s="620"/>
      <c r="F473" s="620"/>
      <c r="G473" s="620"/>
      <c r="H473" s="620"/>
      <c r="I473" s="620"/>
      <c r="J473" s="620"/>
      <c r="K473" s="620"/>
      <c r="L473" s="620"/>
      <c r="M473" s="620"/>
      <c r="N473" s="620"/>
      <c r="O473" s="620"/>
      <c r="P473" s="620"/>
      <c r="Q473" s="620"/>
      <c r="R473" s="620"/>
      <c r="S473" s="620"/>
      <c r="T473" s="620"/>
    </row>
    <row r="474">
      <c r="A474" s="620"/>
      <c r="B474" s="620"/>
      <c r="C474" s="620"/>
      <c r="D474" s="620"/>
      <c r="E474" s="620"/>
      <c r="F474" s="620"/>
      <c r="G474" s="620"/>
      <c r="H474" s="620"/>
      <c r="I474" s="620"/>
      <c r="J474" s="620"/>
      <c r="K474" s="620"/>
      <c r="L474" s="620"/>
      <c r="M474" s="620"/>
      <c r="N474" s="620"/>
      <c r="O474" s="620"/>
      <c r="P474" s="620"/>
      <c r="Q474" s="620"/>
      <c r="R474" s="620"/>
      <c r="S474" s="620"/>
      <c r="T474" s="620"/>
    </row>
    <row r="475">
      <c r="A475" s="620"/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</row>
    <row r="476">
      <c r="A476" s="620"/>
      <c r="B476" s="620"/>
      <c r="C476" s="620"/>
      <c r="D476" s="620"/>
      <c r="E476" s="620"/>
      <c r="F476" s="620"/>
      <c r="G476" s="620"/>
      <c r="H476" s="620"/>
      <c r="I476" s="620"/>
      <c r="J476" s="620"/>
      <c r="K476" s="620"/>
      <c r="L476" s="620"/>
      <c r="M476" s="620"/>
      <c r="N476" s="620"/>
      <c r="O476" s="620"/>
      <c r="P476" s="620"/>
      <c r="Q476" s="620"/>
      <c r="R476" s="620"/>
      <c r="S476" s="620"/>
      <c r="T476" s="620"/>
    </row>
    <row r="477">
      <c r="A477" s="620"/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</row>
    <row r="478">
      <c r="A478" s="620"/>
      <c r="B478" s="620"/>
      <c r="C478" s="620"/>
      <c r="D478" s="620"/>
      <c r="E478" s="620"/>
      <c r="F478" s="620"/>
      <c r="G478" s="620"/>
      <c r="H478" s="620"/>
      <c r="I478" s="620"/>
      <c r="J478" s="620"/>
      <c r="K478" s="620"/>
      <c r="L478" s="620"/>
      <c r="M478" s="620"/>
      <c r="N478" s="620"/>
      <c r="O478" s="620"/>
      <c r="P478" s="620"/>
      <c r="Q478" s="620"/>
      <c r="R478" s="620"/>
      <c r="S478" s="620"/>
      <c r="T478" s="620"/>
    </row>
    <row r="479">
      <c r="A479" s="620"/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</row>
    <row r="480">
      <c r="A480" s="620"/>
      <c r="B480" s="620"/>
      <c r="C480" s="620"/>
      <c r="D480" s="620"/>
      <c r="E480" s="620"/>
      <c r="F480" s="620"/>
      <c r="G480" s="620"/>
      <c r="H480" s="620"/>
      <c r="I480" s="620"/>
      <c r="J480" s="620"/>
      <c r="K480" s="620"/>
      <c r="L480" s="620"/>
      <c r="M480" s="620"/>
      <c r="N480" s="620"/>
      <c r="O480" s="620"/>
      <c r="P480" s="620"/>
      <c r="Q480" s="620"/>
      <c r="R480" s="620"/>
      <c r="S480" s="620"/>
      <c r="T480" s="620"/>
    </row>
    <row r="481">
      <c r="A481" s="620"/>
      <c r="B481" s="620"/>
      <c r="C481" s="620"/>
      <c r="D481" s="620"/>
      <c r="E481" s="620"/>
      <c r="F481" s="620"/>
      <c r="G481" s="620"/>
      <c r="H481" s="620"/>
      <c r="I481" s="620"/>
      <c r="J481" s="620"/>
      <c r="K481" s="620"/>
      <c r="L481" s="620"/>
      <c r="M481" s="620"/>
      <c r="N481" s="620"/>
      <c r="O481" s="620"/>
      <c r="P481" s="620"/>
      <c r="Q481" s="620"/>
      <c r="R481" s="620"/>
      <c r="S481" s="620"/>
      <c r="T481" s="620"/>
    </row>
    <row r="482">
      <c r="A482" s="620"/>
      <c r="B482" s="620"/>
      <c r="C482" s="620"/>
      <c r="D482" s="620"/>
      <c r="E482" s="620"/>
      <c r="F482" s="620"/>
      <c r="G482" s="620"/>
      <c r="H482" s="620"/>
      <c r="I482" s="620"/>
      <c r="J482" s="620"/>
      <c r="K482" s="620"/>
      <c r="L482" s="620"/>
      <c r="M482" s="620"/>
      <c r="N482" s="620"/>
      <c r="O482" s="620"/>
      <c r="P482" s="620"/>
      <c r="Q482" s="620"/>
      <c r="R482" s="620"/>
      <c r="S482" s="620"/>
      <c r="T482" s="620"/>
    </row>
    <row r="483">
      <c r="A483" s="620"/>
      <c r="B483" s="620"/>
      <c r="C483" s="620"/>
      <c r="D483" s="620"/>
      <c r="E483" s="620"/>
      <c r="F483" s="620"/>
      <c r="G483" s="620"/>
      <c r="H483" s="620"/>
      <c r="I483" s="620"/>
      <c r="J483" s="620"/>
      <c r="K483" s="620"/>
      <c r="L483" s="620"/>
      <c r="M483" s="620"/>
      <c r="N483" s="620"/>
      <c r="O483" s="620"/>
      <c r="P483" s="620"/>
      <c r="Q483" s="620"/>
      <c r="R483" s="620"/>
      <c r="S483" s="620"/>
      <c r="T483" s="620"/>
    </row>
    <row r="484">
      <c r="A484" s="620"/>
      <c r="B484" s="620"/>
      <c r="C484" s="620"/>
      <c r="D484" s="620"/>
      <c r="E484" s="620"/>
      <c r="F484" s="620"/>
      <c r="G484" s="620"/>
      <c r="H484" s="620"/>
      <c r="I484" s="620"/>
      <c r="J484" s="620"/>
      <c r="K484" s="620"/>
      <c r="L484" s="620"/>
      <c r="M484" s="620"/>
      <c r="N484" s="620"/>
      <c r="O484" s="620"/>
      <c r="P484" s="620"/>
      <c r="Q484" s="620"/>
      <c r="R484" s="620"/>
      <c r="S484" s="620"/>
      <c r="T484" s="620"/>
    </row>
    <row r="485">
      <c r="A485" s="620"/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</row>
    <row r="486">
      <c r="A486" s="620"/>
      <c r="B486" s="620"/>
      <c r="C486" s="620"/>
      <c r="D486" s="620"/>
      <c r="E486" s="620"/>
      <c r="F486" s="620"/>
      <c r="G486" s="620"/>
      <c r="H486" s="620"/>
      <c r="I486" s="620"/>
      <c r="J486" s="620"/>
      <c r="K486" s="620"/>
      <c r="L486" s="620"/>
      <c r="M486" s="620"/>
      <c r="N486" s="620"/>
      <c r="O486" s="620"/>
      <c r="P486" s="620"/>
      <c r="Q486" s="620"/>
      <c r="R486" s="620"/>
      <c r="S486" s="620"/>
      <c r="T486" s="620"/>
    </row>
    <row r="487">
      <c r="A487" s="620"/>
      <c r="B487" s="620"/>
      <c r="C487" s="620"/>
      <c r="D487" s="620"/>
      <c r="E487" s="620"/>
      <c r="F487" s="620"/>
      <c r="G487" s="620"/>
      <c r="H487" s="620"/>
      <c r="I487" s="620"/>
      <c r="J487" s="620"/>
      <c r="K487" s="620"/>
      <c r="L487" s="620"/>
      <c r="M487" s="620"/>
      <c r="N487" s="620"/>
      <c r="O487" s="620"/>
      <c r="P487" s="620"/>
      <c r="Q487" s="620"/>
      <c r="R487" s="620"/>
      <c r="S487" s="620"/>
      <c r="T487" s="620"/>
    </row>
    <row r="488">
      <c r="A488" s="620"/>
      <c r="B488" s="620"/>
      <c r="C488" s="620"/>
      <c r="D488" s="620"/>
      <c r="E488" s="620"/>
      <c r="F488" s="620"/>
      <c r="G488" s="620"/>
      <c r="H488" s="620"/>
      <c r="I488" s="620"/>
      <c r="J488" s="620"/>
      <c r="K488" s="620"/>
      <c r="L488" s="620"/>
      <c r="M488" s="620"/>
      <c r="N488" s="620"/>
      <c r="O488" s="620"/>
      <c r="P488" s="620"/>
      <c r="Q488" s="620"/>
      <c r="R488" s="620"/>
      <c r="S488" s="620"/>
      <c r="T488" s="620"/>
    </row>
    <row r="489">
      <c r="A489" s="620"/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</row>
    <row r="490">
      <c r="A490" s="620"/>
      <c r="B490" s="620"/>
      <c r="C490" s="620"/>
      <c r="D490" s="620"/>
      <c r="E490" s="620"/>
      <c r="F490" s="620"/>
      <c r="G490" s="620"/>
      <c r="H490" s="620"/>
      <c r="I490" s="620"/>
      <c r="J490" s="620"/>
      <c r="K490" s="620"/>
      <c r="L490" s="620"/>
      <c r="M490" s="620"/>
      <c r="N490" s="620"/>
      <c r="O490" s="620"/>
      <c r="P490" s="620"/>
      <c r="Q490" s="620"/>
      <c r="R490" s="620"/>
      <c r="S490" s="620"/>
      <c r="T490" s="620"/>
    </row>
    <row r="491">
      <c r="A491" s="620"/>
      <c r="B491" s="620"/>
      <c r="C491" s="620"/>
      <c r="D491" s="620"/>
      <c r="E491" s="620"/>
      <c r="F491" s="620"/>
      <c r="G491" s="620"/>
      <c r="H491" s="620"/>
      <c r="I491" s="620"/>
      <c r="J491" s="620"/>
      <c r="K491" s="620"/>
      <c r="L491" s="620"/>
      <c r="M491" s="620"/>
      <c r="N491" s="620"/>
      <c r="O491" s="620"/>
      <c r="P491" s="620"/>
      <c r="Q491" s="620"/>
      <c r="R491" s="620"/>
      <c r="S491" s="620"/>
      <c r="T491" s="620"/>
    </row>
    <row r="492">
      <c r="A492" s="620"/>
      <c r="B492" s="620"/>
      <c r="C492" s="620"/>
      <c r="D492" s="620"/>
      <c r="E492" s="620"/>
      <c r="F492" s="620"/>
      <c r="G492" s="620"/>
      <c r="H492" s="620"/>
      <c r="I492" s="620"/>
      <c r="J492" s="620"/>
      <c r="K492" s="620"/>
      <c r="L492" s="620"/>
      <c r="M492" s="620"/>
      <c r="N492" s="620"/>
      <c r="O492" s="620"/>
      <c r="P492" s="620"/>
      <c r="Q492" s="620"/>
      <c r="R492" s="620"/>
      <c r="S492" s="620"/>
      <c r="T492" s="620"/>
    </row>
    <row r="493">
      <c r="A493" s="620"/>
      <c r="B493" s="620"/>
      <c r="C493" s="620"/>
      <c r="D493" s="620"/>
      <c r="E493" s="620"/>
      <c r="F493" s="620"/>
      <c r="G493" s="620"/>
      <c r="H493" s="620"/>
      <c r="I493" s="620"/>
      <c r="J493" s="620"/>
      <c r="K493" s="620"/>
      <c r="L493" s="620"/>
      <c r="M493" s="620"/>
      <c r="N493" s="620"/>
      <c r="O493" s="620"/>
      <c r="P493" s="620"/>
      <c r="Q493" s="620"/>
      <c r="R493" s="620"/>
      <c r="S493" s="620"/>
      <c r="T493" s="620"/>
    </row>
    <row r="494">
      <c r="A494" s="620"/>
      <c r="B494" s="620"/>
      <c r="C494" s="620"/>
      <c r="D494" s="620"/>
      <c r="E494" s="620"/>
      <c r="F494" s="620"/>
      <c r="G494" s="620"/>
      <c r="H494" s="620"/>
      <c r="I494" s="620"/>
      <c r="J494" s="620"/>
      <c r="K494" s="620"/>
      <c r="L494" s="620"/>
      <c r="M494" s="620"/>
      <c r="N494" s="620"/>
      <c r="O494" s="620"/>
      <c r="P494" s="620"/>
      <c r="Q494" s="620"/>
      <c r="R494" s="620"/>
      <c r="S494" s="620"/>
      <c r="T494" s="620"/>
    </row>
    <row r="495">
      <c r="A495" s="620"/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</row>
    <row r="496">
      <c r="A496" s="620"/>
      <c r="B496" s="620"/>
      <c r="C496" s="620"/>
      <c r="D496" s="620"/>
      <c r="E496" s="620"/>
      <c r="F496" s="620"/>
      <c r="G496" s="620"/>
      <c r="H496" s="620"/>
      <c r="I496" s="620"/>
      <c r="J496" s="620"/>
      <c r="K496" s="620"/>
      <c r="L496" s="620"/>
      <c r="M496" s="620"/>
      <c r="N496" s="620"/>
      <c r="O496" s="620"/>
      <c r="P496" s="620"/>
      <c r="Q496" s="620"/>
      <c r="R496" s="620"/>
      <c r="S496" s="620"/>
      <c r="T496" s="620"/>
    </row>
    <row r="497">
      <c r="A497" s="620"/>
      <c r="B497" s="620"/>
      <c r="C497" s="620"/>
      <c r="D497" s="620"/>
      <c r="E497" s="620"/>
      <c r="F497" s="620"/>
      <c r="G497" s="620"/>
      <c r="H497" s="620"/>
      <c r="I497" s="620"/>
      <c r="J497" s="620"/>
      <c r="K497" s="620"/>
      <c r="L497" s="620"/>
      <c r="M497" s="620"/>
      <c r="N497" s="620"/>
      <c r="O497" s="620"/>
      <c r="P497" s="620"/>
      <c r="Q497" s="620"/>
      <c r="R497" s="620"/>
      <c r="S497" s="620"/>
      <c r="T497" s="620"/>
    </row>
    <row r="498">
      <c r="A498" s="620"/>
      <c r="B498" s="620"/>
      <c r="C498" s="620"/>
      <c r="D498" s="620"/>
      <c r="E498" s="620"/>
      <c r="F498" s="620"/>
      <c r="G498" s="620"/>
      <c r="H498" s="620"/>
      <c r="I498" s="620"/>
      <c r="J498" s="620"/>
      <c r="K498" s="620"/>
      <c r="L498" s="620"/>
      <c r="M498" s="620"/>
      <c r="N498" s="620"/>
      <c r="O498" s="620"/>
      <c r="P498" s="620"/>
      <c r="Q498" s="620"/>
      <c r="R498" s="620"/>
      <c r="S498" s="620"/>
      <c r="T498" s="620"/>
    </row>
    <row r="499">
      <c r="A499" s="620"/>
      <c r="B499" s="620"/>
      <c r="C499" s="620"/>
      <c r="D499" s="620"/>
      <c r="E499" s="620"/>
      <c r="F499" s="620"/>
      <c r="G499" s="620"/>
      <c r="H499" s="620"/>
      <c r="I499" s="620"/>
      <c r="J499" s="620"/>
      <c r="K499" s="620"/>
      <c r="L499" s="620"/>
      <c r="M499" s="620"/>
      <c r="N499" s="620"/>
      <c r="O499" s="620"/>
      <c r="P499" s="620"/>
      <c r="Q499" s="620"/>
      <c r="R499" s="620"/>
      <c r="S499" s="620"/>
      <c r="T499" s="620"/>
    </row>
    <row r="500">
      <c r="A500" s="620"/>
      <c r="B500" s="620"/>
      <c r="C500" s="620"/>
      <c r="D500" s="620"/>
      <c r="E500" s="620"/>
      <c r="F500" s="620"/>
      <c r="G500" s="620"/>
      <c r="H500" s="620"/>
      <c r="I500" s="620"/>
      <c r="J500" s="620"/>
      <c r="K500" s="620"/>
      <c r="L500" s="620"/>
      <c r="M500" s="620"/>
      <c r="N500" s="620"/>
      <c r="O500" s="620"/>
      <c r="P500" s="620"/>
      <c r="Q500" s="620"/>
      <c r="R500" s="620"/>
      <c r="S500" s="620"/>
      <c r="T500" s="620"/>
    </row>
    <row r="501">
      <c r="A501" s="620"/>
      <c r="B501" s="620"/>
      <c r="C501" s="620"/>
      <c r="D501" s="620"/>
      <c r="E501" s="620"/>
      <c r="F501" s="620"/>
      <c r="G501" s="620"/>
      <c r="H501" s="620"/>
      <c r="I501" s="620"/>
      <c r="J501" s="620"/>
      <c r="K501" s="620"/>
      <c r="L501" s="620"/>
      <c r="M501" s="620"/>
      <c r="N501" s="620"/>
      <c r="O501" s="620"/>
      <c r="P501" s="620"/>
      <c r="Q501" s="620"/>
      <c r="R501" s="620"/>
      <c r="S501" s="620"/>
      <c r="T501" s="620"/>
    </row>
    <row r="502">
      <c r="A502" s="620"/>
      <c r="B502" s="620"/>
      <c r="C502" s="620"/>
      <c r="D502" s="620"/>
      <c r="E502" s="620"/>
      <c r="F502" s="620"/>
      <c r="G502" s="620"/>
      <c r="H502" s="620"/>
      <c r="I502" s="620"/>
      <c r="J502" s="620"/>
      <c r="K502" s="620"/>
      <c r="L502" s="620"/>
      <c r="M502" s="620"/>
      <c r="N502" s="620"/>
      <c r="O502" s="620"/>
      <c r="P502" s="620"/>
      <c r="Q502" s="620"/>
      <c r="R502" s="620"/>
      <c r="S502" s="620"/>
      <c r="T502" s="620"/>
    </row>
    <row r="503">
      <c r="A503" s="620"/>
      <c r="B503" s="620"/>
      <c r="C503" s="620"/>
      <c r="D503" s="620"/>
      <c r="E503" s="620"/>
      <c r="F503" s="620"/>
      <c r="G503" s="620"/>
      <c r="H503" s="620"/>
      <c r="I503" s="620"/>
      <c r="J503" s="620"/>
      <c r="K503" s="620"/>
      <c r="L503" s="620"/>
      <c r="M503" s="620"/>
      <c r="N503" s="620"/>
      <c r="O503" s="620"/>
      <c r="P503" s="620"/>
      <c r="Q503" s="620"/>
      <c r="R503" s="620"/>
      <c r="S503" s="620"/>
      <c r="T503" s="620"/>
    </row>
    <row r="504">
      <c r="A504" s="620"/>
      <c r="B504" s="620"/>
      <c r="C504" s="620"/>
      <c r="D504" s="620"/>
      <c r="E504" s="620"/>
      <c r="F504" s="620"/>
      <c r="G504" s="620"/>
      <c r="H504" s="620"/>
      <c r="I504" s="620"/>
      <c r="J504" s="620"/>
      <c r="K504" s="620"/>
      <c r="L504" s="620"/>
      <c r="M504" s="620"/>
      <c r="N504" s="620"/>
      <c r="O504" s="620"/>
      <c r="P504" s="620"/>
      <c r="Q504" s="620"/>
      <c r="R504" s="620"/>
      <c r="S504" s="620"/>
      <c r="T504" s="620"/>
    </row>
    <row r="505">
      <c r="A505" s="620"/>
      <c r="B505" s="620"/>
      <c r="C505" s="620"/>
      <c r="D505" s="620"/>
      <c r="E505" s="620"/>
      <c r="F505" s="620"/>
      <c r="G505" s="620"/>
      <c r="H505" s="620"/>
      <c r="I505" s="620"/>
      <c r="J505" s="620"/>
      <c r="K505" s="620"/>
      <c r="L505" s="620"/>
      <c r="M505" s="620"/>
      <c r="N505" s="620"/>
      <c r="O505" s="620"/>
      <c r="P505" s="620"/>
      <c r="Q505" s="620"/>
      <c r="R505" s="620"/>
      <c r="S505" s="620"/>
      <c r="T505" s="620"/>
    </row>
    <row r="506">
      <c r="A506" s="620"/>
      <c r="B506" s="620"/>
      <c r="C506" s="620"/>
      <c r="D506" s="620"/>
      <c r="E506" s="620"/>
      <c r="F506" s="620"/>
      <c r="G506" s="620"/>
      <c r="H506" s="620"/>
      <c r="I506" s="620"/>
      <c r="J506" s="620"/>
      <c r="K506" s="620"/>
      <c r="L506" s="620"/>
      <c r="M506" s="620"/>
      <c r="N506" s="620"/>
      <c r="O506" s="620"/>
      <c r="P506" s="620"/>
      <c r="Q506" s="620"/>
      <c r="R506" s="620"/>
      <c r="S506" s="620"/>
      <c r="T506" s="620"/>
    </row>
    <row r="507">
      <c r="A507" s="620"/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</row>
    <row r="508">
      <c r="A508" s="620"/>
      <c r="B508" s="620"/>
      <c r="C508" s="620"/>
      <c r="D508" s="620"/>
      <c r="E508" s="620"/>
      <c r="F508" s="620"/>
      <c r="G508" s="620"/>
      <c r="H508" s="620"/>
      <c r="I508" s="620"/>
      <c r="J508" s="620"/>
      <c r="K508" s="620"/>
      <c r="L508" s="620"/>
      <c r="M508" s="620"/>
      <c r="N508" s="620"/>
      <c r="O508" s="620"/>
      <c r="P508" s="620"/>
      <c r="Q508" s="620"/>
      <c r="R508" s="620"/>
      <c r="S508" s="620"/>
      <c r="T508" s="620"/>
    </row>
    <row r="509">
      <c r="A509" s="620"/>
      <c r="B509" s="620"/>
      <c r="C509" s="620"/>
      <c r="D509" s="620"/>
      <c r="E509" s="620"/>
      <c r="F509" s="620"/>
      <c r="G509" s="620"/>
      <c r="H509" s="620"/>
      <c r="I509" s="620"/>
      <c r="J509" s="620"/>
      <c r="K509" s="620"/>
      <c r="L509" s="620"/>
      <c r="M509" s="620"/>
      <c r="N509" s="620"/>
      <c r="O509" s="620"/>
      <c r="P509" s="620"/>
      <c r="Q509" s="620"/>
      <c r="R509" s="620"/>
      <c r="S509" s="620"/>
      <c r="T509" s="620"/>
    </row>
    <row r="510">
      <c r="A510" s="620"/>
      <c r="B510" s="620"/>
      <c r="C510" s="620"/>
      <c r="D510" s="620"/>
      <c r="E510" s="620"/>
      <c r="F510" s="620"/>
      <c r="G510" s="620"/>
      <c r="H510" s="620"/>
      <c r="I510" s="620"/>
      <c r="J510" s="620"/>
      <c r="K510" s="620"/>
      <c r="L510" s="620"/>
      <c r="M510" s="620"/>
      <c r="N510" s="620"/>
      <c r="O510" s="620"/>
      <c r="P510" s="620"/>
      <c r="Q510" s="620"/>
      <c r="R510" s="620"/>
      <c r="S510" s="620"/>
      <c r="T510" s="620"/>
    </row>
    <row r="511">
      <c r="A511" s="620"/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</row>
    <row r="512">
      <c r="A512" s="620"/>
      <c r="B512" s="620"/>
      <c r="C512" s="620"/>
      <c r="D512" s="620"/>
      <c r="E512" s="620"/>
      <c r="F512" s="620"/>
      <c r="G512" s="620"/>
      <c r="H512" s="620"/>
      <c r="I512" s="620"/>
      <c r="J512" s="620"/>
      <c r="K512" s="620"/>
      <c r="L512" s="620"/>
      <c r="M512" s="620"/>
      <c r="N512" s="620"/>
      <c r="O512" s="620"/>
      <c r="P512" s="620"/>
      <c r="Q512" s="620"/>
      <c r="R512" s="620"/>
      <c r="S512" s="620"/>
      <c r="T512" s="620"/>
    </row>
    <row r="513">
      <c r="A513" s="620"/>
      <c r="B513" s="620"/>
      <c r="C513" s="620"/>
      <c r="D513" s="620"/>
      <c r="E513" s="620"/>
      <c r="F513" s="620"/>
      <c r="G513" s="620"/>
      <c r="H513" s="620"/>
      <c r="I513" s="620"/>
      <c r="J513" s="620"/>
      <c r="K513" s="620"/>
      <c r="L513" s="620"/>
      <c r="M513" s="620"/>
      <c r="N513" s="620"/>
      <c r="O513" s="620"/>
      <c r="P513" s="620"/>
      <c r="Q513" s="620"/>
      <c r="R513" s="620"/>
      <c r="S513" s="620"/>
      <c r="T513" s="620"/>
    </row>
    <row r="514">
      <c r="A514" s="620"/>
      <c r="B514" s="620"/>
      <c r="C514" s="620"/>
      <c r="D514" s="620"/>
      <c r="E514" s="620"/>
      <c r="F514" s="620"/>
      <c r="G514" s="620"/>
      <c r="H514" s="620"/>
      <c r="I514" s="620"/>
      <c r="J514" s="620"/>
      <c r="K514" s="620"/>
      <c r="L514" s="620"/>
      <c r="M514" s="620"/>
      <c r="N514" s="620"/>
      <c r="O514" s="620"/>
      <c r="P514" s="620"/>
      <c r="Q514" s="620"/>
      <c r="R514" s="620"/>
      <c r="S514" s="620"/>
      <c r="T514" s="620"/>
    </row>
    <row r="515">
      <c r="A515" s="620"/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</row>
    <row r="516">
      <c r="A516" s="620"/>
      <c r="B516" s="620"/>
      <c r="C516" s="620"/>
      <c r="D516" s="620"/>
      <c r="E516" s="620"/>
      <c r="F516" s="620"/>
      <c r="G516" s="620"/>
      <c r="H516" s="620"/>
      <c r="I516" s="620"/>
      <c r="J516" s="620"/>
      <c r="K516" s="620"/>
      <c r="L516" s="620"/>
      <c r="M516" s="620"/>
      <c r="N516" s="620"/>
      <c r="O516" s="620"/>
      <c r="P516" s="620"/>
      <c r="Q516" s="620"/>
      <c r="R516" s="620"/>
      <c r="S516" s="620"/>
      <c r="T516" s="620"/>
    </row>
    <row r="517">
      <c r="A517" s="620"/>
      <c r="B517" s="620"/>
      <c r="C517" s="620"/>
      <c r="D517" s="620"/>
      <c r="E517" s="620"/>
      <c r="F517" s="620"/>
      <c r="G517" s="620"/>
      <c r="H517" s="620"/>
      <c r="I517" s="620"/>
      <c r="J517" s="620"/>
      <c r="K517" s="620"/>
      <c r="L517" s="620"/>
      <c r="M517" s="620"/>
      <c r="N517" s="620"/>
      <c r="O517" s="620"/>
      <c r="P517" s="620"/>
      <c r="Q517" s="620"/>
      <c r="R517" s="620"/>
      <c r="S517" s="620"/>
      <c r="T517" s="620"/>
    </row>
    <row r="518">
      <c r="A518" s="620"/>
      <c r="B518" s="620"/>
      <c r="C518" s="620"/>
      <c r="D518" s="620"/>
      <c r="E518" s="620"/>
      <c r="F518" s="620"/>
      <c r="G518" s="620"/>
      <c r="H518" s="620"/>
      <c r="I518" s="620"/>
      <c r="J518" s="620"/>
      <c r="K518" s="620"/>
      <c r="L518" s="620"/>
      <c r="M518" s="620"/>
      <c r="N518" s="620"/>
      <c r="O518" s="620"/>
      <c r="P518" s="620"/>
      <c r="Q518" s="620"/>
      <c r="R518" s="620"/>
      <c r="S518" s="620"/>
      <c r="T518" s="620"/>
    </row>
    <row r="519">
      <c r="A519" s="620"/>
      <c r="B519" s="620"/>
      <c r="C519" s="620"/>
      <c r="D519" s="620"/>
      <c r="E519" s="620"/>
      <c r="F519" s="620"/>
      <c r="G519" s="620"/>
      <c r="H519" s="620"/>
      <c r="I519" s="620"/>
      <c r="J519" s="620"/>
      <c r="K519" s="620"/>
      <c r="L519" s="620"/>
      <c r="M519" s="620"/>
      <c r="N519" s="620"/>
      <c r="O519" s="620"/>
      <c r="P519" s="620"/>
      <c r="Q519" s="620"/>
      <c r="R519" s="620"/>
      <c r="S519" s="620"/>
      <c r="T519" s="620"/>
    </row>
    <row r="520">
      <c r="A520" s="620"/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</row>
    <row r="521">
      <c r="A521" s="620"/>
      <c r="B521" s="620"/>
      <c r="C521" s="620"/>
      <c r="D521" s="620"/>
      <c r="E521" s="620"/>
      <c r="F521" s="620"/>
      <c r="G521" s="620"/>
      <c r="H521" s="620"/>
      <c r="I521" s="620"/>
      <c r="J521" s="620"/>
      <c r="K521" s="620"/>
      <c r="L521" s="620"/>
      <c r="M521" s="620"/>
      <c r="N521" s="620"/>
      <c r="O521" s="620"/>
      <c r="P521" s="620"/>
      <c r="Q521" s="620"/>
      <c r="R521" s="620"/>
      <c r="S521" s="620"/>
      <c r="T521" s="620"/>
    </row>
    <row r="522">
      <c r="A522" s="620"/>
      <c r="B522" s="620"/>
      <c r="C522" s="620"/>
      <c r="D522" s="620"/>
      <c r="E522" s="620"/>
      <c r="F522" s="620"/>
      <c r="G522" s="620"/>
      <c r="H522" s="620"/>
      <c r="I522" s="620"/>
      <c r="J522" s="620"/>
      <c r="K522" s="620"/>
      <c r="L522" s="620"/>
      <c r="M522" s="620"/>
      <c r="N522" s="620"/>
      <c r="O522" s="620"/>
      <c r="P522" s="620"/>
      <c r="Q522" s="620"/>
      <c r="R522" s="620"/>
      <c r="S522" s="620"/>
      <c r="T522" s="620"/>
    </row>
    <row r="523">
      <c r="A523" s="620"/>
      <c r="B523" s="620"/>
      <c r="C523" s="620"/>
      <c r="D523" s="620"/>
      <c r="E523" s="620"/>
      <c r="F523" s="620"/>
      <c r="G523" s="620"/>
      <c r="H523" s="620"/>
      <c r="I523" s="620"/>
      <c r="J523" s="620"/>
      <c r="K523" s="620"/>
      <c r="L523" s="620"/>
      <c r="M523" s="620"/>
      <c r="N523" s="620"/>
      <c r="O523" s="620"/>
      <c r="P523" s="620"/>
      <c r="Q523" s="620"/>
      <c r="R523" s="620"/>
      <c r="S523" s="620"/>
      <c r="T523" s="620"/>
    </row>
    <row r="524">
      <c r="A524" s="620"/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</row>
    <row r="525">
      <c r="A525" s="620"/>
      <c r="B525" s="620"/>
      <c r="C525" s="620"/>
      <c r="D525" s="620"/>
      <c r="E525" s="620"/>
      <c r="F525" s="620"/>
      <c r="G525" s="620"/>
      <c r="H525" s="620"/>
      <c r="I525" s="620"/>
      <c r="J525" s="620"/>
      <c r="K525" s="620"/>
      <c r="L525" s="620"/>
      <c r="M525" s="620"/>
      <c r="N525" s="620"/>
      <c r="O525" s="620"/>
      <c r="P525" s="620"/>
      <c r="Q525" s="620"/>
      <c r="R525" s="620"/>
      <c r="S525" s="620"/>
      <c r="T525" s="620"/>
    </row>
    <row r="526">
      <c r="A526" s="620"/>
      <c r="B526" s="620"/>
      <c r="C526" s="620"/>
      <c r="D526" s="620"/>
      <c r="E526" s="620"/>
      <c r="F526" s="620"/>
      <c r="G526" s="620"/>
      <c r="H526" s="620"/>
      <c r="I526" s="620"/>
      <c r="J526" s="620"/>
      <c r="K526" s="620"/>
      <c r="L526" s="620"/>
      <c r="M526" s="620"/>
      <c r="N526" s="620"/>
      <c r="O526" s="620"/>
      <c r="P526" s="620"/>
      <c r="Q526" s="620"/>
      <c r="R526" s="620"/>
      <c r="S526" s="620"/>
      <c r="T526" s="620"/>
    </row>
    <row r="527">
      <c r="A527" s="620"/>
      <c r="B527" s="620"/>
      <c r="C527" s="620"/>
      <c r="D527" s="620"/>
      <c r="E527" s="620"/>
      <c r="F527" s="620"/>
      <c r="G527" s="620"/>
      <c r="H527" s="620"/>
      <c r="I527" s="620"/>
      <c r="J527" s="620"/>
      <c r="K527" s="620"/>
      <c r="L527" s="620"/>
      <c r="M527" s="620"/>
      <c r="N527" s="620"/>
      <c r="O527" s="620"/>
      <c r="P527" s="620"/>
      <c r="Q527" s="620"/>
      <c r="R527" s="620"/>
      <c r="S527" s="620"/>
      <c r="T527" s="620"/>
    </row>
    <row r="528">
      <c r="A528" s="620"/>
      <c r="B528" s="620"/>
      <c r="C528" s="620"/>
      <c r="D528" s="620"/>
      <c r="E528" s="620"/>
      <c r="F528" s="620"/>
      <c r="G528" s="620"/>
      <c r="H528" s="620"/>
      <c r="I528" s="620"/>
      <c r="J528" s="620"/>
      <c r="K528" s="620"/>
      <c r="L528" s="620"/>
      <c r="M528" s="620"/>
      <c r="N528" s="620"/>
      <c r="O528" s="620"/>
      <c r="P528" s="620"/>
      <c r="Q528" s="620"/>
      <c r="R528" s="620"/>
      <c r="S528" s="620"/>
      <c r="T528" s="620"/>
    </row>
    <row r="529">
      <c r="A529" s="620"/>
      <c r="B529" s="620"/>
      <c r="C529" s="620"/>
      <c r="D529" s="620"/>
      <c r="E529" s="620"/>
      <c r="F529" s="620"/>
      <c r="G529" s="620"/>
      <c r="H529" s="620"/>
      <c r="I529" s="620"/>
      <c r="J529" s="620"/>
      <c r="K529" s="620"/>
      <c r="L529" s="620"/>
      <c r="M529" s="620"/>
      <c r="N529" s="620"/>
      <c r="O529" s="620"/>
      <c r="P529" s="620"/>
      <c r="Q529" s="620"/>
      <c r="R529" s="620"/>
      <c r="S529" s="620"/>
      <c r="T529" s="620"/>
    </row>
    <row r="530">
      <c r="A530" s="620"/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</row>
    <row r="531">
      <c r="A531" s="620"/>
      <c r="B531" s="620"/>
      <c r="C531" s="620"/>
      <c r="D531" s="620"/>
      <c r="E531" s="620"/>
      <c r="F531" s="620"/>
      <c r="G531" s="620"/>
      <c r="H531" s="620"/>
      <c r="I531" s="620"/>
      <c r="J531" s="620"/>
      <c r="K531" s="620"/>
      <c r="L531" s="620"/>
      <c r="M531" s="620"/>
      <c r="N531" s="620"/>
      <c r="O531" s="620"/>
      <c r="P531" s="620"/>
      <c r="Q531" s="620"/>
      <c r="R531" s="620"/>
      <c r="S531" s="620"/>
      <c r="T531" s="620"/>
    </row>
    <row r="532">
      <c r="A532" s="620"/>
      <c r="B532" s="620"/>
      <c r="C532" s="620"/>
      <c r="D532" s="620"/>
      <c r="E532" s="620"/>
      <c r="F532" s="620"/>
      <c r="G532" s="620"/>
      <c r="H532" s="620"/>
      <c r="I532" s="620"/>
      <c r="J532" s="620"/>
      <c r="K532" s="620"/>
      <c r="L532" s="620"/>
      <c r="M532" s="620"/>
      <c r="N532" s="620"/>
      <c r="O532" s="620"/>
      <c r="P532" s="620"/>
      <c r="Q532" s="620"/>
      <c r="R532" s="620"/>
      <c r="S532" s="620"/>
      <c r="T532" s="620"/>
    </row>
    <row r="533">
      <c r="A533" s="620"/>
      <c r="B533" s="620"/>
      <c r="C533" s="620"/>
      <c r="D533" s="620"/>
      <c r="E533" s="620"/>
      <c r="F533" s="620"/>
      <c r="G533" s="620"/>
      <c r="H533" s="620"/>
      <c r="I533" s="620"/>
      <c r="J533" s="620"/>
      <c r="K533" s="620"/>
      <c r="L533" s="620"/>
      <c r="M533" s="620"/>
      <c r="N533" s="620"/>
      <c r="O533" s="620"/>
      <c r="P533" s="620"/>
      <c r="Q533" s="620"/>
      <c r="R533" s="620"/>
      <c r="S533" s="620"/>
      <c r="T533" s="620"/>
    </row>
    <row r="534">
      <c r="A534" s="620"/>
      <c r="B534" s="620"/>
      <c r="C534" s="620"/>
      <c r="D534" s="620"/>
      <c r="E534" s="620"/>
      <c r="F534" s="620"/>
      <c r="G534" s="620"/>
      <c r="H534" s="620"/>
      <c r="I534" s="620"/>
      <c r="J534" s="620"/>
      <c r="K534" s="620"/>
      <c r="L534" s="620"/>
      <c r="M534" s="620"/>
      <c r="N534" s="620"/>
      <c r="O534" s="620"/>
      <c r="P534" s="620"/>
      <c r="Q534" s="620"/>
      <c r="R534" s="620"/>
      <c r="S534" s="620"/>
      <c r="T534" s="620"/>
    </row>
    <row r="535">
      <c r="A535" s="620"/>
      <c r="B535" s="620"/>
      <c r="C535" s="620"/>
      <c r="D535" s="620"/>
      <c r="E535" s="620"/>
      <c r="F535" s="620"/>
      <c r="G535" s="620"/>
      <c r="H535" s="620"/>
      <c r="I535" s="620"/>
      <c r="J535" s="620"/>
      <c r="K535" s="620"/>
      <c r="L535" s="620"/>
      <c r="M535" s="620"/>
      <c r="N535" s="620"/>
      <c r="O535" s="620"/>
      <c r="P535" s="620"/>
      <c r="Q535" s="620"/>
      <c r="R535" s="620"/>
      <c r="S535" s="620"/>
      <c r="T535" s="620"/>
    </row>
    <row r="536">
      <c r="A536" s="620"/>
      <c r="B536" s="620"/>
      <c r="C536" s="620"/>
      <c r="D536" s="620"/>
      <c r="E536" s="620"/>
      <c r="F536" s="620"/>
      <c r="G536" s="620"/>
      <c r="H536" s="620"/>
      <c r="I536" s="620"/>
      <c r="J536" s="620"/>
      <c r="K536" s="620"/>
      <c r="L536" s="620"/>
      <c r="M536" s="620"/>
      <c r="N536" s="620"/>
      <c r="O536" s="620"/>
      <c r="P536" s="620"/>
      <c r="Q536" s="620"/>
      <c r="R536" s="620"/>
      <c r="S536" s="620"/>
      <c r="T536" s="620"/>
    </row>
    <row r="537">
      <c r="A537" s="620"/>
      <c r="B537" s="620"/>
      <c r="C537" s="620"/>
      <c r="D537" s="620"/>
      <c r="E537" s="620"/>
      <c r="F537" s="620"/>
      <c r="G537" s="620"/>
      <c r="H537" s="620"/>
      <c r="I537" s="620"/>
      <c r="J537" s="620"/>
      <c r="K537" s="620"/>
      <c r="L537" s="620"/>
      <c r="M537" s="620"/>
      <c r="N537" s="620"/>
      <c r="O537" s="620"/>
      <c r="P537" s="620"/>
      <c r="Q537" s="620"/>
      <c r="R537" s="620"/>
      <c r="S537" s="620"/>
      <c r="T537" s="620"/>
    </row>
    <row r="538">
      <c r="A538" s="620"/>
      <c r="B538" s="620"/>
      <c r="C538" s="620"/>
      <c r="D538" s="620"/>
      <c r="E538" s="620"/>
      <c r="F538" s="620"/>
      <c r="G538" s="620"/>
      <c r="H538" s="620"/>
      <c r="I538" s="620"/>
      <c r="J538" s="620"/>
      <c r="K538" s="620"/>
      <c r="L538" s="620"/>
      <c r="M538" s="620"/>
      <c r="N538" s="620"/>
      <c r="O538" s="620"/>
      <c r="P538" s="620"/>
      <c r="Q538" s="620"/>
      <c r="R538" s="620"/>
      <c r="S538" s="620"/>
      <c r="T538" s="620"/>
    </row>
    <row r="539">
      <c r="A539" s="620"/>
      <c r="B539" s="620"/>
      <c r="C539" s="620"/>
      <c r="D539" s="620"/>
      <c r="E539" s="620"/>
      <c r="F539" s="620"/>
      <c r="G539" s="620"/>
      <c r="H539" s="620"/>
      <c r="I539" s="620"/>
      <c r="J539" s="620"/>
      <c r="K539" s="620"/>
      <c r="L539" s="620"/>
      <c r="M539" s="620"/>
      <c r="N539" s="620"/>
      <c r="O539" s="620"/>
      <c r="P539" s="620"/>
      <c r="Q539" s="620"/>
      <c r="R539" s="620"/>
      <c r="S539" s="620"/>
      <c r="T539" s="620"/>
    </row>
    <row r="540">
      <c r="A540" s="620"/>
      <c r="B540" s="620"/>
      <c r="C540" s="620"/>
      <c r="D540" s="620"/>
      <c r="E540" s="620"/>
      <c r="F540" s="620"/>
      <c r="G540" s="620"/>
      <c r="H540" s="620"/>
      <c r="I540" s="620"/>
      <c r="J540" s="620"/>
      <c r="K540" s="620"/>
      <c r="L540" s="620"/>
      <c r="M540" s="620"/>
      <c r="N540" s="620"/>
      <c r="O540" s="620"/>
      <c r="P540" s="620"/>
      <c r="Q540" s="620"/>
      <c r="R540" s="620"/>
      <c r="S540" s="620"/>
      <c r="T540" s="620"/>
    </row>
    <row r="541">
      <c r="A541" s="620"/>
      <c r="B541" s="620"/>
      <c r="C541" s="620"/>
      <c r="D541" s="620"/>
      <c r="E541" s="620"/>
      <c r="F541" s="620"/>
      <c r="G541" s="620"/>
      <c r="H541" s="620"/>
      <c r="I541" s="620"/>
      <c r="J541" s="620"/>
      <c r="K541" s="620"/>
      <c r="L541" s="620"/>
      <c r="M541" s="620"/>
      <c r="N541" s="620"/>
      <c r="O541" s="620"/>
      <c r="P541" s="620"/>
      <c r="Q541" s="620"/>
      <c r="R541" s="620"/>
      <c r="S541" s="620"/>
      <c r="T541" s="620"/>
    </row>
    <row r="542">
      <c r="A542" s="620"/>
      <c r="B542" s="620"/>
      <c r="C542" s="620"/>
      <c r="D542" s="620"/>
      <c r="E542" s="620"/>
      <c r="F542" s="620"/>
      <c r="G542" s="620"/>
      <c r="H542" s="620"/>
      <c r="I542" s="620"/>
      <c r="J542" s="620"/>
      <c r="K542" s="620"/>
      <c r="L542" s="620"/>
      <c r="M542" s="620"/>
      <c r="N542" s="620"/>
      <c r="O542" s="620"/>
      <c r="P542" s="620"/>
      <c r="Q542" s="620"/>
      <c r="R542" s="620"/>
      <c r="S542" s="620"/>
      <c r="T542" s="620"/>
    </row>
    <row r="543">
      <c r="A543" s="620"/>
      <c r="B543" s="620"/>
      <c r="C543" s="620"/>
      <c r="D543" s="620"/>
      <c r="E543" s="620"/>
      <c r="F543" s="620"/>
      <c r="G543" s="620"/>
      <c r="H543" s="620"/>
      <c r="I543" s="620"/>
      <c r="J543" s="620"/>
      <c r="K543" s="620"/>
      <c r="L543" s="620"/>
      <c r="M543" s="620"/>
      <c r="N543" s="620"/>
      <c r="O543" s="620"/>
      <c r="P543" s="620"/>
      <c r="Q543" s="620"/>
      <c r="R543" s="620"/>
      <c r="S543" s="620"/>
      <c r="T543" s="620"/>
    </row>
    <row r="544">
      <c r="A544" s="620"/>
      <c r="B544" s="620"/>
      <c r="C544" s="620"/>
      <c r="D544" s="620"/>
      <c r="E544" s="620"/>
      <c r="F544" s="620"/>
      <c r="G544" s="620"/>
      <c r="H544" s="620"/>
      <c r="I544" s="620"/>
      <c r="J544" s="620"/>
      <c r="K544" s="620"/>
      <c r="L544" s="620"/>
      <c r="M544" s="620"/>
      <c r="N544" s="620"/>
      <c r="O544" s="620"/>
      <c r="P544" s="620"/>
      <c r="Q544" s="620"/>
      <c r="R544" s="620"/>
      <c r="S544" s="620"/>
      <c r="T544" s="620"/>
    </row>
    <row r="545">
      <c r="A545" s="620"/>
      <c r="B545" s="620"/>
      <c r="C545" s="620"/>
      <c r="D545" s="620"/>
      <c r="E545" s="620"/>
      <c r="F545" s="620"/>
      <c r="G545" s="620"/>
      <c r="H545" s="620"/>
      <c r="I545" s="620"/>
      <c r="J545" s="620"/>
      <c r="K545" s="620"/>
      <c r="L545" s="620"/>
      <c r="M545" s="620"/>
      <c r="N545" s="620"/>
      <c r="O545" s="620"/>
      <c r="P545" s="620"/>
      <c r="Q545" s="620"/>
      <c r="R545" s="620"/>
      <c r="S545" s="620"/>
      <c r="T545" s="620"/>
    </row>
    <row r="546">
      <c r="A546" s="620"/>
      <c r="B546" s="620"/>
      <c r="C546" s="620"/>
      <c r="D546" s="620"/>
      <c r="E546" s="620"/>
      <c r="F546" s="620"/>
      <c r="G546" s="620"/>
      <c r="H546" s="620"/>
      <c r="I546" s="620"/>
      <c r="J546" s="620"/>
      <c r="K546" s="620"/>
      <c r="L546" s="620"/>
      <c r="M546" s="620"/>
      <c r="N546" s="620"/>
      <c r="O546" s="620"/>
      <c r="P546" s="620"/>
      <c r="Q546" s="620"/>
      <c r="R546" s="620"/>
      <c r="S546" s="620"/>
      <c r="T546" s="620"/>
    </row>
    <row r="547">
      <c r="A547" s="620"/>
      <c r="B547" s="620"/>
      <c r="C547" s="620"/>
      <c r="D547" s="620"/>
      <c r="E547" s="620"/>
      <c r="F547" s="620"/>
      <c r="G547" s="620"/>
      <c r="H547" s="620"/>
      <c r="I547" s="620"/>
      <c r="J547" s="620"/>
      <c r="K547" s="620"/>
      <c r="L547" s="620"/>
      <c r="M547" s="620"/>
      <c r="N547" s="620"/>
      <c r="O547" s="620"/>
      <c r="P547" s="620"/>
      <c r="Q547" s="620"/>
      <c r="R547" s="620"/>
      <c r="S547" s="620"/>
      <c r="T547" s="620"/>
    </row>
    <row r="548">
      <c r="A548" s="620"/>
      <c r="B548" s="620"/>
      <c r="C548" s="620"/>
      <c r="D548" s="620"/>
      <c r="E548" s="620"/>
      <c r="F548" s="620"/>
      <c r="G548" s="620"/>
      <c r="H548" s="620"/>
      <c r="I548" s="620"/>
      <c r="J548" s="620"/>
      <c r="K548" s="620"/>
      <c r="L548" s="620"/>
      <c r="M548" s="620"/>
      <c r="N548" s="620"/>
      <c r="O548" s="620"/>
      <c r="P548" s="620"/>
      <c r="Q548" s="620"/>
      <c r="R548" s="620"/>
      <c r="S548" s="620"/>
      <c r="T548" s="620"/>
    </row>
    <row r="549">
      <c r="A549" s="620"/>
      <c r="B549" s="620"/>
      <c r="C549" s="620"/>
      <c r="D549" s="620"/>
      <c r="E549" s="620"/>
      <c r="F549" s="620"/>
      <c r="G549" s="620"/>
      <c r="H549" s="620"/>
      <c r="I549" s="620"/>
      <c r="J549" s="620"/>
      <c r="K549" s="620"/>
      <c r="L549" s="620"/>
      <c r="M549" s="620"/>
      <c r="N549" s="620"/>
      <c r="O549" s="620"/>
      <c r="P549" s="620"/>
      <c r="Q549" s="620"/>
      <c r="R549" s="620"/>
      <c r="S549" s="620"/>
      <c r="T549" s="620"/>
    </row>
    <row r="550">
      <c r="A550" s="620"/>
      <c r="B550" s="620"/>
      <c r="C550" s="620"/>
      <c r="D550" s="620"/>
      <c r="E550" s="620"/>
      <c r="F550" s="620"/>
      <c r="G550" s="620"/>
      <c r="H550" s="620"/>
      <c r="I550" s="620"/>
      <c r="J550" s="620"/>
      <c r="K550" s="620"/>
      <c r="L550" s="620"/>
      <c r="M550" s="620"/>
      <c r="N550" s="620"/>
      <c r="O550" s="620"/>
      <c r="P550" s="620"/>
      <c r="Q550" s="620"/>
      <c r="R550" s="620"/>
      <c r="S550" s="620"/>
      <c r="T550" s="620"/>
    </row>
    <row r="551">
      <c r="A551" s="620"/>
      <c r="B551" s="620"/>
      <c r="C551" s="620"/>
      <c r="D551" s="620"/>
      <c r="E551" s="620"/>
      <c r="F551" s="620"/>
      <c r="G551" s="620"/>
      <c r="H551" s="620"/>
      <c r="I551" s="620"/>
      <c r="J551" s="620"/>
      <c r="K551" s="620"/>
      <c r="L551" s="620"/>
      <c r="M551" s="620"/>
      <c r="N551" s="620"/>
      <c r="O551" s="620"/>
      <c r="P551" s="620"/>
      <c r="Q551" s="620"/>
      <c r="R551" s="620"/>
      <c r="S551" s="620"/>
      <c r="T551" s="620"/>
    </row>
    <row r="552">
      <c r="A552" s="620"/>
      <c r="B552" s="620"/>
      <c r="C552" s="620"/>
      <c r="D552" s="620"/>
      <c r="E552" s="620"/>
      <c r="F552" s="620"/>
      <c r="G552" s="620"/>
      <c r="H552" s="620"/>
      <c r="I552" s="620"/>
      <c r="J552" s="620"/>
      <c r="K552" s="620"/>
      <c r="L552" s="620"/>
      <c r="M552" s="620"/>
      <c r="N552" s="620"/>
      <c r="O552" s="620"/>
      <c r="P552" s="620"/>
      <c r="Q552" s="620"/>
      <c r="R552" s="620"/>
      <c r="S552" s="620"/>
      <c r="T552" s="620"/>
    </row>
    <row r="553">
      <c r="A553" s="620"/>
      <c r="B553" s="620"/>
      <c r="C553" s="620"/>
      <c r="D553" s="620"/>
      <c r="E553" s="620"/>
      <c r="F553" s="620"/>
      <c r="G553" s="620"/>
      <c r="H553" s="620"/>
      <c r="I553" s="620"/>
      <c r="J553" s="620"/>
      <c r="K553" s="620"/>
      <c r="L553" s="620"/>
      <c r="M553" s="620"/>
      <c r="N553" s="620"/>
      <c r="O553" s="620"/>
      <c r="P553" s="620"/>
      <c r="Q553" s="620"/>
      <c r="R553" s="620"/>
      <c r="S553" s="620"/>
      <c r="T553" s="620"/>
    </row>
    <row r="554">
      <c r="A554" s="620"/>
      <c r="B554" s="620"/>
      <c r="C554" s="620"/>
      <c r="D554" s="620"/>
      <c r="E554" s="620"/>
      <c r="F554" s="620"/>
      <c r="G554" s="620"/>
      <c r="H554" s="620"/>
      <c r="I554" s="620"/>
      <c r="J554" s="620"/>
      <c r="K554" s="620"/>
      <c r="L554" s="620"/>
      <c r="M554" s="620"/>
      <c r="N554" s="620"/>
      <c r="O554" s="620"/>
      <c r="P554" s="620"/>
      <c r="Q554" s="620"/>
      <c r="R554" s="620"/>
      <c r="S554" s="620"/>
      <c r="T554" s="620"/>
    </row>
    <row r="555">
      <c r="A555" s="620"/>
      <c r="B555" s="620"/>
      <c r="C555" s="620"/>
      <c r="D555" s="620"/>
      <c r="E555" s="620"/>
      <c r="F555" s="620"/>
      <c r="G555" s="620"/>
      <c r="H555" s="620"/>
      <c r="I555" s="620"/>
      <c r="J555" s="620"/>
      <c r="K555" s="620"/>
      <c r="L555" s="620"/>
      <c r="M555" s="620"/>
      <c r="N555" s="620"/>
      <c r="O555" s="620"/>
      <c r="P555" s="620"/>
      <c r="Q555" s="620"/>
      <c r="R555" s="620"/>
      <c r="S555" s="620"/>
      <c r="T555" s="620"/>
    </row>
    <row r="556">
      <c r="A556" s="620"/>
      <c r="B556" s="620"/>
      <c r="C556" s="620"/>
      <c r="D556" s="620"/>
      <c r="E556" s="620"/>
      <c r="F556" s="620"/>
      <c r="G556" s="620"/>
      <c r="H556" s="620"/>
      <c r="I556" s="620"/>
      <c r="J556" s="620"/>
      <c r="K556" s="620"/>
      <c r="L556" s="620"/>
      <c r="M556" s="620"/>
      <c r="N556" s="620"/>
      <c r="O556" s="620"/>
      <c r="P556" s="620"/>
      <c r="Q556" s="620"/>
      <c r="R556" s="620"/>
      <c r="S556" s="620"/>
      <c r="T556" s="620"/>
    </row>
    <row r="557">
      <c r="A557" s="620"/>
      <c r="B557" s="620"/>
      <c r="C557" s="620"/>
      <c r="D557" s="620"/>
      <c r="E557" s="620"/>
      <c r="F557" s="620"/>
      <c r="G557" s="620"/>
      <c r="H557" s="620"/>
      <c r="I557" s="620"/>
      <c r="J557" s="620"/>
      <c r="K557" s="620"/>
      <c r="L557" s="620"/>
      <c r="M557" s="620"/>
      <c r="N557" s="620"/>
      <c r="O557" s="620"/>
      <c r="P557" s="620"/>
      <c r="Q557" s="620"/>
      <c r="R557" s="620"/>
      <c r="S557" s="620"/>
      <c r="T557" s="620"/>
    </row>
    <row r="558">
      <c r="A558" s="620"/>
      <c r="B558" s="620"/>
      <c r="C558" s="620"/>
      <c r="D558" s="620"/>
      <c r="E558" s="620"/>
      <c r="F558" s="620"/>
      <c r="G558" s="620"/>
      <c r="H558" s="620"/>
      <c r="I558" s="620"/>
      <c r="J558" s="620"/>
      <c r="K558" s="620"/>
      <c r="L558" s="620"/>
      <c r="M558" s="620"/>
      <c r="N558" s="620"/>
      <c r="O558" s="620"/>
      <c r="P558" s="620"/>
      <c r="Q558" s="620"/>
      <c r="R558" s="620"/>
      <c r="S558" s="620"/>
      <c r="T558" s="620"/>
    </row>
    <row r="559">
      <c r="A559" s="620"/>
      <c r="B559" s="620"/>
      <c r="C559" s="620"/>
      <c r="D559" s="620"/>
      <c r="E559" s="620"/>
      <c r="F559" s="620"/>
      <c r="G559" s="620"/>
      <c r="H559" s="620"/>
      <c r="I559" s="620"/>
      <c r="J559" s="620"/>
      <c r="K559" s="620"/>
      <c r="L559" s="620"/>
      <c r="M559" s="620"/>
      <c r="N559" s="620"/>
      <c r="O559" s="620"/>
      <c r="P559" s="620"/>
      <c r="Q559" s="620"/>
      <c r="R559" s="620"/>
      <c r="S559" s="620"/>
      <c r="T559" s="620"/>
    </row>
    <row r="560">
      <c r="A560" s="620"/>
      <c r="B560" s="620"/>
      <c r="C560" s="620"/>
      <c r="D560" s="620"/>
      <c r="E560" s="620"/>
      <c r="F560" s="620"/>
      <c r="G560" s="620"/>
      <c r="H560" s="620"/>
      <c r="I560" s="620"/>
      <c r="J560" s="620"/>
      <c r="K560" s="620"/>
      <c r="L560" s="620"/>
      <c r="M560" s="620"/>
      <c r="N560" s="620"/>
      <c r="O560" s="620"/>
      <c r="P560" s="620"/>
      <c r="Q560" s="620"/>
      <c r="R560" s="620"/>
      <c r="S560" s="620"/>
      <c r="T560" s="620"/>
    </row>
    <row r="561">
      <c r="A561" s="620"/>
      <c r="B561" s="620"/>
      <c r="C561" s="620"/>
      <c r="D561" s="620"/>
      <c r="E561" s="620"/>
      <c r="F561" s="620"/>
      <c r="G561" s="620"/>
      <c r="H561" s="620"/>
      <c r="I561" s="620"/>
      <c r="J561" s="620"/>
      <c r="K561" s="620"/>
      <c r="L561" s="620"/>
      <c r="M561" s="620"/>
      <c r="N561" s="620"/>
      <c r="O561" s="620"/>
      <c r="P561" s="620"/>
      <c r="Q561" s="620"/>
      <c r="R561" s="620"/>
      <c r="S561" s="620"/>
      <c r="T561" s="620"/>
    </row>
    <row r="562">
      <c r="A562" s="620"/>
      <c r="B562" s="620"/>
      <c r="C562" s="620"/>
      <c r="D562" s="620"/>
      <c r="E562" s="620"/>
      <c r="F562" s="620"/>
      <c r="G562" s="620"/>
      <c r="H562" s="620"/>
      <c r="I562" s="620"/>
      <c r="J562" s="620"/>
      <c r="K562" s="620"/>
      <c r="L562" s="620"/>
      <c r="M562" s="620"/>
      <c r="N562" s="620"/>
      <c r="O562" s="620"/>
      <c r="P562" s="620"/>
      <c r="Q562" s="620"/>
      <c r="R562" s="620"/>
      <c r="S562" s="620"/>
      <c r="T562" s="620"/>
    </row>
    <row r="563">
      <c r="A563" s="620"/>
      <c r="B563" s="620"/>
      <c r="C563" s="620"/>
      <c r="D563" s="620"/>
      <c r="E563" s="620"/>
      <c r="F563" s="620"/>
      <c r="G563" s="620"/>
      <c r="H563" s="620"/>
      <c r="I563" s="620"/>
      <c r="J563" s="620"/>
      <c r="K563" s="620"/>
      <c r="L563" s="620"/>
      <c r="M563" s="620"/>
      <c r="N563" s="620"/>
      <c r="O563" s="620"/>
      <c r="P563" s="620"/>
      <c r="Q563" s="620"/>
      <c r="R563" s="620"/>
      <c r="S563" s="620"/>
      <c r="T563" s="620"/>
    </row>
    <row r="564">
      <c r="A564" s="620"/>
      <c r="B564" s="620"/>
      <c r="C564" s="620"/>
      <c r="D564" s="620"/>
      <c r="E564" s="620"/>
      <c r="F564" s="620"/>
      <c r="G564" s="620"/>
      <c r="H564" s="620"/>
      <c r="I564" s="620"/>
      <c r="J564" s="620"/>
      <c r="K564" s="620"/>
      <c r="L564" s="620"/>
      <c r="M564" s="620"/>
      <c r="N564" s="620"/>
      <c r="O564" s="620"/>
      <c r="P564" s="620"/>
      <c r="Q564" s="620"/>
      <c r="R564" s="620"/>
      <c r="S564" s="620"/>
      <c r="T564" s="620"/>
    </row>
    <row r="565">
      <c r="A565" s="620"/>
      <c r="B565" s="620"/>
      <c r="C565" s="620"/>
      <c r="D565" s="620"/>
      <c r="E565" s="620"/>
      <c r="F565" s="620"/>
      <c r="G565" s="620"/>
      <c r="H565" s="620"/>
      <c r="I565" s="620"/>
      <c r="J565" s="620"/>
      <c r="K565" s="620"/>
      <c r="L565" s="620"/>
      <c r="M565" s="620"/>
      <c r="N565" s="620"/>
      <c r="O565" s="620"/>
      <c r="P565" s="620"/>
      <c r="Q565" s="620"/>
      <c r="R565" s="620"/>
      <c r="S565" s="620"/>
      <c r="T565" s="620"/>
    </row>
    <row r="566">
      <c r="A566" s="620"/>
      <c r="B566" s="620"/>
      <c r="C566" s="620"/>
      <c r="D566" s="620"/>
      <c r="E566" s="620"/>
      <c r="F566" s="620"/>
      <c r="G566" s="620"/>
      <c r="H566" s="620"/>
      <c r="I566" s="620"/>
      <c r="J566" s="620"/>
      <c r="K566" s="620"/>
      <c r="L566" s="620"/>
      <c r="M566" s="620"/>
      <c r="N566" s="620"/>
      <c r="O566" s="620"/>
      <c r="P566" s="620"/>
      <c r="Q566" s="620"/>
      <c r="R566" s="620"/>
      <c r="S566" s="620"/>
      <c r="T566" s="620"/>
    </row>
    <row r="567">
      <c r="A567" s="620"/>
      <c r="B567" s="620"/>
      <c r="C567" s="620"/>
      <c r="D567" s="620"/>
      <c r="E567" s="620"/>
      <c r="F567" s="620"/>
      <c r="G567" s="620"/>
      <c r="H567" s="620"/>
      <c r="I567" s="620"/>
      <c r="J567" s="620"/>
      <c r="K567" s="620"/>
      <c r="L567" s="620"/>
      <c r="M567" s="620"/>
      <c r="N567" s="620"/>
      <c r="O567" s="620"/>
      <c r="P567" s="620"/>
      <c r="Q567" s="620"/>
      <c r="R567" s="620"/>
      <c r="S567" s="620"/>
      <c r="T567" s="620"/>
    </row>
    <row r="568">
      <c r="A568" s="620"/>
      <c r="B568" s="620"/>
      <c r="C568" s="620"/>
      <c r="D568" s="620"/>
      <c r="E568" s="620"/>
      <c r="F568" s="620"/>
      <c r="G568" s="620"/>
      <c r="H568" s="620"/>
      <c r="I568" s="620"/>
      <c r="J568" s="620"/>
      <c r="K568" s="620"/>
      <c r="L568" s="620"/>
      <c r="M568" s="620"/>
      <c r="N568" s="620"/>
      <c r="O568" s="620"/>
      <c r="P568" s="620"/>
      <c r="Q568" s="620"/>
      <c r="R568" s="620"/>
      <c r="S568" s="620"/>
      <c r="T568" s="620"/>
    </row>
    <row r="569">
      <c r="A569" s="620"/>
      <c r="B569" s="620"/>
      <c r="C569" s="620"/>
      <c r="D569" s="620"/>
      <c r="E569" s="620"/>
      <c r="F569" s="620"/>
      <c r="G569" s="620"/>
      <c r="H569" s="620"/>
      <c r="I569" s="620"/>
      <c r="J569" s="620"/>
      <c r="K569" s="620"/>
      <c r="L569" s="620"/>
      <c r="M569" s="620"/>
      <c r="N569" s="620"/>
      <c r="O569" s="620"/>
      <c r="P569" s="620"/>
      <c r="Q569" s="620"/>
      <c r="R569" s="620"/>
      <c r="S569" s="620"/>
      <c r="T569" s="620"/>
    </row>
    <row r="570">
      <c r="A570" s="620"/>
      <c r="B570" s="620"/>
      <c r="C570" s="620"/>
      <c r="D570" s="620"/>
      <c r="E570" s="620"/>
      <c r="F570" s="620"/>
      <c r="G570" s="620"/>
      <c r="H570" s="620"/>
      <c r="I570" s="620"/>
      <c r="J570" s="620"/>
      <c r="K570" s="620"/>
      <c r="L570" s="620"/>
      <c r="M570" s="620"/>
      <c r="N570" s="620"/>
      <c r="O570" s="620"/>
      <c r="P570" s="620"/>
      <c r="Q570" s="620"/>
      <c r="R570" s="620"/>
      <c r="S570" s="620"/>
      <c r="T570" s="620"/>
    </row>
    <row r="571">
      <c r="A571" s="620"/>
      <c r="B571" s="620"/>
      <c r="C571" s="620"/>
      <c r="D571" s="620"/>
      <c r="E571" s="620"/>
      <c r="F571" s="620"/>
      <c r="G571" s="620"/>
      <c r="H571" s="620"/>
      <c r="I571" s="620"/>
      <c r="J571" s="620"/>
      <c r="K571" s="620"/>
      <c r="L571" s="620"/>
      <c r="M571" s="620"/>
      <c r="N571" s="620"/>
      <c r="O571" s="620"/>
      <c r="P571" s="620"/>
      <c r="Q571" s="620"/>
      <c r="R571" s="620"/>
      <c r="S571" s="620"/>
      <c r="T571" s="620"/>
    </row>
    <row r="572">
      <c r="A572" s="620"/>
      <c r="B572" s="620"/>
      <c r="C572" s="620"/>
      <c r="D572" s="620"/>
      <c r="E572" s="620"/>
      <c r="F572" s="620"/>
      <c r="G572" s="620"/>
      <c r="H572" s="620"/>
      <c r="I572" s="620"/>
      <c r="J572" s="620"/>
      <c r="K572" s="620"/>
      <c r="L572" s="620"/>
      <c r="M572" s="620"/>
      <c r="N572" s="620"/>
      <c r="O572" s="620"/>
      <c r="P572" s="620"/>
      <c r="Q572" s="620"/>
      <c r="R572" s="620"/>
      <c r="S572" s="620"/>
      <c r="T572" s="620"/>
    </row>
    <row r="573">
      <c r="A573" s="620"/>
      <c r="B573" s="620"/>
      <c r="C573" s="620"/>
      <c r="D573" s="620"/>
      <c r="E573" s="620"/>
      <c r="F573" s="620"/>
      <c r="G573" s="620"/>
      <c r="H573" s="620"/>
      <c r="I573" s="620"/>
      <c r="J573" s="620"/>
      <c r="K573" s="620"/>
      <c r="L573" s="620"/>
      <c r="M573" s="620"/>
      <c r="N573" s="620"/>
      <c r="O573" s="620"/>
      <c r="P573" s="620"/>
      <c r="Q573" s="620"/>
      <c r="R573" s="620"/>
      <c r="S573" s="620"/>
      <c r="T573" s="620"/>
    </row>
    <row r="574">
      <c r="A574" s="620"/>
      <c r="B574" s="620"/>
      <c r="C574" s="620"/>
      <c r="D574" s="620"/>
      <c r="E574" s="620"/>
      <c r="F574" s="620"/>
      <c r="G574" s="620"/>
      <c r="H574" s="620"/>
      <c r="I574" s="620"/>
      <c r="J574" s="620"/>
      <c r="K574" s="620"/>
      <c r="L574" s="620"/>
      <c r="M574" s="620"/>
      <c r="N574" s="620"/>
      <c r="O574" s="620"/>
      <c r="P574" s="620"/>
      <c r="Q574" s="620"/>
      <c r="R574" s="620"/>
      <c r="S574" s="620"/>
      <c r="T574" s="620"/>
    </row>
    <row r="575">
      <c r="A575" s="620"/>
      <c r="B575" s="620"/>
      <c r="C575" s="620"/>
      <c r="D575" s="620"/>
      <c r="E575" s="620"/>
      <c r="F575" s="620"/>
      <c r="G575" s="620"/>
      <c r="H575" s="620"/>
      <c r="I575" s="620"/>
      <c r="J575" s="620"/>
      <c r="K575" s="620"/>
      <c r="L575" s="620"/>
      <c r="M575" s="620"/>
      <c r="N575" s="620"/>
      <c r="O575" s="620"/>
      <c r="P575" s="620"/>
      <c r="Q575" s="620"/>
      <c r="R575" s="620"/>
      <c r="S575" s="620"/>
      <c r="T575" s="620"/>
    </row>
    <row r="576">
      <c r="A576" s="620"/>
      <c r="B576" s="620"/>
      <c r="C576" s="620"/>
      <c r="D576" s="620"/>
      <c r="E576" s="620"/>
      <c r="F576" s="620"/>
      <c r="G576" s="620"/>
      <c r="H576" s="620"/>
      <c r="I576" s="620"/>
      <c r="J576" s="620"/>
      <c r="K576" s="620"/>
      <c r="L576" s="620"/>
      <c r="M576" s="620"/>
      <c r="N576" s="620"/>
      <c r="O576" s="620"/>
      <c r="P576" s="620"/>
      <c r="Q576" s="620"/>
      <c r="R576" s="620"/>
      <c r="S576" s="620"/>
      <c r="T576" s="620"/>
    </row>
    <row r="577">
      <c r="A577" s="620"/>
      <c r="B577" s="620"/>
      <c r="C577" s="620"/>
      <c r="D577" s="620"/>
      <c r="E577" s="620"/>
      <c r="F577" s="620"/>
      <c r="G577" s="620"/>
      <c r="H577" s="620"/>
      <c r="I577" s="620"/>
      <c r="J577" s="620"/>
      <c r="K577" s="620"/>
      <c r="L577" s="620"/>
      <c r="M577" s="620"/>
      <c r="N577" s="620"/>
      <c r="O577" s="620"/>
      <c r="P577" s="620"/>
      <c r="Q577" s="620"/>
      <c r="R577" s="620"/>
      <c r="S577" s="620"/>
      <c r="T577" s="620"/>
    </row>
    <row r="578">
      <c r="A578" s="620"/>
      <c r="B578" s="620"/>
      <c r="C578" s="620"/>
      <c r="D578" s="620"/>
      <c r="E578" s="620"/>
      <c r="F578" s="620"/>
      <c r="G578" s="620"/>
      <c r="H578" s="620"/>
      <c r="I578" s="620"/>
      <c r="J578" s="620"/>
      <c r="K578" s="620"/>
      <c r="L578" s="620"/>
      <c r="M578" s="620"/>
      <c r="N578" s="620"/>
      <c r="O578" s="620"/>
      <c r="P578" s="620"/>
      <c r="Q578" s="620"/>
      <c r="R578" s="620"/>
      <c r="S578" s="620"/>
      <c r="T578" s="620"/>
    </row>
    <row r="579">
      <c r="A579" s="620"/>
      <c r="B579" s="620"/>
      <c r="C579" s="620"/>
      <c r="D579" s="620"/>
      <c r="E579" s="620"/>
      <c r="F579" s="620"/>
      <c r="G579" s="620"/>
      <c r="H579" s="620"/>
      <c r="I579" s="620"/>
      <c r="J579" s="620"/>
      <c r="K579" s="620"/>
      <c r="L579" s="620"/>
      <c r="M579" s="620"/>
      <c r="N579" s="620"/>
      <c r="O579" s="620"/>
      <c r="P579" s="620"/>
      <c r="Q579" s="620"/>
      <c r="R579" s="620"/>
      <c r="S579" s="620"/>
      <c r="T579" s="620"/>
    </row>
    <row r="580">
      <c r="A580" s="620"/>
      <c r="B580" s="620"/>
      <c r="C580" s="620"/>
      <c r="D580" s="620"/>
      <c r="E580" s="620"/>
      <c r="F580" s="620"/>
      <c r="G580" s="620"/>
      <c r="H580" s="620"/>
      <c r="I580" s="620"/>
      <c r="J580" s="620"/>
      <c r="K580" s="620"/>
      <c r="L580" s="620"/>
      <c r="M580" s="620"/>
      <c r="N580" s="620"/>
      <c r="O580" s="620"/>
      <c r="P580" s="620"/>
      <c r="Q580" s="620"/>
      <c r="R580" s="620"/>
      <c r="S580" s="620"/>
      <c r="T580" s="620"/>
    </row>
    <row r="581">
      <c r="A581" s="620"/>
      <c r="B581" s="620"/>
      <c r="C581" s="620"/>
      <c r="D581" s="620"/>
      <c r="E581" s="620"/>
      <c r="F581" s="620"/>
      <c r="G581" s="620"/>
      <c r="H581" s="620"/>
      <c r="I581" s="620"/>
      <c r="J581" s="620"/>
      <c r="K581" s="620"/>
      <c r="L581" s="620"/>
      <c r="M581" s="620"/>
      <c r="N581" s="620"/>
      <c r="O581" s="620"/>
      <c r="P581" s="620"/>
      <c r="Q581" s="620"/>
      <c r="R581" s="620"/>
      <c r="S581" s="620"/>
      <c r="T581" s="620"/>
    </row>
    <row r="582">
      <c r="A582" s="620"/>
      <c r="B582" s="620"/>
      <c r="C582" s="620"/>
      <c r="D582" s="620"/>
      <c r="E582" s="620"/>
      <c r="F582" s="620"/>
      <c r="G582" s="620"/>
      <c r="H582" s="620"/>
      <c r="I582" s="620"/>
      <c r="J582" s="620"/>
      <c r="K582" s="620"/>
      <c r="L582" s="620"/>
      <c r="M582" s="620"/>
      <c r="N582" s="620"/>
      <c r="O582" s="620"/>
      <c r="P582" s="620"/>
      <c r="Q582" s="620"/>
      <c r="R582" s="620"/>
      <c r="S582" s="620"/>
      <c r="T582" s="620"/>
    </row>
    <row r="583">
      <c r="A583" s="620"/>
      <c r="B583" s="620"/>
      <c r="C583" s="620"/>
      <c r="D583" s="620"/>
      <c r="E583" s="620"/>
      <c r="F583" s="620"/>
      <c r="G583" s="620"/>
      <c r="H583" s="620"/>
      <c r="I583" s="620"/>
      <c r="J583" s="620"/>
      <c r="K583" s="620"/>
      <c r="L583" s="620"/>
      <c r="M583" s="620"/>
      <c r="N583" s="620"/>
      <c r="O583" s="620"/>
      <c r="P583" s="620"/>
      <c r="Q583" s="620"/>
      <c r="R583" s="620"/>
      <c r="S583" s="620"/>
      <c r="T583" s="620"/>
    </row>
    <row r="584">
      <c r="A584" s="620"/>
      <c r="B584" s="620"/>
      <c r="C584" s="620"/>
      <c r="D584" s="620"/>
      <c r="E584" s="620"/>
      <c r="F584" s="620"/>
      <c r="G584" s="620"/>
      <c r="H584" s="620"/>
      <c r="I584" s="620"/>
      <c r="J584" s="620"/>
      <c r="K584" s="620"/>
      <c r="L584" s="620"/>
      <c r="M584" s="620"/>
      <c r="N584" s="620"/>
      <c r="O584" s="620"/>
      <c r="P584" s="620"/>
      <c r="Q584" s="620"/>
      <c r="R584" s="620"/>
      <c r="S584" s="620"/>
      <c r="T584" s="620"/>
    </row>
    <row r="585">
      <c r="A585" s="620"/>
      <c r="B585" s="620"/>
      <c r="C585" s="620"/>
      <c r="D585" s="620"/>
      <c r="E585" s="620"/>
      <c r="F585" s="620"/>
      <c r="G585" s="620"/>
      <c r="H585" s="620"/>
      <c r="I585" s="620"/>
      <c r="J585" s="620"/>
      <c r="K585" s="620"/>
      <c r="L585" s="620"/>
      <c r="M585" s="620"/>
      <c r="N585" s="620"/>
      <c r="O585" s="620"/>
      <c r="P585" s="620"/>
      <c r="Q585" s="620"/>
      <c r="R585" s="620"/>
      <c r="S585" s="620"/>
      <c r="T585" s="620"/>
    </row>
    <row r="586">
      <c r="A586" s="620"/>
      <c r="B586" s="620"/>
      <c r="C586" s="620"/>
      <c r="D586" s="620"/>
      <c r="E586" s="620"/>
      <c r="F586" s="620"/>
      <c r="G586" s="620"/>
      <c r="H586" s="620"/>
      <c r="I586" s="620"/>
      <c r="J586" s="620"/>
      <c r="K586" s="620"/>
      <c r="L586" s="620"/>
      <c r="M586" s="620"/>
      <c r="N586" s="620"/>
      <c r="O586" s="620"/>
      <c r="P586" s="620"/>
      <c r="Q586" s="620"/>
      <c r="R586" s="620"/>
      <c r="S586" s="620"/>
      <c r="T586" s="620"/>
    </row>
    <row r="587">
      <c r="A587" s="620"/>
      <c r="B587" s="620"/>
      <c r="C587" s="620"/>
      <c r="D587" s="620"/>
      <c r="E587" s="620"/>
      <c r="F587" s="620"/>
      <c r="G587" s="620"/>
      <c r="H587" s="620"/>
      <c r="I587" s="620"/>
      <c r="J587" s="620"/>
      <c r="K587" s="620"/>
      <c r="L587" s="620"/>
      <c r="M587" s="620"/>
      <c r="N587" s="620"/>
      <c r="O587" s="620"/>
      <c r="P587" s="620"/>
      <c r="Q587" s="620"/>
      <c r="R587" s="620"/>
      <c r="S587" s="620"/>
      <c r="T587" s="620"/>
    </row>
    <row r="588">
      <c r="A588" s="620"/>
      <c r="B588" s="620"/>
      <c r="C588" s="620"/>
      <c r="D588" s="620"/>
      <c r="E588" s="620"/>
      <c r="F588" s="620"/>
      <c r="G588" s="620"/>
      <c r="H588" s="620"/>
      <c r="I588" s="620"/>
      <c r="J588" s="620"/>
      <c r="K588" s="620"/>
      <c r="L588" s="620"/>
      <c r="M588" s="620"/>
      <c r="N588" s="620"/>
      <c r="O588" s="620"/>
      <c r="P588" s="620"/>
      <c r="Q588" s="620"/>
      <c r="R588" s="620"/>
      <c r="S588" s="620"/>
      <c r="T588" s="620"/>
    </row>
    <row r="589">
      <c r="A589" s="620"/>
      <c r="B589" s="620"/>
      <c r="C589" s="620"/>
      <c r="D589" s="620"/>
      <c r="E589" s="620"/>
      <c r="F589" s="620"/>
      <c r="G589" s="620"/>
      <c r="H589" s="620"/>
      <c r="I589" s="620"/>
      <c r="J589" s="620"/>
      <c r="K589" s="620"/>
      <c r="L589" s="620"/>
      <c r="M589" s="620"/>
      <c r="N589" s="620"/>
      <c r="O589" s="620"/>
      <c r="P589" s="620"/>
      <c r="Q589" s="620"/>
      <c r="R589" s="620"/>
      <c r="S589" s="620"/>
      <c r="T589" s="620"/>
    </row>
    <row r="590">
      <c r="A590" s="620"/>
      <c r="B590" s="620"/>
      <c r="C590" s="620"/>
      <c r="D590" s="620"/>
      <c r="E590" s="620"/>
      <c r="F590" s="620"/>
      <c r="G590" s="620"/>
      <c r="H590" s="620"/>
      <c r="I590" s="620"/>
      <c r="J590" s="620"/>
      <c r="K590" s="620"/>
      <c r="L590" s="620"/>
      <c r="M590" s="620"/>
      <c r="N590" s="620"/>
      <c r="O590" s="620"/>
      <c r="P590" s="620"/>
      <c r="Q590" s="620"/>
      <c r="R590" s="620"/>
      <c r="S590" s="620"/>
      <c r="T590" s="620"/>
    </row>
    <row r="591">
      <c r="A591" s="620"/>
      <c r="B591" s="620"/>
      <c r="C591" s="620"/>
      <c r="D591" s="620"/>
      <c r="E591" s="620"/>
      <c r="F591" s="620"/>
      <c r="G591" s="620"/>
      <c r="H591" s="620"/>
      <c r="I591" s="620"/>
      <c r="J591" s="620"/>
      <c r="K591" s="620"/>
      <c r="L591" s="620"/>
      <c r="M591" s="620"/>
      <c r="N591" s="620"/>
      <c r="O591" s="620"/>
      <c r="P591" s="620"/>
      <c r="Q591" s="620"/>
      <c r="R591" s="620"/>
      <c r="S591" s="620"/>
      <c r="T591" s="620"/>
    </row>
    <row r="592">
      <c r="A592" s="620"/>
      <c r="B592" s="620"/>
      <c r="C592" s="620"/>
      <c r="D592" s="620"/>
      <c r="E592" s="620"/>
      <c r="F592" s="620"/>
      <c r="G592" s="620"/>
      <c r="H592" s="620"/>
      <c r="I592" s="620"/>
      <c r="J592" s="620"/>
      <c r="K592" s="620"/>
      <c r="L592" s="620"/>
      <c r="M592" s="620"/>
      <c r="N592" s="620"/>
      <c r="O592" s="620"/>
      <c r="P592" s="620"/>
      <c r="Q592" s="620"/>
      <c r="R592" s="620"/>
      <c r="S592" s="620"/>
      <c r="T592" s="620"/>
    </row>
    <row r="593">
      <c r="A593" s="620"/>
      <c r="B593" s="620"/>
      <c r="C593" s="620"/>
      <c r="D593" s="620"/>
      <c r="E593" s="620"/>
      <c r="F593" s="620"/>
      <c r="G593" s="620"/>
      <c r="H593" s="620"/>
      <c r="I593" s="620"/>
      <c r="J593" s="620"/>
      <c r="K593" s="620"/>
      <c r="L593" s="620"/>
      <c r="M593" s="620"/>
      <c r="N593" s="620"/>
      <c r="O593" s="620"/>
      <c r="P593" s="620"/>
      <c r="Q593" s="620"/>
      <c r="R593" s="620"/>
      <c r="S593" s="620"/>
      <c r="T593" s="620"/>
    </row>
    <row r="594">
      <c r="A594" s="620"/>
      <c r="B594" s="620"/>
      <c r="C594" s="620"/>
      <c r="D594" s="620"/>
      <c r="E594" s="620"/>
      <c r="F594" s="620"/>
      <c r="G594" s="620"/>
      <c r="H594" s="620"/>
      <c r="I594" s="620"/>
      <c r="J594" s="620"/>
      <c r="K594" s="620"/>
      <c r="L594" s="620"/>
      <c r="M594" s="620"/>
      <c r="N594" s="620"/>
      <c r="O594" s="620"/>
      <c r="P594" s="620"/>
      <c r="Q594" s="620"/>
      <c r="R594" s="620"/>
      <c r="S594" s="620"/>
      <c r="T594" s="620"/>
    </row>
    <row r="595">
      <c r="A595" s="620"/>
      <c r="B595" s="620"/>
      <c r="C595" s="620"/>
      <c r="D595" s="620"/>
      <c r="E595" s="620"/>
      <c r="F595" s="620"/>
      <c r="G595" s="620"/>
      <c r="H595" s="620"/>
      <c r="I595" s="620"/>
      <c r="J595" s="620"/>
      <c r="K595" s="620"/>
      <c r="L595" s="620"/>
      <c r="M595" s="620"/>
      <c r="N595" s="620"/>
      <c r="O595" s="620"/>
      <c r="P595" s="620"/>
      <c r="Q595" s="620"/>
      <c r="R595" s="620"/>
      <c r="S595" s="620"/>
      <c r="T595" s="620"/>
    </row>
    <row r="596">
      <c r="A596" s="620"/>
      <c r="B596" s="620"/>
      <c r="C596" s="620"/>
      <c r="D596" s="620"/>
      <c r="E596" s="620"/>
      <c r="F596" s="620"/>
      <c r="G596" s="620"/>
      <c r="H596" s="620"/>
      <c r="I596" s="620"/>
      <c r="J596" s="620"/>
      <c r="K596" s="620"/>
      <c r="L596" s="620"/>
      <c r="M596" s="620"/>
      <c r="N596" s="620"/>
      <c r="O596" s="620"/>
      <c r="P596" s="620"/>
      <c r="Q596" s="620"/>
      <c r="R596" s="620"/>
      <c r="S596" s="620"/>
      <c r="T596" s="620"/>
    </row>
    <row r="597">
      <c r="A597" s="620"/>
      <c r="B597" s="620"/>
      <c r="C597" s="620"/>
      <c r="D597" s="620"/>
      <c r="E597" s="620"/>
      <c r="F597" s="620"/>
      <c r="G597" s="620"/>
      <c r="H597" s="620"/>
      <c r="I597" s="620"/>
      <c r="J597" s="620"/>
      <c r="K597" s="620"/>
      <c r="L597" s="620"/>
      <c r="M597" s="620"/>
      <c r="N597" s="620"/>
      <c r="O597" s="620"/>
      <c r="P597" s="620"/>
      <c r="Q597" s="620"/>
      <c r="R597" s="620"/>
      <c r="S597" s="620"/>
      <c r="T597" s="620"/>
    </row>
    <row r="598">
      <c r="A598" s="620"/>
      <c r="B598" s="620"/>
      <c r="C598" s="620"/>
      <c r="D598" s="620"/>
      <c r="E598" s="620"/>
      <c r="F598" s="620"/>
      <c r="G598" s="620"/>
      <c r="H598" s="620"/>
      <c r="I598" s="620"/>
      <c r="J598" s="620"/>
      <c r="K598" s="620"/>
      <c r="L598" s="620"/>
      <c r="M598" s="620"/>
      <c r="N598" s="620"/>
      <c r="O598" s="620"/>
      <c r="P598" s="620"/>
      <c r="Q598" s="620"/>
      <c r="R598" s="620"/>
      <c r="S598" s="620"/>
      <c r="T598" s="620"/>
    </row>
    <row r="599">
      <c r="A599" s="620"/>
      <c r="B599" s="620"/>
      <c r="C599" s="620"/>
      <c r="D599" s="620"/>
      <c r="E599" s="620"/>
      <c r="F599" s="620"/>
      <c r="G599" s="620"/>
      <c r="H599" s="620"/>
      <c r="I599" s="620"/>
      <c r="J599" s="620"/>
      <c r="K599" s="620"/>
      <c r="L599" s="620"/>
      <c r="M599" s="620"/>
      <c r="N599" s="620"/>
      <c r="O599" s="620"/>
      <c r="P599" s="620"/>
      <c r="Q599" s="620"/>
      <c r="R599" s="620"/>
      <c r="S599" s="620"/>
      <c r="T599" s="620"/>
    </row>
    <row r="600">
      <c r="A600" s="620"/>
      <c r="B600" s="620"/>
      <c r="C600" s="620"/>
      <c r="D600" s="620"/>
      <c r="E600" s="620"/>
      <c r="F600" s="620"/>
      <c r="G600" s="620"/>
      <c r="H600" s="620"/>
      <c r="I600" s="620"/>
      <c r="J600" s="620"/>
      <c r="K600" s="620"/>
      <c r="L600" s="620"/>
      <c r="M600" s="620"/>
      <c r="N600" s="620"/>
      <c r="O600" s="620"/>
      <c r="P600" s="620"/>
      <c r="Q600" s="620"/>
      <c r="R600" s="620"/>
      <c r="S600" s="620"/>
      <c r="T600" s="620"/>
    </row>
    <row r="601">
      <c r="A601" s="620"/>
      <c r="B601" s="620"/>
      <c r="C601" s="620"/>
      <c r="D601" s="620"/>
      <c r="E601" s="620"/>
      <c r="F601" s="620"/>
      <c r="G601" s="620"/>
      <c r="H601" s="620"/>
      <c r="I601" s="620"/>
      <c r="J601" s="620"/>
      <c r="K601" s="620"/>
      <c r="L601" s="620"/>
      <c r="M601" s="620"/>
      <c r="N601" s="620"/>
      <c r="O601" s="620"/>
      <c r="P601" s="620"/>
      <c r="Q601" s="620"/>
      <c r="R601" s="620"/>
      <c r="S601" s="620"/>
      <c r="T601" s="620"/>
    </row>
    <row r="602">
      <c r="A602" s="620"/>
      <c r="B602" s="620"/>
      <c r="C602" s="620"/>
      <c r="D602" s="620"/>
      <c r="E602" s="620"/>
      <c r="F602" s="620"/>
      <c r="G602" s="620"/>
      <c r="H602" s="620"/>
      <c r="I602" s="620"/>
      <c r="J602" s="620"/>
      <c r="K602" s="620"/>
      <c r="L602" s="620"/>
      <c r="M602" s="620"/>
      <c r="N602" s="620"/>
      <c r="O602" s="620"/>
      <c r="P602" s="620"/>
      <c r="Q602" s="620"/>
      <c r="R602" s="620"/>
      <c r="S602" s="620"/>
      <c r="T602" s="620"/>
    </row>
    <row r="603">
      <c r="A603" s="620"/>
      <c r="B603" s="620"/>
      <c r="C603" s="620"/>
      <c r="D603" s="620"/>
      <c r="E603" s="620"/>
      <c r="F603" s="620"/>
      <c r="G603" s="620"/>
      <c r="H603" s="620"/>
      <c r="I603" s="620"/>
      <c r="J603" s="620"/>
      <c r="K603" s="620"/>
      <c r="L603" s="620"/>
      <c r="M603" s="620"/>
      <c r="N603" s="620"/>
      <c r="O603" s="620"/>
      <c r="P603" s="620"/>
      <c r="Q603" s="620"/>
      <c r="R603" s="620"/>
      <c r="S603" s="620"/>
      <c r="T603" s="620"/>
    </row>
    <row r="604">
      <c r="A604" s="620"/>
      <c r="B604" s="620"/>
      <c r="C604" s="620"/>
      <c r="D604" s="620"/>
      <c r="E604" s="620"/>
      <c r="F604" s="620"/>
      <c r="G604" s="620"/>
      <c r="H604" s="620"/>
      <c r="I604" s="620"/>
      <c r="J604" s="620"/>
      <c r="K604" s="620"/>
      <c r="L604" s="620"/>
      <c r="M604" s="620"/>
      <c r="N604" s="620"/>
      <c r="O604" s="620"/>
      <c r="P604" s="620"/>
      <c r="Q604" s="620"/>
      <c r="R604" s="620"/>
      <c r="S604" s="620"/>
      <c r="T604" s="620"/>
    </row>
    <row r="605">
      <c r="A605" s="620"/>
      <c r="B605" s="620"/>
      <c r="C605" s="620"/>
      <c r="D605" s="620"/>
      <c r="E605" s="620"/>
      <c r="F605" s="620"/>
      <c r="G605" s="620"/>
      <c r="H605" s="620"/>
      <c r="I605" s="620"/>
      <c r="J605" s="620"/>
      <c r="K605" s="620"/>
      <c r="L605" s="620"/>
      <c r="M605" s="620"/>
      <c r="N605" s="620"/>
      <c r="O605" s="620"/>
      <c r="P605" s="620"/>
      <c r="Q605" s="620"/>
      <c r="R605" s="620"/>
      <c r="S605" s="620"/>
      <c r="T605" s="620"/>
    </row>
    <row r="606">
      <c r="A606" s="620"/>
      <c r="B606" s="620"/>
      <c r="C606" s="620"/>
      <c r="D606" s="620"/>
      <c r="E606" s="620"/>
      <c r="F606" s="620"/>
      <c r="G606" s="620"/>
      <c r="H606" s="620"/>
      <c r="I606" s="620"/>
      <c r="J606" s="620"/>
      <c r="K606" s="620"/>
      <c r="L606" s="620"/>
      <c r="M606" s="620"/>
      <c r="N606" s="620"/>
      <c r="O606" s="620"/>
      <c r="P606" s="620"/>
      <c r="Q606" s="620"/>
      <c r="R606" s="620"/>
      <c r="S606" s="620"/>
      <c r="T606" s="620"/>
    </row>
    <row r="607">
      <c r="A607" s="620"/>
      <c r="B607" s="620"/>
      <c r="C607" s="620"/>
      <c r="D607" s="620"/>
      <c r="E607" s="620"/>
      <c r="F607" s="620"/>
      <c r="G607" s="620"/>
      <c r="H607" s="620"/>
      <c r="I607" s="620"/>
      <c r="J607" s="620"/>
      <c r="K607" s="620"/>
      <c r="L607" s="620"/>
      <c r="M607" s="620"/>
      <c r="N607" s="620"/>
      <c r="O607" s="620"/>
      <c r="P607" s="620"/>
      <c r="Q607" s="620"/>
      <c r="R607" s="620"/>
      <c r="S607" s="620"/>
      <c r="T607" s="620"/>
    </row>
    <row r="608">
      <c r="A608" s="620"/>
      <c r="B608" s="620"/>
      <c r="C608" s="620"/>
      <c r="D608" s="620"/>
      <c r="E608" s="620"/>
      <c r="F608" s="620"/>
      <c r="G608" s="620"/>
      <c r="H608" s="620"/>
      <c r="I608" s="620"/>
      <c r="J608" s="620"/>
      <c r="K608" s="620"/>
      <c r="L608" s="620"/>
      <c r="M608" s="620"/>
      <c r="N608" s="620"/>
      <c r="O608" s="620"/>
      <c r="P608" s="620"/>
      <c r="Q608" s="620"/>
      <c r="R608" s="620"/>
      <c r="S608" s="620"/>
      <c r="T608" s="620"/>
    </row>
    <row r="609">
      <c r="A609" s="620"/>
      <c r="B609" s="620"/>
      <c r="C609" s="620"/>
      <c r="D609" s="620"/>
      <c r="E609" s="620"/>
      <c r="F609" s="620"/>
      <c r="G609" s="620"/>
      <c r="H609" s="620"/>
      <c r="I609" s="620"/>
      <c r="J609" s="620"/>
      <c r="K609" s="620"/>
      <c r="L609" s="620"/>
      <c r="M609" s="620"/>
      <c r="N609" s="620"/>
      <c r="O609" s="620"/>
      <c r="P609" s="620"/>
      <c r="Q609" s="620"/>
      <c r="R609" s="620"/>
      <c r="S609" s="620"/>
      <c r="T609" s="620"/>
    </row>
    <row r="610">
      <c r="A610" s="620"/>
      <c r="B610" s="620"/>
      <c r="C610" s="620"/>
      <c r="D610" s="620"/>
      <c r="E610" s="620"/>
      <c r="F610" s="620"/>
      <c r="G610" s="620"/>
      <c r="H610" s="620"/>
      <c r="I610" s="620"/>
      <c r="J610" s="620"/>
      <c r="K610" s="620"/>
      <c r="L610" s="620"/>
      <c r="M610" s="620"/>
      <c r="N610" s="620"/>
      <c r="O610" s="620"/>
      <c r="P610" s="620"/>
      <c r="Q610" s="620"/>
      <c r="R610" s="620"/>
      <c r="S610" s="620"/>
      <c r="T610" s="620"/>
    </row>
    <row r="611">
      <c r="A611" s="620"/>
      <c r="B611" s="620"/>
      <c r="C611" s="620"/>
      <c r="D611" s="620"/>
      <c r="E611" s="620"/>
      <c r="F611" s="620"/>
      <c r="G611" s="620"/>
      <c r="H611" s="620"/>
      <c r="I611" s="620"/>
      <c r="J611" s="620"/>
      <c r="K611" s="620"/>
      <c r="L611" s="620"/>
      <c r="M611" s="620"/>
      <c r="N611" s="620"/>
      <c r="O611" s="620"/>
      <c r="P611" s="620"/>
      <c r="Q611" s="620"/>
      <c r="R611" s="620"/>
      <c r="S611" s="620"/>
      <c r="T611" s="620"/>
    </row>
    <row r="612">
      <c r="A612" s="620"/>
      <c r="B612" s="620"/>
      <c r="C612" s="620"/>
      <c r="D612" s="620"/>
      <c r="E612" s="620"/>
      <c r="F612" s="620"/>
      <c r="G612" s="620"/>
      <c r="H612" s="620"/>
      <c r="I612" s="620"/>
      <c r="J612" s="620"/>
      <c r="K612" s="620"/>
      <c r="L612" s="620"/>
      <c r="M612" s="620"/>
      <c r="N612" s="620"/>
      <c r="O612" s="620"/>
      <c r="P612" s="620"/>
      <c r="Q612" s="620"/>
      <c r="R612" s="620"/>
      <c r="S612" s="620"/>
      <c r="T612" s="620"/>
    </row>
    <row r="613">
      <c r="A613" s="620"/>
      <c r="B613" s="620"/>
      <c r="C613" s="620"/>
      <c r="D613" s="620"/>
      <c r="E613" s="620"/>
      <c r="F613" s="620"/>
      <c r="G613" s="620"/>
      <c r="H613" s="620"/>
      <c r="I613" s="620"/>
      <c r="J613" s="620"/>
      <c r="K613" s="620"/>
      <c r="L613" s="620"/>
      <c r="M613" s="620"/>
      <c r="N613" s="620"/>
      <c r="O613" s="620"/>
      <c r="P613" s="620"/>
      <c r="Q613" s="620"/>
      <c r="R613" s="620"/>
      <c r="S613" s="620"/>
      <c r="T613" s="620"/>
    </row>
    <row r="614">
      <c r="A614" s="620"/>
      <c r="B614" s="620"/>
      <c r="C614" s="620"/>
      <c r="D614" s="620"/>
      <c r="E614" s="620"/>
      <c r="F614" s="620"/>
      <c r="G614" s="620"/>
      <c r="H614" s="620"/>
      <c r="I614" s="620"/>
      <c r="J614" s="620"/>
      <c r="K614" s="620"/>
      <c r="L614" s="620"/>
      <c r="M614" s="620"/>
      <c r="N614" s="620"/>
      <c r="O614" s="620"/>
      <c r="P614" s="620"/>
      <c r="Q614" s="620"/>
      <c r="R614" s="620"/>
      <c r="S614" s="620"/>
      <c r="T614" s="620"/>
    </row>
    <row r="615">
      <c r="A615" s="620"/>
      <c r="B615" s="620"/>
      <c r="C615" s="620"/>
      <c r="D615" s="620"/>
      <c r="E615" s="620"/>
      <c r="F615" s="620"/>
      <c r="G615" s="620"/>
      <c r="H615" s="620"/>
      <c r="I615" s="620"/>
      <c r="J615" s="620"/>
      <c r="K615" s="620"/>
      <c r="L615" s="620"/>
      <c r="M615" s="620"/>
      <c r="N615" s="620"/>
      <c r="O615" s="620"/>
      <c r="P615" s="620"/>
      <c r="Q615" s="620"/>
      <c r="R615" s="620"/>
      <c r="S615" s="620"/>
      <c r="T615" s="620"/>
    </row>
    <row r="616">
      <c r="A616" s="620"/>
      <c r="B616" s="620"/>
      <c r="C616" s="620"/>
      <c r="D616" s="620"/>
      <c r="E616" s="620"/>
      <c r="F616" s="620"/>
      <c r="G616" s="620"/>
      <c r="H616" s="620"/>
      <c r="I616" s="620"/>
      <c r="J616" s="620"/>
      <c r="K616" s="620"/>
      <c r="L616" s="620"/>
      <c r="M616" s="620"/>
      <c r="N616" s="620"/>
      <c r="O616" s="620"/>
      <c r="P616" s="620"/>
      <c r="Q616" s="620"/>
      <c r="R616" s="620"/>
      <c r="S616" s="620"/>
      <c r="T616" s="620"/>
    </row>
    <row r="617">
      <c r="A617" s="620"/>
      <c r="B617" s="620"/>
      <c r="C617" s="620"/>
      <c r="D617" s="620"/>
      <c r="E617" s="620"/>
      <c r="F617" s="620"/>
      <c r="G617" s="620"/>
      <c r="H617" s="620"/>
      <c r="I617" s="620"/>
      <c r="J617" s="620"/>
      <c r="K617" s="620"/>
      <c r="L617" s="620"/>
      <c r="M617" s="620"/>
      <c r="N617" s="620"/>
      <c r="O617" s="620"/>
      <c r="P617" s="620"/>
      <c r="Q617" s="620"/>
      <c r="R617" s="620"/>
      <c r="S617" s="620"/>
      <c r="T617" s="620"/>
    </row>
    <row r="618">
      <c r="A618" s="620"/>
      <c r="B618" s="620"/>
      <c r="C618" s="620"/>
      <c r="D618" s="620"/>
      <c r="E618" s="620"/>
      <c r="F618" s="620"/>
      <c r="G618" s="620"/>
      <c r="H618" s="620"/>
      <c r="I618" s="620"/>
      <c r="J618" s="620"/>
      <c r="K618" s="620"/>
      <c r="L618" s="620"/>
      <c r="M618" s="620"/>
      <c r="N618" s="620"/>
      <c r="O618" s="620"/>
      <c r="P618" s="620"/>
      <c r="Q618" s="620"/>
      <c r="R618" s="620"/>
      <c r="S618" s="620"/>
      <c r="T618" s="620"/>
    </row>
    <row r="619">
      <c r="A619" s="620"/>
      <c r="B619" s="620"/>
      <c r="C619" s="620"/>
      <c r="D619" s="620"/>
      <c r="E619" s="620"/>
      <c r="F619" s="620"/>
      <c r="G619" s="620"/>
      <c r="H619" s="620"/>
      <c r="I619" s="620"/>
      <c r="J619" s="620"/>
      <c r="K619" s="620"/>
      <c r="L619" s="620"/>
      <c r="M619" s="620"/>
      <c r="N619" s="620"/>
      <c r="O619" s="620"/>
      <c r="P619" s="620"/>
      <c r="Q619" s="620"/>
      <c r="R619" s="620"/>
      <c r="S619" s="620"/>
      <c r="T619" s="620"/>
    </row>
    <row r="620">
      <c r="A620" s="620"/>
      <c r="B620" s="620"/>
      <c r="C620" s="620"/>
      <c r="D620" s="620"/>
      <c r="E620" s="620"/>
      <c r="F620" s="620"/>
      <c r="G620" s="620"/>
      <c r="H620" s="620"/>
      <c r="I620" s="620"/>
      <c r="J620" s="620"/>
      <c r="K620" s="620"/>
      <c r="L620" s="620"/>
      <c r="M620" s="620"/>
      <c r="N620" s="620"/>
      <c r="O620" s="620"/>
      <c r="P620" s="620"/>
      <c r="Q620" s="620"/>
      <c r="R620" s="620"/>
      <c r="S620" s="620"/>
      <c r="T620" s="620"/>
    </row>
    <row r="621">
      <c r="A621" s="620"/>
      <c r="B621" s="620"/>
      <c r="C621" s="620"/>
      <c r="D621" s="620"/>
      <c r="E621" s="620"/>
      <c r="F621" s="620"/>
      <c r="G621" s="620"/>
      <c r="H621" s="620"/>
      <c r="I621" s="620"/>
      <c r="J621" s="620"/>
      <c r="K621" s="620"/>
      <c r="L621" s="620"/>
      <c r="M621" s="620"/>
      <c r="N621" s="620"/>
      <c r="O621" s="620"/>
      <c r="P621" s="620"/>
      <c r="Q621" s="620"/>
      <c r="R621" s="620"/>
      <c r="S621" s="620"/>
      <c r="T621" s="620"/>
    </row>
    <row r="622">
      <c r="A622" s="620"/>
      <c r="B622" s="620"/>
      <c r="C622" s="620"/>
      <c r="D622" s="620"/>
      <c r="E622" s="620"/>
      <c r="F622" s="620"/>
      <c r="G622" s="620"/>
      <c r="H622" s="620"/>
      <c r="I622" s="620"/>
      <c r="J622" s="620"/>
      <c r="K622" s="620"/>
      <c r="L622" s="620"/>
      <c r="M622" s="620"/>
      <c r="N622" s="620"/>
      <c r="O622" s="620"/>
      <c r="P622" s="620"/>
      <c r="Q622" s="620"/>
      <c r="R622" s="620"/>
      <c r="S622" s="620"/>
      <c r="T622" s="620"/>
    </row>
    <row r="623">
      <c r="A623" s="620"/>
      <c r="B623" s="620"/>
      <c r="C623" s="620"/>
      <c r="D623" s="620"/>
      <c r="E623" s="620"/>
      <c r="F623" s="620"/>
      <c r="G623" s="620"/>
      <c r="H623" s="620"/>
      <c r="I623" s="620"/>
      <c r="J623" s="620"/>
      <c r="K623" s="620"/>
      <c r="L623" s="620"/>
      <c r="M623" s="620"/>
      <c r="N623" s="620"/>
      <c r="O623" s="620"/>
      <c r="P623" s="620"/>
      <c r="Q623" s="620"/>
      <c r="R623" s="620"/>
      <c r="S623" s="620"/>
      <c r="T623" s="620"/>
    </row>
    <row r="624">
      <c r="A624" s="620"/>
      <c r="B624" s="620"/>
      <c r="C624" s="620"/>
      <c r="D624" s="620"/>
      <c r="E624" s="620"/>
      <c r="F624" s="620"/>
      <c r="G624" s="620"/>
      <c r="H624" s="620"/>
      <c r="I624" s="620"/>
      <c r="J624" s="620"/>
      <c r="K624" s="620"/>
      <c r="L624" s="620"/>
      <c r="M624" s="620"/>
      <c r="N624" s="620"/>
      <c r="O624" s="620"/>
      <c r="P624" s="620"/>
      <c r="Q624" s="620"/>
      <c r="R624" s="620"/>
      <c r="S624" s="620"/>
      <c r="T624" s="620"/>
    </row>
    <row r="625">
      <c r="A625" s="620"/>
      <c r="B625" s="620"/>
      <c r="C625" s="620"/>
      <c r="D625" s="620"/>
      <c r="E625" s="620"/>
      <c r="F625" s="620"/>
      <c r="G625" s="620"/>
      <c r="H625" s="620"/>
      <c r="I625" s="620"/>
      <c r="J625" s="620"/>
      <c r="K625" s="620"/>
      <c r="L625" s="620"/>
      <c r="M625" s="620"/>
      <c r="N625" s="620"/>
      <c r="O625" s="620"/>
      <c r="P625" s="620"/>
      <c r="Q625" s="620"/>
      <c r="R625" s="620"/>
      <c r="S625" s="620"/>
      <c r="T625" s="620"/>
    </row>
    <row r="626">
      <c r="A626" s="620"/>
      <c r="B626" s="620"/>
      <c r="C626" s="620"/>
      <c r="D626" s="620"/>
      <c r="E626" s="620"/>
      <c r="F626" s="620"/>
      <c r="G626" s="620"/>
      <c r="H626" s="620"/>
      <c r="I626" s="620"/>
      <c r="J626" s="620"/>
      <c r="K626" s="620"/>
      <c r="L626" s="620"/>
      <c r="M626" s="620"/>
      <c r="N626" s="620"/>
      <c r="O626" s="620"/>
      <c r="P626" s="620"/>
      <c r="Q626" s="620"/>
      <c r="R626" s="620"/>
      <c r="S626" s="620"/>
      <c r="T626" s="620"/>
    </row>
    <row r="627">
      <c r="A627" s="620"/>
      <c r="B627" s="620"/>
      <c r="C627" s="620"/>
      <c r="D627" s="620"/>
      <c r="E627" s="620"/>
      <c r="F627" s="620"/>
      <c r="G627" s="620"/>
      <c r="H627" s="620"/>
      <c r="I627" s="620"/>
      <c r="J627" s="620"/>
      <c r="K627" s="620"/>
      <c r="L627" s="620"/>
      <c r="M627" s="620"/>
      <c r="N627" s="620"/>
      <c r="O627" s="620"/>
      <c r="P627" s="620"/>
      <c r="Q627" s="620"/>
      <c r="R627" s="620"/>
      <c r="S627" s="620"/>
      <c r="T627" s="620"/>
    </row>
    <row r="628">
      <c r="A628" s="620"/>
      <c r="B628" s="620"/>
      <c r="C628" s="620"/>
      <c r="D628" s="620"/>
      <c r="E628" s="620"/>
      <c r="F628" s="620"/>
      <c r="G628" s="620"/>
      <c r="H628" s="620"/>
      <c r="I628" s="620"/>
      <c r="J628" s="620"/>
      <c r="K628" s="620"/>
      <c r="L628" s="620"/>
      <c r="M628" s="620"/>
      <c r="N628" s="620"/>
      <c r="O628" s="620"/>
      <c r="P628" s="620"/>
      <c r="Q628" s="620"/>
      <c r="R628" s="620"/>
      <c r="S628" s="620"/>
      <c r="T628" s="620"/>
    </row>
    <row r="629">
      <c r="A629" s="620"/>
      <c r="B629" s="620"/>
      <c r="C629" s="620"/>
      <c r="D629" s="620"/>
      <c r="E629" s="620"/>
      <c r="F629" s="620"/>
      <c r="G629" s="620"/>
      <c r="H629" s="620"/>
      <c r="I629" s="620"/>
      <c r="J629" s="620"/>
      <c r="K629" s="620"/>
      <c r="L629" s="620"/>
      <c r="M629" s="620"/>
      <c r="N629" s="620"/>
      <c r="O629" s="620"/>
      <c r="P629" s="620"/>
      <c r="Q629" s="620"/>
      <c r="R629" s="620"/>
      <c r="S629" s="620"/>
      <c r="T629" s="620"/>
    </row>
    <row r="630">
      <c r="A630" s="620"/>
      <c r="B630" s="620"/>
      <c r="C630" s="620"/>
      <c r="D630" s="620"/>
      <c r="E630" s="620"/>
      <c r="F630" s="620"/>
      <c r="G630" s="620"/>
      <c r="H630" s="620"/>
      <c r="I630" s="620"/>
      <c r="J630" s="620"/>
      <c r="K630" s="620"/>
      <c r="L630" s="620"/>
      <c r="M630" s="620"/>
      <c r="N630" s="620"/>
      <c r="O630" s="620"/>
      <c r="P630" s="620"/>
      <c r="Q630" s="620"/>
      <c r="R630" s="620"/>
      <c r="S630" s="620"/>
      <c r="T630" s="620"/>
    </row>
    <row r="631">
      <c r="A631" s="620"/>
      <c r="B631" s="620"/>
      <c r="C631" s="620"/>
      <c r="D631" s="620"/>
      <c r="E631" s="620"/>
      <c r="F631" s="620"/>
      <c r="G631" s="620"/>
      <c r="H631" s="620"/>
      <c r="I631" s="620"/>
      <c r="J631" s="620"/>
      <c r="K631" s="620"/>
      <c r="L631" s="620"/>
      <c r="M631" s="620"/>
      <c r="N631" s="620"/>
      <c r="O631" s="620"/>
      <c r="P631" s="620"/>
      <c r="Q631" s="620"/>
      <c r="R631" s="620"/>
      <c r="S631" s="620"/>
      <c r="T631" s="620"/>
    </row>
    <row r="632">
      <c r="A632" s="620"/>
      <c r="B632" s="620"/>
      <c r="C632" s="620"/>
      <c r="D632" s="620"/>
      <c r="E632" s="620"/>
      <c r="F632" s="620"/>
      <c r="G632" s="620"/>
      <c r="H632" s="620"/>
      <c r="I632" s="620"/>
      <c r="J632" s="620"/>
      <c r="K632" s="620"/>
      <c r="L632" s="620"/>
      <c r="M632" s="620"/>
      <c r="N632" s="620"/>
      <c r="O632" s="620"/>
      <c r="P632" s="620"/>
      <c r="Q632" s="620"/>
      <c r="R632" s="620"/>
      <c r="S632" s="620"/>
      <c r="T632" s="620"/>
    </row>
    <row r="633">
      <c r="A633" s="620"/>
      <c r="B633" s="620"/>
      <c r="C633" s="620"/>
      <c r="D633" s="620"/>
      <c r="E633" s="620"/>
      <c r="F633" s="620"/>
      <c r="G633" s="620"/>
      <c r="H633" s="620"/>
      <c r="I633" s="620"/>
      <c r="J633" s="620"/>
      <c r="K633" s="620"/>
      <c r="L633" s="620"/>
      <c r="M633" s="620"/>
      <c r="N633" s="620"/>
      <c r="O633" s="620"/>
      <c r="P633" s="620"/>
      <c r="Q633" s="620"/>
      <c r="R633" s="620"/>
      <c r="S633" s="620"/>
      <c r="T633" s="620"/>
    </row>
    <row r="634">
      <c r="A634" s="620"/>
      <c r="B634" s="620"/>
      <c r="C634" s="620"/>
      <c r="D634" s="620"/>
      <c r="E634" s="620"/>
      <c r="F634" s="620"/>
      <c r="G634" s="620"/>
      <c r="H634" s="620"/>
      <c r="I634" s="620"/>
      <c r="J634" s="620"/>
      <c r="K634" s="620"/>
      <c r="L634" s="620"/>
      <c r="M634" s="620"/>
      <c r="N634" s="620"/>
      <c r="O634" s="620"/>
      <c r="P634" s="620"/>
      <c r="Q634" s="620"/>
      <c r="R634" s="620"/>
      <c r="S634" s="620"/>
      <c r="T634" s="620"/>
    </row>
    <row r="635">
      <c r="A635" s="620"/>
      <c r="B635" s="620"/>
      <c r="C635" s="620"/>
      <c r="D635" s="620"/>
      <c r="E635" s="620"/>
      <c r="F635" s="620"/>
      <c r="G635" s="620"/>
      <c r="H635" s="620"/>
      <c r="I635" s="620"/>
      <c r="J635" s="620"/>
      <c r="K635" s="620"/>
      <c r="L635" s="620"/>
      <c r="M635" s="620"/>
      <c r="N635" s="620"/>
      <c r="O635" s="620"/>
      <c r="P635" s="620"/>
      <c r="Q635" s="620"/>
      <c r="R635" s="620"/>
      <c r="S635" s="620"/>
      <c r="T635" s="620"/>
    </row>
    <row r="636">
      <c r="A636" s="620"/>
      <c r="B636" s="620"/>
      <c r="C636" s="620"/>
      <c r="D636" s="620"/>
      <c r="E636" s="620"/>
      <c r="F636" s="620"/>
      <c r="G636" s="620"/>
      <c r="H636" s="620"/>
      <c r="I636" s="620"/>
      <c r="J636" s="620"/>
      <c r="K636" s="620"/>
      <c r="L636" s="620"/>
      <c r="M636" s="620"/>
      <c r="N636" s="620"/>
      <c r="O636" s="620"/>
      <c r="P636" s="620"/>
      <c r="Q636" s="620"/>
      <c r="R636" s="620"/>
      <c r="S636" s="620"/>
      <c r="T636" s="620"/>
    </row>
    <row r="637">
      <c r="A637" s="620"/>
      <c r="B637" s="620"/>
      <c r="C637" s="620"/>
      <c r="D637" s="620"/>
      <c r="E637" s="620"/>
      <c r="F637" s="620"/>
      <c r="G637" s="620"/>
      <c r="H637" s="620"/>
      <c r="I637" s="620"/>
      <c r="J637" s="620"/>
      <c r="K637" s="620"/>
      <c r="L637" s="620"/>
      <c r="M637" s="620"/>
      <c r="N637" s="620"/>
      <c r="O637" s="620"/>
      <c r="P637" s="620"/>
      <c r="Q637" s="620"/>
      <c r="R637" s="620"/>
      <c r="S637" s="620"/>
      <c r="T637" s="620"/>
    </row>
    <row r="638">
      <c r="A638" s="620"/>
      <c r="B638" s="620"/>
      <c r="C638" s="620"/>
      <c r="D638" s="620"/>
      <c r="E638" s="620"/>
      <c r="F638" s="620"/>
      <c r="G638" s="620"/>
      <c r="H638" s="620"/>
      <c r="I638" s="620"/>
      <c r="J638" s="620"/>
      <c r="K638" s="620"/>
      <c r="L638" s="620"/>
      <c r="M638" s="620"/>
      <c r="N638" s="620"/>
      <c r="O638" s="620"/>
      <c r="P638" s="620"/>
      <c r="Q638" s="620"/>
      <c r="R638" s="620"/>
      <c r="S638" s="620"/>
      <c r="T638" s="620"/>
    </row>
    <row r="639">
      <c r="A639" s="620"/>
      <c r="B639" s="620"/>
      <c r="C639" s="620"/>
      <c r="D639" s="620"/>
      <c r="E639" s="620"/>
      <c r="F639" s="620"/>
      <c r="G639" s="620"/>
      <c r="H639" s="620"/>
      <c r="I639" s="620"/>
      <c r="J639" s="620"/>
      <c r="K639" s="620"/>
      <c r="L639" s="620"/>
      <c r="M639" s="620"/>
      <c r="N639" s="620"/>
      <c r="O639" s="620"/>
      <c r="P639" s="620"/>
      <c r="Q639" s="620"/>
      <c r="R639" s="620"/>
      <c r="S639" s="620"/>
      <c r="T639" s="620"/>
    </row>
    <row r="640">
      <c r="A640" s="620"/>
      <c r="B640" s="620"/>
      <c r="C640" s="620"/>
      <c r="D640" s="620"/>
      <c r="E640" s="620"/>
      <c r="F640" s="620"/>
      <c r="G640" s="620"/>
      <c r="H640" s="620"/>
      <c r="I640" s="620"/>
      <c r="J640" s="620"/>
      <c r="K640" s="620"/>
      <c r="L640" s="620"/>
      <c r="M640" s="620"/>
      <c r="N640" s="620"/>
      <c r="O640" s="620"/>
      <c r="P640" s="620"/>
      <c r="Q640" s="620"/>
      <c r="R640" s="620"/>
      <c r="S640" s="620"/>
      <c r="T640" s="620"/>
    </row>
    <row r="641">
      <c r="A641" s="620"/>
      <c r="B641" s="620"/>
      <c r="C641" s="620"/>
      <c r="D641" s="620"/>
      <c r="E641" s="620"/>
      <c r="F641" s="620"/>
      <c r="G641" s="620"/>
      <c r="H641" s="620"/>
      <c r="I641" s="620"/>
      <c r="J641" s="620"/>
      <c r="K641" s="620"/>
      <c r="L641" s="620"/>
      <c r="M641" s="620"/>
      <c r="N641" s="620"/>
      <c r="O641" s="620"/>
      <c r="P641" s="620"/>
      <c r="Q641" s="620"/>
      <c r="R641" s="620"/>
      <c r="S641" s="620"/>
      <c r="T641" s="620"/>
    </row>
    <row r="642">
      <c r="A642" s="620"/>
      <c r="B642" s="620"/>
      <c r="C642" s="620"/>
      <c r="D642" s="620"/>
      <c r="E642" s="620"/>
      <c r="F642" s="620"/>
      <c r="G642" s="620"/>
      <c r="H642" s="620"/>
      <c r="I642" s="620"/>
      <c r="J642" s="620"/>
      <c r="K642" s="620"/>
      <c r="L642" s="620"/>
      <c r="M642" s="620"/>
      <c r="N642" s="620"/>
      <c r="O642" s="620"/>
      <c r="P642" s="620"/>
      <c r="Q642" s="620"/>
      <c r="R642" s="620"/>
      <c r="S642" s="620"/>
      <c r="T642" s="620"/>
    </row>
    <row r="643">
      <c r="A643" s="620"/>
      <c r="B643" s="620"/>
      <c r="C643" s="620"/>
      <c r="D643" s="620"/>
      <c r="E643" s="620"/>
      <c r="F643" s="620"/>
      <c r="G643" s="620"/>
      <c r="H643" s="620"/>
      <c r="I643" s="620"/>
      <c r="J643" s="620"/>
      <c r="K643" s="620"/>
      <c r="L643" s="620"/>
      <c r="M643" s="620"/>
      <c r="N643" s="620"/>
      <c r="O643" s="620"/>
      <c r="P643" s="620"/>
      <c r="Q643" s="620"/>
      <c r="R643" s="620"/>
      <c r="S643" s="620"/>
      <c r="T643" s="620"/>
    </row>
    <row r="644">
      <c r="A644" s="620"/>
      <c r="B644" s="620"/>
      <c r="C644" s="620"/>
      <c r="D644" s="620"/>
      <c r="E644" s="620"/>
      <c r="F644" s="620"/>
      <c r="G644" s="620"/>
      <c r="H644" s="620"/>
      <c r="I644" s="620"/>
      <c r="J644" s="620"/>
      <c r="K644" s="620"/>
      <c r="L644" s="620"/>
      <c r="M644" s="620"/>
      <c r="N644" s="620"/>
      <c r="O644" s="620"/>
      <c r="P644" s="620"/>
      <c r="Q644" s="620"/>
      <c r="R644" s="620"/>
      <c r="S644" s="620"/>
      <c r="T644" s="620"/>
    </row>
    <row r="645">
      <c r="A645" s="620"/>
      <c r="B645" s="620"/>
      <c r="C645" s="620"/>
      <c r="D645" s="620"/>
      <c r="E645" s="620"/>
      <c r="F645" s="620"/>
      <c r="G645" s="620"/>
      <c r="H645" s="620"/>
      <c r="I645" s="620"/>
      <c r="J645" s="620"/>
      <c r="K645" s="620"/>
      <c r="L645" s="620"/>
      <c r="M645" s="620"/>
      <c r="N645" s="620"/>
      <c r="O645" s="620"/>
      <c r="P645" s="620"/>
      <c r="Q645" s="620"/>
      <c r="R645" s="620"/>
      <c r="S645" s="620"/>
      <c r="T645" s="620"/>
    </row>
    <row r="646">
      <c r="A646" s="620"/>
      <c r="B646" s="620"/>
      <c r="C646" s="620"/>
      <c r="D646" s="620"/>
      <c r="E646" s="620"/>
      <c r="F646" s="620"/>
      <c r="G646" s="620"/>
      <c r="H646" s="620"/>
      <c r="I646" s="620"/>
      <c r="J646" s="620"/>
      <c r="K646" s="620"/>
      <c r="L646" s="620"/>
      <c r="M646" s="620"/>
      <c r="N646" s="620"/>
      <c r="O646" s="620"/>
      <c r="P646" s="620"/>
      <c r="Q646" s="620"/>
      <c r="R646" s="620"/>
      <c r="S646" s="620"/>
      <c r="T646" s="620"/>
    </row>
    <row r="647">
      <c r="A647" s="620"/>
      <c r="B647" s="620"/>
      <c r="C647" s="620"/>
      <c r="D647" s="620"/>
      <c r="E647" s="620"/>
      <c r="F647" s="620"/>
      <c r="G647" s="620"/>
      <c r="H647" s="620"/>
      <c r="I647" s="620"/>
      <c r="J647" s="620"/>
      <c r="K647" s="620"/>
      <c r="L647" s="620"/>
      <c r="M647" s="620"/>
      <c r="N647" s="620"/>
      <c r="O647" s="620"/>
      <c r="P647" s="620"/>
      <c r="Q647" s="620"/>
      <c r="R647" s="620"/>
      <c r="S647" s="620"/>
      <c r="T647" s="620"/>
    </row>
    <row r="648">
      <c r="A648" s="620"/>
      <c r="B648" s="620"/>
      <c r="C648" s="620"/>
      <c r="D648" s="620"/>
      <c r="E648" s="620"/>
      <c r="F648" s="620"/>
      <c r="G648" s="620"/>
      <c r="H648" s="620"/>
      <c r="I648" s="620"/>
      <c r="J648" s="620"/>
      <c r="K648" s="620"/>
      <c r="L648" s="620"/>
      <c r="M648" s="620"/>
      <c r="N648" s="620"/>
      <c r="O648" s="620"/>
      <c r="P648" s="620"/>
      <c r="Q648" s="620"/>
      <c r="R648" s="620"/>
      <c r="S648" s="620"/>
      <c r="T648" s="620"/>
    </row>
    <row r="649">
      <c r="A649" s="620"/>
      <c r="B649" s="620"/>
      <c r="C649" s="620"/>
      <c r="D649" s="620"/>
      <c r="E649" s="620"/>
      <c r="F649" s="620"/>
      <c r="G649" s="620"/>
      <c r="H649" s="620"/>
      <c r="I649" s="620"/>
      <c r="J649" s="620"/>
      <c r="K649" s="620"/>
      <c r="L649" s="620"/>
      <c r="M649" s="620"/>
      <c r="N649" s="620"/>
      <c r="O649" s="620"/>
      <c r="P649" s="620"/>
      <c r="Q649" s="620"/>
      <c r="R649" s="620"/>
      <c r="S649" s="620"/>
      <c r="T649" s="620"/>
    </row>
    <row r="650">
      <c r="A650" s="620"/>
      <c r="B650" s="620"/>
      <c r="C650" s="620"/>
      <c r="D650" s="620"/>
      <c r="E650" s="620"/>
      <c r="F650" s="620"/>
      <c r="G650" s="620"/>
      <c r="H650" s="620"/>
      <c r="I650" s="620"/>
      <c r="J650" s="620"/>
      <c r="K650" s="620"/>
      <c r="L650" s="620"/>
      <c r="M650" s="620"/>
      <c r="N650" s="620"/>
      <c r="O650" s="620"/>
      <c r="P650" s="620"/>
      <c r="Q650" s="620"/>
      <c r="R650" s="620"/>
      <c r="S650" s="620"/>
      <c r="T650" s="620"/>
    </row>
    <row r="651">
      <c r="A651" s="620"/>
      <c r="B651" s="620"/>
      <c r="C651" s="620"/>
      <c r="D651" s="620"/>
      <c r="E651" s="620"/>
      <c r="F651" s="620"/>
      <c r="G651" s="620"/>
      <c r="H651" s="620"/>
      <c r="I651" s="620"/>
      <c r="J651" s="620"/>
      <c r="K651" s="620"/>
      <c r="L651" s="620"/>
      <c r="M651" s="620"/>
      <c r="N651" s="620"/>
      <c r="O651" s="620"/>
      <c r="P651" s="620"/>
      <c r="Q651" s="620"/>
      <c r="R651" s="620"/>
      <c r="S651" s="620"/>
      <c r="T651" s="620"/>
    </row>
    <row r="652">
      <c r="A652" s="620"/>
      <c r="B652" s="620"/>
      <c r="C652" s="620"/>
      <c r="D652" s="620"/>
      <c r="E652" s="620"/>
      <c r="F652" s="620"/>
      <c r="G652" s="620"/>
      <c r="H652" s="620"/>
      <c r="I652" s="620"/>
      <c r="J652" s="620"/>
      <c r="K652" s="620"/>
      <c r="L652" s="620"/>
      <c r="M652" s="620"/>
      <c r="N652" s="620"/>
      <c r="O652" s="620"/>
      <c r="P652" s="620"/>
      <c r="Q652" s="620"/>
      <c r="R652" s="620"/>
      <c r="S652" s="620"/>
      <c r="T652" s="620"/>
    </row>
    <row r="653">
      <c r="A653" s="620"/>
      <c r="B653" s="620"/>
      <c r="C653" s="620"/>
      <c r="D653" s="620"/>
      <c r="E653" s="620"/>
      <c r="F653" s="620"/>
      <c r="G653" s="620"/>
      <c r="H653" s="620"/>
      <c r="I653" s="620"/>
      <c r="J653" s="620"/>
      <c r="K653" s="620"/>
      <c r="L653" s="620"/>
      <c r="M653" s="620"/>
      <c r="N653" s="620"/>
      <c r="O653" s="620"/>
      <c r="P653" s="620"/>
      <c r="Q653" s="620"/>
      <c r="R653" s="620"/>
      <c r="S653" s="620"/>
      <c r="T653" s="620"/>
    </row>
    <row r="654">
      <c r="A654" s="620"/>
      <c r="B654" s="620"/>
      <c r="C654" s="620"/>
      <c r="D654" s="620"/>
      <c r="E654" s="620"/>
      <c r="F654" s="620"/>
      <c r="G654" s="620"/>
      <c r="H654" s="620"/>
      <c r="I654" s="620"/>
      <c r="J654" s="620"/>
      <c r="K654" s="620"/>
      <c r="L654" s="620"/>
      <c r="M654" s="620"/>
      <c r="N654" s="620"/>
      <c r="O654" s="620"/>
      <c r="P654" s="620"/>
      <c r="Q654" s="620"/>
      <c r="R654" s="620"/>
      <c r="S654" s="620"/>
      <c r="T654" s="620"/>
    </row>
    <row r="655">
      <c r="A655" s="620"/>
      <c r="B655" s="620"/>
      <c r="C655" s="620"/>
      <c r="D655" s="620"/>
      <c r="E655" s="620"/>
      <c r="F655" s="620"/>
      <c r="G655" s="620"/>
      <c r="H655" s="620"/>
      <c r="I655" s="620"/>
      <c r="J655" s="620"/>
      <c r="K655" s="620"/>
      <c r="L655" s="620"/>
      <c r="M655" s="620"/>
      <c r="N655" s="620"/>
      <c r="O655" s="620"/>
      <c r="P655" s="620"/>
      <c r="Q655" s="620"/>
      <c r="R655" s="620"/>
      <c r="S655" s="620"/>
      <c r="T655" s="620"/>
    </row>
    <row r="656">
      <c r="A656" s="620"/>
      <c r="B656" s="620"/>
      <c r="C656" s="620"/>
      <c r="D656" s="620"/>
      <c r="E656" s="620"/>
      <c r="F656" s="620"/>
      <c r="G656" s="620"/>
      <c r="H656" s="620"/>
      <c r="I656" s="620"/>
      <c r="J656" s="620"/>
      <c r="K656" s="620"/>
      <c r="L656" s="620"/>
      <c r="M656" s="620"/>
      <c r="N656" s="620"/>
      <c r="O656" s="620"/>
      <c r="P656" s="620"/>
      <c r="Q656" s="620"/>
      <c r="R656" s="620"/>
      <c r="S656" s="620"/>
      <c r="T656" s="620"/>
    </row>
    <row r="657">
      <c r="A657" s="620"/>
      <c r="B657" s="620"/>
      <c r="C657" s="620"/>
      <c r="D657" s="620"/>
      <c r="E657" s="620"/>
      <c r="F657" s="620"/>
      <c r="G657" s="620"/>
      <c r="H657" s="620"/>
      <c r="I657" s="620"/>
      <c r="J657" s="620"/>
      <c r="K657" s="620"/>
      <c r="L657" s="620"/>
      <c r="M657" s="620"/>
      <c r="N657" s="620"/>
      <c r="O657" s="620"/>
      <c r="P657" s="620"/>
      <c r="Q657" s="620"/>
      <c r="R657" s="620"/>
      <c r="S657" s="620"/>
      <c r="T657" s="620"/>
    </row>
    <row r="658">
      <c r="A658" s="620"/>
      <c r="B658" s="620"/>
      <c r="C658" s="620"/>
      <c r="D658" s="620"/>
      <c r="E658" s="620"/>
      <c r="F658" s="620"/>
      <c r="G658" s="620"/>
      <c r="H658" s="620"/>
      <c r="I658" s="620"/>
      <c r="J658" s="620"/>
      <c r="K658" s="620"/>
      <c r="L658" s="620"/>
      <c r="M658" s="620"/>
      <c r="N658" s="620"/>
      <c r="O658" s="620"/>
      <c r="P658" s="620"/>
      <c r="Q658" s="620"/>
      <c r="R658" s="620"/>
      <c r="S658" s="620"/>
      <c r="T658" s="620"/>
    </row>
    <row r="659">
      <c r="A659" s="620"/>
      <c r="B659" s="620"/>
      <c r="C659" s="620"/>
      <c r="D659" s="620"/>
      <c r="E659" s="620"/>
      <c r="F659" s="620"/>
      <c r="G659" s="620"/>
      <c r="H659" s="620"/>
      <c r="I659" s="620"/>
      <c r="J659" s="620"/>
      <c r="K659" s="620"/>
      <c r="L659" s="620"/>
      <c r="M659" s="620"/>
      <c r="N659" s="620"/>
      <c r="O659" s="620"/>
      <c r="P659" s="620"/>
      <c r="Q659" s="620"/>
      <c r="R659" s="620"/>
      <c r="S659" s="620"/>
      <c r="T659" s="620"/>
    </row>
    <row r="660">
      <c r="A660" s="620"/>
      <c r="B660" s="620"/>
      <c r="C660" s="620"/>
      <c r="D660" s="620"/>
      <c r="E660" s="620"/>
      <c r="F660" s="620"/>
      <c r="G660" s="620"/>
      <c r="H660" s="620"/>
      <c r="I660" s="620"/>
      <c r="J660" s="620"/>
      <c r="K660" s="620"/>
      <c r="L660" s="620"/>
      <c r="M660" s="620"/>
      <c r="N660" s="620"/>
      <c r="O660" s="620"/>
      <c r="P660" s="620"/>
      <c r="Q660" s="620"/>
      <c r="R660" s="620"/>
      <c r="S660" s="620"/>
      <c r="T660" s="620"/>
    </row>
    <row r="661">
      <c r="A661" s="620"/>
      <c r="B661" s="620"/>
      <c r="C661" s="620"/>
      <c r="D661" s="620"/>
      <c r="E661" s="620"/>
      <c r="F661" s="620"/>
      <c r="G661" s="620"/>
      <c r="H661" s="620"/>
      <c r="I661" s="620"/>
      <c r="J661" s="620"/>
      <c r="K661" s="620"/>
      <c r="L661" s="620"/>
      <c r="M661" s="620"/>
      <c r="N661" s="620"/>
      <c r="O661" s="620"/>
      <c r="P661" s="620"/>
      <c r="Q661" s="620"/>
      <c r="R661" s="620"/>
      <c r="S661" s="620"/>
      <c r="T661" s="620"/>
    </row>
    <row r="662">
      <c r="A662" s="620"/>
      <c r="B662" s="620"/>
      <c r="C662" s="620"/>
      <c r="D662" s="620"/>
      <c r="E662" s="620"/>
      <c r="F662" s="620"/>
      <c r="G662" s="620"/>
      <c r="H662" s="620"/>
      <c r="I662" s="620"/>
      <c r="J662" s="620"/>
      <c r="K662" s="620"/>
      <c r="L662" s="620"/>
      <c r="M662" s="620"/>
      <c r="N662" s="620"/>
      <c r="O662" s="620"/>
      <c r="P662" s="620"/>
      <c r="Q662" s="620"/>
      <c r="R662" s="620"/>
      <c r="S662" s="620"/>
      <c r="T662" s="620"/>
    </row>
    <row r="663">
      <c r="A663" s="620"/>
      <c r="B663" s="620"/>
      <c r="C663" s="620"/>
      <c r="D663" s="620"/>
      <c r="E663" s="620"/>
      <c r="F663" s="620"/>
      <c r="G663" s="620"/>
      <c r="H663" s="620"/>
      <c r="I663" s="620"/>
      <c r="J663" s="620"/>
      <c r="K663" s="620"/>
      <c r="L663" s="620"/>
      <c r="M663" s="620"/>
      <c r="N663" s="620"/>
      <c r="O663" s="620"/>
      <c r="P663" s="620"/>
      <c r="Q663" s="620"/>
      <c r="R663" s="620"/>
      <c r="S663" s="620"/>
      <c r="T663" s="620"/>
    </row>
    <row r="664">
      <c r="A664" s="620"/>
      <c r="B664" s="620"/>
      <c r="C664" s="620"/>
      <c r="D664" s="620"/>
      <c r="E664" s="620"/>
      <c r="F664" s="620"/>
      <c r="G664" s="620"/>
      <c r="H664" s="620"/>
      <c r="I664" s="620"/>
      <c r="J664" s="620"/>
      <c r="K664" s="620"/>
      <c r="L664" s="620"/>
      <c r="M664" s="620"/>
      <c r="N664" s="620"/>
      <c r="O664" s="620"/>
      <c r="P664" s="620"/>
      <c r="Q664" s="620"/>
      <c r="R664" s="620"/>
      <c r="S664" s="620"/>
      <c r="T664" s="620"/>
    </row>
    <row r="665">
      <c r="A665" s="620"/>
      <c r="B665" s="620"/>
      <c r="C665" s="620"/>
      <c r="D665" s="620"/>
      <c r="E665" s="620"/>
      <c r="F665" s="620"/>
      <c r="G665" s="620"/>
      <c r="H665" s="620"/>
      <c r="I665" s="620"/>
      <c r="J665" s="620"/>
      <c r="K665" s="620"/>
      <c r="L665" s="620"/>
      <c r="M665" s="620"/>
      <c r="N665" s="620"/>
      <c r="O665" s="620"/>
      <c r="P665" s="620"/>
      <c r="Q665" s="620"/>
      <c r="R665" s="620"/>
      <c r="S665" s="620"/>
      <c r="T665" s="620"/>
    </row>
    <row r="666">
      <c r="A666" s="620"/>
      <c r="B666" s="620"/>
      <c r="C666" s="620"/>
      <c r="D666" s="620"/>
      <c r="E666" s="620"/>
      <c r="F666" s="620"/>
      <c r="G666" s="620"/>
      <c r="H666" s="620"/>
      <c r="I666" s="620"/>
      <c r="J666" s="620"/>
      <c r="K666" s="620"/>
      <c r="L666" s="620"/>
      <c r="M666" s="620"/>
      <c r="N666" s="620"/>
      <c r="O666" s="620"/>
      <c r="P666" s="620"/>
      <c r="Q666" s="620"/>
      <c r="R666" s="620"/>
      <c r="S666" s="620"/>
      <c r="T666" s="620"/>
    </row>
    <row r="667">
      <c r="A667" s="620"/>
      <c r="B667" s="620"/>
      <c r="C667" s="620"/>
      <c r="D667" s="620"/>
      <c r="E667" s="620"/>
      <c r="F667" s="620"/>
      <c r="G667" s="620"/>
      <c r="H667" s="620"/>
      <c r="I667" s="620"/>
      <c r="J667" s="620"/>
      <c r="K667" s="620"/>
      <c r="L667" s="620"/>
      <c r="M667" s="620"/>
      <c r="N667" s="620"/>
      <c r="O667" s="620"/>
      <c r="P667" s="620"/>
      <c r="Q667" s="620"/>
      <c r="R667" s="620"/>
      <c r="S667" s="620"/>
      <c r="T667" s="620"/>
    </row>
    <row r="668">
      <c r="A668" s="620"/>
      <c r="B668" s="620"/>
      <c r="C668" s="620"/>
      <c r="D668" s="620"/>
      <c r="E668" s="620"/>
      <c r="F668" s="620"/>
      <c r="G668" s="620"/>
      <c r="H668" s="620"/>
      <c r="I668" s="620"/>
      <c r="J668" s="620"/>
      <c r="K668" s="620"/>
      <c r="L668" s="620"/>
      <c r="M668" s="620"/>
      <c r="N668" s="620"/>
      <c r="O668" s="620"/>
      <c r="P668" s="620"/>
      <c r="Q668" s="620"/>
      <c r="R668" s="620"/>
      <c r="S668" s="620"/>
      <c r="T668" s="620"/>
    </row>
    <row r="669">
      <c r="A669" s="620"/>
      <c r="B669" s="620"/>
      <c r="C669" s="620"/>
      <c r="D669" s="620"/>
      <c r="E669" s="620"/>
      <c r="F669" s="620"/>
      <c r="G669" s="620"/>
      <c r="H669" s="620"/>
      <c r="I669" s="620"/>
      <c r="J669" s="620"/>
      <c r="K669" s="620"/>
      <c r="L669" s="620"/>
      <c r="M669" s="620"/>
      <c r="N669" s="620"/>
      <c r="O669" s="620"/>
      <c r="P669" s="620"/>
      <c r="Q669" s="620"/>
      <c r="R669" s="620"/>
      <c r="S669" s="620"/>
      <c r="T669" s="620"/>
    </row>
    <row r="670">
      <c r="A670" s="620"/>
      <c r="B670" s="620"/>
      <c r="C670" s="620"/>
      <c r="D670" s="620"/>
      <c r="E670" s="620"/>
      <c r="F670" s="620"/>
      <c r="G670" s="620"/>
      <c r="H670" s="620"/>
      <c r="I670" s="620"/>
      <c r="J670" s="620"/>
      <c r="K670" s="620"/>
      <c r="L670" s="620"/>
      <c r="M670" s="620"/>
      <c r="N670" s="620"/>
      <c r="O670" s="620"/>
      <c r="P670" s="620"/>
      <c r="Q670" s="620"/>
      <c r="R670" s="620"/>
      <c r="S670" s="620"/>
      <c r="T670" s="620"/>
    </row>
    <row r="671">
      <c r="A671" s="620"/>
      <c r="B671" s="620"/>
      <c r="C671" s="620"/>
      <c r="D671" s="620"/>
      <c r="E671" s="620"/>
      <c r="F671" s="620"/>
      <c r="G671" s="620"/>
      <c r="H671" s="620"/>
      <c r="I671" s="620"/>
      <c r="J671" s="620"/>
      <c r="K671" s="620"/>
      <c r="L671" s="620"/>
      <c r="M671" s="620"/>
      <c r="N671" s="620"/>
      <c r="O671" s="620"/>
      <c r="P671" s="620"/>
      <c r="Q671" s="620"/>
      <c r="R671" s="620"/>
      <c r="S671" s="620"/>
      <c r="T671" s="620"/>
    </row>
    <row r="672">
      <c r="A672" s="620"/>
      <c r="B672" s="620"/>
      <c r="C672" s="620"/>
      <c r="D672" s="620"/>
      <c r="E672" s="620"/>
      <c r="F672" s="620"/>
      <c r="G672" s="620"/>
      <c r="H672" s="620"/>
      <c r="I672" s="620"/>
      <c r="J672" s="620"/>
      <c r="K672" s="620"/>
      <c r="L672" s="620"/>
      <c r="M672" s="620"/>
      <c r="N672" s="620"/>
      <c r="O672" s="620"/>
      <c r="P672" s="620"/>
      <c r="Q672" s="620"/>
      <c r="R672" s="620"/>
      <c r="S672" s="620"/>
      <c r="T672" s="620"/>
    </row>
    <row r="673">
      <c r="A673" s="620"/>
      <c r="B673" s="620"/>
      <c r="C673" s="620"/>
      <c r="D673" s="620"/>
      <c r="E673" s="620"/>
      <c r="F673" s="620"/>
      <c r="G673" s="620"/>
      <c r="H673" s="620"/>
      <c r="I673" s="620"/>
      <c r="J673" s="620"/>
      <c r="K673" s="620"/>
      <c r="L673" s="620"/>
      <c r="M673" s="620"/>
      <c r="N673" s="620"/>
      <c r="O673" s="620"/>
      <c r="P673" s="620"/>
      <c r="Q673" s="620"/>
      <c r="R673" s="620"/>
      <c r="S673" s="620"/>
      <c r="T673" s="620"/>
    </row>
    <row r="674">
      <c r="A674" s="620"/>
      <c r="B674" s="620"/>
      <c r="C674" s="620"/>
      <c r="D674" s="620"/>
      <c r="E674" s="620"/>
      <c r="F674" s="620"/>
      <c r="G674" s="620"/>
      <c r="H674" s="620"/>
      <c r="I674" s="620"/>
      <c r="J674" s="620"/>
      <c r="K674" s="620"/>
      <c r="L674" s="620"/>
      <c r="M674" s="620"/>
      <c r="N674" s="620"/>
      <c r="O674" s="620"/>
      <c r="P674" s="620"/>
      <c r="Q674" s="620"/>
      <c r="R674" s="620"/>
      <c r="S674" s="620"/>
      <c r="T674" s="620"/>
    </row>
    <row r="675">
      <c r="A675" s="620"/>
      <c r="B675" s="620"/>
      <c r="C675" s="620"/>
      <c r="D675" s="620"/>
      <c r="E675" s="620"/>
      <c r="F675" s="620"/>
      <c r="G675" s="620"/>
      <c r="H675" s="620"/>
      <c r="I675" s="620"/>
      <c r="J675" s="620"/>
      <c r="K675" s="620"/>
      <c r="L675" s="620"/>
      <c r="M675" s="620"/>
      <c r="N675" s="620"/>
      <c r="O675" s="620"/>
      <c r="P675" s="620"/>
      <c r="Q675" s="620"/>
      <c r="R675" s="620"/>
      <c r="S675" s="620"/>
      <c r="T675" s="620"/>
    </row>
    <row r="676">
      <c r="A676" s="620"/>
      <c r="B676" s="620"/>
      <c r="C676" s="620"/>
      <c r="D676" s="620"/>
      <c r="E676" s="620"/>
      <c r="F676" s="620"/>
      <c r="G676" s="620"/>
      <c r="H676" s="620"/>
      <c r="I676" s="620"/>
      <c r="J676" s="620"/>
      <c r="K676" s="620"/>
      <c r="L676" s="620"/>
      <c r="M676" s="620"/>
      <c r="N676" s="620"/>
      <c r="O676" s="620"/>
      <c r="P676" s="620"/>
      <c r="Q676" s="620"/>
      <c r="R676" s="620"/>
      <c r="S676" s="620"/>
      <c r="T676" s="620"/>
    </row>
    <row r="677">
      <c r="A677" s="620"/>
      <c r="B677" s="620"/>
      <c r="C677" s="620"/>
      <c r="D677" s="620"/>
      <c r="E677" s="620"/>
      <c r="F677" s="620"/>
      <c r="G677" s="620"/>
      <c r="H677" s="620"/>
      <c r="I677" s="620"/>
      <c r="J677" s="620"/>
      <c r="K677" s="620"/>
      <c r="L677" s="620"/>
      <c r="M677" s="620"/>
      <c r="N677" s="620"/>
      <c r="O677" s="620"/>
      <c r="P677" s="620"/>
      <c r="Q677" s="620"/>
      <c r="R677" s="620"/>
      <c r="S677" s="620"/>
      <c r="T677" s="620"/>
    </row>
    <row r="678">
      <c r="A678" s="620"/>
      <c r="B678" s="620"/>
      <c r="C678" s="620"/>
      <c r="D678" s="620"/>
      <c r="E678" s="620"/>
      <c r="F678" s="620"/>
      <c r="G678" s="620"/>
      <c r="H678" s="620"/>
      <c r="I678" s="620"/>
      <c r="J678" s="620"/>
      <c r="K678" s="620"/>
      <c r="L678" s="620"/>
      <c r="M678" s="620"/>
      <c r="N678" s="620"/>
      <c r="O678" s="620"/>
      <c r="P678" s="620"/>
      <c r="Q678" s="620"/>
      <c r="R678" s="620"/>
      <c r="S678" s="620"/>
      <c r="T678" s="620"/>
    </row>
    <row r="679">
      <c r="A679" s="620"/>
      <c r="B679" s="620"/>
      <c r="C679" s="620"/>
      <c r="D679" s="620"/>
      <c r="E679" s="620"/>
      <c r="F679" s="620"/>
      <c r="G679" s="620"/>
      <c r="H679" s="620"/>
      <c r="I679" s="620"/>
      <c r="J679" s="620"/>
      <c r="K679" s="620"/>
      <c r="L679" s="620"/>
      <c r="M679" s="620"/>
      <c r="N679" s="620"/>
      <c r="O679" s="620"/>
      <c r="P679" s="620"/>
      <c r="Q679" s="620"/>
      <c r="R679" s="620"/>
      <c r="S679" s="620"/>
      <c r="T679" s="620"/>
    </row>
    <row r="680">
      <c r="A680" s="620"/>
      <c r="B680" s="620"/>
      <c r="C680" s="620"/>
      <c r="D680" s="620"/>
      <c r="E680" s="620"/>
      <c r="F680" s="620"/>
      <c r="G680" s="620"/>
      <c r="H680" s="620"/>
      <c r="I680" s="620"/>
      <c r="J680" s="620"/>
      <c r="K680" s="620"/>
      <c r="L680" s="620"/>
      <c r="M680" s="620"/>
      <c r="N680" s="620"/>
      <c r="O680" s="620"/>
      <c r="P680" s="620"/>
      <c r="Q680" s="620"/>
      <c r="R680" s="620"/>
      <c r="S680" s="620"/>
      <c r="T680" s="620"/>
    </row>
    <row r="681">
      <c r="A681" s="620"/>
      <c r="B681" s="620"/>
      <c r="C681" s="620"/>
      <c r="D681" s="620"/>
      <c r="E681" s="620"/>
      <c r="F681" s="620"/>
      <c r="G681" s="620"/>
      <c r="H681" s="620"/>
      <c r="I681" s="620"/>
      <c r="J681" s="620"/>
      <c r="K681" s="620"/>
      <c r="L681" s="620"/>
      <c r="M681" s="620"/>
      <c r="N681" s="620"/>
      <c r="O681" s="620"/>
      <c r="P681" s="620"/>
      <c r="Q681" s="620"/>
      <c r="R681" s="620"/>
      <c r="S681" s="620"/>
      <c r="T681" s="620"/>
    </row>
    <row r="682">
      <c r="A682" s="620"/>
      <c r="B682" s="620"/>
      <c r="C682" s="620"/>
      <c r="D682" s="620"/>
      <c r="E682" s="620"/>
      <c r="F682" s="620"/>
      <c r="G682" s="620"/>
      <c r="H682" s="620"/>
      <c r="I682" s="620"/>
      <c r="J682" s="620"/>
      <c r="K682" s="620"/>
      <c r="L682" s="620"/>
      <c r="M682" s="620"/>
      <c r="N682" s="620"/>
      <c r="O682" s="620"/>
      <c r="P682" s="620"/>
      <c r="Q682" s="620"/>
      <c r="R682" s="620"/>
      <c r="S682" s="620"/>
      <c r="T682" s="620"/>
    </row>
    <row r="683">
      <c r="A683" s="620"/>
      <c r="B683" s="620"/>
      <c r="C683" s="620"/>
      <c r="D683" s="620"/>
      <c r="E683" s="620"/>
      <c r="F683" s="620"/>
      <c r="G683" s="620"/>
      <c r="H683" s="620"/>
      <c r="I683" s="620"/>
      <c r="J683" s="620"/>
      <c r="K683" s="620"/>
      <c r="L683" s="620"/>
      <c r="M683" s="620"/>
      <c r="N683" s="620"/>
      <c r="O683" s="620"/>
      <c r="P683" s="620"/>
      <c r="Q683" s="620"/>
      <c r="R683" s="620"/>
      <c r="S683" s="620"/>
      <c r="T683" s="620"/>
    </row>
    <row r="684">
      <c r="A684" s="620"/>
      <c r="B684" s="620"/>
      <c r="C684" s="620"/>
      <c r="D684" s="620"/>
      <c r="E684" s="620"/>
      <c r="F684" s="620"/>
      <c r="G684" s="620"/>
      <c r="H684" s="620"/>
      <c r="I684" s="620"/>
      <c r="J684" s="620"/>
      <c r="K684" s="620"/>
      <c r="L684" s="620"/>
      <c r="M684" s="620"/>
      <c r="N684" s="620"/>
      <c r="O684" s="620"/>
      <c r="P684" s="620"/>
      <c r="Q684" s="620"/>
      <c r="R684" s="620"/>
      <c r="S684" s="620"/>
      <c r="T684" s="620"/>
    </row>
    <row r="685">
      <c r="A685" s="620"/>
      <c r="B685" s="620"/>
      <c r="C685" s="620"/>
      <c r="D685" s="620"/>
      <c r="E685" s="620"/>
      <c r="F685" s="620"/>
      <c r="G685" s="620"/>
      <c r="H685" s="620"/>
      <c r="I685" s="620"/>
      <c r="J685" s="620"/>
      <c r="K685" s="620"/>
      <c r="L685" s="620"/>
      <c r="M685" s="620"/>
      <c r="N685" s="620"/>
      <c r="O685" s="620"/>
      <c r="P685" s="620"/>
      <c r="Q685" s="620"/>
      <c r="R685" s="620"/>
      <c r="S685" s="620"/>
      <c r="T685" s="620"/>
    </row>
    <row r="686">
      <c r="A686" s="620"/>
      <c r="B686" s="620"/>
      <c r="C686" s="620"/>
      <c r="D686" s="620"/>
      <c r="E686" s="620"/>
      <c r="F686" s="620"/>
      <c r="G686" s="620"/>
      <c r="H686" s="620"/>
      <c r="I686" s="620"/>
      <c r="J686" s="620"/>
      <c r="K686" s="620"/>
      <c r="L686" s="620"/>
      <c r="M686" s="620"/>
      <c r="N686" s="620"/>
      <c r="O686" s="620"/>
      <c r="P686" s="620"/>
      <c r="Q686" s="620"/>
      <c r="R686" s="620"/>
      <c r="S686" s="620"/>
      <c r="T686" s="620"/>
    </row>
    <row r="687">
      <c r="A687" s="620"/>
      <c r="B687" s="620"/>
      <c r="C687" s="620"/>
      <c r="D687" s="620"/>
      <c r="E687" s="620"/>
      <c r="F687" s="620"/>
      <c r="G687" s="620"/>
      <c r="H687" s="620"/>
      <c r="I687" s="620"/>
      <c r="J687" s="620"/>
      <c r="K687" s="620"/>
      <c r="L687" s="620"/>
      <c r="M687" s="620"/>
      <c r="N687" s="620"/>
      <c r="O687" s="620"/>
      <c r="P687" s="620"/>
      <c r="Q687" s="620"/>
      <c r="R687" s="620"/>
      <c r="S687" s="620"/>
      <c r="T687" s="620"/>
    </row>
    <row r="688">
      <c r="A688" s="620"/>
      <c r="B688" s="620"/>
      <c r="C688" s="620"/>
      <c r="D688" s="620"/>
      <c r="E688" s="620"/>
      <c r="F688" s="620"/>
      <c r="G688" s="620"/>
      <c r="H688" s="620"/>
      <c r="I688" s="620"/>
      <c r="J688" s="620"/>
      <c r="K688" s="620"/>
      <c r="L688" s="620"/>
      <c r="M688" s="620"/>
      <c r="N688" s="620"/>
      <c r="O688" s="620"/>
      <c r="P688" s="620"/>
      <c r="Q688" s="620"/>
      <c r="R688" s="620"/>
      <c r="S688" s="620"/>
      <c r="T688" s="620"/>
    </row>
    <row r="689">
      <c r="A689" s="620"/>
      <c r="B689" s="620"/>
      <c r="C689" s="620"/>
      <c r="D689" s="620"/>
      <c r="E689" s="620"/>
      <c r="F689" s="620"/>
      <c r="G689" s="620"/>
      <c r="H689" s="620"/>
      <c r="I689" s="620"/>
      <c r="J689" s="620"/>
      <c r="K689" s="620"/>
      <c r="L689" s="620"/>
      <c r="M689" s="620"/>
      <c r="N689" s="620"/>
      <c r="O689" s="620"/>
      <c r="P689" s="620"/>
      <c r="Q689" s="620"/>
      <c r="R689" s="620"/>
      <c r="S689" s="620"/>
      <c r="T689" s="620"/>
    </row>
    <row r="690">
      <c r="A690" s="620"/>
      <c r="B690" s="620"/>
      <c r="C690" s="620"/>
      <c r="D690" s="620"/>
      <c r="E690" s="620"/>
      <c r="F690" s="620"/>
      <c r="G690" s="620"/>
      <c r="H690" s="620"/>
      <c r="I690" s="620"/>
      <c r="J690" s="620"/>
      <c r="K690" s="620"/>
      <c r="L690" s="620"/>
      <c r="M690" s="620"/>
      <c r="N690" s="620"/>
      <c r="O690" s="620"/>
      <c r="P690" s="620"/>
      <c r="Q690" s="620"/>
      <c r="R690" s="620"/>
      <c r="S690" s="620"/>
      <c r="T690" s="620"/>
    </row>
    <row r="691">
      <c r="A691" s="620"/>
      <c r="B691" s="620"/>
      <c r="C691" s="620"/>
      <c r="D691" s="620"/>
      <c r="E691" s="620"/>
      <c r="F691" s="620"/>
      <c r="G691" s="620"/>
      <c r="H691" s="620"/>
      <c r="I691" s="620"/>
      <c r="J691" s="620"/>
      <c r="K691" s="620"/>
      <c r="L691" s="620"/>
      <c r="M691" s="620"/>
      <c r="N691" s="620"/>
      <c r="O691" s="620"/>
      <c r="P691" s="620"/>
      <c r="Q691" s="620"/>
      <c r="R691" s="620"/>
      <c r="S691" s="620"/>
      <c r="T691" s="620"/>
    </row>
    <row r="692">
      <c r="A692" s="620"/>
      <c r="B692" s="620"/>
      <c r="C692" s="620"/>
      <c r="D692" s="620"/>
      <c r="E692" s="620"/>
      <c r="F692" s="620"/>
      <c r="G692" s="620"/>
      <c r="H692" s="620"/>
      <c r="I692" s="620"/>
      <c r="J692" s="620"/>
      <c r="K692" s="620"/>
      <c r="L692" s="620"/>
      <c r="M692" s="620"/>
      <c r="N692" s="620"/>
      <c r="O692" s="620"/>
      <c r="P692" s="620"/>
      <c r="Q692" s="620"/>
      <c r="R692" s="620"/>
      <c r="S692" s="620"/>
      <c r="T692" s="620"/>
    </row>
    <row r="693">
      <c r="A693" s="620"/>
      <c r="B693" s="620"/>
      <c r="C693" s="620"/>
      <c r="D693" s="620"/>
      <c r="E693" s="620"/>
      <c r="F693" s="620"/>
      <c r="G693" s="620"/>
      <c r="H693" s="620"/>
      <c r="I693" s="620"/>
      <c r="J693" s="620"/>
      <c r="K693" s="620"/>
      <c r="L693" s="620"/>
      <c r="M693" s="620"/>
      <c r="N693" s="620"/>
      <c r="O693" s="620"/>
      <c r="P693" s="620"/>
      <c r="Q693" s="620"/>
      <c r="R693" s="620"/>
      <c r="S693" s="620"/>
      <c r="T693" s="620"/>
    </row>
    <row r="694">
      <c r="A694" s="620"/>
      <c r="B694" s="620"/>
      <c r="C694" s="620"/>
      <c r="D694" s="620"/>
      <c r="E694" s="620"/>
      <c r="F694" s="620"/>
      <c r="G694" s="620"/>
      <c r="H694" s="620"/>
      <c r="I694" s="620"/>
      <c r="J694" s="620"/>
      <c r="K694" s="620"/>
      <c r="L694" s="620"/>
      <c r="M694" s="620"/>
      <c r="N694" s="620"/>
      <c r="O694" s="620"/>
      <c r="P694" s="620"/>
      <c r="Q694" s="620"/>
      <c r="R694" s="620"/>
      <c r="S694" s="620"/>
      <c r="T694" s="620"/>
    </row>
    <row r="695">
      <c r="A695" s="620"/>
      <c r="B695" s="620"/>
      <c r="C695" s="620"/>
      <c r="D695" s="620"/>
      <c r="E695" s="620"/>
      <c r="F695" s="620"/>
      <c r="G695" s="620"/>
      <c r="H695" s="620"/>
      <c r="I695" s="620"/>
      <c r="J695" s="620"/>
      <c r="K695" s="620"/>
      <c r="L695" s="620"/>
      <c r="M695" s="620"/>
      <c r="N695" s="620"/>
      <c r="O695" s="620"/>
      <c r="P695" s="620"/>
      <c r="Q695" s="620"/>
      <c r="R695" s="620"/>
      <c r="S695" s="620"/>
      <c r="T695" s="620"/>
    </row>
    <row r="696">
      <c r="A696" s="620"/>
      <c r="B696" s="620"/>
      <c r="C696" s="620"/>
      <c r="D696" s="620"/>
      <c r="E696" s="620"/>
      <c r="F696" s="620"/>
      <c r="G696" s="620"/>
      <c r="H696" s="620"/>
      <c r="I696" s="620"/>
      <c r="J696" s="620"/>
      <c r="K696" s="620"/>
      <c r="L696" s="620"/>
      <c r="M696" s="620"/>
      <c r="N696" s="620"/>
      <c r="O696" s="620"/>
      <c r="P696" s="620"/>
      <c r="Q696" s="620"/>
      <c r="R696" s="620"/>
      <c r="S696" s="620"/>
      <c r="T696" s="620"/>
    </row>
    <row r="697">
      <c r="A697" s="620"/>
      <c r="B697" s="620"/>
      <c r="C697" s="620"/>
      <c r="D697" s="620"/>
      <c r="E697" s="620"/>
      <c r="F697" s="620"/>
      <c r="G697" s="620"/>
      <c r="H697" s="620"/>
      <c r="I697" s="620"/>
      <c r="J697" s="620"/>
      <c r="K697" s="620"/>
      <c r="L697" s="620"/>
      <c r="M697" s="620"/>
      <c r="N697" s="620"/>
      <c r="O697" s="620"/>
      <c r="P697" s="620"/>
      <c r="Q697" s="620"/>
      <c r="R697" s="620"/>
      <c r="S697" s="620"/>
      <c r="T697" s="620"/>
    </row>
    <row r="698">
      <c r="A698" s="620"/>
      <c r="B698" s="620"/>
      <c r="C698" s="620"/>
      <c r="D698" s="620"/>
      <c r="E698" s="620"/>
      <c r="F698" s="620"/>
      <c r="G698" s="620"/>
      <c r="H698" s="620"/>
      <c r="I698" s="620"/>
      <c r="J698" s="620"/>
      <c r="K698" s="620"/>
      <c r="L698" s="620"/>
      <c r="M698" s="620"/>
      <c r="N698" s="620"/>
      <c r="O698" s="620"/>
      <c r="P698" s="620"/>
      <c r="Q698" s="620"/>
      <c r="R698" s="620"/>
      <c r="S698" s="620"/>
      <c r="T698" s="620"/>
    </row>
    <row r="699">
      <c r="A699" s="620"/>
      <c r="B699" s="620"/>
      <c r="C699" s="620"/>
      <c r="D699" s="620"/>
      <c r="E699" s="620"/>
      <c r="F699" s="620"/>
      <c r="G699" s="620"/>
      <c r="H699" s="620"/>
      <c r="I699" s="620"/>
      <c r="J699" s="620"/>
      <c r="K699" s="620"/>
      <c r="L699" s="620"/>
      <c r="M699" s="620"/>
      <c r="N699" s="620"/>
      <c r="O699" s="620"/>
      <c r="P699" s="620"/>
      <c r="Q699" s="620"/>
      <c r="R699" s="620"/>
      <c r="S699" s="620"/>
      <c r="T699" s="620"/>
    </row>
    <row r="700">
      <c r="A700" s="620"/>
      <c r="B700" s="620"/>
      <c r="C700" s="620"/>
      <c r="D700" s="620"/>
      <c r="E700" s="620"/>
      <c r="F700" s="620"/>
      <c r="G700" s="620"/>
      <c r="H700" s="620"/>
      <c r="I700" s="620"/>
      <c r="J700" s="620"/>
      <c r="K700" s="620"/>
      <c r="L700" s="620"/>
      <c r="M700" s="620"/>
      <c r="N700" s="620"/>
      <c r="O700" s="620"/>
      <c r="P700" s="620"/>
      <c r="Q700" s="620"/>
      <c r="R700" s="620"/>
      <c r="S700" s="620"/>
      <c r="T700" s="620"/>
    </row>
    <row r="701">
      <c r="A701" s="620"/>
      <c r="B701" s="620"/>
      <c r="C701" s="620"/>
      <c r="D701" s="620"/>
      <c r="E701" s="620"/>
      <c r="F701" s="620"/>
      <c r="G701" s="620"/>
      <c r="H701" s="620"/>
      <c r="I701" s="620"/>
      <c r="J701" s="620"/>
      <c r="K701" s="620"/>
      <c r="L701" s="620"/>
      <c r="M701" s="620"/>
      <c r="N701" s="620"/>
      <c r="O701" s="620"/>
      <c r="P701" s="620"/>
      <c r="Q701" s="620"/>
      <c r="R701" s="620"/>
      <c r="S701" s="620"/>
      <c r="T701" s="620"/>
    </row>
    <row r="702">
      <c r="A702" s="620"/>
      <c r="B702" s="620"/>
      <c r="C702" s="620"/>
      <c r="D702" s="620"/>
      <c r="E702" s="620"/>
      <c r="F702" s="620"/>
      <c r="G702" s="620"/>
      <c r="H702" s="620"/>
      <c r="I702" s="620"/>
      <c r="J702" s="620"/>
      <c r="K702" s="620"/>
      <c r="L702" s="620"/>
      <c r="M702" s="620"/>
      <c r="N702" s="620"/>
      <c r="O702" s="620"/>
      <c r="P702" s="620"/>
      <c r="Q702" s="620"/>
      <c r="R702" s="620"/>
      <c r="S702" s="620"/>
      <c r="T702" s="620"/>
    </row>
    <row r="703">
      <c r="A703" s="620"/>
      <c r="B703" s="620"/>
      <c r="C703" s="620"/>
      <c r="D703" s="620"/>
      <c r="E703" s="620"/>
      <c r="F703" s="620"/>
      <c r="G703" s="620"/>
      <c r="H703" s="620"/>
      <c r="I703" s="620"/>
      <c r="J703" s="620"/>
      <c r="K703" s="620"/>
      <c r="L703" s="620"/>
      <c r="M703" s="620"/>
      <c r="N703" s="620"/>
      <c r="O703" s="620"/>
      <c r="P703" s="620"/>
      <c r="Q703" s="620"/>
      <c r="R703" s="620"/>
      <c r="S703" s="620"/>
      <c r="T703" s="620"/>
    </row>
    <row r="704">
      <c r="A704" s="620"/>
      <c r="B704" s="620"/>
      <c r="C704" s="620"/>
      <c r="D704" s="620"/>
      <c r="E704" s="620"/>
      <c r="F704" s="620"/>
      <c r="G704" s="620"/>
      <c r="H704" s="620"/>
      <c r="I704" s="620"/>
      <c r="J704" s="620"/>
      <c r="K704" s="620"/>
      <c r="L704" s="620"/>
      <c r="M704" s="620"/>
      <c r="N704" s="620"/>
      <c r="O704" s="620"/>
      <c r="P704" s="620"/>
      <c r="Q704" s="620"/>
      <c r="R704" s="620"/>
      <c r="S704" s="620"/>
      <c r="T704" s="620"/>
    </row>
    <row r="705">
      <c r="A705" s="620"/>
      <c r="B705" s="620"/>
      <c r="C705" s="620"/>
      <c r="D705" s="620"/>
      <c r="E705" s="620"/>
      <c r="F705" s="620"/>
      <c r="G705" s="620"/>
      <c r="H705" s="620"/>
      <c r="I705" s="620"/>
      <c r="J705" s="620"/>
      <c r="K705" s="620"/>
      <c r="L705" s="620"/>
      <c r="M705" s="620"/>
      <c r="N705" s="620"/>
      <c r="O705" s="620"/>
      <c r="P705" s="620"/>
      <c r="Q705" s="620"/>
      <c r="R705" s="620"/>
      <c r="S705" s="620"/>
      <c r="T705" s="620"/>
    </row>
    <row r="706">
      <c r="A706" s="620"/>
      <c r="B706" s="620"/>
      <c r="C706" s="620"/>
      <c r="D706" s="620"/>
      <c r="E706" s="620"/>
      <c r="F706" s="620"/>
      <c r="G706" s="620"/>
      <c r="H706" s="620"/>
      <c r="I706" s="620"/>
      <c r="J706" s="620"/>
      <c r="K706" s="620"/>
      <c r="L706" s="620"/>
      <c r="M706" s="620"/>
      <c r="N706" s="620"/>
      <c r="O706" s="620"/>
      <c r="P706" s="620"/>
      <c r="Q706" s="620"/>
      <c r="R706" s="620"/>
      <c r="S706" s="620"/>
      <c r="T706" s="620"/>
    </row>
    <row r="707">
      <c r="A707" s="620"/>
      <c r="B707" s="620"/>
      <c r="C707" s="620"/>
      <c r="D707" s="620"/>
      <c r="E707" s="620"/>
      <c r="F707" s="620"/>
      <c r="G707" s="620"/>
      <c r="H707" s="620"/>
      <c r="I707" s="620"/>
      <c r="J707" s="620"/>
      <c r="K707" s="620"/>
      <c r="L707" s="620"/>
      <c r="M707" s="620"/>
      <c r="N707" s="620"/>
      <c r="O707" s="620"/>
      <c r="P707" s="620"/>
      <c r="Q707" s="620"/>
      <c r="R707" s="620"/>
      <c r="S707" s="620"/>
      <c r="T707" s="620"/>
    </row>
    <row r="708">
      <c r="A708" s="620"/>
      <c r="B708" s="620"/>
      <c r="C708" s="620"/>
      <c r="D708" s="620"/>
      <c r="E708" s="620"/>
      <c r="F708" s="620"/>
      <c r="G708" s="620"/>
      <c r="H708" s="620"/>
      <c r="I708" s="620"/>
      <c r="J708" s="620"/>
      <c r="K708" s="620"/>
      <c r="L708" s="620"/>
      <c r="M708" s="620"/>
      <c r="N708" s="620"/>
      <c r="O708" s="620"/>
      <c r="P708" s="620"/>
      <c r="Q708" s="620"/>
      <c r="R708" s="620"/>
      <c r="S708" s="620"/>
      <c r="T708" s="620"/>
    </row>
    <row r="709">
      <c r="A709" s="620"/>
      <c r="B709" s="620"/>
      <c r="C709" s="620"/>
      <c r="D709" s="620"/>
      <c r="E709" s="620"/>
      <c r="F709" s="620"/>
      <c r="G709" s="620"/>
      <c r="H709" s="620"/>
      <c r="I709" s="620"/>
      <c r="J709" s="620"/>
      <c r="K709" s="620"/>
      <c r="L709" s="620"/>
      <c r="M709" s="620"/>
      <c r="N709" s="620"/>
      <c r="O709" s="620"/>
      <c r="P709" s="620"/>
      <c r="Q709" s="620"/>
      <c r="R709" s="620"/>
      <c r="S709" s="620"/>
      <c r="T709" s="620"/>
    </row>
    <row r="710">
      <c r="A710" s="620"/>
      <c r="B710" s="620"/>
      <c r="C710" s="620"/>
      <c r="D710" s="620"/>
      <c r="E710" s="620"/>
      <c r="F710" s="620"/>
      <c r="G710" s="620"/>
      <c r="H710" s="620"/>
      <c r="I710" s="620"/>
      <c r="J710" s="620"/>
      <c r="K710" s="620"/>
      <c r="L710" s="620"/>
      <c r="M710" s="620"/>
      <c r="N710" s="620"/>
      <c r="O710" s="620"/>
      <c r="P710" s="620"/>
      <c r="Q710" s="620"/>
      <c r="R710" s="620"/>
      <c r="S710" s="620"/>
      <c r="T710" s="620"/>
    </row>
    <row r="711">
      <c r="A711" s="620"/>
      <c r="B711" s="620"/>
      <c r="C711" s="620"/>
      <c r="D711" s="620"/>
      <c r="E711" s="620"/>
      <c r="F711" s="620"/>
      <c r="G711" s="620"/>
      <c r="H711" s="620"/>
      <c r="I711" s="620"/>
      <c r="J711" s="620"/>
      <c r="K711" s="620"/>
      <c r="L711" s="620"/>
      <c r="M711" s="620"/>
      <c r="N711" s="620"/>
      <c r="O711" s="620"/>
      <c r="P711" s="620"/>
      <c r="Q711" s="620"/>
      <c r="R711" s="620"/>
      <c r="S711" s="620"/>
      <c r="T711" s="620"/>
    </row>
    <row r="712">
      <c r="A712" s="620"/>
      <c r="B712" s="620"/>
      <c r="C712" s="620"/>
      <c r="D712" s="620"/>
      <c r="E712" s="620"/>
      <c r="F712" s="620"/>
      <c r="G712" s="620"/>
      <c r="H712" s="620"/>
      <c r="I712" s="620"/>
      <c r="J712" s="620"/>
      <c r="K712" s="620"/>
      <c r="L712" s="620"/>
      <c r="M712" s="620"/>
      <c r="N712" s="620"/>
      <c r="O712" s="620"/>
      <c r="P712" s="620"/>
      <c r="Q712" s="620"/>
      <c r="R712" s="620"/>
      <c r="S712" s="620"/>
      <c r="T712" s="620"/>
    </row>
    <row r="713">
      <c r="A713" s="620"/>
      <c r="B713" s="620"/>
      <c r="C713" s="620"/>
      <c r="D713" s="620"/>
      <c r="E713" s="620"/>
      <c r="F713" s="620"/>
      <c r="G713" s="620"/>
      <c r="H713" s="620"/>
      <c r="I713" s="620"/>
      <c r="J713" s="620"/>
      <c r="K713" s="620"/>
      <c r="L713" s="620"/>
      <c r="M713" s="620"/>
      <c r="N713" s="620"/>
      <c r="O713" s="620"/>
      <c r="P713" s="620"/>
      <c r="Q713" s="620"/>
      <c r="R713" s="620"/>
      <c r="S713" s="620"/>
      <c r="T713" s="620"/>
    </row>
    <row r="714">
      <c r="A714" s="620"/>
      <c r="B714" s="620"/>
      <c r="C714" s="620"/>
      <c r="D714" s="620"/>
      <c r="E714" s="620"/>
      <c r="F714" s="620"/>
      <c r="G714" s="620"/>
      <c r="H714" s="620"/>
      <c r="I714" s="620"/>
      <c r="J714" s="620"/>
      <c r="K714" s="620"/>
      <c r="L714" s="620"/>
      <c r="M714" s="620"/>
      <c r="N714" s="620"/>
      <c r="O714" s="620"/>
      <c r="P714" s="620"/>
      <c r="Q714" s="620"/>
      <c r="R714" s="620"/>
      <c r="S714" s="620"/>
      <c r="T714" s="620"/>
    </row>
    <row r="715">
      <c r="A715" s="620"/>
      <c r="B715" s="620"/>
      <c r="C715" s="620"/>
      <c r="D715" s="620"/>
      <c r="E715" s="620"/>
      <c r="F715" s="620"/>
      <c r="G715" s="620"/>
      <c r="H715" s="620"/>
      <c r="I715" s="620"/>
      <c r="J715" s="620"/>
      <c r="K715" s="620"/>
      <c r="L715" s="620"/>
      <c r="M715" s="620"/>
      <c r="N715" s="620"/>
      <c r="O715" s="620"/>
      <c r="P715" s="620"/>
      <c r="Q715" s="620"/>
      <c r="R715" s="620"/>
      <c r="S715" s="620"/>
      <c r="T715" s="620"/>
    </row>
    <row r="716">
      <c r="A716" s="620"/>
      <c r="B716" s="620"/>
      <c r="C716" s="620"/>
      <c r="D716" s="620"/>
      <c r="E716" s="620"/>
      <c r="F716" s="620"/>
      <c r="G716" s="620"/>
      <c r="H716" s="620"/>
      <c r="I716" s="620"/>
      <c r="J716" s="620"/>
      <c r="K716" s="620"/>
      <c r="L716" s="620"/>
      <c r="M716" s="620"/>
      <c r="N716" s="620"/>
      <c r="O716" s="620"/>
      <c r="P716" s="620"/>
      <c r="Q716" s="620"/>
      <c r="R716" s="620"/>
      <c r="S716" s="620"/>
      <c r="T716" s="620"/>
    </row>
    <row r="717">
      <c r="A717" s="620"/>
      <c r="B717" s="620"/>
      <c r="C717" s="620"/>
      <c r="D717" s="620"/>
      <c r="E717" s="620"/>
      <c r="F717" s="620"/>
      <c r="G717" s="620"/>
      <c r="H717" s="620"/>
      <c r="I717" s="620"/>
      <c r="J717" s="620"/>
      <c r="K717" s="620"/>
      <c r="L717" s="620"/>
      <c r="M717" s="620"/>
      <c r="N717" s="620"/>
      <c r="O717" s="620"/>
      <c r="P717" s="620"/>
      <c r="Q717" s="620"/>
      <c r="R717" s="620"/>
      <c r="S717" s="620"/>
      <c r="T717" s="620"/>
    </row>
    <row r="718">
      <c r="A718" s="620"/>
      <c r="B718" s="620"/>
      <c r="C718" s="620"/>
      <c r="D718" s="620"/>
      <c r="E718" s="620"/>
      <c r="F718" s="620"/>
      <c r="G718" s="620"/>
      <c r="H718" s="620"/>
      <c r="I718" s="620"/>
      <c r="J718" s="620"/>
      <c r="K718" s="620"/>
      <c r="L718" s="620"/>
      <c r="M718" s="620"/>
      <c r="N718" s="620"/>
      <c r="O718" s="620"/>
      <c r="P718" s="620"/>
      <c r="Q718" s="620"/>
      <c r="R718" s="620"/>
      <c r="S718" s="620"/>
      <c r="T718" s="620"/>
    </row>
    <row r="719">
      <c r="A719" s="620"/>
      <c r="B719" s="620"/>
      <c r="C719" s="620"/>
      <c r="D719" s="620"/>
      <c r="E719" s="620"/>
      <c r="F719" s="620"/>
      <c r="G719" s="620"/>
      <c r="H719" s="620"/>
      <c r="I719" s="620"/>
      <c r="J719" s="620"/>
      <c r="K719" s="620"/>
      <c r="L719" s="620"/>
      <c r="M719" s="620"/>
      <c r="N719" s="620"/>
      <c r="O719" s="620"/>
      <c r="P719" s="620"/>
      <c r="Q719" s="620"/>
      <c r="R719" s="620"/>
      <c r="S719" s="620"/>
      <c r="T719" s="620"/>
    </row>
    <row r="720">
      <c r="A720" s="620"/>
      <c r="B720" s="620"/>
      <c r="C720" s="620"/>
      <c r="D720" s="620"/>
      <c r="E720" s="620"/>
      <c r="F720" s="620"/>
      <c r="G720" s="620"/>
      <c r="H720" s="620"/>
      <c r="I720" s="620"/>
      <c r="J720" s="620"/>
      <c r="K720" s="620"/>
      <c r="L720" s="620"/>
      <c r="M720" s="620"/>
      <c r="N720" s="620"/>
      <c r="O720" s="620"/>
      <c r="P720" s="620"/>
      <c r="Q720" s="620"/>
      <c r="R720" s="620"/>
      <c r="S720" s="620"/>
      <c r="T720" s="620"/>
    </row>
    <row r="721">
      <c r="A721" s="620"/>
      <c r="B721" s="620"/>
      <c r="C721" s="620"/>
      <c r="D721" s="620"/>
      <c r="E721" s="620"/>
      <c r="F721" s="620"/>
      <c r="G721" s="620"/>
      <c r="H721" s="620"/>
      <c r="I721" s="620"/>
      <c r="J721" s="620"/>
      <c r="K721" s="620"/>
      <c r="L721" s="620"/>
      <c r="M721" s="620"/>
      <c r="N721" s="620"/>
      <c r="O721" s="620"/>
      <c r="P721" s="620"/>
      <c r="Q721" s="620"/>
      <c r="R721" s="620"/>
      <c r="S721" s="620"/>
      <c r="T721" s="620"/>
    </row>
    <row r="722">
      <c r="A722" s="620"/>
      <c r="B722" s="620"/>
      <c r="C722" s="620"/>
      <c r="D722" s="620"/>
      <c r="E722" s="620"/>
      <c r="F722" s="620"/>
      <c r="G722" s="620"/>
      <c r="H722" s="620"/>
      <c r="I722" s="620"/>
      <c r="J722" s="620"/>
      <c r="K722" s="620"/>
      <c r="L722" s="620"/>
      <c r="M722" s="620"/>
      <c r="N722" s="620"/>
      <c r="O722" s="620"/>
      <c r="P722" s="620"/>
      <c r="Q722" s="620"/>
      <c r="R722" s="620"/>
      <c r="S722" s="620"/>
      <c r="T722" s="620"/>
    </row>
    <row r="723">
      <c r="A723" s="620"/>
      <c r="B723" s="620"/>
      <c r="C723" s="620"/>
      <c r="D723" s="620"/>
      <c r="E723" s="620"/>
      <c r="F723" s="620"/>
      <c r="G723" s="620"/>
      <c r="H723" s="620"/>
      <c r="I723" s="620"/>
      <c r="J723" s="620"/>
      <c r="K723" s="620"/>
      <c r="L723" s="620"/>
      <c r="M723" s="620"/>
      <c r="N723" s="620"/>
      <c r="O723" s="620"/>
      <c r="P723" s="620"/>
      <c r="Q723" s="620"/>
      <c r="R723" s="620"/>
      <c r="S723" s="620"/>
      <c r="T723" s="620"/>
    </row>
    <row r="724">
      <c r="A724" s="620"/>
      <c r="B724" s="620"/>
      <c r="C724" s="620"/>
      <c r="D724" s="620"/>
      <c r="E724" s="620"/>
      <c r="F724" s="620"/>
      <c r="G724" s="620"/>
      <c r="H724" s="620"/>
      <c r="I724" s="620"/>
      <c r="J724" s="620"/>
      <c r="K724" s="620"/>
      <c r="L724" s="620"/>
      <c r="M724" s="620"/>
      <c r="N724" s="620"/>
      <c r="O724" s="620"/>
      <c r="P724" s="620"/>
      <c r="Q724" s="620"/>
      <c r="R724" s="620"/>
      <c r="S724" s="620"/>
      <c r="T724" s="620"/>
    </row>
    <row r="725">
      <c r="A725" s="620"/>
      <c r="B725" s="620"/>
      <c r="C725" s="620"/>
      <c r="D725" s="620"/>
      <c r="E725" s="620"/>
      <c r="F725" s="620"/>
      <c r="G725" s="620"/>
      <c r="H725" s="620"/>
      <c r="I725" s="620"/>
      <c r="J725" s="620"/>
      <c r="K725" s="620"/>
      <c r="L725" s="620"/>
      <c r="M725" s="620"/>
      <c r="N725" s="620"/>
      <c r="O725" s="620"/>
      <c r="P725" s="620"/>
      <c r="Q725" s="620"/>
      <c r="R725" s="620"/>
      <c r="S725" s="620"/>
      <c r="T725" s="620"/>
    </row>
    <row r="726">
      <c r="A726" s="620"/>
      <c r="B726" s="620"/>
      <c r="C726" s="620"/>
      <c r="D726" s="620"/>
      <c r="E726" s="620"/>
      <c r="F726" s="620"/>
      <c r="G726" s="620"/>
      <c r="H726" s="620"/>
      <c r="I726" s="620"/>
      <c r="J726" s="620"/>
      <c r="K726" s="620"/>
      <c r="L726" s="620"/>
      <c r="M726" s="620"/>
      <c r="N726" s="620"/>
      <c r="O726" s="620"/>
      <c r="P726" s="620"/>
      <c r="Q726" s="620"/>
      <c r="R726" s="620"/>
      <c r="S726" s="620"/>
      <c r="T726" s="620"/>
    </row>
    <row r="727">
      <c r="A727" s="620"/>
      <c r="B727" s="620"/>
      <c r="C727" s="620"/>
      <c r="D727" s="620"/>
      <c r="E727" s="620"/>
      <c r="F727" s="620"/>
      <c r="G727" s="620"/>
      <c r="H727" s="620"/>
      <c r="I727" s="620"/>
      <c r="J727" s="620"/>
      <c r="K727" s="620"/>
      <c r="L727" s="620"/>
      <c r="M727" s="620"/>
      <c r="N727" s="620"/>
      <c r="O727" s="620"/>
      <c r="P727" s="620"/>
      <c r="Q727" s="620"/>
      <c r="R727" s="620"/>
      <c r="S727" s="620"/>
      <c r="T727" s="620"/>
    </row>
    <row r="728">
      <c r="A728" s="620"/>
      <c r="B728" s="620"/>
      <c r="C728" s="620"/>
      <c r="D728" s="620"/>
      <c r="E728" s="620"/>
      <c r="F728" s="620"/>
      <c r="G728" s="620"/>
      <c r="H728" s="620"/>
      <c r="I728" s="620"/>
      <c r="J728" s="620"/>
      <c r="K728" s="620"/>
      <c r="L728" s="620"/>
      <c r="M728" s="620"/>
      <c r="N728" s="620"/>
      <c r="O728" s="620"/>
      <c r="P728" s="620"/>
      <c r="Q728" s="620"/>
      <c r="R728" s="620"/>
      <c r="S728" s="620"/>
      <c r="T728" s="620"/>
    </row>
    <row r="729">
      <c r="A729" s="620"/>
      <c r="B729" s="620"/>
      <c r="C729" s="620"/>
      <c r="D729" s="620"/>
      <c r="E729" s="620"/>
      <c r="F729" s="620"/>
      <c r="G729" s="620"/>
      <c r="H729" s="620"/>
      <c r="I729" s="620"/>
      <c r="J729" s="620"/>
      <c r="K729" s="620"/>
      <c r="L729" s="620"/>
      <c r="M729" s="620"/>
      <c r="N729" s="620"/>
      <c r="O729" s="620"/>
      <c r="P729" s="620"/>
      <c r="Q729" s="620"/>
      <c r="R729" s="620"/>
      <c r="S729" s="620"/>
      <c r="T729" s="620"/>
    </row>
    <row r="730">
      <c r="A730" s="620"/>
      <c r="B730" s="620"/>
      <c r="C730" s="620"/>
      <c r="D730" s="620"/>
      <c r="E730" s="620"/>
      <c r="F730" s="620"/>
      <c r="G730" s="620"/>
      <c r="H730" s="620"/>
      <c r="I730" s="620"/>
      <c r="J730" s="620"/>
      <c r="K730" s="620"/>
      <c r="L730" s="620"/>
      <c r="M730" s="620"/>
      <c r="N730" s="620"/>
      <c r="O730" s="620"/>
      <c r="P730" s="620"/>
      <c r="Q730" s="620"/>
      <c r="R730" s="620"/>
      <c r="S730" s="620"/>
      <c r="T730" s="620"/>
    </row>
    <row r="731">
      <c r="A731" s="620"/>
      <c r="B731" s="620"/>
      <c r="C731" s="620"/>
      <c r="D731" s="620"/>
      <c r="E731" s="620"/>
      <c r="F731" s="620"/>
      <c r="G731" s="620"/>
      <c r="H731" s="620"/>
      <c r="I731" s="620"/>
      <c r="J731" s="620"/>
      <c r="K731" s="620"/>
      <c r="L731" s="620"/>
      <c r="M731" s="620"/>
      <c r="N731" s="620"/>
      <c r="O731" s="620"/>
      <c r="P731" s="620"/>
      <c r="Q731" s="620"/>
      <c r="R731" s="620"/>
      <c r="S731" s="620"/>
      <c r="T731" s="620"/>
    </row>
    <row r="732">
      <c r="A732" s="620"/>
      <c r="B732" s="620"/>
      <c r="C732" s="620"/>
      <c r="D732" s="620"/>
      <c r="E732" s="620"/>
      <c r="F732" s="620"/>
      <c r="G732" s="620"/>
      <c r="H732" s="620"/>
      <c r="I732" s="620"/>
      <c r="J732" s="620"/>
      <c r="K732" s="620"/>
      <c r="L732" s="620"/>
      <c r="M732" s="620"/>
      <c r="N732" s="620"/>
      <c r="O732" s="620"/>
      <c r="P732" s="620"/>
      <c r="Q732" s="620"/>
      <c r="R732" s="620"/>
      <c r="S732" s="620"/>
      <c r="T732" s="620"/>
    </row>
    <row r="733">
      <c r="A733" s="620"/>
      <c r="B733" s="620"/>
      <c r="C733" s="620"/>
      <c r="D733" s="620"/>
      <c r="E733" s="620"/>
      <c r="F733" s="620"/>
      <c r="G733" s="620"/>
      <c r="H733" s="620"/>
      <c r="I733" s="620"/>
      <c r="J733" s="620"/>
      <c r="K733" s="620"/>
      <c r="L733" s="620"/>
      <c r="M733" s="620"/>
      <c r="N733" s="620"/>
      <c r="O733" s="620"/>
      <c r="P733" s="620"/>
      <c r="Q733" s="620"/>
      <c r="R733" s="620"/>
      <c r="S733" s="620"/>
      <c r="T733" s="620"/>
    </row>
    <row r="734">
      <c r="A734" s="620"/>
      <c r="B734" s="620"/>
      <c r="C734" s="620"/>
      <c r="D734" s="620"/>
      <c r="E734" s="620"/>
      <c r="F734" s="620"/>
      <c r="G734" s="620"/>
      <c r="H734" s="620"/>
      <c r="I734" s="620"/>
      <c r="J734" s="620"/>
      <c r="K734" s="620"/>
      <c r="L734" s="620"/>
      <c r="M734" s="620"/>
      <c r="N734" s="620"/>
      <c r="O734" s="620"/>
      <c r="P734" s="620"/>
      <c r="Q734" s="620"/>
      <c r="R734" s="620"/>
      <c r="S734" s="620"/>
      <c r="T734" s="620"/>
    </row>
    <row r="735">
      <c r="A735" s="620"/>
      <c r="B735" s="620"/>
      <c r="C735" s="620"/>
      <c r="D735" s="620"/>
      <c r="E735" s="620"/>
      <c r="F735" s="620"/>
      <c r="G735" s="620"/>
      <c r="H735" s="620"/>
      <c r="I735" s="620"/>
      <c r="J735" s="620"/>
      <c r="K735" s="620"/>
      <c r="L735" s="620"/>
      <c r="M735" s="620"/>
      <c r="N735" s="620"/>
      <c r="O735" s="620"/>
      <c r="P735" s="620"/>
      <c r="Q735" s="620"/>
      <c r="R735" s="620"/>
      <c r="S735" s="620"/>
      <c r="T735" s="620"/>
    </row>
    <row r="736">
      <c r="A736" s="620"/>
      <c r="B736" s="620"/>
      <c r="C736" s="620"/>
      <c r="D736" s="620"/>
      <c r="E736" s="620"/>
      <c r="F736" s="620"/>
      <c r="G736" s="620"/>
      <c r="H736" s="620"/>
      <c r="I736" s="620"/>
      <c r="J736" s="620"/>
      <c r="K736" s="620"/>
      <c r="L736" s="620"/>
      <c r="M736" s="620"/>
      <c r="N736" s="620"/>
      <c r="O736" s="620"/>
      <c r="P736" s="620"/>
      <c r="Q736" s="620"/>
      <c r="R736" s="620"/>
      <c r="S736" s="620"/>
      <c r="T736" s="620"/>
    </row>
    <row r="737">
      <c r="A737" s="620"/>
      <c r="B737" s="620"/>
      <c r="C737" s="620"/>
      <c r="D737" s="620"/>
      <c r="E737" s="620"/>
      <c r="F737" s="620"/>
      <c r="G737" s="620"/>
      <c r="H737" s="620"/>
      <c r="I737" s="620"/>
      <c r="J737" s="620"/>
      <c r="K737" s="620"/>
      <c r="L737" s="620"/>
      <c r="M737" s="620"/>
      <c r="N737" s="620"/>
      <c r="O737" s="620"/>
      <c r="P737" s="620"/>
      <c r="Q737" s="620"/>
      <c r="R737" s="620"/>
      <c r="S737" s="620"/>
      <c r="T737" s="620"/>
    </row>
    <row r="738">
      <c r="A738" s="620"/>
      <c r="B738" s="620"/>
      <c r="C738" s="620"/>
      <c r="D738" s="620"/>
      <c r="E738" s="620"/>
      <c r="F738" s="620"/>
      <c r="G738" s="620"/>
      <c r="H738" s="620"/>
      <c r="I738" s="620"/>
      <c r="J738" s="620"/>
      <c r="K738" s="620"/>
      <c r="L738" s="620"/>
      <c r="M738" s="620"/>
      <c r="N738" s="620"/>
      <c r="O738" s="620"/>
      <c r="P738" s="620"/>
      <c r="Q738" s="620"/>
      <c r="R738" s="620"/>
      <c r="S738" s="620"/>
      <c r="T738" s="620"/>
    </row>
    <row r="739">
      <c r="A739" s="620"/>
      <c r="B739" s="620"/>
      <c r="C739" s="620"/>
      <c r="D739" s="620"/>
      <c r="E739" s="620"/>
      <c r="F739" s="620"/>
      <c r="G739" s="620"/>
      <c r="H739" s="620"/>
      <c r="I739" s="620"/>
      <c r="J739" s="620"/>
      <c r="K739" s="620"/>
      <c r="L739" s="620"/>
      <c r="M739" s="620"/>
      <c r="N739" s="620"/>
      <c r="O739" s="620"/>
      <c r="P739" s="620"/>
      <c r="Q739" s="620"/>
      <c r="R739" s="620"/>
      <c r="S739" s="620"/>
      <c r="T739" s="620"/>
    </row>
    <row r="740">
      <c r="A740" s="620"/>
      <c r="B740" s="620"/>
      <c r="C740" s="620"/>
      <c r="D740" s="620"/>
      <c r="E740" s="620"/>
      <c r="F740" s="620"/>
      <c r="G740" s="620"/>
      <c r="H740" s="620"/>
      <c r="I740" s="620"/>
      <c r="J740" s="620"/>
      <c r="K740" s="620"/>
      <c r="L740" s="620"/>
      <c r="M740" s="620"/>
      <c r="N740" s="620"/>
      <c r="O740" s="620"/>
      <c r="P740" s="620"/>
      <c r="Q740" s="620"/>
      <c r="R740" s="620"/>
      <c r="S740" s="620"/>
      <c r="T740" s="620"/>
    </row>
    <row r="741">
      <c r="A741" s="620"/>
      <c r="B741" s="620"/>
      <c r="C741" s="620"/>
      <c r="D741" s="620"/>
      <c r="E741" s="620"/>
      <c r="F741" s="620"/>
      <c r="G741" s="620"/>
      <c r="H741" s="620"/>
      <c r="I741" s="620"/>
      <c r="J741" s="620"/>
      <c r="K741" s="620"/>
      <c r="L741" s="620"/>
      <c r="M741" s="620"/>
      <c r="N741" s="620"/>
      <c r="O741" s="620"/>
      <c r="P741" s="620"/>
      <c r="Q741" s="620"/>
      <c r="R741" s="620"/>
      <c r="S741" s="620"/>
      <c r="T741" s="620"/>
    </row>
    <row r="742">
      <c r="A742" s="620"/>
      <c r="B742" s="620"/>
      <c r="C742" s="620"/>
      <c r="D742" s="620"/>
      <c r="E742" s="620"/>
      <c r="F742" s="620"/>
      <c r="G742" s="620"/>
      <c r="H742" s="620"/>
      <c r="I742" s="620"/>
      <c r="J742" s="620"/>
      <c r="K742" s="620"/>
      <c r="L742" s="620"/>
      <c r="M742" s="620"/>
      <c r="N742" s="620"/>
      <c r="O742" s="620"/>
      <c r="P742" s="620"/>
      <c r="Q742" s="620"/>
      <c r="R742" s="620"/>
      <c r="S742" s="620"/>
      <c r="T742" s="620"/>
    </row>
    <row r="743">
      <c r="A743" s="620"/>
      <c r="B743" s="620"/>
      <c r="C743" s="620"/>
      <c r="D743" s="620"/>
      <c r="E743" s="620"/>
      <c r="F743" s="620"/>
      <c r="G743" s="620"/>
      <c r="H743" s="620"/>
      <c r="I743" s="620"/>
      <c r="J743" s="620"/>
      <c r="K743" s="620"/>
      <c r="L743" s="620"/>
      <c r="M743" s="620"/>
      <c r="N743" s="620"/>
      <c r="O743" s="620"/>
      <c r="P743" s="620"/>
      <c r="Q743" s="620"/>
      <c r="R743" s="620"/>
      <c r="S743" s="620"/>
      <c r="T743" s="620"/>
    </row>
    <row r="744">
      <c r="A744" s="620"/>
      <c r="B744" s="620"/>
      <c r="C744" s="620"/>
      <c r="D744" s="620"/>
      <c r="E744" s="620"/>
      <c r="F744" s="620"/>
      <c r="G744" s="620"/>
      <c r="H744" s="620"/>
      <c r="I744" s="620"/>
      <c r="J744" s="620"/>
      <c r="K744" s="620"/>
      <c r="L744" s="620"/>
      <c r="M744" s="620"/>
      <c r="N744" s="620"/>
      <c r="O744" s="620"/>
      <c r="P744" s="620"/>
      <c r="Q744" s="620"/>
      <c r="R744" s="620"/>
      <c r="S744" s="620"/>
      <c r="T744" s="620"/>
    </row>
    <row r="745">
      <c r="A745" s="620"/>
      <c r="B745" s="620"/>
      <c r="C745" s="620"/>
      <c r="D745" s="620"/>
      <c r="E745" s="620"/>
      <c r="F745" s="620"/>
      <c r="G745" s="620"/>
      <c r="H745" s="620"/>
      <c r="I745" s="620"/>
      <c r="J745" s="620"/>
      <c r="K745" s="620"/>
      <c r="L745" s="620"/>
      <c r="M745" s="620"/>
      <c r="N745" s="620"/>
      <c r="O745" s="620"/>
      <c r="P745" s="620"/>
      <c r="Q745" s="620"/>
      <c r="R745" s="620"/>
      <c r="S745" s="620"/>
      <c r="T745" s="620"/>
    </row>
    <row r="746">
      <c r="A746" s="620"/>
      <c r="B746" s="620"/>
      <c r="C746" s="620"/>
      <c r="D746" s="620"/>
      <c r="E746" s="620"/>
      <c r="F746" s="620"/>
      <c r="G746" s="620"/>
      <c r="H746" s="620"/>
      <c r="I746" s="620"/>
      <c r="J746" s="620"/>
      <c r="K746" s="620"/>
      <c r="L746" s="620"/>
      <c r="M746" s="620"/>
      <c r="N746" s="620"/>
      <c r="O746" s="620"/>
      <c r="P746" s="620"/>
      <c r="Q746" s="620"/>
      <c r="R746" s="620"/>
      <c r="S746" s="620"/>
      <c r="T746" s="620"/>
    </row>
    <row r="747">
      <c r="A747" s="620"/>
      <c r="B747" s="620"/>
      <c r="C747" s="620"/>
      <c r="D747" s="620"/>
      <c r="E747" s="620"/>
      <c r="F747" s="620"/>
      <c r="G747" s="620"/>
      <c r="H747" s="620"/>
      <c r="I747" s="620"/>
      <c r="J747" s="620"/>
      <c r="K747" s="620"/>
      <c r="L747" s="620"/>
      <c r="M747" s="620"/>
      <c r="N747" s="620"/>
      <c r="O747" s="620"/>
      <c r="P747" s="620"/>
      <c r="Q747" s="620"/>
      <c r="R747" s="620"/>
      <c r="S747" s="620"/>
      <c r="T747" s="620"/>
    </row>
    <row r="748">
      <c r="A748" s="620"/>
      <c r="B748" s="620"/>
      <c r="C748" s="620"/>
      <c r="D748" s="620"/>
      <c r="E748" s="620"/>
      <c r="F748" s="620"/>
      <c r="G748" s="620"/>
      <c r="H748" s="620"/>
      <c r="I748" s="620"/>
      <c r="J748" s="620"/>
      <c r="K748" s="620"/>
      <c r="L748" s="620"/>
      <c r="M748" s="620"/>
      <c r="N748" s="620"/>
      <c r="O748" s="620"/>
      <c r="P748" s="620"/>
      <c r="Q748" s="620"/>
      <c r="R748" s="620"/>
      <c r="S748" s="620"/>
      <c r="T748" s="620"/>
    </row>
    <row r="749">
      <c r="A749" s="620"/>
      <c r="B749" s="620"/>
      <c r="C749" s="620"/>
      <c r="D749" s="620"/>
      <c r="E749" s="620"/>
      <c r="F749" s="620"/>
      <c r="G749" s="620"/>
      <c r="H749" s="620"/>
      <c r="I749" s="620"/>
      <c r="J749" s="620"/>
      <c r="K749" s="620"/>
      <c r="L749" s="620"/>
      <c r="M749" s="620"/>
      <c r="N749" s="620"/>
      <c r="O749" s="620"/>
      <c r="P749" s="620"/>
      <c r="Q749" s="620"/>
      <c r="R749" s="620"/>
      <c r="S749" s="620"/>
      <c r="T749" s="620"/>
    </row>
    <row r="750">
      <c r="A750" s="620"/>
      <c r="B750" s="620"/>
      <c r="C750" s="620"/>
      <c r="D750" s="620"/>
      <c r="E750" s="620"/>
      <c r="F750" s="620"/>
      <c r="G750" s="620"/>
      <c r="H750" s="620"/>
      <c r="I750" s="620"/>
      <c r="J750" s="620"/>
      <c r="K750" s="620"/>
      <c r="L750" s="620"/>
      <c r="M750" s="620"/>
      <c r="N750" s="620"/>
      <c r="O750" s="620"/>
      <c r="P750" s="620"/>
      <c r="Q750" s="620"/>
      <c r="R750" s="620"/>
      <c r="S750" s="620"/>
      <c r="T750" s="620"/>
    </row>
    <row r="751">
      <c r="A751" s="620"/>
      <c r="B751" s="620"/>
      <c r="C751" s="620"/>
      <c r="D751" s="620"/>
      <c r="E751" s="620"/>
      <c r="F751" s="620"/>
      <c r="G751" s="620"/>
      <c r="H751" s="620"/>
      <c r="I751" s="620"/>
      <c r="J751" s="620"/>
      <c r="K751" s="620"/>
      <c r="L751" s="620"/>
      <c r="M751" s="620"/>
      <c r="N751" s="620"/>
      <c r="O751" s="620"/>
      <c r="P751" s="620"/>
      <c r="Q751" s="620"/>
      <c r="R751" s="620"/>
      <c r="S751" s="620"/>
      <c r="T751" s="620"/>
    </row>
    <row r="752">
      <c r="A752" s="620"/>
      <c r="B752" s="620"/>
      <c r="C752" s="620"/>
      <c r="D752" s="620"/>
      <c r="E752" s="620"/>
      <c r="F752" s="620"/>
      <c r="G752" s="620"/>
      <c r="H752" s="620"/>
      <c r="I752" s="620"/>
      <c r="J752" s="620"/>
      <c r="K752" s="620"/>
      <c r="L752" s="620"/>
      <c r="M752" s="620"/>
      <c r="N752" s="620"/>
      <c r="O752" s="620"/>
      <c r="P752" s="620"/>
      <c r="Q752" s="620"/>
      <c r="R752" s="620"/>
      <c r="S752" s="620"/>
      <c r="T752" s="620"/>
    </row>
    <row r="753">
      <c r="A753" s="620"/>
      <c r="B753" s="620"/>
      <c r="C753" s="620"/>
      <c r="D753" s="620"/>
      <c r="E753" s="620"/>
      <c r="F753" s="620"/>
      <c r="G753" s="620"/>
      <c r="H753" s="620"/>
      <c r="I753" s="620"/>
      <c r="J753" s="620"/>
      <c r="K753" s="620"/>
      <c r="L753" s="620"/>
      <c r="M753" s="620"/>
      <c r="N753" s="620"/>
      <c r="O753" s="620"/>
      <c r="P753" s="620"/>
      <c r="Q753" s="620"/>
      <c r="R753" s="620"/>
      <c r="S753" s="620"/>
      <c r="T753" s="620"/>
    </row>
    <row r="754">
      <c r="A754" s="620"/>
      <c r="B754" s="620"/>
      <c r="C754" s="620"/>
      <c r="D754" s="620"/>
      <c r="E754" s="620"/>
      <c r="F754" s="620"/>
      <c r="G754" s="620"/>
      <c r="H754" s="620"/>
      <c r="I754" s="620"/>
      <c r="J754" s="620"/>
      <c r="K754" s="620"/>
      <c r="L754" s="620"/>
      <c r="M754" s="620"/>
      <c r="N754" s="620"/>
      <c r="O754" s="620"/>
      <c r="P754" s="620"/>
      <c r="Q754" s="620"/>
      <c r="R754" s="620"/>
      <c r="S754" s="620"/>
      <c r="T754" s="620"/>
    </row>
    <row r="755">
      <c r="A755" s="620"/>
      <c r="B755" s="620"/>
      <c r="C755" s="620"/>
      <c r="D755" s="620"/>
      <c r="E755" s="620"/>
      <c r="F755" s="620"/>
      <c r="G755" s="620"/>
      <c r="H755" s="620"/>
      <c r="I755" s="620"/>
      <c r="J755" s="620"/>
      <c r="K755" s="620"/>
      <c r="L755" s="620"/>
      <c r="M755" s="620"/>
      <c r="N755" s="620"/>
      <c r="O755" s="620"/>
      <c r="P755" s="620"/>
      <c r="Q755" s="620"/>
      <c r="R755" s="620"/>
      <c r="S755" s="620"/>
      <c r="T755" s="620"/>
    </row>
    <row r="756">
      <c r="A756" s="620"/>
      <c r="B756" s="620"/>
      <c r="C756" s="620"/>
      <c r="D756" s="620"/>
      <c r="E756" s="620"/>
      <c r="F756" s="620"/>
      <c r="G756" s="620"/>
      <c r="H756" s="620"/>
      <c r="I756" s="620"/>
      <c r="J756" s="620"/>
      <c r="K756" s="620"/>
      <c r="L756" s="620"/>
      <c r="M756" s="620"/>
      <c r="N756" s="620"/>
      <c r="O756" s="620"/>
      <c r="P756" s="620"/>
      <c r="Q756" s="620"/>
      <c r="R756" s="620"/>
      <c r="S756" s="620"/>
      <c r="T756" s="620"/>
    </row>
    <row r="757">
      <c r="A757" s="620"/>
      <c r="B757" s="620"/>
      <c r="C757" s="620"/>
      <c r="D757" s="620"/>
      <c r="E757" s="620"/>
      <c r="F757" s="620"/>
      <c r="G757" s="620"/>
      <c r="H757" s="620"/>
      <c r="I757" s="620"/>
      <c r="J757" s="620"/>
      <c r="K757" s="620"/>
      <c r="L757" s="620"/>
      <c r="M757" s="620"/>
      <c r="N757" s="620"/>
      <c r="O757" s="620"/>
      <c r="P757" s="620"/>
      <c r="Q757" s="620"/>
      <c r="R757" s="620"/>
      <c r="S757" s="620"/>
      <c r="T757" s="620"/>
    </row>
    <row r="758">
      <c r="A758" s="620"/>
      <c r="B758" s="620"/>
      <c r="C758" s="620"/>
      <c r="D758" s="620"/>
      <c r="E758" s="620"/>
      <c r="F758" s="620"/>
      <c r="G758" s="620"/>
      <c r="H758" s="620"/>
      <c r="I758" s="620"/>
      <c r="J758" s="620"/>
      <c r="K758" s="620"/>
      <c r="L758" s="620"/>
      <c r="M758" s="620"/>
      <c r="N758" s="620"/>
      <c r="O758" s="620"/>
      <c r="P758" s="620"/>
      <c r="Q758" s="620"/>
      <c r="R758" s="620"/>
      <c r="S758" s="620"/>
      <c r="T758" s="620"/>
    </row>
    <row r="759">
      <c r="A759" s="620"/>
      <c r="B759" s="620"/>
      <c r="C759" s="620"/>
      <c r="D759" s="620"/>
      <c r="E759" s="620"/>
      <c r="F759" s="620"/>
      <c r="G759" s="620"/>
      <c r="H759" s="620"/>
      <c r="I759" s="620"/>
      <c r="J759" s="620"/>
      <c r="K759" s="620"/>
      <c r="L759" s="620"/>
      <c r="M759" s="620"/>
      <c r="N759" s="620"/>
      <c r="O759" s="620"/>
      <c r="P759" s="620"/>
      <c r="Q759" s="620"/>
      <c r="R759" s="620"/>
      <c r="S759" s="620"/>
      <c r="T759" s="620"/>
    </row>
    <row r="760">
      <c r="A760" s="620"/>
      <c r="B760" s="620"/>
      <c r="C760" s="620"/>
      <c r="D760" s="620"/>
      <c r="E760" s="620"/>
      <c r="F760" s="620"/>
      <c r="G760" s="620"/>
      <c r="H760" s="620"/>
      <c r="I760" s="620"/>
      <c r="J760" s="620"/>
      <c r="K760" s="620"/>
      <c r="L760" s="620"/>
      <c r="M760" s="620"/>
      <c r="N760" s="620"/>
      <c r="O760" s="620"/>
      <c r="P760" s="620"/>
      <c r="Q760" s="620"/>
      <c r="R760" s="620"/>
      <c r="S760" s="620"/>
      <c r="T760" s="620"/>
    </row>
    <row r="761">
      <c r="A761" s="620"/>
      <c r="B761" s="620"/>
      <c r="C761" s="620"/>
      <c r="D761" s="620"/>
      <c r="E761" s="620"/>
      <c r="F761" s="620"/>
      <c r="G761" s="620"/>
      <c r="H761" s="620"/>
      <c r="I761" s="620"/>
      <c r="J761" s="620"/>
      <c r="K761" s="620"/>
      <c r="L761" s="620"/>
      <c r="M761" s="620"/>
      <c r="N761" s="620"/>
      <c r="O761" s="620"/>
      <c r="P761" s="620"/>
      <c r="Q761" s="620"/>
      <c r="R761" s="620"/>
      <c r="S761" s="620"/>
      <c r="T761" s="620"/>
    </row>
    <row r="762">
      <c r="A762" s="620"/>
      <c r="B762" s="620"/>
      <c r="C762" s="620"/>
      <c r="D762" s="620"/>
      <c r="E762" s="620"/>
      <c r="F762" s="620"/>
      <c r="G762" s="620"/>
      <c r="H762" s="620"/>
      <c r="I762" s="620"/>
      <c r="J762" s="620"/>
      <c r="K762" s="620"/>
      <c r="L762" s="620"/>
      <c r="M762" s="620"/>
      <c r="N762" s="620"/>
      <c r="O762" s="620"/>
      <c r="P762" s="620"/>
      <c r="Q762" s="620"/>
      <c r="R762" s="620"/>
      <c r="S762" s="620"/>
      <c r="T762" s="620"/>
    </row>
    <row r="763">
      <c r="A763" s="620"/>
      <c r="B763" s="620"/>
      <c r="C763" s="620"/>
      <c r="D763" s="620"/>
      <c r="E763" s="620"/>
      <c r="F763" s="620"/>
      <c r="G763" s="620"/>
      <c r="H763" s="620"/>
      <c r="I763" s="620"/>
      <c r="J763" s="620"/>
      <c r="K763" s="620"/>
      <c r="L763" s="620"/>
      <c r="M763" s="620"/>
      <c r="N763" s="620"/>
      <c r="O763" s="620"/>
      <c r="P763" s="620"/>
      <c r="Q763" s="620"/>
      <c r="R763" s="620"/>
      <c r="S763" s="620"/>
      <c r="T763" s="620"/>
    </row>
    <row r="764">
      <c r="A764" s="620"/>
      <c r="B764" s="620"/>
      <c r="C764" s="620"/>
      <c r="D764" s="620"/>
      <c r="E764" s="620"/>
      <c r="F764" s="620"/>
      <c r="G764" s="620"/>
      <c r="H764" s="620"/>
      <c r="I764" s="620"/>
      <c r="J764" s="620"/>
      <c r="K764" s="620"/>
      <c r="L764" s="620"/>
      <c r="M764" s="620"/>
      <c r="N764" s="620"/>
      <c r="O764" s="620"/>
      <c r="P764" s="620"/>
      <c r="Q764" s="620"/>
      <c r="R764" s="620"/>
      <c r="S764" s="620"/>
      <c r="T764" s="620"/>
    </row>
    <row r="765">
      <c r="A765" s="620"/>
      <c r="B765" s="620"/>
      <c r="C765" s="620"/>
      <c r="D765" s="620"/>
      <c r="E765" s="620"/>
      <c r="F765" s="620"/>
      <c r="G765" s="620"/>
      <c r="H765" s="620"/>
      <c r="I765" s="620"/>
      <c r="J765" s="620"/>
      <c r="K765" s="620"/>
      <c r="L765" s="620"/>
      <c r="M765" s="620"/>
      <c r="N765" s="620"/>
      <c r="O765" s="620"/>
      <c r="P765" s="620"/>
      <c r="Q765" s="620"/>
      <c r="R765" s="620"/>
      <c r="S765" s="620"/>
      <c r="T765" s="620"/>
    </row>
    <row r="766">
      <c r="A766" s="620"/>
      <c r="B766" s="620"/>
      <c r="C766" s="620"/>
      <c r="D766" s="620"/>
      <c r="E766" s="620"/>
      <c r="F766" s="620"/>
      <c r="G766" s="620"/>
      <c r="H766" s="620"/>
      <c r="I766" s="620"/>
      <c r="J766" s="620"/>
      <c r="K766" s="620"/>
      <c r="L766" s="620"/>
      <c r="M766" s="620"/>
      <c r="N766" s="620"/>
      <c r="O766" s="620"/>
      <c r="P766" s="620"/>
      <c r="Q766" s="620"/>
      <c r="R766" s="620"/>
      <c r="S766" s="620"/>
      <c r="T766" s="620"/>
    </row>
    <row r="767">
      <c r="A767" s="620"/>
      <c r="B767" s="620"/>
      <c r="C767" s="620"/>
      <c r="D767" s="620"/>
      <c r="E767" s="620"/>
      <c r="F767" s="620"/>
      <c r="G767" s="620"/>
      <c r="H767" s="620"/>
      <c r="I767" s="620"/>
      <c r="J767" s="620"/>
      <c r="K767" s="620"/>
      <c r="L767" s="620"/>
      <c r="M767" s="620"/>
      <c r="N767" s="620"/>
      <c r="O767" s="620"/>
      <c r="P767" s="620"/>
      <c r="Q767" s="620"/>
      <c r="R767" s="620"/>
      <c r="S767" s="620"/>
      <c r="T767" s="620"/>
    </row>
    <row r="768">
      <c r="A768" s="620"/>
      <c r="B768" s="620"/>
      <c r="C768" s="620"/>
      <c r="D768" s="620"/>
      <c r="E768" s="620"/>
      <c r="F768" s="620"/>
      <c r="G768" s="620"/>
      <c r="H768" s="620"/>
      <c r="I768" s="620"/>
      <c r="J768" s="620"/>
      <c r="K768" s="620"/>
      <c r="L768" s="620"/>
      <c r="M768" s="620"/>
      <c r="N768" s="620"/>
      <c r="O768" s="620"/>
      <c r="P768" s="620"/>
      <c r="Q768" s="620"/>
      <c r="R768" s="620"/>
      <c r="S768" s="620"/>
      <c r="T768" s="620"/>
    </row>
    <row r="769">
      <c r="A769" s="620"/>
      <c r="B769" s="620"/>
      <c r="C769" s="620"/>
      <c r="D769" s="620"/>
      <c r="E769" s="620"/>
      <c r="F769" s="620"/>
      <c r="G769" s="620"/>
      <c r="H769" s="620"/>
      <c r="I769" s="620"/>
      <c r="J769" s="620"/>
      <c r="K769" s="620"/>
      <c r="L769" s="620"/>
      <c r="M769" s="620"/>
      <c r="N769" s="620"/>
      <c r="O769" s="620"/>
      <c r="P769" s="620"/>
      <c r="Q769" s="620"/>
      <c r="R769" s="620"/>
      <c r="S769" s="620"/>
      <c r="T769" s="620"/>
    </row>
    <row r="770">
      <c r="A770" s="620"/>
      <c r="B770" s="620"/>
      <c r="C770" s="620"/>
      <c r="D770" s="620"/>
      <c r="E770" s="620"/>
      <c r="F770" s="620"/>
      <c r="G770" s="620"/>
      <c r="H770" s="620"/>
      <c r="I770" s="620"/>
      <c r="J770" s="620"/>
      <c r="K770" s="620"/>
      <c r="L770" s="620"/>
      <c r="M770" s="620"/>
      <c r="N770" s="620"/>
      <c r="O770" s="620"/>
      <c r="P770" s="620"/>
      <c r="Q770" s="620"/>
      <c r="R770" s="620"/>
      <c r="S770" s="620"/>
      <c r="T770" s="620"/>
    </row>
    <row r="771">
      <c r="A771" s="620"/>
      <c r="B771" s="620"/>
      <c r="C771" s="620"/>
      <c r="D771" s="620"/>
      <c r="E771" s="620"/>
      <c r="F771" s="620"/>
      <c r="G771" s="620"/>
      <c r="H771" s="620"/>
      <c r="I771" s="620"/>
      <c r="J771" s="620"/>
      <c r="K771" s="620"/>
      <c r="L771" s="620"/>
      <c r="M771" s="620"/>
      <c r="N771" s="620"/>
      <c r="O771" s="620"/>
      <c r="P771" s="620"/>
      <c r="Q771" s="620"/>
      <c r="R771" s="620"/>
      <c r="S771" s="620"/>
      <c r="T771" s="620"/>
    </row>
    <row r="772">
      <c r="A772" s="620"/>
      <c r="B772" s="620"/>
      <c r="C772" s="620"/>
      <c r="D772" s="620"/>
      <c r="E772" s="620"/>
      <c r="F772" s="620"/>
      <c r="G772" s="620"/>
      <c r="H772" s="620"/>
      <c r="I772" s="620"/>
      <c r="J772" s="620"/>
      <c r="K772" s="620"/>
      <c r="L772" s="620"/>
      <c r="M772" s="620"/>
      <c r="N772" s="620"/>
      <c r="O772" s="620"/>
      <c r="P772" s="620"/>
      <c r="Q772" s="620"/>
      <c r="R772" s="620"/>
      <c r="S772" s="620"/>
      <c r="T772" s="620"/>
    </row>
    <row r="773">
      <c r="A773" s="620"/>
      <c r="B773" s="620"/>
      <c r="C773" s="620"/>
      <c r="D773" s="620"/>
      <c r="E773" s="620"/>
      <c r="F773" s="620"/>
      <c r="G773" s="620"/>
      <c r="H773" s="620"/>
      <c r="I773" s="620"/>
      <c r="J773" s="620"/>
      <c r="K773" s="620"/>
      <c r="L773" s="620"/>
      <c r="M773" s="620"/>
      <c r="N773" s="620"/>
      <c r="O773" s="620"/>
      <c r="P773" s="620"/>
      <c r="Q773" s="620"/>
      <c r="R773" s="620"/>
      <c r="S773" s="620"/>
      <c r="T773" s="620"/>
    </row>
    <row r="774">
      <c r="A774" s="620"/>
      <c r="B774" s="620"/>
      <c r="C774" s="620"/>
      <c r="D774" s="620"/>
      <c r="E774" s="620"/>
      <c r="F774" s="620"/>
      <c r="G774" s="620"/>
      <c r="H774" s="620"/>
      <c r="I774" s="620"/>
      <c r="J774" s="620"/>
      <c r="K774" s="620"/>
      <c r="L774" s="620"/>
      <c r="M774" s="620"/>
      <c r="N774" s="620"/>
      <c r="O774" s="620"/>
      <c r="P774" s="620"/>
      <c r="Q774" s="620"/>
      <c r="R774" s="620"/>
      <c r="S774" s="620"/>
      <c r="T774" s="620"/>
    </row>
    <row r="775">
      <c r="A775" s="620"/>
      <c r="B775" s="620"/>
      <c r="C775" s="620"/>
      <c r="D775" s="620"/>
      <c r="E775" s="620"/>
      <c r="F775" s="620"/>
      <c r="G775" s="620"/>
      <c r="H775" s="620"/>
      <c r="I775" s="620"/>
      <c r="J775" s="620"/>
      <c r="K775" s="620"/>
      <c r="L775" s="620"/>
      <c r="M775" s="620"/>
      <c r="N775" s="620"/>
      <c r="O775" s="620"/>
      <c r="P775" s="620"/>
      <c r="Q775" s="620"/>
      <c r="R775" s="620"/>
      <c r="S775" s="620"/>
      <c r="T775" s="620"/>
    </row>
    <row r="776">
      <c r="A776" s="620"/>
      <c r="B776" s="620"/>
      <c r="C776" s="620"/>
      <c r="D776" s="620"/>
      <c r="E776" s="620"/>
      <c r="F776" s="620"/>
      <c r="G776" s="620"/>
      <c r="H776" s="620"/>
      <c r="I776" s="620"/>
      <c r="J776" s="620"/>
      <c r="K776" s="620"/>
      <c r="L776" s="620"/>
      <c r="M776" s="620"/>
      <c r="N776" s="620"/>
      <c r="O776" s="620"/>
      <c r="P776" s="620"/>
      <c r="Q776" s="620"/>
      <c r="R776" s="620"/>
      <c r="S776" s="620"/>
      <c r="T776" s="620"/>
    </row>
    <row r="777">
      <c r="A777" s="620"/>
      <c r="B777" s="620"/>
      <c r="C777" s="620"/>
      <c r="D777" s="620"/>
      <c r="E777" s="620"/>
      <c r="F777" s="620"/>
      <c r="G777" s="620"/>
      <c r="H777" s="620"/>
      <c r="I777" s="620"/>
      <c r="J777" s="620"/>
      <c r="K777" s="620"/>
      <c r="L777" s="620"/>
      <c r="M777" s="620"/>
      <c r="N777" s="620"/>
      <c r="O777" s="620"/>
      <c r="P777" s="620"/>
      <c r="Q777" s="620"/>
      <c r="R777" s="620"/>
      <c r="S777" s="620"/>
      <c r="T777" s="620"/>
    </row>
    <row r="778">
      <c r="A778" s="620"/>
      <c r="B778" s="620"/>
      <c r="C778" s="620"/>
      <c r="D778" s="620"/>
      <c r="E778" s="620"/>
      <c r="F778" s="620"/>
      <c r="G778" s="620"/>
      <c r="H778" s="620"/>
      <c r="I778" s="620"/>
      <c r="J778" s="620"/>
      <c r="K778" s="620"/>
      <c r="L778" s="620"/>
      <c r="M778" s="620"/>
      <c r="N778" s="620"/>
      <c r="O778" s="620"/>
      <c r="P778" s="620"/>
      <c r="Q778" s="620"/>
      <c r="R778" s="620"/>
      <c r="S778" s="620"/>
      <c r="T778" s="620"/>
    </row>
    <row r="779">
      <c r="A779" s="620"/>
      <c r="B779" s="620"/>
      <c r="C779" s="620"/>
      <c r="D779" s="620"/>
      <c r="E779" s="620"/>
      <c r="F779" s="620"/>
      <c r="G779" s="620"/>
      <c r="H779" s="620"/>
      <c r="I779" s="620"/>
      <c r="J779" s="620"/>
      <c r="K779" s="620"/>
      <c r="L779" s="620"/>
      <c r="M779" s="620"/>
      <c r="N779" s="620"/>
      <c r="O779" s="620"/>
      <c r="P779" s="620"/>
      <c r="Q779" s="620"/>
      <c r="R779" s="620"/>
      <c r="S779" s="620"/>
      <c r="T779" s="620"/>
    </row>
    <row r="780">
      <c r="A780" s="620"/>
      <c r="B780" s="620"/>
      <c r="C780" s="620"/>
      <c r="D780" s="620"/>
      <c r="E780" s="620"/>
      <c r="F780" s="620"/>
      <c r="G780" s="620"/>
      <c r="H780" s="620"/>
      <c r="I780" s="620"/>
      <c r="J780" s="620"/>
      <c r="K780" s="620"/>
      <c r="L780" s="620"/>
      <c r="M780" s="620"/>
      <c r="N780" s="620"/>
      <c r="O780" s="620"/>
      <c r="P780" s="620"/>
      <c r="Q780" s="620"/>
      <c r="R780" s="620"/>
      <c r="S780" s="620"/>
      <c r="T780" s="620"/>
    </row>
    <row r="781">
      <c r="A781" s="620"/>
      <c r="B781" s="620"/>
      <c r="C781" s="620"/>
      <c r="D781" s="620"/>
      <c r="E781" s="620"/>
      <c r="F781" s="620"/>
      <c r="G781" s="620"/>
      <c r="H781" s="620"/>
      <c r="I781" s="620"/>
      <c r="J781" s="620"/>
      <c r="K781" s="620"/>
      <c r="L781" s="620"/>
      <c r="M781" s="620"/>
      <c r="N781" s="620"/>
      <c r="O781" s="620"/>
      <c r="P781" s="620"/>
      <c r="Q781" s="620"/>
      <c r="R781" s="620"/>
      <c r="S781" s="620"/>
      <c r="T781" s="620"/>
    </row>
    <row r="782">
      <c r="A782" s="620"/>
      <c r="B782" s="620"/>
      <c r="C782" s="620"/>
      <c r="D782" s="620"/>
      <c r="E782" s="620"/>
      <c r="F782" s="620"/>
      <c r="G782" s="620"/>
      <c r="H782" s="620"/>
      <c r="I782" s="620"/>
      <c r="J782" s="620"/>
      <c r="K782" s="620"/>
      <c r="L782" s="620"/>
      <c r="M782" s="620"/>
      <c r="N782" s="620"/>
      <c r="O782" s="620"/>
      <c r="P782" s="620"/>
      <c r="Q782" s="620"/>
      <c r="R782" s="620"/>
      <c r="S782" s="620"/>
      <c r="T782" s="620"/>
    </row>
    <row r="783">
      <c r="A783" s="620"/>
      <c r="B783" s="620"/>
      <c r="C783" s="620"/>
      <c r="D783" s="620"/>
      <c r="E783" s="620"/>
      <c r="F783" s="620"/>
      <c r="G783" s="620"/>
      <c r="H783" s="620"/>
      <c r="I783" s="620"/>
      <c r="J783" s="620"/>
      <c r="K783" s="620"/>
      <c r="L783" s="620"/>
      <c r="M783" s="620"/>
      <c r="N783" s="620"/>
      <c r="O783" s="620"/>
      <c r="P783" s="620"/>
      <c r="Q783" s="620"/>
      <c r="R783" s="620"/>
      <c r="S783" s="620"/>
      <c r="T783" s="620"/>
    </row>
    <row r="784">
      <c r="A784" s="620"/>
      <c r="B784" s="620"/>
      <c r="C784" s="620"/>
      <c r="D784" s="620"/>
      <c r="E784" s="620"/>
      <c r="F784" s="620"/>
      <c r="G784" s="620"/>
      <c r="H784" s="620"/>
      <c r="I784" s="620"/>
      <c r="J784" s="620"/>
      <c r="K784" s="620"/>
      <c r="L784" s="620"/>
      <c r="M784" s="620"/>
      <c r="N784" s="620"/>
      <c r="O784" s="620"/>
      <c r="P784" s="620"/>
      <c r="Q784" s="620"/>
      <c r="R784" s="620"/>
      <c r="S784" s="620"/>
      <c r="T784" s="620"/>
    </row>
    <row r="785">
      <c r="A785" s="620"/>
      <c r="B785" s="620"/>
      <c r="C785" s="620"/>
      <c r="D785" s="620"/>
      <c r="E785" s="620"/>
      <c r="F785" s="620"/>
      <c r="G785" s="620"/>
      <c r="H785" s="620"/>
      <c r="I785" s="620"/>
      <c r="J785" s="620"/>
      <c r="K785" s="620"/>
      <c r="L785" s="620"/>
      <c r="M785" s="620"/>
      <c r="N785" s="620"/>
      <c r="O785" s="620"/>
      <c r="P785" s="620"/>
      <c r="Q785" s="620"/>
      <c r="R785" s="620"/>
      <c r="S785" s="620"/>
      <c r="T785" s="620"/>
    </row>
    <row r="786">
      <c r="A786" s="620"/>
      <c r="B786" s="620"/>
      <c r="C786" s="620"/>
      <c r="D786" s="620"/>
      <c r="E786" s="620"/>
      <c r="F786" s="620"/>
      <c r="G786" s="620"/>
      <c r="H786" s="620"/>
      <c r="I786" s="620"/>
      <c r="J786" s="620"/>
      <c r="K786" s="620"/>
      <c r="L786" s="620"/>
      <c r="M786" s="620"/>
      <c r="N786" s="620"/>
      <c r="O786" s="620"/>
      <c r="P786" s="620"/>
      <c r="Q786" s="620"/>
      <c r="R786" s="620"/>
      <c r="S786" s="620"/>
      <c r="T786" s="620"/>
    </row>
    <row r="787">
      <c r="A787" s="620"/>
      <c r="B787" s="620"/>
      <c r="C787" s="620"/>
      <c r="D787" s="620"/>
      <c r="E787" s="620"/>
      <c r="F787" s="620"/>
      <c r="G787" s="620"/>
      <c r="H787" s="620"/>
      <c r="I787" s="620"/>
      <c r="J787" s="620"/>
      <c r="K787" s="620"/>
      <c r="L787" s="620"/>
      <c r="M787" s="620"/>
      <c r="N787" s="620"/>
      <c r="O787" s="620"/>
      <c r="P787" s="620"/>
      <c r="Q787" s="620"/>
      <c r="R787" s="620"/>
      <c r="S787" s="620"/>
      <c r="T787" s="620"/>
    </row>
    <row r="788">
      <c r="A788" s="620"/>
      <c r="B788" s="620"/>
      <c r="C788" s="620"/>
      <c r="D788" s="620"/>
      <c r="E788" s="620"/>
      <c r="F788" s="620"/>
      <c r="G788" s="620"/>
      <c r="H788" s="620"/>
      <c r="I788" s="620"/>
      <c r="J788" s="620"/>
      <c r="K788" s="620"/>
      <c r="L788" s="620"/>
      <c r="M788" s="620"/>
      <c r="N788" s="620"/>
      <c r="O788" s="620"/>
      <c r="P788" s="620"/>
      <c r="Q788" s="620"/>
      <c r="R788" s="620"/>
      <c r="S788" s="620"/>
      <c r="T788" s="620"/>
    </row>
    <row r="789">
      <c r="A789" s="620"/>
      <c r="B789" s="620"/>
      <c r="C789" s="620"/>
      <c r="D789" s="620"/>
      <c r="E789" s="620"/>
      <c r="F789" s="620"/>
      <c r="G789" s="620"/>
      <c r="H789" s="620"/>
      <c r="I789" s="620"/>
      <c r="J789" s="620"/>
      <c r="K789" s="620"/>
      <c r="L789" s="620"/>
      <c r="M789" s="620"/>
      <c r="N789" s="620"/>
      <c r="O789" s="620"/>
      <c r="P789" s="620"/>
      <c r="Q789" s="620"/>
      <c r="R789" s="620"/>
      <c r="S789" s="620"/>
      <c r="T789" s="620"/>
    </row>
    <row r="790">
      <c r="A790" s="620"/>
      <c r="B790" s="620"/>
      <c r="C790" s="620"/>
      <c r="D790" s="620"/>
      <c r="E790" s="620"/>
      <c r="F790" s="620"/>
      <c r="G790" s="620"/>
      <c r="H790" s="620"/>
      <c r="I790" s="620"/>
      <c r="J790" s="620"/>
      <c r="K790" s="620"/>
      <c r="L790" s="620"/>
      <c r="M790" s="620"/>
      <c r="N790" s="620"/>
      <c r="O790" s="620"/>
      <c r="P790" s="620"/>
      <c r="Q790" s="620"/>
      <c r="R790" s="620"/>
      <c r="S790" s="620"/>
      <c r="T790" s="620"/>
    </row>
    <row r="791">
      <c r="A791" s="620"/>
      <c r="B791" s="620"/>
      <c r="C791" s="620"/>
      <c r="D791" s="620"/>
      <c r="E791" s="620"/>
      <c r="F791" s="620"/>
      <c r="G791" s="620"/>
      <c r="H791" s="620"/>
      <c r="I791" s="620"/>
      <c r="J791" s="620"/>
      <c r="K791" s="620"/>
      <c r="L791" s="620"/>
      <c r="M791" s="620"/>
      <c r="N791" s="620"/>
      <c r="O791" s="620"/>
      <c r="P791" s="620"/>
      <c r="Q791" s="620"/>
      <c r="R791" s="620"/>
      <c r="S791" s="620"/>
      <c r="T791" s="620"/>
    </row>
    <row r="792">
      <c r="A792" s="620"/>
      <c r="B792" s="620"/>
      <c r="C792" s="620"/>
      <c r="D792" s="620"/>
      <c r="E792" s="620"/>
      <c r="F792" s="620"/>
      <c r="G792" s="620"/>
      <c r="H792" s="620"/>
      <c r="I792" s="620"/>
      <c r="J792" s="620"/>
      <c r="K792" s="620"/>
      <c r="L792" s="620"/>
      <c r="M792" s="620"/>
      <c r="N792" s="620"/>
      <c r="O792" s="620"/>
      <c r="P792" s="620"/>
      <c r="Q792" s="620"/>
      <c r="R792" s="620"/>
      <c r="S792" s="620"/>
      <c r="T792" s="620"/>
    </row>
    <row r="793">
      <c r="A793" s="620"/>
      <c r="B793" s="620"/>
      <c r="C793" s="620"/>
      <c r="D793" s="620"/>
      <c r="E793" s="620"/>
      <c r="F793" s="620"/>
      <c r="G793" s="620"/>
      <c r="H793" s="620"/>
      <c r="I793" s="620"/>
      <c r="J793" s="620"/>
      <c r="K793" s="620"/>
      <c r="L793" s="620"/>
      <c r="M793" s="620"/>
      <c r="N793" s="620"/>
      <c r="O793" s="620"/>
      <c r="P793" s="620"/>
      <c r="Q793" s="620"/>
      <c r="R793" s="620"/>
      <c r="S793" s="620"/>
      <c r="T793" s="620"/>
    </row>
    <row r="794">
      <c r="A794" s="620"/>
      <c r="B794" s="620"/>
      <c r="C794" s="620"/>
      <c r="D794" s="620"/>
      <c r="E794" s="620"/>
      <c r="F794" s="620"/>
      <c r="G794" s="620"/>
      <c r="H794" s="620"/>
      <c r="I794" s="620"/>
      <c r="J794" s="620"/>
      <c r="K794" s="620"/>
      <c r="L794" s="620"/>
      <c r="M794" s="620"/>
      <c r="N794" s="620"/>
      <c r="O794" s="620"/>
      <c r="P794" s="620"/>
      <c r="Q794" s="620"/>
      <c r="R794" s="620"/>
      <c r="S794" s="620"/>
      <c r="T794" s="620"/>
    </row>
    <row r="795">
      <c r="A795" s="620"/>
      <c r="B795" s="620"/>
      <c r="C795" s="620"/>
      <c r="D795" s="620"/>
      <c r="E795" s="620"/>
      <c r="F795" s="620"/>
      <c r="G795" s="620"/>
      <c r="H795" s="620"/>
      <c r="I795" s="620"/>
      <c r="J795" s="620"/>
      <c r="K795" s="620"/>
      <c r="L795" s="620"/>
      <c r="M795" s="620"/>
      <c r="N795" s="620"/>
      <c r="O795" s="620"/>
      <c r="P795" s="620"/>
      <c r="Q795" s="620"/>
      <c r="R795" s="620"/>
      <c r="S795" s="620"/>
      <c r="T795" s="620"/>
    </row>
    <row r="796">
      <c r="A796" s="620"/>
      <c r="B796" s="620"/>
      <c r="C796" s="620"/>
      <c r="D796" s="620"/>
      <c r="E796" s="620"/>
      <c r="F796" s="620"/>
      <c r="G796" s="620"/>
      <c r="H796" s="620"/>
      <c r="I796" s="620"/>
      <c r="J796" s="620"/>
      <c r="K796" s="620"/>
      <c r="L796" s="620"/>
      <c r="M796" s="620"/>
      <c r="N796" s="620"/>
      <c r="O796" s="620"/>
      <c r="P796" s="620"/>
      <c r="Q796" s="620"/>
      <c r="R796" s="620"/>
      <c r="S796" s="620"/>
      <c r="T796" s="620"/>
    </row>
    <row r="797">
      <c r="A797" s="620"/>
      <c r="B797" s="620"/>
      <c r="C797" s="620"/>
      <c r="D797" s="620"/>
      <c r="E797" s="620"/>
      <c r="F797" s="620"/>
      <c r="G797" s="620"/>
      <c r="H797" s="620"/>
      <c r="I797" s="620"/>
      <c r="J797" s="620"/>
      <c r="K797" s="620"/>
      <c r="L797" s="620"/>
      <c r="M797" s="620"/>
      <c r="N797" s="620"/>
      <c r="O797" s="620"/>
      <c r="P797" s="620"/>
      <c r="Q797" s="620"/>
      <c r="R797" s="620"/>
      <c r="S797" s="620"/>
      <c r="T797" s="620"/>
    </row>
    <row r="798">
      <c r="A798" s="620"/>
      <c r="B798" s="620"/>
      <c r="C798" s="620"/>
      <c r="D798" s="620"/>
      <c r="E798" s="620"/>
      <c r="F798" s="620"/>
      <c r="G798" s="620"/>
      <c r="H798" s="620"/>
      <c r="I798" s="620"/>
      <c r="J798" s="620"/>
      <c r="K798" s="620"/>
      <c r="L798" s="620"/>
      <c r="M798" s="620"/>
      <c r="N798" s="620"/>
      <c r="O798" s="620"/>
      <c r="P798" s="620"/>
      <c r="Q798" s="620"/>
      <c r="R798" s="620"/>
      <c r="S798" s="620"/>
      <c r="T798" s="620"/>
    </row>
    <row r="799">
      <c r="A799" s="620"/>
      <c r="B799" s="620"/>
      <c r="C799" s="620"/>
      <c r="D799" s="620"/>
      <c r="E799" s="620"/>
      <c r="F799" s="620"/>
      <c r="G799" s="620"/>
      <c r="H799" s="620"/>
      <c r="I799" s="620"/>
      <c r="J799" s="620"/>
      <c r="K799" s="620"/>
      <c r="L799" s="620"/>
      <c r="M799" s="620"/>
      <c r="N799" s="620"/>
      <c r="O799" s="620"/>
      <c r="P799" s="620"/>
      <c r="Q799" s="620"/>
      <c r="R799" s="620"/>
      <c r="S799" s="620"/>
      <c r="T799" s="620"/>
    </row>
    <row r="800">
      <c r="A800" s="620"/>
      <c r="B800" s="620"/>
      <c r="C800" s="620"/>
      <c r="D800" s="620"/>
      <c r="E800" s="620"/>
      <c r="F800" s="620"/>
      <c r="G800" s="620"/>
      <c r="H800" s="620"/>
      <c r="I800" s="620"/>
      <c r="J800" s="620"/>
      <c r="K800" s="620"/>
      <c r="L800" s="620"/>
      <c r="M800" s="620"/>
      <c r="N800" s="620"/>
      <c r="O800" s="620"/>
      <c r="P800" s="620"/>
      <c r="Q800" s="620"/>
      <c r="R800" s="620"/>
      <c r="S800" s="620"/>
      <c r="T800" s="620"/>
    </row>
    <row r="801">
      <c r="A801" s="620"/>
      <c r="B801" s="620"/>
      <c r="C801" s="620"/>
      <c r="D801" s="620"/>
      <c r="E801" s="620"/>
      <c r="F801" s="620"/>
      <c r="G801" s="620"/>
      <c r="H801" s="620"/>
      <c r="I801" s="620"/>
      <c r="J801" s="620"/>
      <c r="K801" s="620"/>
      <c r="L801" s="620"/>
      <c r="M801" s="620"/>
      <c r="N801" s="620"/>
      <c r="O801" s="620"/>
      <c r="P801" s="620"/>
      <c r="Q801" s="620"/>
      <c r="R801" s="620"/>
      <c r="S801" s="620"/>
      <c r="T801" s="620"/>
    </row>
    <row r="802">
      <c r="A802" s="620"/>
      <c r="B802" s="620"/>
      <c r="C802" s="620"/>
      <c r="D802" s="620"/>
      <c r="E802" s="620"/>
      <c r="F802" s="620"/>
      <c r="G802" s="620"/>
      <c r="H802" s="620"/>
      <c r="I802" s="620"/>
      <c r="J802" s="620"/>
      <c r="K802" s="620"/>
      <c r="L802" s="620"/>
      <c r="M802" s="620"/>
      <c r="N802" s="620"/>
      <c r="O802" s="620"/>
      <c r="P802" s="620"/>
      <c r="Q802" s="620"/>
      <c r="R802" s="620"/>
      <c r="S802" s="620"/>
      <c r="T802" s="620"/>
    </row>
    <row r="803">
      <c r="A803" s="620"/>
      <c r="B803" s="620"/>
      <c r="C803" s="620"/>
      <c r="D803" s="620"/>
      <c r="E803" s="620"/>
      <c r="F803" s="620"/>
      <c r="G803" s="620"/>
      <c r="H803" s="620"/>
      <c r="I803" s="620"/>
      <c r="J803" s="620"/>
      <c r="K803" s="620"/>
      <c r="L803" s="620"/>
      <c r="M803" s="620"/>
      <c r="N803" s="620"/>
      <c r="O803" s="620"/>
      <c r="P803" s="620"/>
      <c r="Q803" s="620"/>
      <c r="R803" s="620"/>
      <c r="S803" s="620"/>
      <c r="T803" s="620"/>
    </row>
    <row r="804">
      <c r="A804" s="620"/>
      <c r="B804" s="620"/>
      <c r="C804" s="620"/>
      <c r="D804" s="620"/>
      <c r="E804" s="620"/>
      <c r="F804" s="620"/>
      <c r="G804" s="620"/>
      <c r="H804" s="620"/>
      <c r="I804" s="620"/>
      <c r="J804" s="620"/>
      <c r="K804" s="620"/>
      <c r="L804" s="620"/>
      <c r="M804" s="620"/>
      <c r="N804" s="620"/>
      <c r="O804" s="620"/>
      <c r="P804" s="620"/>
      <c r="Q804" s="620"/>
      <c r="R804" s="620"/>
      <c r="S804" s="620"/>
      <c r="T804" s="620"/>
    </row>
    <row r="805">
      <c r="A805" s="620"/>
      <c r="B805" s="620"/>
      <c r="C805" s="620"/>
      <c r="D805" s="620"/>
      <c r="E805" s="620"/>
      <c r="F805" s="620"/>
      <c r="G805" s="620"/>
      <c r="H805" s="620"/>
      <c r="I805" s="620"/>
      <c r="J805" s="620"/>
      <c r="K805" s="620"/>
      <c r="L805" s="620"/>
      <c r="M805" s="620"/>
      <c r="N805" s="620"/>
      <c r="O805" s="620"/>
      <c r="P805" s="620"/>
      <c r="Q805" s="620"/>
      <c r="R805" s="620"/>
      <c r="S805" s="620"/>
      <c r="T805" s="620"/>
    </row>
    <row r="806">
      <c r="A806" s="620"/>
      <c r="B806" s="620"/>
      <c r="C806" s="620"/>
      <c r="D806" s="620"/>
      <c r="E806" s="620"/>
      <c r="F806" s="620"/>
      <c r="G806" s="620"/>
      <c r="H806" s="620"/>
      <c r="I806" s="620"/>
      <c r="J806" s="620"/>
      <c r="K806" s="620"/>
      <c r="L806" s="620"/>
      <c r="M806" s="620"/>
      <c r="N806" s="620"/>
      <c r="O806" s="620"/>
      <c r="P806" s="620"/>
      <c r="Q806" s="620"/>
      <c r="R806" s="620"/>
      <c r="S806" s="620"/>
      <c r="T806" s="620"/>
    </row>
    <row r="807">
      <c r="A807" s="620"/>
      <c r="B807" s="620"/>
      <c r="C807" s="620"/>
      <c r="D807" s="620"/>
      <c r="E807" s="620"/>
      <c r="F807" s="620"/>
      <c r="G807" s="620"/>
      <c r="H807" s="620"/>
      <c r="I807" s="620"/>
      <c r="J807" s="620"/>
      <c r="K807" s="620"/>
      <c r="L807" s="620"/>
      <c r="M807" s="620"/>
      <c r="N807" s="620"/>
      <c r="O807" s="620"/>
      <c r="P807" s="620"/>
      <c r="Q807" s="620"/>
      <c r="R807" s="620"/>
      <c r="S807" s="620"/>
      <c r="T807" s="620"/>
    </row>
    <row r="808">
      <c r="A808" s="620"/>
      <c r="B808" s="620"/>
      <c r="C808" s="620"/>
      <c r="D808" s="620"/>
      <c r="E808" s="620"/>
      <c r="F808" s="620"/>
      <c r="G808" s="620"/>
      <c r="H808" s="620"/>
      <c r="I808" s="620"/>
      <c r="J808" s="620"/>
      <c r="K808" s="620"/>
      <c r="L808" s="620"/>
      <c r="M808" s="620"/>
      <c r="N808" s="620"/>
      <c r="O808" s="620"/>
      <c r="P808" s="620"/>
      <c r="Q808" s="620"/>
      <c r="R808" s="620"/>
      <c r="S808" s="620"/>
      <c r="T808" s="620"/>
    </row>
    <row r="809">
      <c r="A809" s="620"/>
      <c r="B809" s="620"/>
      <c r="C809" s="620"/>
      <c r="D809" s="620"/>
      <c r="E809" s="620"/>
      <c r="F809" s="620"/>
      <c r="G809" s="620"/>
      <c r="H809" s="620"/>
      <c r="I809" s="620"/>
      <c r="J809" s="620"/>
      <c r="K809" s="620"/>
      <c r="L809" s="620"/>
      <c r="M809" s="620"/>
      <c r="N809" s="620"/>
      <c r="O809" s="620"/>
      <c r="P809" s="620"/>
      <c r="Q809" s="620"/>
      <c r="R809" s="620"/>
      <c r="S809" s="620"/>
      <c r="T809" s="620"/>
    </row>
    <row r="810">
      <c r="A810" s="620"/>
      <c r="B810" s="620"/>
      <c r="C810" s="620"/>
      <c r="D810" s="620"/>
      <c r="E810" s="620"/>
      <c r="F810" s="620"/>
      <c r="G810" s="620"/>
      <c r="H810" s="620"/>
      <c r="I810" s="620"/>
      <c r="J810" s="620"/>
      <c r="K810" s="620"/>
      <c r="L810" s="620"/>
      <c r="M810" s="620"/>
      <c r="N810" s="620"/>
      <c r="O810" s="620"/>
      <c r="P810" s="620"/>
      <c r="Q810" s="620"/>
      <c r="R810" s="620"/>
      <c r="S810" s="620"/>
      <c r="T810" s="620"/>
    </row>
    <row r="811">
      <c r="A811" s="620"/>
      <c r="B811" s="620"/>
      <c r="C811" s="620"/>
      <c r="D811" s="620"/>
      <c r="E811" s="620"/>
      <c r="F811" s="620"/>
      <c r="G811" s="620"/>
      <c r="H811" s="620"/>
      <c r="I811" s="620"/>
      <c r="J811" s="620"/>
      <c r="K811" s="620"/>
      <c r="L811" s="620"/>
      <c r="M811" s="620"/>
      <c r="N811" s="620"/>
      <c r="O811" s="620"/>
      <c r="P811" s="620"/>
      <c r="Q811" s="620"/>
      <c r="R811" s="620"/>
      <c r="S811" s="620"/>
      <c r="T811" s="620"/>
    </row>
    <row r="812">
      <c r="A812" s="620"/>
      <c r="B812" s="620"/>
      <c r="C812" s="620"/>
      <c r="D812" s="620"/>
      <c r="E812" s="620"/>
      <c r="F812" s="620"/>
      <c r="G812" s="620"/>
      <c r="H812" s="620"/>
      <c r="I812" s="620"/>
      <c r="J812" s="620"/>
      <c r="K812" s="620"/>
      <c r="L812" s="620"/>
      <c r="M812" s="620"/>
      <c r="N812" s="620"/>
      <c r="O812" s="620"/>
      <c r="P812" s="620"/>
      <c r="Q812" s="620"/>
      <c r="R812" s="620"/>
      <c r="S812" s="620"/>
      <c r="T812" s="620"/>
    </row>
    <row r="813">
      <c r="A813" s="620"/>
      <c r="B813" s="620"/>
      <c r="C813" s="620"/>
      <c r="D813" s="620"/>
      <c r="E813" s="620"/>
      <c r="F813" s="620"/>
      <c r="G813" s="620"/>
      <c r="H813" s="620"/>
      <c r="I813" s="620"/>
      <c r="J813" s="620"/>
      <c r="K813" s="620"/>
      <c r="L813" s="620"/>
      <c r="M813" s="620"/>
      <c r="N813" s="620"/>
      <c r="O813" s="620"/>
      <c r="P813" s="620"/>
      <c r="Q813" s="620"/>
      <c r="R813" s="620"/>
      <c r="S813" s="620"/>
      <c r="T813" s="620"/>
    </row>
    <row r="814">
      <c r="A814" s="620"/>
      <c r="B814" s="620"/>
      <c r="C814" s="620"/>
      <c r="D814" s="620"/>
      <c r="E814" s="620"/>
      <c r="F814" s="620"/>
      <c r="G814" s="620"/>
      <c r="H814" s="620"/>
      <c r="I814" s="620"/>
      <c r="J814" s="620"/>
      <c r="K814" s="620"/>
      <c r="L814" s="620"/>
      <c r="M814" s="620"/>
      <c r="N814" s="620"/>
      <c r="O814" s="620"/>
      <c r="P814" s="620"/>
      <c r="Q814" s="620"/>
      <c r="R814" s="620"/>
      <c r="S814" s="620"/>
      <c r="T814" s="620"/>
    </row>
    <row r="815">
      <c r="A815" s="620"/>
      <c r="B815" s="620"/>
      <c r="C815" s="620"/>
      <c r="D815" s="620"/>
      <c r="E815" s="620"/>
      <c r="F815" s="620"/>
      <c r="G815" s="620"/>
      <c r="H815" s="620"/>
      <c r="I815" s="620"/>
      <c r="J815" s="620"/>
      <c r="K815" s="620"/>
      <c r="L815" s="620"/>
      <c r="M815" s="620"/>
      <c r="N815" s="620"/>
      <c r="O815" s="620"/>
      <c r="P815" s="620"/>
      <c r="Q815" s="620"/>
      <c r="R815" s="620"/>
      <c r="S815" s="620"/>
      <c r="T815" s="620"/>
    </row>
    <row r="816">
      <c r="A816" s="620"/>
      <c r="B816" s="620"/>
      <c r="C816" s="620"/>
      <c r="D816" s="620"/>
      <c r="E816" s="620"/>
      <c r="F816" s="620"/>
      <c r="G816" s="620"/>
      <c r="H816" s="620"/>
      <c r="I816" s="620"/>
      <c r="J816" s="620"/>
      <c r="K816" s="620"/>
      <c r="L816" s="620"/>
      <c r="M816" s="620"/>
      <c r="N816" s="620"/>
      <c r="O816" s="620"/>
      <c r="P816" s="620"/>
      <c r="Q816" s="620"/>
      <c r="R816" s="620"/>
      <c r="S816" s="620"/>
      <c r="T816" s="620"/>
    </row>
    <row r="817">
      <c r="A817" s="620"/>
      <c r="B817" s="620"/>
      <c r="C817" s="620"/>
      <c r="D817" s="620"/>
      <c r="E817" s="620"/>
      <c r="F817" s="620"/>
      <c r="G817" s="620"/>
      <c r="H817" s="620"/>
      <c r="I817" s="620"/>
      <c r="J817" s="620"/>
      <c r="K817" s="620"/>
      <c r="L817" s="620"/>
      <c r="M817" s="620"/>
      <c r="N817" s="620"/>
      <c r="O817" s="620"/>
      <c r="P817" s="620"/>
      <c r="Q817" s="620"/>
      <c r="R817" s="620"/>
      <c r="S817" s="620"/>
      <c r="T817" s="620"/>
    </row>
    <row r="818">
      <c r="A818" s="620"/>
      <c r="B818" s="620"/>
      <c r="C818" s="620"/>
      <c r="D818" s="620"/>
      <c r="E818" s="620"/>
      <c r="F818" s="620"/>
      <c r="G818" s="620"/>
      <c r="H818" s="620"/>
      <c r="I818" s="620"/>
      <c r="J818" s="620"/>
      <c r="K818" s="620"/>
      <c r="L818" s="620"/>
      <c r="M818" s="620"/>
      <c r="N818" s="620"/>
      <c r="O818" s="620"/>
      <c r="P818" s="620"/>
      <c r="Q818" s="620"/>
      <c r="R818" s="620"/>
      <c r="S818" s="620"/>
      <c r="T818" s="620"/>
    </row>
    <row r="819">
      <c r="A819" s="620"/>
      <c r="B819" s="620"/>
      <c r="C819" s="620"/>
      <c r="D819" s="620"/>
      <c r="E819" s="620"/>
      <c r="F819" s="620"/>
      <c r="G819" s="620"/>
      <c r="H819" s="620"/>
      <c r="I819" s="620"/>
      <c r="J819" s="620"/>
      <c r="K819" s="620"/>
      <c r="L819" s="620"/>
      <c r="M819" s="620"/>
      <c r="N819" s="620"/>
      <c r="O819" s="620"/>
      <c r="P819" s="620"/>
      <c r="Q819" s="620"/>
      <c r="R819" s="620"/>
      <c r="S819" s="620"/>
      <c r="T819" s="620"/>
    </row>
    <row r="820">
      <c r="A820" s="620"/>
      <c r="B820" s="620"/>
      <c r="C820" s="620"/>
      <c r="D820" s="620"/>
      <c r="E820" s="620"/>
      <c r="F820" s="620"/>
      <c r="G820" s="620"/>
      <c r="H820" s="620"/>
      <c r="I820" s="620"/>
      <c r="J820" s="620"/>
      <c r="K820" s="620"/>
      <c r="L820" s="620"/>
      <c r="M820" s="620"/>
      <c r="N820" s="620"/>
      <c r="O820" s="620"/>
      <c r="P820" s="620"/>
      <c r="Q820" s="620"/>
      <c r="R820" s="620"/>
      <c r="S820" s="620"/>
      <c r="T820" s="620"/>
    </row>
    <row r="821">
      <c r="A821" s="620"/>
      <c r="B821" s="620"/>
      <c r="C821" s="620"/>
      <c r="D821" s="620"/>
      <c r="E821" s="620"/>
      <c r="F821" s="620"/>
      <c r="G821" s="620"/>
      <c r="H821" s="620"/>
      <c r="I821" s="620"/>
      <c r="J821" s="620"/>
      <c r="K821" s="620"/>
      <c r="L821" s="620"/>
      <c r="M821" s="620"/>
      <c r="N821" s="620"/>
      <c r="O821" s="620"/>
      <c r="P821" s="620"/>
      <c r="Q821" s="620"/>
      <c r="R821" s="620"/>
      <c r="S821" s="620"/>
      <c r="T821" s="620"/>
    </row>
    <row r="822">
      <c r="A822" s="620"/>
      <c r="B822" s="620"/>
      <c r="C822" s="620"/>
      <c r="D822" s="620"/>
      <c r="E822" s="620"/>
      <c r="F822" s="620"/>
      <c r="G822" s="620"/>
      <c r="H822" s="620"/>
      <c r="I822" s="620"/>
      <c r="J822" s="620"/>
      <c r="K822" s="620"/>
      <c r="L822" s="620"/>
      <c r="M822" s="620"/>
      <c r="N822" s="620"/>
      <c r="O822" s="620"/>
      <c r="P822" s="620"/>
      <c r="Q822" s="620"/>
      <c r="R822" s="620"/>
      <c r="S822" s="620"/>
      <c r="T822" s="620"/>
    </row>
    <row r="823">
      <c r="A823" s="620"/>
      <c r="B823" s="620"/>
      <c r="C823" s="620"/>
      <c r="D823" s="620"/>
      <c r="E823" s="620"/>
      <c r="F823" s="620"/>
      <c r="G823" s="620"/>
      <c r="H823" s="620"/>
      <c r="I823" s="620"/>
      <c r="J823" s="620"/>
      <c r="K823" s="620"/>
      <c r="L823" s="620"/>
      <c r="M823" s="620"/>
      <c r="N823" s="620"/>
      <c r="O823" s="620"/>
      <c r="P823" s="620"/>
      <c r="Q823" s="620"/>
      <c r="R823" s="620"/>
      <c r="S823" s="620"/>
      <c r="T823" s="620"/>
    </row>
    <row r="824">
      <c r="A824" s="620"/>
      <c r="B824" s="620"/>
      <c r="C824" s="620"/>
      <c r="D824" s="620"/>
      <c r="E824" s="620"/>
      <c r="F824" s="620"/>
      <c r="G824" s="620"/>
      <c r="H824" s="620"/>
      <c r="I824" s="620"/>
      <c r="J824" s="620"/>
      <c r="K824" s="620"/>
      <c r="L824" s="620"/>
      <c r="M824" s="620"/>
      <c r="N824" s="620"/>
      <c r="O824" s="620"/>
      <c r="P824" s="620"/>
      <c r="Q824" s="620"/>
      <c r="R824" s="620"/>
      <c r="S824" s="620"/>
      <c r="T824" s="620"/>
    </row>
    <row r="825">
      <c r="A825" s="620"/>
      <c r="B825" s="620"/>
      <c r="C825" s="620"/>
      <c r="D825" s="620"/>
      <c r="E825" s="620"/>
      <c r="F825" s="620"/>
      <c r="G825" s="620"/>
      <c r="H825" s="620"/>
      <c r="I825" s="620"/>
      <c r="J825" s="620"/>
      <c r="K825" s="620"/>
      <c r="L825" s="620"/>
      <c r="M825" s="620"/>
      <c r="N825" s="620"/>
      <c r="O825" s="620"/>
      <c r="P825" s="620"/>
      <c r="Q825" s="620"/>
      <c r="R825" s="620"/>
      <c r="S825" s="620"/>
      <c r="T825" s="620"/>
    </row>
    <row r="826">
      <c r="A826" s="620"/>
      <c r="B826" s="620"/>
      <c r="C826" s="620"/>
      <c r="D826" s="620"/>
      <c r="E826" s="620"/>
      <c r="F826" s="620"/>
      <c r="G826" s="620"/>
      <c r="H826" s="620"/>
      <c r="I826" s="620"/>
      <c r="J826" s="620"/>
      <c r="K826" s="620"/>
      <c r="L826" s="620"/>
      <c r="M826" s="620"/>
      <c r="N826" s="620"/>
      <c r="O826" s="620"/>
      <c r="P826" s="620"/>
      <c r="Q826" s="620"/>
      <c r="R826" s="620"/>
      <c r="S826" s="620"/>
      <c r="T826" s="620"/>
    </row>
    <row r="827">
      <c r="A827" s="620"/>
      <c r="B827" s="620"/>
      <c r="C827" s="620"/>
      <c r="D827" s="620"/>
      <c r="E827" s="620"/>
      <c r="F827" s="620"/>
      <c r="G827" s="620"/>
      <c r="H827" s="620"/>
      <c r="I827" s="620"/>
      <c r="J827" s="620"/>
      <c r="K827" s="620"/>
      <c r="L827" s="620"/>
      <c r="M827" s="620"/>
      <c r="N827" s="620"/>
      <c r="O827" s="620"/>
      <c r="P827" s="620"/>
      <c r="Q827" s="620"/>
      <c r="R827" s="620"/>
      <c r="S827" s="620"/>
      <c r="T827" s="620"/>
    </row>
    <row r="828">
      <c r="A828" s="620"/>
      <c r="B828" s="620"/>
      <c r="C828" s="620"/>
      <c r="D828" s="620"/>
      <c r="E828" s="620"/>
      <c r="F828" s="620"/>
      <c r="G828" s="620"/>
      <c r="H828" s="620"/>
      <c r="I828" s="620"/>
      <c r="J828" s="620"/>
      <c r="K828" s="620"/>
      <c r="L828" s="620"/>
      <c r="M828" s="620"/>
      <c r="N828" s="620"/>
      <c r="O828" s="620"/>
      <c r="P828" s="620"/>
      <c r="Q828" s="620"/>
      <c r="R828" s="620"/>
      <c r="S828" s="620"/>
      <c r="T828" s="620"/>
    </row>
    <row r="829">
      <c r="A829" s="620"/>
      <c r="B829" s="620"/>
      <c r="C829" s="620"/>
      <c r="D829" s="620"/>
      <c r="E829" s="620"/>
      <c r="F829" s="620"/>
      <c r="G829" s="620"/>
      <c r="H829" s="620"/>
      <c r="I829" s="620"/>
      <c r="J829" s="620"/>
      <c r="K829" s="620"/>
      <c r="L829" s="620"/>
      <c r="M829" s="620"/>
      <c r="N829" s="620"/>
      <c r="O829" s="620"/>
      <c r="P829" s="620"/>
      <c r="Q829" s="620"/>
      <c r="R829" s="620"/>
      <c r="S829" s="620"/>
      <c r="T829" s="620"/>
    </row>
    <row r="830">
      <c r="A830" s="620"/>
      <c r="B830" s="620"/>
      <c r="C830" s="620"/>
      <c r="D830" s="620"/>
      <c r="E830" s="620"/>
      <c r="F830" s="620"/>
      <c r="G830" s="620"/>
      <c r="H830" s="620"/>
      <c r="I830" s="620"/>
      <c r="J830" s="620"/>
      <c r="K830" s="620"/>
      <c r="L830" s="620"/>
      <c r="M830" s="620"/>
      <c r="N830" s="620"/>
      <c r="O830" s="620"/>
      <c r="P830" s="620"/>
      <c r="Q830" s="620"/>
      <c r="R830" s="620"/>
      <c r="S830" s="620"/>
      <c r="T830" s="620"/>
    </row>
    <row r="831">
      <c r="A831" s="620"/>
      <c r="B831" s="620"/>
      <c r="C831" s="620"/>
      <c r="D831" s="620"/>
      <c r="E831" s="620"/>
      <c r="F831" s="620"/>
      <c r="G831" s="620"/>
      <c r="H831" s="620"/>
      <c r="I831" s="620"/>
      <c r="J831" s="620"/>
      <c r="K831" s="620"/>
      <c r="L831" s="620"/>
      <c r="M831" s="620"/>
      <c r="N831" s="620"/>
      <c r="O831" s="620"/>
      <c r="P831" s="620"/>
      <c r="Q831" s="620"/>
      <c r="R831" s="620"/>
      <c r="S831" s="620"/>
      <c r="T831" s="620"/>
    </row>
    <row r="832">
      <c r="A832" s="620"/>
      <c r="B832" s="620"/>
      <c r="C832" s="620"/>
      <c r="D832" s="620"/>
      <c r="E832" s="620"/>
      <c r="F832" s="620"/>
      <c r="G832" s="620"/>
      <c r="H832" s="620"/>
      <c r="I832" s="620"/>
      <c r="J832" s="620"/>
      <c r="K832" s="620"/>
      <c r="L832" s="620"/>
      <c r="M832" s="620"/>
      <c r="N832" s="620"/>
      <c r="O832" s="620"/>
      <c r="P832" s="620"/>
      <c r="Q832" s="620"/>
      <c r="R832" s="620"/>
      <c r="S832" s="620"/>
      <c r="T832" s="620"/>
    </row>
    <row r="833">
      <c r="A833" s="620"/>
      <c r="B833" s="620"/>
      <c r="C833" s="620"/>
      <c r="D833" s="620"/>
      <c r="E833" s="620"/>
      <c r="F833" s="620"/>
      <c r="G833" s="620"/>
      <c r="H833" s="620"/>
      <c r="I833" s="620"/>
      <c r="J833" s="620"/>
      <c r="K833" s="620"/>
      <c r="L833" s="620"/>
      <c r="M833" s="620"/>
      <c r="N833" s="620"/>
      <c r="O833" s="620"/>
      <c r="P833" s="620"/>
      <c r="Q833" s="620"/>
      <c r="R833" s="620"/>
      <c r="S833" s="620"/>
      <c r="T833" s="620"/>
    </row>
    <row r="834">
      <c r="A834" s="620"/>
      <c r="B834" s="620"/>
      <c r="C834" s="620"/>
      <c r="D834" s="620"/>
      <c r="E834" s="620"/>
      <c r="F834" s="620"/>
      <c r="G834" s="620"/>
      <c r="H834" s="620"/>
      <c r="I834" s="620"/>
      <c r="J834" s="620"/>
      <c r="K834" s="620"/>
      <c r="L834" s="620"/>
      <c r="M834" s="620"/>
      <c r="N834" s="620"/>
      <c r="O834" s="620"/>
      <c r="P834" s="620"/>
      <c r="Q834" s="620"/>
      <c r="R834" s="620"/>
      <c r="S834" s="620"/>
      <c r="T834" s="620"/>
    </row>
    <row r="835">
      <c r="A835" s="620"/>
      <c r="B835" s="620"/>
      <c r="C835" s="620"/>
      <c r="D835" s="620"/>
      <c r="E835" s="620"/>
      <c r="F835" s="620"/>
      <c r="G835" s="620"/>
      <c r="H835" s="620"/>
      <c r="I835" s="620"/>
      <c r="J835" s="620"/>
      <c r="K835" s="620"/>
      <c r="L835" s="620"/>
      <c r="M835" s="620"/>
      <c r="N835" s="620"/>
      <c r="O835" s="620"/>
      <c r="P835" s="620"/>
      <c r="Q835" s="620"/>
      <c r="R835" s="620"/>
      <c r="S835" s="620"/>
      <c r="T835" s="620"/>
    </row>
    <row r="836">
      <c r="A836" s="620"/>
      <c r="B836" s="620"/>
      <c r="C836" s="620"/>
      <c r="D836" s="620"/>
      <c r="E836" s="620"/>
      <c r="F836" s="620"/>
      <c r="G836" s="620"/>
      <c r="H836" s="620"/>
      <c r="I836" s="620"/>
      <c r="J836" s="620"/>
      <c r="K836" s="620"/>
      <c r="L836" s="620"/>
      <c r="M836" s="620"/>
      <c r="N836" s="620"/>
      <c r="O836" s="620"/>
      <c r="P836" s="620"/>
      <c r="Q836" s="620"/>
      <c r="R836" s="620"/>
      <c r="S836" s="620"/>
      <c r="T836" s="620"/>
    </row>
    <row r="837">
      <c r="A837" s="620"/>
      <c r="B837" s="620"/>
      <c r="C837" s="620"/>
      <c r="D837" s="620"/>
      <c r="E837" s="620"/>
      <c r="F837" s="620"/>
      <c r="G837" s="620"/>
      <c r="H837" s="620"/>
      <c r="I837" s="620"/>
      <c r="J837" s="620"/>
      <c r="K837" s="620"/>
      <c r="L837" s="620"/>
      <c r="M837" s="620"/>
      <c r="N837" s="620"/>
      <c r="O837" s="620"/>
      <c r="P837" s="620"/>
      <c r="Q837" s="620"/>
      <c r="R837" s="620"/>
      <c r="S837" s="620"/>
      <c r="T837" s="620"/>
    </row>
    <row r="838">
      <c r="A838" s="620"/>
      <c r="B838" s="620"/>
      <c r="C838" s="620"/>
      <c r="D838" s="620"/>
      <c r="E838" s="620"/>
      <c r="F838" s="620"/>
      <c r="G838" s="620"/>
      <c r="H838" s="620"/>
      <c r="I838" s="620"/>
      <c r="J838" s="620"/>
      <c r="K838" s="620"/>
      <c r="L838" s="620"/>
      <c r="M838" s="620"/>
      <c r="N838" s="620"/>
      <c r="O838" s="620"/>
      <c r="P838" s="620"/>
      <c r="Q838" s="620"/>
      <c r="R838" s="620"/>
      <c r="S838" s="620"/>
      <c r="T838" s="620"/>
    </row>
    <row r="839">
      <c r="A839" s="620"/>
      <c r="B839" s="620"/>
      <c r="C839" s="620"/>
      <c r="D839" s="620"/>
      <c r="E839" s="620"/>
      <c r="F839" s="620"/>
      <c r="G839" s="620"/>
      <c r="H839" s="620"/>
      <c r="I839" s="620"/>
      <c r="J839" s="620"/>
      <c r="K839" s="620"/>
      <c r="L839" s="620"/>
      <c r="M839" s="620"/>
      <c r="N839" s="620"/>
      <c r="O839" s="620"/>
      <c r="P839" s="620"/>
      <c r="Q839" s="620"/>
      <c r="R839" s="620"/>
      <c r="S839" s="620"/>
      <c r="T839" s="620"/>
    </row>
    <row r="840">
      <c r="A840" s="620"/>
      <c r="B840" s="620"/>
      <c r="C840" s="620"/>
      <c r="D840" s="620"/>
      <c r="E840" s="620"/>
      <c r="F840" s="620"/>
      <c r="G840" s="620"/>
      <c r="H840" s="620"/>
      <c r="I840" s="620"/>
      <c r="J840" s="620"/>
      <c r="K840" s="620"/>
      <c r="L840" s="620"/>
      <c r="M840" s="620"/>
      <c r="N840" s="620"/>
      <c r="O840" s="620"/>
      <c r="P840" s="620"/>
      <c r="Q840" s="620"/>
      <c r="R840" s="620"/>
      <c r="S840" s="620"/>
      <c r="T840" s="620"/>
    </row>
    <row r="841">
      <c r="A841" s="620"/>
      <c r="B841" s="620"/>
      <c r="C841" s="620"/>
      <c r="D841" s="620"/>
      <c r="E841" s="620"/>
      <c r="F841" s="620"/>
      <c r="G841" s="620"/>
      <c r="H841" s="620"/>
      <c r="I841" s="620"/>
      <c r="J841" s="620"/>
      <c r="K841" s="620"/>
      <c r="L841" s="620"/>
      <c r="M841" s="620"/>
      <c r="N841" s="620"/>
      <c r="O841" s="620"/>
      <c r="P841" s="620"/>
      <c r="Q841" s="620"/>
      <c r="R841" s="620"/>
      <c r="S841" s="620"/>
      <c r="T841" s="620"/>
    </row>
    <row r="842">
      <c r="A842" s="620"/>
      <c r="B842" s="620"/>
      <c r="C842" s="620"/>
      <c r="D842" s="620"/>
      <c r="E842" s="620"/>
      <c r="F842" s="620"/>
      <c r="G842" s="620"/>
      <c r="H842" s="620"/>
      <c r="I842" s="620"/>
      <c r="J842" s="620"/>
      <c r="K842" s="620"/>
      <c r="L842" s="620"/>
      <c r="M842" s="620"/>
      <c r="N842" s="620"/>
      <c r="O842" s="620"/>
      <c r="P842" s="620"/>
      <c r="Q842" s="620"/>
      <c r="R842" s="620"/>
      <c r="S842" s="620"/>
      <c r="T842" s="620"/>
    </row>
    <row r="843">
      <c r="A843" s="620"/>
      <c r="B843" s="620"/>
      <c r="C843" s="620"/>
      <c r="D843" s="620"/>
      <c r="E843" s="620"/>
      <c r="F843" s="620"/>
      <c r="G843" s="620"/>
      <c r="H843" s="620"/>
      <c r="I843" s="620"/>
      <c r="J843" s="620"/>
      <c r="K843" s="620"/>
      <c r="L843" s="620"/>
      <c r="M843" s="620"/>
      <c r="N843" s="620"/>
      <c r="O843" s="620"/>
      <c r="P843" s="620"/>
      <c r="Q843" s="620"/>
      <c r="R843" s="620"/>
      <c r="S843" s="620"/>
      <c r="T843" s="620"/>
    </row>
    <row r="844">
      <c r="A844" s="620"/>
      <c r="B844" s="620"/>
      <c r="C844" s="620"/>
      <c r="D844" s="620"/>
      <c r="E844" s="620"/>
      <c r="F844" s="620"/>
      <c r="G844" s="620"/>
      <c r="H844" s="620"/>
      <c r="I844" s="620"/>
      <c r="J844" s="620"/>
      <c r="K844" s="620"/>
      <c r="L844" s="620"/>
      <c r="M844" s="620"/>
      <c r="N844" s="620"/>
      <c r="O844" s="620"/>
      <c r="P844" s="620"/>
      <c r="Q844" s="620"/>
      <c r="R844" s="620"/>
      <c r="S844" s="620"/>
      <c r="T844" s="620"/>
    </row>
    <row r="845">
      <c r="A845" s="620"/>
      <c r="B845" s="620"/>
      <c r="C845" s="620"/>
      <c r="D845" s="620"/>
      <c r="E845" s="620"/>
      <c r="F845" s="620"/>
      <c r="G845" s="620"/>
      <c r="H845" s="620"/>
      <c r="I845" s="620"/>
      <c r="J845" s="620"/>
      <c r="K845" s="620"/>
      <c r="L845" s="620"/>
      <c r="M845" s="620"/>
      <c r="N845" s="620"/>
      <c r="O845" s="620"/>
      <c r="P845" s="620"/>
      <c r="Q845" s="620"/>
      <c r="R845" s="620"/>
      <c r="S845" s="620"/>
      <c r="T845" s="620"/>
    </row>
    <row r="846">
      <c r="A846" s="620"/>
      <c r="B846" s="620"/>
      <c r="C846" s="620"/>
      <c r="D846" s="620"/>
      <c r="E846" s="620"/>
      <c r="F846" s="620"/>
      <c r="G846" s="620"/>
      <c r="H846" s="620"/>
      <c r="I846" s="620"/>
      <c r="J846" s="620"/>
      <c r="K846" s="620"/>
      <c r="L846" s="620"/>
      <c r="M846" s="620"/>
      <c r="N846" s="620"/>
      <c r="O846" s="620"/>
      <c r="P846" s="620"/>
      <c r="Q846" s="620"/>
      <c r="R846" s="620"/>
      <c r="S846" s="620"/>
      <c r="T846" s="620"/>
    </row>
    <row r="847">
      <c r="A847" s="620"/>
      <c r="B847" s="620"/>
      <c r="C847" s="620"/>
      <c r="D847" s="620"/>
      <c r="E847" s="620"/>
      <c r="F847" s="620"/>
      <c r="G847" s="620"/>
      <c r="H847" s="620"/>
      <c r="I847" s="620"/>
      <c r="J847" s="620"/>
      <c r="K847" s="620"/>
      <c r="L847" s="620"/>
      <c r="M847" s="620"/>
      <c r="N847" s="620"/>
      <c r="O847" s="620"/>
      <c r="P847" s="620"/>
      <c r="Q847" s="620"/>
      <c r="R847" s="620"/>
      <c r="S847" s="620"/>
      <c r="T847" s="620"/>
    </row>
    <row r="848">
      <c r="A848" s="620"/>
      <c r="B848" s="620"/>
      <c r="C848" s="620"/>
      <c r="D848" s="620"/>
      <c r="E848" s="620"/>
      <c r="F848" s="620"/>
      <c r="G848" s="620"/>
      <c r="H848" s="620"/>
      <c r="I848" s="620"/>
      <c r="J848" s="620"/>
      <c r="K848" s="620"/>
      <c r="L848" s="620"/>
      <c r="M848" s="620"/>
      <c r="N848" s="620"/>
      <c r="O848" s="620"/>
      <c r="P848" s="620"/>
      <c r="Q848" s="620"/>
      <c r="R848" s="620"/>
      <c r="S848" s="620"/>
      <c r="T848" s="620"/>
    </row>
    <row r="849">
      <c r="A849" s="620"/>
      <c r="B849" s="620"/>
      <c r="C849" s="620"/>
      <c r="D849" s="620"/>
      <c r="E849" s="620"/>
      <c r="F849" s="620"/>
      <c r="G849" s="620"/>
      <c r="H849" s="620"/>
      <c r="I849" s="620"/>
      <c r="J849" s="620"/>
      <c r="K849" s="620"/>
      <c r="L849" s="620"/>
      <c r="M849" s="620"/>
      <c r="N849" s="620"/>
      <c r="O849" s="620"/>
      <c r="P849" s="620"/>
      <c r="Q849" s="620"/>
      <c r="R849" s="620"/>
      <c r="S849" s="620"/>
      <c r="T849" s="620"/>
    </row>
    <row r="850">
      <c r="A850" s="620"/>
      <c r="B850" s="620"/>
      <c r="C850" s="620"/>
      <c r="D850" s="620"/>
      <c r="E850" s="620"/>
      <c r="F850" s="620"/>
      <c r="G850" s="620"/>
      <c r="H850" s="620"/>
      <c r="I850" s="620"/>
      <c r="J850" s="620"/>
      <c r="K850" s="620"/>
      <c r="L850" s="620"/>
      <c r="M850" s="620"/>
      <c r="N850" s="620"/>
      <c r="O850" s="620"/>
      <c r="P850" s="620"/>
      <c r="Q850" s="620"/>
      <c r="R850" s="620"/>
      <c r="S850" s="620"/>
      <c r="T850" s="620"/>
    </row>
    <row r="851">
      <c r="A851" s="620"/>
      <c r="B851" s="620"/>
      <c r="C851" s="620"/>
      <c r="D851" s="620"/>
      <c r="E851" s="620"/>
      <c r="F851" s="620"/>
      <c r="G851" s="620"/>
      <c r="H851" s="620"/>
      <c r="I851" s="620"/>
      <c r="J851" s="620"/>
      <c r="K851" s="620"/>
      <c r="L851" s="620"/>
      <c r="M851" s="620"/>
      <c r="N851" s="620"/>
      <c r="O851" s="620"/>
      <c r="P851" s="620"/>
      <c r="Q851" s="620"/>
      <c r="R851" s="620"/>
      <c r="S851" s="620"/>
      <c r="T851" s="620"/>
    </row>
    <row r="852">
      <c r="A852" s="620"/>
      <c r="B852" s="620"/>
      <c r="C852" s="620"/>
      <c r="D852" s="620"/>
      <c r="E852" s="620"/>
      <c r="F852" s="620"/>
      <c r="G852" s="620"/>
      <c r="H852" s="620"/>
      <c r="I852" s="620"/>
      <c r="J852" s="620"/>
      <c r="K852" s="620"/>
      <c r="L852" s="620"/>
      <c r="M852" s="620"/>
      <c r="N852" s="620"/>
      <c r="O852" s="620"/>
      <c r="P852" s="620"/>
      <c r="Q852" s="620"/>
      <c r="R852" s="620"/>
      <c r="S852" s="620"/>
      <c r="T852" s="620"/>
    </row>
    <row r="853">
      <c r="A853" s="620"/>
      <c r="B853" s="620"/>
      <c r="C853" s="620"/>
      <c r="D853" s="620"/>
      <c r="E853" s="620"/>
      <c r="F853" s="620"/>
      <c r="G853" s="620"/>
      <c r="H853" s="620"/>
      <c r="I853" s="620"/>
      <c r="J853" s="620"/>
      <c r="K853" s="620"/>
      <c r="L853" s="620"/>
      <c r="M853" s="620"/>
      <c r="N853" s="620"/>
      <c r="O853" s="620"/>
      <c r="P853" s="620"/>
      <c r="Q853" s="620"/>
      <c r="R853" s="620"/>
      <c r="S853" s="620"/>
      <c r="T853" s="620"/>
    </row>
    <row r="854">
      <c r="A854" s="620"/>
      <c r="B854" s="620"/>
      <c r="C854" s="620"/>
      <c r="D854" s="620"/>
      <c r="E854" s="620"/>
      <c r="F854" s="620"/>
      <c r="G854" s="620"/>
      <c r="H854" s="620"/>
      <c r="I854" s="620"/>
      <c r="J854" s="620"/>
      <c r="K854" s="620"/>
      <c r="L854" s="620"/>
      <c r="M854" s="620"/>
      <c r="N854" s="620"/>
      <c r="O854" s="620"/>
      <c r="P854" s="620"/>
      <c r="Q854" s="620"/>
      <c r="R854" s="620"/>
      <c r="S854" s="620"/>
      <c r="T854" s="620"/>
    </row>
    <row r="855">
      <c r="A855" s="620"/>
      <c r="B855" s="620"/>
      <c r="C855" s="620"/>
      <c r="D855" s="620"/>
      <c r="E855" s="620"/>
      <c r="F855" s="620"/>
      <c r="G855" s="620"/>
      <c r="H855" s="620"/>
      <c r="I855" s="620"/>
      <c r="J855" s="620"/>
      <c r="K855" s="620"/>
      <c r="L855" s="620"/>
      <c r="M855" s="620"/>
      <c r="N855" s="620"/>
      <c r="O855" s="620"/>
      <c r="P855" s="620"/>
      <c r="Q855" s="620"/>
      <c r="R855" s="620"/>
      <c r="S855" s="620"/>
      <c r="T855" s="620"/>
    </row>
    <row r="856">
      <c r="A856" s="620"/>
      <c r="B856" s="620"/>
      <c r="C856" s="620"/>
      <c r="D856" s="620"/>
      <c r="E856" s="620"/>
      <c r="F856" s="620"/>
      <c r="G856" s="620"/>
      <c r="H856" s="620"/>
      <c r="I856" s="620"/>
      <c r="J856" s="620"/>
      <c r="K856" s="620"/>
      <c r="L856" s="620"/>
      <c r="M856" s="620"/>
      <c r="N856" s="620"/>
      <c r="O856" s="620"/>
      <c r="P856" s="620"/>
      <c r="Q856" s="620"/>
      <c r="R856" s="620"/>
      <c r="S856" s="620"/>
      <c r="T856" s="620"/>
    </row>
    <row r="857">
      <c r="A857" s="620"/>
      <c r="B857" s="620"/>
      <c r="C857" s="620"/>
      <c r="D857" s="620"/>
      <c r="E857" s="620"/>
      <c r="F857" s="620"/>
      <c r="G857" s="620"/>
      <c r="H857" s="620"/>
      <c r="I857" s="620"/>
      <c r="J857" s="620"/>
      <c r="K857" s="620"/>
      <c r="L857" s="620"/>
      <c r="M857" s="620"/>
      <c r="N857" s="620"/>
      <c r="O857" s="620"/>
      <c r="P857" s="620"/>
      <c r="Q857" s="620"/>
      <c r="R857" s="620"/>
      <c r="S857" s="620"/>
      <c r="T857" s="620"/>
    </row>
    <row r="858">
      <c r="A858" s="620"/>
      <c r="B858" s="620"/>
      <c r="C858" s="620"/>
      <c r="D858" s="620"/>
      <c r="E858" s="620"/>
      <c r="F858" s="620"/>
      <c r="G858" s="620"/>
      <c r="H858" s="620"/>
      <c r="I858" s="620"/>
      <c r="J858" s="620"/>
      <c r="K858" s="620"/>
      <c r="L858" s="620"/>
      <c r="M858" s="620"/>
      <c r="N858" s="620"/>
      <c r="O858" s="620"/>
      <c r="P858" s="620"/>
      <c r="Q858" s="620"/>
      <c r="R858" s="620"/>
      <c r="S858" s="620"/>
      <c r="T858" s="620"/>
    </row>
    <row r="859">
      <c r="A859" s="620"/>
      <c r="B859" s="620"/>
      <c r="C859" s="620"/>
      <c r="D859" s="620"/>
      <c r="E859" s="620"/>
      <c r="F859" s="620"/>
      <c r="G859" s="620"/>
      <c r="H859" s="620"/>
      <c r="I859" s="620"/>
      <c r="J859" s="620"/>
      <c r="K859" s="620"/>
      <c r="L859" s="620"/>
      <c r="M859" s="620"/>
      <c r="N859" s="620"/>
      <c r="O859" s="620"/>
      <c r="P859" s="620"/>
      <c r="Q859" s="620"/>
      <c r="R859" s="620"/>
      <c r="S859" s="620"/>
      <c r="T859" s="620"/>
    </row>
    <row r="860">
      <c r="A860" s="620"/>
      <c r="B860" s="620"/>
      <c r="C860" s="620"/>
      <c r="D860" s="620"/>
      <c r="E860" s="620"/>
      <c r="F860" s="620"/>
      <c r="G860" s="620"/>
      <c r="H860" s="620"/>
      <c r="I860" s="620"/>
      <c r="J860" s="620"/>
      <c r="K860" s="620"/>
      <c r="L860" s="620"/>
      <c r="M860" s="620"/>
      <c r="N860" s="620"/>
      <c r="O860" s="620"/>
      <c r="P860" s="620"/>
      <c r="Q860" s="620"/>
      <c r="R860" s="620"/>
      <c r="S860" s="620"/>
      <c r="T860" s="620"/>
    </row>
    <row r="861">
      <c r="A861" s="620"/>
      <c r="B861" s="620"/>
      <c r="C861" s="620"/>
      <c r="D861" s="620"/>
      <c r="E861" s="620"/>
      <c r="F861" s="620"/>
      <c r="G861" s="620"/>
      <c r="H861" s="620"/>
      <c r="I861" s="620"/>
      <c r="J861" s="620"/>
      <c r="K861" s="620"/>
      <c r="L861" s="620"/>
      <c r="M861" s="620"/>
      <c r="N861" s="620"/>
      <c r="O861" s="620"/>
      <c r="P861" s="620"/>
      <c r="Q861" s="620"/>
      <c r="R861" s="620"/>
      <c r="S861" s="620"/>
      <c r="T861" s="620"/>
    </row>
    <row r="862">
      <c r="A862" s="620"/>
      <c r="B862" s="620"/>
      <c r="C862" s="620"/>
      <c r="D862" s="620"/>
      <c r="E862" s="620"/>
      <c r="F862" s="620"/>
      <c r="G862" s="620"/>
      <c r="H862" s="620"/>
      <c r="I862" s="620"/>
      <c r="J862" s="620"/>
      <c r="K862" s="620"/>
      <c r="L862" s="620"/>
      <c r="M862" s="620"/>
      <c r="N862" s="620"/>
      <c r="O862" s="620"/>
      <c r="P862" s="620"/>
      <c r="Q862" s="620"/>
      <c r="R862" s="620"/>
      <c r="S862" s="620"/>
      <c r="T862" s="620"/>
    </row>
    <row r="863">
      <c r="A863" s="620"/>
      <c r="B863" s="620"/>
      <c r="C863" s="620"/>
      <c r="D863" s="620"/>
      <c r="E863" s="620"/>
      <c r="F863" s="620"/>
      <c r="G863" s="620"/>
      <c r="H863" s="620"/>
      <c r="I863" s="620"/>
      <c r="J863" s="620"/>
      <c r="K863" s="620"/>
      <c r="L863" s="620"/>
      <c r="M863" s="620"/>
      <c r="N863" s="620"/>
      <c r="O863" s="620"/>
      <c r="P863" s="620"/>
      <c r="Q863" s="620"/>
      <c r="R863" s="620"/>
      <c r="S863" s="620"/>
      <c r="T863" s="620"/>
    </row>
    <row r="864">
      <c r="A864" s="620"/>
      <c r="B864" s="620"/>
      <c r="C864" s="620"/>
      <c r="D864" s="620"/>
      <c r="E864" s="620"/>
      <c r="F864" s="620"/>
      <c r="G864" s="620"/>
      <c r="H864" s="620"/>
      <c r="I864" s="620"/>
      <c r="J864" s="620"/>
      <c r="K864" s="620"/>
      <c r="L864" s="620"/>
      <c r="M864" s="620"/>
      <c r="N864" s="620"/>
      <c r="O864" s="620"/>
      <c r="P864" s="620"/>
      <c r="Q864" s="620"/>
      <c r="R864" s="620"/>
      <c r="S864" s="620"/>
      <c r="T864" s="620"/>
    </row>
    <row r="865">
      <c r="A865" s="620"/>
      <c r="B865" s="620"/>
      <c r="C865" s="620"/>
      <c r="D865" s="620"/>
      <c r="E865" s="620"/>
      <c r="F865" s="620"/>
      <c r="G865" s="620"/>
      <c r="H865" s="620"/>
      <c r="I865" s="620"/>
      <c r="J865" s="620"/>
      <c r="K865" s="620"/>
      <c r="L865" s="620"/>
      <c r="M865" s="620"/>
      <c r="N865" s="620"/>
      <c r="O865" s="620"/>
      <c r="P865" s="620"/>
      <c r="Q865" s="620"/>
      <c r="R865" s="620"/>
      <c r="S865" s="620"/>
      <c r="T865" s="620"/>
    </row>
    <row r="866">
      <c r="A866" s="620"/>
      <c r="B866" s="620"/>
      <c r="C866" s="620"/>
      <c r="D866" s="620"/>
      <c r="E866" s="620"/>
      <c r="F866" s="620"/>
      <c r="G866" s="620"/>
      <c r="H866" s="620"/>
      <c r="I866" s="620"/>
      <c r="J866" s="620"/>
      <c r="K866" s="620"/>
      <c r="L866" s="620"/>
      <c r="M866" s="620"/>
      <c r="N866" s="620"/>
      <c r="O866" s="620"/>
      <c r="P866" s="620"/>
      <c r="Q866" s="620"/>
      <c r="R866" s="620"/>
      <c r="S866" s="620"/>
      <c r="T866" s="620"/>
    </row>
    <row r="867">
      <c r="A867" s="620"/>
      <c r="B867" s="620"/>
      <c r="C867" s="620"/>
      <c r="D867" s="620"/>
      <c r="E867" s="620"/>
      <c r="F867" s="620"/>
      <c r="G867" s="620"/>
      <c r="H867" s="620"/>
      <c r="I867" s="620"/>
      <c r="J867" s="620"/>
      <c r="K867" s="620"/>
      <c r="L867" s="620"/>
      <c r="M867" s="620"/>
      <c r="N867" s="620"/>
      <c r="O867" s="620"/>
      <c r="P867" s="620"/>
      <c r="Q867" s="620"/>
      <c r="R867" s="620"/>
      <c r="S867" s="620"/>
      <c r="T867" s="620"/>
    </row>
    <row r="868">
      <c r="A868" s="620"/>
      <c r="B868" s="620"/>
      <c r="C868" s="620"/>
      <c r="D868" s="620"/>
      <c r="E868" s="620"/>
      <c r="F868" s="620"/>
      <c r="G868" s="620"/>
      <c r="H868" s="620"/>
      <c r="I868" s="620"/>
      <c r="J868" s="620"/>
      <c r="K868" s="620"/>
      <c r="L868" s="620"/>
      <c r="M868" s="620"/>
      <c r="N868" s="620"/>
      <c r="O868" s="620"/>
      <c r="P868" s="620"/>
      <c r="Q868" s="620"/>
      <c r="R868" s="620"/>
      <c r="S868" s="620"/>
      <c r="T868" s="620"/>
    </row>
    <row r="869">
      <c r="A869" s="620"/>
      <c r="B869" s="620"/>
      <c r="C869" s="620"/>
      <c r="D869" s="620"/>
      <c r="E869" s="620"/>
      <c r="F869" s="620"/>
      <c r="G869" s="620"/>
      <c r="H869" s="620"/>
      <c r="I869" s="620"/>
      <c r="J869" s="620"/>
      <c r="K869" s="620"/>
      <c r="L869" s="620"/>
      <c r="M869" s="620"/>
      <c r="N869" s="620"/>
      <c r="O869" s="620"/>
      <c r="P869" s="620"/>
      <c r="Q869" s="620"/>
      <c r="R869" s="620"/>
      <c r="S869" s="620"/>
      <c r="T869" s="620"/>
    </row>
    <row r="870">
      <c r="A870" s="620"/>
      <c r="B870" s="620"/>
      <c r="C870" s="620"/>
      <c r="D870" s="620"/>
      <c r="E870" s="620"/>
      <c r="F870" s="620"/>
      <c r="G870" s="620"/>
      <c r="H870" s="620"/>
      <c r="I870" s="620"/>
      <c r="J870" s="620"/>
      <c r="K870" s="620"/>
      <c r="L870" s="620"/>
      <c r="M870" s="620"/>
      <c r="N870" s="620"/>
      <c r="O870" s="620"/>
      <c r="P870" s="620"/>
      <c r="Q870" s="620"/>
      <c r="R870" s="620"/>
      <c r="S870" s="620"/>
      <c r="T870" s="620"/>
    </row>
    <row r="871">
      <c r="A871" s="620"/>
      <c r="B871" s="620"/>
      <c r="C871" s="620"/>
      <c r="D871" s="620"/>
      <c r="E871" s="620"/>
      <c r="F871" s="620"/>
      <c r="G871" s="620"/>
      <c r="H871" s="620"/>
      <c r="I871" s="620"/>
      <c r="J871" s="620"/>
      <c r="K871" s="620"/>
      <c r="L871" s="620"/>
      <c r="M871" s="620"/>
      <c r="N871" s="620"/>
      <c r="O871" s="620"/>
      <c r="P871" s="620"/>
      <c r="Q871" s="620"/>
      <c r="R871" s="620"/>
      <c r="S871" s="620"/>
      <c r="T871" s="620"/>
    </row>
    <row r="872">
      <c r="A872" s="620"/>
      <c r="B872" s="620"/>
      <c r="C872" s="620"/>
      <c r="D872" s="620"/>
      <c r="E872" s="620"/>
      <c r="F872" s="620"/>
      <c r="G872" s="620"/>
      <c r="H872" s="620"/>
      <c r="I872" s="620"/>
      <c r="J872" s="620"/>
      <c r="K872" s="620"/>
      <c r="L872" s="620"/>
      <c r="M872" s="620"/>
      <c r="N872" s="620"/>
      <c r="O872" s="620"/>
      <c r="P872" s="620"/>
      <c r="Q872" s="620"/>
      <c r="R872" s="620"/>
      <c r="S872" s="620"/>
      <c r="T872" s="620"/>
    </row>
    <row r="873">
      <c r="A873" s="620"/>
      <c r="B873" s="620"/>
      <c r="C873" s="620"/>
      <c r="D873" s="620"/>
      <c r="E873" s="620"/>
      <c r="F873" s="620"/>
      <c r="G873" s="620"/>
      <c r="H873" s="620"/>
      <c r="I873" s="620"/>
      <c r="J873" s="620"/>
      <c r="K873" s="620"/>
      <c r="L873" s="620"/>
      <c r="M873" s="620"/>
      <c r="N873" s="620"/>
      <c r="O873" s="620"/>
      <c r="P873" s="620"/>
      <c r="Q873" s="620"/>
      <c r="R873" s="620"/>
      <c r="S873" s="620"/>
      <c r="T873" s="620"/>
    </row>
    <row r="874">
      <c r="A874" s="620"/>
      <c r="B874" s="620"/>
      <c r="C874" s="620"/>
      <c r="D874" s="620"/>
      <c r="E874" s="620"/>
      <c r="F874" s="620"/>
      <c r="G874" s="620"/>
      <c r="H874" s="620"/>
      <c r="I874" s="620"/>
      <c r="J874" s="620"/>
      <c r="K874" s="620"/>
      <c r="L874" s="620"/>
      <c r="M874" s="620"/>
      <c r="N874" s="620"/>
      <c r="O874" s="620"/>
      <c r="P874" s="620"/>
      <c r="Q874" s="620"/>
      <c r="R874" s="620"/>
      <c r="S874" s="620"/>
      <c r="T874" s="620"/>
    </row>
    <row r="875">
      <c r="A875" s="620"/>
      <c r="B875" s="620"/>
      <c r="C875" s="620"/>
      <c r="D875" s="620"/>
      <c r="E875" s="620"/>
      <c r="F875" s="620"/>
      <c r="G875" s="620"/>
      <c r="H875" s="620"/>
      <c r="I875" s="620"/>
      <c r="J875" s="620"/>
      <c r="K875" s="620"/>
      <c r="L875" s="620"/>
      <c r="M875" s="620"/>
      <c r="N875" s="620"/>
      <c r="O875" s="620"/>
      <c r="P875" s="620"/>
      <c r="Q875" s="620"/>
      <c r="R875" s="620"/>
      <c r="S875" s="620"/>
      <c r="T875" s="620"/>
    </row>
    <row r="876">
      <c r="A876" s="620"/>
      <c r="B876" s="620"/>
      <c r="C876" s="620"/>
      <c r="D876" s="620"/>
      <c r="E876" s="620"/>
      <c r="F876" s="620"/>
      <c r="G876" s="620"/>
      <c r="H876" s="620"/>
      <c r="I876" s="620"/>
      <c r="J876" s="620"/>
      <c r="K876" s="620"/>
      <c r="L876" s="620"/>
      <c r="M876" s="620"/>
      <c r="N876" s="620"/>
      <c r="O876" s="620"/>
      <c r="P876" s="620"/>
      <c r="Q876" s="620"/>
      <c r="R876" s="620"/>
      <c r="S876" s="620"/>
      <c r="T876" s="620"/>
    </row>
    <row r="877">
      <c r="A877" s="620"/>
      <c r="B877" s="620"/>
      <c r="C877" s="620"/>
      <c r="D877" s="620"/>
      <c r="E877" s="620"/>
      <c r="F877" s="620"/>
      <c r="G877" s="620"/>
      <c r="H877" s="620"/>
      <c r="I877" s="620"/>
      <c r="J877" s="620"/>
      <c r="K877" s="620"/>
      <c r="L877" s="620"/>
      <c r="M877" s="620"/>
      <c r="N877" s="620"/>
      <c r="O877" s="620"/>
      <c r="P877" s="620"/>
      <c r="Q877" s="620"/>
      <c r="R877" s="620"/>
      <c r="S877" s="620"/>
      <c r="T877" s="620"/>
    </row>
    <row r="878">
      <c r="A878" s="620"/>
      <c r="B878" s="620"/>
      <c r="C878" s="620"/>
      <c r="D878" s="620"/>
      <c r="E878" s="620"/>
      <c r="F878" s="620"/>
      <c r="G878" s="620"/>
      <c r="H878" s="620"/>
      <c r="I878" s="620"/>
      <c r="J878" s="620"/>
      <c r="K878" s="620"/>
      <c r="L878" s="620"/>
      <c r="M878" s="620"/>
      <c r="N878" s="620"/>
      <c r="O878" s="620"/>
      <c r="P878" s="620"/>
      <c r="Q878" s="620"/>
      <c r="R878" s="620"/>
      <c r="S878" s="620"/>
      <c r="T878" s="620"/>
    </row>
    <row r="879">
      <c r="A879" s="620"/>
      <c r="B879" s="620"/>
      <c r="C879" s="620"/>
      <c r="D879" s="620"/>
      <c r="E879" s="620"/>
      <c r="F879" s="620"/>
      <c r="G879" s="620"/>
      <c r="H879" s="620"/>
      <c r="I879" s="620"/>
      <c r="J879" s="620"/>
      <c r="K879" s="620"/>
      <c r="L879" s="620"/>
      <c r="M879" s="620"/>
      <c r="N879" s="620"/>
      <c r="O879" s="620"/>
      <c r="P879" s="620"/>
      <c r="Q879" s="620"/>
      <c r="R879" s="620"/>
      <c r="S879" s="620"/>
      <c r="T879" s="620"/>
    </row>
    <row r="880">
      <c r="A880" s="620"/>
      <c r="B880" s="620"/>
      <c r="C880" s="620"/>
      <c r="D880" s="620"/>
      <c r="E880" s="620"/>
      <c r="F880" s="620"/>
      <c r="G880" s="620"/>
      <c r="H880" s="620"/>
      <c r="I880" s="620"/>
      <c r="J880" s="620"/>
      <c r="K880" s="620"/>
      <c r="L880" s="620"/>
      <c r="M880" s="620"/>
      <c r="N880" s="620"/>
      <c r="O880" s="620"/>
      <c r="P880" s="620"/>
      <c r="Q880" s="620"/>
      <c r="R880" s="620"/>
      <c r="S880" s="620"/>
      <c r="T880" s="620"/>
    </row>
    <row r="881">
      <c r="A881" s="620"/>
      <c r="B881" s="620"/>
      <c r="C881" s="620"/>
      <c r="D881" s="620"/>
      <c r="E881" s="620"/>
      <c r="F881" s="620"/>
      <c r="G881" s="620"/>
      <c r="H881" s="620"/>
      <c r="I881" s="620"/>
      <c r="J881" s="620"/>
      <c r="K881" s="620"/>
      <c r="L881" s="620"/>
      <c r="M881" s="620"/>
      <c r="N881" s="620"/>
      <c r="O881" s="620"/>
      <c r="P881" s="620"/>
      <c r="Q881" s="620"/>
      <c r="R881" s="620"/>
      <c r="S881" s="620"/>
      <c r="T881" s="620"/>
    </row>
    <row r="882">
      <c r="A882" s="620"/>
      <c r="B882" s="620"/>
      <c r="C882" s="620"/>
      <c r="D882" s="620"/>
      <c r="E882" s="620"/>
      <c r="F882" s="620"/>
      <c r="G882" s="620"/>
      <c r="H882" s="620"/>
      <c r="I882" s="620"/>
      <c r="J882" s="620"/>
      <c r="K882" s="620"/>
      <c r="L882" s="620"/>
      <c r="M882" s="620"/>
      <c r="N882" s="620"/>
      <c r="O882" s="620"/>
      <c r="P882" s="620"/>
      <c r="Q882" s="620"/>
      <c r="R882" s="620"/>
      <c r="S882" s="620"/>
      <c r="T882" s="620"/>
    </row>
    <row r="883">
      <c r="A883" s="620"/>
      <c r="B883" s="620"/>
      <c r="C883" s="620"/>
      <c r="D883" s="620"/>
      <c r="E883" s="620"/>
      <c r="F883" s="620"/>
      <c r="G883" s="620"/>
      <c r="H883" s="620"/>
      <c r="I883" s="620"/>
      <c r="J883" s="620"/>
      <c r="K883" s="620"/>
      <c r="L883" s="620"/>
      <c r="M883" s="620"/>
      <c r="N883" s="620"/>
      <c r="O883" s="620"/>
      <c r="P883" s="620"/>
      <c r="Q883" s="620"/>
      <c r="R883" s="620"/>
      <c r="S883" s="620"/>
      <c r="T883" s="620"/>
    </row>
    <row r="884">
      <c r="A884" s="620"/>
      <c r="B884" s="620"/>
      <c r="C884" s="620"/>
      <c r="D884" s="620"/>
      <c r="E884" s="620"/>
      <c r="F884" s="620"/>
      <c r="G884" s="620"/>
      <c r="H884" s="620"/>
      <c r="I884" s="620"/>
      <c r="J884" s="620"/>
      <c r="K884" s="620"/>
      <c r="L884" s="620"/>
      <c r="M884" s="620"/>
      <c r="N884" s="620"/>
      <c r="O884" s="620"/>
      <c r="P884" s="620"/>
      <c r="Q884" s="620"/>
      <c r="R884" s="620"/>
      <c r="S884" s="620"/>
      <c r="T884" s="620"/>
    </row>
    <row r="885">
      <c r="A885" s="620"/>
      <c r="B885" s="620"/>
      <c r="C885" s="620"/>
      <c r="D885" s="620"/>
      <c r="E885" s="620"/>
      <c r="F885" s="620"/>
      <c r="G885" s="620"/>
      <c r="H885" s="620"/>
      <c r="I885" s="620"/>
      <c r="J885" s="620"/>
      <c r="K885" s="620"/>
      <c r="L885" s="620"/>
      <c r="M885" s="620"/>
      <c r="N885" s="620"/>
      <c r="O885" s="620"/>
      <c r="P885" s="620"/>
      <c r="Q885" s="620"/>
      <c r="R885" s="620"/>
      <c r="S885" s="620"/>
      <c r="T885" s="620"/>
    </row>
    <row r="886">
      <c r="A886" s="620"/>
      <c r="B886" s="620"/>
      <c r="C886" s="620"/>
      <c r="D886" s="620"/>
      <c r="E886" s="620"/>
      <c r="F886" s="620"/>
      <c r="G886" s="620"/>
      <c r="H886" s="620"/>
      <c r="I886" s="620"/>
      <c r="J886" s="620"/>
      <c r="K886" s="620"/>
      <c r="L886" s="620"/>
      <c r="M886" s="620"/>
      <c r="N886" s="620"/>
      <c r="O886" s="620"/>
      <c r="P886" s="620"/>
      <c r="Q886" s="620"/>
      <c r="R886" s="620"/>
      <c r="S886" s="620"/>
      <c r="T886" s="620"/>
    </row>
    <row r="887">
      <c r="A887" s="620"/>
      <c r="B887" s="620"/>
      <c r="C887" s="620"/>
      <c r="D887" s="620"/>
      <c r="E887" s="620"/>
      <c r="F887" s="620"/>
      <c r="G887" s="620"/>
      <c r="H887" s="620"/>
      <c r="I887" s="620"/>
      <c r="J887" s="620"/>
      <c r="K887" s="620"/>
      <c r="L887" s="620"/>
      <c r="M887" s="620"/>
      <c r="N887" s="620"/>
      <c r="O887" s="620"/>
      <c r="P887" s="620"/>
      <c r="Q887" s="620"/>
      <c r="R887" s="620"/>
      <c r="S887" s="620"/>
      <c r="T887" s="620"/>
    </row>
    <row r="888">
      <c r="A888" s="620"/>
      <c r="B888" s="620"/>
      <c r="C888" s="620"/>
      <c r="D888" s="620"/>
      <c r="E888" s="620"/>
      <c r="F888" s="620"/>
      <c r="G888" s="620"/>
      <c r="H888" s="620"/>
      <c r="I888" s="620"/>
      <c r="J888" s="620"/>
      <c r="K888" s="620"/>
      <c r="L888" s="620"/>
      <c r="M888" s="620"/>
      <c r="N888" s="620"/>
      <c r="O888" s="620"/>
      <c r="P888" s="620"/>
      <c r="Q888" s="620"/>
      <c r="R888" s="620"/>
      <c r="S888" s="620"/>
      <c r="T888" s="620"/>
    </row>
    <row r="889">
      <c r="A889" s="620"/>
      <c r="B889" s="620"/>
      <c r="C889" s="620"/>
      <c r="D889" s="620"/>
      <c r="E889" s="620"/>
      <c r="F889" s="620"/>
      <c r="G889" s="620"/>
      <c r="H889" s="620"/>
      <c r="I889" s="620"/>
      <c r="J889" s="620"/>
      <c r="K889" s="620"/>
      <c r="L889" s="620"/>
      <c r="M889" s="620"/>
      <c r="N889" s="620"/>
      <c r="O889" s="620"/>
      <c r="P889" s="620"/>
      <c r="Q889" s="620"/>
      <c r="R889" s="620"/>
      <c r="S889" s="620"/>
      <c r="T889" s="620"/>
    </row>
    <row r="890">
      <c r="A890" s="620"/>
      <c r="B890" s="620"/>
      <c r="C890" s="620"/>
      <c r="D890" s="620"/>
      <c r="E890" s="620"/>
      <c r="F890" s="620"/>
      <c r="G890" s="620"/>
      <c r="H890" s="620"/>
      <c r="I890" s="620"/>
      <c r="J890" s="620"/>
      <c r="K890" s="620"/>
      <c r="L890" s="620"/>
      <c r="M890" s="620"/>
      <c r="N890" s="620"/>
      <c r="O890" s="620"/>
      <c r="P890" s="620"/>
      <c r="Q890" s="620"/>
      <c r="R890" s="620"/>
      <c r="S890" s="620"/>
      <c r="T890" s="620"/>
    </row>
    <row r="891">
      <c r="A891" s="620"/>
      <c r="B891" s="620"/>
      <c r="C891" s="620"/>
      <c r="D891" s="620"/>
      <c r="E891" s="620"/>
      <c r="F891" s="620"/>
      <c r="G891" s="620"/>
      <c r="H891" s="620"/>
      <c r="I891" s="620"/>
      <c r="J891" s="620"/>
      <c r="K891" s="620"/>
      <c r="L891" s="620"/>
      <c r="M891" s="620"/>
      <c r="N891" s="620"/>
      <c r="O891" s="620"/>
      <c r="P891" s="620"/>
      <c r="Q891" s="620"/>
      <c r="R891" s="620"/>
      <c r="S891" s="620"/>
      <c r="T891" s="620"/>
    </row>
    <row r="892">
      <c r="A892" s="620"/>
      <c r="B892" s="620"/>
      <c r="C892" s="620"/>
      <c r="D892" s="620"/>
      <c r="E892" s="620"/>
      <c r="F892" s="620"/>
      <c r="G892" s="620"/>
      <c r="H892" s="620"/>
      <c r="I892" s="620"/>
      <c r="J892" s="620"/>
      <c r="K892" s="620"/>
      <c r="L892" s="620"/>
      <c r="M892" s="620"/>
      <c r="N892" s="620"/>
      <c r="O892" s="620"/>
      <c r="P892" s="620"/>
      <c r="Q892" s="620"/>
      <c r="R892" s="620"/>
      <c r="S892" s="620"/>
      <c r="T892" s="620"/>
    </row>
    <row r="893">
      <c r="A893" s="620"/>
      <c r="B893" s="620"/>
      <c r="C893" s="620"/>
      <c r="D893" s="620"/>
      <c r="E893" s="620"/>
      <c r="F893" s="620"/>
      <c r="G893" s="620"/>
      <c r="H893" s="620"/>
      <c r="I893" s="620"/>
      <c r="J893" s="620"/>
      <c r="K893" s="620"/>
      <c r="L893" s="620"/>
      <c r="M893" s="620"/>
      <c r="N893" s="620"/>
      <c r="O893" s="620"/>
      <c r="P893" s="620"/>
      <c r="Q893" s="620"/>
      <c r="R893" s="620"/>
      <c r="S893" s="620"/>
      <c r="T893" s="620"/>
    </row>
    <row r="894">
      <c r="A894" s="620"/>
      <c r="B894" s="620"/>
      <c r="C894" s="620"/>
      <c r="D894" s="620"/>
      <c r="E894" s="620"/>
      <c r="F894" s="620"/>
      <c r="G894" s="620"/>
      <c r="H894" s="620"/>
      <c r="I894" s="620"/>
      <c r="J894" s="620"/>
      <c r="K894" s="620"/>
      <c r="L894" s="620"/>
      <c r="M894" s="620"/>
      <c r="N894" s="620"/>
      <c r="O894" s="620"/>
      <c r="P894" s="620"/>
      <c r="Q894" s="620"/>
      <c r="R894" s="620"/>
      <c r="S894" s="620"/>
      <c r="T894" s="620"/>
    </row>
    <row r="895">
      <c r="A895" s="620"/>
      <c r="B895" s="620"/>
      <c r="C895" s="620"/>
      <c r="D895" s="620"/>
      <c r="E895" s="620"/>
      <c r="F895" s="620"/>
      <c r="G895" s="620"/>
      <c r="H895" s="620"/>
      <c r="I895" s="620"/>
      <c r="J895" s="620"/>
      <c r="K895" s="620"/>
      <c r="L895" s="620"/>
      <c r="M895" s="620"/>
      <c r="N895" s="620"/>
      <c r="O895" s="620"/>
      <c r="P895" s="620"/>
      <c r="Q895" s="620"/>
      <c r="R895" s="620"/>
      <c r="S895" s="620"/>
      <c r="T895" s="620"/>
    </row>
    <row r="896">
      <c r="A896" s="620"/>
      <c r="B896" s="620"/>
      <c r="C896" s="620"/>
      <c r="D896" s="620"/>
      <c r="E896" s="620"/>
      <c r="F896" s="620"/>
      <c r="G896" s="620"/>
      <c r="H896" s="620"/>
      <c r="I896" s="620"/>
      <c r="J896" s="620"/>
      <c r="K896" s="620"/>
      <c r="L896" s="620"/>
      <c r="M896" s="620"/>
      <c r="N896" s="620"/>
      <c r="O896" s="620"/>
      <c r="P896" s="620"/>
      <c r="Q896" s="620"/>
      <c r="R896" s="620"/>
      <c r="S896" s="620"/>
      <c r="T896" s="620"/>
    </row>
    <row r="897">
      <c r="A897" s="620"/>
      <c r="B897" s="620"/>
      <c r="C897" s="620"/>
      <c r="D897" s="620"/>
      <c r="E897" s="620"/>
      <c r="F897" s="620"/>
      <c r="G897" s="620"/>
      <c r="H897" s="620"/>
      <c r="I897" s="620"/>
      <c r="J897" s="620"/>
      <c r="K897" s="620"/>
      <c r="L897" s="620"/>
      <c r="M897" s="620"/>
      <c r="N897" s="620"/>
      <c r="O897" s="620"/>
      <c r="P897" s="620"/>
      <c r="Q897" s="620"/>
      <c r="R897" s="620"/>
      <c r="S897" s="620"/>
      <c r="T897" s="620"/>
    </row>
    <row r="898">
      <c r="A898" s="620"/>
      <c r="B898" s="620"/>
      <c r="C898" s="620"/>
      <c r="D898" s="620"/>
      <c r="E898" s="620"/>
      <c r="F898" s="620"/>
      <c r="G898" s="620"/>
      <c r="H898" s="620"/>
      <c r="I898" s="620"/>
      <c r="J898" s="620"/>
      <c r="K898" s="620"/>
      <c r="L898" s="620"/>
      <c r="M898" s="620"/>
      <c r="N898" s="620"/>
      <c r="O898" s="620"/>
      <c r="P898" s="620"/>
      <c r="Q898" s="620"/>
      <c r="R898" s="620"/>
      <c r="S898" s="620"/>
      <c r="T898" s="620"/>
    </row>
    <row r="899">
      <c r="A899" s="620"/>
      <c r="B899" s="620"/>
      <c r="C899" s="620"/>
      <c r="D899" s="620"/>
      <c r="E899" s="620"/>
      <c r="F899" s="620"/>
      <c r="G899" s="620"/>
      <c r="H899" s="620"/>
      <c r="I899" s="620"/>
      <c r="J899" s="620"/>
      <c r="K899" s="620"/>
      <c r="L899" s="620"/>
      <c r="M899" s="620"/>
      <c r="N899" s="620"/>
      <c r="O899" s="620"/>
      <c r="P899" s="620"/>
      <c r="Q899" s="620"/>
      <c r="R899" s="620"/>
      <c r="S899" s="620"/>
      <c r="T899" s="620"/>
    </row>
    <row r="900">
      <c r="A900" s="620"/>
      <c r="B900" s="620"/>
      <c r="C900" s="620"/>
      <c r="D900" s="620"/>
      <c r="E900" s="620"/>
      <c r="F900" s="620"/>
      <c r="G900" s="620"/>
      <c r="H900" s="620"/>
      <c r="I900" s="620"/>
      <c r="J900" s="620"/>
      <c r="K900" s="620"/>
      <c r="L900" s="620"/>
      <c r="M900" s="620"/>
      <c r="N900" s="620"/>
      <c r="O900" s="620"/>
      <c r="P900" s="620"/>
      <c r="Q900" s="620"/>
      <c r="R900" s="620"/>
      <c r="S900" s="620"/>
      <c r="T900" s="620"/>
    </row>
    <row r="901">
      <c r="A901" s="620"/>
      <c r="B901" s="620"/>
      <c r="C901" s="620"/>
      <c r="D901" s="620"/>
      <c r="E901" s="620"/>
      <c r="F901" s="620"/>
      <c r="G901" s="620"/>
      <c r="H901" s="620"/>
      <c r="I901" s="620"/>
      <c r="J901" s="620"/>
      <c r="K901" s="620"/>
      <c r="L901" s="620"/>
      <c r="M901" s="620"/>
      <c r="N901" s="620"/>
      <c r="O901" s="620"/>
      <c r="P901" s="620"/>
      <c r="Q901" s="620"/>
      <c r="R901" s="620"/>
      <c r="S901" s="620"/>
      <c r="T901" s="620"/>
    </row>
    <row r="902">
      <c r="A902" s="620"/>
      <c r="B902" s="620"/>
      <c r="C902" s="620"/>
      <c r="D902" s="620"/>
      <c r="E902" s="620"/>
      <c r="F902" s="620"/>
      <c r="G902" s="620"/>
      <c r="H902" s="620"/>
      <c r="I902" s="620"/>
      <c r="J902" s="620"/>
      <c r="K902" s="620"/>
      <c r="L902" s="620"/>
      <c r="M902" s="620"/>
      <c r="N902" s="620"/>
      <c r="O902" s="620"/>
      <c r="P902" s="620"/>
      <c r="Q902" s="620"/>
      <c r="R902" s="620"/>
      <c r="S902" s="620"/>
      <c r="T902" s="620"/>
    </row>
    <row r="903">
      <c r="A903" s="620"/>
      <c r="B903" s="620"/>
      <c r="C903" s="620"/>
      <c r="D903" s="620"/>
      <c r="E903" s="620"/>
      <c r="F903" s="620"/>
      <c r="G903" s="620"/>
      <c r="H903" s="620"/>
      <c r="I903" s="620"/>
      <c r="J903" s="620"/>
      <c r="K903" s="620"/>
      <c r="L903" s="620"/>
      <c r="M903" s="620"/>
      <c r="N903" s="620"/>
      <c r="O903" s="620"/>
      <c r="P903" s="620"/>
      <c r="Q903" s="620"/>
      <c r="R903" s="620"/>
      <c r="S903" s="620"/>
      <c r="T903" s="620"/>
    </row>
    <row r="904">
      <c r="A904" s="620"/>
      <c r="B904" s="620"/>
      <c r="C904" s="620"/>
      <c r="D904" s="620"/>
      <c r="E904" s="620"/>
      <c r="F904" s="620"/>
      <c r="G904" s="620"/>
      <c r="H904" s="620"/>
      <c r="I904" s="620"/>
      <c r="J904" s="620"/>
      <c r="K904" s="620"/>
      <c r="L904" s="620"/>
      <c r="M904" s="620"/>
      <c r="N904" s="620"/>
      <c r="O904" s="620"/>
      <c r="P904" s="620"/>
      <c r="Q904" s="620"/>
      <c r="R904" s="620"/>
      <c r="S904" s="620"/>
      <c r="T904" s="620"/>
    </row>
    <row r="905">
      <c r="A905" s="620"/>
      <c r="B905" s="620"/>
      <c r="C905" s="620"/>
      <c r="D905" s="620"/>
      <c r="E905" s="620"/>
      <c r="F905" s="620"/>
      <c r="G905" s="620"/>
      <c r="H905" s="620"/>
      <c r="I905" s="620"/>
      <c r="J905" s="620"/>
      <c r="K905" s="620"/>
      <c r="L905" s="620"/>
      <c r="M905" s="620"/>
      <c r="N905" s="620"/>
      <c r="O905" s="620"/>
      <c r="P905" s="620"/>
      <c r="Q905" s="620"/>
      <c r="R905" s="620"/>
      <c r="S905" s="620"/>
      <c r="T905" s="620"/>
    </row>
    <row r="906">
      <c r="A906" s="620"/>
      <c r="B906" s="620"/>
      <c r="C906" s="620"/>
      <c r="D906" s="620"/>
      <c r="E906" s="620"/>
      <c r="F906" s="620"/>
      <c r="G906" s="620"/>
      <c r="H906" s="620"/>
      <c r="I906" s="620"/>
      <c r="J906" s="620"/>
      <c r="K906" s="620"/>
      <c r="L906" s="620"/>
      <c r="M906" s="620"/>
      <c r="N906" s="620"/>
      <c r="O906" s="620"/>
      <c r="P906" s="620"/>
      <c r="Q906" s="620"/>
      <c r="R906" s="620"/>
      <c r="S906" s="620"/>
      <c r="T906" s="620"/>
    </row>
    <row r="907">
      <c r="A907" s="620"/>
      <c r="B907" s="620"/>
      <c r="C907" s="620"/>
      <c r="D907" s="620"/>
      <c r="E907" s="620"/>
      <c r="F907" s="620"/>
      <c r="G907" s="620"/>
      <c r="H907" s="620"/>
      <c r="I907" s="620"/>
      <c r="J907" s="620"/>
      <c r="K907" s="620"/>
      <c r="L907" s="620"/>
      <c r="M907" s="620"/>
      <c r="N907" s="620"/>
      <c r="O907" s="620"/>
      <c r="P907" s="620"/>
      <c r="Q907" s="620"/>
      <c r="R907" s="620"/>
      <c r="S907" s="620"/>
      <c r="T907" s="620"/>
    </row>
    <row r="908">
      <c r="A908" s="620"/>
      <c r="B908" s="620"/>
      <c r="C908" s="620"/>
      <c r="D908" s="620"/>
      <c r="E908" s="620"/>
      <c r="F908" s="620"/>
      <c r="G908" s="620"/>
      <c r="H908" s="620"/>
      <c r="I908" s="620"/>
      <c r="J908" s="620"/>
      <c r="K908" s="620"/>
      <c r="L908" s="620"/>
      <c r="M908" s="620"/>
      <c r="N908" s="620"/>
      <c r="O908" s="620"/>
      <c r="P908" s="620"/>
      <c r="Q908" s="620"/>
      <c r="R908" s="620"/>
      <c r="S908" s="620"/>
      <c r="T908" s="620"/>
    </row>
    <row r="909">
      <c r="A909" s="620"/>
      <c r="B909" s="620"/>
      <c r="C909" s="620"/>
      <c r="D909" s="620"/>
      <c r="E909" s="620"/>
      <c r="F909" s="620"/>
      <c r="G909" s="620"/>
      <c r="H909" s="620"/>
      <c r="I909" s="620"/>
      <c r="J909" s="620"/>
      <c r="K909" s="620"/>
      <c r="L909" s="620"/>
      <c r="M909" s="620"/>
      <c r="N909" s="620"/>
      <c r="O909" s="620"/>
      <c r="P909" s="620"/>
      <c r="Q909" s="620"/>
      <c r="R909" s="620"/>
      <c r="S909" s="620"/>
      <c r="T909" s="620"/>
    </row>
    <row r="910">
      <c r="A910" s="620"/>
      <c r="B910" s="620"/>
      <c r="C910" s="620"/>
      <c r="D910" s="620"/>
      <c r="E910" s="620"/>
      <c r="F910" s="620"/>
      <c r="G910" s="620"/>
      <c r="H910" s="620"/>
      <c r="I910" s="620"/>
      <c r="J910" s="620"/>
      <c r="K910" s="620"/>
      <c r="L910" s="620"/>
      <c r="M910" s="620"/>
      <c r="N910" s="620"/>
      <c r="O910" s="620"/>
      <c r="P910" s="620"/>
      <c r="Q910" s="620"/>
      <c r="R910" s="620"/>
      <c r="S910" s="620"/>
      <c r="T910" s="620"/>
    </row>
    <row r="911">
      <c r="A911" s="620"/>
      <c r="B911" s="620"/>
      <c r="C911" s="620"/>
      <c r="D911" s="620"/>
      <c r="E911" s="620"/>
      <c r="F911" s="620"/>
      <c r="G911" s="620"/>
      <c r="H911" s="620"/>
      <c r="I911" s="620"/>
      <c r="J911" s="620"/>
      <c r="K911" s="620"/>
      <c r="L911" s="620"/>
      <c r="M911" s="620"/>
      <c r="N911" s="620"/>
      <c r="O911" s="620"/>
      <c r="P911" s="620"/>
      <c r="Q911" s="620"/>
      <c r="R911" s="620"/>
      <c r="S911" s="620"/>
      <c r="T911" s="620"/>
    </row>
    <row r="912">
      <c r="A912" s="620"/>
      <c r="B912" s="620"/>
      <c r="C912" s="620"/>
      <c r="D912" s="620"/>
      <c r="E912" s="620"/>
      <c r="F912" s="620"/>
      <c r="G912" s="620"/>
      <c r="H912" s="620"/>
      <c r="I912" s="620"/>
      <c r="J912" s="620"/>
      <c r="K912" s="620"/>
      <c r="L912" s="620"/>
      <c r="M912" s="620"/>
      <c r="N912" s="620"/>
      <c r="O912" s="620"/>
      <c r="P912" s="620"/>
      <c r="Q912" s="620"/>
      <c r="R912" s="620"/>
      <c r="S912" s="620"/>
      <c r="T912" s="620"/>
    </row>
    <row r="913">
      <c r="A913" s="620"/>
      <c r="B913" s="620"/>
      <c r="C913" s="620"/>
      <c r="D913" s="620"/>
      <c r="E913" s="620"/>
      <c r="F913" s="620"/>
      <c r="G913" s="620"/>
      <c r="H913" s="620"/>
      <c r="I913" s="620"/>
      <c r="J913" s="620"/>
      <c r="K913" s="620"/>
      <c r="L913" s="620"/>
      <c r="M913" s="620"/>
      <c r="N913" s="620"/>
      <c r="O913" s="620"/>
      <c r="P913" s="620"/>
      <c r="Q913" s="620"/>
      <c r="R913" s="620"/>
      <c r="S913" s="620"/>
      <c r="T913" s="620"/>
    </row>
    <row r="914">
      <c r="A914" s="620"/>
      <c r="B914" s="620"/>
      <c r="C914" s="620"/>
      <c r="D914" s="620"/>
      <c r="E914" s="620"/>
      <c r="F914" s="620"/>
      <c r="G914" s="620"/>
      <c r="H914" s="620"/>
      <c r="I914" s="620"/>
      <c r="J914" s="620"/>
      <c r="K914" s="620"/>
      <c r="L914" s="620"/>
      <c r="M914" s="620"/>
      <c r="N914" s="620"/>
      <c r="O914" s="620"/>
      <c r="P914" s="620"/>
      <c r="Q914" s="620"/>
      <c r="R914" s="620"/>
      <c r="S914" s="620"/>
      <c r="T914" s="620"/>
    </row>
    <row r="915">
      <c r="A915" s="620"/>
      <c r="B915" s="620"/>
      <c r="C915" s="620"/>
      <c r="D915" s="620"/>
      <c r="E915" s="620"/>
      <c r="F915" s="620"/>
      <c r="G915" s="620"/>
      <c r="H915" s="620"/>
      <c r="I915" s="620"/>
      <c r="J915" s="620"/>
      <c r="K915" s="620"/>
      <c r="L915" s="620"/>
      <c r="M915" s="620"/>
      <c r="N915" s="620"/>
      <c r="O915" s="620"/>
      <c r="P915" s="620"/>
      <c r="Q915" s="620"/>
      <c r="R915" s="620"/>
      <c r="S915" s="620"/>
      <c r="T915" s="620"/>
    </row>
    <row r="916">
      <c r="A916" s="620"/>
      <c r="B916" s="620"/>
      <c r="C916" s="620"/>
      <c r="D916" s="620"/>
      <c r="E916" s="620"/>
      <c r="F916" s="620"/>
      <c r="G916" s="620"/>
      <c r="H916" s="620"/>
      <c r="I916" s="620"/>
      <c r="J916" s="620"/>
      <c r="K916" s="620"/>
      <c r="L916" s="620"/>
      <c r="M916" s="620"/>
      <c r="N916" s="620"/>
      <c r="O916" s="620"/>
      <c r="P916" s="620"/>
      <c r="Q916" s="620"/>
      <c r="R916" s="620"/>
      <c r="S916" s="620"/>
      <c r="T916" s="620"/>
    </row>
    <row r="917">
      <c r="A917" s="620"/>
      <c r="B917" s="620"/>
      <c r="C917" s="620"/>
      <c r="D917" s="620"/>
      <c r="E917" s="620"/>
      <c r="F917" s="620"/>
      <c r="G917" s="620"/>
      <c r="H917" s="620"/>
      <c r="I917" s="620"/>
      <c r="J917" s="620"/>
      <c r="K917" s="620"/>
      <c r="L917" s="620"/>
      <c r="M917" s="620"/>
      <c r="N917" s="620"/>
      <c r="O917" s="620"/>
      <c r="P917" s="620"/>
      <c r="Q917" s="620"/>
      <c r="R917" s="620"/>
      <c r="S917" s="620"/>
      <c r="T917" s="620"/>
    </row>
    <row r="918">
      <c r="A918" s="620"/>
      <c r="B918" s="620"/>
      <c r="C918" s="620"/>
      <c r="D918" s="620"/>
      <c r="E918" s="620"/>
      <c r="F918" s="620"/>
      <c r="G918" s="620"/>
      <c r="H918" s="620"/>
      <c r="I918" s="620"/>
      <c r="J918" s="620"/>
      <c r="K918" s="620"/>
      <c r="L918" s="620"/>
      <c r="M918" s="620"/>
      <c r="N918" s="620"/>
      <c r="O918" s="620"/>
      <c r="P918" s="620"/>
      <c r="Q918" s="620"/>
      <c r="R918" s="620"/>
      <c r="S918" s="620"/>
      <c r="T918" s="620"/>
    </row>
    <row r="919">
      <c r="A919" s="620"/>
      <c r="B919" s="620"/>
      <c r="C919" s="620"/>
      <c r="D919" s="620"/>
      <c r="E919" s="620"/>
      <c r="F919" s="620"/>
      <c r="G919" s="620"/>
      <c r="H919" s="620"/>
      <c r="I919" s="620"/>
      <c r="J919" s="620"/>
      <c r="K919" s="620"/>
      <c r="L919" s="620"/>
      <c r="M919" s="620"/>
      <c r="N919" s="620"/>
      <c r="O919" s="620"/>
      <c r="P919" s="620"/>
      <c r="Q919" s="620"/>
      <c r="R919" s="620"/>
      <c r="S919" s="620"/>
      <c r="T919" s="620"/>
    </row>
    <row r="920">
      <c r="A920" s="620"/>
      <c r="B920" s="620"/>
      <c r="C920" s="620"/>
      <c r="D920" s="620"/>
      <c r="E920" s="620"/>
      <c r="F920" s="620"/>
      <c r="G920" s="620"/>
      <c r="H920" s="620"/>
      <c r="I920" s="620"/>
      <c r="J920" s="620"/>
      <c r="K920" s="620"/>
      <c r="L920" s="620"/>
      <c r="M920" s="620"/>
      <c r="N920" s="620"/>
      <c r="O920" s="620"/>
      <c r="P920" s="620"/>
      <c r="Q920" s="620"/>
      <c r="R920" s="620"/>
      <c r="S920" s="620"/>
      <c r="T920" s="620"/>
    </row>
    <row r="921">
      <c r="A921" s="620"/>
      <c r="B921" s="620"/>
      <c r="C921" s="620"/>
      <c r="D921" s="620"/>
      <c r="E921" s="620"/>
      <c r="F921" s="620"/>
      <c r="G921" s="620"/>
      <c r="H921" s="620"/>
      <c r="I921" s="620"/>
      <c r="J921" s="620"/>
      <c r="K921" s="620"/>
      <c r="L921" s="620"/>
      <c r="M921" s="620"/>
      <c r="N921" s="620"/>
      <c r="O921" s="620"/>
      <c r="P921" s="620"/>
      <c r="Q921" s="620"/>
      <c r="R921" s="620"/>
      <c r="S921" s="620"/>
      <c r="T921" s="620"/>
    </row>
    <row r="922">
      <c r="A922" s="620"/>
      <c r="B922" s="620"/>
      <c r="C922" s="620"/>
      <c r="D922" s="620"/>
      <c r="E922" s="620"/>
      <c r="F922" s="620"/>
      <c r="G922" s="620"/>
      <c r="H922" s="620"/>
      <c r="I922" s="620"/>
      <c r="J922" s="620"/>
      <c r="K922" s="620"/>
      <c r="L922" s="620"/>
      <c r="M922" s="620"/>
      <c r="N922" s="620"/>
      <c r="O922" s="620"/>
      <c r="P922" s="620"/>
      <c r="Q922" s="620"/>
      <c r="R922" s="620"/>
      <c r="S922" s="620"/>
      <c r="T922" s="620"/>
    </row>
    <row r="923">
      <c r="A923" s="620"/>
      <c r="B923" s="620"/>
      <c r="C923" s="620"/>
      <c r="D923" s="620"/>
      <c r="E923" s="620"/>
      <c r="F923" s="620"/>
      <c r="G923" s="620"/>
      <c r="H923" s="620"/>
      <c r="I923" s="620"/>
      <c r="J923" s="620"/>
      <c r="K923" s="620"/>
      <c r="L923" s="620"/>
      <c r="M923" s="620"/>
      <c r="N923" s="620"/>
      <c r="O923" s="620"/>
      <c r="P923" s="620"/>
      <c r="Q923" s="620"/>
      <c r="R923" s="620"/>
      <c r="S923" s="620"/>
      <c r="T923" s="620"/>
    </row>
    <row r="924">
      <c r="A924" s="620"/>
      <c r="B924" s="620"/>
      <c r="C924" s="620"/>
      <c r="D924" s="620"/>
      <c r="E924" s="620"/>
      <c r="F924" s="620"/>
      <c r="G924" s="620"/>
      <c r="H924" s="620"/>
      <c r="I924" s="620"/>
      <c r="J924" s="620"/>
      <c r="K924" s="620"/>
      <c r="L924" s="620"/>
      <c r="M924" s="620"/>
      <c r="N924" s="620"/>
      <c r="O924" s="620"/>
      <c r="P924" s="620"/>
      <c r="Q924" s="620"/>
      <c r="R924" s="620"/>
      <c r="S924" s="620"/>
      <c r="T924" s="620"/>
    </row>
    <row r="925">
      <c r="A925" s="620"/>
      <c r="B925" s="620"/>
      <c r="C925" s="620"/>
      <c r="D925" s="620"/>
      <c r="E925" s="620"/>
      <c r="F925" s="620"/>
      <c r="G925" s="620"/>
      <c r="H925" s="620"/>
      <c r="I925" s="620"/>
      <c r="J925" s="620"/>
      <c r="K925" s="620"/>
      <c r="L925" s="620"/>
      <c r="M925" s="620"/>
      <c r="N925" s="620"/>
      <c r="O925" s="620"/>
      <c r="P925" s="620"/>
      <c r="Q925" s="620"/>
      <c r="R925" s="620"/>
      <c r="S925" s="620"/>
      <c r="T925" s="620"/>
    </row>
    <row r="926">
      <c r="A926" s="620"/>
      <c r="B926" s="620"/>
      <c r="C926" s="620"/>
      <c r="D926" s="620"/>
      <c r="E926" s="620"/>
      <c r="F926" s="620"/>
      <c r="G926" s="620"/>
      <c r="H926" s="620"/>
      <c r="I926" s="620"/>
      <c r="J926" s="620"/>
      <c r="K926" s="620"/>
      <c r="L926" s="620"/>
      <c r="M926" s="620"/>
      <c r="N926" s="620"/>
      <c r="O926" s="620"/>
      <c r="P926" s="620"/>
      <c r="Q926" s="620"/>
      <c r="R926" s="620"/>
      <c r="S926" s="620"/>
      <c r="T926" s="620"/>
    </row>
    <row r="927">
      <c r="A927" s="620"/>
      <c r="B927" s="620"/>
      <c r="C927" s="620"/>
      <c r="D927" s="620"/>
      <c r="E927" s="620"/>
      <c r="F927" s="620"/>
      <c r="G927" s="620"/>
      <c r="H927" s="620"/>
      <c r="I927" s="620"/>
      <c r="J927" s="620"/>
      <c r="K927" s="620"/>
      <c r="L927" s="620"/>
      <c r="M927" s="620"/>
      <c r="N927" s="620"/>
      <c r="O927" s="620"/>
      <c r="P927" s="620"/>
      <c r="Q927" s="620"/>
      <c r="R927" s="620"/>
      <c r="S927" s="620"/>
      <c r="T927" s="620"/>
    </row>
    <row r="928">
      <c r="A928" s="620"/>
      <c r="B928" s="620"/>
      <c r="C928" s="620"/>
      <c r="D928" s="620"/>
      <c r="E928" s="620"/>
      <c r="F928" s="620"/>
      <c r="G928" s="620"/>
      <c r="H928" s="620"/>
      <c r="I928" s="620"/>
      <c r="J928" s="620"/>
      <c r="K928" s="620"/>
      <c r="L928" s="620"/>
      <c r="M928" s="620"/>
      <c r="N928" s="620"/>
      <c r="O928" s="620"/>
      <c r="P928" s="620"/>
      <c r="Q928" s="620"/>
      <c r="R928" s="620"/>
      <c r="S928" s="620"/>
      <c r="T928" s="620"/>
    </row>
    <row r="929">
      <c r="A929" s="620"/>
      <c r="B929" s="620"/>
      <c r="C929" s="620"/>
      <c r="D929" s="620"/>
      <c r="E929" s="620"/>
      <c r="F929" s="620"/>
      <c r="G929" s="620"/>
      <c r="H929" s="620"/>
      <c r="I929" s="620"/>
      <c r="J929" s="620"/>
      <c r="K929" s="620"/>
      <c r="L929" s="620"/>
      <c r="M929" s="620"/>
      <c r="N929" s="620"/>
      <c r="O929" s="620"/>
      <c r="P929" s="620"/>
      <c r="Q929" s="620"/>
      <c r="R929" s="620"/>
      <c r="S929" s="620"/>
      <c r="T929" s="620"/>
    </row>
    <row r="930">
      <c r="A930" s="620"/>
      <c r="B930" s="620"/>
      <c r="C930" s="620"/>
      <c r="D930" s="620"/>
      <c r="E930" s="620"/>
      <c r="F930" s="620"/>
      <c r="G930" s="620"/>
      <c r="H930" s="620"/>
      <c r="I930" s="620"/>
      <c r="J930" s="620"/>
      <c r="K930" s="620"/>
      <c r="L930" s="620"/>
      <c r="M930" s="620"/>
      <c r="N930" s="620"/>
      <c r="O930" s="620"/>
      <c r="P930" s="620"/>
      <c r="Q930" s="620"/>
      <c r="R930" s="620"/>
      <c r="S930" s="620"/>
      <c r="T930" s="620"/>
    </row>
    <row r="931">
      <c r="A931" s="620"/>
      <c r="B931" s="620"/>
      <c r="C931" s="620"/>
      <c r="D931" s="620"/>
      <c r="E931" s="620"/>
      <c r="F931" s="620"/>
      <c r="G931" s="620"/>
      <c r="H931" s="620"/>
      <c r="I931" s="620"/>
      <c r="J931" s="620"/>
      <c r="K931" s="620"/>
      <c r="L931" s="620"/>
      <c r="M931" s="620"/>
      <c r="N931" s="620"/>
      <c r="O931" s="620"/>
      <c r="P931" s="620"/>
      <c r="Q931" s="620"/>
      <c r="R931" s="620"/>
      <c r="S931" s="620"/>
      <c r="T931" s="620"/>
    </row>
    <row r="932">
      <c r="A932" s="620"/>
      <c r="B932" s="620"/>
      <c r="C932" s="620"/>
      <c r="D932" s="620"/>
      <c r="E932" s="620"/>
      <c r="F932" s="620"/>
      <c r="G932" s="620"/>
      <c r="H932" s="620"/>
      <c r="I932" s="620"/>
      <c r="J932" s="620"/>
      <c r="K932" s="620"/>
      <c r="L932" s="620"/>
      <c r="M932" s="620"/>
      <c r="N932" s="620"/>
      <c r="O932" s="620"/>
      <c r="P932" s="620"/>
      <c r="Q932" s="620"/>
      <c r="R932" s="620"/>
      <c r="S932" s="620"/>
      <c r="T932" s="620"/>
    </row>
    <row r="933">
      <c r="A933" s="620"/>
      <c r="B933" s="620"/>
      <c r="C933" s="620"/>
      <c r="D933" s="620"/>
      <c r="E933" s="620"/>
      <c r="F933" s="620"/>
      <c r="G933" s="620"/>
      <c r="H933" s="620"/>
      <c r="I933" s="620"/>
      <c r="J933" s="620"/>
      <c r="K933" s="620"/>
      <c r="L933" s="620"/>
      <c r="M933" s="620"/>
      <c r="N933" s="620"/>
      <c r="O933" s="620"/>
      <c r="P933" s="620"/>
      <c r="Q933" s="620"/>
      <c r="R933" s="620"/>
      <c r="S933" s="620"/>
      <c r="T933" s="620"/>
    </row>
    <row r="934">
      <c r="A934" s="620"/>
      <c r="B934" s="620"/>
      <c r="C934" s="620"/>
      <c r="D934" s="620"/>
      <c r="E934" s="620"/>
      <c r="F934" s="620"/>
      <c r="G934" s="620"/>
      <c r="H934" s="620"/>
      <c r="I934" s="620"/>
      <c r="J934" s="620"/>
      <c r="K934" s="620"/>
      <c r="L934" s="620"/>
      <c r="M934" s="620"/>
      <c r="N934" s="620"/>
      <c r="O934" s="620"/>
      <c r="P934" s="620"/>
      <c r="Q934" s="620"/>
      <c r="R934" s="620"/>
      <c r="S934" s="620"/>
      <c r="T934" s="620"/>
    </row>
    <row r="935">
      <c r="A935" s="620"/>
      <c r="B935" s="620"/>
      <c r="C935" s="620"/>
      <c r="D935" s="620"/>
      <c r="E935" s="620"/>
      <c r="F935" s="620"/>
      <c r="G935" s="620"/>
      <c r="H935" s="620"/>
      <c r="I935" s="620"/>
      <c r="J935" s="620"/>
      <c r="K935" s="620"/>
      <c r="L935" s="620"/>
      <c r="M935" s="620"/>
      <c r="N935" s="620"/>
      <c r="O935" s="620"/>
      <c r="P935" s="620"/>
      <c r="Q935" s="620"/>
      <c r="R935" s="620"/>
      <c r="S935" s="620"/>
      <c r="T935" s="620"/>
    </row>
    <row r="936">
      <c r="A936" s="620"/>
      <c r="B936" s="620"/>
      <c r="C936" s="620"/>
      <c r="D936" s="620"/>
      <c r="E936" s="620"/>
      <c r="F936" s="620"/>
      <c r="G936" s="620"/>
      <c r="H936" s="620"/>
      <c r="I936" s="620"/>
      <c r="J936" s="620"/>
      <c r="K936" s="620"/>
      <c r="L936" s="620"/>
      <c r="M936" s="620"/>
      <c r="N936" s="620"/>
      <c r="O936" s="620"/>
      <c r="P936" s="620"/>
      <c r="Q936" s="620"/>
      <c r="R936" s="620"/>
      <c r="S936" s="620"/>
      <c r="T936" s="620"/>
    </row>
    <row r="937">
      <c r="A937" s="620"/>
      <c r="B937" s="620"/>
      <c r="C937" s="620"/>
      <c r="D937" s="620"/>
      <c r="E937" s="620"/>
      <c r="F937" s="620"/>
      <c r="G937" s="620"/>
      <c r="H937" s="620"/>
      <c r="I937" s="620"/>
      <c r="J937" s="620"/>
      <c r="K937" s="620"/>
      <c r="L937" s="620"/>
      <c r="M937" s="620"/>
      <c r="N937" s="620"/>
      <c r="O937" s="620"/>
      <c r="P937" s="620"/>
      <c r="Q937" s="620"/>
      <c r="R937" s="620"/>
      <c r="S937" s="620"/>
      <c r="T937" s="620"/>
    </row>
    <row r="938">
      <c r="A938" s="620"/>
      <c r="B938" s="620"/>
      <c r="C938" s="620"/>
      <c r="D938" s="620"/>
      <c r="E938" s="620"/>
      <c r="F938" s="620"/>
      <c r="G938" s="620"/>
      <c r="H938" s="620"/>
      <c r="I938" s="620"/>
      <c r="J938" s="620"/>
      <c r="K938" s="620"/>
      <c r="L938" s="620"/>
      <c r="M938" s="620"/>
      <c r="N938" s="620"/>
      <c r="O938" s="620"/>
      <c r="P938" s="620"/>
      <c r="Q938" s="620"/>
      <c r="R938" s="620"/>
      <c r="S938" s="620"/>
      <c r="T938" s="620"/>
    </row>
    <row r="939">
      <c r="A939" s="620"/>
      <c r="B939" s="620"/>
      <c r="C939" s="620"/>
      <c r="D939" s="620"/>
      <c r="E939" s="620"/>
      <c r="F939" s="620"/>
      <c r="G939" s="620"/>
      <c r="H939" s="620"/>
      <c r="I939" s="620"/>
      <c r="J939" s="620"/>
      <c r="K939" s="620"/>
      <c r="L939" s="620"/>
      <c r="M939" s="620"/>
      <c r="N939" s="620"/>
      <c r="O939" s="620"/>
      <c r="P939" s="620"/>
      <c r="Q939" s="620"/>
      <c r="R939" s="620"/>
      <c r="S939" s="620"/>
      <c r="T939" s="620"/>
    </row>
    <row r="940">
      <c r="A940" s="620"/>
      <c r="B940" s="620"/>
      <c r="C940" s="620"/>
      <c r="D940" s="620"/>
      <c r="E940" s="620"/>
      <c r="F940" s="620"/>
      <c r="G940" s="620"/>
      <c r="H940" s="620"/>
      <c r="I940" s="620"/>
      <c r="J940" s="620"/>
      <c r="K940" s="620"/>
      <c r="L940" s="620"/>
      <c r="M940" s="620"/>
      <c r="N940" s="620"/>
      <c r="O940" s="620"/>
      <c r="P940" s="620"/>
      <c r="Q940" s="620"/>
      <c r="R940" s="620"/>
      <c r="S940" s="620"/>
      <c r="T940" s="620"/>
    </row>
    <row r="941">
      <c r="A941" s="620"/>
      <c r="B941" s="620"/>
      <c r="C941" s="620"/>
      <c r="D941" s="620"/>
      <c r="E941" s="620"/>
      <c r="F941" s="620"/>
      <c r="G941" s="620"/>
      <c r="H941" s="620"/>
      <c r="I941" s="620"/>
      <c r="J941" s="620"/>
      <c r="K941" s="620"/>
      <c r="L941" s="620"/>
      <c r="M941" s="620"/>
      <c r="N941" s="620"/>
      <c r="O941" s="620"/>
      <c r="P941" s="620"/>
      <c r="Q941" s="620"/>
      <c r="R941" s="620"/>
      <c r="S941" s="620"/>
      <c r="T941" s="620"/>
    </row>
    <row r="942">
      <c r="A942" s="620"/>
      <c r="B942" s="620"/>
      <c r="C942" s="620"/>
      <c r="D942" s="620"/>
      <c r="E942" s="620"/>
      <c r="F942" s="620"/>
      <c r="G942" s="620"/>
      <c r="H942" s="620"/>
      <c r="I942" s="620"/>
      <c r="J942" s="620"/>
      <c r="K942" s="620"/>
      <c r="L942" s="620"/>
      <c r="M942" s="620"/>
      <c r="N942" s="620"/>
      <c r="O942" s="620"/>
      <c r="P942" s="620"/>
      <c r="Q942" s="620"/>
      <c r="R942" s="620"/>
      <c r="S942" s="620"/>
      <c r="T942" s="620"/>
    </row>
    <row r="943">
      <c r="A943" s="620"/>
      <c r="B943" s="620"/>
      <c r="C943" s="620"/>
      <c r="D943" s="620"/>
      <c r="E943" s="620"/>
      <c r="F943" s="620"/>
      <c r="G943" s="620"/>
      <c r="H943" s="620"/>
      <c r="I943" s="620"/>
      <c r="J943" s="620"/>
      <c r="K943" s="620"/>
      <c r="L943" s="620"/>
      <c r="M943" s="620"/>
      <c r="N943" s="620"/>
      <c r="O943" s="620"/>
      <c r="P943" s="620"/>
      <c r="Q943" s="620"/>
      <c r="R943" s="620"/>
      <c r="S943" s="620"/>
      <c r="T943" s="620"/>
    </row>
    <row r="944">
      <c r="A944" s="620"/>
      <c r="B944" s="620"/>
      <c r="C944" s="620"/>
      <c r="D944" s="620"/>
      <c r="E944" s="620"/>
      <c r="F944" s="620"/>
      <c r="G944" s="620"/>
      <c r="H944" s="620"/>
      <c r="I944" s="620"/>
      <c r="J944" s="620"/>
      <c r="K944" s="620"/>
      <c r="L944" s="620"/>
      <c r="M944" s="620"/>
      <c r="N944" s="620"/>
      <c r="O944" s="620"/>
      <c r="P944" s="620"/>
      <c r="Q944" s="620"/>
      <c r="R944" s="620"/>
      <c r="S944" s="620"/>
      <c r="T944" s="620"/>
    </row>
    <row r="945">
      <c r="A945" s="620"/>
      <c r="B945" s="620"/>
      <c r="C945" s="620"/>
      <c r="D945" s="620"/>
      <c r="E945" s="620"/>
      <c r="F945" s="620"/>
      <c r="G945" s="620"/>
      <c r="H945" s="620"/>
      <c r="I945" s="620"/>
      <c r="J945" s="620"/>
      <c r="K945" s="620"/>
      <c r="L945" s="620"/>
      <c r="M945" s="620"/>
      <c r="N945" s="620"/>
      <c r="O945" s="620"/>
      <c r="P945" s="620"/>
      <c r="Q945" s="620"/>
      <c r="R945" s="620"/>
      <c r="S945" s="620"/>
      <c r="T945" s="620"/>
    </row>
    <row r="946">
      <c r="A946" s="620"/>
      <c r="B946" s="620"/>
      <c r="C946" s="620"/>
      <c r="D946" s="620"/>
      <c r="E946" s="620"/>
      <c r="F946" s="620"/>
      <c r="G946" s="620"/>
      <c r="H946" s="620"/>
      <c r="I946" s="620"/>
      <c r="J946" s="620"/>
      <c r="K946" s="620"/>
      <c r="L946" s="620"/>
      <c r="M946" s="620"/>
      <c r="N946" s="620"/>
      <c r="O946" s="620"/>
      <c r="P946" s="620"/>
      <c r="Q946" s="620"/>
      <c r="R946" s="620"/>
      <c r="S946" s="620"/>
      <c r="T946" s="620"/>
    </row>
    <row r="947">
      <c r="A947" s="620"/>
      <c r="B947" s="620"/>
      <c r="C947" s="620"/>
      <c r="D947" s="620"/>
      <c r="E947" s="620"/>
      <c r="F947" s="620"/>
      <c r="G947" s="620"/>
      <c r="H947" s="620"/>
      <c r="I947" s="620"/>
      <c r="J947" s="620"/>
      <c r="K947" s="620"/>
      <c r="L947" s="620"/>
      <c r="M947" s="620"/>
      <c r="N947" s="620"/>
      <c r="O947" s="620"/>
      <c r="P947" s="620"/>
      <c r="Q947" s="620"/>
      <c r="R947" s="620"/>
      <c r="S947" s="620"/>
      <c r="T947" s="620"/>
    </row>
    <row r="948">
      <c r="A948" s="620"/>
      <c r="B948" s="620"/>
      <c r="C948" s="620"/>
      <c r="D948" s="620"/>
      <c r="E948" s="620"/>
      <c r="F948" s="620"/>
      <c r="G948" s="620"/>
      <c r="H948" s="620"/>
      <c r="I948" s="620"/>
      <c r="J948" s="620"/>
      <c r="K948" s="620"/>
      <c r="L948" s="620"/>
      <c r="M948" s="620"/>
      <c r="N948" s="620"/>
      <c r="O948" s="620"/>
      <c r="P948" s="620"/>
      <c r="Q948" s="620"/>
      <c r="R948" s="620"/>
      <c r="S948" s="620"/>
      <c r="T948" s="620"/>
    </row>
    <row r="949">
      <c r="A949" s="620"/>
      <c r="B949" s="620"/>
      <c r="C949" s="620"/>
      <c r="D949" s="620"/>
      <c r="E949" s="620"/>
      <c r="F949" s="620"/>
      <c r="G949" s="620"/>
      <c r="H949" s="620"/>
      <c r="I949" s="620"/>
      <c r="J949" s="620"/>
      <c r="K949" s="620"/>
      <c r="L949" s="620"/>
      <c r="M949" s="620"/>
      <c r="N949" s="620"/>
      <c r="O949" s="620"/>
      <c r="P949" s="620"/>
      <c r="Q949" s="620"/>
      <c r="R949" s="620"/>
      <c r="S949" s="620"/>
      <c r="T949" s="620"/>
    </row>
    <row r="950">
      <c r="A950" s="620"/>
      <c r="B950" s="620"/>
      <c r="C950" s="620"/>
      <c r="D950" s="620"/>
      <c r="E950" s="620"/>
      <c r="F950" s="620"/>
      <c r="G950" s="620"/>
      <c r="H950" s="620"/>
      <c r="I950" s="620"/>
      <c r="J950" s="620"/>
      <c r="K950" s="620"/>
      <c r="L950" s="620"/>
      <c r="M950" s="620"/>
      <c r="N950" s="620"/>
      <c r="O950" s="620"/>
      <c r="P950" s="620"/>
      <c r="Q950" s="620"/>
      <c r="R950" s="620"/>
      <c r="S950" s="620"/>
      <c r="T950" s="620"/>
    </row>
    <row r="951">
      <c r="A951" s="620"/>
      <c r="B951" s="620"/>
      <c r="C951" s="620"/>
      <c r="D951" s="620"/>
      <c r="E951" s="620"/>
      <c r="F951" s="620"/>
      <c r="G951" s="620"/>
      <c r="H951" s="620"/>
      <c r="I951" s="620"/>
      <c r="J951" s="620"/>
      <c r="K951" s="620"/>
      <c r="L951" s="620"/>
      <c r="M951" s="620"/>
      <c r="N951" s="620"/>
      <c r="O951" s="620"/>
      <c r="P951" s="620"/>
      <c r="Q951" s="620"/>
      <c r="R951" s="620"/>
      <c r="S951" s="620"/>
      <c r="T951" s="620"/>
    </row>
    <row r="952">
      <c r="A952" s="620"/>
      <c r="B952" s="620"/>
      <c r="C952" s="620"/>
      <c r="D952" s="620"/>
      <c r="E952" s="620"/>
      <c r="F952" s="620"/>
      <c r="G952" s="620"/>
      <c r="H952" s="620"/>
      <c r="I952" s="620"/>
      <c r="J952" s="620"/>
      <c r="K952" s="620"/>
      <c r="L952" s="620"/>
      <c r="M952" s="620"/>
      <c r="N952" s="620"/>
      <c r="O952" s="620"/>
      <c r="P952" s="620"/>
      <c r="Q952" s="620"/>
      <c r="R952" s="620"/>
      <c r="S952" s="620"/>
      <c r="T952" s="620"/>
    </row>
    <row r="953">
      <c r="A953" s="620"/>
      <c r="B953" s="620"/>
      <c r="C953" s="620"/>
      <c r="D953" s="620"/>
      <c r="E953" s="620"/>
      <c r="F953" s="620"/>
      <c r="G953" s="620"/>
      <c r="H953" s="620"/>
      <c r="I953" s="620"/>
      <c r="J953" s="620"/>
      <c r="K953" s="620"/>
      <c r="L953" s="620"/>
      <c r="M953" s="620"/>
      <c r="N953" s="620"/>
      <c r="O953" s="620"/>
      <c r="P953" s="620"/>
      <c r="Q953" s="620"/>
      <c r="R953" s="620"/>
      <c r="S953" s="620"/>
      <c r="T953" s="620"/>
    </row>
    <row r="954">
      <c r="A954" s="620"/>
      <c r="B954" s="620"/>
      <c r="C954" s="620"/>
      <c r="D954" s="620"/>
      <c r="E954" s="620"/>
      <c r="F954" s="620"/>
      <c r="G954" s="620"/>
      <c r="H954" s="620"/>
      <c r="I954" s="620"/>
      <c r="J954" s="620"/>
      <c r="K954" s="620"/>
      <c r="L954" s="620"/>
      <c r="M954" s="620"/>
      <c r="N954" s="620"/>
      <c r="O954" s="620"/>
      <c r="P954" s="620"/>
      <c r="Q954" s="620"/>
      <c r="R954" s="620"/>
      <c r="S954" s="620"/>
      <c r="T954" s="620"/>
    </row>
    <row r="955">
      <c r="A955" s="620"/>
      <c r="B955" s="620"/>
      <c r="C955" s="620"/>
      <c r="D955" s="620"/>
      <c r="E955" s="620"/>
      <c r="F955" s="620"/>
      <c r="G955" s="620"/>
      <c r="H955" s="620"/>
      <c r="I955" s="620"/>
      <c r="J955" s="620"/>
      <c r="K955" s="620"/>
      <c r="L955" s="620"/>
      <c r="M955" s="620"/>
      <c r="N955" s="620"/>
      <c r="O955" s="620"/>
      <c r="P955" s="620"/>
      <c r="Q955" s="620"/>
      <c r="R955" s="620"/>
      <c r="S955" s="620"/>
      <c r="T955" s="620"/>
    </row>
    <row r="956">
      <c r="A956" s="620"/>
      <c r="B956" s="620"/>
      <c r="C956" s="620"/>
      <c r="D956" s="620"/>
      <c r="E956" s="620"/>
      <c r="F956" s="620"/>
      <c r="G956" s="620"/>
      <c r="H956" s="620"/>
      <c r="I956" s="620"/>
      <c r="J956" s="620"/>
      <c r="K956" s="620"/>
      <c r="L956" s="620"/>
      <c r="M956" s="620"/>
      <c r="N956" s="620"/>
      <c r="O956" s="620"/>
      <c r="P956" s="620"/>
      <c r="Q956" s="620"/>
      <c r="R956" s="620"/>
      <c r="S956" s="620"/>
      <c r="T956" s="620"/>
    </row>
    <row r="957">
      <c r="A957" s="620"/>
      <c r="B957" s="620"/>
      <c r="C957" s="620"/>
      <c r="D957" s="620"/>
      <c r="E957" s="620"/>
      <c r="F957" s="620"/>
      <c r="G957" s="620"/>
      <c r="H957" s="620"/>
      <c r="I957" s="620"/>
      <c r="J957" s="620"/>
      <c r="K957" s="620"/>
      <c r="L957" s="620"/>
      <c r="M957" s="620"/>
      <c r="N957" s="620"/>
      <c r="O957" s="620"/>
      <c r="P957" s="620"/>
      <c r="Q957" s="620"/>
      <c r="R957" s="620"/>
      <c r="S957" s="620"/>
      <c r="T957" s="620"/>
    </row>
    <row r="958">
      <c r="A958" s="620"/>
      <c r="B958" s="620"/>
      <c r="C958" s="620"/>
      <c r="D958" s="620"/>
      <c r="E958" s="620"/>
      <c r="F958" s="620"/>
      <c r="G958" s="620"/>
      <c r="H958" s="620"/>
      <c r="I958" s="620"/>
      <c r="J958" s="620"/>
      <c r="K958" s="620"/>
      <c r="L958" s="620"/>
      <c r="M958" s="620"/>
      <c r="N958" s="620"/>
      <c r="O958" s="620"/>
      <c r="P958" s="620"/>
      <c r="Q958" s="620"/>
      <c r="R958" s="620"/>
      <c r="S958" s="620"/>
      <c r="T958" s="620"/>
    </row>
    <row r="959">
      <c r="A959" s="620"/>
      <c r="B959" s="620"/>
      <c r="C959" s="620"/>
      <c r="D959" s="620"/>
      <c r="E959" s="620"/>
      <c r="F959" s="620"/>
      <c r="G959" s="620"/>
      <c r="H959" s="620"/>
      <c r="I959" s="620"/>
      <c r="J959" s="620"/>
      <c r="K959" s="620"/>
      <c r="L959" s="620"/>
      <c r="M959" s="620"/>
      <c r="N959" s="620"/>
      <c r="O959" s="620"/>
      <c r="P959" s="620"/>
      <c r="Q959" s="620"/>
      <c r="R959" s="620"/>
      <c r="S959" s="620"/>
      <c r="T959" s="620"/>
    </row>
    <row r="960">
      <c r="A960" s="620"/>
      <c r="B960" s="620"/>
      <c r="C960" s="620"/>
      <c r="D960" s="620"/>
      <c r="E960" s="620"/>
      <c r="F960" s="620"/>
      <c r="G960" s="620"/>
      <c r="H960" s="620"/>
      <c r="I960" s="620"/>
      <c r="J960" s="620"/>
      <c r="K960" s="620"/>
      <c r="L960" s="620"/>
      <c r="M960" s="620"/>
      <c r="N960" s="620"/>
      <c r="O960" s="620"/>
      <c r="P960" s="620"/>
      <c r="Q960" s="620"/>
      <c r="R960" s="620"/>
      <c r="S960" s="620"/>
      <c r="T960" s="620"/>
    </row>
    <row r="961">
      <c r="A961" s="620"/>
      <c r="B961" s="620"/>
      <c r="C961" s="620"/>
      <c r="D961" s="620"/>
      <c r="E961" s="620"/>
      <c r="F961" s="620"/>
      <c r="G961" s="620"/>
      <c r="H961" s="620"/>
      <c r="I961" s="620"/>
      <c r="J961" s="620"/>
      <c r="K961" s="620"/>
      <c r="L961" s="620"/>
      <c r="M961" s="620"/>
      <c r="N961" s="620"/>
      <c r="O961" s="620"/>
      <c r="P961" s="620"/>
      <c r="Q961" s="620"/>
      <c r="R961" s="620"/>
      <c r="S961" s="620"/>
      <c r="T961" s="620"/>
    </row>
    <row r="962">
      <c r="A962" s="620"/>
      <c r="B962" s="620"/>
      <c r="C962" s="620"/>
      <c r="D962" s="620"/>
      <c r="E962" s="620"/>
      <c r="F962" s="620"/>
      <c r="G962" s="620"/>
      <c r="H962" s="620"/>
      <c r="I962" s="620"/>
      <c r="J962" s="620"/>
      <c r="K962" s="620"/>
      <c r="L962" s="620"/>
      <c r="M962" s="620"/>
      <c r="N962" s="620"/>
      <c r="O962" s="620"/>
      <c r="P962" s="620"/>
      <c r="Q962" s="620"/>
      <c r="R962" s="620"/>
      <c r="S962" s="620"/>
      <c r="T962" s="620"/>
    </row>
    <row r="963">
      <c r="A963" s="620"/>
      <c r="B963" s="620"/>
      <c r="C963" s="620"/>
      <c r="D963" s="620"/>
      <c r="E963" s="620"/>
      <c r="F963" s="620"/>
      <c r="G963" s="620"/>
      <c r="H963" s="620"/>
      <c r="I963" s="620"/>
      <c r="J963" s="620"/>
      <c r="K963" s="620"/>
      <c r="L963" s="620"/>
      <c r="M963" s="620"/>
      <c r="N963" s="620"/>
      <c r="O963" s="620"/>
      <c r="P963" s="620"/>
      <c r="Q963" s="620"/>
      <c r="R963" s="620"/>
      <c r="S963" s="620"/>
      <c r="T963" s="620"/>
    </row>
    <row r="964">
      <c r="A964" s="620"/>
      <c r="B964" s="620"/>
      <c r="C964" s="620"/>
      <c r="D964" s="620"/>
      <c r="E964" s="620"/>
      <c r="F964" s="620"/>
      <c r="G964" s="620"/>
      <c r="H964" s="620"/>
      <c r="I964" s="620"/>
      <c r="J964" s="620"/>
      <c r="K964" s="620"/>
      <c r="L964" s="620"/>
      <c r="M964" s="620"/>
      <c r="N964" s="620"/>
      <c r="O964" s="620"/>
      <c r="P964" s="620"/>
      <c r="Q964" s="620"/>
      <c r="R964" s="620"/>
      <c r="S964" s="620"/>
      <c r="T964" s="620"/>
    </row>
    <row r="965">
      <c r="A965" s="620"/>
      <c r="B965" s="620"/>
      <c r="C965" s="620"/>
      <c r="D965" s="620"/>
      <c r="E965" s="620"/>
      <c r="F965" s="620"/>
      <c r="G965" s="620"/>
      <c r="H965" s="620"/>
      <c r="I965" s="620"/>
      <c r="J965" s="620"/>
      <c r="K965" s="620"/>
      <c r="L965" s="620"/>
      <c r="M965" s="620"/>
      <c r="N965" s="620"/>
      <c r="O965" s="620"/>
      <c r="P965" s="620"/>
      <c r="Q965" s="620"/>
      <c r="R965" s="620"/>
      <c r="S965" s="620"/>
      <c r="T965" s="620"/>
    </row>
    <row r="966">
      <c r="A966" s="620"/>
      <c r="B966" s="620"/>
      <c r="C966" s="620"/>
      <c r="D966" s="620"/>
      <c r="E966" s="620"/>
      <c r="F966" s="620"/>
      <c r="G966" s="620"/>
      <c r="H966" s="620"/>
      <c r="I966" s="620"/>
      <c r="J966" s="620"/>
      <c r="K966" s="620"/>
      <c r="L966" s="620"/>
      <c r="M966" s="620"/>
      <c r="N966" s="620"/>
      <c r="O966" s="620"/>
      <c r="P966" s="620"/>
      <c r="Q966" s="620"/>
      <c r="R966" s="620"/>
      <c r="S966" s="620"/>
      <c r="T966" s="620"/>
    </row>
    <row r="967">
      <c r="A967" s="620"/>
      <c r="B967" s="620"/>
      <c r="C967" s="620"/>
      <c r="D967" s="620"/>
      <c r="E967" s="620"/>
      <c r="F967" s="620"/>
      <c r="G967" s="620"/>
      <c r="H967" s="620"/>
      <c r="I967" s="620"/>
      <c r="J967" s="620"/>
      <c r="K967" s="620"/>
      <c r="L967" s="620"/>
      <c r="M967" s="620"/>
      <c r="N967" s="620"/>
      <c r="O967" s="620"/>
      <c r="P967" s="620"/>
      <c r="Q967" s="620"/>
      <c r="R967" s="620"/>
      <c r="S967" s="620"/>
      <c r="T967" s="620"/>
    </row>
    <row r="968">
      <c r="A968" s="620"/>
      <c r="B968" s="620"/>
      <c r="C968" s="620"/>
      <c r="D968" s="620"/>
      <c r="E968" s="620"/>
      <c r="F968" s="620"/>
      <c r="G968" s="620"/>
      <c r="H968" s="620"/>
      <c r="I968" s="620"/>
      <c r="J968" s="620"/>
      <c r="K968" s="620"/>
      <c r="L968" s="620"/>
      <c r="M968" s="620"/>
      <c r="N968" s="620"/>
      <c r="O968" s="620"/>
      <c r="P968" s="620"/>
      <c r="Q968" s="620"/>
      <c r="R968" s="620"/>
      <c r="S968" s="620"/>
      <c r="T968" s="620"/>
    </row>
    <row r="969">
      <c r="A969" s="620"/>
      <c r="B969" s="620"/>
      <c r="C969" s="620"/>
      <c r="D969" s="620"/>
      <c r="E969" s="620"/>
      <c r="F969" s="620"/>
      <c r="G969" s="620"/>
      <c r="H969" s="620"/>
      <c r="I969" s="620"/>
      <c r="J969" s="620"/>
      <c r="K969" s="620"/>
      <c r="L969" s="620"/>
      <c r="M969" s="620"/>
      <c r="N969" s="620"/>
      <c r="O969" s="620"/>
      <c r="P969" s="620"/>
      <c r="Q969" s="620"/>
      <c r="R969" s="620"/>
      <c r="S969" s="620"/>
      <c r="T969" s="620"/>
    </row>
    <row r="970">
      <c r="A970" s="620"/>
      <c r="B970" s="620"/>
      <c r="C970" s="620"/>
      <c r="D970" s="620"/>
      <c r="E970" s="620"/>
      <c r="F970" s="620"/>
      <c r="G970" s="620"/>
      <c r="H970" s="620"/>
      <c r="I970" s="620"/>
      <c r="J970" s="620"/>
      <c r="K970" s="620"/>
      <c r="L970" s="620"/>
      <c r="M970" s="620"/>
      <c r="N970" s="620"/>
      <c r="O970" s="620"/>
      <c r="P970" s="620"/>
      <c r="Q970" s="620"/>
      <c r="R970" s="620"/>
      <c r="S970" s="620"/>
      <c r="T970" s="620"/>
    </row>
    <row r="971">
      <c r="A971" s="620"/>
      <c r="B971" s="620"/>
      <c r="C971" s="620"/>
      <c r="D971" s="620"/>
      <c r="E971" s="620"/>
      <c r="F971" s="620"/>
      <c r="G971" s="620"/>
      <c r="H971" s="620"/>
      <c r="I971" s="620"/>
      <c r="J971" s="620"/>
      <c r="K971" s="620"/>
      <c r="L971" s="620"/>
      <c r="M971" s="620"/>
      <c r="N971" s="620"/>
      <c r="O971" s="620"/>
      <c r="P971" s="620"/>
      <c r="Q971" s="620"/>
      <c r="R971" s="620"/>
      <c r="S971" s="620"/>
      <c r="T971" s="620"/>
    </row>
    <row r="972">
      <c r="A972" s="620"/>
      <c r="B972" s="620"/>
      <c r="C972" s="620"/>
      <c r="D972" s="620"/>
      <c r="E972" s="620"/>
      <c r="F972" s="620"/>
      <c r="G972" s="620"/>
      <c r="H972" s="620"/>
      <c r="I972" s="620"/>
      <c r="J972" s="620"/>
      <c r="K972" s="620"/>
      <c r="L972" s="620"/>
      <c r="M972" s="620"/>
      <c r="N972" s="620"/>
      <c r="O972" s="620"/>
      <c r="P972" s="620"/>
      <c r="Q972" s="620"/>
      <c r="R972" s="620"/>
      <c r="S972" s="620"/>
      <c r="T972" s="620"/>
    </row>
    <row r="973">
      <c r="A973" s="620"/>
      <c r="B973" s="620"/>
      <c r="C973" s="620"/>
      <c r="D973" s="620"/>
      <c r="E973" s="620"/>
      <c r="F973" s="620"/>
      <c r="G973" s="620"/>
      <c r="H973" s="620"/>
      <c r="I973" s="620"/>
      <c r="J973" s="620"/>
      <c r="K973" s="620"/>
      <c r="L973" s="620"/>
      <c r="M973" s="620"/>
      <c r="N973" s="620"/>
      <c r="O973" s="620"/>
      <c r="P973" s="620"/>
      <c r="Q973" s="620"/>
      <c r="R973" s="620"/>
      <c r="S973" s="620"/>
      <c r="T973" s="620"/>
    </row>
    <row r="974">
      <c r="A974" s="620"/>
      <c r="B974" s="620"/>
      <c r="C974" s="620"/>
      <c r="D974" s="620"/>
      <c r="E974" s="620"/>
      <c r="F974" s="620"/>
      <c r="G974" s="620"/>
      <c r="H974" s="620"/>
      <c r="I974" s="620"/>
      <c r="J974" s="620"/>
      <c r="K974" s="620"/>
      <c r="L974" s="620"/>
      <c r="M974" s="620"/>
      <c r="N974" s="620"/>
      <c r="O974" s="620"/>
      <c r="P974" s="620"/>
      <c r="Q974" s="620"/>
      <c r="R974" s="620"/>
      <c r="S974" s="620"/>
      <c r="T974" s="620"/>
    </row>
    <row r="975">
      <c r="A975" s="620"/>
      <c r="B975" s="620"/>
      <c r="C975" s="620"/>
      <c r="D975" s="620"/>
      <c r="E975" s="620"/>
      <c r="F975" s="620"/>
      <c r="G975" s="620"/>
      <c r="H975" s="620"/>
      <c r="I975" s="620"/>
      <c r="J975" s="620"/>
      <c r="K975" s="620"/>
      <c r="L975" s="620"/>
      <c r="M975" s="620"/>
      <c r="N975" s="620"/>
      <c r="O975" s="620"/>
      <c r="P975" s="620"/>
      <c r="Q975" s="620"/>
      <c r="R975" s="620"/>
      <c r="S975" s="620"/>
      <c r="T975" s="620"/>
    </row>
    <row r="976">
      <c r="A976" s="620"/>
      <c r="B976" s="620"/>
      <c r="C976" s="620"/>
      <c r="D976" s="620"/>
      <c r="E976" s="620"/>
      <c r="F976" s="620"/>
      <c r="G976" s="620"/>
      <c r="H976" s="620"/>
      <c r="I976" s="620"/>
      <c r="J976" s="620"/>
      <c r="K976" s="620"/>
      <c r="L976" s="620"/>
      <c r="M976" s="620"/>
      <c r="N976" s="620"/>
      <c r="O976" s="620"/>
      <c r="P976" s="620"/>
      <c r="Q976" s="620"/>
      <c r="R976" s="620"/>
      <c r="S976" s="620"/>
      <c r="T976" s="620"/>
    </row>
    <row r="977">
      <c r="A977" s="620"/>
      <c r="B977" s="620"/>
      <c r="C977" s="620"/>
      <c r="D977" s="620"/>
      <c r="E977" s="620"/>
      <c r="F977" s="620"/>
      <c r="G977" s="620"/>
      <c r="H977" s="620"/>
      <c r="I977" s="620"/>
      <c r="J977" s="620"/>
      <c r="K977" s="620"/>
      <c r="L977" s="620"/>
      <c r="M977" s="620"/>
      <c r="N977" s="620"/>
      <c r="O977" s="620"/>
      <c r="P977" s="620"/>
      <c r="Q977" s="620"/>
      <c r="R977" s="620"/>
      <c r="S977" s="620"/>
      <c r="T977" s="620"/>
    </row>
    <row r="978">
      <c r="A978" s="620"/>
      <c r="B978" s="620"/>
      <c r="C978" s="620"/>
      <c r="D978" s="620"/>
      <c r="E978" s="620"/>
      <c r="F978" s="620"/>
      <c r="G978" s="620"/>
      <c r="H978" s="620"/>
      <c r="I978" s="620"/>
      <c r="J978" s="620"/>
      <c r="K978" s="620"/>
      <c r="L978" s="620"/>
      <c r="M978" s="620"/>
      <c r="N978" s="620"/>
      <c r="O978" s="620"/>
      <c r="P978" s="620"/>
      <c r="Q978" s="620"/>
      <c r="R978" s="620"/>
      <c r="S978" s="620"/>
      <c r="T978" s="620"/>
    </row>
    <row r="979">
      <c r="A979" s="620"/>
      <c r="B979" s="620"/>
      <c r="C979" s="620"/>
      <c r="D979" s="620"/>
      <c r="E979" s="620"/>
      <c r="F979" s="620"/>
      <c r="G979" s="620"/>
      <c r="H979" s="620"/>
      <c r="I979" s="620"/>
      <c r="J979" s="620"/>
      <c r="K979" s="620"/>
      <c r="L979" s="620"/>
      <c r="M979" s="620"/>
      <c r="N979" s="620"/>
      <c r="O979" s="620"/>
      <c r="P979" s="620"/>
      <c r="Q979" s="620"/>
      <c r="R979" s="620"/>
      <c r="S979" s="620"/>
      <c r="T979" s="620"/>
    </row>
    <row r="980">
      <c r="A980" s="620"/>
      <c r="B980" s="620"/>
      <c r="C980" s="620"/>
      <c r="D980" s="620"/>
      <c r="E980" s="620"/>
      <c r="F980" s="620"/>
      <c r="G980" s="620"/>
      <c r="H980" s="620"/>
      <c r="I980" s="620"/>
      <c r="J980" s="620"/>
      <c r="K980" s="620"/>
      <c r="L980" s="620"/>
      <c r="M980" s="620"/>
      <c r="N980" s="620"/>
      <c r="O980" s="620"/>
      <c r="P980" s="620"/>
      <c r="Q980" s="620"/>
      <c r="R980" s="620"/>
      <c r="S980" s="620"/>
      <c r="T980" s="620"/>
    </row>
    <row r="981">
      <c r="A981" s="620"/>
      <c r="B981" s="620"/>
      <c r="C981" s="620"/>
      <c r="D981" s="620"/>
      <c r="E981" s="620"/>
      <c r="F981" s="620"/>
      <c r="G981" s="620"/>
      <c r="H981" s="620"/>
      <c r="I981" s="620"/>
      <c r="J981" s="620"/>
      <c r="K981" s="620"/>
      <c r="L981" s="620"/>
      <c r="M981" s="620"/>
      <c r="N981" s="620"/>
      <c r="O981" s="620"/>
      <c r="P981" s="620"/>
      <c r="Q981" s="620"/>
      <c r="R981" s="620"/>
      <c r="S981" s="620"/>
      <c r="T981" s="620"/>
    </row>
    <row r="982">
      <c r="A982" s="620"/>
      <c r="B982" s="620"/>
      <c r="C982" s="620"/>
      <c r="D982" s="620"/>
      <c r="E982" s="620"/>
      <c r="F982" s="620"/>
      <c r="G982" s="620"/>
      <c r="H982" s="620"/>
      <c r="I982" s="620"/>
      <c r="J982" s="620"/>
      <c r="K982" s="620"/>
      <c r="L982" s="620"/>
      <c r="M982" s="620"/>
      <c r="N982" s="620"/>
      <c r="O982" s="620"/>
      <c r="P982" s="620"/>
      <c r="Q982" s="620"/>
      <c r="R982" s="620"/>
      <c r="S982" s="620"/>
      <c r="T982" s="620"/>
    </row>
    <row r="983">
      <c r="A983" s="620"/>
      <c r="B983" s="620"/>
      <c r="C983" s="620"/>
      <c r="D983" s="620"/>
      <c r="E983" s="620"/>
      <c r="F983" s="620"/>
      <c r="G983" s="620"/>
      <c r="H983" s="620"/>
      <c r="I983" s="620"/>
      <c r="J983" s="620"/>
      <c r="K983" s="620"/>
      <c r="L983" s="620"/>
      <c r="M983" s="620"/>
      <c r="N983" s="620"/>
      <c r="O983" s="620"/>
      <c r="P983" s="620"/>
      <c r="Q983" s="620"/>
      <c r="R983" s="620"/>
      <c r="S983" s="620"/>
      <c r="T983" s="620"/>
    </row>
    <row r="984">
      <c r="A984" s="620"/>
      <c r="B984" s="620"/>
      <c r="C984" s="620"/>
      <c r="D984" s="620"/>
      <c r="E984" s="620"/>
      <c r="F984" s="620"/>
      <c r="G984" s="620"/>
      <c r="H984" s="620"/>
      <c r="I984" s="620"/>
      <c r="J984" s="620"/>
      <c r="K984" s="620"/>
      <c r="L984" s="620"/>
      <c r="M984" s="620"/>
      <c r="N984" s="620"/>
      <c r="O984" s="620"/>
      <c r="P984" s="620"/>
      <c r="Q984" s="620"/>
      <c r="R984" s="620"/>
      <c r="S984" s="620"/>
      <c r="T984" s="620"/>
    </row>
    <row r="985">
      <c r="A985" s="620"/>
      <c r="B985" s="620"/>
      <c r="C985" s="620"/>
      <c r="D985" s="620"/>
      <c r="E985" s="620"/>
      <c r="F985" s="620"/>
      <c r="G985" s="620"/>
      <c r="H985" s="620"/>
      <c r="I985" s="620"/>
      <c r="J985" s="620"/>
      <c r="K985" s="620"/>
      <c r="L985" s="620"/>
      <c r="M985" s="620"/>
      <c r="N985" s="620"/>
      <c r="O985" s="620"/>
      <c r="P985" s="620"/>
      <c r="Q985" s="620"/>
      <c r="R985" s="620"/>
      <c r="S985" s="620"/>
      <c r="T985" s="620"/>
    </row>
    <row r="986">
      <c r="A986" s="620"/>
      <c r="B986" s="620"/>
      <c r="C986" s="620"/>
      <c r="D986" s="620"/>
      <c r="E986" s="620"/>
      <c r="F986" s="620"/>
      <c r="G986" s="620"/>
      <c r="H986" s="620"/>
      <c r="I986" s="620"/>
      <c r="J986" s="620"/>
      <c r="K986" s="620"/>
      <c r="L986" s="620"/>
      <c r="M986" s="620"/>
      <c r="N986" s="620"/>
      <c r="O986" s="620"/>
      <c r="P986" s="620"/>
      <c r="Q986" s="620"/>
      <c r="R986" s="620"/>
      <c r="S986" s="620"/>
      <c r="T986" s="620"/>
    </row>
    <row r="987">
      <c r="A987" s="620"/>
      <c r="B987" s="620"/>
      <c r="C987" s="620"/>
      <c r="D987" s="620"/>
      <c r="E987" s="620"/>
      <c r="F987" s="620"/>
      <c r="G987" s="620"/>
      <c r="H987" s="620"/>
      <c r="I987" s="620"/>
      <c r="J987" s="620"/>
      <c r="K987" s="620"/>
      <c r="L987" s="620"/>
      <c r="M987" s="620"/>
      <c r="N987" s="620"/>
      <c r="O987" s="620"/>
      <c r="P987" s="620"/>
      <c r="Q987" s="620"/>
      <c r="R987" s="620"/>
      <c r="S987" s="620"/>
      <c r="T987" s="620"/>
    </row>
    <row r="988">
      <c r="A988" s="620"/>
      <c r="B988" s="620"/>
      <c r="C988" s="620"/>
      <c r="D988" s="620"/>
      <c r="E988" s="620"/>
      <c r="F988" s="620"/>
      <c r="G988" s="620"/>
      <c r="H988" s="620"/>
      <c r="I988" s="620"/>
      <c r="J988" s="620"/>
      <c r="K988" s="620"/>
      <c r="L988" s="620"/>
      <c r="M988" s="620"/>
      <c r="N988" s="620"/>
      <c r="O988" s="620"/>
      <c r="P988" s="620"/>
      <c r="Q988" s="620"/>
      <c r="R988" s="620"/>
      <c r="S988" s="620"/>
      <c r="T988" s="620"/>
    </row>
    <row r="989">
      <c r="A989" s="620"/>
      <c r="B989" s="620"/>
      <c r="C989" s="620"/>
      <c r="D989" s="620"/>
      <c r="E989" s="620"/>
      <c r="F989" s="620"/>
      <c r="G989" s="620"/>
      <c r="H989" s="620"/>
      <c r="I989" s="620"/>
      <c r="J989" s="620"/>
      <c r="K989" s="620"/>
      <c r="L989" s="620"/>
      <c r="M989" s="620"/>
      <c r="N989" s="620"/>
      <c r="O989" s="620"/>
      <c r="P989" s="620"/>
      <c r="Q989" s="620"/>
      <c r="R989" s="620"/>
      <c r="S989" s="620"/>
      <c r="T989" s="620"/>
    </row>
    <row r="990">
      <c r="A990" s="620"/>
      <c r="B990" s="620"/>
      <c r="C990" s="620"/>
      <c r="D990" s="620"/>
      <c r="E990" s="620"/>
      <c r="F990" s="620"/>
      <c r="G990" s="620"/>
      <c r="H990" s="620"/>
      <c r="I990" s="620"/>
      <c r="J990" s="620"/>
      <c r="K990" s="620"/>
      <c r="L990" s="620"/>
      <c r="M990" s="620"/>
      <c r="N990" s="620"/>
      <c r="O990" s="620"/>
      <c r="P990" s="620"/>
      <c r="Q990" s="620"/>
      <c r="R990" s="620"/>
      <c r="S990" s="620"/>
      <c r="T990" s="620"/>
    </row>
    <row r="991">
      <c r="A991" s="620"/>
      <c r="B991" s="620"/>
      <c r="C991" s="620"/>
      <c r="D991" s="620"/>
      <c r="E991" s="620"/>
      <c r="F991" s="620"/>
      <c r="G991" s="620"/>
      <c r="H991" s="620"/>
      <c r="I991" s="620"/>
      <c r="J991" s="620"/>
      <c r="K991" s="620"/>
      <c r="L991" s="620"/>
      <c r="M991" s="620"/>
      <c r="N991" s="620"/>
      <c r="O991" s="620"/>
      <c r="P991" s="620"/>
      <c r="Q991" s="620"/>
      <c r="R991" s="620"/>
      <c r="S991" s="620"/>
      <c r="T991" s="620"/>
    </row>
    <row r="992">
      <c r="A992" s="620"/>
      <c r="B992" s="620"/>
      <c r="C992" s="620"/>
      <c r="D992" s="620"/>
      <c r="E992" s="620"/>
      <c r="F992" s="620"/>
      <c r="G992" s="620"/>
      <c r="H992" s="620"/>
      <c r="I992" s="620"/>
      <c r="J992" s="620"/>
      <c r="K992" s="620"/>
      <c r="L992" s="620"/>
      <c r="M992" s="620"/>
      <c r="N992" s="620"/>
      <c r="O992" s="620"/>
      <c r="P992" s="620"/>
      <c r="Q992" s="620"/>
      <c r="R992" s="620"/>
      <c r="S992" s="620"/>
      <c r="T992" s="620"/>
    </row>
    <row r="993">
      <c r="A993" s="620"/>
      <c r="B993" s="620"/>
      <c r="C993" s="620"/>
      <c r="D993" s="620"/>
      <c r="E993" s="620"/>
      <c r="F993" s="620"/>
      <c r="G993" s="620"/>
      <c r="H993" s="620"/>
      <c r="I993" s="620"/>
      <c r="J993" s="620"/>
      <c r="K993" s="620"/>
      <c r="L993" s="620"/>
      <c r="M993" s="620"/>
      <c r="N993" s="620"/>
      <c r="O993" s="620"/>
      <c r="P993" s="620"/>
      <c r="Q993" s="620"/>
      <c r="R993" s="620"/>
      <c r="S993" s="620"/>
      <c r="T993" s="620"/>
    </row>
    <row r="994">
      <c r="A994" s="620"/>
      <c r="B994" s="620"/>
      <c r="C994" s="620"/>
      <c r="D994" s="620"/>
      <c r="E994" s="620"/>
      <c r="F994" s="620"/>
      <c r="G994" s="620"/>
      <c r="H994" s="620"/>
      <c r="I994" s="620"/>
      <c r="J994" s="620"/>
      <c r="K994" s="620"/>
      <c r="L994" s="620"/>
      <c r="M994" s="620"/>
      <c r="N994" s="620"/>
      <c r="O994" s="620"/>
      <c r="P994" s="620"/>
      <c r="Q994" s="620"/>
      <c r="R994" s="620"/>
      <c r="S994" s="620"/>
      <c r="T994" s="620"/>
    </row>
    <row r="995">
      <c r="A995" s="620"/>
      <c r="B995" s="620"/>
      <c r="C995" s="620"/>
      <c r="D995" s="620"/>
      <c r="E995" s="620"/>
      <c r="F995" s="620"/>
      <c r="G995" s="620"/>
      <c r="H995" s="620"/>
      <c r="I995" s="620"/>
      <c r="J995" s="620"/>
      <c r="K995" s="620"/>
      <c r="L995" s="620"/>
      <c r="M995" s="620"/>
      <c r="N995" s="620"/>
      <c r="O995" s="620"/>
      <c r="P995" s="620"/>
      <c r="Q995" s="620"/>
      <c r="R995" s="620"/>
      <c r="S995" s="620"/>
      <c r="T995" s="620"/>
    </row>
    <row r="996">
      <c r="A996" s="620"/>
      <c r="B996" s="620"/>
      <c r="C996" s="620"/>
      <c r="D996" s="620"/>
      <c r="E996" s="620"/>
      <c r="F996" s="620"/>
      <c r="G996" s="620"/>
      <c r="H996" s="620"/>
      <c r="I996" s="620"/>
      <c r="J996" s="620"/>
      <c r="K996" s="620"/>
      <c r="L996" s="620"/>
      <c r="M996" s="620"/>
      <c r="N996" s="620"/>
      <c r="O996" s="620"/>
      <c r="P996" s="620"/>
      <c r="Q996" s="620"/>
      <c r="R996" s="620"/>
      <c r="S996" s="620"/>
      <c r="T996" s="620"/>
    </row>
    <row r="997">
      <c r="A997" s="620"/>
      <c r="B997" s="620"/>
      <c r="C997" s="620"/>
      <c r="D997" s="620"/>
      <c r="E997" s="620"/>
      <c r="F997" s="620"/>
      <c r="G997" s="620"/>
      <c r="H997" s="620"/>
      <c r="I997" s="620"/>
      <c r="J997" s="620"/>
      <c r="K997" s="620"/>
      <c r="L997" s="620"/>
      <c r="M997" s="620"/>
      <c r="N997" s="620"/>
      <c r="O997" s="620"/>
      <c r="P997" s="620"/>
      <c r="Q997" s="620"/>
      <c r="R997" s="620"/>
      <c r="S997" s="620"/>
      <c r="T997" s="620"/>
    </row>
    <row r="998">
      <c r="A998" s="620"/>
      <c r="B998" s="620"/>
      <c r="C998" s="620"/>
      <c r="D998" s="620"/>
      <c r="E998" s="620"/>
      <c r="F998" s="620"/>
      <c r="G998" s="620"/>
      <c r="H998" s="620"/>
      <c r="I998" s="620"/>
      <c r="J998" s="620"/>
      <c r="K998" s="620"/>
      <c r="L998" s="620"/>
      <c r="M998" s="620"/>
      <c r="N998" s="620"/>
      <c r="O998" s="620"/>
      <c r="P998" s="620"/>
      <c r="Q998" s="620"/>
      <c r="R998" s="620"/>
      <c r="S998" s="620"/>
      <c r="T998" s="620"/>
    </row>
    <row r="999">
      <c r="A999" s="620"/>
      <c r="B999" s="620"/>
      <c r="C999" s="620"/>
      <c r="D999" s="620"/>
      <c r="E999" s="620"/>
      <c r="F999" s="620"/>
      <c r="G999" s="620"/>
      <c r="H999" s="620"/>
      <c r="I999" s="620"/>
      <c r="J999" s="620"/>
      <c r="K999" s="620"/>
      <c r="L999" s="620"/>
      <c r="M999" s="620"/>
      <c r="N999" s="620"/>
      <c r="O999" s="620"/>
      <c r="P999" s="620"/>
      <c r="Q999" s="620"/>
      <c r="R999" s="620"/>
      <c r="S999" s="620"/>
      <c r="T999" s="620"/>
    </row>
  </sheetData>
  <mergeCells count="20">
    <mergeCell ref="A15:E15"/>
    <mergeCell ref="A20:A28"/>
    <mergeCell ref="E26:I26"/>
    <mergeCell ref="E27:I27"/>
    <mergeCell ref="E20:I20"/>
    <mergeCell ref="J20:T28"/>
    <mergeCell ref="E21:I21"/>
    <mergeCell ref="E22:I22"/>
    <mergeCell ref="E23:I23"/>
    <mergeCell ref="E24:I24"/>
    <mergeCell ref="E25:I25"/>
    <mergeCell ref="E28:I28"/>
    <mergeCell ref="A29:T389"/>
    <mergeCell ref="A1:T1"/>
    <mergeCell ref="U1:Z999"/>
    <mergeCell ref="A2:J3"/>
    <mergeCell ref="L8:T8"/>
    <mergeCell ref="L9:T9"/>
    <mergeCell ref="M11:S11"/>
    <mergeCell ref="L14:T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75"/>
    <col customWidth="1" min="9" max="10" width="20.38"/>
  </cols>
  <sheetData>
    <row r="1">
      <c r="A1" s="621" t="str">
        <f>ARBITRAGES!E2</f>
        <v>DATE</v>
      </c>
      <c r="B1" s="622" t="s">
        <v>190</v>
      </c>
      <c r="C1" s="623" t="str">
        <f>ARBITRAGES!H2</f>
        <v>ACTIF</v>
      </c>
      <c r="D1" s="624" t="str">
        <f>ARBITRAGES!I2</f>
        <v>PRIX ($)</v>
      </c>
      <c r="E1" s="624" t="str">
        <f>ARBITRAGES!J2</f>
        <v>MONTANT ($)</v>
      </c>
      <c r="F1" s="623"/>
      <c r="G1" s="623" t="str">
        <f>'PV (%)'!B3</f>
        <v>Date</v>
      </c>
      <c r="H1" s="624" t="str">
        <f>'PV (%)'!E3</f>
        <v>Portefeuille full BTC</v>
      </c>
      <c r="I1" s="624" t="str">
        <f>'PV (%)'!F3</f>
        <v>Portefeuille sans arbitrage</v>
      </c>
      <c r="J1" s="623" t="str">
        <f>'PV (%)'!G3</f>
        <v>Portefeuille avec arbitrage</v>
      </c>
      <c r="K1" s="623"/>
      <c r="L1" s="621" t="str">
        <f>Exposition!A2</f>
        <v>DATE</v>
      </c>
      <c r="M1" s="623" t="str">
        <f>Exposition!B2</f>
        <v>TOTAL</v>
      </c>
      <c r="N1" s="623" t="str">
        <f>Exposition!C2</f>
        <v>$BTC</v>
      </c>
      <c r="O1" s="625" t="str">
        <f>Exposition!D2</f>
        <v>$ETH</v>
      </c>
      <c r="P1" s="625" t="str">
        <f>Exposition!E2</f>
        <v>$TON</v>
      </c>
      <c r="Q1" s="625" t="str">
        <f>Exposition!F2</f>
        <v>$SOL</v>
      </c>
      <c r="R1" s="625" t="str">
        <f>Exposition!G2</f>
        <v>$TAO</v>
      </c>
      <c r="S1" s="625" t="str">
        <f>Exposition!H2</f>
        <v>$RON</v>
      </c>
      <c r="T1" s="625" t="str">
        <f>Exposition!I2</f>
        <v>$LINK</v>
      </c>
      <c r="U1" s="625" t="str">
        <f>Exposition!J2</f>
        <v>$DOGE</v>
      </c>
      <c r="V1" s="625" t="str">
        <f>Exposition!K2</f>
        <v>$SHIB</v>
      </c>
      <c r="W1" s="625" t="str">
        <f>Exposition!L2</f>
        <v>$CAKE</v>
      </c>
      <c r="X1" s="625" t="str">
        <f>Exposition!M2</f>
        <v>$JUP</v>
      </c>
      <c r="Y1" s="625" t="str">
        <f>Exposition!N2</f>
        <v>$AAVE</v>
      </c>
      <c r="Z1" s="625" t="str">
        <f>Exposition!O2</f>
        <v>$CKB</v>
      </c>
      <c r="AA1" s="625" t="str">
        <f>Exposition!P2</f>
        <v>$PENDLE</v>
      </c>
      <c r="AB1" s="625" t="str">
        <f>Exposition!Q2</f>
        <v>$BOME</v>
      </c>
      <c r="AC1" s="625" t="str">
        <f>Exposition!R2</f>
        <v>$PEPE</v>
      </c>
      <c r="AD1" s="625" t="str">
        <f>Exposition!S2</f>
        <v>$WIF</v>
      </c>
      <c r="AE1" s="625" t="str">
        <f>Exposition!T2</f>
        <v>$RAY</v>
      </c>
      <c r="AF1" s="625" t="str">
        <f>Exposition!U2</f>
        <v>USDC</v>
      </c>
      <c r="AG1" s="623"/>
      <c r="AH1" s="621" t="str">
        <f>PRIX!A2</f>
        <v>DATE</v>
      </c>
      <c r="AI1" s="626" t="str">
        <f>PRIX!B2</f>
        <v>$BTC</v>
      </c>
      <c r="AJ1" s="626" t="str">
        <f>PRIX!C2</f>
        <v>$ETH</v>
      </c>
      <c r="AK1" s="627" t="str">
        <f>PRIX!D2</f>
        <v>$TON</v>
      </c>
      <c r="AL1" s="626" t="str">
        <f>PRIX!E2</f>
        <v>$SOL</v>
      </c>
      <c r="AM1" s="626" t="str">
        <f>PRIX!F2</f>
        <v>$TAO</v>
      </c>
      <c r="AN1" s="627" t="str">
        <f>PRIX!G2</f>
        <v>$RON</v>
      </c>
      <c r="AO1" s="627" t="str">
        <f>PRIX!H2</f>
        <v>$LINK</v>
      </c>
      <c r="AP1" s="623" t="str">
        <f>PRIX!I2</f>
        <v>$DOGE</v>
      </c>
      <c r="AQ1" s="628" t="str">
        <f>PRIX!J2</f>
        <v>$SHIB</v>
      </c>
      <c r="AR1" s="623" t="str">
        <f>PRIX!K2</f>
        <v>$CAKE</v>
      </c>
      <c r="AS1" s="623" t="str">
        <f>PRIX!L2</f>
        <v>$JUP</v>
      </c>
      <c r="AT1" s="623" t="str">
        <f>PRIX!M2</f>
        <v>$AAVE</v>
      </c>
      <c r="AU1" s="629" t="str">
        <f>PRIX!N2</f>
        <v>$CKB</v>
      </c>
      <c r="AV1" s="623" t="str">
        <f>PRIX!O2</f>
        <v>$PENDLE</v>
      </c>
      <c r="AW1" s="623" t="str">
        <f>PRIX!P2</f>
        <v>$BOME</v>
      </c>
      <c r="AX1" s="630" t="str">
        <f>PRIX!Q2</f>
        <v>$PEPE</v>
      </c>
      <c r="AY1" s="623" t="str">
        <f>PRIX!R2</f>
        <v>$WIF</v>
      </c>
      <c r="AZ1" s="623" t="str">
        <f>PRIX!S2</f>
        <v>$RAY</v>
      </c>
      <c r="BA1" s="625"/>
    </row>
    <row r="2">
      <c r="A2" s="621">
        <f>ARBITRAGES!E3</f>
        <v>45515</v>
      </c>
      <c r="B2" s="623" t="str">
        <f>IF(A2="","",IF(ARBITRAGES!F3="Invest","Achat","Vente"))</f>
        <v>Achat</v>
      </c>
      <c r="C2" s="623" t="str">
        <f>ARBITRAGES!H3</f>
        <v>USDC</v>
      </c>
      <c r="D2" s="624" t="str">
        <f>ARBITRAGES!I3</f>
        <v>$ 1,00</v>
      </c>
      <c r="E2" s="624" t="str">
        <f>ARBITRAGES!J3</f>
        <v>$21 550,44</v>
      </c>
      <c r="F2" s="623"/>
      <c r="G2" s="621">
        <f>'PV (%)'!B4</f>
        <v>45515</v>
      </c>
      <c r="H2" s="624">
        <f>'PV (%)'!E4</f>
        <v>37467.52166</v>
      </c>
      <c r="I2" s="624">
        <f>'PV (%)'!F4</f>
        <v>37467.52166</v>
      </c>
      <c r="J2" s="624">
        <f>'PV (%)'!G4</f>
        <v>37467.52166</v>
      </c>
      <c r="K2" s="623"/>
      <c r="L2" s="621">
        <f>Exposition!A3</f>
        <v>45515</v>
      </c>
      <c r="M2" s="625">
        <f>Exposition!B3</f>
        <v>0.4408611299</v>
      </c>
      <c r="N2" s="625">
        <f>Exposition!C3</f>
        <v>0.1612944048</v>
      </c>
      <c r="O2" s="625">
        <f>Exposition!D3</f>
        <v>0.1312717637</v>
      </c>
      <c r="P2" s="625">
        <f>Exposition!E3</f>
        <v>0</v>
      </c>
      <c r="Q2" s="625">
        <f>Exposition!F3</f>
        <v>0.1260642498</v>
      </c>
      <c r="R2" s="625">
        <f>Exposition!G3</f>
        <v>0</v>
      </c>
      <c r="S2" s="625">
        <f>Exposition!H3</f>
        <v>0</v>
      </c>
      <c r="T2" s="625">
        <f>Exposition!I3</f>
        <v>0</v>
      </c>
      <c r="U2" s="625">
        <f>Exposition!J3</f>
        <v>0</v>
      </c>
      <c r="V2" s="625">
        <f>Exposition!K3</f>
        <v>0.01609729552</v>
      </c>
      <c r="W2" s="625">
        <f>Exposition!L3</f>
        <v>0.006133416106</v>
      </c>
      <c r="X2" s="625">
        <f>Exposition!M3</f>
        <v>0</v>
      </c>
      <c r="Y2" s="625">
        <f>Exposition!N3</f>
        <v>0</v>
      </c>
      <c r="Z2" s="625">
        <f>Exposition!O3</f>
        <v>0</v>
      </c>
      <c r="AA2" s="625">
        <f>Exposition!P3</f>
        <v>0</v>
      </c>
      <c r="AB2" s="625">
        <f>Exposition!Q3</f>
        <v>0</v>
      </c>
      <c r="AC2" s="625">
        <f>Exposition!R3</f>
        <v>0</v>
      </c>
      <c r="AD2" s="625">
        <f>Exposition!S3</f>
        <v>0</v>
      </c>
      <c r="AE2" s="625">
        <f>Exposition!T3</f>
        <v>0</v>
      </c>
      <c r="AF2" s="625">
        <f>Exposition!U3</f>
        <v>0.5591388701</v>
      </c>
      <c r="AG2" s="623"/>
      <c r="AH2" s="621">
        <f>PRIX!A3</f>
        <v>45515</v>
      </c>
      <c r="AI2" s="626">
        <f>PRIX!B3</f>
        <v>63000</v>
      </c>
      <c r="AJ2" s="626">
        <f>PRIX!C3</f>
        <v>2650</v>
      </c>
      <c r="AK2" s="627">
        <f>PRIX!D3</f>
        <v>7.61</v>
      </c>
      <c r="AL2" s="626">
        <f>PRIX!E3</f>
        <v>154.8</v>
      </c>
      <c r="AM2" s="626">
        <f>PRIX!F3</f>
        <v>292</v>
      </c>
      <c r="AN2" s="627">
        <f>PRIX!G3</f>
        <v>1.6</v>
      </c>
      <c r="AO2" s="627">
        <f>PRIX!H3</f>
        <v>10.6</v>
      </c>
      <c r="AP2" s="631">
        <f>PRIX!I3</f>
        <v>0.105</v>
      </c>
      <c r="AQ2" s="628">
        <f>PRIX!J3</f>
        <v>0.00001345</v>
      </c>
      <c r="AR2" s="631">
        <f>PRIX!K3</f>
        <v>1.55</v>
      </c>
      <c r="AS2" s="631">
        <f>PRIX!L3</f>
        <v>0.86</v>
      </c>
      <c r="AT2" s="631">
        <f>PRIX!M3</f>
        <v>91</v>
      </c>
      <c r="AU2" s="629">
        <f>PRIX!N3</f>
        <v>0.0083</v>
      </c>
      <c r="AV2" s="631">
        <f>PRIX!O3</f>
        <v>2.55</v>
      </c>
      <c r="AW2" s="631">
        <f>PRIX!P3</f>
        <v>0.009774</v>
      </c>
      <c r="AX2" s="630">
        <f>PRIX!Q3</f>
        <v>0.0000178</v>
      </c>
      <c r="AY2" s="631">
        <f>PRIX!R3</f>
        <v>3.35</v>
      </c>
      <c r="AZ2" s="631">
        <f>PRIX!S3</f>
        <v>6.35</v>
      </c>
      <c r="BA2" s="623"/>
    </row>
    <row r="3">
      <c r="A3" s="621">
        <f>ARBITRAGES!E4</f>
        <v>45515</v>
      </c>
      <c r="B3" s="623" t="str">
        <f>IF(A3="","",IF(ARBITRAGES!F4="Invest","Achat","Vente"))</f>
        <v>Achat</v>
      </c>
      <c r="C3" s="623" t="str">
        <f>ARBITRAGES!H4</f>
        <v>BTC</v>
      </c>
      <c r="D3" s="624" t="str">
        <f>ARBITRAGES!I4</f>
        <v>$ 58 000,00</v>
      </c>
      <c r="E3" s="624">
        <f>ARBITRAGES!J4</f>
        <v>7500</v>
      </c>
      <c r="F3" s="623"/>
      <c r="G3" s="621">
        <f>'PV (%)'!B5</f>
        <v>45516</v>
      </c>
      <c r="H3" s="624">
        <f>'PV (%)'!E5</f>
        <v>37467.52166</v>
      </c>
      <c r="I3" s="624">
        <f>'PV (%)'!F5</f>
        <v>36849.45069</v>
      </c>
      <c r="J3" s="626">
        <f>'PV (%)'!G5</f>
        <v>39187.93921</v>
      </c>
      <c r="K3" s="623"/>
      <c r="L3" s="621">
        <f>Exposition!A4</f>
        <v>45515</v>
      </c>
      <c r="M3" s="625">
        <f>Exposition!B4</f>
        <v>0.641471323</v>
      </c>
      <c r="N3" s="625">
        <f>Exposition!C4</f>
        <v>0.3665169424</v>
      </c>
      <c r="O3" s="625">
        <f>Exposition!D4</f>
        <v>0.1291060174</v>
      </c>
      <c r="P3" s="625">
        <f>Exposition!E4</f>
        <v>0</v>
      </c>
      <c r="Q3" s="625">
        <f>Exposition!F4</f>
        <v>0.123984418</v>
      </c>
      <c r="R3" s="625">
        <f>Exposition!G4</f>
        <v>0</v>
      </c>
      <c r="S3" s="625">
        <f>Exposition!H4</f>
        <v>0</v>
      </c>
      <c r="T3" s="625">
        <f>Exposition!I4</f>
        <v>0</v>
      </c>
      <c r="U3" s="625">
        <f>Exposition!J4</f>
        <v>0</v>
      </c>
      <c r="V3" s="625">
        <f>Exposition!K4</f>
        <v>0.01583171931</v>
      </c>
      <c r="W3" s="625">
        <f>Exposition!L4</f>
        <v>0.006032225852</v>
      </c>
      <c r="X3" s="625">
        <f>Exposition!M4</f>
        <v>0</v>
      </c>
      <c r="Y3" s="625">
        <f>Exposition!N4</f>
        <v>0</v>
      </c>
      <c r="Z3" s="625">
        <f>Exposition!O4</f>
        <v>0</v>
      </c>
      <c r="AA3" s="625">
        <f>Exposition!P4</f>
        <v>0</v>
      </c>
      <c r="AB3" s="625">
        <f>Exposition!Q4</f>
        <v>0</v>
      </c>
      <c r="AC3" s="625">
        <f>Exposition!R4</f>
        <v>0</v>
      </c>
      <c r="AD3" s="625">
        <f>Exposition!S4</f>
        <v>0</v>
      </c>
      <c r="AE3" s="625">
        <f>Exposition!T4</f>
        <v>0</v>
      </c>
      <c r="AF3" s="625">
        <f>Exposition!U4</f>
        <v>0.358528677</v>
      </c>
      <c r="AG3" s="623"/>
      <c r="AH3" s="621">
        <f>PRIX!A4</f>
        <v>45515</v>
      </c>
      <c r="AI3" s="626">
        <f>PRIX!B4</f>
        <v>63000</v>
      </c>
      <c r="AJ3" s="626">
        <f>PRIX!C4</f>
        <v>2650</v>
      </c>
      <c r="AK3" s="627">
        <f>PRIX!D4</f>
        <v>7.61</v>
      </c>
      <c r="AL3" s="626">
        <f>PRIX!E4</f>
        <v>154.8</v>
      </c>
      <c r="AM3" s="626">
        <f>PRIX!F4</f>
        <v>292</v>
      </c>
      <c r="AN3" s="627">
        <f>PRIX!G4</f>
        <v>1.6</v>
      </c>
      <c r="AO3" s="627">
        <f>PRIX!H4</f>
        <v>10.6</v>
      </c>
      <c r="AP3" s="631">
        <f>PRIX!I4</f>
        <v>0.105</v>
      </c>
      <c r="AQ3" s="628">
        <f>PRIX!J4</f>
        <v>0.00001345</v>
      </c>
      <c r="AR3" s="631">
        <f>PRIX!K4</f>
        <v>1.55</v>
      </c>
      <c r="AS3" s="631">
        <f>PRIX!L4</f>
        <v>0.86</v>
      </c>
      <c r="AT3" s="631">
        <f>PRIX!M4</f>
        <v>91</v>
      </c>
      <c r="AU3" s="629">
        <f>PRIX!N4</f>
        <v>0.0083</v>
      </c>
      <c r="AV3" s="631">
        <f>PRIX!O4</f>
        <v>2.55</v>
      </c>
      <c r="AW3" s="631">
        <f>PRIX!P4</f>
        <v>0.009774</v>
      </c>
      <c r="AX3" s="630">
        <f>PRIX!Q4</f>
        <v>0.0000178</v>
      </c>
      <c r="AY3" s="631">
        <f>PRIX!R4</f>
        <v>3.35</v>
      </c>
      <c r="AZ3" s="631">
        <f>PRIX!S4</f>
        <v>6.35</v>
      </c>
      <c r="BA3" s="623"/>
    </row>
    <row r="4">
      <c r="A4" s="621">
        <f>ARBITRAGES!E5</f>
        <v>45516</v>
      </c>
      <c r="B4" s="623" t="str">
        <f>IF(A4="","",IF(ARBITRAGES!F5="Invest","Achat","Vente"))</f>
        <v>Achat</v>
      </c>
      <c r="C4" s="623" t="str">
        <f>ARBITRAGES!H5</f>
        <v>ETH</v>
      </c>
      <c r="D4" s="623" t="str">
        <f>ARBITRAGES!I5</f>
        <v>$ 2 600,00</v>
      </c>
      <c r="E4" s="624">
        <f>ARBITRAGES!J5</f>
        <v>3000</v>
      </c>
      <c r="F4" s="623"/>
      <c r="G4" s="621">
        <f>'PV (%)'!B6</f>
        <v>45517</v>
      </c>
      <c r="H4" s="624">
        <f>'PV (%)'!E6</f>
        <v>35564.40944</v>
      </c>
      <c r="I4" s="624">
        <f>'PV (%)'!F6</f>
        <v>37173.71517</v>
      </c>
      <c r="J4" s="626">
        <f>'PV (%)'!G6</f>
        <v>38425.05791</v>
      </c>
      <c r="K4" s="623"/>
      <c r="L4" s="621">
        <f>Exposition!A5</f>
        <v>45516</v>
      </c>
      <c r="M4" s="625">
        <f>Exposition!B5</f>
        <v>0.7124272388</v>
      </c>
      <c r="N4" s="625">
        <f>Exposition!C5</f>
        <v>0.3548073309</v>
      </c>
      <c r="O4" s="625">
        <f>Exposition!D5</f>
        <v>0.214031532</v>
      </c>
      <c r="P4" s="625">
        <f>Exposition!E5</f>
        <v>0</v>
      </c>
      <c r="Q4" s="625">
        <f>Exposition!F5</f>
        <v>0.1208914988</v>
      </c>
      <c r="R4" s="625">
        <f>Exposition!G5</f>
        <v>0</v>
      </c>
      <c r="S4" s="625">
        <f>Exposition!H5</f>
        <v>0</v>
      </c>
      <c r="T4" s="625">
        <f>Exposition!I5</f>
        <v>0</v>
      </c>
      <c r="U4" s="625">
        <f>Exposition!J5</f>
        <v>0</v>
      </c>
      <c r="V4" s="625">
        <f>Exposition!K5</f>
        <v>0.01638612802</v>
      </c>
      <c r="W4" s="625">
        <f>Exposition!L5</f>
        <v>0.006310749111</v>
      </c>
      <c r="X4" s="625">
        <f>Exposition!M5</f>
        <v>0</v>
      </c>
      <c r="Y4" s="625">
        <f>Exposition!N5</f>
        <v>0</v>
      </c>
      <c r="Z4" s="625">
        <f>Exposition!O5</f>
        <v>0</v>
      </c>
      <c r="AA4" s="625">
        <f>Exposition!P5</f>
        <v>0</v>
      </c>
      <c r="AB4" s="625">
        <f>Exposition!Q5</f>
        <v>0</v>
      </c>
      <c r="AC4" s="625">
        <f>Exposition!R5</f>
        <v>0</v>
      </c>
      <c r="AD4" s="625">
        <f>Exposition!S5</f>
        <v>0</v>
      </c>
      <c r="AE4" s="625">
        <f>Exposition!T5</f>
        <v>0</v>
      </c>
      <c r="AF4" s="625">
        <f>Exposition!U5</f>
        <v>0.2875727612</v>
      </c>
      <c r="AG4" s="623"/>
      <c r="AH4" s="621">
        <f>PRIX!A5</f>
        <v>45516</v>
      </c>
      <c r="AI4" s="626">
        <f>PRIX!B5</f>
        <v>59800</v>
      </c>
      <c r="AJ4" s="626">
        <f>PRIX!C5</f>
        <v>2685</v>
      </c>
      <c r="AK4" s="627">
        <f>PRIX!D5</f>
        <v>7.7</v>
      </c>
      <c r="AL4" s="626">
        <f>PRIX!E5</f>
        <v>148</v>
      </c>
      <c r="AM4" s="626">
        <f>PRIX!F5</f>
        <v>286.3</v>
      </c>
      <c r="AN4" s="627">
        <f>PRIX!G5</f>
        <v>1.56</v>
      </c>
      <c r="AO4" s="627">
        <f>PRIX!H5</f>
        <v>10.1</v>
      </c>
      <c r="AP4" s="631">
        <f>PRIX!I5</f>
        <v>0.105</v>
      </c>
      <c r="AQ4" s="628">
        <f>PRIX!J5</f>
        <v>0.00001365</v>
      </c>
      <c r="AR4" s="631">
        <f>PRIX!K5</f>
        <v>1.59</v>
      </c>
      <c r="AS4" s="631">
        <f>PRIX!L5</f>
        <v>0.8</v>
      </c>
      <c r="AT4" s="631">
        <f>PRIX!M5</f>
        <v>97</v>
      </c>
      <c r="AU4" s="629">
        <f>PRIX!N5</f>
        <v>0.00825</v>
      </c>
      <c r="AV4" s="631">
        <f>PRIX!O5</f>
        <v>2.8</v>
      </c>
      <c r="AW4" s="631">
        <f>PRIX!P5</f>
        <v>0.009774</v>
      </c>
      <c r="AX4" s="630">
        <f>PRIX!Q5</f>
        <v>0.0000178</v>
      </c>
      <c r="AY4" s="631">
        <f>PRIX!R5</f>
        <v>3.35</v>
      </c>
      <c r="AZ4" s="631">
        <f>PRIX!S5</f>
        <v>6.35</v>
      </c>
      <c r="BA4" s="623"/>
    </row>
    <row r="5">
      <c r="A5" s="621">
        <f>ARBITRAGES!E6</f>
        <v>45517</v>
      </c>
      <c r="B5" s="623" t="str">
        <f>IF(A5="","",IF(ARBITRAGES!F6="Invest","Achat","Vente"))</f>
        <v>Achat</v>
      </c>
      <c r="C5" s="623" t="str">
        <f>ARBITRAGES!H6</f>
        <v>SOL</v>
      </c>
      <c r="D5" s="624" t="str">
        <f>ARBITRAGES!I6</f>
        <v>$ 145,00</v>
      </c>
      <c r="E5" s="624">
        <f>ARBITRAGES!J6</f>
        <v>1150</v>
      </c>
      <c r="F5" s="623"/>
      <c r="G5" s="621">
        <f>'PV (%)'!B7</f>
        <v>45518</v>
      </c>
      <c r="H5" s="624">
        <f>'PV (%)'!E7</f>
        <v>36278.07652</v>
      </c>
      <c r="I5" s="624">
        <f>'PV (%)'!F7</f>
        <v>37126.88077</v>
      </c>
      <c r="J5" s="626">
        <f>'PV (%)'!G7</f>
        <v>38797.4525</v>
      </c>
      <c r="K5" s="623"/>
      <c r="L5" s="621">
        <f>Exposition!A6</f>
        <v>45517</v>
      </c>
      <c r="M5" s="625">
        <f>Exposition!B6</f>
        <v>0.744828607</v>
      </c>
      <c r="N5" s="625">
        <f>Exposition!C6</f>
        <v>0.3584532778</v>
      </c>
      <c r="O5" s="625">
        <f>Exposition!D6</f>
        <v>0.2145035228</v>
      </c>
      <c r="P5" s="625">
        <f>Exposition!E6</f>
        <v>0</v>
      </c>
      <c r="Q5" s="625">
        <f>Exposition!F6</f>
        <v>0.149174653</v>
      </c>
      <c r="R5" s="625">
        <f>Exposition!G6</f>
        <v>0</v>
      </c>
      <c r="S5" s="625">
        <f>Exposition!H6</f>
        <v>0</v>
      </c>
      <c r="T5" s="625">
        <f>Exposition!I6</f>
        <v>0</v>
      </c>
      <c r="U5" s="625">
        <f>Exposition!J6</f>
        <v>0</v>
      </c>
      <c r="V5" s="625">
        <f>Exposition!K6</f>
        <v>0.01646663224</v>
      </c>
      <c r="W5" s="625">
        <f>Exposition!L6</f>
        <v>0.006230521192</v>
      </c>
      <c r="X5" s="625">
        <f>Exposition!M6</f>
        <v>0</v>
      </c>
      <c r="Y5" s="625">
        <f>Exposition!N6</f>
        <v>0</v>
      </c>
      <c r="Z5" s="625">
        <f>Exposition!O6</f>
        <v>0</v>
      </c>
      <c r="AA5" s="625">
        <f>Exposition!P6</f>
        <v>0</v>
      </c>
      <c r="AB5" s="625">
        <f>Exposition!Q6</f>
        <v>0</v>
      </c>
      <c r="AC5" s="625">
        <f>Exposition!R6</f>
        <v>0</v>
      </c>
      <c r="AD5" s="625">
        <f>Exposition!S6</f>
        <v>0</v>
      </c>
      <c r="AE5" s="625">
        <f>Exposition!T6</f>
        <v>0</v>
      </c>
      <c r="AF5" s="625">
        <f>Exposition!U6</f>
        <v>0.255171393</v>
      </c>
      <c r="AG5" s="623"/>
      <c r="AH5" s="621">
        <f>PRIX!A6</f>
        <v>45517</v>
      </c>
      <c r="AI5" s="626">
        <f>PRIX!B6</f>
        <v>61000</v>
      </c>
      <c r="AJ5" s="626">
        <f>PRIX!C6</f>
        <v>2717</v>
      </c>
      <c r="AK5" s="627">
        <f>PRIX!D6</f>
        <v>7.2</v>
      </c>
      <c r="AL5" s="626">
        <f>PRIX!E6</f>
        <v>147.2</v>
      </c>
      <c r="AM5" s="626">
        <f>PRIX!F6</f>
        <v>287.3</v>
      </c>
      <c r="AN5" s="627">
        <f>PRIX!G6</f>
        <v>1.64</v>
      </c>
      <c r="AO5" s="627">
        <f>PRIX!H6</f>
        <v>10.57</v>
      </c>
      <c r="AP5" s="631">
        <f>PRIX!I6</f>
        <v>0.1065</v>
      </c>
      <c r="AQ5" s="628">
        <f>PRIX!J6</f>
        <v>0.00001385</v>
      </c>
      <c r="AR5" s="631">
        <f>PRIX!K6</f>
        <v>1.585</v>
      </c>
      <c r="AS5" s="631">
        <f>PRIX!L6</f>
        <v>0.81</v>
      </c>
      <c r="AT5" s="631">
        <f>PRIX!M6</f>
        <v>101</v>
      </c>
      <c r="AU5" s="629">
        <f>PRIX!N6</f>
        <v>0.00825</v>
      </c>
      <c r="AV5" s="631">
        <f>PRIX!O6</f>
        <v>2.9</v>
      </c>
      <c r="AW5" s="631">
        <f>PRIX!P6</f>
        <v>0.009774</v>
      </c>
      <c r="AX5" s="630">
        <f>PRIX!Q6</f>
        <v>0.0000178</v>
      </c>
      <c r="AY5" s="631">
        <f>PRIX!R6</f>
        <v>3.35</v>
      </c>
      <c r="AZ5" s="631">
        <f>PRIX!S6</f>
        <v>6.35</v>
      </c>
      <c r="BA5" s="623"/>
    </row>
    <row r="6">
      <c r="A6" s="621">
        <f>ARBITRAGES!E7</f>
        <v>45518</v>
      </c>
      <c r="B6" s="623" t="str">
        <f>IF(A6="","",IF(ARBITRAGES!F7="Invest","Achat","Vente"))</f>
        <v>Achat</v>
      </c>
      <c r="C6" s="623" t="str">
        <f>ARBITRAGES!H7</f>
        <v>TAO</v>
      </c>
      <c r="D6" s="624">
        <f>ARBITRAGES!I7</f>
        <v>279.2</v>
      </c>
      <c r="E6" s="624">
        <f>ARBITRAGES!J7</f>
        <v>840</v>
      </c>
      <c r="F6" s="623"/>
      <c r="G6" s="621">
        <f>'PV (%)'!B8</f>
        <v>45519</v>
      </c>
      <c r="H6" s="624">
        <f>'PV (%)'!E8</f>
        <v>36278.07652</v>
      </c>
      <c r="I6" s="624">
        <f>'PV (%)'!F8</f>
        <v>35694.10832</v>
      </c>
      <c r="J6" s="626">
        <f>'PV (%)'!G8</f>
        <v>38836.26487</v>
      </c>
      <c r="K6" s="623"/>
      <c r="L6" s="621">
        <f>Exposition!A7</f>
        <v>45518</v>
      </c>
      <c r="M6" s="625">
        <f>Exposition!B7</f>
        <v>0.7665926892</v>
      </c>
      <c r="N6" s="625">
        <f>Exposition!C7</f>
        <v>0.3582795528</v>
      </c>
      <c r="O6" s="625">
        <f>Exposition!D7</f>
        <v>0.2143995633</v>
      </c>
      <c r="P6" s="625">
        <f>Exposition!E7</f>
        <v>0</v>
      </c>
      <c r="Q6" s="625">
        <f>Exposition!F7</f>
        <v>0.1491023552</v>
      </c>
      <c r="R6" s="625">
        <f>Exposition!G7</f>
        <v>0.02220460941</v>
      </c>
      <c r="S6" s="625">
        <f>Exposition!H7</f>
        <v>0</v>
      </c>
      <c r="T6" s="625">
        <f>Exposition!I7</f>
        <v>0</v>
      </c>
      <c r="U6" s="625">
        <f>Exposition!J7</f>
        <v>0</v>
      </c>
      <c r="V6" s="625">
        <f>Exposition!K7</f>
        <v>0.01633981662</v>
      </c>
      <c r="W6" s="625">
        <f>Exposition!L7</f>
        <v>0.00626679179</v>
      </c>
      <c r="X6" s="625">
        <f>Exposition!M7</f>
        <v>0</v>
      </c>
      <c r="Y6" s="625">
        <f>Exposition!N7</f>
        <v>0</v>
      </c>
      <c r="Z6" s="625">
        <f>Exposition!O7</f>
        <v>0</v>
      </c>
      <c r="AA6" s="625">
        <f>Exposition!P7</f>
        <v>0</v>
      </c>
      <c r="AB6" s="625">
        <f>Exposition!Q7</f>
        <v>0</v>
      </c>
      <c r="AC6" s="625">
        <f>Exposition!R7</f>
        <v>0</v>
      </c>
      <c r="AD6" s="625">
        <f>Exposition!S7</f>
        <v>0</v>
      </c>
      <c r="AE6" s="625">
        <f>Exposition!T7</f>
        <v>0</v>
      </c>
      <c r="AF6" s="625">
        <f>Exposition!U7</f>
        <v>0.2334073108</v>
      </c>
      <c r="AG6" s="623"/>
      <c r="AH6" s="621">
        <f>PRIX!A7</f>
        <v>45518</v>
      </c>
      <c r="AI6" s="626">
        <f>PRIX!B7</f>
        <v>61000</v>
      </c>
      <c r="AJ6" s="626">
        <f>PRIX!C7</f>
        <v>2717</v>
      </c>
      <c r="AK6" s="627">
        <f>PRIX!D7</f>
        <v>7.2</v>
      </c>
      <c r="AL6" s="626">
        <f>PRIX!E7</f>
        <v>147.2</v>
      </c>
      <c r="AM6" s="626">
        <f>PRIX!F7</f>
        <v>287.3</v>
      </c>
      <c r="AN6" s="627">
        <f>PRIX!G7</f>
        <v>1.6</v>
      </c>
      <c r="AO6" s="627">
        <f>PRIX!H7</f>
        <v>10.57</v>
      </c>
      <c r="AP6" s="631">
        <f>PRIX!I7</f>
        <v>0.1065</v>
      </c>
      <c r="AQ6" s="628">
        <f>PRIX!J7</f>
        <v>0.00001375</v>
      </c>
      <c r="AR6" s="631">
        <f>PRIX!K7</f>
        <v>1.595</v>
      </c>
      <c r="AS6" s="631">
        <f>PRIX!L7</f>
        <v>0.795</v>
      </c>
      <c r="AT6" s="631">
        <f>PRIX!M7</f>
        <v>105</v>
      </c>
      <c r="AU6" s="629">
        <f>PRIX!N7</f>
        <v>0.009</v>
      </c>
      <c r="AV6" s="631">
        <f>PRIX!O7</f>
        <v>2.85</v>
      </c>
      <c r="AW6" s="631">
        <f>PRIX!P7</f>
        <v>0.009774</v>
      </c>
      <c r="AX6" s="630">
        <f>PRIX!Q7</f>
        <v>0.0000178</v>
      </c>
      <c r="AY6" s="631">
        <f>PRIX!R7</f>
        <v>3.35</v>
      </c>
      <c r="AZ6" s="631">
        <f>PRIX!S7</f>
        <v>6.35</v>
      </c>
      <c r="BA6" s="623"/>
    </row>
    <row r="7">
      <c r="A7" s="621">
        <f>ARBITRAGES!E8</f>
        <v>45518</v>
      </c>
      <c r="B7" s="623" t="str">
        <f>IF(A7="","",IF(ARBITRAGES!F8="Invest","Achat","Vente"))</f>
        <v>Achat</v>
      </c>
      <c r="C7" s="623" t="str">
        <f>ARBITRAGES!H8</f>
        <v>RON</v>
      </c>
      <c r="D7" s="624">
        <f>ARBITRAGES!I8</f>
        <v>1.54</v>
      </c>
      <c r="E7" s="624">
        <f>ARBITRAGES!J8</f>
        <v>310</v>
      </c>
      <c r="F7" s="623"/>
      <c r="G7" s="621">
        <f>'PV (%)'!B9</f>
        <v>45522</v>
      </c>
      <c r="H7" s="624">
        <f>'PV (%)'!E9</f>
        <v>36278.07652</v>
      </c>
      <c r="I7" s="624">
        <f>'PV (%)'!F9</f>
        <v>36536.79156</v>
      </c>
      <c r="J7" s="626">
        <f>'PV (%)'!G9</f>
        <v>37999.57198</v>
      </c>
      <c r="K7" s="623"/>
      <c r="L7" s="621">
        <f>Exposition!A8</f>
        <v>45518</v>
      </c>
      <c r="M7" s="625">
        <f>Exposition!B8</f>
        <v>0.7746951199</v>
      </c>
      <c r="N7" s="625">
        <f>Exposition!C8</f>
        <v>0.3580950451</v>
      </c>
      <c r="O7" s="625">
        <f>Exposition!D8</f>
        <v>0.2142891512</v>
      </c>
      <c r="P7" s="625">
        <f>Exposition!E8</f>
        <v>0</v>
      </c>
      <c r="Q7" s="625">
        <f>Exposition!F8</f>
        <v>0.1490255701</v>
      </c>
      <c r="R7" s="625">
        <f>Exposition!G8</f>
        <v>0.02219317442</v>
      </c>
      <c r="S7" s="625">
        <f>Exposition!H8</f>
        <v>0.008497212621</v>
      </c>
      <c r="T7" s="625">
        <f>Exposition!I8</f>
        <v>0</v>
      </c>
      <c r="U7" s="625">
        <f>Exposition!J8</f>
        <v>0</v>
      </c>
      <c r="V7" s="625">
        <f>Exposition!K8</f>
        <v>0.0163314019</v>
      </c>
      <c r="W7" s="625">
        <f>Exposition!L8</f>
        <v>0.006263564501</v>
      </c>
      <c r="X7" s="625">
        <f>Exposition!M8</f>
        <v>0</v>
      </c>
      <c r="Y7" s="625">
        <f>Exposition!N8</f>
        <v>0</v>
      </c>
      <c r="Z7" s="625">
        <f>Exposition!O8</f>
        <v>0</v>
      </c>
      <c r="AA7" s="625">
        <f>Exposition!P8</f>
        <v>0</v>
      </c>
      <c r="AB7" s="625">
        <f>Exposition!Q8</f>
        <v>0</v>
      </c>
      <c r="AC7" s="625">
        <f>Exposition!R8</f>
        <v>0</v>
      </c>
      <c r="AD7" s="625">
        <f>Exposition!S8</f>
        <v>0</v>
      </c>
      <c r="AE7" s="625">
        <f>Exposition!T8</f>
        <v>0</v>
      </c>
      <c r="AF7" s="625">
        <f>Exposition!U8</f>
        <v>0.2253048801</v>
      </c>
      <c r="AG7" s="623"/>
      <c r="AH7" s="621">
        <f>PRIX!A8</f>
        <v>45518</v>
      </c>
      <c r="AI7" s="626">
        <f>PRIX!B8</f>
        <v>61000</v>
      </c>
      <c r="AJ7" s="626">
        <f>PRIX!C8</f>
        <v>2717</v>
      </c>
      <c r="AK7" s="627">
        <f>PRIX!D8</f>
        <v>7.2</v>
      </c>
      <c r="AL7" s="626">
        <f>PRIX!E8</f>
        <v>147.2</v>
      </c>
      <c r="AM7" s="626">
        <f>PRIX!F8</f>
        <v>287.3</v>
      </c>
      <c r="AN7" s="627">
        <f>PRIX!G8</f>
        <v>1.65</v>
      </c>
      <c r="AO7" s="627">
        <f>PRIX!H8</f>
        <v>10.57</v>
      </c>
      <c r="AP7" s="631">
        <f>PRIX!I8</f>
        <v>0.1065</v>
      </c>
      <c r="AQ7" s="628">
        <f>PRIX!J8</f>
        <v>0.00001375</v>
      </c>
      <c r="AR7" s="631">
        <f>PRIX!K8</f>
        <v>1.595</v>
      </c>
      <c r="AS7" s="631">
        <f>PRIX!L8</f>
        <v>0.795</v>
      </c>
      <c r="AT7" s="631">
        <f>PRIX!M8</f>
        <v>105</v>
      </c>
      <c r="AU7" s="629">
        <f>PRIX!N8</f>
        <v>0.009</v>
      </c>
      <c r="AV7" s="631">
        <f>PRIX!O8</f>
        <v>2.85</v>
      </c>
      <c r="AW7" s="631">
        <f>PRIX!P8</f>
        <v>0.009774</v>
      </c>
      <c r="AX7" s="630">
        <f>PRIX!Q8</f>
        <v>0.0000178</v>
      </c>
      <c r="AY7" s="631">
        <f>PRIX!R8</f>
        <v>3.35</v>
      </c>
      <c r="AZ7" s="631">
        <f>PRIX!S8</f>
        <v>6.35</v>
      </c>
      <c r="BA7" s="623"/>
    </row>
    <row r="8">
      <c r="A8" s="621">
        <f>ARBITRAGES!E9</f>
        <v>45519</v>
      </c>
      <c r="B8" s="623" t="str">
        <f>IF(A8="","",IF(ARBITRAGES!F9="Invest","Achat","Vente"))</f>
        <v>Achat</v>
      </c>
      <c r="C8" s="623" t="str">
        <f>ARBITRAGES!H9</f>
        <v>TON</v>
      </c>
      <c r="D8" s="624">
        <f>ARBITRAGES!I9</f>
        <v>6.48</v>
      </c>
      <c r="E8" s="624">
        <f>ARBITRAGES!J9</f>
        <v>2750</v>
      </c>
      <c r="F8" s="623"/>
      <c r="G8" s="621">
        <f>'PV (%)'!B10</f>
        <v>45527</v>
      </c>
      <c r="H8" s="624">
        <f>'PV (%)'!E10</f>
        <v>34493.90883</v>
      </c>
      <c r="I8" s="624">
        <f>'PV (%)'!F10</f>
        <v>38338.25059</v>
      </c>
      <c r="J8" s="626">
        <f>'PV (%)'!G10</f>
        <v>38621.63</v>
      </c>
      <c r="K8" s="623"/>
      <c r="L8" s="621">
        <f>Exposition!A9</f>
        <v>45519</v>
      </c>
      <c r="M8" s="625">
        <f>Exposition!B9</f>
        <v>0.8421034847</v>
      </c>
      <c r="N8" s="625">
        <f>Exposition!C9</f>
        <v>0.3479807501</v>
      </c>
      <c r="O8" s="625">
        <f>Exposition!D9</f>
        <v>0.2136068471</v>
      </c>
      <c r="P8" s="625">
        <f>Exposition!E9</f>
        <v>0.07259259804</v>
      </c>
      <c r="Q8" s="625">
        <f>Exposition!F9</f>
        <v>0.1552040288</v>
      </c>
      <c r="R8" s="625">
        <f>Exposition!G9</f>
        <v>0.02155287434</v>
      </c>
      <c r="S8" s="625">
        <f>Exposition!H9</f>
        <v>0.008579044</v>
      </c>
      <c r="T8" s="625">
        <f>Exposition!I9</f>
        <v>0</v>
      </c>
      <c r="U8" s="625">
        <f>Exposition!J9</f>
        <v>0</v>
      </c>
      <c r="V8" s="625">
        <f>Exposition!K9</f>
        <v>0.0162661329</v>
      </c>
      <c r="W8" s="625">
        <f>Exposition!L9</f>
        <v>0.006321209358</v>
      </c>
      <c r="X8" s="625">
        <f>Exposition!M9</f>
        <v>0</v>
      </c>
      <c r="Y8" s="625">
        <f>Exposition!N9</f>
        <v>0</v>
      </c>
      <c r="Z8" s="625">
        <f>Exposition!O9</f>
        <v>0</v>
      </c>
      <c r="AA8" s="625">
        <f>Exposition!P9</f>
        <v>0</v>
      </c>
      <c r="AB8" s="625">
        <f>Exposition!Q9</f>
        <v>0</v>
      </c>
      <c r="AC8" s="625">
        <f>Exposition!R9</f>
        <v>0</v>
      </c>
      <c r="AD8" s="625">
        <f>Exposition!S9</f>
        <v>0</v>
      </c>
      <c r="AE8" s="625">
        <f>Exposition!T9</f>
        <v>0</v>
      </c>
      <c r="AF8" s="625">
        <f>Exposition!U9</f>
        <v>0.1578965153</v>
      </c>
      <c r="AG8" s="623"/>
      <c r="AH8" s="621">
        <f>PRIX!A9</f>
        <v>45519</v>
      </c>
      <c r="AI8" s="626">
        <f>PRIX!B9</f>
        <v>58000</v>
      </c>
      <c r="AJ8" s="626">
        <f>PRIX!C9</f>
        <v>2650</v>
      </c>
      <c r="AK8" s="627">
        <f>PRIX!D9</f>
        <v>6.5</v>
      </c>
      <c r="AL8" s="626">
        <f>PRIX!E9</f>
        <v>150</v>
      </c>
      <c r="AM8" s="626">
        <f>PRIX!F9</f>
        <v>273</v>
      </c>
      <c r="AN8" s="627">
        <f>PRIX!G9</f>
        <v>1.63</v>
      </c>
      <c r="AO8" s="627">
        <f>PRIX!H9</f>
        <v>10.05</v>
      </c>
      <c r="AP8" s="631">
        <f>PRIX!I9</f>
        <v>0.103</v>
      </c>
      <c r="AQ8" s="628">
        <f>PRIX!J9</f>
        <v>0.0000134</v>
      </c>
      <c r="AR8" s="631">
        <f>PRIX!K9</f>
        <v>1.575</v>
      </c>
      <c r="AS8" s="631">
        <f>PRIX!L9</f>
        <v>0.78</v>
      </c>
      <c r="AT8" s="631">
        <f>PRIX!M9</f>
        <v>110</v>
      </c>
      <c r="AU8" s="629">
        <f>PRIX!N9</f>
        <v>0.0078</v>
      </c>
      <c r="AV8" s="631">
        <f>PRIX!O9</f>
        <v>2.7</v>
      </c>
      <c r="AW8" s="631">
        <f>PRIX!P9</f>
        <v>0.009774</v>
      </c>
      <c r="AX8" s="630">
        <f>PRIX!Q9</f>
        <v>0.0000178</v>
      </c>
      <c r="AY8" s="631">
        <f>PRIX!R9</f>
        <v>3.35</v>
      </c>
      <c r="AZ8" s="631">
        <f>PRIX!S9</f>
        <v>6.35</v>
      </c>
      <c r="BA8" s="623"/>
    </row>
    <row r="9">
      <c r="A9" s="621">
        <f>ARBITRAGES!E10</f>
        <v>45522</v>
      </c>
      <c r="B9" s="623" t="str">
        <f>IF(A9="","",IF(ARBITRAGES!F10="Invest","Achat","Vente"))</f>
        <v>Achat</v>
      </c>
      <c r="C9" s="623" t="str">
        <f>ARBITRAGES!H10</f>
        <v>BTC</v>
      </c>
      <c r="D9" s="624">
        <f>ARBITRAGES!I10</f>
        <v>57500</v>
      </c>
      <c r="E9" s="624">
        <f>ARBITRAGES!J10</f>
        <v>1500</v>
      </c>
      <c r="F9" s="623"/>
      <c r="G9" s="621">
        <f>'PV (%)'!B11</f>
        <v>45527</v>
      </c>
      <c r="H9" s="624">
        <f>'PV (%)'!E11</f>
        <v>35742.82621</v>
      </c>
      <c r="I9" s="624">
        <f>'PV (%)'!F11</f>
        <v>38338.25059</v>
      </c>
      <c r="J9" s="626">
        <f>'PV (%)'!G11</f>
        <v>40071.08671</v>
      </c>
      <c r="K9" s="623"/>
      <c r="L9" s="621">
        <f>Exposition!A10</f>
        <v>45522</v>
      </c>
      <c r="M9" s="625">
        <f>Exposition!B10</f>
        <v>0.8834849798</v>
      </c>
      <c r="N9" s="625">
        <f>Exposition!C10</f>
        <v>0.3953668907</v>
      </c>
      <c r="O9" s="625">
        <f>Exposition!D10</f>
        <v>0.2121490972</v>
      </c>
      <c r="P9" s="625">
        <f>Exposition!E10</f>
        <v>0.07318150189</v>
      </c>
      <c r="Q9" s="625">
        <f>Exposition!F10</f>
        <v>0.1490393384</v>
      </c>
      <c r="R9" s="625">
        <f>Exposition!G10</f>
        <v>0.02275926728</v>
      </c>
      <c r="S9" s="625">
        <f>Exposition!H10</f>
        <v>0.008528899479</v>
      </c>
      <c r="T9" s="625">
        <f>Exposition!I10</f>
        <v>0</v>
      </c>
      <c r="U9" s="625">
        <f>Exposition!J10</f>
        <v>0</v>
      </c>
      <c r="V9" s="625">
        <f>Exposition!K10</f>
        <v>0.01594442601</v>
      </c>
      <c r="W9" s="625">
        <f>Exposition!L10</f>
        <v>0.006515558768</v>
      </c>
      <c r="X9" s="625">
        <f>Exposition!M10</f>
        <v>0</v>
      </c>
      <c r="Y9" s="625">
        <f>Exposition!N10</f>
        <v>0</v>
      </c>
      <c r="Z9" s="625">
        <f>Exposition!O10</f>
        <v>0</v>
      </c>
      <c r="AA9" s="625">
        <f>Exposition!P10</f>
        <v>0</v>
      </c>
      <c r="AB9" s="625">
        <f>Exposition!Q10</f>
        <v>0</v>
      </c>
      <c r="AC9" s="625">
        <f>Exposition!R10</f>
        <v>0</v>
      </c>
      <c r="AD9" s="625">
        <f>Exposition!S10</f>
        <v>0</v>
      </c>
      <c r="AE9" s="625">
        <f>Exposition!T10</f>
        <v>0</v>
      </c>
      <c r="AF9" s="625">
        <f>Exposition!U10</f>
        <v>0.1165150202</v>
      </c>
      <c r="AG9" s="623"/>
      <c r="AH9" s="621">
        <f>PRIX!A10</f>
        <v>45522</v>
      </c>
      <c r="AI9" s="626">
        <f>PRIX!B10</f>
        <v>60100</v>
      </c>
      <c r="AJ9" s="626">
        <f>PRIX!C10</f>
        <v>2675</v>
      </c>
      <c r="AK9" s="627">
        <f>PRIX!D10</f>
        <v>6.66</v>
      </c>
      <c r="AL9" s="626">
        <f>PRIX!E10</f>
        <v>146.4</v>
      </c>
      <c r="AM9" s="626">
        <f>PRIX!F10</f>
        <v>293</v>
      </c>
      <c r="AN9" s="627">
        <f>PRIX!G10</f>
        <v>1.647</v>
      </c>
      <c r="AO9" s="627">
        <f>PRIX!H10</f>
        <v>10.43</v>
      </c>
      <c r="AP9" s="631">
        <f>PRIX!I10</f>
        <v>0.104</v>
      </c>
      <c r="AQ9" s="628">
        <f>PRIX!J10</f>
        <v>0.00001335</v>
      </c>
      <c r="AR9" s="631">
        <f>PRIX!K10</f>
        <v>1.65</v>
      </c>
      <c r="AS9" s="631">
        <f>PRIX!L10</f>
        <v>0.76</v>
      </c>
      <c r="AT9" s="631">
        <f>PRIX!M10</f>
        <v>108</v>
      </c>
      <c r="AU9" s="629">
        <f>PRIX!N10</f>
        <v>0.0076</v>
      </c>
      <c r="AV9" s="631">
        <f>PRIX!O10</f>
        <v>2.65</v>
      </c>
      <c r="AW9" s="631">
        <f>PRIX!P10</f>
        <v>0.009774</v>
      </c>
      <c r="AX9" s="630">
        <f>PRIX!Q10</f>
        <v>0.0000178</v>
      </c>
      <c r="AY9" s="631">
        <f>PRIX!R10</f>
        <v>3.35</v>
      </c>
      <c r="AZ9" s="631">
        <f>PRIX!S10</f>
        <v>6.35</v>
      </c>
      <c r="BA9" s="623"/>
    </row>
    <row r="10">
      <c r="A10" s="621">
        <f>ARBITRAGES!E11</f>
        <v>45527</v>
      </c>
      <c r="B10" s="623" t="str">
        <f>IF(A10="","",IF(ARBITRAGES!F11="Invest","Achat","Vente"))</f>
        <v>Vente</v>
      </c>
      <c r="C10" s="623" t="str">
        <f>ARBITRAGES!H11</f>
        <v>TAO</v>
      </c>
      <c r="D10" s="624">
        <f>ARBITRAGES!I11</f>
        <v>345</v>
      </c>
      <c r="E10" s="624">
        <f>ARBITRAGES!J11</f>
        <v>345</v>
      </c>
      <c r="F10" s="623"/>
      <c r="G10" s="621">
        <f>'PV (%)'!B12</f>
        <v>45528</v>
      </c>
      <c r="H10" s="624">
        <f>'PV (%)'!E12</f>
        <v>37705.41068</v>
      </c>
      <c r="I10" s="624">
        <f>'PV (%)'!F12</f>
        <v>39159.96975</v>
      </c>
      <c r="J10" s="626">
        <f>'PV (%)'!G12</f>
        <v>40130.79639</v>
      </c>
      <c r="K10" s="623"/>
      <c r="L10" s="621">
        <f>Exposition!A11</f>
        <v>45527</v>
      </c>
      <c r="M10" s="625">
        <f>Exposition!B11</f>
        <v>0.8790898776</v>
      </c>
      <c r="N10" s="625">
        <f>Exposition!C11</f>
        <v>0.4019893632</v>
      </c>
      <c r="O10" s="625">
        <f>Exposition!D11</f>
        <v>0.2094437683</v>
      </c>
      <c r="P10" s="625">
        <f>Exposition!E11</f>
        <v>0.0708520932</v>
      </c>
      <c r="Q10" s="625">
        <f>Exposition!F11</f>
        <v>0.1460325933</v>
      </c>
      <c r="R10" s="625">
        <f>Exposition!G11</f>
        <v>0.01736913214</v>
      </c>
      <c r="S10" s="625">
        <f>Exposition!H11</f>
        <v>0.008869237876</v>
      </c>
      <c r="T10" s="625">
        <f>Exposition!I11</f>
        <v>0</v>
      </c>
      <c r="U10" s="625">
        <f>Exposition!J11</f>
        <v>0</v>
      </c>
      <c r="V10" s="625">
        <f>Exposition!K11</f>
        <v>0.01692171737</v>
      </c>
      <c r="W10" s="625">
        <f>Exposition!L11</f>
        <v>0.007611972248</v>
      </c>
      <c r="X10" s="625">
        <f>Exposition!M11</f>
        <v>0</v>
      </c>
      <c r="Y10" s="625">
        <f>Exposition!N11</f>
        <v>0</v>
      </c>
      <c r="Z10" s="625">
        <f>Exposition!O11</f>
        <v>0</v>
      </c>
      <c r="AA10" s="625">
        <f>Exposition!P11</f>
        <v>0</v>
      </c>
      <c r="AB10" s="625">
        <f>Exposition!Q11</f>
        <v>0</v>
      </c>
      <c r="AC10" s="625">
        <f>Exposition!R11</f>
        <v>0</v>
      </c>
      <c r="AD10" s="625">
        <f>Exposition!S11</f>
        <v>0</v>
      </c>
      <c r="AE10" s="625">
        <f>Exposition!T11</f>
        <v>0</v>
      </c>
      <c r="AF10" s="625">
        <f>Exposition!U11</f>
        <v>0.1209101224</v>
      </c>
      <c r="AG10" s="623"/>
      <c r="AH10" s="621">
        <f>PRIX!A11</f>
        <v>45527</v>
      </c>
      <c r="AI10" s="626">
        <f>PRIX!B11</f>
        <v>63400</v>
      </c>
      <c r="AJ10" s="626">
        <f>PRIX!C11</f>
        <v>2740</v>
      </c>
      <c r="AK10" s="627">
        <f>PRIX!D11</f>
        <v>6.69</v>
      </c>
      <c r="AL10" s="626">
        <f>PRIX!E11</f>
        <v>148.83</v>
      </c>
      <c r="AM10" s="626">
        <f>PRIX!F11</f>
        <v>348</v>
      </c>
      <c r="AN10" s="627">
        <f>PRIX!G11</f>
        <v>1.777</v>
      </c>
      <c r="AO10" s="627">
        <f>PRIX!H11</f>
        <v>11.3</v>
      </c>
      <c r="AP10" s="631">
        <f>PRIX!I11</f>
        <v>0.1096</v>
      </c>
      <c r="AQ10" s="628">
        <f>PRIX!J11</f>
        <v>0.0000147</v>
      </c>
      <c r="AR10" s="631">
        <f>PRIX!K11</f>
        <v>2</v>
      </c>
      <c r="AS10" s="631">
        <f>PRIX!L11</f>
        <v>0.84</v>
      </c>
      <c r="AT10" s="631">
        <f>PRIX!M11</f>
        <v>140</v>
      </c>
      <c r="AU10" s="629">
        <f>PRIX!N11</f>
        <v>0.00102</v>
      </c>
      <c r="AV10" s="631">
        <f>PRIX!O11</f>
        <v>3.1</v>
      </c>
      <c r="AW10" s="631">
        <f>PRIX!P11</f>
        <v>0.009774</v>
      </c>
      <c r="AX10" s="630">
        <f>PRIX!Q11</f>
        <v>0.0000178</v>
      </c>
      <c r="AY10" s="631">
        <f>PRIX!R11</f>
        <v>3.35</v>
      </c>
      <c r="AZ10" s="631">
        <f>PRIX!S11</f>
        <v>6.35</v>
      </c>
      <c r="BA10" s="623"/>
    </row>
    <row r="11">
      <c r="A11" s="621">
        <f>ARBITRAGES!E12</f>
        <v>45527</v>
      </c>
      <c r="B11" s="623" t="str">
        <f>IF(A11="","",IF(ARBITRAGES!F12="Invest","Achat","Vente"))</f>
        <v>Vente</v>
      </c>
      <c r="C11" s="623" t="str">
        <f>ARBITRAGES!H12</f>
        <v>SOL</v>
      </c>
      <c r="D11" s="624">
        <f>ARBITRAGES!I12</f>
        <v>155</v>
      </c>
      <c r="E11" s="624">
        <f>ARBITRAGES!J12</f>
        <v>1500</v>
      </c>
      <c r="F11" s="623"/>
      <c r="G11" s="632">
        <f>'PV (%)'!B13</f>
        <v>45529</v>
      </c>
      <c r="H11" s="624">
        <f>'PV (%)'!E13</f>
        <v>37705.41068</v>
      </c>
      <c r="I11" s="624">
        <f>'PV (%)'!F13</f>
        <v>38233.71085</v>
      </c>
      <c r="J11" s="626">
        <f>'PV (%)'!G13</f>
        <v>40893.77506</v>
      </c>
      <c r="K11" s="623"/>
      <c r="L11" s="621">
        <f>Exposition!A12</f>
        <v>45527</v>
      </c>
      <c r="M11" s="625">
        <f>Exposition!B12</f>
        <v>0.8418919989</v>
      </c>
      <c r="N11" s="625">
        <f>Exposition!C12</f>
        <v>0.4013912526</v>
      </c>
      <c r="O11" s="625">
        <f>Exposition!D12</f>
        <v>0.2091321417</v>
      </c>
      <c r="P11" s="625">
        <f>Exposition!E12</f>
        <v>0.07074667402</v>
      </c>
      <c r="Q11" s="625">
        <f>Exposition!F12</f>
        <v>0.1099254134</v>
      </c>
      <c r="R11" s="625">
        <f>Exposition!G12</f>
        <v>0.01734328901</v>
      </c>
      <c r="S11" s="625">
        <f>Exposition!H12</f>
        <v>0.008856041543</v>
      </c>
      <c r="T11" s="625">
        <f>Exposition!I12</f>
        <v>0</v>
      </c>
      <c r="U11" s="625">
        <f>Exposition!J12</f>
        <v>0</v>
      </c>
      <c r="V11" s="625">
        <f>Exposition!K12</f>
        <v>0.01689653994</v>
      </c>
      <c r="W11" s="625">
        <f>Exposition!L12</f>
        <v>0.007600646572</v>
      </c>
      <c r="X11" s="625">
        <f>Exposition!M12</f>
        <v>0</v>
      </c>
      <c r="Y11" s="625">
        <f>Exposition!N12</f>
        <v>0</v>
      </c>
      <c r="Z11" s="625">
        <f>Exposition!O12</f>
        <v>0</v>
      </c>
      <c r="AA11" s="625">
        <f>Exposition!P12</f>
        <v>0</v>
      </c>
      <c r="AB11" s="625">
        <f>Exposition!Q12</f>
        <v>0</v>
      </c>
      <c r="AC11" s="625">
        <f>Exposition!R12</f>
        <v>0</v>
      </c>
      <c r="AD11" s="625">
        <f>Exposition!S12</f>
        <v>0</v>
      </c>
      <c r="AE11" s="625">
        <f>Exposition!T12</f>
        <v>0</v>
      </c>
      <c r="AF11" s="625">
        <f>Exposition!U12</f>
        <v>0.1581080011</v>
      </c>
      <c r="AG11" s="623"/>
      <c r="AH11" s="621">
        <f>PRIX!A12</f>
        <v>45527</v>
      </c>
      <c r="AI11" s="626">
        <f>PRIX!B12</f>
        <v>63400</v>
      </c>
      <c r="AJ11" s="626">
        <f>PRIX!C12</f>
        <v>2740</v>
      </c>
      <c r="AK11" s="627">
        <f>PRIX!D12</f>
        <v>6.69</v>
      </c>
      <c r="AL11" s="626">
        <f>PRIX!E12</f>
        <v>148.83</v>
      </c>
      <c r="AM11" s="626">
        <f>PRIX!F12</f>
        <v>348</v>
      </c>
      <c r="AN11" s="627">
        <f>PRIX!G12</f>
        <v>1.777</v>
      </c>
      <c r="AO11" s="627">
        <f>PRIX!H12</f>
        <v>11.3</v>
      </c>
      <c r="AP11" s="631">
        <f>PRIX!I12</f>
        <v>0.1096</v>
      </c>
      <c r="AQ11" s="628">
        <f>PRIX!J12</f>
        <v>0.0000147</v>
      </c>
      <c r="AR11" s="631">
        <f>PRIX!K12</f>
        <v>2</v>
      </c>
      <c r="AS11" s="631">
        <f>PRIX!L12</f>
        <v>0.84</v>
      </c>
      <c r="AT11" s="631">
        <f>PRIX!M12</f>
        <v>140</v>
      </c>
      <c r="AU11" s="629">
        <f>PRIX!N12</f>
        <v>0.00102</v>
      </c>
      <c r="AV11" s="631">
        <f>PRIX!O12</f>
        <v>3.1</v>
      </c>
      <c r="AW11" s="631">
        <f>PRIX!P12</f>
        <v>0.009774</v>
      </c>
      <c r="AX11" s="630">
        <f>PRIX!Q12</f>
        <v>0.0000178</v>
      </c>
      <c r="AY11" s="631">
        <f>PRIX!R12</f>
        <v>3.35</v>
      </c>
      <c r="AZ11" s="631">
        <f>PRIX!S12</f>
        <v>6.35</v>
      </c>
      <c r="BA11" s="623"/>
    </row>
    <row r="12">
      <c r="A12" s="621">
        <f>ARBITRAGES!E13</f>
        <v>45528</v>
      </c>
      <c r="B12" s="623" t="str">
        <f>IF(A12="","",IF(ARBITRAGES!F13="Invest","Achat","Vente"))</f>
        <v>Vente</v>
      </c>
      <c r="C12" s="623" t="str">
        <f>ARBITRAGES!H13</f>
        <v>SOL</v>
      </c>
      <c r="D12" s="624">
        <f>ARBITRAGES!I13</f>
        <v>157.5</v>
      </c>
      <c r="E12" s="624">
        <f>ARBITRAGES!J13</f>
        <v>1833</v>
      </c>
      <c r="F12" s="623"/>
      <c r="G12" s="621">
        <f>'PV (%)'!B14</f>
        <v>45530</v>
      </c>
      <c r="H12" s="624">
        <f>'PV (%)'!E14</f>
        <v>38300.13325</v>
      </c>
      <c r="I12" s="624">
        <f>'PV (%)'!F14</f>
        <v>36872.13468</v>
      </c>
      <c r="J12" s="626">
        <f>'PV (%)'!G14</f>
        <v>40117.45953</v>
      </c>
      <c r="K12" s="623"/>
      <c r="L12" s="621">
        <f>Exposition!A13</f>
        <v>45528</v>
      </c>
      <c r="M12" s="625">
        <f>Exposition!B13</f>
        <v>0.8000184628</v>
      </c>
      <c r="N12" s="625">
        <f>Exposition!C13</f>
        <v>0.4001152347</v>
      </c>
      <c r="O12" s="625">
        <f>Exposition!D13</f>
        <v>0.2097243361</v>
      </c>
      <c r="P12" s="625">
        <f>Exposition!E13</f>
        <v>0.07021541671</v>
      </c>
      <c r="Q12" s="625">
        <f>Exposition!F13</f>
        <v>0.06955529643</v>
      </c>
      <c r="R12" s="625">
        <f>Exposition!G13</f>
        <v>0.0167751693</v>
      </c>
      <c r="S12" s="625">
        <f>Exposition!H13</f>
        <v>0.008803295842</v>
      </c>
      <c r="T12" s="625">
        <f>Exposition!I13</f>
        <v>0</v>
      </c>
      <c r="U12" s="625">
        <f>Exposition!J13</f>
        <v>0</v>
      </c>
      <c r="V12" s="625">
        <f>Exposition!K13</f>
        <v>0.01737087679</v>
      </c>
      <c r="W12" s="625">
        <f>Exposition!L13</f>
        <v>0.007458836939</v>
      </c>
      <c r="X12" s="625">
        <f>Exposition!M13</f>
        <v>0</v>
      </c>
      <c r="Y12" s="625">
        <f>Exposition!N13</f>
        <v>0</v>
      </c>
      <c r="Z12" s="625">
        <f>Exposition!O13</f>
        <v>0</v>
      </c>
      <c r="AA12" s="625">
        <f>Exposition!P13</f>
        <v>0</v>
      </c>
      <c r="AB12" s="625">
        <f>Exposition!Q13</f>
        <v>0</v>
      </c>
      <c r="AC12" s="625">
        <f>Exposition!R13</f>
        <v>0</v>
      </c>
      <c r="AD12" s="625">
        <f>Exposition!S13</f>
        <v>0</v>
      </c>
      <c r="AE12" s="625">
        <f>Exposition!T13</f>
        <v>0</v>
      </c>
      <c r="AF12" s="625">
        <f>Exposition!U13</f>
        <v>0.1999815372</v>
      </c>
      <c r="AG12" s="623"/>
      <c r="AH12" s="621">
        <f>PRIX!A13</f>
        <v>45528</v>
      </c>
      <c r="AI12" s="626">
        <f>PRIX!B13</f>
        <v>64400</v>
      </c>
      <c r="AJ12" s="626">
        <f>PRIX!C13</f>
        <v>2800</v>
      </c>
      <c r="AK12" s="627">
        <f>PRIX!D13</f>
        <v>6.766</v>
      </c>
      <c r="AL12" s="626">
        <f>PRIX!E13</f>
        <v>158</v>
      </c>
      <c r="AM12" s="626">
        <f>PRIX!F13</f>
        <v>343</v>
      </c>
      <c r="AN12" s="627">
        <f>PRIX!G13</f>
        <v>1.8</v>
      </c>
      <c r="AO12" s="627">
        <f>PRIX!H13</f>
        <v>12.1</v>
      </c>
      <c r="AP12" s="631">
        <f>PRIX!I13</f>
        <v>0.114</v>
      </c>
      <c r="AQ12" s="628">
        <f>PRIX!J13</f>
        <v>0.0000154</v>
      </c>
      <c r="AR12" s="631">
        <f>PRIX!K13</f>
        <v>2</v>
      </c>
      <c r="AS12" s="631">
        <f>PRIX!L13</f>
        <v>0.92</v>
      </c>
      <c r="AT12" s="631">
        <f>PRIX!M13</f>
        <v>135</v>
      </c>
      <c r="AU12" s="629">
        <f>PRIX!N13</f>
        <v>0.00108</v>
      </c>
      <c r="AV12" s="631">
        <f>PRIX!O13</f>
        <v>3.3</v>
      </c>
      <c r="AW12" s="631">
        <f>PRIX!P13</f>
        <v>0.009774</v>
      </c>
      <c r="AX12" s="630">
        <f>PRIX!Q13</f>
        <v>0.0000178</v>
      </c>
      <c r="AY12" s="631">
        <f>PRIX!R13</f>
        <v>3.35</v>
      </c>
      <c r="AZ12" s="631">
        <f>PRIX!S13</f>
        <v>6.35</v>
      </c>
      <c r="BA12" s="623"/>
    </row>
    <row r="13">
      <c r="A13" s="632">
        <f>ARBITRAGES!E14</f>
        <v>45529</v>
      </c>
      <c r="B13" s="623" t="str">
        <f>IF(A13="","",IF(ARBITRAGES!F14="Invest","Achat","Vente"))</f>
        <v>Achat</v>
      </c>
      <c r="C13" s="623" t="str">
        <f>ARBITRAGES!H14</f>
        <v>TON</v>
      </c>
      <c r="D13" s="624">
        <f>ARBITRAGES!I14</f>
        <v>6</v>
      </c>
      <c r="E13" s="624">
        <f>ARBITRAGES!J14</f>
        <v>500</v>
      </c>
      <c r="F13" s="623"/>
      <c r="G13" s="621">
        <f>'PV (%)'!B15</f>
        <v>45531</v>
      </c>
      <c r="H13" s="624">
        <f>'PV (%)'!E15</f>
        <v>38062.24422</v>
      </c>
      <c r="I13" s="624">
        <f>'PV (%)'!F15</f>
        <v>36872.13468</v>
      </c>
      <c r="J13" s="626">
        <f>'PV (%)'!G15</f>
        <v>38900.62381</v>
      </c>
      <c r="K13" s="623"/>
      <c r="L13" s="621">
        <f>Exposition!A14</f>
        <v>45529</v>
      </c>
      <c r="M13" s="625">
        <f>Exposition!B14</f>
        <v>0.8086120086</v>
      </c>
      <c r="N13" s="625">
        <f>Exposition!C14</f>
        <v>0.4053246114</v>
      </c>
      <c r="O13" s="625">
        <f>Exposition!D14</f>
        <v>0.211110441</v>
      </c>
      <c r="P13" s="625">
        <f>Exposition!E14</f>
        <v>0.07119419205</v>
      </c>
      <c r="Q13" s="625">
        <f>Exposition!F14</f>
        <v>0.07090126543</v>
      </c>
      <c r="R13" s="625">
        <f>Exposition!G14</f>
        <v>0.01630212899</v>
      </c>
      <c r="S13" s="625">
        <f>Exposition!H14</f>
        <v>0.008774234562</v>
      </c>
      <c r="T13" s="625">
        <f>Exposition!I14</f>
        <v>0</v>
      </c>
      <c r="U13" s="625">
        <f>Exposition!J14</f>
        <v>0</v>
      </c>
      <c r="V13" s="625">
        <f>Exposition!K14</f>
        <v>0.01759204108</v>
      </c>
      <c r="W13" s="625">
        <f>Exposition!L14</f>
        <v>0.007413094036</v>
      </c>
      <c r="X13" s="625">
        <f>Exposition!M14</f>
        <v>0</v>
      </c>
      <c r="Y13" s="625">
        <f>Exposition!N14</f>
        <v>0</v>
      </c>
      <c r="Z13" s="625">
        <f>Exposition!O14</f>
        <v>0</v>
      </c>
      <c r="AA13" s="625">
        <f>Exposition!P14</f>
        <v>0</v>
      </c>
      <c r="AB13" s="625">
        <f>Exposition!Q14</f>
        <v>0</v>
      </c>
      <c r="AC13" s="625">
        <f>Exposition!R14</f>
        <v>0</v>
      </c>
      <c r="AD13" s="625">
        <f>Exposition!S14</f>
        <v>0</v>
      </c>
      <c r="AE13" s="625">
        <f>Exposition!T14</f>
        <v>0</v>
      </c>
      <c r="AF13" s="625">
        <f>Exposition!U14</f>
        <v>0.1913879914</v>
      </c>
      <c r="AG13" s="623"/>
      <c r="AH13" s="621">
        <f>PRIX!A14</f>
        <v>45529</v>
      </c>
      <c r="AI13" s="626">
        <f>PRIX!B14</f>
        <v>64000</v>
      </c>
      <c r="AJ13" s="626">
        <f>PRIX!C14</f>
        <v>2765</v>
      </c>
      <c r="AK13" s="627">
        <f>PRIX!D14</f>
        <v>5.64</v>
      </c>
      <c r="AL13" s="626">
        <f>PRIX!E14</f>
        <v>158</v>
      </c>
      <c r="AM13" s="626">
        <f>PRIX!F14</f>
        <v>327</v>
      </c>
      <c r="AN13" s="627">
        <f>PRIX!G14</f>
        <v>1.76</v>
      </c>
      <c r="AO13" s="627">
        <f>PRIX!H14</f>
        <v>12.12</v>
      </c>
      <c r="AP13" s="631">
        <f>PRIX!I14</f>
        <v>0.109</v>
      </c>
      <c r="AQ13" s="628">
        <f>PRIX!J14</f>
        <v>0.0000153</v>
      </c>
      <c r="AR13" s="631">
        <f>PRIX!K14</f>
        <v>1.95</v>
      </c>
      <c r="AS13" s="631">
        <f>PRIX!L14</f>
        <v>0.91</v>
      </c>
      <c r="AT13" s="631">
        <f>PRIX!M14</f>
        <v>130</v>
      </c>
      <c r="AU13" s="629">
        <f>PRIX!N14</f>
        <v>0.001</v>
      </c>
      <c r="AV13" s="631">
        <f>PRIX!O14</f>
        <v>3.4</v>
      </c>
      <c r="AW13" s="631">
        <f>PRIX!P14</f>
        <v>0.009774</v>
      </c>
      <c r="AX13" s="630">
        <f>PRIX!Q14</f>
        <v>0.0000178</v>
      </c>
      <c r="AY13" s="631">
        <f>PRIX!R14</f>
        <v>3.35</v>
      </c>
      <c r="AZ13" s="631">
        <f>PRIX!S14</f>
        <v>6.35</v>
      </c>
      <c r="BA13" s="623"/>
    </row>
    <row r="14">
      <c r="A14" s="621">
        <f>ARBITRAGES!E15</f>
        <v>45530</v>
      </c>
      <c r="B14" s="623" t="str">
        <f>IF(A14="","",IF(ARBITRAGES!F15="Invest","Achat","Vente"))</f>
        <v>Achat</v>
      </c>
      <c r="C14" s="623" t="str">
        <f>ARBITRAGES!H15</f>
        <v>BTC</v>
      </c>
      <c r="D14" s="624">
        <f>ARBITRAGES!I15</f>
        <v>62100</v>
      </c>
      <c r="E14" s="624">
        <f>ARBITRAGES!J15</f>
        <v>2200</v>
      </c>
      <c r="F14" s="623"/>
      <c r="G14" s="621">
        <f>'PV (%)'!B16</f>
        <v>45532</v>
      </c>
      <c r="H14" s="624">
        <f>'PV (%)'!E16</f>
        <v>36872.79909</v>
      </c>
      <c r="I14" s="624">
        <f>'PV (%)'!F16</f>
        <v>35451.62927</v>
      </c>
      <c r="J14" s="626">
        <f>'PV (%)'!G16</f>
        <v>38937.50839</v>
      </c>
      <c r="K14" s="623"/>
      <c r="L14" s="621">
        <f>Exposition!A15</f>
        <v>45530</v>
      </c>
      <c r="M14" s="625">
        <f>Exposition!B15</f>
        <v>0.8591796361</v>
      </c>
      <c r="N14" s="625">
        <f>Exposition!C15</f>
        <v>0.4614041039</v>
      </c>
      <c r="O14" s="625">
        <f>Exposition!D15</f>
        <v>0.204722126</v>
      </c>
      <c r="P14" s="625">
        <f>Exposition!E15</f>
        <v>0.07094778177</v>
      </c>
      <c r="Q14" s="625">
        <f>Exposition!F15</f>
        <v>0.07126798465</v>
      </c>
      <c r="R14" s="625">
        <f>Exposition!G15</f>
        <v>0.0173262003</v>
      </c>
      <c r="S14" s="625">
        <f>Exposition!H15</f>
        <v>0.008514002284</v>
      </c>
      <c r="T14" s="625">
        <f>Exposition!I15</f>
        <v>0</v>
      </c>
      <c r="U14" s="625">
        <f>Exposition!J15</f>
        <v>0</v>
      </c>
      <c r="V14" s="625">
        <f>Exposition!K15</f>
        <v>0.01743086711</v>
      </c>
      <c r="W14" s="625">
        <f>Exposition!L15</f>
        <v>0.007566570177</v>
      </c>
      <c r="X14" s="625">
        <f>Exposition!M15</f>
        <v>0</v>
      </c>
      <c r="Y14" s="625">
        <f>Exposition!N15</f>
        <v>0</v>
      </c>
      <c r="Z14" s="625">
        <f>Exposition!O15</f>
        <v>0</v>
      </c>
      <c r="AA14" s="625">
        <f>Exposition!P15</f>
        <v>0</v>
      </c>
      <c r="AB14" s="625">
        <f>Exposition!Q15</f>
        <v>0</v>
      </c>
      <c r="AC14" s="625">
        <f>Exposition!R15</f>
        <v>0</v>
      </c>
      <c r="AD14" s="625">
        <f>Exposition!S15</f>
        <v>0</v>
      </c>
      <c r="AE14" s="625">
        <f>Exposition!T15</f>
        <v>0</v>
      </c>
      <c r="AF14" s="625">
        <f>Exposition!U15</f>
        <v>0.1408203639</v>
      </c>
      <c r="AG14" s="623"/>
      <c r="AH14" s="621">
        <f>PRIX!A15</f>
        <v>45530</v>
      </c>
      <c r="AI14" s="626">
        <f>PRIX!B15</f>
        <v>62000</v>
      </c>
      <c r="AJ14" s="626">
        <f>PRIX!C15</f>
        <v>2600</v>
      </c>
      <c r="AK14" s="627">
        <f>PRIX!D15</f>
        <v>5.45</v>
      </c>
      <c r="AL14" s="626">
        <f>PRIX!E15</f>
        <v>154</v>
      </c>
      <c r="AM14" s="626">
        <f>PRIX!F15</f>
        <v>337</v>
      </c>
      <c r="AN14" s="627">
        <f>PRIX!G15</f>
        <v>1.656</v>
      </c>
      <c r="AO14" s="627">
        <f>PRIX!H15</f>
        <v>11.56</v>
      </c>
      <c r="AP14" s="631">
        <f>PRIX!I15</f>
        <v>0.104</v>
      </c>
      <c r="AQ14" s="628">
        <f>PRIX!J15</f>
        <v>0.0000147</v>
      </c>
      <c r="AR14" s="631">
        <f>PRIX!K15</f>
        <v>1.93</v>
      </c>
      <c r="AS14" s="631">
        <f>PRIX!L15</f>
        <v>0.88</v>
      </c>
      <c r="AT14" s="631">
        <f>PRIX!M15</f>
        <v>128</v>
      </c>
      <c r="AU14" s="629">
        <f>PRIX!N15</f>
        <v>0.009</v>
      </c>
      <c r="AV14" s="631">
        <f>PRIX!O15</f>
        <v>3.35</v>
      </c>
      <c r="AW14" s="631">
        <f>PRIX!P15</f>
        <v>0.009774</v>
      </c>
      <c r="AX14" s="630">
        <f>PRIX!Q15</f>
        <v>0.0000178</v>
      </c>
      <c r="AY14" s="631">
        <f>PRIX!R15</f>
        <v>3.35</v>
      </c>
      <c r="AZ14" s="631">
        <f>PRIX!S15</f>
        <v>6.35</v>
      </c>
      <c r="BA14" s="623"/>
    </row>
    <row r="15">
      <c r="A15" s="621">
        <f>ARBITRAGES!E16</f>
        <v>45531</v>
      </c>
      <c r="B15" s="623" t="str">
        <f>IF(A15="","",IF(ARBITRAGES!F16="Invest","Achat","Vente"))</f>
        <v>Achat</v>
      </c>
      <c r="C15" s="623" t="str">
        <f>ARBITRAGES!H16</f>
        <v>RON</v>
      </c>
      <c r="D15" s="624">
        <f>ARBITRAGES!I16</f>
        <v>1.65</v>
      </c>
      <c r="E15" s="624">
        <f>ARBITRAGES!J16</f>
        <v>825</v>
      </c>
      <c r="F15" s="623"/>
      <c r="G15" s="621">
        <f>'PV (%)'!B17</f>
        <v>45545</v>
      </c>
      <c r="H15" s="624">
        <f>'PV (%)'!E17</f>
        <v>36872.79909</v>
      </c>
      <c r="I15" s="624">
        <f>'PV (%)'!F17</f>
        <v>33732.78938</v>
      </c>
      <c r="J15" s="626">
        <f>'PV (%)'!G17</f>
        <v>37571.82377</v>
      </c>
      <c r="K15" s="623"/>
      <c r="L15" s="621">
        <f>Exposition!A16</f>
        <v>45531</v>
      </c>
      <c r="M15" s="625">
        <f>Exposition!B16</f>
        <v>0.8802363102</v>
      </c>
      <c r="N15" s="625">
        <f>Exposition!C16</f>
        <v>0.4619874032</v>
      </c>
      <c r="O15" s="625">
        <f>Exposition!D16</f>
        <v>0.2049809322</v>
      </c>
      <c r="P15" s="625">
        <f>Exposition!E16</f>
        <v>0.07103747277</v>
      </c>
      <c r="Q15" s="625">
        <f>Exposition!F16</f>
        <v>0.07135808044</v>
      </c>
      <c r="R15" s="625">
        <f>Exposition!G16</f>
        <v>0.01734810379</v>
      </c>
      <c r="S15" s="625">
        <f>Exposition!H16</f>
        <v>0.0298366794</v>
      </c>
      <c r="T15" s="625">
        <f>Exposition!I16</f>
        <v>0</v>
      </c>
      <c r="U15" s="625">
        <f>Exposition!J16</f>
        <v>0</v>
      </c>
      <c r="V15" s="625">
        <f>Exposition!K16</f>
        <v>0.0166218123</v>
      </c>
      <c r="W15" s="625">
        <f>Exposition!L16</f>
        <v>0.007065826048</v>
      </c>
      <c r="X15" s="625">
        <f>Exposition!M16</f>
        <v>0</v>
      </c>
      <c r="Y15" s="625">
        <f>Exposition!N16</f>
        <v>0</v>
      </c>
      <c r="Z15" s="625">
        <f>Exposition!O16</f>
        <v>0</v>
      </c>
      <c r="AA15" s="625">
        <f>Exposition!P16</f>
        <v>0</v>
      </c>
      <c r="AB15" s="625">
        <f>Exposition!Q16</f>
        <v>0</v>
      </c>
      <c r="AC15" s="625">
        <f>Exposition!R16</f>
        <v>0</v>
      </c>
      <c r="AD15" s="625">
        <f>Exposition!S16</f>
        <v>0</v>
      </c>
      <c r="AE15" s="625">
        <f>Exposition!T16</f>
        <v>0</v>
      </c>
      <c r="AF15" s="625">
        <f>Exposition!U16</f>
        <v>0.1197636898</v>
      </c>
      <c r="AG15" s="623"/>
      <c r="AH15" s="621">
        <f>PRIX!A16</f>
        <v>45531</v>
      </c>
      <c r="AI15" s="626">
        <f>PRIX!B16</f>
        <v>62000</v>
      </c>
      <c r="AJ15" s="626">
        <f>PRIX!C16</f>
        <v>2600</v>
      </c>
      <c r="AK15" s="627">
        <f>PRIX!D16</f>
        <v>5.45</v>
      </c>
      <c r="AL15" s="626">
        <f>PRIX!E16</f>
        <v>154</v>
      </c>
      <c r="AM15" s="626">
        <f>PRIX!F16</f>
        <v>337</v>
      </c>
      <c r="AN15" s="627">
        <f>PRIX!G16</f>
        <v>1.656</v>
      </c>
      <c r="AO15" s="627">
        <f>PRIX!H16</f>
        <v>11.56</v>
      </c>
      <c r="AP15" s="631">
        <f>PRIX!I16</f>
        <v>0.104</v>
      </c>
      <c r="AQ15" s="628">
        <f>PRIX!J16</f>
        <v>0.000014</v>
      </c>
      <c r="AR15" s="631">
        <f>PRIX!K16</f>
        <v>1.8</v>
      </c>
      <c r="AS15" s="631">
        <f>PRIX!L16</f>
        <v>0.79</v>
      </c>
      <c r="AT15" s="631">
        <f>PRIX!M16</f>
        <v>124</v>
      </c>
      <c r="AU15" s="629">
        <f>PRIX!N16</f>
        <v>0.0087</v>
      </c>
      <c r="AV15" s="631">
        <f>PRIX!O16</f>
        <v>3.18</v>
      </c>
      <c r="AW15" s="631">
        <f>PRIX!P16</f>
        <v>0.009774</v>
      </c>
      <c r="AX15" s="630">
        <f>PRIX!Q16</f>
        <v>0.0000178</v>
      </c>
      <c r="AY15" s="631">
        <f>PRIX!R16</f>
        <v>3.35</v>
      </c>
      <c r="AZ15" s="631">
        <f>PRIX!S16</f>
        <v>6.35</v>
      </c>
      <c r="BA15" s="623"/>
    </row>
    <row r="16">
      <c r="A16" s="621">
        <f>ARBITRAGES!E17</f>
        <v>45531</v>
      </c>
      <c r="B16" s="623" t="str">
        <f>IF(A16="","",IF(ARBITRAGES!F17="Invest","Achat","Vente"))</f>
        <v>Achat</v>
      </c>
      <c r="C16" s="623" t="str">
        <f>ARBITRAGES!H17</f>
        <v>TAO</v>
      </c>
      <c r="D16" s="624">
        <f>ARBITRAGES!I17</f>
        <v>330</v>
      </c>
      <c r="E16" s="624">
        <f>ARBITRAGES!J17</f>
        <v>1155</v>
      </c>
      <c r="F16" s="623"/>
      <c r="G16" s="621">
        <f>'PV (%)'!B18</f>
        <v>45551</v>
      </c>
      <c r="H16" s="624">
        <f>'PV (%)'!E18</f>
        <v>36872.79909</v>
      </c>
      <c r="I16" s="624">
        <f>'PV (%)'!F18</f>
        <v>34523.80756</v>
      </c>
      <c r="J16" s="626">
        <f>'PV (%)'!G18</f>
        <v>35856.03699</v>
      </c>
      <c r="K16" s="623"/>
      <c r="L16" s="621">
        <f>Exposition!A17</f>
        <v>45531</v>
      </c>
      <c r="M16" s="625">
        <f>Exposition!B17</f>
        <v>0.9100216266</v>
      </c>
      <c r="N16" s="625">
        <f>Exposition!C17</f>
        <v>0.4616962547</v>
      </c>
      <c r="O16" s="625">
        <f>Exposition!D17</f>
        <v>0.2048517515</v>
      </c>
      <c r="P16" s="625">
        <f>Exposition!E17</f>
        <v>0.07099270433</v>
      </c>
      <c r="Q16" s="625">
        <f>Exposition!F17</f>
        <v>0.07131310995</v>
      </c>
      <c r="R16" s="625">
        <f>Exposition!G17</f>
        <v>0.04767721988</v>
      </c>
      <c r="S16" s="625">
        <f>Exposition!H17</f>
        <v>0.02981787606</v>
      </c>
      <c r="T16" s="625">
        <f>Exposition!I17</f>
        <v>0</v>
      </c>
      <c r="U16" s="625">
        <f>Exposition!J17</f>
        <v>0</v>
      </c>
      <c r="V16" s="625">
        <f>Exposition!K17</f>
        <v>0.01661133709</v>
      </c>
      <c r="W16" s="625">
        <f>Exposition!L17</f>
        <v>0.007061373103</v>
      </c>
      <c r="X16" s="625">
        <f>Exposition!M17</f>
        <v>0</v>
      </c>
      <c r="Y16" s="625">
        <f>Exposition!N17</f>
        <v>0</v>
      </c>
      <c r="Z16" s="625">
        <f>Exposition!O17</f>
        <v>0</v>
      </c>
      <c r="AA16" s="625">
        <f>Exposition!P17</f>
        <v>0</v>
      </c>
      <c r="AB16" s="625">
        <f>Exposition!Q17</f>
        <v>0</v>
      </c>
      <c r="AC16" s="625">
        <f>Exposition!R17</f>
        <v>0</v>
      </c>
      <c r="AD16" s="625">
        <f>Exposition!S17</f>
        <v>0</v>
      </c>
      <c r="AE16" s="625">
        <f>Exposition!T17</f>
        <v>0</v>
      </c>
      <c r="AF16" s="625">
        <f>Exposition!U17</f>
        <v>0.08997837342</v>
      </c>
      <c r="AG16" s="623"/>
      <c r="AH16" s="621">
        <f>PRIX!A17</f>
        <v>45531</v>
      </c>
      <c r="AI16" s="626">
        <f>PRIX!B17</f>
        <v>62000</v>
      </c>
      <c r="AJ16" s="626">
        <f>PRIX!C17</f>
        <v>2600</v>
      </c>
      <c r="AK16" s="627">
        <f>PRIX!D17</f>
        <v>5.45</v>
      </c>
      <c r="AL16" s="626">
        <f>PRIX!E17</f>
        <v>154</v>
      </c>
      <c r="AM16" s="626">
        <f>PRIX!F17</f>
        <v>337</v>
      </c>
      <c r="AN16" s="627">
        <f>PRIX!G17</f>
        <v>1.656</v>
      </c>
      <c r="AO16" s="627">
        <f>PRIX!H17</f>
        <v>11.56</v>
      </c>
      <c r="AP16" s="631">
        <f>PRIX!I17</f>
        <v>0.104</v>
      </c>
      <c r="AQ16" s="628">
        <f>PRIX!J17</f>
        <v>0.000014</v>
      </c>
      <c r="AR16" s="631">
        <f>PRIX!K17</f>
        <v>1.8</v>
      </c>
      <c r="AS16" s="631">
        <f>PRIX!L17</f>
        <v>0.79</v>
      </c>
      <c r="AT16" s="631">
        <f>PRIX!M17</f>
        <v>124</v>
      </c>
      <c r="AU16" s="629">
        <f>PRIX!N17</f>
        <v>0.0087</v>
      </c>
      <c r="AV16" s="631">
        <f>PRIX!O17</f>
        <v>3.18</v>
      </c>
      <c r="AW16" s="631">
        <f>PRIX!P17</f>
        <v>0.009774</v>
      </c>
      <c r="AX16" s="630">
        <f>PRIX!Q17</f>
        <v>0.0000178</v>
      </c>
      <c r="AY16" s="631">
        <f>PRIX!R17</f>
        <v>3.35</v>
      </c>
      <c r="AZ16" s="631">
        <f>PRIX!S17</f>
        <v>6.35</v>
      </c>
      <c r="BA16" s="623"/>
    </row>
    <row r="17">
      <c r="A17" s="621">
        <f>ARBITRAGES!E18</f>
        <v>45531</v>
      </c>
      <c r="B17" s="623" t="str">
        <f>IF(A17="","",IF(ARBITRAGES!F18="Invest","Achat","Vente"))</f>
        <v>Achat</v>
      </c>
      <c r="C17" s="623" t="str">
        <f>ARBITRAGES!H18</f>
        <v>DOGE</v>
      </c>
      <c r="D17" s="624">
        <f>ARBITRAGES!I18</f>
        <v>0.102</v>
      </c>
      <c r="E17" s="624">
        <f>ARBITRAGES!J18</f>
        <v>280.5</v>
      </c>
      <c r="F17" s="623"/>
      <c r="G17" s="621">
        <f>'PV (%)'!B19</f>
        <v>45552</v>
      </c>
      <c r="H17" s="624">
        <f>'PV (%)'!E19</f>
        <v>36872.79909</v>
      </c>
      <c r="I17" s="624">
        <f>'PV (%)'!F19</f>
        <v>35693.79394</v>
      </c>
      <c r="J17" s="626">
        <f>'PV (%)'!G19</f>
        <v>36696.80664</v>
      </c>
      <c r="K17" s="623"/>
      <c r="L17" s="621">
        <f>Exposition!A18</f>
        <v>45531</v>
      </c>
      <c r="M17" s="625">
        <f>Exposition!B18</f>
        <v>0.9172485808</v>
      </c>
      <c r="N17" s="625">
        <f>Exposition!C18</f>
        <v>0.4616309453</v>
      </c>
      <c r="O17" s="625">
        <f>Exposition!D18</f>
        <v>0.2048227741</v>
      </c>
      <c r="P17" s="625">
        <f>Exposition!E18</f>
        <v>0.07098266203</v>
      </c>
      <c r="Q17" s="625">
        <f>Exposition!F18</f>
        <v>0.07130302233</v>
      </c>
      <c r="R17" s="625">
        <f>Exposition!G18</f>
        <v>0.04767047568</v>
      </c>
      <c r="S17" s="625">
        <f>Exposition!H18</f>
        <v>0.02981365816</v>
      </c>
      <c r="T17" s="625">
        <f>Exposition!I18</f>
        <v>0</v>
      </c>
      <c r="U17" s="625">
        <f>Exposition!J18</f>
        <v>0.007355681707</v>
      </c>
      <c r="V17" s="625">
        <f>Exposition!K18</f>
        <v>0.01660898732</v>
      </c>
      <c r="W17" s="625">
        <f>Exposition!L18</f>
        <v>0.007060374234</v>
      </c>
      <c r="X17" s="625">
        <f>Exposition!M18</f>
        <v>0</v>
      </c>
      <c r="Y17" s="625">
        <f>Exposition!N18</f>
        <v>0</v>
      </c>
      <c r="Z17" s="625">
        <f>Exposition!O18</f>
        <v>0</v>
      </c>
      <c r="AA17" s="625">
        <f>Exposition!P18</f>
        <v>0</v>
      </c>
      <c r="AB17" s="625">
        <f>Exposition!Q18</f>
        <v>0</v>
      </c>
      <c r="AC17" s="625">
        <f>Exposition!R18</f>
        <v>0</v>
      </c>
      <c r="AD17" s="625">
        <f>Exposition!S18</f>
        <v>0</v>
      </c>
      <c r="AE17" s="625">
        <f>Exposition!T18</f>
        <v>0</v>
      </c>
      <c r="AF17" s="625">
        <f>Exposition!U18</f>
        <v>0.0827514192</v>
      </c>
      <c r="AG17" s="623"/>
      <c r="AH17" s="621">
        <f>PRIX!A18</f>
        <v>45531</v>
      </c>
      <c r="AI17" s="626">
        <f>PRIX!B18</f>
        <v>62000</v>
      </c>
      <c r="AJ17" s="626">
        <f>PRIX!C18</f>
        <v>2600</v>
      </c>
      <c r="AK17" s="627">
        <f>PRIX!D18</f>
        <v>5.45</v>
      </c>
      <c r="AL17" s="626">
        <f>PRIX!E18</f>
        <v>154</v>
      </c>
      <c r="AM17" s="626">
        <f>PRIX!F18</f>
        <v>337</v>
      </c>
      <c r="AN17" s="627">
        <f>PRIX!G18</f>
        <v>1.656</v>
      </c>
      <c r="AO17" s="627">
        <f>PRIX!H18</f>
        <v>11.56</v>
      </c>
      <c r="AP17" s="631">
        <f>PRIX!I18</f>
        <v>0.104</v>
      </c>
      <c r="AQ17" s="628">
        <f>PRIX!J18</f>
        <v>0.000014</v>
      </c>
      <c r="AR17" s="631">
        <f>PRIX!K18</f>
        <v>1.8</v>
      </c>
      <c r="AS17" s="631">
        <f>PRIX!L18</f>
        <v>0.79</v>
      </c>
      <c r="AT17" s="631">
        <f>PRIX!M18</f>
        <v>124</v>
      </c>
      <c r="AU17" s="629">
        <f>PRIX!N18</f>
        <v>0.0087</v>
      </c>
      <c r="AV17" s="631">
        <f>PRIX!O18</f>
        <v>3.18</v>
      </c>
      <c r="AW17" s="631">
        <f>PRIX!P18</f>
        <v>0.009774</v>
      </c>
      <c r="AX17" s="630">
        <f>PRIX!Q18</f>
        <v>0.0000178</v>
      </c>
      <c r="AY17" s="631">
        <f>PRIX!R18</f>
        <v>3.35</v>
      </c>
      <c r="AZ17" s="631">
        <f>PRIX!S18</f>
        <v>6.35</v>
      </c>
      <c r="BA17" s="623"/>
    </row>
    <row r="18">
      <c r="A18" s="621">
        <f>ARBITRAGES!E19</f>
        <v>45531</v>
      </c>
      <c r="B18" s="623" t="str">
        <f>IF(A18="","",IF(ARBITRAGES!F19="Invest","Achat","Vente"))</f>
        <v>Achat</v>
      </c>
      <c r="C18" s="623" t="str">
        <f>ARBITRAGES!H19</f>
        <v>LINK</v>
      </c>
      <c r="D18" s="624">
        <f>ARBITRAGES!I19</f>
        <v>11</v>
      </c>
      <c r="E18" s="624">
        <f>ARBITRAGES!J19</f>
        <v>1100</v>
      </c>
      <c r="F18" s="623"/>
      <c r="G18" s="621">
        <f>'PV (%)'!B20</f>
        <v>45555</v>
      </c>
      <c r="H18" s="624">
        <f>'PV (%)'!E20</f>
        <v>36872.79909</v>
      </c>
      <c r="I18" s="624">
        <f>'PV (%)'!F20</f>
        <v>38152.4421</v>
      </c>
      <c r="J18" s="626">
        <f>'PV (%)'!G20</f>
        <v>37935.51998</v>
      </c>
      <c r="K18" s="623"/>
      <c r="L18" s="621">
        <f>Exposition!A19</f>
        <v>45531</v>
      </c>
      <c r="M18" s="625">
        <f>Exposition!B19</f>
        <v>0.9456179892</v>
      </c>
      <c r="N18" s="625">
        <f>Exposition!C19</f>
        <v>0.4609670268</v>
      </c>
      <c r="O18" s="625">
        <f>Exposition!D19</f>
        <v>0.2045281976</v>
      </c>
      <c r="P18" s="625">
        <f>Exposition!E19</f>
        <v>0.07088057463</v>
      </c>
      <c r="Q18" s="625">
        <f>Exposition!F19</f>
        <v>0.07120047418</v>
      </c>
      <c r="R18" s="625">
        <f>Exposition!G19</f>
        <v>0.04760191591</v>
      </c>
      <c r="S18" s="625">
        <f>Exposition!H19</f>
        <v>0.0297707801</v>
      </c>
      <c r="T18" s="625">
        <f>Exposition!I19</f>
        <v>0.02968859713</v>
      </c>
      <c r="U18" s="625">
        <f>Exposition!J19</f>
        <v>0.007345102751</v>
      </c>
      <c r="V18" s="625">
        <f>Exposition!K19</f>
        <v>0.01658510025</v>
      </c>
      <c r="W18" s="625">
        <f>Exposition!L19</f>
        <v>0.00705021999</v>
      </c>
      <c r="X18" s="625">
        <f>Exposition!M19</f>
        <v>0</v>
      </c>
      <c r="Y18" s="625">
        <f>Exposition!N19</f>
        <v>0</v>
      </c>
      <c r="Z18" s="625">
        <f>Exposition!O19</f>
        <v>0</v>
      </c>
      <c r="AA18" s="625">
        <f>Exposition!P19</f>
        <v>0</v>
      </c>
      <c r="AB18" s="625">
        <f>Exposition!Q19</f>
        <v>0</v>
      </c>
      <c r="AC18" s="625">
        <f>Exposition!R19</f>
        <v>0</v>
      </c>
      <c r="AD18" s="625">
        <f>Exposition!S19</f>
        <v>0</v>
      </c>
      <c r="AE18" s="625">
        <f>Exposition!T19</f>
        <v>0</v>
      </c>
      <c r="AF18" s="625">
        <f>Exposition!U19</f>
        <v>0.05438201076</v>
      </c>
      <c r="AG18" s="623"/>
      <c r="AH18" s="621">
        <f>PRIX!A19</f>
        <v>45531</v>
      </c>
      <c r="AI18" s="626">
        <f>PRIX!B19</f>
        <v>62000</v>
      </c>
      <c r="AJ18" s="626">
        <f>PRIX!C19</f>
        <v>2600</v>
      </c>
      <c r="AK18" s="627">
        <f>PRIX!D19</f>
        <v>5.45</v>
      </c>
      <c r="AL18" s="626">
        <f>PRIX!E19</f>
        <v>154</v>
      </c>
      <c r="AM18" s="626">
        <f>PRIX!F19</f>
        <v>337</v>
      </c>
      <c r="AN18" s="627">
        <f>PRIX!G19</f>
        <v>1.656</v>
      </c>
      <c r="AO18" s="627">
        <f>PRIX!H19</f>
        <v>11.56</v>
      </c>
      <c r="AP18" s="631">
        <f>PRIX!I19</f>
        <v>0.104</v>
      </c>
      <c r="AQ18" s="628">
        <f>PRIX!J19</f>
        <v>0.000014</v>
      </c>
      <c r="AR18" s="631">
        <f>PRIX!K19</f>
        <v>1.8</v>
      </c>
      <c r="AS18" s="631">
        <f>PRIX!L19</f>
        <v>0.79</v>
      </c>
      <c r="AT18" s="631">
        <f>PRIX!M19</f>
        <v>124</v>
      </c>
      <c r="AU18" s="629">
        <f>PRIX!N19</f>
        <v>0.0087</v>
      </c>
      <c r="AV18" s="631">
        <f>PRIX!O19</f>
        <v>3.18</v>
      </c>
      <c r="AW18" s="631">
        <f>PRIX!P19</f>
        <v>0.009774</v>
      </c>
      <c r="AX18" s="630">
        <f>PRIX!Q19</f>
        <v>0.0000178</v>
      </c>
      <c r="AY18" s="631">
        <f>PRIX!R19</f>
        <v>3.35</v>
      </c>
      <c r="AZ18" s="631">
        <f>PRIX!S19</f>
        <v>6.35</v>
      </c>
      <c r="BA18" s="623"/>
    </row>
    <row r="19">
      <c r="A19" s="621">
        <f>ARBITRAGES!E20</f>
        <v>45532</v>
      </c>
      <c r="B19" s="623" t="str">
        <f>IF(A19="","",IF(ARBITRAGES!F20="Invest","Achat","Vente"))</f>
        <v>Achat</v>
      </c>
      <c r="C19" s="623" t="str">
        <f>ARBITRAGES!H20</f>
        <v>BTC</v>
      </c>
      <c r="D19" s="624">
        <f>ARBITRAGES!I20</f>
        <v>58800</v>
      </c>
      <c r="E19" s="624">
        <f>ARBITRAGES!J20</f>
        <v>1300</v>
      </c>
      <c r="F19" s="623"/>
      <c r="G19" s="621">
        <f>'PV (%)'!B21</f>
        <v>45557</v>
      </c>
      <c r="H19" s="624">
        <f>'PV (%)'!E21</f>
        <v>35385.99267</v>
      </c>
      <c r="I19" s="624">
        <f>'PV (%)'!F21</f>
        <v>39351.6812</v>
      </c>
      <c r="J19" s="626">
        <f>'PV (%)'!G21</f>
        <v>40252.67797</v>
      </c>
      <c r="K19" s="623"/>
      <c r="L19" s="621">
        <f>Exposition!A20</f>
        <v>45532</v>
      </c>
      <c r="M19" s="625">
        <f>Exposition!B20</f>
        <v>0.9782416737</v>
      </c>
      <c r="N19" s="625">
        <f>Exposition!C20</f>
        <v>0.4934718502</v>
      </c>
      <c r="O19" s="625">
        <f>Exposition!D20</f>
        <v>0.2029948739</v>
      </c>
      <c r="P19" s="625">
        <f>Exposition!E20</f>
        <v>0.07440047121</v>
      </c>
      <c r="Q19" s="625">
        <f>Exposition!F20</f>
        <v>0.06995534486</v>
      </c>
      <c r="R19" s="625">
        <f>Exposition!G20</f>
        <v>0.04611168227</v>
      </c>
      <c r="S19" s="625">
        <f>Exposition!H20</f>
        <v>0.02980957238</v>
      </c>
      <c r="T19" s="625">
        <f>Exposition!I20</f>
        <v>0.02994265083</v>
      </c>
      <c r="U19" s="625">
        <f>Exposition!J20</f>
        <v>0.007326633961</v>
      </c>
      <c r="V19" s="625">
        <f>Exposition!K20</f>
        <v>0.01694240396</v>
      </c>
      <c r="W19" s="625">
        <f>Exposition!L20</f>
        <v>0.00728619009</v>
      </c>
      <c r="X19" s="625">
        <f>Exposition!M20</f>
        <v>0</v>
      </c>
      <c r="Y19" s="625">
        <f>Exposition!N20</f>
        <v>0</v>
      </c>
      <c r="Z19" s="625">
        <f>Exposition!O20</f>
        <v>0</v>
      </c>
      <c r="AA19" s="625">
        <f>Exposition!P20</f>
        <v>0</v>
      </c>
      <c r="AB19" s="625">
        <f>Exposition!Q20</f>
        <v>0</v>
      </c>
      <c r="AC19" s="625">
        <f>Exposition!R20</f>
        <v>0</v>
      </c>
      <c r="AD19" s="625">
        <f>Exposition!S20</f>
        <v>0</v>
      </c>
      <c r="AE19" s="625">
        <f>Exposition!T20</f>
        <v>0</v>
      </c>
      <c r="AF19" s="625">
        <f>Exposition!U20</f>
        <v>0.02175832627</v>
      </c>
      <c r="AG19" s="623"/>
      <c r="AH19" s="621">
        <f>PRIX!A20</f>
        <v>45532</v>
      </c>
      <c r="AI19" s="626">
        <f>PRIX!B20</f>
        <v>59500</v>
      </c>
      <c r="AJ19" s="626">
        <f>PRIX!C20</f>
        <v>2490</v>
      </c>
      <c r="AK19" s="627">
        <f>PRIX!D20</f>
        <v>5.52</v>
      </c>
      <c r="AL19" s="626">
        <f>PRIX!E20</f>
        <v>146</v>
      </c>
      <c r="AM19" s="626">
        <f>PRIX!F20</f>
        <v>315</v>
      </c>
      <c r="AN19" s="627">
        <f>PRIX!G20</f>
        <v>1.6</v>
      </c>
      <c r="AO19" s="627">
        <f>PRIX!H20</f>
        <v>11.25</v>
      </c>
      <c r="AP19" s="631">
        <f>PRIX!I20</f>
        <v>0.1001</v>
      </c>
      <c r="AQ19" s="628">
        <f>PRIX!J20</f>
        <v>0.0000138</v>
      </c>
      <c r="AR19" s="631">
        <f>PRIX!K20</f>
        <v>1.795</v>
      </c>
      <c r="AS19" s="631">
        <f>PRIX!L20</f>
        <v>0.75</v>
      </c>
      <c r="AT19" s="631">
        <f>PRIX!M20</f>
        <v>126</v>
      </c>
      <c r="AU19" s="629">
        <f>PRIX!N20</f>
        <v>0.0082</v>
      </c>
      <c r="AV19" s="631">
        <f>PRIX!O20</f>
        <v>3.16</v>
      </c>
      <c r="AW19" s="631">
        <f>PRIX!P20</f>
        <v>0.009774</v>
      </c>
      <c r="AX19" s="630">
        <f>PRIX!Q20</f>
        <v>0.0000178</v>
      </c>
      <c r="AY19" s="631">
        <f>PRIX!R20</f>
        <v>3.35</v>
      </c>
      <c r="AZ19" s="631">
        <f>PRIX!S20</f>
        <v>6.35</v>
      </c>
      <c r="BA19" s="623"/>
    </row>
    <row r="20">
      <c r="A20" s="621">
        <f>ARBITRAGES!E21</f>
        <v>45545</v>
      </c>
      <c r="B20" s="623" t="str">
        <f>IF(A20="","",IF(ARBITRAGES!F21="Invest","Achat","Vente"))</f>
        <v>Vente</v>
      </c>
      <c r="C20" s="623" t="str">
        <f>ARBITRAGES!H21</f>
        <v>BTC</v>
      </c>
      <c r="D20" s="624">
        <f>ARBITRAGES!I21</f>
        <v>57050</v>
      </c>
      <c r="E20" s="624">
        <f>ARBITRAGES!J21</f>
        <v>1000</v>
      </c>
      <c r="F20" s="623"/>
      <c r="G20" s="621">
        <f>'PV (%)'!B22</f>
        <v>45558</v>
      </c>
      <c r="H20" s="624">
        <f>'PV (%)'!E22</f>
        <v>34077.60303</v>
      </c>
      <c r="I20" s="624">
        <f>'PV (%)'!F22</f>
        <v>38728.40068</v>
      </c>
      <c r="J20" s="626">
        <f>'PV (%)'!G22</f>
        <v>41372.68005</v>
      </c>
      <c r="K20" s="623"/>
      <c r="L20" s="621">
        <f>Exposition!A21</f>
        <v>45545</v>
      </c>
      <c r="M20" s="625">
        <f>Exposition!B21</f>
        <v>0.9493111857</v>
      </c>
      <c r="N20" s="625">
        <f>Exposition!C21</f>
        <v>0.4699548672</v>
      </c>
      <c r="O20" s="625">
        <f>Exposition!D21</f>
        <v>0.2024575885</v>
      </c>
      <c r="P20" s="625">
        <f>Exposition!E21</f>
        <v>0.07414739561</v>
      </c>
      <c r="Q20" s="625">
        <f>Exposition!F21</f>
        <v>0.06778003739</v>
      </c>
      <c r="R20" s="625">
        <f>Exposition!G21</f>
        <v>0.04294953178</v>
      </c>
      <c r="S20" s="625">
        <f>Exposition!H21</f>
        <v>0.0298694471</v>
      </c>
      <c r="T20" s="625">
        <f>Exposition!I21</f>
        <v>0.02956266473</v>
      </c>
      <c r="U20" s="625">
        <f>Exposition!J21</f>
        <v>0.007991680735</v>
      </c>
      <c r="V20" s="625">
        <f>Exposition!K21</f>
        <v>0.01736719594</v>
      </c>
      <c r="W20" s="625">
        <f>Exposition!L21</f>
        <v>0.00723077679</v>
      </c>
      <c r="X20" s="625">
        <f>Exposition!M21</f>
        <v>0</v>
      </c>
      <c r="Y20" s="625">
        <f>Exposition!N21</f>
        <v>0</v>
      </c>
      <c r="Z20" s="625">
        <f>Exposition!O21</f>
        <v>0</v>
      </c>
      <c r="AA20" s="625">
        <f>Exposition!P21</f>
        <v>0</v>
      </c>
      <c r="AB20" s="625">
        <f>Exposition!Q21</f>
        <v>0</v>
      </c>
      <c r="AC20" s="625">
        <f>Exposition!R21</f>
        <v>0</v>
      </c>
      <c r="AD20" s="625">
        <f>Exposition!S21</f>
        <v>0</v>
      </c>
      <c r="AE20" s="625">
        <f>Exposition!T21</f>
        <v>0</v>
      </c>
      <c r="AF20" s="625">
        <f>Exposition!U21</f>
        <v>0.05068881429</v>
      </c>
      <c r="AG20" s="623"/>
      <c r="AH20" s="621">
        <f>PRIX!A21</f>
        <v>45545</v>
      </c>
      <c r="AI20" s="626">
        <f>PRIX!B21</f>
        <v>57300</v>
      </c>
      <c r="AJ20" s="626">
        <f>PRIX!C21</f>
        <v>2370</v>
      </c>
      <c r="AK20" s="627">
        <f>PRIX!D21</f>
        <v>5.25</v>
      </c>
      <c r="AL20" s="626">
        <f>PRIX!E21</f>
        <v>135</v>
      </c>
      <c r="AM20" s="626">
        <f>PRIX!F21</f>
        <v>280</v>
      </c>
      <c r="AN20" s="627">
        <f>PRIX!G21</f>
        <v>1.53</v>
      </c>
      <c r="AO20" s="627">
        <f>PRIX!H21</f>
        <v>10.6</v>
      </c>
      <c r="AP20" s="631">
        <f>PRIX!I21</f>
        <v>0.1042</v>
      </c>
      <c r="AQ20" s="628">
        <f>PRIX!J21</f>
        <v>0.0000135</v>
      </c>
      <c r="AR20" s="631">
        <f>PRIX!K21</f>
        <v>1.7</v>
      </c>
      <c r="AS20" s="631">
        <f>PRIX!L21</f>
        <v>0.74</v>
      </c>
      <c r="AT20" s="631">
        <f>PRIX!M21</f>
        <v>147</v>
      </c>
      <c r="AU20" s="629">
        <f>PRIX!N21</f>
        <v>0.0087</v>
      </c>
      <c r="AV20" s="631">
        <f>PRIX!O21</f>
        <v>3.18</v>
      </c>
      <c r="AW20" s="631">
        <f>PRIX!P21</f>
        <v>0.009774</v>
      </c>
      <c r="AX20" s="630">
        <f>PRIX!Q21</f>
        <v>0.0000178</v>
      </c>
      <c r="AY20" s="631">
        <f>PRIX!R21</f>
        <v>3.35</v>
      </c>
      <c r="AZ20" s="631">
        <f>PRIX!S21</f>
        <v>6.35</v>
      </c>
      <c r="BA20" s="623"/>
    </row>
    <row r="21">
      <c r="A21" s="621">
        <f>ARBITRAGES!E22</f>
        <v>45551</v>
      </c>
      <c r="B21" s="623" t="str">
        <f>IF(A21="","",IF(ARBITRAGES!F22="Invest","Achat","Vente"))</f>
        <v>Achat</v>
      </c>
      <c r="C21" s="623" t="str">
        <f>ARBITRAGES!H22</f>
        <v>TAO</v>
      </c>
      <c r="D21" s="624">
        <f>ARBITRAGES!I22</f>
        <v>300</v>
      </c>
      <c r="E21" s="624">
        <f>ARBITRAGES!J22</f>
        <v>330</v>
      </c>
      <c r="F21" s="623"/>
      <c r="G21" s="621">
        <f>'PV (%)'!B23</f>
        <v>45568</v>
      </c>
      <c r="H21" s="624">
        <f>'PV (%)'!E23</f>
        <v>35088.63139</v>
      </c>
      <c r="I21" s="624">
        <f>'PV (%)'!F23</f>
        <v>36720.63339</v>
      </c>
      <c r="J21" s="626">
        <f>'PV (%)'!G23</f>
        <v>40838.91522</v>
      </c>
      <c r="K21" s="623"/>
      <c r="L21" s="621">
        <f>Exposition!A22</f>
        <v>45551</v>
      </c>
      <c r="M21" s="625">
        <f>Exposition!B22</f>
        <v>0.9594651378</v>
      </c>
      <c r="N21" s="625">
        <f>Exposition!C22</f>
        <v>0.4728109818</v>
      </c>
      <c r="O21" s="625">
        <f>Exposition!D22</f>
        <v>0.2003230707</v>
      </c>
      <c r="P21" s="625">
        <f>Exposition!E22</f>
        <v>0.07589851889</v>
      </c>
      <c r="Q21" s="625">
        <f>Exposition!F22</f>
        <v>0.06622711211</v>
      </c>
      <c r="R21" s="625">
        <f>Exposition!G22</f>
        <v>0.05521461363</v>
      </c>
      <c r="S21" s="625">
        <f>Exposition!H22</f>
        <v>0.02823133932</v>
      </c>
      <c r="T21" s="625">
        <f>Exposition!I22</f>
        <v>0.02915785045</v>
      </c>
      <c r="U21" s="625">
        <f>Exposition!J22</f>
        <v>0.00756877847</v>
      </c>
      <c r="V21" s="625">
        <f>Exposition!K22</f>
        <v>0.01678074411</v>
      </c>
      <c r="W21" s="625">
        <f>Exposition!L22</f>
        <v>0.007252128302</v>
      </c>
      <c r="X21" s="625">
        <f>Exposition!M22</f>
        <v>0</v>
      </c>
      <c r="Y21" s="625">
        <f>Exposition!N22</f>
        <v>0</v>
      </c>
      <c r="Z21" s="625">
        <f>Exposition!O22</f>
        <v>0</v>
      </c>
      <c r="AA21" s="625">
        <f>Exposition!P22</f>
        <v>0</v>
      </c>
      <c r="AB21" s="625">
        <f>Exposition!Q22</f>
        <v>0</v>
      </c>
      <c r="AC21" s="625">
        <f>Exposition!R22</f>
        <v>0</v>
      </c>
      <c r="AD21" s="625">
        <f>Exposition!S22</f>
        <v>0</v>
      </c>
      <c r="AE21" s="625">
        <f>Exposition!T22</f>
        <v>0</v>
      </c>
      <c r="AF21" s="625">
        <f>Exposition!U22</f>
        <v>0.04053486219</v>
      </c>
      <c r="AG21" s="623"/>
      <c r="AH21" s="621">
        <f>PRIX!A22</f>
        <v>45551</v>
      </c>
      <c r="AI21" s="626">
        <f>PRIX!B22</f>
        <v>59000</v>
      </c>
      <c r="AJ21" s="626">
        <f>PRIX!C22</f>
        <v>2400</v>
      </c>
      <c r="AK21" s="627">
        <f>PRIX!D22</f>
        <v>5.5</v>
      </c>
      <c r="AL21" s="626">
        <f>PRIX!E22</f>
        <v>135</v>
      </c>
      <c r="AM21" s="626">
        <f>PRIX!F22</f>
        <v>307</v>
      </c>
      <c r="AN21" s="627">
        <f>PRIX!G22</f>
        <v>1.48</v>
      </c>
      <c r="AO21" s="627">
        <f>PRIX!H22</f>
        <v>10.7</v>
      </c>
      <c r="AP21" s="631">
        <f>PRIX!I22</f>
        <v>0.101</v>
      </c>
      <c r="AQ21" s="628">
        <f>PRIX!J22</f>
        <v>0.00001335</v>
      </c>
      <c r="AR21" s="631">
        <f>PRIX!K22</f>
        <v>1.745</v>
      </c>
      <c r="AS21" s="631">
        <f>PRIX!L22</f>
        <v>0.73</v>
      </c>
      <c r="AT21" s="631">
        <f>PRIX!M22</f>
        <v>140</v>
      </c>
      <c r="AU21" s="629">
        <f>PRIX!N22</f>
        <v>0.0161</v>
      </c>
      <c r="AV21" s="631">
        <f>PRIX!O22</f>
        <v>3.25</v>
      </c>
      <c r="AW21" s="631">
        <f>PRIX!P22</f>
        <v>0.009774</v>
      </c>
      <c r="AX21" s="630">
        <f>PRIX!Q22</f>
        <v>0.0000178</v>
      </c>
      <c r="AY21" s="631">
        <f>PRIX!R22</f>
        <v>3.35</v>
      </c>
      <c r="AZ21" s="631">
        <f>PRIX!S22</f>
        <v>6.35</v>
      </c>
      <c r="BA21" s="623"/>
    </row>
    <row r="22">
      <c r="A22" s="621">
        <f>ARBITRAGES!E23</f>
        <v>45552</v>
      </c>
      <c r="B22" s="623" t="str">
        <f>IF(A22="","",IF(ARBITRAGES!F23="Invest","Achat","Vente"))</f>
        <v>Vente</v>
      </c>
      <c r="C22" s="623" t="str">
        <f>ARBITRAGES!H23</f>
        <v>TAO</v>
      </c>
      <c r="D22" s="624">
        <f>ARBITRAGES!I23</f>
        <v>373.665</v>
      </c>
      <c r="E22" s="624">
        <f>ARBITRAGES!J23</f>
        <v>224.2</v>
      </c>
      <c r="F22" s="623"/>
      <c r="G22" s="621">
        <f>'PV (%)'!B24</f>
        <v>45586</v>
      </c>
      <c r="H22" s="624">
        <f>'PV (%)'!E24</f>
        <v>36397.02104</v>
      </c>
      <c r="I22" s="624">
        <f>'PV (%)'!F24</f>
        <v>41504.00358</v>
      </c>
      <c r="J22" s="626">
        <f>'PV (%)'!G24</f>
        <v>38996.08912</v>
      </c>
      <c r="K22" s="623"/>
      <c r="L22" s="621">
        <f>Exposition!A23</f>
        <v>45552</v>
      </c>
      <c r="M22" s="625">
        <f>Exposition!B23</f>
        <v>0.9548786994</v>
      </c>
      <c r="N22" s="625">
        <f>Exposition!C23</f>
        <v>0.4744267824</v>
      </c>
      <c r="O22" s="625">
        <f>Exposition!D23</f>
        <v>0.2018561418</v>
      </c>
      <c r="P22" s="625">
        <f>Exposition!E23</f>
        <v>0.07475510756</v>
      </c>
      <c r="Q22" s="625">
        <f>Exposition!F23</f>
        <v>0.06406458983</v>
      </c>
      <c r="R22" s="625">
        <f>Exposition!G23</f>
        <v>0.05298461981</v>
      </c>
      <c r="S22" s="625">
        <f>Exposition!H23</f>
        <v>0.02767854508</v>
      </c>
      <c r="T22" s="625">
        <f>Exposition!I23</f>
        <v>0.02873296585</v>
      </c>
      <c r="U22" s="625">
        <f>Exposition!J23</f>
        <v>0.007394125615</v>
      </c>
      <c r="V22" s="625">
        <f>Exposition!K23</f>
        <v>0.01611120634</v>
      </c>
      <c r="W22" s="625">
        <f>Exposition!L23</f>
        <v>0.00687461514</v>
      </c>
      <c r="X22" s="625">
        <f>Exposition!M23</f>
        <v>0</v>
      </c>
      <c r="Y22" s="625">
        <f>Exposition!N23</f>
        <v>0</v>
      </c>
      <c r="Z22" s="625">
        <f>Exposition!O23</f>
        <v>0</v>
      </c>
      <c r="AA22" s="625">
        <f>Exposition!P23</f>
        <v>0</v>
      </c>
      <c r="AB22" s="625">
        <f>Exposition!Q23</f>
        <v>0</v>
      </c>
      <c r="AC22" s="625">
        <f>Exposition!R23</f>
        <v>0</v>
      </c>
      <c r="AD22" s="625">
        <f>Exposition!S23</f>
        <v>0</v>
      </c>
      <c r="AE22" s="625">
        <f>Exposition!T23</f>
        <v>0</v>
      </c>
      <c r="AF22" s="625">
        <f>Exposition!U23</f>
        <v>0.04512130059</v>
      </c>
      <c r="AG22" s="623"/>
      <c r="AH22" s="621">
        <f>PRIX!A23</f>
        <v>45552</v>
      </c>
      <c r="AI22" s="626">
        <f>PRIX!B23</f>
        <v>61200</v>
      </c>
      <c r="AJ22" s="626">
        <f>PRIX!C23</f>
        <v>2500</v>
      </c>
      <c r="AK22" s="627">
        <f>PRIX!D23</f>
        <v>5.6</v>
      </c>
      <c r="AL22" s="626">
        <f>PRIX!E23</f>
        <v>135</v>
      </c>
      <c r="AM22" s="626">
        <f>PRIX!F23</f>
        <v>335</v>
      </c>
      <c r="AN22" s="627">
        <f>PRIX!G23</f>
        <v>1.5</v>
      </c>
      <c r="AO22" s="627">
        <f>PRIX!H23</f>
        <v>10.9</v>
      </c>
      <c r="AP22" s="631">
        <f>PRIX!I23</f>
        <v>0.102</v>
      </c>
      <c r="AQ22" s="628">
        <f>PRIX!J23</f>
        <v>0.00001325</v>
      </c>
      <c r="AR22" s="631">
        <f>PRIX!K23</f>
        <v>1.71</v>
      </c>
      <c r="AS22" s="631">
        <f>PRIX!L23</f>
        <v>0.745</v>
      </c>
      <c r="AT22" s="631">
        <f>PRIX!M23</f>
        <v>138</v>
      </c>
      <c r="AU22" s="629">
        <f>PRIX!N23</f>
        <v>0.017</v>
      </c>
      <c r="AV22" s="631">
        <f>PRIX!O23</f>
        <v>3.26</v>
      </c>
      <c r="AW22" s="631">
        <f>PRIX!P23</f>
        <v>0.009774</v>
      </c>
      <c r="AX22" s="630">
        <f>PRIX!Q23</f>
        <v>0.0000178</v>
      </c>
      <c r="AY22" s="631">
        <f>PRIX!R23</f>
        <v>3.35</v>
      </c>
      <c r="AZ22" s="631">
        <f>PRIX!S23</f>
        <v>6.35</v>
      </c>
      <c r="BA22" s="623"/>
    </row>
    <row r="23">
      <c r="A23" s="621">
        <f>ARBITRAGES!E24</f>
        <v>45555</v>
      </c>
      <c r="B23" s="623" t="str">
        <f>IF(A23="","",IF(ARBITRAGES!F24="Invest","Achat","Vente"))</f>
        <v>Vente</v>
      </c>
      <c r="C23" s="623" t="str">
        <f>ARBITRAGES!H24</f>
        <v>TAO</v>
      </c>
      <c r="D23" s="624">
        <f>ARBITRAGES!I24</f>
        <v>390</v>
      </c>
      <c r="E23" s="624">
        <f>ARBITRAGES!J24</f>
        <v>312</v>
      </c>
      <c r="F23" s="623"/>
      <c r="G23" s="633">
        <f>'PV (%)'!B25</f>
        <v>45591</v>
      </c>
      <c r="H23" s="624">
        <f>'PV (%)'!E25</f>
        <v>38091.98035</v>
      </c>
      <c r="I23" s="624">
        <f>'PV (%)'!F25</f>
        <v>42085.77227</v>
      </c>
      <c r="J23" s="626">
        <f>'PV (%)'!G25</f>
        <v>43650.54392</v>
      </c>
      <c r="K23" s="623"/>
      <c r="L23" s="621">
        <f>Exposition!A24</f>
        <v>45555</v>
      </c>
      <c r="M23" s="625">
        <f>Exposition!B24</f>
        <v>0.9497250841</v>
      </c>
      <c r="N23" s="625">
        <f>Exposition!C24</f>
        <v>0.4679378467</v>
      </c>
      <c r="O23" s="625">
        <f>Exposition!D24</f>
        <v>0.1963237893</v>
      </c>
      <c r="P23" s="625">
        <f>Exposition!E24</f>
        <v>0.07233890839</v>
      </c>
      <c r="Q23" s="625">
        <f>Exposition!F24</f>
        <v>0.0679796825</v>
      </c>
      <c r="R23" s="625">
        <f>Exposition!G24</f>
        <v>0.05619499</v>
      </c>
      <c r="S23" s="625">
        <f>Exposition!H24</f>
        <v>0.0292154475</v>
      </c>
      <c r="T23" s="625">
        <f>Exposition!I24</f>
        <v>0.0290663891</v>
      </c>
      <c r="U23" s="625">
        <f>Exposition!J24</f>
        <v>0.007310072642</v>
      </c>
      <c r="V23" s="625">
        <f>Exposition!K24</f>
        <v>0.01632970384</v>
      </c>
      <c r="W23" s="625">
        <f>Exposition!L24</f>
        <v>0.007028254126</v>
      </c>
      <c r="X23" s="625">
        <f>Exposition!M24</f>
        <v>0</v>
      </c>
      <c r="Y23" s="625">
        <f>Exposition!N24</f>
        <v>0</v>
      </c>
      <c r="Z23" s="625">
        <f>Exposition!O24</f>
        <v>0</v>
      </c>
      <c r="AA23" s="625">
        <f>Exposition!P24</f>
        <v>0</v>
      </c>
      <c r="AB23" s="625">
        <f>Exposition!Q24</f>
        <v>0</v>
      </c>
      <c r="AC23" s="625">
        <f>Exposition!R24</f>
        <v>0</v>
      </c>
      <c r="AD23" s="625">
        <f>Exposition!S24</f>
        <v>0</v>
      </c>
      <c r="AE23" s="625">
        <f>Exposition!T24</f>
        <v>0</v>
      </c>
      <c r="AF23" s="625">
        <f>Exposition!U24</f>
        <v>0.05027491591</v>
      </c>
      <c r="AG23" s="623"/>
      <c r="AH23" s="621">
        <f>PRIX!A24</f>
        <v>45555</v>
      </c>
      <c r="AI23" s="626">
        <f>PRIX!B24</f>
        <v>64050</v>
      </c>
      <c r="AJ23" s="626">
        <f>PRIX!C24</f>
        <v>2580</v>
      </c>
      <c r="AK23" s="627">
        <f>PRIX!D24</f>
        <v>5.75</v>
      </c>
      <c r="AL23" s="626">
        <f>PRIX!E24</f>
        <v>152</v>
      </c>
      <c r="AM23" s="626">
        <f>PRIX!F24</f>
        <v>435</v>
      </c>
      <c r="AN23" s="627">
        <f>PRIX!G24</f>
        <v>1.68</v>
      </c>
      <c r="AO23" s="627">
        <f>PRIX!H24</f>
        <v>11.7</v>
      </c>
      <c r="AP23" s="631">
        <f>PRIX!I24</f>
        <v>0.107</v>
      </c>
      <c r="AQ23" s="628">
        <f>PRIX!J24</f>
        <v>0.00001425</v>
      </c>
      <c r="AR23" s="631">
        <f>PRIX!K24</f>
        <v>1.855</v>
      </c>
      <c r="AS23" s="631">
        <f>PRIX!L24</f>
        <v>0.83</v>
      </c>
      <c r="AT23" s="631">
        <f>PRIX!M24</f>
        <v>153</v>
      </c>
      <c r="AU23" s="629">
        <f>PRIX!N24</f>
        <v>0.018</v>
      </c>
      <c r="AV23" s="631">
        <f>PRIX!O24</f>
        <v>3.55</v>
      </c>
      <c r="AW23" s="631">
        <f>PRIX!P24</f>
        <v>0.009774</v>
      </c>
      <c r="AX23" s="630">
        <f>PRIX!Q24</f>
        <v>0.0000178</v>
      </c>
      <c r="AY23" s="631">
        <f>PRIX!R24</f>
        <v>3.35</v>
      </c>
      <c r="AZ23" s="631">
        <f>PRIX!S24</f>
        <v>6.35</v>
      </c>
      <c r="BA23" s="623"/>
    </row>
    <row r="24">
      <c r="A24" s="621">
        <f>ARBITRAGES!E25</f>
        <v>45557</v>
      </c>
      <c r="B24" s="623" t="str">
        <f>IF(A24="","",IF(ARBITRAGES!F25="Invest","Achat","Vente"))</f>
        <v>Vente</v>
      </c>
      <c r="C24" s="623" t="str">
        <f>ARBITRAGES!H25</f>
        <v>TAO</v>
      </c>
      <c r="D24" s="624">
        <f>ARBITRAGES!I25</f>
        <v>600</v>
      </c>
      <c r="E24" s="624">
        <f>ARBITRAGES!J25</f>
        <v>600</v>
      </c>
      <c r="F24" s="623"/>
      <c r="G24" s="621">
        <f>'PV (%)'!B26</f>
        <v>45594</v>
      </c>
      <c r="H24" s="624">
        <f>'PV (%)'!E26</f>
        <v>38062.24422</v>
      </c>
      <c r="I24" s="624">
        <f>'PV (%)'!F26</f>
        <v>41940.31758</v>
      </c>
      <c r="J24" s="626">
        <f>'PV (%)'!G26</f>
        <v>44302.28453</v>
      </c>
      <c r="K24" s="623"/>
      <c r="L24" s="621">
        <f>Exposition!A25</f>
        <v>45557</v>
      </c>
      <c r="M24" s="625">
        <f>Exposition!B25</f>
        <v>0.9365837553</v>
      </c>
      <c r="N24" s="625">
        <f>Exposition!C25</f>
        <v>0.4549148735</v>
      </c>
      <c r="O24" s="625">
        <f>Exposition!D25</f>
        <v>0.1998932413</v>
      </c>
      <c r="P24" s="625">
        <f>Exposition!E25</f>
        <v>0.06976861248</v>
      </c>
      <c r="Q24" s="625">
        <f>Exposition!F25</f>
        <v>0.06526914553</v>
      </c>
      <c r="R24" s="625">
        <f>Exposition!G25</f>
        <v>0.05837181585</v>
      </c>
      <c r="S24" s="625">
        <f>Exposition!H25</f>
        <v>0.02960891097</v>
      </c>
      <c r="T24" s="625">
        <f>Exposition!I25</f>
        <v>0.0280378259</v>
      </c>
      <c r="U24" s="625">
        <f>Exposition!J25</f>
        <v>0.007178650251</v>
      </c>
      <c r="V24" s="625">
        <f>Exposition!K25</f>
        <v>0.01638935653</v>
      </c>
      <c r="W24" s="625">
        <f>Exposition!L25</f>
        <v>0.007151323039</v>
      </c>
      <c r="X24" s="625">
        <f>Exposition!M25</f>
        <v>0</v>
      </c>
      <c r="Y24" s="625">
        <f>Exposition!N25</f>
        <v>0</v>
      </c>
      <c r="Z24" s="625">
        <f>Exposition!O25</f>
        <v>0</v>
      </c>
      <c r="AA24" s="625">
        <f>Exposition!P25</f>
        <v>0</v>
      </c>
      <c r="AB24" s="625">
        <f>Exposition!Q25</f>
        <v>0</v>
      </c>
      <c r="AC24" s="625">
        <f>Exposition!R25</f>
        <v>0</v>
      </c>
      <c r="AD24" s="625">
        <f>Exposition!S25</f>
        <v>0</v>
      </c>
      <c r="AE24" s="625">
        <f>Exposition!T25</f>
        <v>0</v>
      </c>
      <c r="AF24" s="625">
        <f>Exposition!U25</f>
        <v>0.06341624466</v>
      </c>
      <c r="AG24" s="623"/>
      <c r="AH24" s="621">
        <f>PRIX!A25</f>
        <v>45557</v>
      </c>
      <c r="AI24" s="626">
        <f>PRIX!B25</f>
        <v>64000</v>
      </c>
      <c r="AJ24" s="626">
        <f>PRIX!C25</f>
        <v>2700</v>
      </c>
      <c r="AK24" s="627">
        <f>PRIX!D25</f>
        <v>5.7</v>
      </c>
      <c r="AL24" s="626">
        <f>PRIX!E25</f>
        <v>150</v>
      </c>
      <c r="AM24" s="626">
        <f>PRIX!F25</f>
        <v>575</v>
      </c>
      <c r="AN24" s="627">
        <f>PRIX!G25</f>
        <v>1.75</v>
      </c>
      <c r="AO24" s="627">
        <f>PRIX!H25</f>
        <v>11.6</v>
      </c>
      <c r="AP24" s="631">
        <f>PRIX!I25</f>
        <v>0.108</v>
      </c>
      <c r="AQ24" s="628">
        <f>PRIX!J25</f>
        <v>0.0000147</v>
      </c>
      <c r="AR24" s="631">
        <f>PRIX!K25</f>
        <v>1.94</v>
      </c>
      <c r="AS24" s="631">
        <f>PRIX!L25</f>
        <v>0.84</v>
      </c>
      <c r="AT24" s="631">
        <f>PRIX!M25</f>
        <v>159</v>
      </c>
      <c r="AU24" s="629">
        <f>PRIX!N25</f>
        <v>0.0163</v>
      </c>
      <c r="AV24" s="631">
        <f>PRIX!O25</f>
        <v>4</v>
      </c>
      <c r="AW24" s="631">
        <f>PRIX!P25</f>
        <v>0.009774</v>
      </c>
      <c r="AX24" s="630">
        <f>PRIX!Q25</f>
        <v>0.0000178</v>
      </c>
      <c r="AY24" s="631">
        <f>PRIX!R25</f>
        <v>3.35</v>
      </c>
      <c r="AZ24" s="631">
        <f>PRIX!S25</f>
        <v>6.35</v>
      </c>
      <c r="BA24" s="623"/>
    </row>
    <row r="25">
      <c r="A25" s="621">
        <f>ARBITRAGES!E26</f>
        <v>45558</v>
      </c>
      <c r="B25" s="623" t="str">
        <f>IF(A25="","",IF(ARBITRAGES!F26="Invest","Achat","Vente"))</f>
        <v>Achat</v>
      </c>
      <c r="C25" s="623" t="str">
        <f>ARBITRAGES!H26</f>
        <v>TAO</v>
      </c>
      <c r="D25" s="624">
        <f>ARBITRAGES!I26</f>
        <v>562.6</v>
      </c>
      <c r="E25" s="624">
        <f>ARBITRAGES!J26</f>
        <v>337.56</v>
      </c>
      <c r="F25" s="623"/>
      <c r="G25" s="621">
        <f>'PV (%)'!B27</f>
        <v>45595</v>
      </c>
      <c r="H25" s="624">
        <f>'PV (%)'!E27</f>
        <v>37824.35519</v>
      </c>
      <c r="I25" s="624">
        <f>'PV (%)'!F27</f>
        <v>39504.87454</v>
      </c>
      <c r="J25" s="626">
        <f>'PV (%)'!G27</f>
        <v>44166.08036</v>
      </c>
      <c r="K25" s="623"/>
      <c r="L25" s="621">
        <f>Exposition!A26</f>
        <v>45558</v>
      </c>
      <c r="M25" s="625">
        <f>Exposition!B26</f>
        <v>0.9440205503</v>
      </c>
      <c r="N25" s="625">
        <f>Exposition!C26</f>
        <v>0.4579802344</v>
      </c>
      <c r="O25" s="625">
        <f>Exposition!D26</f>
        <v>0.1987557387</v>
      </c>
      <c r="P25" s="625">
        <f>Exposition!E26</f>
        <v>0.06956448088</v>
      </c>
      <c r="Q25" s="625">
        <f>Exposition!F26</f>
        <v>0.06435895456</v>
      </c>
      <c r="R25" s="625">
        <f>Exposition!G26</f>
        <v>0.0652318628</v>
      </c>
      <c r="S25" s="625">
        <f>Exposition!H26</f>
        <v>0.0287960636</v>
      </c>
      <c r="T25" s="625">
        <f>Exposition!I26</f>
        <v>0.02803698369</v>
      </c>
      <c r="U25" s="625">
        <f>Exposition!J26</f>
        <v>0.007205137512</v>
      </c>
      <c r="V25" s="625">
        <f>Exposition!K26</f>
        <v>0.0166035655</v>
      </c>
      <c r="W25" s="625">
        <f>Exposition!L26</f>
        <v>0.007487528705</v>
      </c>
      <c r="X25" s="625">
        <f>Exposition!M26</f>
        <v>0</v>
      </c>
      <c r="Y25" s="625">
        <f>Exposition!N26</f>
        <v>0</v>
      </c>
      <c r="Z25" s="625">
        <f>Exposition!O26</f>
        <v>0</v>
      </c>
      <c r="AA25" s="625">
        <f>Exposition!P26</f>
        <v>0</v>
      </c>
      <c r="AB25" s="625">
        <f>Exposition!Q26</f>
        <v>0</v>
      </c>
      <c r="AC25" s="625">
        <f>Exposition!R26</f>
        <v>0</v>
      </c>
      <c r="AD25" s="625">
        <f>Exposition!S26</f>
        <v>0</v>
      </c>
      <c r="AE25" s="625">
        <f>Exposition!T26</f>
        <v>0</v>
      </c>
      <c r="AF25" s="625">
        <f>Exposition!U26</f>
        <v>0.05597944969</v>
      </c>
      <c r="AG25" s="623"/>
      <c r="AH25" s="621">
        <f>PRIX!A26</f>
        <v>45558</v>
      </c>
      <c r="AI25" s="626">
        <f>PRIX!B26</f>
        <v>63600</v>
      </c>
      <c r="AJ25" s="626">
        <f>PRIX!C26</f>
        <v>2650</v>
      </c>
      <c r="AK25" s="627">
        <f>PRIX!D26</f>
        <v>5.61</v>
      </c>
      <c r="AL25" s="626">
        <f>PRIX!E26</f>
        <v>146</v>
      </c>
      <c r="AM25" s="626">
        <f>PRIX!F26</f>
        <v>555</v>
      </c>
      <c r="AN25" s="627">
        <f>PRIX!G26</f>
        <v>1.68</v>
      </c>
      <c r="AO25" s="627">
        <f>PRIX!H26</f>
        <v>11.45</v>
      </c>
      <c r="AP25" s="631">
        <f>PRIX!I26</f>
        <v>0.107</v>
      </c>
      <c r="AQ25" s="628">
        <f>PRIX!J26</f>
        <v>0.0000147</v>
      </c>
      <c r="AR25" s="631">
        <f>PRIX!K26</f>
        <v>2.005</v>
      </c>
      <c r="AS25" s="631">
        <f>PRIX!L26</f>
        <v>0.83</v>
      </c>
      <c r="AT25" s="631">
        <f>PRIX!M26</f>
        <v>159</v>
      </c>
      <c r="AU25" s="629">
        <f>PRIX!N26</f>
        <v>0.0163</v>
      </c>
      <c r="AV25" s="631">
        <f>PRIX!O26</f>
        <v>3.995</v>
      </c>
      <c r="AW25" s="631">
        <f>PRIX!P26</f>
        <v>0.009774</v>
      </c>
      <c r="AX25" s="630">
        <f>PRIX!Q26</f>
        <v>0.0000178</v>
      </c>
      <c r="AY25" s="631">
        <f>PRIX!R26</f>
        <v>3.35</v>
      </c>
      <c r="AZ25" s="631">
        <f>PRIX!S26</f>
        <v>6.35</v>
      </c>
      <c r="BA25" s="623"/>
    </row>
    <row r="26">
      <c r="A26" s="621">
        <f>ARBITRAGES!E27</f>
        <v>45568</v>
      </c>
      <c r="B26" s="623" t="str">
        <f>IF(A26="","",IF(ARBITRAGES!F27="Invest","Achat","Vente"))</f>
        <v>Achat</v>
      </c>
      <c r="C26" s="623" t="str">
        <f>ARBITRAGES!H27</f>
        <v>TAO</v>
      </c>
      <c r="D26" s="624">
        <f>ARBITRAGES!I27</f>
        <v>480</v>
      </c>
      <c r="E26" s="624">
        <f>ARBITRAGES!J27</f>
        <v>192</v>
      </c>
      <c r="F26" s="623"/>
      <c r="G26" s="621">
        <f>'PV (%)'!B28</f>
        <v>45598</v>
      </c>
      <c r="H26" s="624">
        <f>'PV (%)'!E28</f>
        <v>36337.54878</v>
      </c>
      <c r="I26" s="624">
        <f>'PV (%)'!F28</f>
        <v>38160.91047</v>
      </c>
      <c r="J26" s="626">
        <f>'PV (%)'!G28</f>
        <v>41963.67533</v>
      </c>
      <c r="K26" s="623"/>
      <c r="L26" s="621">
        <f>Exposition!A27</f>
        <v>45568</v>
      </c>
      <c r="M26" s="625">
        <f>Exposition!B27</f>
        <v>0.9462987175</v>
      </c>
      <c r="N26" s="625">
        <f>Exposition!C27</f>
        <v>0.4607697644</v>
      </c>
      <c r="O26" s="625">
        <f>Exposition!D27</f>
        <v>0.1963662991</v>
      </c>
      <c r="P26" s="625">
        <f>Exposition!E27</f>
        <v>0.06882618545</v>
      </c>
      <c r="Q26" s="625">
        <f>Exposition!F27</f>
        <v>0.0637071761</v>
      </c>
      <c r="R26" s="625">
        <f>Exposition!G27</f>
        <v>0.06667331829</v>
      </c>
      <c r="S26" s="625">
        <f>Exposition!H27</f>
        <v>0.02872082881</v>
      </c>
      <c r="T26" s="625">
        <f>Exposition!I27</f>
        <v>0.02718221298</v>
      </c>
      <c r="U26" s="625">
        <f>Exposition!J27</f>
        <v>0.007616148355</v>
      </c>
      <c r="V26" s="625">
        <f>Exposition!K27</f>
        <v>0.01916250067</v>
      </c>
      <c r="W26" s="625">
        <f>Exposition!L27</f>
        <v>0.007274283304</v>
      </c>
      <c r="X26" s="625">
        <f>Exposition!M27</f>
        <v>0</v>
      </c>
      <c r="Y26" s="625">
        <f>Exposition!N27</f>
        <v>0</v>
      </c>
      <c r="Z26" s="625">
        <f>Exposition!O27</f>
        <v>0</v>
      </c>
      <c r="AA26" s="625">
        <f>Exposition!P27</f>
        <v>0</v>
      </c>
      <c r="AB26" s="625">
        <f>Exposition!Q27</f>
        <v>0</v>
      </c>
      <c r="AC26" s="625">
        <f>Exposition!R27</f>
        <v>0</v>
      </c>
      <c r="AD26" s="625">
        <f>Exposition!S27</f>
        <v>0</v>
      </c>
      <c r="AE26" s="625">
        <f>Exposition!T27</f>
        <v>0</v>
      </c>
      <c r="AF26" s="625">
        <f>Exposition!U27</f>
        <v>0.05370128255</v>
      </c>
      <c r="AG26" s="623"/>
      <c r="AH26" s="621">
        <f>PRIX!A27</f>
        <v>45568</v>
      </c>
      <c r="AI26" s="626">
        <f>PRIX!B27</f>
        <v>61100</v>
      </c>
      <c r="AJ26" s="626">
        <f>PRIX!C27</f>
        <v>2500</v>
      </c>
      <c r="AK26" s="627">
        <f>PRIX!D27</f>
        <v>5.3</v>
      </c>
      <c r="AL26" s="626">
        <f>PRIX!E27</f>
        <v>138</v>
      </c>
      <c r="AM26" s="626">
        <f>PRIX!F27</f>
        <v>500</v>
      </c>
      <c r="AN26" s="627">
        <f>PRIX!G27</f>
        <v>1.6</v>
      </c>
      <c r="AO26" s="627">
        <f>PRIX!H27</f>
        <v>10.6</v>
      </c>
      <c r="AP26" s="631">
        <f>PRIX!I27</f>
        <v>0.108</v>
      </c>
      <c r="AQ26" s="628">
        <f>PRIX!J27</f>
        <v>0.0000162</v>
      </c>
      <c r="AR26" s="631">
        <f>PRIX!K27</f>
        <v>1.86</v>
      </c>
      <c r="AS26" s="631">
        <f>PRIX!L27</f>
        <v>0.75</v>
      </c>
      <c r="AT26" s="631">
        <f>PRIX!M27</f>
        <v>142</v>
      </c>
      <c r="AU26" s="629">
        <f>PRIX!N27</f>
        <v>0.0147</v>
      </c>
      <c r="AV26" s="631">
        <f>PRIX!O27</f>
        <v>3.65</v>
      </c>
      <c r="AW26" s="631">
        <f>PRIX!P27</f>
        <v>0.009774</v>
      </c>
      <c r="AX26" s="630">
        <f>PRIX!Q27</f>
        <v>0.0000178</v>
      </c>
      <c r="AY26" s="631">
        <f>PRIX!R27</f>
        <v>3.35</v>
      </c>
      <c r="AZ26" s="631">
        <f>PRIX!S27</f>
        <v>6.35</v>
      </c>
      <c r="BA26" s="623"/>
    </row>
    <row r="27">
      <c r="A27" s="621">
        <f>ARBITRAGES!E28</f>
        <v>45586</v>
      </c>
      <c r="B27" s="623" t="str">
        <f>IF(A27="","",IF(ARBITRAGES!F28="Invest","Achat","Vente"))</f>
        <v>Vente</v>
      </c>
      <c r="C27" s="623" t="str">
        <f>ARBITRAGES!H28</f>
        <v>ETH</v>
      </c>
      <c r="D27" s="624">
        <f>ARBITRAGES!I28</f>
        <v>2700</v>
      </c>
      <c r="E27" s="624">
        <f>ARBITRAGES!J28</f>
        <v>711.380016</v>
      </c>
      <c r="F27" s="623"/>
      <c r="G27" s="621">
        <f>'PV (%)'!B29</f>
        <v>45599</v>
      </c>
      <c r="H27" s="624">
        <f>'PV (%)'!E29</f>
        <v>41095.32931</v>
      </c>
      <c r="I27" s="624">
        <f>'PV (%)'!F29</f>
        <v>38434.5286</v>
      </c>
      <c r="J27" s="626">
        <f>'PV (%)'!G29</f>
        <v>40654.55668</v>
      </c>
      <c r="K27" s="623"/>
      <c r="L27" s="621">
        <f>Exposition!A28</f>
        <v>45586</v>
      </c>
      <c r="M27" s="625">
        <f>Exposition!B28</f>
        <v>0.9357277192</v>
      </c>
      <c r="N27" s="625">
        <f>Exposition!C28</f>
        <v>0.4655348572</v>
      </c>
      <c r="O27" s="625">
        <f>Exposition!D28</f>
        <v>0.176371588</v>
      </c>
      <c r="P27" s="625">
        <f>Exposition!E28</f>
        <v>0.06229934935</v>
      </c>
      <c r="Q27" s="625">
        <f>Exposition!F28</f>
        <v>0.07052397346</v>
      </c>
      <c r="R27" s="625">
        <f>Exposition!G28</f>
        <v>0.07040458473</v>
      </c>
      <c r="S27" s="625">
        <f>Exposition!H28</f>
        <v>0.0274223387</v>
      </c>
      <c r="T27" s="625">
        <f>Exposition!I28</f>
        <v>0.02749106637</v>
      </c>
      <c r="U27" s="625">
        <f>Exposition!J28</f>
        <v>0.009387053703</v>
      </c>
      <c r="V27" s="625">
        <f>Exposition!K28</f>
        <v>0.01954970874</v>
      </c>
      <c r="W27" s="625">
        <f>Exposition!L28</f>
        <v>0.006743198905</v>
      </c>
      <c r="X27" s="625">
        <f>Exposition!M28</f>
        <v>0</v>
      </c>
      <c r="Y27" s="625">
        <f>Exposition!N28</f>
        <v>0</v>
      </c>
      <c r="Z27" s="625">
        <f>Exposition!O28</f>
        <v>0</v>
      </c>
      <c r="AA27" s="625">
        <f>Exposition!P28</f>
        <v>0</v>
      </c>
      <c r="AB27" s="625">
        <f>Exposition!Q28</f>
        <v>0</v>
      </c>
      <c r="AC27" s="625">
        <f>Exposition!R28</f>
        <v>0</v>
      </c>
      <c r="AD27" s="625">
        <f>Exposition!S28</f>
        <v>0</v>
      </c>
      <c r="AE27" s="625">
        <f>Exposition!T28</f>
        <v>0</v>
      </c>
      <c r="AF27" s="625">
        <f>Exposition!U28</f>
        <v>0.0642722808</v>
      </c>
      <c r="AG27" s="623"/>
      <c r="AH27" s="621">
        <f>PRIX!A28</f>
        <v>45586</v>
      </c>
      <c r="AI27" s="626">
        <f>PRIX!B28</f>
        <v>69100</v>
      </c>
      <c r="AJ27" s="626">
        <f>PRIX!C28</f>
        <v>2750</v>
      </c>
      <c r="AK27" s="627">
        <f>PRIX!D28</f>
        <v>5.37</v>
      </c>
      <c r="AL27" s="626">
        <f>PRIX!E28</f>
        <v>171</v>
      </c>
      <c r="AM27" s="626">
        <f>PRIX!F28</f>
        <v>591</v>
      </c>
      <c r="AN27" s="627">
        <f>PRIX!G28</f>
        <v>1.71</v>
      </c>
      <c r="AO27" s="627">
        <f>PRIX!H28</f>
        <v>12</v>
      </c>
      <c r="AP27" s="631">
        <f>PRIX!I28</f>
        <v>0.149</v>
      </c>
      <c r="AQ27" s="628">
        <f>PRIX!J28</f>
        <v>0.0000185</v>
      </c>
      <c r="AR27" s="631">
        <f>PRIX!K28</f>
        <v>1.93</v>
      </c>
      <c r="AS27" s="631">
        <f>PRIX!L28</f>
        <v>0.96</v>
      </c>
      <c r="AT27" s="631">
        <f>PRIX!M28</f>
        <v>155</v>
      </c>
      <c r="AU27" s="629">
        <f>PRIX!N28</f>
        <v>0.015</v>
      </c>
      <c r="AV27" s="631">
        <f>PRIX!O28</f>
        <v>4.8</v>
      </c>
      <c r="AW27" s="631">
        <f>PRIX!P28</f>
        <v>0.009774</v>
      </c>
      <c r="AX27" s="630">
        <f>PRIX!Q28</f>
        <v>0.0000178</v>
      </c>
      <c r="AY27" s="631">
        <f>PRIX!R28</f>
        <v>3.35</v>
      </c>
      <c r="AZ27" s="631">
        <f>PRIX!S28</f>
        <v>6.35</v>
      </c>
      <c r="BA27" s="623"/>
    </row>
    <row r="28">
      <c r="A28" s="633">
        <f>ARBITRAGES!E29</f>
        <v>45591</v>
      </c>
      <c r="B28" s="623" t="str">
        <f>IF(A28="","",IF(ARBITRAGES!F29="Invest","Achat","Vente"))</f>
        <v>Achat</v>
      </c>
      <c r="C28" s="623" t="str">
        <f>ARBITRAGES!H29</f>
        <v>TON</v>
      </c>
      <c r="D28" s="624">
        <f>ARBITRAGES!I29</f>
        <v>4.95</v>
      </c>
      <c r="E28" s="624">
        <f>ARBITRAGES!J29</f>
        <v>215.7705</v>
      </c>
      <c r="F28" s="623"/>
      <c r="G28" s="621">
        <f>'PV (%)'!B30</f>
        <v>45602</v>
      </c>
      <c r="H28" s="624">
        <f>'PV (%)'!E30</f>
        <v>39846.41192</v>
      </c>
      <c r="I28" s="624">
        <f>'PV (%)'!F30</f>
        <v>42788.24254</v>
      </c>
      <c r="J28" s="626">
        <f>'PV (%)'!G30</f>
        <v>40932.40497</v>
      </c>
      <c r="K28" s="623"/>
      <c r="L28" s="621">
        <f>Exposition!A29</f>
        <v>45591</v>
      </c>
      <c r="M28" s="625">
        <f>Exposition!B29</f>
        <v>0.9415436575</v>
      </c>
      <c r="N28" s="625">
        <f>Exposition!C29</f>
        <v>0.4447464577</v>
      </c>
      <c r="O28" s="625">
        <f>Exposition!D29</f>
        <v>0.2274898215</v>
      </c>
      <c r="P28" s="625">
        <f>Exposition!E29</f>
        <v>0.06083164042</v>
      </c>
      <c r="Q28" s="625">
        <f>Exposition!F29</f>
        <v>0.0682674188</v>
      </c>
      <c r="R28" s="625">
        <f>Exposition!G29</f>
        <v>0.05986144199</v>
      </c>
      <c r="S28" s="625">
        <f>Exposition!H29</f>
        <v>0.02370080936</v>
      </c>
      <c r="T28" s="625">
        <f>Exposition!I29</f>
        <v>0.02482941933</v>
      </c>
      <c r="U28" s="625">
        <f>Exposition!J29</f>
        <v>0.008317855477</v>
      </c>
      <c r="V28" s="625">
        <f>Exposition!K29</f>
        <v>0.01744001733</v>
      </c>
      <c r="W28" s="625">
        <f>Exposition!L29</f>
        <v>0.006058775588</v>
      </c>
      <c r="X28" s="625">
        <f>Exposition!M29</f>
        <v>0</v>
      </c>
      <c r="Y28" s="625">
        <f>Exposition!N29</f>
        <v>0</v>
      </c>
      <c r="Z28" s="625">
        <f>Exposition!O29</f>
        <v>0</v>
      </c>
      <c r="AA28" s="625">
        <f>Exposition!P29</f>
        <v>0</v>
      </c>
      <c r="AB28" s="625">
        <f>Exposition!Q29</f>
        <v>0</v>
      </c>
      <c r="AC28" s="625">
        <f>Exposition!R29</f>
        <v>0</v>
      </c>
      <c r="AD28" s="625">
        <f>Exposition!S29</f>
        <v>0</v>
      </c>
      <c r="AE28" s="625">
        <f>Exposition!T29</f>
        <v>0</v>
      </c>
      <c r="AF28" s="625">
        <f>Exposition!U29</f>
        <v>0.05845634246</v>
      </c>
      <c r="AG28" s="623"/>
      <c r="AH28" s="621">
        <f>PRIX!A29</f>
        <v>45591</v>
      </c>
      <c r="AI28" s="626">
        <f>PRIX!B29</f>
        <v>67000</v>
      </c>
      <c r="AJ28" s="626">
        <f>PRIX!C29</f>
        <v>3600</v>
      </c>
      <c r="AK28" s="627">
        <f>PRIX!D29</f>
        <v>4.9</v>
      </c>
      <c r="AL28" s="626">
        <f>PRIX!E29</f>
        <v>168</v>
      </c>
      <c r="AM28" s="626">
        <f>PRIX!F29</f>
        <v>510</v>
      </c>
      <c r="AN28" s="627">
        <f>PRIX!G29</f>
        <v>1.5</v>
      </c>
      <c r="AO28" s="627">
        <f>PRIX!H29</f>
        <v>11</v>
      </c>
      <c r="AP28" s="631">
        <f>PRIX!I29</f>
        <v>0.134</v>
      </c>
      <c r="AQ28" s="628">
        <f>PRIX!J29</f>
        <v>0.00001675</v>
      </c>
      <c r="AR28" s="631">
        <f>PRIX!K29</f>
        <v>1.76</v>
      </c>
      <c r="AS28" s="631">
        <f>PRIX!L29</f>
        <v>0.97</v>
      </c>
      <c r="AT28" s="631">
        <f>PRIX!M29</f>
        <v>139</v>
      </c>
      <c r="AU28" s="629">
        <f>PRIX!N29</f>
        <v>0.013</v>
      </c>
      <c r="AV28" s="631">
        <f>PRIX!O29</f>
        <v>4.444</v>
      </c>
      <c r="AW28" s="631">
        <f>PRIX!P29</f>
        <v>0.009774</v>
      </c>
      <c r="AX28" s="630">
        <f>PRIX!Q29</f>
        <v>0.0000178</v>
      </c>
      <c r="AY28" s="631">
        <f>PRIX!R29</f>
        <v>3.35</v>
      </c>
      <c r="AZ28" s="631">
        <f>PRIX!S29</f>
        <v>6.35</v>
      </c>
      <c r="BA28" s="623"/>
    </row>
    <row r="29">
      <c r="A29" s="621">
        <f>ARBITRAGES!E30</f>
        <v>45594</v>
      </c>
      <c r="B29" s="623" t="str">
        <f>IF(A29="","",IF(ARBITRAGES!F30="Invest","Achat","Vente"))</f>
        <v>Vente</v>
      </c>
      <c r="C29" s="623" t="str">
        <f>ARBITRAGES!H30</f>
        <v>SOL</v>
      </c>
      <c r="D29" s="624">
        <f>ARBITRAGES!I30</f>
        <v>175.82</v>
      </c>
      <c r="E29" s="624">
        <f>ARBITRAGES!J30</f>
        <v>176.4534308</v>
      </c>
      <c r="F29" s="623"/>
      <c r="G29" s="621">
        <f>'PV (%)'!B31</f>
        <v>45576</v>
      </c>
      <c r="H29" s="624">
        <f>'PV (%)'!E31</f>
        <v>43117.38603</v>
      </c>
      <c r="I29" s="624">
        <f>'PV (%)'!F31</f>
        <v>50465.37931</v>
      </c>
      <c r="J29" s="626">
        <f>'PV (%)'!G31</f>
        <v>50381.22143</v>
      </c>
      <c r="K29" s="623"/>
      <c r="L29" s="621">
        <f>Exposition!A30</f>
        <v>45594</v>
      </c>
      <c r="M29" s="625">
        <f>Exposition!B30</f>
        <v>0.9373681585</v>
      </c>
      <c r="N29" s="625">
        <f>Exposition!C30</f>
        <v>0.4827396434</v>
      </c>
      <c r="O29" s="625">
        <f>Exposition!D30</f>
        <v>0.1695588722</v>
      </c>
      <c r="P29" s="625">
        <f>Exposition!E30</f>
        <v>0.06288717556</v>
      </c>
      <c r="Q29" s="625">
        <f>Exposition!F30</f>
        <v>0.06966390606</v>
      </c>
      <c r="R29" s="625">
        <f>Exposition!G30</f>
        <v>0.06534423003</v>
      </c>
      <c r="S29" s="625">
        <f>Exposition!H30</f>
        <v>0.02456636385</v>
      </c>
      <c r="T29" s="625">
        <f>Exposition!I30</f>
        <v>0.0262644996</v>
      </c>
      <c r="U29" s="625">
        <f>Exposition!J30</f>
        <v>0.01077184111</v>
      </c>
      <c r="V29" s="625">
        <f>Exposition!K30</f>
        <v>0.01932151128</v>
      </c>
      <c r="W29" s="625">
        <f>Exposition!L30</f>
        <v>0.006250115422</v>
      </c>
      <c r="X29" s="625">
        <f>Exposition!M30</f>
        <v>0</v>
      </c>
      <c r="Y29" s="625">
        <f>Exposition!N30</f>
        <v>0</v>
      </c>
      <c r="Z29" s="625">
        <f>Exposition!O30</f>
        <v>0</v>
      </c>
      <c r="AA29" s="625">
        <f>Exposition!P30</f>
        <v>0</v>
      </c>
      <c r="AB29" s="625">
        <f>Exposition!Q30</f>
        <v>0</v>
      </c>
      <c r="AC29" s="625">
        <f>Exposition!R30</f>
        <v>0</v>
      </c>
      <c r="AD29" s="625">
        <f>Exposition!S30</f>
        <v>0</v>
      </c>
      <c r="AE29" s="625">
        <f>Exposition!T30</f>
        <v>0</v>
      </c>
      <c r="AF29" s="625">
        <f>Exposition!U30</f>
        <v>0.06263184154</v>
      </c>
      <c r="AG29" s="623"/>
      <c r="AH29" s="621">
        <f>PRIX!A30</f>
        <v>45594</v>
      </c>
      <c r="AI29" s="626">
        <f>PRIX!B30</f>
        <v>72500</v>
      </c>
      <c r="AJ29" s="626">
        <f>PRIX!C30</f>
        <v>2675</v>
      </c>
      <c r="AK29" s="627">
        <f>PRIX!D30</f>
        <v>5.05</v>
      </c>
      <c r="AL29" s="626">
        <f>PRIX!E30</f>
        <v>181</v>
      </c>
      <c r="AM29" s="626">
        <f>PRIX!F30</f>
        <v>555</v>
      </c>
      <c r="AN29" s="627">
        <f>PRIX!G30</f>
        <v>1.55</v>
      </c>
      <c r="AO29" s="627">
        <f>PRIX!H30</f>
        <v>11.6</v>
      </c>
      <c r="AP29" s="631">
        <f>PRIX!I30</f>
        <v>0.173</v>
      </c>
      <c r="AQ29" s="628">
        <f>PRIX!J30</f>
        <v>0.0000185</v>
      </c>
      <c r="AR29" s="631">
        <f>PRIX!K30</f>
        <v>1.81</v>
      </c>
      <c r="AS29" s="631">
        <f>PRIX!L30</f>
        <v>1.03</v>
      </c>
      <c r="AT29" s="631">
        <f>PRIX!M30</f>
        <v>152</v>
      </c>
      <c r="AU29" s="629">
        <f>PRIX!N30</f>
        <v>0.0133</v>
      </c>
      <c r="AV29" s="631">
        <f>PRIX!O30</f>
        <v>4.9</v>
      </c>
      <c r="AW29" s="631">
        <f>PRIX!P30</f>
        <v>0.009774</v>
      </c>
      <c r="AX29" s="630">
        <f>PRIX!Q30</f>
        <v>0.0000178</v>
      </c>
      <c r="AY29" s="631">
        <f>PRIX!R30</f>
        <v>3.35</v>
      </c>
      <c r="AZ29" s="631">
        <f>PRIX!S30</f>
        <v>6.35</v>
      </c>
      <c r="BA29" s="623"/>
    </row>
    <row r="30">
      <c r="A30" s="621">
        <f>ARBITRAGES!E31</f>
        <v>45595</v>
      </c>
      <c r="B30" s="623" t="str">
        <f>IF(A30="","",IF(ARBITRAGES!F31="Invest","Achat","Vente"))</f>
        <v>Achat</v>
      </c>
      <c r="C30" s="623" t="str">
        <f>ARBITRAGES!H31</f>
        <v>TAO</v>
      </c>
      <c r="D30" s="624">
        <f>ARBITRAGES!I31</f>
        <v>480</v>
      </c>
      <c r="E30" s="624">
        <f>ARBITRAGES!J31</f>
        <v>360</v>
      </c>
      <c r="F30" s="623"/>
      <c r="G30" s="621">
        <f>'PV (%)'!B32</f>
        <v>45608</v>
      </c>
      <c r="H30" s="624">
        <f>'PV (%)'!E32</f>
        <v>54714.47607</v>
      </c>
      <c r="I30" s="624">
        <f>'PV (%)'!F32</f>
        <v>51901.24356</v>
      </c>
      <c r="J30" s="626">
        <f>'PV (%)'!G32</f>
        <v>52869.46053</v>
      </c>
      <c r="K30" s="623"/>
      <c r="L30" s="621">
        <f>Exposition!A31</f>
        <v>45595</v>
      </c>
      <c r="M30" s="625">
        <f>Exposition!B31</f>
        <v>0.9426598617</v>
      </c>
      <c r="N30" s="625">
        <f>Exposition!C31</f>
        <v>0.4905557141</v>
      </c>
      <c r="O30" s="625">
        <f>Exposition!D31</f>
        <v>0.1667831153</v>
      </c>
      <c r="P30" s="625">
        <f>Exposition!E31</f>
        <v>0.06553239738</v>
      </c>
      <c r="Q30" s="625">
        <f>Exposition!F31</f>
        <v>0.06764894968</v>
      </c>
      <c r="R30" s="625">
        <f>Exposition!G31</f>
        <v>0.06522304702</v>
      </c>
      <c r="S30" s="625">
        <f>Exposition!H31</f>
        <v>0.0230199093</v>
      </c>
      <c r="T30" s="625">
        <f>Exposition!I31</f>
        <v>0.02680890058</v>
      </c>
      <c r="U30" s="625">
        <f>Exposition!J31</f>
        <v>0.0104852589</v>
      </c>
      <c r="V30" s="625">
        <f>Exposition!K31</f>
        <v>0.02006076883</v>
      </c>
      <c r="W30" s="625">
        <f>Exposition!L31</f>
        <v>0.006541800685</v>
      </c>
      <c r="X30" s="625">
        <f>Exposition!M31</f>
        <v>0</v>
      </c>
      <c r="Y30" s="625">
        <f>Exposition!N31</f>
        <v>0</v>
      </c>
      <c r="Z30" s="625">
        <f>Exposition!O31</f>
        <v>0</v>
      </c>
      <c r="AA30" s="625">
        <f>Exposition!P31</f>
        <v>0</v>
      </c>
      <c r="AB30" s="625">
        <f>Exposition!Q31</f>
        <v>0</v>
      </c>
      <c r="AC30" s="625">
        <f>Exposition!R31</f>
        <v>0</v>
      </c>
      <c r="AD30" s="625">
        <f>Exposition!S31</f>
        <v>0</v>
      </c>
      <c r="AE30" s="625">
        <f>Exposition!T31</f>
        <v>0</v>
      </c>
      <c r="AF30" s="625">
        <f>Exposition!U31</f>
        <v>0.0573401383</v>
      </c>
      <c r="AG30" s="623"/>
      <c r="AH30" s="621">
        <f>PRIX!A31</f>
        <v>45595</v>
      </c>
      <c r="AI30" s="626">
        <f>PRIX!B31</f>
        <v>70000</v>
      </c>
      <c r="AJ30" s="626">
        <f>PRIX!C31</f>
        <v>2500</v>
      </c>
      <c r="AK30" s="627">
        <f>PRIX!D31</f>
        <v>5</v>
      </c>
      <c r="AL30" s="626">
        <f>PRIX!E31</f>
        <v>167</v>
      </c>
      <c r="AM30" s="626">
        <f>PRIX!F31</f>
        <v>460</v>
      </c>
      <c r="AN30" s="627">
        <f>PRIX!G31</f>
        <v>1.38</v>
      </c>
      <c r="AO30" s="627">
        <f>PRIX!H31</f>
        <v>11.25</v>
      </c>
      <c r="AP30" s="631">
        <f>PRIX!I31</f>
        <v>0.16</v>
      </c>
      <c r="AQ30" s="628">
        <f>PRIX!J31</f>
        <v>0.00001825</v>
      </c>
      <c r="AR30" s="631">
        <f>PRIX!K31</f>
        <v>1.8</v>
      </c>
      <c r="AS30" s="631">
        <f>PRIX!L31</f>
        <v>0.98</v>
      </c>
      <c r="AT30" s="631">
        <f>PRIX!M31</f>
        <v>148</v>
      </c>
      <c r="AU30" s="629">
        <f>PRIX!N31</f>
        <v>0.0128</v>
      </c>
      <c r="AV30" s="631">
        <f>PRIX!O31</f>
        <v>5.05</v>
      </c>
      <c r="AW30" s="631">
        <f>PRIX!P31</f>
        <v>0.009774</v>
      </c>
      <c r="AX30" s="630">
        <f>PRIX!Q31</f>
        <v>0.0000178</v>
      </c>
      <c r="AY30" s="631">
        <f>PRIX!R31</f>
        <v>3.35</v>
      </c>
      <c r="AZ30" s="631">
        <f>PRIX!S31</f>
        <v>6.35</v>
      </c>
      <c r="BA30" s="623"/>
    </row>
    <row r="31">
      <c r="A31" s="621">
        <f>ARBITRAGES!E32</f>
        <v>45598</v>
      </c>
      <c r="B31" s="623" t="str">
        <f>IF(A31="","",IF(ARBITRAGES!F32="Invest","Achat","Vente"))</f>
        <v>Achat</v>
      </c>
      <c r="C31" s="623" t="str">
        <f>ARBITRAGES!H32</f>
        <v>JUP</v>
      </c>
      <c r="D31" s="631">
        <f>ARBITRAGES!I32</f>
        <v>0.85</v>
      </c>
      <c r="E31" s="624">
        <f>ARBITRAGES!J32</f>
        <v>701.25</v>
      </c>
      <c r="F31" s="623"/>
      <c r="G31" s="633">
        <f>'PV (%)'!B33</f>
        <v>45609</v>
      </c>
      <c r="H31" s="624">
        <f>'PV (%)'!E33</f>
        <v>55903.9212</v>
      </c>
      <c r="I31" s="624">
        <f>'PV (%)'!F33</f>
        <v>48980.28607</v>
      </c>
      <c r="J31" s="626">
        <f>'PV (%)'!G33</f>
        <v>54208.65594</v>
      </c>
      <c r="K31" s="623"/>
      <c r="L31" s="621">
        <f>Exposition!A32</f>
        <v>45598</v>
      </c>
      <c r="M31" s="625">
        <f>Exposition!B32</f>
        <v>0.9580624391</v>
      </c>
      <c r="N31" s="625">
        <f>Exposition!C32</f>
        <v>0.4955017115</v>
      </c>
      <c r="O31" s="625">
        <f>Exposition!D32</f>
        <v>0.1687106295</v>
      </c>
      <c r="P31" s="625">
        <f>Exposition!E32</f>
        <v>0.0622311995</v>
      </c>
      <c r="Q31" s="625">
        <f>Exposition!F32</f>
        <v>0.06690042215</v>
      </c>
      <c r="R31" s="625">
        <f>Exposition!G32</f>
        <v>0.06146909671</v>
      </c>
      <c r="S31" s="625">
        <f>Exposition!H32</f>
        <v>0.02186716749</v>
      </c>
      <c r="T31" s="625">
        <f>Exposition!I32</f>
        <v>0.02607333806</v>
      </c>
      <c r="U31" s="625">
        <f>Exposition!J32</f>
        <v>0.01163461217</v>
      </c>
      <c r="V31" s="625">
        <f>Exposition!K32</f>
        <v>0.02042309222</v>
      </c>
      <c r="W31" s="625">
        <f>Exposition!L32</f>
        <v>0.006002180812</v>
      </c>
      <c r="X31" s="625">
        <f>Exposition!M32</f>
        <v>0.01724898898</v>
      </c>
      <c r="Y31" s="625">
        <f>Exposition!N32</f>
        <v>0</v>
      </c>
      <c r="Z31" s="625">
        <f>Exposition!O32</f>
        <v>0</v>
      </c>
      <c r="AA31" s="625">
        <f>Exposition!P32</f>
        <v>0</v>
      </c>
      <c r="AB31" s="625">
        <f>Exposition!Q32</f>
        <v>0</v>
      </c>
      <c r="AC31" s="625">
        <f>Exposition!R32</f>
        <v>0</v>
      </c>
      <c r="AD31" s="625">
        <f>Exposition!S32</f>
        <v>0</v>
      </c>
      <c r="AE31" s="625">
        <f>Exposition!T32</f>
        <v>0</v>
      </c>
      <c r="AF31" s="625">
        <f>Exposition!U32</f>
        <v>0.04193756091</v>
      </c>
      <c r="AG31" s="623"/>
      <c r="AH31" s="621">
        <f>PRIX!A32</f>
        <v>45598</v>
      </c>
      <c r="AI31" s="626">
        <f>PRIX!B32</f>
        <v>68500</v>
      </c>
      <c r="AJ31" s="626">
        <f>PRIX!C32</f>
        <v>2450</v>
      </c>
      <c r="AK31" s="627">
        <f>PRIX!D32</f>
        <v>4.6</v>
      </c>
      <c r="AL31" s="626">
        <f>PRIX!E32</f>
        <v>160</v>
      </c>
      <c r="AM31" s="626">
        <f>PRIX!F32</f>
        <v>420</v>
      </c>
      <c r="AN31" s="627">
        <f>PRIX!G32</f>
        <v>1.27</v>
      </c>
      <c r="AO31" s="627">
        <f>PRIX!H32</f>
        <v>10.6</v>
      </c>
      <c r="AP31" s="631">
        <f>PRIX!I32</f>
        <v>0.172</v>
      </c>
      <c r="AQ31" s="628">
        <f>PRIX!J32</f>
        <v>0.000018</v>
      </c>
      <c r="AR31" s="631">
        <f>PRIX!K32</f>
        <v>1.6</v>
      </c>
      <c r="AS31" s="631">
        <f>PRIX!L32</f>
        <v>0.85</v>
      </c>
      <c r="AT31" s="631">
        <f>PRIX!M32</f>
        <v>130</v>
      </c>
      <c r="AU31" s="629">
        <f>PRIX!N32</f>
        <v>0.012</v>
      </c>
      <c r="AV31" s="631">
        <f>PRIX!O32</f>
        <v>4.15</v>
      </c>
      <c r="AW31" s="631">
        <f>PRIX!P32</f>
        <v>0.009774</v>
      </c>
      <c r="AX31" s="630">
        <f>PRIX!Q32</f>
        <v>0.0000178</v>
      </c>
      <c r="AY31" s="631">
        <f>PRIX!R32</f>
        <v>3.35</v>
      </c>
      <c r="AZ31" s="631">
        <f>PRIX!S32</f>
        <v>6.35</v>
      </c>
      <c r="BA31" s="623"/>
    </row>
    <row r="32">
      <c r="A32" s="621">
        <f>ARBITRAGES!E33</f>
        <v>45599</v>
      </c>
      <c r="B32" s="623" t="str">
        <f>IF(A32="","",IF(ARBITRAGES!F33="Invest","Achat","Vente"))</f>
        <v>Vente</v>
      </c>
      <c r="C32" s="623" t="str">
        <f>ARBITRAGES!H33</f>
        <v>JUP</v>
      </c>
      <c r="D32" s="634">
        <f>ARBITRAGES!I33</f>
        <v>0.8515</v>
      </c>
      <c r="E32" s="624">
        <f>ARBITRAGES!J33</f>
        <v>404.4625</v>
      </c>
      <c r="F32" s="623"/>
      <c r="G32" s="621">
        <f>'PV (%)'!B34</f>
        <v>45610</v>
      </c>
      <c r="H32" s="624">
        <f>'PV (%)'!E34</f>
        <v>52335.5858</v>
      </c>
      <c r="I32" s="624">
        <f>'PV (%)'!F34</f>
        <v>51650.25831</v>
      </c>
      <c r="J32" s="626">
        <f>'PV (%)'!G34</f>
        <v>51415.19244</v>
      </c>
      <c r="K32" s="623"/>
      <c r="L32" s="621">
        <f>Exposition!A33</f>
        <v>45599</v>
      </c>
      <c r="M32" s="625">
        <f>Exposition!B33</f>
        <v>0.9484658806</v>
      </c>
      <c r="N32" s="625">
        <f>Exposition!C33</f>
        <v>0.4957305065</v>
      </c>
      <c r="O32" s="625">
        <f>Exposition!D33</f>
        <v>0.1675654254</v>
      </c>
      <c r="P32" s="625">
        <f>Exposition!E33</f>
        <v>0.06180877545</v>
      </c>
      <c r="Q32" s="625">
        <f>Exposition!F33</f>
        <v>0.06769217171</v>
      </c>
      <c r="R32" s="625">
        <f>Exposition!G33</f>
        <v>0.06250546117</v>
      </c>
      <c r="S32" s="625">
        <f>Exposition!H33</f>
        <v>0.02171873362</v>
      </c>
      <c r="T32" s="625">
        <f>Exposition!I33</f>
        <v>0.0258963528</v>
      </c>
      <c r="U32" s="625">
        <f>Exposition!J33</f>
        <v>0.01155563667</v>
      </c>
      <c r="V32" s="625">
        <f>Exposition!K33</f>
        <v>0.0202844607</v>
      </c>
      <c r="W32" s="625">
        <f>Exposition!L33</f>
        <v>0.005961438137</v>
      </c>
      <c r="X32" s="625">
        <f>Exposition!M33</f>
        <v>0.007746918371</v>
      </c>
      <c r="Y32" s="625">
        <f>Exposition!N33</f>
        <v>0</v>
      </c>
      <c r="Z32" s="625">
        <f>Exposition!O33</f>
        <v>0</v>
      </c>
      <c r="AA32" s="625">
        <f>Exposition!P33</f>
        <v>0</v>
      </c>
      <c r="AB32" s="625">
        <f>Exposition!Q33</f>
        <v>0</v>
      </c>
      <c r="AC32" s="625">
        <f>Exposition!R33</f>
        <v>0</v>
      </c>
      <c r="AD32" s="625">
        <f>Exposition!S33</f>
        <v>0</v>
      </c>
      <c r="AE32" s="625">
        <f>Exposition!T33</f>
        <v>0</v>
      </c>
      <c r="AF32" s="625">
        <f>Exposition!U33</f>
        <v>0.05153411945</v>
      </c>
      <c r="AG32" s="623"/>
      <c r="AH32" s="621">
        <f>PRIX!A33</f>
        <v>45599</v>
      </c>
      <c r="AI32" s="626">
        <f>PRIX!B33</f>
        <v>69000</v>
      </c>
      <c r="AJ32" s="626">
        <f>PRIX!C33</f>
        <v>2450</v>
      </c>
      <c r="AK32" s="627">
        <f>PRIX!D33</f>
        <v>4.6</v>
      </c>
      <c r="AL32" s="626">
        <f>PRIX!E33</f>
        <v>163</v>
      </c>
      <c r="AM32" s="626">
        <f>PRIX!F33</f>
        <v>430</v>
      </c>
      <c r="AN32" s="627">
        <f>PRIX!G33</f>
        <v>1.27</v>
      </c>
      <c r="AO32" s="627">
        <f>PRIX!H33</f>
        <v>10.6</v>
      </c>
      <c r="AP32" s="631">
        <f>PRIX!I33</f>
        <v>0.172</v>
      </c>
      <c r="AQ32" s="628">
        <f>PRIX!J33</f>
        <v>0.000018</v>
      </c>
      <c r="AR32" s="631">
        <f>PRIX!K33</f>
        <v>1.6</v>
      </c>
      <c r="AS32" s="631">
        <f>PRIX!L33</f>
        <v>0.906</v>
      </c>
      <c r="AT32" s="631">
        <f>PRIX!M33</f>
        <v>130</v>
      </c>
      <c r="AU32" s="629">
        <f>PRIX!N33</f>
        <v>0.012</v>
      </c>
      <c r="AV32" s="631">
        <f>PRIX!O33</f>
        <v>4.15</v>
      </c>
      <c r="AW32" s="631">
        <f>PRIX!P33</f>
        <v>0.009774</v>
      </c>
      <c r="AX32" s="630">
        <f>PRIX!Q33</f>
        <v>0.0000178</v>
      </c>
      <c r="AY32" s="631">
        <f>PRIX!R33</f>
        <v>3.35</v>
      </c>
      <c r="AZ32" s="631">
        <f>PRIX!S33</f>
        <v>6.35</v>
      </c>
      <c r="BA32" s="623"/>
    </row>
    <row r="33">
      <c r="A33" s="621">
        <f>ARBITRAGES!E34</f>
        <v>45602</v>
      </c>
      <c r="B33" s="623" t="str">
        <f>IF(A33="","",IF(ARBITRAGES!F34="Invest","Achat","Vente"))</f>
        <v>Vente</v>
      </c>
      <c r="C33" s="623" t="str">
        <f>ARBITRAGES!H34</f>
        <v>SOL</v>
      </c>
      <c r="D33" s="624">
        <f>ARBITRAGES!I34</f>
        <v>180</v>
      </c>
      <c r="E33" s="624">
        <f>ARBITRAGES!J34</f>
        <v>720</v>
      </c>
      <c r="F33" s="623"/>
      <c r="G33" s="621">
        <f>'PV (%)'!B35</f>
        <v>45615</v>
      </c>
      <c r="H33" s="624">
        <f>'PV (%)'!E35</f>
        <v>57093.36633</v>
      </c>
      <c r="I33" s="624">
        <f>'PV (%)'!F35</f>
        <v>51650.25831</v>
      </c>
      <c r="J33" s="626">
        <f>'PV (%)'!G35</f>
        <v>53867.70671</v>
      </c>
      <c r="K33" s="623"/>
      <c r="L33" s="621">
        <f>Exposition!A34</f>
        <v>45602</v>
      </c>
      <c r="M33" s="625">
        <f>Exposition!B34</f>
        <v>0.9373510038</v>
      </c>
      <c r="N33" s="625">
        <f>Exposition!C34</f>
        <v>0.4948910199</v>
      </c>
      <c r="O33" s="625">
        <f>Exposition!D34</f>
        <v>0.1674919562</v>
      </c>
      <c r="P33" s="625">
        <f>Exposition!E34</f>
        <v>0.05792078905</v>
      </c>
      <c r="Q33" s="625">
        <f>Exposition!F34</f>
        <v>0.05439791503</v>
      </c>
      <c r="R33" s="625">
        <f>Exposition!G34</f>
        <v>0.0691794391</v>
      </c>
      <c r="S33" s="625">
        <f>Exposition!H34</f>
        <v>0.02147509886</v>
      </c>
      <c r="T33" s="625">
        <f>Exposition!I34</f>
        <v>0.02672542784</v>
      </c>
      <c r="U33" s="625">
        <f>Exposition!J34</f>
        <v>0.01186148442</v>
      </c>
      <c r="V33" s="625">
        <f>Exposition!K34</f>
        <v>0.01940569596</v>
      </c>
      <c r="W33" s="625">
        <f>Exposition!L34</f>
        <v>0.005977208163</v>
      </c>
      <c r="X33" s="625">
        <f>Exposition!M34</f>
        <v>0.008024969298</v>
      </c>
      <c r="Y33" s="625">
        <f>Exposition!N34</f>
        <v>0</v>
      </c>
      <c r="Z33" s="625">
        <f>Exposition!O34</f>
        <v>0</v>
      </c>
      <c r="AA33" s="625">
        <f>Exposition!P34</f>
        <v>0</v>
      </c>
      <c r="AB33" s="625">
        <f>Exposition!Q34</f>
        <v>0</v>
      </c>
      <c r="AC33" s="625">
        <f>Exposition!R34</f>
        <v>0</v>
      </c>
      <c r="AD33" s="625">
        <f>Exposition!S34</f>
        <v>0</v>
      </c>
      <c r="AE33" s="625">
        <f>Exposition!T34</f>
        <v>0</v>
      </c>
      <c r="AF33" s="625">
        <f>Exposition!U34</f>
        <v>0.06264899615</v>
      </c>
      <c r="AG33" s="623"/>
      <c r="AH33" s="621">
        <f>PRIX!A34</f>
        <v>45602</v>
      </c>
      <c r="AI33" s="626">
        <f>PRIX!B34</f>
        <v>76000</v>
      </c>
      <c r="AJ33" s="626">
        <f>PRIX!C34</f>
        <v>2700</v>
      </c>
      <c r="AK33" s="627">
        <f>PRIX!D34</f>
        <v>4.755</v>
      </c>
      <c r="AL33" s="626">
        <f>PRIX!E34</f>
        <v>189</v>
      </c>
      <c r="AM33" s="626">
        <f>PRIX!F34</f>
        <v>525</v>
      </c>
      <c r="AN33" s="627">
        <f>PRIX!G34</f>
        <v>1.385</v>
      </c>
      <c r="AO33" s="627">
        <f>PRIX!H34</f>
        <v>12.07</v>
      </c>
      <c r="AP33" s="631">
        <f>PRIX!I34</f>
        <v>0.1948</v>
      </c>
      <c r="AQ33" s="628">
        <f>PRIX!J34</f>
        <v>0.000019</v>
      </c>
      <c r="AR33" s="631">
        <f>PRIX!K34</f>
        <v>1.77</v>
      </c>
      <c r="AS33" s="631">
        <f>PRIX!L34</f>
        <v>1.035</v>
      </c>
      <c r="AT33" s="631">
        <f>PRIX!M34</f>
        <v>170</v>
      </c>
      <c r="AU33" s="629">
        <f>PRIX!N34</f>
        <v>0.01314</v>
      </c>
      <c r="AV33" s="631">
        <f>PRIX!O34</f>
        <v>5.09</v>
      </c>
      <c r="AW33" s="631">
        <f>PRIX!P34</f>
        <v>0.009774</v>
      </c>
      <c r="AX33" s="630">
        <f>PRIX!Q34</f>
        <v>0.0000178</v>
      </c>
      <c r="AY33" s="631">
        <f>PRIX!R34</f>
        <v>3.35</v>
      </c>
      <c r="AZ33" s="631">
        <f>PRIX!S34</f>
        <v>6.35</v>
      </c>
      <c r="BA33" s="623"/>
    </row>
    <row r="34">
      <c r="A34" s="621">
        <f>ARBITRAGES!E35</f>
        <v>45606</v>
      </c>
      <c r="B34" s="623" t="str">
        <f>IF(A34="","",IF(ARBITRAGES!F35="Invest","Achat","Vente"))</f>
        <v>Vente</v>
      </c>
      <c r="C34" s="623" t="str">
        <f>ARBITRAGES!H35</f>
        <v>SHIB</v>
      </c>
      <c r="D34" s="630">
        <f>ARBITRAGES!I35</f>
        <v>0.0000247</v>
      </c>
      <c r="E34" s="624">
        <f>ARBITRAGES!J35</f>
        <v>274.8457322</v>
      </c>
      <c r="F34" s="623"/>
      <c r="G34" s="621">
        <f>'PV (%)'!B36</f>
        <v>45619</v>
      </c>
      <c r="H34" s="624">
        <f>'PV (%)'!E36</f>
        <v>55309.19863</v>
      </c>
      <c r="I34" s="624">
        <f>'PV (%)'!F36</f>
        <v>56216.25836</v>
      </c>
      <c r="J34" s="626">
        <f>'PV (%)'!G36</f>
        <v>58333.00437</v>
      </c>
      <c r="K34" s="623"/>
      <c r="L34" s="621">
        <f>Exposition!A35</f>
        <v>45606</v>
      </c>
      <c r="M34" s="625">
        <f>Exposition!B35</f>
        <v>0.9383845589</v>
      </c>
      <c r="N34" s="625">
        <f>Exposition!C35</f>
        <v>0.4728189905</v>
      </c>
      <c r="O34" s="625">
        <f>Exposition!D35</f>
        <v>0.1796166634</v>
      </c>
      <c r="P34" s="625">
        <f>Exposition!E35</f>
        <v>0.06005657338</v>
      </c>
      <c r="Q34" s="625">
        <f>Exposition!F35</f>
        <v>0.05547187191</v>
      </c>
      <c r="R34" s="625">
        <f>Exposition!G35</f>
        <v>0.06792028338</v>
      </c>
      <c r="S34" s="625">
        <f>Exposition!H35</f>
        <v>0.02307317701</v>
      </c>
      <c r="T34" s="625">
        <f>Exposition!I35</f>
        <v>0.02917753795</v>
      </c>
      <c r="U34" s="625">
        <f>Exposition!J35</f>
        <v>0.01555639141</v>
      </c>
      <c r="V34" s="625">
        <f>Exposition!K35</f>
        <v>0.01945167124</v>
      </c>
      <c r="W34" s="625">
        <f>Exposition!L35</f>
        <v>0.006205730154</v>
      </c>
      <c r="X34" s="625">
        <f>Exposition!M35</f>
        <v>0.009035668591</v>
      </c>
      <c r="Y34" s="625">
        <f>Exposition!N35</f>
        <v>0</v>
      </c>
      <c r="Z34" s="625">
        <f>Exposition!O35</f>
        <v>0</v>
      </c>
      <c r="AA34" s="625">
        <f>Exposition!P35</f>
        <v>0</v>
      </c>
      <c r="AB34" s="625">
        <f>Exposition!Q35</f>
        <v>0</v>
      </c>
      <c r="AC34" s="625">
        <f>Exposition!R35</f>
        <v>0</v>
      </c>
      <c r="AD34" s="625">
        <f>Exposition!S35</f>
        <v>0</v>
      </c>
      <c r="AE34" s="625">
        <f>Exposition!T35</f>
        <v>0</v>
      </c>
      <c r="AF34" s="625">
        <f>Exposition!U35</f>
        <v>0.06161544106</v>
      </c>
      <c r="AG34" s="623"/>
      <c r="AH34" s="621">
        <f>PRIX!A35</f>
        <v>45606</v>
      </c>
      <c r="AI34" s="626">
        <f>PRIX!B35</f>
        <v>81000</v>
      </c>
      <c r="AJ34" s="626">
        <f>PRIX!C35</f>
        <v>3230</v>
      </c>
      <c r="AK34" s="627">
        <f>PRIX!D35</f>
        <v>5.5</v>
      </c>
      <c r="AL34" s="626">
        <f>PRIX!E35</f>
        <v>215</v>
      </c>
      <c r="AM34" s="626">
        <f>PRIX!F35</f>
        <v>575</v>
      </c>
      <c r="AN34" s="627">
        <f>PRIX!G35</f>
        <v>1.66</v>
      </c>
      <c r="AO34" s="627">
        <f>PRIX!H35</f>
        <v>14.7</v>
      </c>
      <c r="AP34" s="631">
        <f>PRIX!I35</f>
        <v>0.285</v>
      </c>
      <c r="AQ34" s="628">
        <f>PRIX!J35</f>
        <v>0.000028</v>
      </c>
      <c r="AR34" s="631">
        <f>PRIX!K35</f>
        <v>2.05</v>
      </c>
      <c r="AS34" s="631">
        <f>PRIX!L35</f>
        <v>1.3</v>
      </c>
      <c r="AT34" s="631">
        <f>PRIX!M35</f>
        <v>193.4</v>
      </c>
      <c r="AU34" s="629">
        <f>PRIX!N35</f>
        <v>0.0152</v>
      </c>
      <c r="AV34" s="631">
        <f>PRIX!O35</f>
        <v>5.65</v>
      </c>
      <c r="AW34" s="631">
        <f>PRIX!P35</f>
        <v>0.009774</v>
      </c>
      <c r="AX34" s="630">
        <f>PRIX!Q35</f>
        <v>0.0000178</v>
      </c>
      <c r="AY34" s="631">
        <f>PRIX!R35</f>
        <v>3.35</v>
      </c>
      <c r="AZ34" s="631">
        <f>PRIX!S35</f>
        <v>6.35</v>
      </c>
      <c r="BA34" s="623"/>
    </row>
    <row r="35">
      <c r="A35" s="621">
        <f>ARBITRAGES!E36</f>
        <v>45576</v>
      </c>
      <c r="B35" s="623" t="str">
        <f>IF(A35="","",IF(ARBITRAGES!F36="Invest","Achat","Vente"))</f>
        <v>Vente</v>
      </c>
      <c r="C35" s="623" t="str">
        <f>ARBITRAGES!H36</f>
        <v>DOGE</v>
      </c>
      <c r="D35" s="624">
        <f>ARBITRAGES!I36</f>
        <v>0.35</v>
      </c>
      <c r="E35" s="624">
        <f>ARBITRAGES!J36</f>
        <v>350</v>
      </c>
      <c r="F35" s="623"/>
      <c r="G35" s="621">
        <f>'PV (%)'!B37</f>
        <v>45622</v>
      </c>
      <c r="H35" s="624">
        <f>'PV (%)'!E37</f>
        <v>52930.30837</v>
      </c>
      <c r="I35" s="624">
        <f>'PV (%)'!F37</f>
        <v>52780.58917</v>
      </c>
      <c r="J35" s="626">
        <f>'PV (%)'!G37</f>
        <v>58333.00437</v>
      </c>
      <c r="K35" s="623"/>
      <c r="L35" s="621">
        <f>Exposition!A36</f>
        <v>45576</v>
      </c>
      <c r="M35" s="625">
        <f>Exposition!B36</f>
        <v>0.9346643385</v>
      </c>
      <c r="N35" s="625">
        <f>Exposition!C36</f>
        <v>0.4839416026</v>
      </c>
      <c r="O35" s="625">
        <f>Exposition!D36</f>
        <v>0.1775222209</v>
      </c>
      <c r="P35" s="625">
        <f>Exposition!E36</f>
        <v>0.05723008125</v>
      </c>
      <c r="Q35" s="625">
        <f>Exposition!F36</f>
        <v>0.05409048252</v>
      </c>
      <c r="R35" s="625">
        <f>Exposition!G36</f>
        <v>0.06866339814</v>
      </c>
      <c r="S35" s="625">
        <f>Exposition!H36</f>
        <v>0.0211925446</v>
      </c>
      <c r="T35" s="625">
        <f>Exposition!I36</f>
        <v>0.02770975882</v>
      </c>
      <c r="U35" s="625">
        <f>Exposition!J36</f>
        <v>0.01158513807</v>
      </c>
      <c r="V35" s="625">
        <f>Exposition!K36</f>
        <v>0.01853620117</v>
      </c>
      <c r="W35" s="625">
        <f>Exposition!L36</f>
        <v>0.005913664748</v>
      </c>
      <c r="X35" s="625">
        <f>Exposition!M36</f>
        <v>0.008279245629</v>
      </c>
      <c r="Y35" s="625">
        <f>Exposition!N36</f>
        <v>0</v>
      </c>
      <c r="Z35" s="625">
        <f>Exposition!O36</f>
        <v>0</v>
      </c>
      <c r="AA35" s="625">
        <f>Exposition!P36</f>
        <v>0</v>
      </c>
      <c r="AB35" s="625">
        <f>Exposition!Q36</f>
        <v>0</v>
      </c>
      <c r="AC35" s="625">
        <f>Exposition!R36</f>
        <v>0</v>
      </c>
      <c r="AD35" s="625">
        <f>Exposition!S36</f>
        <v>0</v>
      </c>
      <c r="AE35" s="625">
        <f>Exposition!T36</f>
        <v>0</v>
      </c>
      <c r="AF35" s="625">
        <f>Exposition!U36</f>
        <v>0.06533566154</v>
      </c>
      <c r="AG35" s="623"/>
      <c r="AH35" s="621">
        <f>PRIX!A36</f>
        <v>45576</v>
      </c>
      <c r="AI35" s="626">
        <f>PRIX!B36</f>
        <v>87000</v>
      </c>
      <c r="AJ35" s="626">
        <f>PRIX!C36</f>
        <v>3350</v>
      </c>
      <c r="AK35" s="627">
        <f>PRIX!D36</f>
        <v>5.5</v>
      </c>
      <c r="AL35" s="626">
        <f>PRIX!E36</f>
        <v>220</v>
      </c>
      <c r="AM35" s="626">
        <f>PRIX!F36</f>
        <v>610</v>
      </c>
      <c r="AN35" s="627">
        <f>PRIX!G36</f>
        <v>1.6</v>
      </c>
      <c r="AO35" s="627">
        <f>PRIX!H36</f>
        <v>14.65</v>
      </c>
      <c r="AP35" s="631">
        <f>PRIX!I36</f>
        <v>0.35</v>
      </c>
      <c r="AQ35" s="628">
        <f>PRIX!J36</f>
        <v>0.000028</v>
      </c>
      <c r="AR35" s="631">
        <f>PRIX!K36</f>
        <v>2.05</v>
      </c>
      <c r="AS35" s="631">
        <f>PRIX!L36</f>
        <v>1.25</v>
      </c>
      <c r="AT35" s="631">
        <f>PRIX!M36</f>
        <v>188</v>
      </c>
      <c r="AU35" s="629">
        <f>PRIX!N36</f>
        <v>0.015</v>
      </c>
      <c r="AV35" s="631">
        <f>PRIX!O36</f>
        <v>5.8</v>
      </c>
      <c r="AW35" s="631">
        <f>PRIX!P36</f>
        <v>0.009774</v>
      </c>
      <c r="AX35" s="630">
        <f>PRIX!Q36</f>
        <v>0.0000178</v>
      </c>
      <c r="AY35" s="631">
        <f>PRIX!R36</f>
        <v>3.35</v>
      </c>
      <c r="AZ35" s="631">
        <f>PRIX!S36</f>
        <v>6.35</v>
      </c>
      <c r="BA35" s="623"/>
    </row>
    <row r="36">
      <c r="A36" s="621">
        <f>ARBITRAGES!E37</f>
        <v>45608</v>
      </c>
      <c r="B36" s="623" t="str">
        <f>IF(A36="","",IF(ARBITRAGES!F37="Invest","Achat","Vente"))</f>
        <v>Vente</v>
      </c>
      <c r="C36" s="623" t="str">
        <f>ARBITRAGES!H37</f>
        <v>BTC</v>
      </c>
      <c r="D36" s="624">
        <f>ARBITRAGES!I37</f>
        <v>89500</v>
      </c>
      <c r="E36" s="624">
        <f>ARBITRAGES!J37</f>
        <v>1261.20446</v>
      </c>
      <c r="F36" s="623"/>
      <c r="G36" s="621">
        <f>'PV (%)'!B38</f>
        <v>45630</v>
      </c>
      <c r="H36" s="624">
        <f>'PV (%)'!E38</f>
        <v>54714.47607</v>
      </c>
      <c r="I36" s="624">
        <f>'PV (%)'!F38</f>
        <v>58525.64165</v>
      </c>
      <c r="J36" s="626">
        <f>'PV (%)'!G38</f>
        <v>55137.78634</v>
      </c>
      <c r="K36" s="623"/>
      <c r="L36" s="621">
        <f>Exposition!A37</f>
        <v>45608</v>
      </c>
      <c r="M36" s="625">
        <f>Exposition!B37</f>
        <v>0.9130126812</v>
      </c>
      <c r="N36" s="625">
        <f>Exposition!C37</f>
        <v>0.4658987899</v>
      </c>
      <c r="O36" s="625">
        <f>Exposition!D37</f>
        <v>0.1757207596</v>
      </c>
      <c r="P36" s="625">
        <f>Exposition!E37</f>
        <v>0.05632366355</v>
      </c>
      <c r="Q36" s="625">
        <f>Exposition!F37</f>
        <v>0.05395316576</v>
      </c>
      <c r="R36" s="625">
        <f>Exposition!G37</f>
        <v>0.06641819546</v>
      </c>
      <c r="S36" s="625">
        <f>Exposition!H37</f>
        <v>0.0207981755</v>
      </c>
      <c r="T36" s="625">
        <f>Exposition!I37</f>
        <v>0.02767085761</v>
      </c>
      <c r="U36" s="625">
        <f>Exposition!J37</f>
        <v>0.01342958956</v>
      </c>
      <c r="V36" s="625">
        <f>Exposition!K37</f>
        <v>0.0189821881</v>
      </c>
      <c r="W36" s="625">
        <f>Exposition!L37</f>
        <v>0.005936377824</v>
      </c>
      <c r="X36" s="625">
        <f>Exposition!M37</f>
        <v>0.007880918288</v>
      </c>
      <c r="Y36" s="625">
        <f>Exposition!N37</f>
        <v>0</v>
      </c>
      <c r="Z36" s="625">
        <f>Exposition!O37</f>
        <v>0</v>
      </c>
      <c r="AA36" s="625">
        <f>Exposition!P37</f>
        <v>0</v>
      </c>
      <c r="AB36" s="625">
        <f>Exposition!Q37</f>
        <v>0</v>
      </c>
      <c r="AC36" s="625">
        <f>Exposition!R37</f>
        <v>0</v>
      </c>
      <c r="AD36" s="625">
        <f>Exposition!S37</f>
        <v>0</v>
      </c>
      <c r="AE36" s="625">
        <f>Exposition!T37</f>
        <v>0</v>
      </c>
      <c r="AF36" s="625">
        <f>Exposition!U37</f>
        <v>0.08698731885</v>
      </c>
      <c r="AG36" s="623"/>
      <c r="AH36" s="621">
        <f>PRIX!A37</f>
        <v>45608</v>
      </c>
      <c r="AI36" s="626">
        <f>PRIX!B37</f>
        <v>90200</v>
      </c>
      <c r="AJ36" s="626">
        <f>PRIX!C37</f>
        <v>3400</v>
      </c>
      <c r="AK36" s="627">
        <f>PRIX!D37</f>
        <v>5.55</v>
      </c>
      <c r="AL36" s="626">
        <f>PRIX!E37</f>
        <v>225</v>
      </c>
      <c r="AM36" s="626">
        <f>PRIX!F37</f>
        <v>605</v>
      </c>
      <c r="AN36" s="627">
        <f>PRIX!G37</f>
        <v>1.61</v>
      </c>
      <c r="AO36" s="627">
        <f>PRIX!H37</f>
        <v>15</v>
      </c>
      <c r="AP36" s="631">
        <f>PRIX!I37</f>
        <v>0.416</v>
      </c>
      <c r="AQ36" s="628">
        <f>PRIX!J37</f>
        <v>0.0000294</v>
      </c>
      <c r="AR36" s="631">
        <f>PRIX!K37</f>
        <v>2.11</v>
      </c>
      <c r="AS36" s="631">
        <f>PRIX!L37</f>
        <v>1.22</v>
      </c>
      <c r="AT36" s="631">
        <f>PRIX!M37</f>
        <v>195</v>
      </c>
      <c r="AU36" s="629">
        <f>PRIX!N37</f>
        <v>0.015</v>
      </c>
      <c r="AV36" s="631">
        <f>PRIX!O37</f>
        <v>5.9</v>
      </c>
      <c r="AW36" s="631">
        <f>PRIX!P37</f>
        <v>0.009774</v>
      </c>
      <c r="AX36" s="630">
        <f>PRIX!Q37</f>
        <v>0.0000178</v>
      </c>
      <c r="AY36" s="631">
        <f>PRIX!R37</f>
        <v>3.35</v>
      </c>
      <c r="AZ36" s="631">
        <f>PRIX!S37</f>
        <v>6.35</v>
      </c>
      <c r="BA36" s="623"/>
    </row>
    <row r="37">
      <c r="A37" s="633">
        <f>ARBITRAGES!E38</f>
        <v>45609</v>
      </c>
      <c r="B37" s="623" t="str">
        <f>IF(A37="","",IF(ARBITRAGES!F38="Invest","Achat","Vente"))</f>
        <v>Achat</v>
      </c>
      <c r="C37" s="623" t="str">
        <f>ARBITRAGES!H38</f>
        <v>CKB</v>
      </c>
      <c r="D37" s="634">
        <f>ARBITRAGES!I38</f>
        <v>0.0125</v>
      </c>
      <c r="E37" s="624">
        <f>ARBITRAGES!J38</f>
        <v>750</v>
      </c>
      <c r="F37" s="623"/>
      <c r="G37" s="621">
        <f>'PV (%)'!B39</f>
        <v>45636</v>
      </c>
      <c r="H37" s="624">
        <f>'PV (%)'!E39</f>
        <v>53525.03094</v>
      </c>
      <c r="I37" s="624">
        <f>'PV (%)'!F39</f>
        <v>57307.05443</v>
      </c>
      <c r="J37" s="626">
        <f>'PV (%)'!G39</f>
        <v>61473.7625</v>
      </c>
      <c r="K37" s="623"/>
      <c r="L37" s="621">
        <f>Exposition!A38</f>
        <v>45609</v>
      </c>
      <c r="M37" s="625">
        <f>Exposition!B38</f>
        <v>0.9228736595</v>
      </c>
      <c r="N37" s="625">
        <f>Exposition!C38</f>
        <v>0.4765080827</v>
      </c>
      <c r="O37" s="625">
        <f>Exposition!D38</f>
        <v>0.1727350981</v>
      </c>
      <c r="P37" s="625">
        <f>Exposition!E38</f>
        <v>0.05585288222</v>
      </c>
      <c r="Q37" s="625">
        <f>Exposition!F38</f>
        <v>0.05258657951</v>
      </c>
      <c r="R37" s="625">
        <f>Exposition!G38</f>
        <v>0.06250325443</v>
      </c>
      <c r="S37" s="625">
        <f>Exposition!H38</f>
        <v>0.0196127742</v>
      </c>
      <c r="T37" s="625">
        <f>Exposition!I38</f>
        <v>0.02596508807</v>
      </c>
      <c r="U37" s="625">
        <f>Exposition!J38</f>
        <v>0.01293392028</v>
      </c>
      <c r="V37" s="625">
        <f>Exposition!K38</f>
        <v>0.01640563929</v>
      </c>
      <c r="W37" s="625">
        <f>Exposition!L38</f>
        <v>0.005458006839</v>
      </c>
      <c r="X37" s="625">
        <f>Exposition!M38</f>
        <v>0.007491811694</v>
      </c>
      <c r="Y37" s="625">
        <f>Exposition!N38</f>
        <v>0</v>
      </c>
      <c r="Z37" s="625">
        <f>Exposition!O38</f>
        <v>0.01482052218</v>
      </c>
      <c r="AA37" s="625">
        <f>Exposition!P38</f>
        <v>0</v>
      </c>
      <c r="AB37" s="625">
        <f>Exposition!Q38</f>
        <v>0</v>
      </c>
      <c r="AC37" s="625">
        <f>Exposition!R38</f>
        <v>0</v>
      </c>
      <c r="AD37" s="625">
        <f>Exposition!S38</f>
        <v>0</v>
      </c>
      <c r="AE37" s="625">
        <f>Exposition!T38</f>
        <v>0</v>
      </c>
      <c r="AF37" s="625">
        <f>Exposition!U38</f>
        <v>0.0771263405</v>
      </c>
      <c r="AG37" s="623"/>
      <c r="AH37" s="621">
        <f>PRIX!A38</f>
        <v>45609</v>
      </c>
      <c r="AI37" s="626">
        <f>PRIX!B38</f>
        <v>87500</v>
      </c>
      <c r="AJ37" s="626">
        <f>PRIX!C38</f>
        <v>3170</v>
      </c>
      <c r="AK37" s="627">
        <f>PRIX!D38</f>
        <v>5.22</v>
      </c>
      <c r="AL37" s="626">
        <f>PRIX!E38</f>
        <v>208</v>
      </c>
      <c r="AM37" s="626">
        <f>PRIX!F38</f>
        <v>540</v>
      </c>
      <c r="AN37" s="627">
        <f>PRIX!G38</f>
        <v>1.44</v>
      </c>
      <c r="AO37" s="627">
        <f>PRIX!H38</f>
        <v>13.35</v>
      </c>
      <c r="AP37" s="631">
        <f>PRIX!I38</f>
        <v>0.38</v>
      </c>
      <c r="AQ37" s="628">
        <f>PRIX!J38</f>
        <v>0.0000241</v>
      </c>
      <c r="AR37" s="631">
        <f>PRIX!K38</f>
        <v>1.84</v>
      </c>
      <c r="AS37" s="631">
        <f>PRIX!L38</f>
        <v>1.1</v>
      </c>
      <c r="AT37" s="631">
        <f>PRIX!M38</f>
        <v>170</v>
      </c>
      <c r="AU37" s="629">
        <f>PRIX!N38</f>
        <v>0.0127</v>
      </c>
      <c r="AV37" s="631">
        <f>PRIX!O38</f>
        <v>5.2</v>
      </c>
      <c r="AW37" s="631">
        <f>PRIX!P38</f>
        <v>0.009774</v>
      </c>
      <c r="AX37" s="630">
        <f>PRIX!Q38</f>
        <v>0.0000178</v>
      </c>
      <c r="AY37" s="631">
        <f>PRIX!R38</f>
        <v>3.35</v>
      </c>
      <c r="AZ37" s="631">
        <f>PRIX!S38</f>
        <v>6.35</v>
      </c>
      <c r="BA37" s="623"/>
    </row>
    <row r="38">
      <c r="A38" s="621">
        <f>ARBITRAGES!E39</f>
        <v>45609</v>
      </c>
      <c r="B38" s="623" t="str">
        <f>IF(A38="","",IF(ARBITRAGES!F39="Invest","Achat","Vente"))</f>
        <v>Achat</v>
      </c>
      <c r="C38" s="623" t="str">
        <f>ARBITRAGES!H39</f>
        <v>AAVE</v>
      </c>
      <c r="D38" s="624">
        <f>ARBITRAGES!I39</f>
        <v>170</v>
      </c>
      <c r="E38" s="624">
        <f>ARBITRAGES!J39</f>
        <v>569.5</v>
      </c>
      <c r="F38" s="623"/>
      <c r="G38" s="621">
        <f>'PV (%)'!B40</f>
        <v>45644</v>
      </c>
      <c r="H38" s="624">
        <f>'PV (%)'!E40</f>
        <v>54714.47607</v>
      </c>
      <c r="I38" s="624">
        <f>'PV (%)'!F40</f>
        <v>54045.76164</v>
      </c>
      <c r="J38" s="626">
        <f>'PV (%)'!G40</f>
        <v>60076.06217</v>
      </c>
      <c r="K38" s="623"/>
      <c r="L38" s="621">
        <f>Exposition!A39</f>
        <v>45609</v>
      </c>
      <c r="M38" s="625">
        <f>Exposition!B39</f>
        <v>0.9339501521</v>
      </c>
      <c r="N38" s="625">
        <f>Exposition!C39</f>
        <v>0.4765080827</v>
      </c>
      <c r="O38" s="625">
        <f>Exposition!D39</f>
        <v>0.1727350981</v>
      </c>
      <c r="P38" s="625">
        <f>Exposition!E39</f>
        <v>0.05585288222</v>
      </c>
      <c r="Q38" s="625">
        <f>Exposition!F39</f>
        <v>0.05258657951</v>
      </c>
      <c r="R38" s="625">
        <f>Exposition!G39</f>
        <v>0.06250325443</v>
      </c>
      <c r="S38" s="625">
        <f>Exposition!H39</f>
        <v>0.0196127742</v>
      </c>
      <c r="T38" s="625">
        <f>Exposition!I39</f>
        <v>0.02596508807</v>
      </c>
      <c r="U38" s="625">
        <f>Exposition!J39</f>
        <v>0.01293392028</v>
      </c>
      <c r="V38" s="625">
        <f>Exposition!K39</f>
        <v>0.01640563929</v>
      </c>
      <c r="W38" s="625">
        <f>Exposition!L39</f>
        <v>0.005458006839</v>
      </c>
      <c r="X38" s="625">
        <f>Exposition!M39</f>
        <v>0.007491811694</v>
      </c>
      <c r="Y38" s="625">
        <f>Exposition!N39</f>
        <v>0.01107649263</v>
      </c>
      <c r="Z38" s="625">
        <f>Exposition!O39</f>
        <v>0.01482052218</v>
      </c>
      <c r="AA38" s="625">
        <f>Exposition!P39</f>
        <v>0</v>
      </c>
      <c r="AB38" s="625">
        <f>Exposition!Q39</f>
        <v>0</v>
      </c>
      <c r="AC38" s="625">
        <f>Exposition!R39</f>
        <v>0</v>
      </c>
      <c r="AD38" s="625">
        <f>Exposition!S39</f>
        <v>0</v>
      </c>
      <c r="AE38" s="625">
        <f>Exposition!T39</f>
        <v>0</v>
      </c>
      <c r="AF38" s="625">
        <f>Exposition!U39</f>
        <v>0.06604984787</v>
      </c>
      <c r="AG38" s="623"/>
      <c r="AH38" s="621">
        <f>PRIX!A39</f>
        <v>45609</v>
      </c>
      <c r="AI38" s="626">
        <f>PRIX!B39</f>
        <v>87500</v>
      </c>
      <c r="AJ38" s="626">
        <f>PRIX!C39</f>
        <v>3170</v>
      </c>
      <c r="AK38" s="627">
        <f>PRIX!D39</f>
        <v>5.22</v>
      </c>
      <c r="AL38" s="626">
        <f>PRIX!E39</f>
        <v>208</v>
      </c>
      <c r="AM38" s="626">
        <f>PRIX!F39</f>
        <v>540</v>
      </c>
      <c r="AN38" s="627">
        <f>PRIX!G39</f>
        <v>1.44</v>
      </c>
      <c r="AO38" s="627">
        <f>PRIX!H39</f>
        <v>13.35</v>
      </c>
      <c r="AP38" s="631">
        <f>PRIX!I39</f>
        <v>0.38</v>
      </c>
      <c r="AQ38" s="628">
        <f>PRIX!J39</f>
        <v>0.0000241</v>
      </c>
      <c r="AR38" s="631">
        <f>PRIX!K39</f>
        <v>1.84</v>
      </c>
      <c r="AS38" s="631">
        <f>PRIX!L39</f>
        <v>1.1</v>
      </c>
      <c r="AT38" s="631">
        <f>PRIX!M39</f>
        <v>170</v>
      </c>
      <c r="AU38" s="629">
        <f>PRIX!N39</f>
        <v>0.0127</v>
      </c>
      <c r="AV38" s="631">
        <f>PRIX!O39</f>
        <v>5.2</v>
      </c>
      <c r="AW38" s="631">
        <f>PRIX!P39</f>
        <v>0.009774</v>
      </c>
      <c r="AX38" s="630">
        <f>PRIX!Q39</f>
        <v>0.0000178</v>
      </c>
      <c r="AY38" s="631">
        <f>PRIX!R39</f>
        <v>3.35</v>
      </c>
      <c r="AZ38" s="631">
        <f>PRIX!S39</f>
        <v>6.35</v>
      </c>
      <c r="BA38" s="623"/>
    </row>
    <row r="39">
      <c r="A39" s="621">
        <f>ARBITRAGES!E40</f>
        <v>45609</v>
      </c>
      <c r="B39" s="623" t="str">
        <f>IF(A39="","",IF(ARBITRAGES!F40="Invest","Achat","Vente"))</f>
        <v>Achat</v>
      </c>
      <c r="C39" s="623" t="str">
        <f>ARBITRAGES!H40</f>
        <v>JUP</v>
      </c>
      <c r="D39" s="624">
        <f>ARBITRAGES!I40</f>
        <v>1.1</v>
      </c>
      <c r="E39" s="624">
        <f>ARBITRAGES!J40</f>
        <v>500.5</v>
      </c>
      <c r="F39" s="623"/>
      <c r="G39" s="621">
        <f>'PV (%)'!B41</f>
        <v>45646</v>
      </c>
      <c r="H39" s="624">
        <f>'PV (%)'!E41</f>
        <v>55903.9212</v>
      </c>
      <c r="I39" s="624">
        <f>'PV (%)'!F41</f>
        <v>51484.63271</v>
      </c>
      <c r="J39" s="626">
        <f>'PV (%)'!G41</f>
        <v>56800.4764</v>
      </c>
      <c r="K39" s="623"/>
      <c r="L39" s="621">
        <f>Exposition!A40</f>
        <v>45609</v>
      </c>
      <c r="M39" s="625">
        <f>Exposition!B40</f>
        <v>0.943684629</v>
      </c>
      <c r="N39" s="625">
        <f>Exposition!C40</f>
        <v>0.4765080827</v>
      </c>
      <c r="O39" s="625">
        <f>Exposition!D40</f>
        <v>0.1727350981</v>
      </c>
      <c r="P39" s="625">
        <f>Exposition!E40</f>
        <v>0.05585288222</v>
      </c>
      <c r="Q39" s="625">
        <f>Exposition!F40</f>
        <v>0.05258657951</v>
      </c>
      <c r="R39" s="625">
        <f>Exposition!G40</f>
        <v>0.06250325443</v>
      </c>
      <c r="S39" s="625">
        <f>Exposition!H40</f>
        <v>0.0196127742</v>
      </c>
      <c r="T39" s="625">
        <f>Exposition!I40</f>
        <v>0.02596508807</v>
      </c>
      <c r="U39" s="625">
        <f>Exposition!J40</f>
        <v>0.01293392028</v>
      </c>
      <c r="V39" s="625">
        <f>Exposition!K40</f>
        <v>0.01640563929</v>
      </c>
      <c r="W39" s="625">
        <f>Exposition!L40</f>
        <v>0.005458006839</v>
      </c>
      <c r="X39" s="625">
        <f>Exposition!M40</f>
        <v>0.01722628853</v>
      </c>
      <c r="Y39" s="625">
        <f>Exposition!N40</f>
        <v>0.01107649263</v>
      </c>
      <c r="Z39" s="625">
        <f>Exposition!O40</f>
        <v>0.01482052218</v>
      </c>
      <c r="AA39" s="625">
        <f>Exposition!P40</f>
        <v>0</v>
      </c>
      <c r="AB39" s="625">
        <f>Exposition!Q40</f>
        <v>0</v>
      </c>
      <c r="AC39" s="625">
        <f>Exposition!R40</f>
        <v>0</v>
      </c>
      <c r="AD39" s="625">
        <f>Exposition!S40</f>
        <v>0</v>
      </c>
      <c r="AE39" s="625">
        <f>Exposition!T40</f>
        <v>0</v>
      </c>
      <c r="AF39" s="625">
        <f>Exposition!U40</f>
        <v>0.05631537103</v>
      </c>
      <c r="AG39" s="623"/>
      <c r="AH39" s="621">
        <f>PRIX!A40</f>
        <v>45609</v>
      </c>
      <c r="AI39" s="626">
        <f>PRIX!B40</f>
        <v>87500</v>
      </c>
      <c r="AJ39" s="626">
        <f>PRIX!C40</f>
        <v>3170</v>
      </c>
      <c r="AK39" s="627">
        <f>PRIX!D40</f>
        <v>5.22</v>
      </c>
      <c r="AL39" s="626">
        <f>PRIX!E40</f>
        <v>208</v>
      </c>
      <c r="AM39" s="626">
        <f>PRIX!F40</f>
        <v>540</v>
      </c>
      <c r="AN39" s="627">
        <f>PRIX!G40</f>
        <v>1.44</v>
      </c>
      <c r="AO39" s="627">
        <f>PRIX!H40</f>
        <v>13.35</v>
      </c>
      <c r="AP39" s="631">
        <f>PRIX!I40</f>
        <v>0.38</v>
      </c>
      <c r="AQ39" s="628">
        <f>PRIX!J40</f>
        <v>0.0000241</v>
      </c>
      <c r="AR39" s="631">
        <f>PRIX!K40</f>
        <v>1.84</v>
      </c>
      <c r="AS39" s="631">
        <f>PRIX!L40</f>
        <v>1.1</v>
      </c>
      <c r="AT39" s="631">
        <f>PRIX!M40</f>
        <v>170</v>
      </c>
      <c r="AU39" s="629">
        <f>PRIX!N40</f>
        <v>0.0127</v>
      </c>
      <c r="AV39" s="631">
        <f>PRIX!O40</f>
        <v>5.2</v>
      </c>
      <c r="AW39" s="631">
        <f>PRIX!P40</f>
        <v>0.009774</v>
      </c>
      <c r="AX39" s="630">
        <f>PRIX!Q40</f>
        <v>0.0000178</v>
      </c>
      <c r="AY39" s="631">
        <f>PRIX!R40</f>
        <v>3.35</v>
      </c>
      <c r="AZ39" s="631">
        <f>PRIX!S40</f>
        <v>6.35</v>
      </c>
      <c r="BA39" s="623"/>
    </row>
    <row r="40">
      <c r="A40" s="621">
        <f>ARBITRAGES!E41</f>
        <v>45610</v>
      </c>
      <c r="B40" s="623" t="str">
        <f>IF(A40="","",IF(ARBITRAGES!F41="Invest","Achat","Vente"))</f>
        <v>Achat</v>
      </c>
      <c r="C40" s="623" t="str">
        <f>ARBITRAGES!H41</f>
        <v>BTC</v>
      </c>
      <c r="D40" s="624">
        <f>ARBITRAGES!I41</f>
        <v>88000</v>
      </c>
      <c r="E40" s="624">
        <f>ARBITRAGES!J41</f>
        <v>1320</v>
      </c>
      <c r="F40" s="623"/>
      <c r="G40" s="621">
        <f>'PV (%)'!B42</f>
        <v>45658</v>
      </c>
      <c r="H40" s="624">
        <f>'PV (%)'!E42</f>
        <v>52930.30837</v>
      </c>
      <c r="I40" s="624">
        <f>'PV (%)'!F42</f>
        <v>50770.60228</v>
      </c>
      <c r="J40" s="626">
        <f>'PV (%)'!G42</f>
        <v>54086.40919</v>
      </c>
      <c r="K40" s="623"/>
      <c r="L40" s="621">
        <f>Exposition!A41</f>
        <v>45610</v>
      </c>
      <c r="M40" s="625">
        <f>Exposition!B41</f>
        <v>0.970567419</v>
      </c>
      <c r="N40" s="625">
        <f>Exposition!C41</f>
        <v>0.5120383462</v>
      </c>
      <c r="O40" s="625">
        <f>Exposition!D41</f>
        <v>0.1638890161</v>
      </c>
      <c r="P40" s="625">
        <f>Exposition!E41</f>
        <v>0.05668427868</v>
      </c>
      <c r="Q40" s="625">
        <f>Exposition!F41</f>
        <v>0.05913949506</v>
      </c>
      <c r="R40" s="625">
        <f>Exposition!G41</f>
        <v>0.05525242012</v>
      </c>
      <c r="S40" s="625">
        <f>Exposition!H41</f>
        <v>0.01893058684</v>
      </c>
      <c r="T40" s="625">
        <f>Exposition!I41</f>
        <v>0.02673616695</v>
      </c>
      <c r="U40" s="625">
        <f>Exposition!J41</f>
        <v>0.01331982079</v>
      </c>
      <c r="V40" s="625">
        <f>Exposition!K41</f>
        <v>0.01656842158</v>
      </c>
      <c r="W40" s="625">
        <f>Exposition!L41</f>
        <v>0.00543654731</v>
      </c>
      <c r="X40" s="625">
        <f>Exposition!M41</f>
        <v>0.01749699914</v>
      </c>
      <c r="Y40" s="625">
        <f>Exposition!N41</f>
        <v>0.0102612499</v>
      </c>
      <c r="Z40" s="625">
        <f>Exposition!O41</f>
        <v>0.01481407041</v>
      </c>
      <c r="AA40" s="625">
        <f>Exposition!P41</f>
        <v>0</v>
      </c>
      <c r="AB40" s="625">
        <f>Exposition!Q41</f>
        <v>0</v>
      </c>
      <c r="AC40" s="625">
        <f>Exposition!R41</f>
        <v>0</v>
      </c>
      <c r="AD40" s="625">
        <f>Exposition!S41</f>
        <v>0</v>
      </c>
      <c r="AE40" s="625">
        <f>Exposition!T41</f>
        <v>0</v>
      </c>
      <c r="AF40" s="625">
        <f>Exposition!U41</f>
        <v>0.02943258096</v>
      </c>
      <c r="AG40" s="623"/>
      <c r="AH40" s="621">
        <f>PRIX!A41</f>
        <v>45610</v>
      </c>
      <c r="AI40" s="626">
        <f>PRIX!B41</f>
        <v>93500</v>
      </c>
      <c r="AJ40" s="626">
        <f>PRIX!C41</f>
        <v>3150</v>
      </c>
      <c r="AK40" s="627">
        <f>PRIX!D41</f>
        <v>5.55</v>
      </c>
      <c r="AL40" s="626">
        <f>PRIX!E41</f>
        <v>245</v>
      </c>
      <c r="AM40" s="626">
        <f>PRIX!F41</f>
        <v>500</v>
      </c>
      <c r="AN40" s="627">
        <f>PRIX!G41</f>
        <v>1.45</v>
      </c>
      <c r="AO40" s="627">
        <f>PRIX!H41</f>
        <v>14.4</v>
      </c>
      <c r="AP40" s="631">
        <f>PRIX!I41</f>
        <v>0.41</v>
      </c>
      <c r="AQ40" s="628">
        <f>PRIX!J41</f>
        <v>0.0000255</v>
      </c>
      <c r="AR40" s="631">
        <f>PRIX!K41</f>
        <v>1.92</v>
      </c>
      <c r="AS40" s="631">
        <f>PRIX!L41</f>
        <v>1.17</v>
      </c>
      <c r="AT40" s="631">
        <f>PRIX!M41</f>
        <v>165</v>
      </c>
      <c r="AU40" s="629">
        <f>PRIX!N41</f>
        <v>0.0133</v>
      </c>
      <c r="AV40" s="631">
        <f>PRIX!O41</f>
        <v>5.15</v>
      </c>
      <c r="AW40" s="631">
        <f>PRIX!P41</f>
        <v>0.009774</v>
      </c>
      <c r="AX40" s="630">
        <f>PRIX!Q41</f>
        <v>0.0000178</v>
      </c>
      <c r="AY40" s="631">
        <f>PRIX!R41</f>
        <v>3.35</v>
      </c>
      <c r="AZ40" s="631">
        <f>PRIX!S41</f>
        <v>6.35</v>
      </c>
      <c r="BA40" s="623"/>
    </row>
    <row r="41">
      <c r="A41" s="621">
        <f>ARBITRAGES!E42</f>
        <v>45615</v>
      </c>
      <c r="B41" s="623" t="str">
        <f>IF(A41="","",IF(ARBITRAGES!F42="Invest","Achat","Vente"))</f>
        <v>Vente</v>
      </c>
      <c r="C41" s="623" t="str">
        <f>ARBITRAGES!H42</f>
        <v>SHIB</v>
      </c>
      <c r="D41" s="630">
        <f>ARBITRAGES!I42</f>
        <v>0.000026</v>
      </c>
      <c r="E41" s="624">
        <f>ARBITRAGES!J42</f>
        <v>377</v>
      </c>
      <c r="F41" s="623"/>
      <c r="G41" s="621">
        <f>'PV (%)'!B43</f>
        <v>45666</v>
      </c>
      <c r="H41" s="624">
        <f>'PV (%)'!E43</f>
        <v>54714.47607</v>
      </c>
      <c r="I41" s="624">
        <f>'PV (%)'!F43</f>
        <v>53187.0989</v>
      </c>
      <c r="J41" s="626">
        <f>'PV (%)'!G43</f>
        <v>52919.58283</v>
      </c>
      <c r="K41" s="623"/>
      <c r="L41" s="621">
        <f>Exposition!A42</f>
        <v>45615</v>
      </c>
      <c r="M41" s="625">
        <f>Exposition!B42</f>
        <v>0.9635736944</v>
      </c>
      <c r="N41" s="625">
        <f>Exposition!C42</f>
        <v>0.5119694407</v>
      </c>
      <c r="O41" s="625">
        <f>Exposition!D42</f>
        <v>0.1638669614</v>
      </c>
      <c r="P41" s="625">
        <f>Exposition!E42</f>
        <v>0.05667665063</v>
      </c>
      <c r="Q41" s="625">
        <f>Exposition!F42</f>
        <v>0.05913153661</v>
      </c>
      <c r="R41" s="625">
        <f>Exposition!G42</f>
        <v>0.05524498475</v>
      </c>
      <c r="S41" s="625">
        <f>Exposition!H42</f>
        <v>0.01892803934</v>
      </c>
      <c r="T41" s="625">
        <f>Exposition!I42</f>
        <v>0.02673256904</v>
      </c>
      <c r="U41" s="625">
        <f>Exposition!J42</f>
        <v>0.01331802833</v>
      </c>
      <c r="V41" s="625">
        <f>Exposition!K42</f>
        <v>0.009703077386</v>
      </c>
      <c r="W41" s="625">
        <f>Exposition!L42</f>
        <v>0.005435815709</v>
      </c>
      <c r="X41" s="625">
        <f>Exposition!M42</f>
        <v>0.01749464455</v>
      </c>
      <c r="Y41" s="625">
        <f>Exposition!N42</f>
        <v>0.01025986903</v>
      </c>
      <c r="Z41" s="625">
        <f>Exposition!O42</f>
        <v>0.01481207687</v>
      </c>
      <c r="AA41" s="625">
        <f>Exposition!P42</f>
        <v>0</v>
      </c>
      <c r="AB41" s="625">
        <f>Exposition!Q42</f>
        <v>0</v>
      </c>
      <c r="AC41" s="625">
        <f>Exposition!R42</f>
        <v>0</v>
      </c>
      <c r="AD41" s="625">
        <f>Exposition!S42</f>
        <v>0</v>
      </c>
      <c r="AE41" s="625">
        <f>Exposition!T42</f>
        <v>0</v>
      </c>
      <c r="AF41" s="625">
        <f>Exposition!U42</f>
        <v>0.03642630563</v>
      </c>
      <c r="AG41" s="623"/>
      <c r="AH41" s="621">
        <f>PRIX!A42</f>
        <v>45615</v>
      </c>
      <c r="AI41" s="626">
        <f>PRIX!B42</f>
        <v>93500</v>
      </c>
      <c r="AJ41" s="626">
        <f>PRIX!C42</f>
        <v>3150</v>
      </c>
      <c r="AK41" s="627">
        <f>PRIX!D42</f>
        <v>5.55</v>
      </c>
      <c r="AL41" s="626">
        <f>PRIX!E42</f>
        <v>245</v>
      </c>
      <c r="AM41" s="626">
        <f>PRIX!F42</f>
        <v>500</v>
      </c>
      <c r="AN41" s="627">
        <f>PRIX!G42</f>
        <v>1.45</v>
      </c>
      <c r="AO41" s="627">
        <f>PRIX!H42</f>
        <v>14.4</v>
      </c>
      <c r="AP41" s="631">
        <f>PRIX!I42</f>
        <v>0.41</v>
      </c>
      <c r="AQ41" s="628">
        <f>PRIX!J42</f>
        <v>0.0000255</v>
      </c>
      <c r="AR41" s="631">
        <f>PRIX!K42</f>
        <v>1.92</v>
      </c>
      <c r="AS41" s="631">
        <f>PRIX!L42</f>
        <v>1.17</v>
      </c>
      <c r="AT41" s="631">
        <f>PRIX!M42</f>
        <v>165</v>
      </c>
      <c r="AU41" s="629">
        <f>PRIX!N42</f>
        <v>0.0133</v>
      </c>
      <c r="AV41" s="631">
        <f>PRIX!O42</f>
        <v>5.15</v>
      </c>
      <c r="AW41" s="631">
        <f>PRIX!P42</f>
        <v>0.009774</v>
      </c>
      <c r="AX41" s="630">
        <f>PRIX!Q42</f>
        <v>0.0000178</v>
      </c>
      <c r="AY41" s="631">
        <f>PRIX!R42</f>
        <v>3.35</v>
      </c>
      <c r="AZ41" s="631">
        <f>PRIX!S42</f>
        <v>6.35</v>
      </c>
      <c r="BA41" s="623"/>
    </row>
    <row r="42">
      <c r="A42" s="621">
        <f>ARBITRAGES!E43</f>
        <v>45618</v>
      </c>
      <c r="B42" s="623" t="str">
        <f>IF(A42="","",IF(ARBITRAGES!F43="Invest","Achat","Vente"))</f>
        <v>Achat</v>
      </c>
      <c r="C42" s="623" t="str">
        <f>ARBITRAGES!H43</f>
        <v>PENDLE</v>
      </c>
      <c r="D42" s="624">
        <f>ARBITRAGES!I43</f>
        <v>4.8885</v>
      </c>
      <c r="E42" s="624">
        <f>ARBITRAGES!J43</f>
        <v>440</v>
      </c>
      <c r="F42" s="623"/>
      <c r="G42" s="621">
        <f>'PV (%)'!B44</f>
        <v>45676</v>
      </c>
      <c r="H42" s="624">
        <f>'PV (%)'!E44</f>
        <v>53525.03094</v>
      </c>
      <c r="I42" s="624">
        <f>'PV (%)'!F44</f>
        <v>52373.09416</v>
      </c>
      <c r="J42" s="626">
        <f>'PV (%)'!G44</f>
        <v>55303.26532</v>
      </c>
      <c r="K42" s="623"/>
      <c r="L42" s="621">
        <f>Exposition!A43</f>
        <v>45618</v>
      </c>
      <c r="M42" s="625">
        <f>Exposition!B43</f>
        <v>0.9739004419</v>
      </c>
      <c r="N42" s="625">
        <f>Exposition!C43</f>
        <v>0.500656907</v>
      </c>
      <c r="O42" s="625">
        <f>Exposition!D43</f>
        <v>0.1681595283</v>
      </c>
      <c r="P42" s="625">
        <f>Exposition!E43</f>
        <v>0.06130517551</v>
      </c>
      <c r="Q42" s="625">
        <f>Exposition!F43</f>
        <v>0.05862480597</v>
      </c>
      <c r="R42" s="625">
        <f>Exposition!G43</f>
        <v>0.05459454176</v>
      </c>
      <c r="S42" s="625">
        <f>Exposition!H43</f>
        <v>0.01965159574</v>
      </c>
      <c r="T42" s="625">
        <f>Exposition!I43</f>
        <v>0.03086194547</v>
      </c>
      <c r="U42" s="625">
        <f>Exposition!J43</f>
        <v>0.01440024578</v>
      </c>
      <c r="V42" s="625">
        <f>Exposition!K43</f>
        <v>0.00966439335</v>
      </c>
      <c r="W42" s="625">
        <f>Exposition!L43</f>
        <v>0.005935563319</v>
      </c>
      <c r="X42" s="625">
        <f>Exposition!M43</f>
        <v>0.01629573142</v>
      </c>
      <c r="Y42" s="625">
        <f>Exposition!N43</f>
        <v>0.01045205894</v>
      </c>
      <c r="Z42" s="625">
        <f>Exposition!O43</f>
        <v>0.0148115121</v>
      </c>
      <c r="AA42" s="625">
        <f>Exposition!P43</f>
        <v>0.008486437198</v>
      </c>
      <c r="AB42" s="625">
        <f>Exposition!Q43</f>
        <v>0</v>
      </c>
      <c r="AC42" s="625">
        <f>Exposition!R43</f>
        <v>0</v>
      </c>
      <c r="AD42" s="625">
        <f>Exposition!S43</f>
        <v>0</v>
      </c>
      <c r="AE42" s="625">
        <f>Exposition!T43</f>
        <v>0</v>
      </c>
      <c r="AF42" s="625">
        <f>Exposition!U43</f>
        <v>0.02609955814</v>
      </c>
      <c r="AG42" s="623"/>
      <c r="AH42" s="621">
        <f>PRIX!A43</f>
        <v>45618</v>
      </c>
      <c r="AI42" s="626">
        <f>PRIX!B43</f>
        <v>99000</v>
      </c>
      <c r="AJ42" s="626">
        <f>PRIX!C43</f>
        <v>3500</v>
      </c>
      <c r="AK42" s="627">
        <f>PRIX!D43</f>
        <v>6.5</v>
      </c>
      <c r="AL42" s="626">
        <f>PRIX!E43</f>
        <v>263</v>
      </c>
      <c r="AM42" s="626">
        <f>PRIX!F43</f>
        <v>535</v>
      </c>
      <c r="AN42" s="627">
        <f>PRIX!G43</f>
        <v>1.63</v>
      </c>
      <c r="AO42" s="627">
        <f>PRIX!H43</f>
        <v>18</v>
      </c>
      <c r="AP42" s="631">
        <f>PRIX!I43</f>
        <v>0.48</v>
      </c>
      <c r="AQ42" s="628">
        <f>PRIX!J43</f>
        <v>0.0000275</v>
      </c>
      <c r="AR42" s="631">
        <f>PRIX!K43</f>
        <v>2.27</v>
      </c>
      <c r="AS42" s="631">
        <f>PRIX!L43</f>
        <v>1.18</v>
      </c>
      <c r="AT42" s="631">
        <f>PRIX!M43</f>
        <v>182</v>
      </c>
      <c r="AU42" s="629">
        <f>PRIX!N43</f>
        <v>0.0144</v>
      </c>
      <c r="AV42" s="631">
        <f>PRIX!O43</f>
        <v>5.5</v>
      </c>
      <c r="AW42" s="631">
        <f>PRIX!P43</f>
        <v>0.009774</v>
      </c>
      <c r="AX42" s="630">
        <f>PRIX!Q43</f>
        <v>0.0000178</v>
      </c>
      <c r="AY42" s="631">
        <f>PRIX!R43</f>
        <v>3.35</v>
      </c>
      <c r="AZ42" s="631">
        <f>PRIX!S43</f>
        <v>6.35</v>
      </c>
      <c r="BA42" s="623"/>
    </row>
    <row r="43">
      <c r="A43" s="621">
        <f>ARBITRAGES!E44</f>
        <v>45619</v>
      </c>
      <c r="B43" s="623" t="str">
        <f>IF(A43="","",IF(ARBITRAGES!F44="Invest","Achat","Vente"))</f>
        <v>Achat</v>
      </c>
      <c r="C43" s="623" t="str">
        <f>ARBITRAGES!H44</f>
        <v>BOME</v>
      </c>
      <c r="D43" s="630">
        <f>ARBITRAGES!I44</f>
        <v>0.009774</v>
      </c>
      <c r="E43" s="630">
        <f>ARBITRAGES!J44</f>
        <v>175.932</v>
      </c>
      <c r="F43" s="623"/>
      <c r="G43" s="621">
        <f>'PV (%)'!B45</f>
        <v>45677</v>
      </c>
      <c r="H43" s="624">
        <f>'PV (%)'!E45</f>
        <v>54714.47607</v>
      </c>
      <c r="I43" s="624">
        <f>'PV (%)'!F45</f>
        <v>52375.96884</v>
      </c>
      <c r="J43" s="626">
        <f>'PV (%)'!G45</f>
        <v>54210.27247</v>
      </c>
      <c r="K43" s="623"/>
      <c r="L43" s="621">
        <f>Exposition!A44</f>
        <v>45619</v>
      </c>
      <c r="M43" s="625">
        <f>Exposition!B44</f>
        <v>0.976916436</v>
      </c>
      <c r="N43" s="625">
        <f>Exposition!C44</f>
        <v>0.500656907</v>
      </c>
      <c r="O43" s="625">
        <f>Exposition!D44</f>
        <v>0.1681595283</v>
      </c>
      <c r="P43" s="625">
        <f>Exposition!E44</f>
        <v>0.06130517551</v>
      </c>
      <c r="Q43" s="625">
        <f>Exposition!F44</f>
        <v>0.05862480597</v>
      </c>
      <c r="R43" s="625">
        <f>Exposition!G44</f>
        <v>0.05459454176</v>
      </c>
      <c r="S43" s="625">
        <f>Exposition!H44</f>
        <v>0.01965159574</v>
      </c>
      <c r="T43" s="625">
        <f>Exposition!I44</f>
        <v>0.03086194547</v>
      </c>
      <c r="U43" s="625">
        <f>Exposition!J44</f>
        <v>0.01440024578</v>
      </c>
      <c r="V43" s="625">
        <f>Exposition!K44</f>
        <v>0.00966439335</v>
      </c>
      <c r="W43" s="625">
        <f>Exposition!L44</f>
        <v>0.005935563319</v>
      </c>
      <c r="X43" s="625">
        <f>Exposition!M44</f>
        <v>0.01629573142</v>
      </c>
      <c r="Y43" s="625">
        <f>Exposition!N44</f>
        <v>0.01045205894</v>
      </c>
      <c r="Z43" s="625">
        <f>Exposition!O44</f>
        <v>0.0148115121</v>
      </c>
      <c r="AA43" s="625">
        <f>Exposition!P44</f>
        <v>0.008486437198</v>
      </c>
      <c r="AB43" s="625">
        <f>Exposition!Q44</f>
        <v>0.003015994151</v>
      </c>
      <c r="AC43" s="625">
        <f>Exposition!R44</f>
        <v>0</v>
      </c>
      <c r="AD43" s="625">
        <f>Exposition!S44</f>
        <v>0</v>
      </c>
      <c r="AE43" s="625">
        <f>Exposition!T44</f>
        <v>0</v>
      </c>
      <c r="AF43" s="625">
        <f>Exposition!U44</f>
        <v>0.02308356399</v>
      </c>
      <c r="AG43" s="623"/>
      <c r="AH43" s="621">
        <f>PRIX!A44</f>
        <v>45619</v>
      </c>
      <c r="AI43" s="626">
        <f>PRIX!B44</f>
        <v>99000</v>
      </c>
      <c r="AJ43" s="626">
        <f>PRIX!C44</f>
        <v>3500</v>
      </c>
      <c r="AK43" s="627">
        <f>PRIX!D44</f>
        <v>6.5</v>
      </c>
      <c r="AL43" s="626">
        <f>PRIX!E44</f>
        <v>263</v>
      </c>
      <c r="AM43" s="626">
        <f>PRIX!F44</f>
        <v>535</v>
      </c>
      <c r="AN43" s="627">
        <f>PRIX!G44</f>
        <v>1.63</v>
      </c>
      <c r="AO43" s="627">
        <f>PRIX!H44</f>
        <v>18</v>
      </c>
      <c r="AP43" s="631">
        <f>PRIX!I44</f>
        <v>0.48</v>
      </c>
      <c r="AQ43" s="628">
        <f>PRIX!J44</f>
        <v>0.0000275</v>
      </c>
      <c r="AR43" s="631">
        <f>PRIX!K44</f>
        <v>2.27</v>
      </c>
      <c r="AS43" s="631">
        <f>PRIX!L44</f>
        <v>1.18</v>
      </c>
      <c r="AT43" s="631">
        <f>PRIX!M44</f>
        <v>182</v>
      </c>
      <c r="AU43" s="629">
        <f>PRIX!N44</f>
        <v>0.0144</v>
      </c>
      <c r="AV43" s="631">
        <f>PRIX!O44</f>
        <v>5.5</v>
      </c>
      <c r="AW43" s="631">
        <f>PRIX!P44</f>
        <v>0.009774</v>
      </c>
      <c r="AX43" s="630">
        <f>PRIX!Q44</f>
        <v>0.0000178</v>
      </c>
      <c r="AY43" s="631">
        <f>PRIX!R44</f>
        <v>3.35</v>
      </c>
      <c r="AZ43" s="631">
        <f>PRIX!S44</f>
        <v>6.35</v>
      </c>
      <c r="BA43" s="623"/>
    </row>
    <row r="44">
      <c r="A44" s="621">
        <f>ARBITRAGES!E45</f>
        <v>45622</v>
      </c>
      <c r="B44" s="623" t="str">
        <f>IF(A44="","",IF(ARBITRAGES!F45="Invest","Achat","Vente"))</f>
        <v>Achat</v>
      </c>
      <c r="C44" s="623" t="str">
        <f>ARBITRAGES!H45</f>
        <v>WIF</v>
      </c>
      <c r="D44" s="624">
        <f>ARBITRAGES!I45</f>
        <v>3.35</v>
      </c>
      <c r="E44" s="623">
        <f>ARBITRAGES!J45</f>
        <v>197.65</v>
      </c>
      <c r="F44" s="623"/>
      <c r="G44" s="621">
        <f>'PV (%)'!B46</f>
        <v>45718</v>
      </c>
      <c r="H44" s="624">
        <f>'PV (%)'!E46</f>
        <v>55903.9212</v>
      </c>
      <c r="I44" s="624">
        <f>'PV (%)'!F46</f>
        <v>48697.25424</v>
      </c>
      <c r="J44" s="626">
        <f>'PV (%)'!G46</f>
        <v>53954.96817</v>
      </c>
      <c r="K44" s="623"/>
      <c r="L44" s="621">
        <f>Exposition!A45</f>
        <v>45622</v>
      </c>
      <c r="M44" s="625">
        <f>Exposition!B45</f>
        <v>0.9791634065</v>
      </c>
      <c r="N44" s="625">
        <f>Exposition!C45</f>
        <v>0.5029188221</v>
      </c>
      <c r="O44" s="625">
        <f>Exposition!D45</f>
        <v>0.169263255</v>
      </c>
      <c r="P44" s="625">
        <f>Exposition!E45</f>
        <v>0.05986873097</v>
      </c>
      <c r="Q44" s="625">
        <f>Exposition!F45</f>
        <v>0.05423985559</v>
      </c>
      <c r="R44" s="625">
        <f>Exposition!G45</f>
        <v>0.05667868494</v>
      </c>
      <c r="S44" s="625">
        <f>Exposition!H45</f>
        <v>0.0206628513</v>
      </c>
      <c r="T44" s="625">
        <f>Exposition!I45</f>
        <v>0.03119925761</v>
      </c>
      <c r="U44" s="625">
        <f>Exposition!J45</f>
        <v>0.0121560495</v>
      </c>
      <c r="V44" s="625">
        <f>Exposition!K45</f>
        <v>0.008997508978</v>
      </c>
      <c r="W44" s="625">
        <f>Exposition!L45</f>
        <v>0.007289231164</v>
      </c>
      <c r="X44" s="625">
        <f>Exposition!M45</f>
        <v>0.01477093629</v>
      </c>
      <c r="Y44" s="625">
        <f>Exposition!N45</f>
        <v>0.01051094065</v>
      </c>
      <c r="Z44" s="625">
        <f>Exposition!O45</f>
        <v>0.01566983474</v>
      </c>
      <c r="AA44" s="625">
        <f>Exposition!P45</f>
        <v>0.008162021514</v>
      </c>
      <c r="AB44" s="625">
        <f>Exposition!Q45</f>
        <v>0.0031907701</v>
      </c>
      <c r="AC44" s="625">
        <f>Exposition!R45</f>
        <v>0</v>
      </c>
      <c r="AD44" s="625">
        <f>Exposition!S45</f>
        <v>0.003584656061</v>
      </c>
      <c r="AE44" s="625">
        <f>Exposition!T45</f>
        <v>0</v>
      </c>
      <c r="AF44" s="625">
        <f>Exposition!U45</f>
        <v>0.02083659348</v>
      </c>
      <c r="AG44" s="623"/>
      <c r="AH44" s="621">
        <f>PRIX!A45</f>
        <v>45622</v>
      </c>
      <c r="AI44" s="626">
        <f>PRIX!B45</f>
        <v>94000</v>
      </c>
      <c r="AJ44" s="626">
        <f>PRIX!C45</f>
        <v>3330</v>
      </c>
      <c r="AK44" s="627">
        <f>PRIX!D45</f>
        <v>6</v>
      </c>
      <c r="AL44" s="626">
        <f>PRIX!E45</f>
        <v>230</v>
      </c>
      <c r="AM44" s="626">
        <f>PRIX!F45</f>
        <v>525</v>
      </c>
      <c r="AN44" s="627">
        <f>PRIX!G45</f>
        <v>1.62</v>
      </c>
      <c r="AO44" s="627">
        <f>PRIX!H45</f>
        <v>17.2</v>
      </c>
      <c r="AP44" s="631">
        <f>PRIX!I45</f>
        <v>0.383</v>
      </c>
      <c r="AQ44" s="628">
        <f>PRIX!J45</f>
        <v>0.0000242</v>
      </c>
      <c r="AR44" s="631">
        <f>PRIX!K45</f>
        <v>2.635</v>
      </c>
      <c r="AS44" s="631">
        <f>PRIX!L45</f>
        <v>1.011</v>
      </c>
      <c r="AT44" s="631">
        <f>PRIX!M45</f>
        <v>173</v>
      </c>
      <c r="AU44" s="629">
        <f>PRIX!N45</f>
        <v>0.0144</v>
      </c>
      <c r="AV44" s="631">
        <f>PRIX!O45</f>
        <v>5</v>
      </c>
      <c r="AW44" s="631">
        <f>PRIX!P45</f>
        <v>0.009774</v>
      </c>
      <c r="AX44" s="630">
        <f>PRIX!Q45</f>
        <v>0.0000178</v>
      </c>
      <c r="AY44" s="631">
        <f>PRIX!R45</f>
        <v>3.35</v>
      </c>
      <c r="AZ44" s="631">
        <f>PRIX!S45</f>
        <v>6.35</v>
      </c>
      <c r="BA44" s="623"/>
    </row>
    <row r="45">
      <c r="A45" s="621">
        <f>ARBITRAGES!E46</f>
        <v>45630</v>
      </c>
      <c r="B45" s="623" t="str">
        <f>IF(A45="","",IF(ARBITRAGES!F46="Invest","Achat","Vente"))</f>
        <v>Vente</v>
      </c>
      <c r="C45" s="623" t="str">
        <f>ARBITRAGES!H46</f>
        <v>CAKE</v>
      </c>
      <c r="D45" s="624">
        <f>ARBITRAGES!I46</f>
        <v>4.33</v>
      </c>
      <c r="E45" s="624">
        <f>ARBITRAGES!J46</f>
        <v>108.31</v>
      </c>
      <c r="F45" s="623"/>
      <c r="G45" s="621">
        <f>'PV (%)'!B47</f>
        <v>45719</v>
      </c>
      <c r="H45" s="624">
        <f>'PV (%)'!E47</f>
        <v>52335.5858</v>
      </c>
      <c r="I45" s="624">
        <f>'PV (%)'!F47</f>
        <v>44402.17983</v>
      </c>
      <c r="J45" s="626">
        <f>'PV (%)'!G47</f>
        <v>50501.98855</v>
      </c>
      <c r="K45" s="623"/>
      <c r="L45" s="621">
        <f>Exposition!A46</f>
        <v>45630</v>
      </c>
      <c r="M45" s="625">
        <f>Exposition!B46</f>
        <v>0.9795491021</v>
      </c>
      <c r="N45" s="625">
        <f>Exposition!C46</f>
        <v>0.4630978704</v>
      </c>
      <c r="O45" s="625">
        <f>Exposition!D46</f>
        <v>0.170592454</v>
      </c>
      <c r="P45" s="625">
        <f>Exposition!E46</f>
        <v>0.06356363824</v>
      </c>
      <c r="Q45" s="625">
        <f>Exposition!F46</f>
        <v>0.05079862334</v>
      </c>
      <c r="R45" s="625">
        <f>Exposition!G46</f>
        <v>0.0678144538</v>
      </c>
      <c r="S45" s="625">
        <f>Exposition!H46</f>
        <v>0.02689983227</v>
      </c>
      <c r="T45" s="625">
        <f>Exposition!I46</f>
        <v>0.04083847105</v>
      </c>
      <c r="U45" s="625">
        <f>Exposition!J46</f>
        <v>0.01195731106</v>
      </c>
      <c r="V45" s="625">
        <f>Exposition!K46</f>
        <v>0.01033792659</v>
      </c>
      <c r="W45" s="625">
        <f>Exposition!L46</f>
        <v>0.008512566738</v>
      </c>
      <c r="X45" s="625">
        <f>Exposition!M46</f>
        <v>0.01721787851</v>
      </c>
      <c r="Y45" s="625">
        <f>Exposition!N46</f>
        <v>0.01373268799</v>
      </c>
      <c r="Z45" s="625">
        <f>Exposition!O46</f>
        <v>0.01815423775</v>
      </c>
      <c r="AA45" s="625">
        <f>Exposition!P46</f>
        <v>0.009809843179</v>
      </c>
      <c r="AB45" s="625">
        <f>Exposition!Q46</f>
        <v>0.002957462755</v>
      </c>
      <c r="AC45" s="625">
        <f>Exposition!R46</f>
        <v>0</v>
      </c>
      <c r="AD45" s="625">
        <f>Exposition!S46</f>
        <v>0.003263844474</v>
      </c>
      <c r="AE45" s="625">
        <f>Exposition!T46</f>
        <v>0</v>
      </c>
      <c r="AF45" s="625">
        <f>Exposition!U46</f>
        <v>0.02045089788</v>
      </c>
      <c r="AG45" s="623"/>
      <c r="AH45" s="621">
        <f>PRIX!A46</f>
        <v>45630</v>
      </c>
      <c r="AI45" s="626">
        <f>PRIX!B46</f>
        <v>96500</v>
      </c>
      <c r="AJ45" s="626">
        <f>PRIX!C46</f>
        <v>3740</v>
      </c>
      <c r="AK45" s="627">
        <f>PRIX!D46</f>
        <v>7.1</v>
      </c>
      <c r="AL45" s="626">
        <f>PRIX!E46</f>
        <v>240</v>
      </c>
      <c r="AM45" s="626">
        <f>PRIX!F46</f>
        <v>700</v>
      </c>
      <c r="AN45" s="627">
        <f>PRIX!G46</f>
        <v>2.35</v>
      </c>
      <c r="AO45" s="627">
        <f>PRIX!H46</f>
        <v>25.1</v>
      </c>
      <c r="AP45" s="631">
        <f>PRIX!I46</f>
        <v>0.42</v>
      </c>
      <c r="AQ45" s="628">
        <f>PRIX!J46</f>
        <v>0.000031</v>
      </c>
      <c r="AR45" s="631">
        <f>PRIX!K46</f>
        <v>4.12</v>
      </c>
      <c r="AS45" s="631">
        <f>PRIX!L46</f>
        <v>1.31</v>
      </c>
      <c r="AT45" s="631">
        <f>PRIX!M46</f>
        <v>252</v>
      </c>
      <c r="AU45" s="629">
        <f>PRIX!N46</f>
        <v>0.0186</v>
      </c>
      <c r="AV45" s="631">
        <f>PRIX!O46</f>
        <v>6.7</v>
      </c>
      <c r="AW45" s="631">
        <f>PRIX!P46</f>
        <v>0.0101</v>
      </c>
      <c r="AX45" s="630">
        <f>PRIX!Q46</f>
        <v>0.000021</v>
      </c>
      <c r="AY45" s="631">
        <f>PRIX!R46</f>
        <v>3.4</v>
      </c>
      <c r="AZ45" s="631">
        <f>PRIX!S46</f>
        <v>6.35</v>
      </c>
      <c r="BA45" s="623"/>
    </row>
    <row r="46">
      <c r="A46" s="621">
        <f>ARBITRAGES!E47</f>
        <v>45636</v>
      </c>
      <c r="B46" s="623" t="str">
        <f>IF(A46="","",IF(ARBITRAGES!F47="Invest","Achat","Vente"))</f>
        <v>Achat</v>
      </c>
      <c r="C46" s="623" t="str">
        <f>ARBITRAGES!H47</f>
        <v>SOL</v>
      </c>
      <c r="D46" s="624">
        <f>ARBITRAGES!I47</f>
        <v>210</v>
      </c>
      <c r="E46" s="624">
        <f>ARBITRAGES!J47</f>
        <v>420</v>
      </c>
      <c r="F46" s="623"/>
      <c r="G46" s="621">
        <f>'PV (%)'!B48</f>
        <v>45720</v>
      </c>
      <c r="H46" s="624">
        <f>'PV (%)'!E48</f>
        <v>51146.14067</v>
      </c>
      <c r="I46" s="624">
        <f>'PV (%)'!F48</f>
        <v>42086.60928</v>
      </c>
      <c r="J46" s="626">
        <f>'PV (%)'!G48</f>
        <v>46028.67629</v>
      </c>
      <c r="K46" s="623"/>
      <c r="L46" s="621">
        <f>Exposition!A47</f>
        <v>45636</v>
      </c>
      <c r="M46" s="625">
        <f>Exposition!B47</f>
        <v>0.9860644388</v>
      </c>
      <c r="N46" s="625">
        <f>Exposition!C47</f>
        <v>0.4861485581</v>
      </c>
      <c r="O46" s="625">
        <f>Exposition!D47</f>
        <v>0.1750281164</v>
      </c>
      <c r="P46" s="625">
        <f>Exposition!E47</f>
        <v>0.05679765755</v>
      </c>
      <c r="Q46" s="625">
        <f>Exposition!F47</f>
        <v>0.05672195653</v>
      </c>
      <c r="R46" s="625">
        <f>Exposition!G47</f>
        <v>0.05947902151</v>
      </c>
      <c r="S46" s="625">
        <f>Exposition!H47</f>
        <v>0.0245974078</v>
      </c>
      <c r="T46" s="625">
        <f>Exposition!I47</f>
        <v>0.0391247839</v>
      </c>
      <c r="U46" s="625">
        <f>Exposition!J47</f>
        <v>0.01176938958</v>
      </c>
      <c r="V46" s="625">
        <f>Exposition!K47</f>
        <v>0.009588847393</v>
      </c>
      <c r="W46" s="625">
        <f>Exposition!L47</f>
        <v>0.007230656937</v>
      </c>
      <c r="X46" s="625">
        <f>Exposition!M47</f>
        <v>0.01513035795</v>
      </c>
      <c r="Y46" s="625">
        <f>Exposition!N47</f>
        <v>0.01589235322</v>
      </c>
      <c r="Z46" s="625">
        <f>Exposition!O47</f>
        <v>0.01398239115</v>
      </c>
      <c r="AA46" s="625">
        <f>Exposition!P47</f>
        <v>0.009139142182</v>
      </c>
      <c r="AB46" s="625">
        <f>Exposition!Q47</f>
        <v>0.002486934456</v>
      </c>
      <c r="AC46" s="625">
        <f>Exposition!R47</f>
        <v>0</v>
      </c>
      <c r="AD46" s="625">
        <f>Exposition!S47</f>
        <v>0.002946864252</v>
      </c>
      <c r="AE46" s="625">
        <f>Exposition!T47</f>
        <v>0</v>
      </c>
      <c r="AF46" s="625">
        <f>Exposition!U47</f>
        <v>0.01393556117</v>
      </c>
      <c r="AG46" s="623"/>
      <c r="AH46" s="621">
        <f>PRIX!A47</f>
        <v>45636</v>
      </c>
      <c r="AI46" s="626">
        <f>PRIX!B47</f>
        <v>99000</v>
      </c>
      <c r="AJ46" s="626">
        <f>PRIX!C47</f>
        <v>3750</v>
      </c>
      <c r="AK46" s="627">
        <f>PRIX!D47</f>
        <v>6.2</v>
      </c>
      <c r="AL46" s="626">
        <f>PRIX!E47</f>
        <v>227</v>
      </c>
      <c r="AM46" s="626">
        <f>PRIX!F47</f>
        <v>600</v>
      </c>
      <c r="AN46" s="627">
        <f>PRIX!G47</f>
        <v>2.1</v>
      </c>
      <c r="AO46" s="627">
        <f>PRIX!H47</f>
        <v>23.5</v>
      </c>
      <c r="AP46" s="631">
        <f>PRIX!I47</f>
        <v>0.404</v>
      </c>
      <c r="AQ46" s="628">
        <f>PRIX!J47</f>
        <v>0.0000281</v>
      </c>
      <c r="AR46" s="631">
        <f>PRIX!K47</f>
        <v>3.42</v>
      </c>
      <c r="AS46" s="631">
        <f>PRIX!L47</f>
        <v>1.125</v>
      </c>
      <c r="AT46" s="631">
        <f>PRIX!M47</f>
        <v>285</v>
      </c>
      <c r="AU46" s="629">
        <f>PRIX!N47</f>
        <v>0.014</v>
      </c>
      <c r="AV46" s="631">
        <f>PRIX!O47</f>
        <v>6.1</v>
      </c>
      <c r="AW46" s="631">
        <f>PRIX!P47</f>
        <v>0.0083</v>
      </c>
      <c r="AX46" s="630">
        <f>PRIX!Q47</f>
        <v>0.0000238</v>
      </c>
      <c r="AY46" s="631">
        <f>PRIX!R47</f>
        <v>3</v>
      </c>
      <c r="AZ46" s="631">
        <f>PRIX!S47</f>
        <v>6.35</v>
      </c>
      <c r="BA46" s="623"/>
    </row>
    <row r="47">
      <c r="A47" s="621">
        <f>ARBITRAGES!E48</f>
        <v>45644</v>
      </c>
      <c r="B47" s="623" t="str">
        <f>IF(A47="","",IF(ARBITRAGES!F48="Invest","Achat","Vente"))</f>
        <v>Achat</v>
      </c>
      <c r="C47" s="623" t="str">
        <f>ARBITRAGES!H48</f>
        <v>PEPE</v>
      </c>
      <c r="D47" s="629">
        <f>ARBITRAGES!I48</f>
        <v>0.00002</v>
      </c>
      <c r="E47" s="624">
        <f>ARBITRAGES!J48</f>
        <v>279</v>
      </c>
      <c r="F47" s="623"/>
      <c r="G47" s="621">
        <f>'PV (%)'!B49</f>
        <v>45725</v>
      </c>
      <c r="H47" s="624">
        <f>'PV (%)'!E49</f>
        <v>50551.41811</v>
      </c>
      <c r="I47" s="624">
        <f>'PV (%)'!F49</f>
        <v>40153.06036</v>
      </c>
      <c r="J47" s="626">
        <f>'PV (%)'!G49</f>
        <v>44004.98237</v>
      </c>
      <c r="K47" s="623"/>
      <c r="L47" s="621">
        <f>Exposition!A48</f>
        <v>45644</v>
      </c>
      <c r="M47" s="625">
        <f>Exposition!B48</f>
        <v>0.9901727296</v>
      </c>
      <c r="N47" s="625">
        <f>Exposition!C48</f>
        <v>0.4986025786</v>
      </c>
      <c r="O47" s="625">
        <f>Exposition!D48</f>
        <v>0.172780241</v>
      </c>
      <c r="P47" s="625">
        <f>Exposition!E48</f>
        <v>0.05668185846</v>
      </c>
      <c r="Q47" s="625">
        <f>Exposition!F48</f>
        <v>0.05682157732</v>
      </c>
      <c r="R47" s="625">
        <f>Exposition!G48</f>
        <v>0.05242422864</v>
      </c>
      <c r="S47" s="625">
        <f>Exposition!H48</f>
        <v>0.02477704571</v>
      </c>
      <c r="T47" s="625">
        <f>Exposition!I48</f>
        <v>0.03697880428</v>
      </c>
      <c r="U47" s="625">
        <f>Exposition!J48</f>
        <v>0.01078425374</v>
      </c>
      <c r="V47" s="625">
        <f>Exposition!K48</f>
        <v>0.008842511863</v>
      </c>
      <c r="W47" s="625">
        <f>Exposition!L48</f>
        <v>0.006261222853</v>
      </c>
      <c r="X47" s="625">
        <f>Exposition!M48</f>
        <v>0.01351355972</v>
      </c>
      <c r="Y47" s="625">
        <f>Exposition!N48</f>
        <v>0.01946286493</v>
      </c>
      <c r="Z47" s="625">
        <f>Exposition!O48</f>
        <v>0.01267605565</v>
      </c>
      <c r="AA47" s="625">
        <f>Exposition!P48</f>
        <v>0.009190794851</v>
      </c>
      <c r="AB47" s="625">
        <f>Exposition!Q48</f>
        <v>0.002535278736</v>
      </c>
      <c r="AC47" s="625">
        <f>Exposition!R48</f>
        <v>0.005034728899</v>
      </c>
      <c r="AD47" s="625">
        <f>Exposition!S48</f>
        <v>0.00280512436</v>
      </c>
      <c r="AE47" s="625">
        <f>Exposition!T48</f>
        <v>0</v>
      </c>
      <c r="AF47" s="625">
        <f>Exposition!U48</f>
        <v>0.009827270375</v>
      </c>
      <c r="AG47" s="623"/>
      <c r="AH47" s="621">
        <f>PRIX!A48</f>
        <v>45644</v>
      </c>
      <c r="AI47" s="626">
        <f>PRIX!B48</f>
        <v>96000</v>
      </c>
      <c r="AJ47" s="626">
        <f>PRIX!C48</f>
        <v>3500</v>
      </c>
      <c r="AK47" s="627">
        <f>PRIX!D48</f>
        <v>5.85</v>
      </c>
      <c r="AL47" s="626">
        <f>PRIX!E48</f>
        <v>215</v>
      </c>
      <c r="AM47" s="626">
        <f>PRIX!F48</f>
        <v>500</v>
      </c>
      <c r="AN47" s="627">
        <f>PRIX!G48</f>
        <v>2</v>
      </c>
      <c r="AO47" s="627">
        <f>PRIX!H48</f>
        <v>21</v>
      </c>
      <c r="AP47" s="631">
        <f>PRIX!I48</f>
        <v>0.35</v>
      </c>
      <c r="AQ47" s="628">
        <f>PRIX!J48</f>
        <v>0.0000245</v>
      </c>
      <c r="AR47" s="631">
        <f>PRIX!K48</f>
        <v>2.8</v>
      </c>
      <c r="AS47" s="631">
        <f>PRIX!L48</f>
        <v>0.95</v>
      </c>
      <c r="AT47" s="631">
        <f>PRIX!M48</f>
        <v>330</v>
      </c>
      <c r="AU47" s="629">
        <f>PRIX!N48</f>
        <v>0.012</v>
      </c>
      <c r="AV47" s="631">
        <f>PRIX!O48</f>
        <v>5.8</v>
      </c>
      <c r="AW47" s="631">
        <f>PRIX!P48</f>
        <v>0.008</v>
      </c>
      <c r="AX47" s="630">
        <f>PRIX!Q48</f>
        <v>0.0000205</v>
      </c>
      <c r="AY47" s="631">
        <f>PRIX!R48</f>
        <v>2.7</v>
      </c>
      <c r="AZ47" s="631">
        <f>PRIX!S48</f>
        <v>6.35</v>
      </c>
      <c r="BA47" s="623"/>
    </row>
    <row r="48">
      <c r="A48" s="621">
        <f>ARBITRAGES!E49</f>
        <v>45646</v>
      </c>
      <c r="B48" s="623" t="str">
        <f>IF(A48="","",IF(ARBITRAGES!F49="Invest","Achat","Vente"))</f>
        <v>Achat</v>
      </c>
      <c r="C48" s="623" t="str">
        <f>ARBITRAGES!H49</f>
        <v>PEPE</v>
      </c>
      <c r="D48" s="630">
        <f>ARBITRAGES!I49</f>
        <v>0.000015</v>
      </c>
      <c r="E48" s="624">
        <f>ARBITRAGES!J49</f>
        <v>150</v>
      </c>
      <c r="F48" s="623"/>
      <c r="G48" s="621">
        <f>'PV (%)'!B50</f>
        <v>45734</v>
      </c>
      <c r="H48" s="624">
        <f>'PV (%)'!E50</f>
        <v>55309.19863</v>
      </c>
      <c r="I48" s="624">
        <f>'PV (%)'!F50</f>
        <v>41409.60432</v>
      </c>
      <c r="J48" s="626">
        <f>'PV (%)'!G50</f>
        <v>42004.47623</v>
      </c>
      <c r="K48" s="623"/>
      <c r="L48" s="621">
        <f>Exposition!A49</f>
        <v>45646</v>
      </c>
      <c r="M48" s="625">
        <f>Exposition!B49</f>
        <v>0.9924529351</v>
      </c>
      <c r="N48" s="625">
        <f>Exposition!C49</f>
        <v>0.5072593543</v>
      </c>
      <c r="O48" s="625">
        <f>Exposition!D49</f>
        <v>0.173673944</v>
      </c>
      <c r="P48" s="625">
        <f>Exposition!E49</f>
        <v>0.05504898415</v>
      </c>
      <c r="Q48" s="625">
        <f>Exposition!F49</f>
        <v>0.05079134855</v>
      </c>
      <c r="R48" s="625">
        <f>Exposition!G49</f>
        <v>0.05065049631</v>
      </c>
      <c r="S48" s="625">
        <f>Exposition!H49</f>
        <v>0.02445914121</v>
      </c>
      <c r="T48" s="625">
        <f>Exposition!I49</f>
        <v>0.04142336889</v>
      </c>
      <c r="U48" s="625">
        <f>Exposition!J49</f>
        <v>0.01035466041</v>
      </c>
      <c r="V48" s="625">
        <f>Exposition!K49</f>
        <v>0.008528171271</v>
      </c>
      <c r="W48" s="625">
        <f>Exposition!L49</f>
        <v>0.005636067697</v>
      </c>
      <c r="X48" s="625">
        <f>Exposition!M49</f>
        <v>0.01239904057</v>
      </c>
      <c r="Y48" s="625">
        <f>Exposition!N49</f>
        <v>0.019200757</v>
      </c>
      <c r="Z48" s="625">
        <f>Exposition!O49</f>
        <v>0.01220279752</v>
      </c>
      <c r="AA48" s="625">
        <f>Exposition!P49</f>
        <v>0.008320681758</v>
      </c>
      <c r="AB48" s="625">
        <f>Exposition!Q49</f>
        <v>0.002129999638</v>
      </c>
      <c r="AC48" s="625">
        <f>Exposition!R49</f>
        <v>0.008191984024</v>
      </c>
      <c r="AD48" s="625">
        <f>Exposition!S49</f>
        <v>0.002182137838</v>
      </c>
      <c r="AE48" s="625">
        <f>Exposition!T49</f>
        <v>0</v>
      </c>
      <c r="AF48" s="625">
        <f>Exposition!U49</f>
        <v>0.007547064875</v>
      </c>
      <c r="AG48" s="623"/>
      <c r="AH48" s="621">
        <f>PRIX!A49</f>
        <v>45646</v>
      </c>
      <c r="AI48" s="626">
        <f>PRIX!B49</f>
        <v>93000</v>
      </c>
      <c r="AJ48" s="626">
        <f>PRIX!C49</f>
        <v>3350</v>
      </c>
      <c r="AK48" s="627">
        <f>PRIX!D49</f>
        <v>5.41</v>
      </c>
      <c r="AL48" s="626">
        <f>PRIX!E49</f>
        <v>183</v>
      </c>
      <c r="AM48" s="626">
        <f>PRIX!F49</f>
        <v>460</v>
      </c>
      <c r="AN48" s="627">
        <f>PRIX!G49</f>
        <v>1.88</v>
      </c>
      <c r="AO48" s="627">
        <f>PRIX!H49</f>
        <v>22.4</v>
      </c>
      <c r="AP48" s="631">
        <f>PRIX!I49</f>
        <v>0.32</v>
      </c>
      <c r="AQ48" s="628">
        <f>PRIX!J49</f>
        <v>0.0000225</v>
      </c>
      <c r="AR48" s="631">
        <f>PRIX!K49</f>
        <v>2.4</v>
      </c>
      <c r="AS48" s="631">
        <f>PRIX!L49</f>
        <v>0.83</v>
      </c>
      <c r="AT48" s="631">
        <f>PRIX!M49</f>
        <v>310</v>
      </c>
      <c r="AU48" s="629">
        <f>PRIX!N49</f>
        <v>0.011</v>
      </c>
      <c r="AV48" s="631">
        <f>PRIX!O49</f>
        <v>5</v>
      </c>
      <c r="AW48" s="631">
        <f>PRIX!P49</f>
        <v>0.0064</v>
      </c>
      <c r="AX48" s="630">
        <f>PRIX!Q49</f>
        <v>0.0000185</v>
      </c>
      <c r="AY48" s="631">
        <f>PRIX!R49</f>
        <v>2</v>
      </c>
      <c r="AZ48" s="631">
        <f>PRIX!S49</f>
        <v>6.35</v>
      </c>
      <c r="BA48" s="623"/>
    </row>
    <row r="49">
      <c r="A49" s="621">
        <f>ARBITRAGES!E50</f>
        <v>45658</v>
      </c>
      <c r="B49" s="623" t="str">
        <f>IF(A49="","",IF(ARBITRAGES!F50="Invest","Achat","Vente"))</f>
        <v>Achat</v>
      </c>
      <c r="C49" s="623" t="str">
        <f>ARBITRAGES!H50</f>
        <v>PENDLE</v>
      </c>
      <c r="D49" s="624">
        <f>ARBITRAGES!I50</f>
        <v>4.85</v>
      </c>
      <c r="E49" s="624">
        <f>ARBITRAGES!J50</f>
        <v>201.275</v>
      </c>
      <c r="F49" s="623"/>
      <c r="G49" s="621">
        <f>'PV (%)'!B51</f>
        <v>45749</v>
      </c>
      <c r="H49" s="624">
        <f>'PV (%)'!E51</f>
        <v>51740.86324</v>
      </c>
      <c r="I49" s="624">
        <f>'PV (%)'!F51</f>
        <v>38153.48205</v>
      </c>
      <c r="J49" s="626">
        <f>'PV (%)'!G51</f>
        <v>43548.6634</v>
      </c>
      <c r="K49" s="623"/>
      <c r="L49" s="621">
        <f>Exposition!A50</f>
        <v>45658</v>
      </c>
      <c r="M49" s="625">
        <f>Exposition!B50</f>
        <v>0.996089942</v>
      </c>
      <c r="N49" s="625">
        <f>Exposition!C50</f>
        <v>0.4961452754</v>
      </c>
      <c r="O49" s="625">
        <f>Exposition!D50</f>
        <v>0.1695553804</v>
      </c>
      <c r="P49" s="625">
        <f>Exposition!E50</f>
        <v>0.05823871829</v>
      </c>
      <c r="Q49" s="625">
        <f>Exposition!F50</f>
        <v>0.05673360587</v>
      </c>
      <c r="R49" s="625">
        <f>Exposition!G50</f>
        <v>0.05626879508</v>
      </c>
      <c r="S49" s="625">
        <f>Exposition!H50</f>
        <v>0.02659408719</v>
      </c>
      <c r="T49" s="625">
        <f>Exposition!I50</f>
        <v>0.03969067002</v>
      </c>
      <c r="U49" s="625">
        <f>Exposition!J50</f>
        <v>0.01157512432</v>
      </c>
      <c r="V49" s="625">
        <f>Exposition!K50</f>
        <v>0.007747741616</v>
      </c>
      <c r="W49" s="625">
        <f>Exposition!L50</f>
        <v>0.005640330583</v>
      </c>
      <c r="X49" s="625">
        <f>Exposition!M50</f>
        <v>0.01319153909</v>
      </c>
      <c r="Y49" s="625">
        <f>Exposition!N50</f>
        <v>0.02025715137</v>
      </c>
      <c r="Z49" s="625">
        <f>Exposition!O50</f>
        <v>0.01133805234</v>
      </c>
      <c r="AA49" s="625">
        <f>Exposition!P50</f>
        <v>0.01192818107</v>
      </c>
      <c r="AB49" s="625">
        <f>Exposition!Q50</f>
        <v>0.0002381054484</v>
      </c>
      <c r="AC49" s="625">
        <f>Exposition!R50</f>
        <v>0.00905146969</v>
      </c>
      <c r="AD49" s="625">
        <f>Exposition!S50</f>
        <v>0.001895714112</v>
      </c>
      <c r="AE49" s="625">
        <f>Exposition!T50</f>
        <v>0</v>
      </c>
      <c r="AF49" s="625">
        <f>Exposition!U50</f>
        <v>0.003910058015</v>
      </c>
      <c r="AG49" s="623"/>
      <c r="AH49" s="621">
        <f>PRIX!A50</f>
        <v>45658</v>
      </c>
      <c r="AI49" s="626">
        <f>PRIX!B50</f>
        <v>89000</v>
      </c>
      <c r="AJ49" s="626">
        <f>PRIX!C50</f>
        <v>3200</v>
      </c>
      <c r="AK49" s="627">
        <f>PRIX!D50</f>
        <v>5.6</v>
      </c>
      <c r="AL49" s="626">
        <f>PRIX!E50</f>
        <v>200</v>
      </c>
      <c r="AM49" s="626">
        <f>PRIX!F50</f>
        <v>500</v>
      </c>
      <c r="AN49" s="627">
        <f>PRIX!G50</f>
        <v>2</v>
      </c>
      <c r="AO49" s="627">
        <f>PRIX!H50</f>
        <v>21</v>
      </c>
      <c r="AP49" s="631">
        <f>PRIX!I50</f>
        <v>0.35</v>
      </c>
      <c r="AQ49" s="628">
        <f>PRIX!J50</f>
        <v>0.00002</v>
      </c>
      <c r="AR49" s="631">
        <f>PRIX!K50</f>
        <v>2.35</v>
      </c>
      <c r="AS49" s="631">
        <f>PRIX!L50</f>
        <v>0.864</v>
      </c>
      <c r="AT49" s="631">
        <f>PRIX!M50</f>
        <v>320</v>
      </c>
      <c r="AU49" s="629">
        <f>PRIX!N50</f>
        <v>0.01</v>
      </c>
      <c r="AV49" s="631">
        <f>PRIX!O50</f>
        <v>4.8</v>
      </c>
      <c r="AW49" s="631">
        <f>PRIX!P50</f>
        <v>0.0007</v>
      </c>
      <c r="AX49" s="630">
        <f>PRIX!Q50</f>
        <v>0.00002</v>
      </c>
      <c r="AY49" s="631">
        <f>PRIX!R50</f>
        <v>1.7</v>
      </c>
      <c r="AZ49" s="631">
        <f>PRIX!S50</f>
        <v>6.35</v>
      </c>
      <c r="BA49" s="623"/>
    </row>
    <row r="50">
      <c r="A50" s="621">
        <f>ARBITRAGES!E51</f>
        <v>45666</v>
      </c>
      <c r="B50" s="623" t="str">
        <f>IF(A50="","",IF(ARBITRAGES!F51="Invest","Achat","Vente"))</f>
        <v>Achat</v>
      </c>
      <c r="C50" s="623" t="str">
        <f>ARBITRAGES!H51</f>
        <v>TAO</v>
      </c>
      <c r="D50" s="624">
        <f>ARBITRAGES!I51</f>
        <v>430</v>
      </c>
      <c r="E50" s="624">
        <f>ARBITRAGES!J51</f>
        <v>193.5</v>
      </c>
      <c r="F50" s="623"/>
      <c r="G50" s="621">
        <f>'PV (%)'!B52</f>
        <v>45751</v>
      </c>
      <c r="H50" s="624">
        <f>'PV (%)'!E52</f>
        <v>49361.97297</v>
      </c>
      <c r="I50" s="624">
        <f>'PV (%)'!F52</f>
        <v>37044.24622</v>
      </c>
      <c r="J50" s="626">
        <f>'PV (%)'!G52</f>
        <v>40154.82361</v>
      </c>
      <c r="K50" s="623"/>
      <c r="L50" s="621">
        <f>Exposition!A51</f>
        <v>45666</v>
      </c>
      <c r="M50" s="625">
        <f>Exposition!B51</f>
        <v>0.9997573626</v>
      </c>
      <c r="N50" s="625">
        <f>Exposition!C51</f>
        <v>0.490780207</v>
      </c>
      <c r="O50" s="625">
        <f>Exposition!D51</f>
        <v>0.1726335678</v>
      </c>
      <c r="P50" s="625">
        <f>Exposition!E51</f>
        <v>0.05376750088</v>
      </c>
      <c r="Q50" s="625">
        <f>Exposition!F51</f>
        <v>0.06527611861</v>
      </c>
      <c r="R50" s="625">
        <f>Exposition!G51</f>
        <v>0.0532790144</v>
      </c>
      <c r="S50" s="625">
        <f>Exposition!H51</f>
        <v>0.02292355059</v>
      </c>
      <c r="T50" s="625">
        <f>Exposition!I51</f>
        <v>0.04431433905</v>
      </c>
      <c r="U50" s="625">
        <f>Exposition!J51</f>
        <v>0.01266069907</v>
      </c>
      <c r="V50" s="625">
        <f>Exposition!K51</f>
        <v>0.01075040082</v>
      </c>
      <c r="W50" s="625">
        <f>Exposition!L51</f>
        <v>0.005627332926</v>
      </c>
      <c r="X50" s="625">
        <f>Exposition!M51</f>
        <v>0.01468223251</v>
      </c>
      <c r="Y50" s="625">
        <f>Exposition!N51</f>
        <v>0.01938749898</v>
      </c>
      <c r="Z50" s="625">
        <f>Exposition!O51</f>
        <v>0.01193469312</v>
      </c>
      <c r="AA50" s="625">
        <f>Exposition!P51</f>
        <v>0.009680373062</v>
      </c>
      <c r="AB50" s="625">
        <f>Exposition!Q51</f>
        <v>0.001855496062</v>
      </c>
      <c r="AC50" s="625">
        <f>Exposition!R51</f>
        <v>0.008228266403</v>
      </c>
      <c r="AD50" s="625">
        <f>Exposition!S51</f>
        <v>0.001976071383</v>
      </c>
      <c r="AE50" s="625">
        <f>Exposition!T51</f>
        <v>0</v>
      </c>
      <c r="AF50" s="625">
        <f>Exposition!U51</f>
        <v>0.0002426373731</v>
      </c>
      <c r="AG50" s="623"/>
      <c r="AH50" s="621">
        <f>PRIX!A51</f>
        <v>45666</v>
      </c>
      <c r="AI50" s="626">
        <f>PRIX!B51</f>
        <v>92000</v>
      </c>
      <c r="AJ50" s="626">
        <f>PRIX!C51</f>
        <v>3400</v>
      </c>
      <c r="AK50" s="627">
        <f>PRIX!D51</f>
        <v>5.4</v>
      </c>
      <c r="AL50" s="626">
        <f>PRIX!E51</f>
        <v>240</v>
      </c>
      <c r="AM50" s="626">
        <f>PRIX!F51</f>
        <v>460</v>
      </c>
      <c r="AN50" s="627">
        <f>PRIX!G51</f>
        <v>1.8</v>
      </c>
      <c r="AO50" s="627">
        <f>PRIX!H51</f>
        <v>24.5</v>
      </c>
      <c r="AP50" s="631">
        <f>PRIX!I51</f>
        <v>0.4</v>
      </c>
      <c r="AQ50" s="628">
        <f>PRIX!J51</f>
        <v>0.000029</v>
      </c>
      <c r="AR50" s="631">
        <f>PRIX!K51</f>
        <v>2.45</v>
      </c>
      <c r="AS50" s="631">
        <f>PRIX!L51</f>
        <v>1</v>
      </c>
      <c r="AT50" s="631">
        <f>PRIX!M51</f>
        <v>320</v>
      </c>
      <c r="AU50" s="629">
        <f>PRIX!N51</f>
        <v>0.011</v>
      </c>
      <c r="AV50" s="631">
        <f>PRIX!O51</f>
        <v>4.07</v>
      </c>
      <c r="AW50" s="631">
        <f>PRIX!P51</f>
        <v>0.0057</v>
      </c>
      <c r="AX50" s="630">
        <f>PRIX!Q51</f>
        <v>0.000019</v>
      </c>
      <c r="AY50" s="631">
        <f>PRIX!R51</f>
        <v>1.85</v>
      </c>
      <c r="AZ50" s="631">
        <f>PRIX!S51</f>
        <v>6.35</v>
      </c>
      <c r="BA50" s="623"/>
    </row>
    <row r="51">
      <c r="A51" s="621">
        <f>ARBITRAGES!E52</f>
        <v>45676</v>
      </c>
      <c r="B51" s="623" t="str">
        <f>IF(A51="","",IF(ARBITRAGES!F52="Invest","Achat","Vente"))</f>
        <v>Vente</v>
      </c>
      <c r="C51" s="623" t="str">
        <f>ARBITRAGES!H52</f>
        <v>SOL</v>
      </c>
      <c r="D51" s="624">
        <f>ARBITRAGES!I52</f>
        <v>280</v>
      </c>
      <c r="E51" s="624">
        <f>ARBITRAGES!J52</f>
        <v>280</v>
      </c>
      <c r="F51" s="623"/>
      <c r="G51" s="621">
        <f>'PV (%)'!B53</f>
        <v>45753</v>
      </c>
      <c r="H51" s="624">
        <f>'PV (%)'!E53</f>
        <v>46983.08271</v>
      </c>
      <c r="I51" s="624">
        <f>'PV (%)'!F53</f>
        <v>34862.2032</v>
      </c>
      <c r="J51" s="626">
        <f>'PV (%)'!G53</f>
        <v>36867.23552</v>
      </c>
      <c r="K51" s="623"/>
      <c r="L51" s="621">
        <f>Exposition!A52</f>
        <v>45676</v>
      </c>
      <c r="M51" s="625">
        <f>Exposition!B52</f>
        <v>0.9945873978</v>
      </c>
      <c r="N51" s="625">
        <f>Exposition!C52</f>
        <v>0.4897911187</v>
      </c>
      <c r="O51" s="625">
        <f>Exposition!D52</f>
        <v>0.1657545626</v>
      </c>
      <c r="P51" s="625">
        <f>Exposition!E52</f>
        <v>0.05586733627</v>
      </c>
      <c r="Q51" s="625">
        <f>Exposition!F52</f>
        <v>0.07123074857</v>
      </c>
      <c r="R51" s="625">
        <f>Exposition!G52</f>
        <v>0.05080845518</v>
      </c>
      <c r="S51" s="625">
        <f>Exposition!H52</f>
        <v>0.02208652983</v>
      </c>
      <c r="T51" s="625">
        <f>Exposition!I52</f>
        <v>0.04243998407</v>
      </c>
      <c r="U51" s="625">
        <f>Exposition!J52</f>
        <v>0.0121087175</v>
      </c>
      <c r="V51" s="625">
        <f>Exposition!K52</f>
        <v>0.01096715145</v>
      </c>
      <c r="W51" s="625">
        <f>Exposition!L52</f>
        <v>0.005389314719</v>
      </c>
      <c r="X51" s="625">
        <f>Exposition!M52</f>
        <v>0.0172249957</v>
      </c>
      <c r="Y51" s="625">
        <f>Exposition!N52</f>
        <v>0.01854224216</v>
      </c>
      <c r="Z51" s="625">
        <f>Exposition!O52</f>
        <v>0.01217532157</v>
      </c>
      <c r="AA51" s="625">
        <f>Exposition!P52</f>
        <v>0.0090990937</v>
      </c>
      <c r="AB51" s="625">
        <f>Exposition!Q52</f>
        <v>0.001793280085</v>
      </c>
      <c r="AC51" s="625">
        <f>Exposition!R52</f>
        <v>0.007510569149</v>
      </c>
      <c r="AD51" s="625">
        <f>Exposition!S52</f>
        <v>0.001797976574</v>
      </c>
      <c r="AE51" s="625">
        <f>Exposition!T52</f>
        <v>0</v>
      </c>
      <c r="AF51" s="625">
        <f>Exposition!U52</f>
        <v>0.005412602181</v>
      </c>
      <c r="AG51" s="623"/>
      <c r="AH51" s="621">
        <f>PRIX!A52</f>
        <v>45676</v>
      </c>
      <c r="AI51" s="626">
        <f>PRIX!B52</f>
        <v>90000</v>
      </c>
      <c r="AJ51" s="626">
        <f>PRIX!C52</f>
        <v>3200</v>
      </c>
      <c r="AK51" s="627">
        <f>PRIX!D52</f>
        <v>5.5</v>
      </c>
      <c r="AL51" s="626">
        <f>PRIX!E52</f>
        <v>275</v>
      </c>
      <c r="AM51" s="626">
        <f>PRIX!F52</f>
        <v>430</v>
      </c>
      <c r="AN51" s="627">
        <f>PRIX!G52</f>
        <v>1.7</v>
      </c>
      <c r="AO51" s="627">
        <f>PRIX!H52</f>
        <v>23</v>
      </c>
      <c r="AP51" s="631">
        <f>PRIX!I52</f>
        <v>0.375</v>
      </c>
      <c r="AQ51" s="628">
        <f>PRIX!J52</f>
        <v>0.000029</v>
      </c>
      <c r="AR51" s="631">
        <f>PRIX!K52</f>
        <v>2.3</v>
      </c>
      <c r="AS51" s="631">
        <f>PRIX!L52</f>
        <v>1.15</v>
      </c>
      <c r="AT51" s="631">
        <f>PRIX!M52</f>
        <v>300</v>
      </c>
      <c r="AU51" s="629">
        <f>PRIX!N52</f>
        <v>0.011</v>
      </c>
      <c r="AV51" s="631">
        <f>PRIX!O52</f>
        <v>3.75</v>
      </c>
      <c r="AW51" s="631">
        <f>PRIX!P52</f>
        <v>0.0054</v>
      </c>
      <c r="AX51" s="630">
        <f>PRIX!Q52</f>
        <v>0.000017</v>
      </c>
      <c r="AY51" s="631">
        <f>PRIX!R52</f>
        <v>1.65</v>
      </c>
      <c r="AZ51" s="631">
        <f>PRIX!S52</f>
        <v>6.35</v>
      </c>
      <c r="BA51" s="623"/>
    </row>
    <row r="52">
      <c r="A52" s="621">
        <f>ARBITRAGES!E53</f>
        <v>45677</v>
      </c>
      <c r="B52" s="623" t="str">
        <f>IF(A52="","",IF(ARBITRAGES!F53="Invest","Achat","Vente"))</f>
        <v>Achat</v>
      </c>
      <c r="C52" s="623" t="str">
        <f>ARBITRAGES!H53</f>
        <v>RAY</v>
      </c>
      <c r="D52" s="624">
        <f>ARBITRAGES!I53</f>
        <v>6.35</v>
      </c>
      <c r="E52" s="624">
        <f>ARBITRAGES!J53</f>
        <v>279.4</v>
      </c>
      <c r="F52" s="623"/>
      <c r="G52" s="621">
        <f>'PV (%)'!B54</f>
        <v>45754</v>
      </c>
      <c r="H52" s="624">
        <f>'PV (%)'!E54</f>
        <v>47577.80528</v>
      </c>
      <c r="I52" s="624">
        <f>'PV (%)'!F54</f>
        <v>34584.89424</v>
      </c>
      <c r="J52" s="626">
        <f>'PV (%)'!G54</f>
        <v>36887.23552</v>
      </c>
      <c r="K52" s="623"/>
      <c r="L52" s="621">
        <f>Exposition!A53</f>
        <v>45677</v>
      </c>
      <c r="M52" s="625">
        <f>Exposition!B53</f>
        <v>0.9997401789</v>
      </c>
      <c r="N52" s="625">
        <f>Exposition!C53</f>
        <v>0.5030444632</v>
      </c>
      <c r="O52" s="625">
        <f>Exposition!D53</f>
        <v>0.1717432206</v>
      </c>
      <c r="P52" s="625">
        <f>Exposition!E53</f>
        <v>0.05306996101</v>
      </c>
      <c r="Q52" s="625">
        <f>Exposition!F53</f>
        <v>0.06506163498</v>
      </c>
      <c r="R52" s="625">
        <f>Exposition!G53</f>
        <v>0.04451936407</v>
      </c>
      <c r="S52" s="625">
        <f>Exposition!H53</f>
        <v>0.02219103895</v>
      </c>
      <c r="T52" s="625">
        <f>Exposition!I53</f>
        <v>0.04736836888</v>
      </c>
      <c r="U52" s="625">
        <f>Exposition!J53</f>
        <v>0.01151715952</v>
      </c>
      <c r="V52" s="625">
        <f>Exposition!K53</f>
        <v>0.007979309071</v>
      </c>
      <c r="W52" s="625">
        <f>Exposition!L53</f>
        <v>0.005108761085</v>
      </c>
      <c r="X52" s="625">
        <f>Exposition!M53</f>
        <v>0.01185871546</v>
      </c>
      <c r="Y52" s="625">
        <f>Exposition!N53</f>
        <v>0.02049297845</v>
      </c>
      <c r="Z52" s="625">
        <f>Exposition!O53</f>
        <v>0.011120848</v>
      </c>
      <c r="AA52" s="625">
        <f>Exposition!P53</f>
        <v>0.008410776917</v>
      </c>
      <c r="AB52" s="625">
        <f>Exposition!Q53</f>
        <v>0.001334641136</v>
      </c>
      <c r="AC52" s="625">
        <f>Exposition!R53</f>
        <v>0.006658330312</v>
      </c>
      <c r="AD52" s="625">
        <f>Exposition!S53</f>
        <v>0.001532774512</v>
      </c>
      <c r="AE52" s="625">
        <f>Exposition!T53</f>
        <v>0.006727832716</v>
      </c>
      <c r="AF52" s="625">
        <f>Exposition!U53</f>
        <v>0.000259821097</v>
      </c>
      <c r="AG52" s="623"/>
      <c r="AH52" s="621">
        <f>PRIX!A53</f>
        <v>45677</v>
      </c>
      <c r="AI52" s="626">
        <f>PRIX!B53</f>
        <v>92000</v>
      </c>
      <c r="AJ52" s="626">
        <f>PRIX!C53</f>
        <v>3300</v>
      </c>
      <c r="AK52" s="627">
        <f>PRIX!D53</f>
        <v>5.2</v>
      </c>
      <c r="AL52" s="626">
        <f>PRIX!E53</f>
        <v>250</v>
      </c>
      <c r="AM52" s="626">
        <f>PRIX!F53</f>
        <v>375</v>
      </c>
      <c r="AN52" s="627">
        <f>PRIX!G53</f>
        <v>1.7</v>
      </c>
      <c r="AO52" s="627">
        <f>PRIX!H53</f>
        <v>25.55</v>
      </c>
      <c r="AP52" s="631">
        <f>PRIX!I53</f>
        <v>0.355</v>
      </c>
      <c r="AQ52" s="628">
        <f>PRIX!J53</f>
        <v>0.000021</v>
      </c>
      <c r="AR52" s="631">
        <f>PRIX!K53</f>
        <v>2.17</v>
      </c>
      <c r="AS52" s="631">
        <f>PRIX!L53</f>
        <v>0.788</v>
      </c>
      <c r="AT52" s="631">
        <f>PRIX!M53</f>
        <v>330</v>
      </c>
      <c r="AU52" s="629">
        <f>PRIX!N53</f>
        <v>0.01</v>
      </c>
      <c r="AV52" s="631">
        <f>PRIX!O53</f>
        <v>3.45</v>
      </c>
      <c r="AW52" s="631">
        <f>PRIX!P53</f>
        <v>0.004</v>
      </c>
      <c r="AX52" s="630">
        <f>PRIX!Q53</f>
        <v>0.000015</v>
      </c>
      <c r="AY52" s="631">
        <f>PRIX!R53</f>
        <v>1.4</v>
      </c>
      <c r="AZ52" s="631">
        <f>PRIX!S53</f>
        <v>8.25</v>
      </c>
      <c r="BA52" s="623"/>
    </row>
    <row r="53">
      <c r="A53" s="621">
        <f>ARBITRAGES!E54</f>
        <v>45718</v>
      </c>
      <c r="B53" s="623" t="str">
        <f>IF(A53="","",IF(ARBITRAGES!F54="Invest","Achat","Vente"))</f>
        <v>Vente</v>
      </c>
      <c r="C53" s="623" t="str">
        <f>ARBITRAGES!H54</f>
        <v>BTC</v>
      </c>
      <c r="D53" s="624">
        <f>ARBITRAGES!I54</f>
        <v>94500</v>
      </c>
      <c r="E53" s="624">
        <f>ARBITRAGES!J54</f>
        <v>2362</v>
      </c>
      <c r="F53" s="623"/>
      <c r="G53" s="621">
        <f>'PV (%)'!B55</f>
        <v>45756</v>
      </c>
      <c r="H53" s="624">
        <f>'PV (%)'!E55</f>
        <v>46983.08271</v>
      </c>
      <c r="I53" s="624">
        <f>'PV (%)'!F55</f>
        <v>34307.58528</v>
      </c>
      <c r="J53" s="626">
        <f>'PV (%)'!G55</f>
        <v>36631.22302</v>
      </c>
      <c r="K53" s="623"/>
      <c r="L53" s="621">
        <f>Exposition!A54</f>
        <v>45718</v>
      </c>
      <c r="M53" s="625">
        <f>Exposition!B54</f>
        <v>0.9529519786</v>
      </c>
      <c r="N53" s="625">
        <f>Exposition!C54</f>
        <v>0.5026369076</v>
      </c>
      <c r="O53" s="625">
        <f>Exposition!D54</f>
        <v>0.1669954044</v>
      </c>
      <c r="P53" s="625">
        <f>Exposition!E54</f>
        <v>0.04579495924</v>
      </c>
      <c r="Q53" s="625">
        <f>Exposition!F54</f>
        <v>0.06003412437</v>
      </c>
      <c r="R53" s="625">
        <f>Exposition!G54</f>
        <v>0.04188836969</v>
      </c>
      <c r="S53" s="625">
        <f>Exposition!H54</f>
        <v>0.01680656197</v>
      </c>
      <c r="T53" s="625">
        <f>Exposition!I54</f>
        <v>0.03565987502</v>
      </c>
      <c r="U53" s="625">
        <f>Exposition!J54</f>
        <v>0.01040183793</v>
      </c>
      <c r="V53" s="625">
        <f>Exposition!K54</f>
        <v>0.006495431423</v>
      </c>
      <c r="W53" s="625">
        <f>Exposition!L54</f>
        <v>0.005282828228</v>
      </c>
      <c r="X53" s="625">
        <f>Exposition!M54</f>
        <v>0.01378141755</v>
      </c>
      <c r="Y53" s="625">
        <f>Exposition!N54</f>
        <v>0.0199037707</v>
      </c>
      <c r="Z53" s="625">
        <f>Exposition!O54</f>
        <v>0.009504972254</v>
      </c>
      <c r="AA53" s="625">
        <f>Exposition!P54</f>
        <v>0.007813781007</v>
      </c>
      <c r="AB53" s="625">
        <f>Exposition!Q54</f>
        <v>0.001425894743</v>
      </c>
      <c r="AC53" s="625">
        <f>Exposition!R54</f>
        <v>0.004742387515</v>
      </c>
      <c r="AD53" s="625">
        <f>Exposition!S54</f>
        <v>0.001169696515</v>
      </c>
      <c r="AE53" s="625">
        <f>Exposition!T54</f>
        <v>0.002613758463</v>
      </c>
      <c r="AF53" s="625">
        <f>Exposition!U54</f>
        <v>0.04704802142</v>
      </c>
      <c r="AG53" s="623"/>
      <c r="AH53" s="621">
        <f>PRIX!A54</f>
        <v>45718</v>
      </c>
      <c r="AI53" s="626">
        <f>PRIX!B54</f>
        <v>94000</v>
      </c>
      <c r="AJ53" s="626">
        <f>PRIX!C54</f>
        <v>3000</v>
      </c>
      <c r="AK53" s="627">
        <f>PRIX!D54</f>
        <v>4.2</v>
      </c>
      <c r="AL53" s="626">
        <f>PRIX!E54</f>
        <v>215</v>
      </c>
      <c r="AM53" s="626">
        <f>PRIX!F54</f>
        <v>330</v>
      </c>
      <c r="AN53" s="627">
        <f>PRIX!G54</f>
        <v>1.2</v>
      </c>
      <c r="AO53" s="627">
        <f>PRIX!H54</f>
        <v>18</v>
      </c>
      <c r="AP53" s="631">
        <f>PRIX!I54</f>
        <v>0.3</v>
      </c>
      <c r="AQ53" s="628">
        <f>PRIX!J54</f>
        <v>0.000016</v>
      </c>
      <c r="AR53" s="631">
        <f>PRIX!K54</f>
        <v>2.1</v>
      </c>
      <c r="AS53" s="631">
        <f>PRIX!L54</f>
        <v>0.854</v>
      </c>
      <c r="AT53" s="631">
        <f>PRIX!M54</f>
        <v>300</v>
      </c>
      <c r="AU53" s="629">
        <f>PRIX!N54</f>
        <v>0.008</v>
      </c>
      <c r="AV53" s="631">
        <f>PRIX!O54</f>
        <v>3</v>
      </c>
      <c r="AW53" s="631">
        <f>PRIX!P54</f>
        <v>0.004</v>
      </c>
      <c r="AX53" s="630">
        <f>PRIX!Q54</f>
        <v>0.00001</v>
      </c>
      <c r="AY53" s="631">
        <f>PRIX!R54</f>
        <v>1</v>
      </c>
      <c r="AZ53" s="631">
        <f>PRIX!S54</f>
        <v>3</v>
      </c>
      <c r="BA53" s="623"/>
    </row>
    <row r="54">
      <c r="A54" s="621">
        <f>ARBITRAGES!E55</f>
        <v>45719</v>
      </c>
      <c r="B54" s="623" t="str">
        <f>IF(A54="","",IF(ARBITRAGES!F55="Invest","Achat","Vente"))</f>
        <v>Achat</v>
      </c>
      <c r="C54" s="623" t="str">
        <f>ARBITRAGES!H55</f>
        <v>TAO</v>
      </c>
      <c r="D54" s="624">
        <f>ARBITRAGES!I55</f>
        <v>310</v>
      </c>
      <c r="E54" s="624">
        <f>ARBITRAGES!J55</f>
        <v>375</v>
      </c>
      <c r="F54" s="623"/>
      <c r="G54" s="621">
        <f>'PV (%)'!B56</f>
        <v>45757</v>
      </c>
      <c r="H54" s="624">
        <f>'PV (%)'!E56</f>
        <v>47577.80528</v>
      </c>
      <c r="I54" s="624">
        <f>'PV (%)'!F56</f>
        <v>36121.83177</v>
      </c>
      <c r="J54" s="626">
        <f>'PV (%)'!G56</f>
        <v>38502.14361</v>
      </c>
      <c r="K54" s="623"/>
      <c r="L54" s="621">
        <f>Exposition!A55</f>
        <v>45719</v>
      </c>
      <c r="M54" s="625">
        <f>Exposition!B55</f>
        <v>0.9565029109</v>
      </c>
      <c r="N54" s="625">
        <f>Exposition!C55</f>
        <v>0.516567088</v>
      </c>
      <c r="O54" s="625">
        <f>Exposition!D55</f>
        <v>0.1674369742</v>
      </c>
      <c r="P54" s="625">
        <f>Exposition!E55</f>
        <v>0.04069722926</v>
      </c>
      <c r="Q54" s="625">
        <f>Exposition!F55</f>
        <v>0.05916087231</v>
      </c>
      <c r="R54" s="625">
        <f>Exposition!G55</f>
        <v>0.05134906615</v>
      </c>
      <c r="S54" s="625">
        <f>Exposition!H55</f>
        <v>0.01537500176</v>
      </c>
      <c r="T54" s="625">
        <f>Exposition!I55</f>
        <v>0.03370982896</v>
      </c>
      <c r="U54" s="625">
        <f>Exposition!J55</f>
        <v>0.008373924637</v>
      </c>
      <c r="V54" s="625">
        <f>Exposition!K55</f>
        <v>0.006462098309</v>
      </c>
      <c r="W54" s="625">
        <f>Exposition!L55</f>
        <v>0.005523250364</v>
      </c>
      <c r="X54" s="625">
        <f>Exposition!M55</f>
        <v>0.01328662945</v>
      </c>
      <c r="Y54" s="625">
        <f>Exposition!N55</f>
        <v>0.01456671556</v>
      </c>
      <c r="Z54" s="625">
        <f>Exposition!O55</f>
        <v>0.007825816423</v>
      </c>
      <c r="AA54" s="625">
        <f>Exposition!P55</f>
        <v>0.007148213715</v>
      </c>
      <c r="AB54" s="625">
        <f>Exposition!Q55</f>
        <v>0.00156532675</v>
      </c>
      <c r="AC54" s="625">
        <f>Exposition!R55</f>
        <v>0.00416489987</v>
      </c>
      <c r="AD54" s="625">
        <f>Exposition!S55</f>
        <v>0.0008988532128</v>
      </c>
      <c r="AE54" s="625">
        <f>Exposition!T55</f>
        <v>0.002391122055</v>
      </c>
      <c r="AF54" s="625">
        <f>Exposition!U55</f>
        <v>0.04349708909</v>
      </c>
      <c r="AG54" s="623"/>
      <c r="AH54" s="621">
        <f>PRIX!A55</f>
        <v>45719</v>
      </c>
      <c r="AI54" s="626">
        <f>PRIX!B55</f>
        <v>88000</v>
      </c>
      <c r="AJ54" s="626">
        <f>PRIX!C55</f>
        <v>2740</v>
      </c>
      <c r="AK54" s="627">
        <f>PRIX!D55</f>
        <v>3.4</v>
      </c>
      <c r="AL54" s="626">
        <f>PRIX!E55</f>
        <v>193</v>
      </c>
      <c r="AM54" s="626">
        <f>PRIX!F55</f>
        <v>310</v>
      </c>
      <c r="AN54" s="627">
        <f>PRIX!G55</f>
        <v>1</v>
      </c>
      <c r="AO54" s="627">
        <f>PRIX!H55</f>
        <v>15.5</v>
      </c>
      <c r="AP54" s="631">
        <f>PRIX!I55</f>
        <v>0.22</v>
      </c>
      <c r="AQ54" s="628">
        <f>PRIX!J55</f>
        <v>0.0000145</v>
      </c>
      <c r="AR54" s="631">
        <f>PRIX!K55</f>
        <v>2</v>
      </c>
      <c r="AS54" s="631">
        <f>PRIX!L55</f>
        <v>0.75</v>
      </c>
      <c r="AT54" s="631">
        <f>PRIX!M55</f>
        <v>200</v>
      </c>
      <c r="AU54" s="629">
        <f>PRIX!N55</f>
        <v>0.006</v>
      </c>
      <c r="AV54" s="631">
        <f>PRIX!O55</f>
        <v>2.5</v>
      </c>
      <c r="AW54" s="631">
        <f>PRIX!P55</f>
        <v>0.004</v>
      </c>
      <c r="AX54" s="630">
        <f>PRIX!Q55</f>
        <v>0.000008</v>
      </c>
      <c r="AY54" s="631">
        <f>PRIX!R55</f>
        <v>0.7</v>
      </c>
      <c r="AZ54" s="631">
        <f>PRIX!S55</f>
        <v>2.5</v>
      </c>
      <c r="BA54" s="623"/>
    </row>
    <row r="55">
      <c r="A55" s="621">
        <f>ARBITRAGES!E56</f>
        <v>45719</v>
      </c>
      <c r="B55" s="623" t="str">
        <f>IF(A55="","",IF(ARBITRAGES!F56="Invest","Achat","Vente"))</f>
        <v>Achat</v>
      </c>
      <c r="C55" s="623" t="str">
        <f>ARBITRAGES!H56</f>
        <v>AAVE</v>
      </c>
      <c r="D55" s="624">
        <f>ARBITRAGES!I56</f>
        <v>190</v>
      </c>
      <c r="E55" s="624">
        <f>ARBITRAGES!J56</f>
        <v>126.75</v>
      </c>
      <c r="F55" s="623"/>
      <c r="G55" s="621">
        <f>'PV (%)'!B57</f>
        <v>45758</v>
      </c>
      <c r="H55" s="624">
        <f>'PV (%)'!E57</f>
        <v>51146.14067</v>
      </c>
      <c r="I55" s="624">
        <f>'PV (%)'!F57</f>
        <v>37785.68552</v>
      </c>
      <c r="J55" s="626">
        <f>'PV (%)'!G57</f>
        <v>38493.93879</v>
      </c>
      <c r="K55" s="623"/>
      <c r="L55" s="621">
        <f>Exposition!A56</f>
        <v>45719</v>
      </c>
      <c r="M55" s="625">
        <f>Exposition!B56</f>
        <v>0.9592643049</v>
      </c>
      <c r="N55" s="625">
        <f>Exposition!C56</f>
        <v>0.5164888677</v>
      </c>
      <c r="O55" s="625">
        <f>Exposition!D56</f>
        <v>0.1674116203</v>
      </c>
      <c r="P55" s="625">
        <f>Exposition!E56</f>
        <v>0.04069106675</v>
      </c>
      <c r="Q55" s="625">
        <f>Exposition!F56</f>
        <v>0.05915191398</v>
      </c>
      <c r="R55" s="625">
        <f>Exposition!G56</f>
        <v>0.05134129071</v>
      </c>
      <c r="S55" s="625">
        <f>Exposition!H56</f>
        <v>0.01537267363</v>
      </c>
      <c r="T55" s="625">
        <f>Exposition!I56</f>
        <v>0.03370472451</v>
      </c>
      <c r="U55" s="625">
        <f>Exposition!J56</f>
        <v>0.00837265663</v>
      </c>
      <c r="V55" s="625">
        <f>Exposition!K56</f>
        <v>0.006461119797</v>
      </c>
      <c r="W55" s="625">
        <f>Exposition!L56</f>
        <v>0.005522414016</v>
      </c>
      <c r="X55" s="625">
        <f>Exposition!M56</f>
        <v>0.01328461755</v>
      </c>
      <c r="Y55" s="625">
        <f>Exposition!N56</f>
        <v>0.01746430721</v>
      </c>
      <c r="Z55" s="625">
        <f>Exposition!O56</f>
        <v>0.00782736992</v>
      </c>
      <c r="AA55" s="625">
        <f>Exposition!P56</f>
        <v>0.007150391437</v>
      </c>
      <c r="AB55" s="625">
        <f>Exposition!Q56</f>
        <v>0.001565524407</v>
      </c>
      <c r="AC55" s="625">
        <f>Exposition!R56</f>
        <v>0.004164269207</v>
      </c>
      <c r="AD55" s="625">
        <f>Exposition!S56</f>
        <v>0.0008987171056</v>
      </c>
      <c r="AE55" s="625">
        <f>Exposition!T56</f>
        <v>0.002390759983</v>
      </c>
      <c r="AF55" s="625">
        <f>Exposition!U56</f>
        <v>0.04073569509</v>
      </c>
      <c r="AG55" s="623"/>
      <c r="AH55" s="621">
        <f>PRIX!A56</f>
        <v>45719</v>
      </c>
      <c r="AI55" s="626">
        <f>PRIX!B56</f>
        <v>88000</v>
      </c>
      <c r="AJ55" s="626">
        <f>PRIX!C56</f>
        <v>2740</v>
      </c>
      <c r="AK55" s="627">
        <f>PRIX!D56</f>
        <v>3.4</v>
      </c>
      <c r="AL55" s="626">
        <f>PRIX!E56</f>
        <v>193</v>
      </c>
      <c r="AM55" s="626">
        <f>PRIX!F56</f>
        <v>310</v>
      </c>
      <c r="AN55" s="627">
        <f>PRIX!G56</f>
        <v>1</v>
      </c>
      <c r="AO55" s="627">
        <f>PRIX!H56</f>
        <v>15.5</v>
      </c>
      <c r="AP55" s="631">
        <f>PRIX!I56</f>
        <v>0.22</v>
      </c>
      <c r="AQ55" s="628">
        <f>PRIX!J56</f>
        <v>0.0000145</v>
      </c>
      <c r="AR55" s="631">
        <f>PRIX!K56</f>
        <v>2</v>
      </c>
      <c r="AS55" s="631">
        <f>PRIX!L56</f>
        <v>0.75</v>
      </c>
      <c r="AT55" s="631">
        <f>PRIX!M56</f>
        <v>200</v>
      </c>
      <c r="AU55" s="629">
        <f>PRIX!N56</f>
        <v>0.006</v>
      </c>
      <c r="AV55" s="631">
        <f>PRIX!O56</f>
        <v>2.5</v>
      </c>
      <c r="AW55" s="631">
        <f>PRIX!P56</f>
        <v>0.004</v>
      </c>
      <c r="AX55" s="630">
        <f>PRIX!Q56</f>
        <v>0.000008</v>
      </c>
      <c r="AY55" s="631">
        <f>PRIX!R56</f>
        <v>0.7</v>
      </c>
      <c r="AZ55" s="631">
        <f>PRIX!S56</f>
        <v>2.5</v>
      </c>
      <c r="BA55" s="623"/>
    </row>
    <row r="56">
      <c r="A56" s="621">
        <f>ARBITRAGES!E57</f>
        <v>45719</v>
      </c>
      <c r="B56" s="623" t="str">
        <f>IF(A56="","",IF(ARBITRAGES!F57="Invest","Achat","Vente"))</f>
        <v>Achat</v>
      </c>
      <c r="C56" s="623" t="str">
        <f>ARBITRAGES!H57</f>
        <v>BTC</v>
      </c>
      <c r="D56" s="624">
        <f>ARBITRAGES!I57</f>
        <v>86500</v>
      </c>
      <c r="E56" s="624">
        <f>ARBITRAGES!J57</f>
        <v>300</v>
      </c>
      <c r="F56" s="623"/>
      <c r="G56" s="621">
        <f>'PV (%)'!B58</f>
        <v>45760</v>
      </c>
      <c r="H56" s="624">
        <f>'PV (%)'!E58</f>
        <v>51146.14067</v>
      </c>
      <c r="I56" s="624">
        <f>'PV (%)'!F58</f>
        <v>37785.68552</v>
      </c>
      <c r="J56" s="626">
        <f>'PV (%)'!G58</f>
        <v>40128.97563</v>
      </c>
      <c r="K56" s="623"/>
      <c r="L56" s="621">
        <f>Exposition!A57</f>
        <v>45719</v>
      </c>
      <c r="M56" s="625">
        <f>Exposition!B57</f>
        <v>0.9657884276</v>
      </c>
      <c r="N56" s="625">
        <f>Exposition!C57</f>
        <v>0.5230630485</v>
      </c>
      <c r="O56" s="625">
        <f>Exposition!D57</f>
        <v>0.1673926936</v>
      </c>
      <c r="P56" s="625">
        <f>Exposition!E57</f>
        <v>0.04068646642</v>
      </c>
      <c r="Q56" s="625">
        <f>Exposition!F57</f>
        <v>0.05914522654</v>
      </c>
      <c r="R56" s="625">
        <f>Exposition!G57</f>
        <v>0.05133548631</v>
      </c>
      <c r="S56" s="625">
        <f>Exposition!H57</f>
        <v>0.01537093567</v>
      </c>
      <c r="T56" s="625">
        <f>Exposition!I57</f>
        <v>0.03370091402</v>
      </c>
      <c r="U56" s="625">
        <f>Exposition!J57</f>
        <v>0.008371710058</v>
      </c>
      <c r="V56" s="625">
        <f>Exposition!K57</f>
        <v>0.006460389334</v>
      </c>
      <c r="W56" s="625">
        <f>Exposition!L57</f>
        <v>0.005521789678</v>
      </c>
      <c r="X56" s="625">
        <f>Exposition!M57</f>
        <v>0.01328311565</v>
      </c>
      <c r="Y56" s="625">
        <f>Exposition!N57</f>
        <v>0.01746233278</v>
      </c>
      <c r="Z56" s="625">
        <f>Exposition!O57</f>
        <v>0.007826484995</v>
      </c>
      <c r="AA56" s="625">
        <f>Exposition!P57</f>
        <v>0.007149583048</v>
      </c>
      <c r="AB56" s="625">
        <f>Exposition!Q57</f>
        <v>0.001565347417</v>
      </c>
      <c r="AC56" s="625">
        <f>Exposition!R57</f>
        <v>0.004163798415</v>
      </c>
      <c r="AD56" s="625">
        <f>Exposition!S57</f>
        <v>0.0008986155009</v>
      </c>
      <c r="AE56" s="625">
        <f>Exposition!T57</f>
        <v>0.002390489695</v>
      </c>
      <c r="AF56" s="625">
        <f>Exposition!U57</f>
        <v>0.03421157236</v>
      </c>
      <c r="AG56" s="623"/>
      <c r="AH56" s="621">
        <f>PRIX!A57</f>
        <v>45719</v>
      </c>
      <c r="AI56" s="626">
        <f>PRIX!B57</f>
        <v>88000</v>
      </c>
      <c r="AJ56" s="626">
        <f>PRIX!C57</f>
        <v>2740</v>
      </c>
      <c r="AK56" s="627">
        <f>PRIX!D57</f>
        <v>3.4</v>
      </c>
      <c r="AL56" s="626">
        <f>PRIX!E57</f>
        <v>193</v>
      </c>
      <c r="AM56" s="626">
        <f>PRIX!F57</f>
        <v>310</v>
      </c>
      <c r="AN56" s="627">
        <f>PRIX!G57</f>
        <v>1</v>
      </c>
      <c r="AO56" s="627">
        <f>PRIX!H57</f>
        <v>15.5</v>
      </c>
      <c r="AP56" s="631">
        <f>PRIX!I57</f>
        <v>0.22</v>
      </c>
      <c r="AQ56" s="628">
        <f>PRIX!J57</f>
        <v>0.0000145</v>
      </c>
      <c r="AR56" s="631">
        <f>PRIX!K57</f>
        <v>2</v>
      </c>
      <c r="AS56" s="631">
        <f>PRIX!L57</f>
        <v>0.75</v>
      </c>
      <c r="AT56" s="631">
        <f>PRIX!M57</f>
        <v>200</v>
      </c>
      <c r="AU56" s="629">
        <f>PRIX!N57</f>
        <v>0.006</v>
      </c>
      <c r="AV56" s="631">
        <f>PRIX!O57</f>
        <v>2.5</v>
      </c>
      <c r="AW56" s="631">
        <f>PRIX!P57</f>
        <v>0.004</v>
      </c>
      <c r="AX56" s="630">
        <f>PRIX!Q57</f>
        <v>0.000008</v>
      </c>
      <c r="AY56" s="631">
        <f>PRIX!R57</f>
        <v>0.7</v>
      </c>
      <c r="AZ56" s="631">
        <f>PRIX!S57</f>
        <v>2.5</v>
      </c>
      <c r="BA56" s="623"/>
    </row>
    <row r="57">
      <c r="A57" s="621">
        <f>ARBITRAGES!E58</f>
        <v>45719</v>
      </c>
      <c r="B57" s="623" t="str">
        <f>IF(A57="","",IF(ARBITRAGES!F58="Invest","Achat","Vente"))</f>
        <v>Achat</v>
      </c>
      <c r="C57" s="623" t="str">
        <f>ARBITRAGES!H58</f>
        <v>BTC</v>
      </c>
      <c r="D57" s="624">
        <f>ARBITRAGES!I58</f>
        <v>86000</v>
      </c>
      <c r="E57" s="624">
        <f>ARBITRAGES!J58</f>
        <v>559</v>
      </c>
      <c r="F57" s="623"/>
      <c r="G57" s="621">
        <f>'PV (%)'!B59</f>
        <v>45779</v>
      </c>
      <c r="H57" s="624">
        <f>'PV (%)'!E59</f>
        <v>55309.19863</v>
      </c>
      <c r="I57" s="624">
        <f>'PV (%)'!F59</f>
        <v>41135.87532</v>
      </c>
      <c r="J57" s="626">
        <f>'PV (%)'!G59</f>
        <v>44107.81914</v>
      </c>
      <c r="K57" s="623"/>
      <c r="L57" s="621">
        <f>Exposition!A58</f>
        <v>45719</v>
      </c>
      <c r="M57" s="625">
        <f>Exposition!B58</f>
        <v>0.9779426931</v>
      </c>
      <c r="N57" s="625">
        <f>Exposition!C58</f>
        <v>0.5353423541</v>
      </c>
      <c r="O57" s="625">
        <f>Exposition!D58</f>
        <v>0.1673454164</v>
      </c>
      <c r="P57" s="625">
        <f>Exposition!E58</f>
        <v>0.04067497523</v>
      </c>
      <c r="Q57" s="625">
        <f>Exposition!F58</f>
        <v>0.059128522</v>
      </c>
      <c r="R57" s="625">
        <f>Exposition!G58</f>
        <v>0.0513209875</v>
      </c>
      <c r="S57" s="625">
        <f>Exposition!H58</f>
        <v>0.01536659442</v>
      </c>
      <c r="T57" s="625">
        <f>Exposition!I58</f>
        <v>0.03369139578</v>
      </c>
      <c r="U57" s="625">
        <f>Exposition!J58</f>
        <v>0.008369345614</v>
      </c>
      <c r="V57" s="625">
        <f>Exposition!K58</f>
        <v>0.006458564709</v>
      </c>
      <c r="W57" s="625">
        <f>Exposition!L58</f>
        <v>0.005520230145</v>
      </c>
      <c r="X57" s="625">
        <f>Exposition!M58</f>
        <v>0.01327936407</v>
      </c>
      <c r="Y57" s="625">
        <f>Exposition!N58</f>
        <v>0.01745740085</v>
      </c>
      <c r="Z57" s="625">
        <f>Exposition!O58</f>
        <v>0.00782427454</v>
      </c>
      <c r="AA57" s="625">
        <f>Exposition!P58</f>
        <v>0.007147563773</v>
      </c>
      <c r="AB57" s="625">
        <f>Exposition!Q58</f>
        <v>0.001564905311</v>
      </c>
      <c r="AC57" s="625">
        <f>Exposition!R58</f>
        <v>0.004162622423</v>
      </c>
      <c r="AD57" s="625">
        <f>Exposition!S58</f>
        <v>0.0008983617026</v>
      </c>
      <c r="AE57" s="625">
        <f>Exposition!T58</f>
        <v>0.002389814543</v>
      </c>
      <c r="AF57" s="625">
        <f>Exposition!U58</f>
        <v>0.0220573069</v>
      </c>
      <c r="AG57" s="623"/>
      <c r="AH57" s="621">
        <f>PRIX!A58</f>
        <v>45719</v>
      </c>
      <c r="AI57" s="626">
        <f>PRIX!B58</f>
        <v>88000</v>
      </c>
      <c r="AJ57" s="626">
        <f>PRIX!C58</f>
        <v>2740</v>
      </c>
      <c r="AK57" s="627">
        <f>PRIX!D58</f>
        <v>3.4</v>
      </c>
      <c r="AL57" s="626">
        <f>PRIX!E58</f>
        <v>193</v>
      </c>
      <c r="AM57" s="626">
        <f>PRIX!F58</f>
        <v>310</v>
      </c>
      <c r="AN57" s="627">
        <f>PRIX!G58</f>
        <v>1</v>
      </c>
      <c r="AO57" s="627">
        <f>PRIX!H58</f>
        <v>15.5</v>
      </c>
      <c r="AP57" s="631">
        <f>PRIX!I58</f>
        <v>0.22</v>
      </c>
      <c r="AQ57" s="628">
        <f>PRIX!J58</f>
        <v>0.0000145</v>
      </c>
      <c r="AR57" s="631">
        <f>PRIX!K58</f>
        <v>2</v>
      </c>
      <c r="AS57" s="631">
        <f>PRIX!L58</f>
        <v>0.75</v>
      </c>
      <c r="AT57" s="631">
        <f>PRIX!M58</f>
        <v>200</v>
      </c>
      <c r="AU57" s="629">
        <f>PRIX!N58</f>
        <v>0.006</v>
      </c>
      <c r="AV57" s="631">
        <f>PRIX!O58</f>
        <v>2.5</v>
      </c>
      <c r="AW57" s="631">
        <f>PRIX!P58</f>
        <v>0.004</v>
      </c>
      <c r="AX57" s="630">
        <f>PRIX!Q58</f>
        <v>0.000008</v>
      </c>
      <c r="AY57" s="631">
        <f>PRIX!R58</f>
        <v>0.7</v>
      </c>
      <c r="AZ57" s="631">
        <f>PRIX!S58</f>
        <v>2.5</v>
      </c>
      <c r="BA57" s="623"/>
    </row>
    <row r="58">
      <c r="A58" s="621">
        <f>ARBITRAGES!E59</f>
        <v>45720</v>
      </c>
      <c r="B58" s="623" t="str">
        <f>IF(A58="","",IF(ARBITRAGES!F59="Invest","Achat","Vente"))</f>
        <v>Achat</v>
      </c>
      <c r="C58" s="623" t="str">
        <f>ARBITRAGES!H59</f>
        <v>CKB</v>
      </c>
      <c r="D58" s="634">
        <f>ARBITRAGES!I59</f>
        <v>0.0055</v>
      </c>
      <c r="E58" s="624">
        <f>ARBITRAGES!J59</f>
        <v>75</v>
      </c>
      <c r="F58" s="623"/>
      <c r="G58" s="621">
        <f>'PV (%)'!B60</f>
        <v>45054</v>
      </c>
      <c r="H58" s="624">
        <f>'PV (%)'!E60</f>
        <v>55309.19863</v>
      </c>
      <c r="I58" s="624">
        <f>'PV (%)'!F60</f>
        <v>47384.53792</v>
      </c>
      <c r="J58" s="626">
        <f>'PV (%)'!G60</f>
        <v>51104.18706</v>
      </c>
      <c r="K58" s="623"/>
      <c r="L58" s="621">
        <f>Exposition!A59</f>
        <v>45720</v>
      </c>
      <c r="M58" s="625">
        <f>Exposition!B59</f>
        <v>0.9786326777</v>
      </c>
      <c r="N58" s="625">
        <f>Exposition!C59</f>
        <v>0.5472351908</v>
      </c>
      <c r="O58" s="625">
        <f>Exposition!D59</f>
        <v>0.159709188</v>
      </c>
      <c r="P58" s="625">
        <f>Exposition!E59</f>
        <v>0.03879151204</v>
      </c>
      <c r="Q58" s="625">
        <f>Exposition!F59</f>
        <v>0.04967044452</v>
      </c>
      <c r="R58" s="625">
        <f>Exposition!G59</f>
        <v>0.05368112867</v>
      </c>
      <c r="S58" s="625">
        <f>Exposition!H59</f>
        <v>0.0152696073</v>
      </c>
      <c r="T58" s="625">
        <f>Exposition!I59</f>
        <v>0.03660494979</v>
      </c>
      <c r="U58" s="625">
        <f>Exposition!J59</f>
        <v>0.008356313995</v>
      </c>
      <c r="V58" s="625">
        <f>Exposition!K59</f>
        <v>0.006289678048</v>
      </c>
      <c r="W58" s="625">
        <f>Exposition!L59</f>
        <v>0.005196684226</v>
      </c>
      <c r="X58" s="625">
        <f>Exposition!M59</f>
        <v>0.01185284547</v>
      </c>
      <c r="Y58" s="625">
        <f>Exposition!N59</f>
        <v>0.02008625184</v>
      </c>
      <c r="Z58" s="625">
        <f>Exposition!O59</f>
        <v>0.01037816924</v>
      </c>
      <c r="AA58" s="625">
        <f>Exposition!P59</f>
        <v>0.007476264765</v>
      </c>
      <c r="AB58" s="625">
        <f>Exposition!Q59</f>
        <v>0.0006752096672</v>
      </c>
      <c r="AC58" s="625">
        <f>Exposition!R59</f>
        <v>0.004354052421</v>
      </c>
      <c r="AD58" s="625">
        <f>Exposition!S59</f>
        <v>0.0008054360687</v>
      </c>
      <c r="AE58" s="625">
        <f>Exposition!T59</f>
        <v>0.00219975091</v>
      </c>
      <c r="AF58" s="625">
        <f>Exposition!U59</f>
        <v>0.02136732225</v>
      </c>
      <c r="AG58" s="623"/>
      <c r="AH58" s="621">
        <f>PRIX!A59</f>
        <v>45720</v>
      </c>
      <c r="AI58" s="626">
        <f>PRIX!B59</f>
        <v>86000</v>
      </c>
      <c r="AJ58" s="626">
        <f>PRIX!C59</f>
        <v>2500</v>
      </c>
      <c r="AK58" s="627">
        <f>PRIX!D59</f>
        <v>3.1</v>
      </c>
      <c r="AL58" s="626">
        <f>PRIX!E59</f>
        <v>155</v>
      </c>
      <c r="AM58" s="626">
        <f>PRIX!F59</f>
        <v>310</v>
      </c>
      <c r="AN58" s="627">
        <f>PRIX!G59</f>
        <v>0.95</v>
      </c>
      <c r="AO58" s="627">
        <f>PRIX!H59</f>
        <v>16.1</v>
      </c>
      <c r="AP58" s="631">
        <f>PRIX!I59</f>
        <v>0.21</v>
      </c>
      <c r="AQ58" s="628">
        <f>PRIX!J59</f>
        <v>0.0000135</v>
      </c>
      <c r="AR58" s="631">
        <f>PRIX!K59</f>
        <v>1.8</v>
      </c>
      <c r="AS58" s="631">
        <f>PRIX!L59</f>
        <v>0.64</v>
      </c>
      <c r="AT58" s="631">
        <f>PRIX!M59</f>
        <v>220</v>
      </c>
      <c r="AU58" s="629">
        <f>PRIX!N59</f>
        <v>0.0062</v>
      </c>
      <c r="AV58" s="631">
        <f>PRIX!O59</f>
        <v>2.5</v>
      </c>
      <c r="AW58" s="631">
        <f>PRIX!P59</f>
        <v>0.00165</v>
      </c>
      <c r="AX58" s="630">
        <f>PRIX!Q59</f>
        <v>0.000008</v>
      </c>
      <c r="AY58" s="631">
        <f>PRIX!R59</f>
        <v>0.6</v>
      </c>
      <c r="AZ58" s="631">
        <f>PRIX!S59</f>
        <v>2.2</v>
      </c>
      <c r="BA58" s="623"/>
    </row>
    <row r="59">
      <c r="A59" s="621">
        <f>ARBITRAGES!E60</f>
        <v>45725</v>
      </c>
      <c r="B59" s="623" t="str">
        <f>IF(A59="","",IF(ARBITRAGES!F60="Invest","Achat","Vente"))</f>
        <v>Achat</v>
      </c>
      <c r="C59" s="623" t="str">
        <f>ARBITRAGES!H60</f>
        <v>PENDLE</v>
      </c>
      <c r="D59" s="624">
        <f>ARBITRAGES!I60</f>
        <v>2.3</v>
      </c>
      <c r="E59" s="624">
        <f>ARBITRAGES!J60</f>
        <v>87.4</v>
      </c>
      <c r="F59" s="623"/>
      <c r="G59" s="621">
        <f>'PV (%)'!B61</f>
        <v>45786</v>
      </c>
      <c r="H59" s="624">
        <f>'PV (%)'!E61</f>
        <v>61851.14686</v>
      </c>
      <c r="I59" s="624">
        <f>'PV (%)'!F61</f>
        <v>47384.53792</v>
      </c>
      <c r="J59" s="626">
        <f>'PV (%)'!G61</f>
        <v>51062.16706</v>
      </c>
      <c r="K59" s="623"/>
      <c r="L59" s="621">
        <f>Exposition!A60</f>
        <v>45725</v>
      </c>
      <c r="M59" s="625">
        <f>Exposition!B60</f>
        <v>0.9796957678</v>
      </c>
      <c r="N59" s="625">
        <f>Exposition!C60</f>
        <v>0.5666315727</v>
      </c>
      <c r="O59" s="625">
        <f>Exposition!D60</f>
        <v>0.1472376412</v>
      </c>
      <c r="P59" s="625">
        <f>Exposition!E60</f>
        <v>0.03801712666</v>
      </c>
      <c r="Q59" s="625">
        <f>Exposition!F60</f>
        <v>0.04700030344</v>
      </c>
      <c r="R59" s="625">
        <f>Exposition!G60</f>
        <v>0.05442362644</v>
      </c>
      <c r="S59" s="625">
        <f>Exposition!H60</f>
        <v>0.01448134805</v>
      </c>
      <c r="T59" s="625">
        <f>Exposition!I60</f>
        <v>0.03572822791</v>
      </c>
      <c r="U59" s="625">
        <f>Exposition!J60</f>
        <v>0.008337420948</v>
      </c>
      <c r="V59" s="625">
        <f>Exposition!K60</f>
        <v>0.006345184827</v>
      </c>
      <c r="W59" s="625">
        <f>Exposition!L60</f>
        <v>0.004990499825</v>
      </c>
      <c r="X59" s="625">
        <f>Exposition!M60</f>
        <v>0.01125322286</v>
      </c>
      <c r="Y59" s="625">
        <f>Exposition!N60</f>
        <v>0.01912989102</v>
      </c>
      <c r="Z59" s="625">
        <f>Exposition!O60</f>
        <v>0.0096449066</v>
      </c>
      <c r="AA59" s="625">
        <f>Exposition!P60</f>
        <v>0.009294687193</v>
      </c>
      <c r="AB59" s="625">
        <f>Exposition!Q60</f>
        <v>0.0006001903669</v>
      </c>
      <c r="AC59" s="625">
        <f>Exposition!R60</f>
        <v>0.003991241293</v>
      </c>
      <c r="AD59" s="625">
        <f>Exposition!S60</f>
        <v>0.0007031631543</v>
      </c>
      <c r="AE59" s="625">
        <f>Exposition!T60</f>
        <v>0.001885513334</v>
      </c>
      <c r="AF59" s="625">
        <f>Exposition!U60</f>
        <v>0.02030423221</v>
      </c>
      <c r="AG59" s="623"/>
      <c r="AH59" s="621">
        <f>PRIX!A60</f>
        <v>45725</v>
      </c>
      <c r="AI59" s="626">
        <f>PRIX!B60</f>
        <v>85000</v>
      </c>
      <c r="AJ59" s="626">
        <f>PRIX!C60</f>
        <v>2200</v>
      </c>
      <c r="AK59" s="627">
        <f>PRIX!D60</f>
        <v>2.9</v>
      </c>
      <c r="AL59" s="626">
        <f>PRIX!E60</f>
        <v>140</v>
      </c>
      <c r="AM59" s="626">
        <f>PRIX!F60</f>
        <v>300</v>
      </c>
      <c r="AN59" s="627">
        <f>PRIX!G60</f>
        <v>0.86</v>
      </c>
      <c r="AO59" s="627">
        <f>PRIX!H60</f>
        <v>15</v>
      </c>
      <c r="AP59" s="631">
        <f>PRIX!I60</f>
        <v>0.2</v>
      </c>
      <c r="AQ59" s="628">
        <f>PRIX!J60</f>
        <v>0.000013</v>
      </c>
      <c r="AR59" s="631">
        <f>PRIX!K60</f>
        <v>1.65</v>
      </c>
      <c r="AS59" s="631">
        <f>PRIX!L60</f>
        <v>0.58</v>
      </c>
      <c r="AT59" s="631">
        <f>PRIX!M60</f>
        <v>200</v>
      </c>
      <c r="AU59" s="629">
        <f>PRIX!N60</f>
        <v>0.0055</v>
      </c>
      <c r="AV59" s="631">
        <f>PRIX!O60</f>
        <v>2.3</v>
      </c>
      <c r="AW59" s="631">
        <f>PRIX!P60</f>
        <v>0.0014</v>
      </c>
      <c r="AX59" s="630">
        <f>PRIX!Q60</f>
        <v>0.000007</v>
      </c>
      <c r="AY59" s="631">
        <f>PRIX!R60</f>
        <v>0.5</v>
      </c>
      <c r="AZ59" s="631">
        <f>PRIX!S60</f>
        <v>1.8</v>
      </c>
      <c r="BA59" s="623"/>
    </row>
    <row r="60">
      <c r="A60" s="621">
        <f>ARBITRAGES!E61</f>
        <v>45734</v>
      </c>
      <c r="B60" s="623" t="str">
        <f>IF(A60="","",IF(ARBITRAGES!F61="Invest","Achat","Vente"))</f>
        <v>Vente</v>
      </c>
      <c r="C60" s="623" t="str">
        <f>ARBITRAGES!H61</f>
        <v>TON</v>
      </c>
      <c r="D60" s="624">
        <f>ARBITRAGES!I61</f>
        <v>3.525</v>
      </c>
      <c r="E60" s="624">
        <f>ARBITRAGES!J61</f>
        <v>352.5</v>
      </c>
      <c r="F60" s="623"/>
      <c r="G60" s="621">
        <f>'PV (%)'!B62</f>
        <v>45789</v>
      </c>
      <c r="H60" s="624">
        <f>'PV (%)'!E62</f>
        <v>61851.14686</v>
      </c>
      <c r="I60" s="624">
        <f>'PV (%)'!F62</f>
        <v>49045.5835</v>
      </c>
      <c r="J60" s="626">
        <f>'PV (%)'!G62</f>
        <v>52809.09666</v>
      </c>
      <c r="K60" s="623"/>
      <c r="L60" s="621">
        <f>Exposition!A61</f>
        <v>45734</v>
      </c>
      <c r="M60" s="625">
        <f>Exposition!B61</f>
        <v>0.9723213402</v>
      </c>
      <c r="N60" s="625">
        <f>Exposition!C61</f>
        <v>0.5979784541</v>
      </c>
      <c r="O60" s="625">
        <f>Exposition!D61</f>
        <v>0.1291061438</v>
      </c>
      <c r="P60" s="625">
        <f>Exposition!E61</f>
        <v>0.03725362505</v>
      </c>
      <c r="Q60" s="625">
        <f>Exposition!F61</f>
        <v>0.04241941406</v>
      </c>
      <c r="R60" s="625">
        <f>Exposition!G61</f>
        <v>0.0446197514</v>
      </c>
      <c r="S60" s="625">
        <f>Exposition!H61</f>
        <v>0.01299335401</v>
      </c>
      <c r="T60" s="625">
        <f>Exposition!I61</f>
        <v>0.0333126332</v>
      </c>
      <c r="U60" s="625">
        <f>Exposition!J61</f>
        <v>0.006835517482</v>
      </c>
      <c r="V60" s="625">
        <f>Exposition!K61</f>
        <v>0.00612019163</v>
      </c>
      <c r="W60" s="625">
        <f>Exposition!L61</f>
        <v>0.007876705502</v>
      </c>
      <c r="X60" s="625">
        <f>Exposition!M61</f>
        <v>0.009918489531</v>
      </c>
      <c r="Y60" s="625">
        <f>Exposition!N61</f>
        <v>0.01679092539</v>
      </c>
      <c r="Z60" s="625">
        <f>Exposition!O61</f>
        <v>0.009302908938</v>
      </c>
      <c r="AA60" s="625">
        <f>Exposition!P61</f>
        <v>0.01052425713</v>
      </c>
      <c r="AB60" s="625">
        <f>Exposition!Q61</f>
        <v>0.0006202588757</v>
      </c>
      <c r="AC60" s="625">
        <f>Exposition!R61</f>
        <v>0.004124696052</v>
      </c>
      <c r="AD60" s="625">
        <f>Exposition!S61</f>
        <v>0.0007053589617</v>
      </c>
      <c r="AE60" s="625">
        <f>Exposition!T61</f>
        <v>0.001818655128</v>
      </c>
      <c r="AF60" s="625">
        <f>Exposition!U61</f>
        <v>0.0276786598</v>
      </c>
      <c r="AG60" s="623"/>
      <c r="AH60" s="621">
        <f>PRIX!A61</f>
        <v>45734</v>
      </c>
      <c r="AI60" s="626">
        <f>PRIX!B61</f>
        <v>93000</v>
      </c>
      <c r="AJ60" s="626">
        <f>PRIX!C61</f>
        <v>2000</v>
      </c>
      <c r="AK60" s="627">
        <f>PRIX!D61</f>
        <v>3.6</v>
      </c>
      <c r="AL60" s="626">
        <f>PRIX!E61</f>
        <v>131</v>
      </c>
      <c r="AM60" s="626">
        <f>PRIX!F61</f>
        <v>255</v>
      </c>
      <c r="AN60" s="627">
        <f>PRIX!G61</f>
        <v>0.8</v>
      </c>
      <c r="AO60" s="627">
        <f>PRIX!H61</f>
        <v>14.5</v>
      </c>
      <c r="AP60" s="631">
        <f>PRIX!I61</f>
        <v>0.17</v>
      </c>
      <c r="AQ60" s="628">
        <f>PRIX!J61</f>
        <v>0.000013</v>
      </c>
      <c r="AR60" s="631">
        <f>PRIX!K61</f>
        <v>2.7</v>
      </c>
      <c r="AS60" s="631">
        <f>PRIX!L61</f>
        <v>0.53</v>
      </c>
      <c r="AT60" s="631">
        <f>PRIX!M61</f>
        <v>182</v>
      </c>
      <c r="AU60" s="629">
        <f>PRIX!N61</f>
        <v>0.0055</v>
      </c>
      <c r="AV60" s="631">
        <f>PRIX!O61</f>
        <v>2.7</v>
      </c>
      <c r="AW60" s="631">
        <f>PRIX!P61</f>
        <v>0.0015</v>
      </c>
      <c r="AX60" s="630">
        <f>PRIX!Q61</f>
        <v>0.0000075</v>
      </c>
      <c r="AY60" s="631">
        <f>PRIX!R61</f>
        <v>0.52</v>
      </c>
      <c r="AZ60" s="631">
        <f>PRIX!S61</f>
        <v>1.8</v>
      </c>
      <c r="BA60" s="623"/>
    </row>
    <row r="61">
      <c r="A61" s="621">
        <f>ARBITRAGES!E62</f>
        <v>45749</v>
      </c>
      <c r="B61" s="623" t="str">
        <f>IF(A61="","",IF(ARBITRAGES!F62="Invest","Achat","Vente"))</f>
        <v>Vente</v>
      </c>
      <c r="C61" s="623" t="str">
        <f>ARBITRAGES!H62</f>
        <v>BTC</v>
      </c>
      <c r="D61" s="624">
        <f>ARBITRAGES!I62</f>
        <v>88000</v>
      </c>
      <c r="E61" s="624">
        <f>ARBITRAGES!J62</f>
        <v>1760</v>
      </c>
      <c r="F61" s="623"/>
      <c r="G61" s="621">
        <f>'PV (%)'!B63</f>
        <v>45790</v>
      </c>
      <c r="H61" s="624">
        <f>'PV (%)'!E63</f>
        <v>61851.14686</v>
      </c>
      <c r="I61" s="624">
        <f>'PV (%)'!F63</f>
        <v>48130.62528</v>
      </c>
      <c r="J61" s="626">
        <f>'PV (%)'!G63</f>
        <v>51891.13917</v>
      </c>
      <c r="K61" s="623"/>
      <c r="L61" s="621">
        <f>Exposition!A62</f>
        <v>45749</v>
      </c>
      <c r="M61" s="625">
        <f>Exposition!B62</f>
        <v>0.9261516208</v>
      </c>
      <c r="N61" s="625">
        <f>Exposition!C62</f>
        <v>0.5633467012</v>
      </c>
      <c r="O61" s="625">
        <f>Exposition!D62</f>
        <v>0.1260162427</v>
      </c>
      <c r="P61" s="625">
        <f>Exposition!E62</f>
        <v>0.03647426146</v>
      </c>
      <c r="Q61" s="625">
        <f>Exposition!F62</f>
        <v>0.04214166819</v>
      </c>
      <c r="R61" s="625">
        <f>Exposition!G62</f>
        <v>0.04174906506</v>
      </c>
      <c r="S61" s="625">
        <f>Exposition!H62</f>
        <v>0.01146698858</v>
      </c>
      <c r="T61" s="625">
        <f>Exposition!I62</f>
        <v>0.03239078106</v>
      </c>
      <c r="U61" s="625">
        <f>Exposition!J62</f>
        <v>0.007413247605</v>
      </c>
      <c r="V61" s="625">
        <f>Exposition!K62</f>
        <v>0.006382176182</v>
      </c>
      <c r="W61" s="625">
        <f>Exposition!L62</f>
        <v>0.005694957097</v>
      </c>
      <c r="X61" s="625">
        <f>Exposition!M62</f>
        <v>0.008118331265</v>
      </c>
      <c r="Y61" s="625">
        <f>Exposition!N62</f>
        <v>0.01550858053</v>
      </c>
      <c r="Z61" s="625">
        <f>Exposition!O62</f>
        <v>0.00917198197</v>
      </c>
      <c r="AA61" s="625">
        <f>Exposition!P62</f>
        <v>0.01268195034</v>
      </c>
      <c r="AB61" s="625">
        <f>Exposition!Q62</f>
        <v>0.0005605687057</v>
      </c>
      <c r="AC61" s="625">
        <f>Exposition!R62</f>
        <v>0.004473310647</v>
      </c>
      <c r="AD61" s="625">
        <f>Exposition!S62</f>
        <v>0.0005884423806</v>
      </c>
      <c r="AE61" s="625">
        <f>Exposition!T62</f>
        <v>0.00197236578</v>
      </c>
      <c r="AF61" s="625">
        <f>Exposition!U62</f>
        <v>0.07384837915</v>
      </c>
      <c r="AG61" s="623"/>
      <c r="AH61" s="621">
        <f>PRIX!A62</f>
        <v>45749</v>
      </c>
      <c r="AI61" s="626">
        <f>PRIX!B62</f>
        <v>87000</v>
      </c>
      <c r="AJ61" s="626">
        <f>PRIX!C62</f>
        <v>1800</v>
      </c>
      <c r="AK61" s="627">
        <f>PRIX!D62</f>
        <v>3.25</v>
      </c>
      <c r="AL61" s="626">
        <f>PRIX!E62</f>
        <v>120</v>
      </c>
      <c r="AM61" s="626">
        <f>PRIX!F62</f>
        <v>220</v>
      </c>
      <c r="AN61" s="627">
        <f>PRIX!G62</f>
        <v>0.651</v>
      </c>
      <c r="AO61" s="627">
        <f>PRIX!H62</f>
        <v>13</v>
      </c>
      <c r="AP61" s="631">
        <f>PRIX!I62</f>
        <v>0.17</v>
      </c>
      <c r="AQ61" s="628">
        <f>PRIX!J62</f>
        <v>0.0000125</v>
      </c>
      <c r="AR61" s="631">
        <f>PRIX!K62</f>
        <v>1.8</v>
      </c>
      <c r="AS61" s="631">
        <f>PRIX!L62</f>
        <v>0.4</v>
      </c>
      <c r="AT61" s="631">
        <f>PRIX!M62</f>
        <v>155</v>
      </c>
      <c r="AU61" s="629">
        <f>PRIX!N62</f>
        <v>0.005</v>
      </c>
      <c r="AV61" s="631">
        <f>PRIX!O62</f>
        <v>3</v>
      </c>
      <c r="AW61" s="631">
        <f>PRIX!P62</f>
        <v>0.00125</v>
      </c>
      <c r="AX61" s="630">
        <f>PRIX!Q62</f>
        <v>0.0000075</v>
      </c>
      <c r="AY61" s="631">
        <f>PRIX!R62</f>
        <v>0.4</v>
      </c>
      <c r="AZ61" s="631">
        <f>PRIX!S62</f>
        <v>1.8</v>
      </c>
      <c r="BA61" s="623"/>
    </row>
    <row r="62">
      <c r="A62" s="621">
        <f>ARBITRAGES!E63</f>
        <v>45751</v>
      </c>
      <c r="B62" s="623" t="str">
        <f>IF(A62="","",IF(ARBITRAGES!F63="Invest","Achat","Vente"))</f>
        <v>Achat</v>
      </c>
      <c r="C62" s="623" t="str">
        <f>ARBITRAGES!H63</f>
        <v>TAO</v>
      </c>
      <c r="D62" s="624">
        <f>ARBITRAGES!I63</f>
        <v>200</v>
      </c>
      <c r="E62" s="624">
        <f>ARBITRAGES!J63</f>
        <v>480</v>
      </c>
      <c r="F62" s="623"/>
      <c r="G62" s="621">
        <f>'PV (%)'!B64</f>
        <v>45808</v>
      </c>
      <c r="H62" s="624">
        <f>'PV (%)'!E64</f>
        <v>61851.14686</v>
      </c>
      <c r="I62" s="624">
        <f>'PV (%)'!F64</f>
        <v>46805.91279</v>
      </c>
      <c r="J62" s="626">
        <f>'PV (%)'!G64</f>
        <v>50774.01778</v>
      </c>
      <c r="K62" s="623"/>
      <c r="L62" s="621">
        <f>Exposition!A63</f>
        <v>45751</v>
      </c>
      <c r="M62" s="625">
        <f>Exposition!B63</f>
        <v>0.9365374714</v>
      </c>
      <c r="N62" s="625">
        <f>Exposition!C63</f>
        <v>0.5510599846</v>
      </c>
      <c r="O62" s="625">
        <f>Exposition!D63</f>
        <v>0.1292084174</v>
      </c>
      <c r="P62" s="625">
        <f>Exposition!E63</f>
        <v>0.03739820754</v>
      </c>
      <c r="Q62" s="625">
        <f>Exposition!F63</f>
        <v>0.04320917792</v>
      </c>
      <c r="R62" s="625">
        <f>Exposition!G63</f>
        <v>0.05628882073</v>
      </c>
      <c r="S62" s="625">
        <f>Exposition!H63</f>
        <v>0.01175746408</v>
      </c>
      <c r="T62" s="625">
        <f>Exposition!I63</f>
        <v>0.03321128663</v>
      </c>
      <c r="U62" s="625">
        <f>Exposition!J63</f>
        <v>0.007601035946</v>
      </c>
      <c r="V62" s="625">
        <f>Exposition!K63</f>
        <v>0.006543845985</v>
      </c>
      <c r="W62" s="625">
        <f>Exposition!L63</f>
        <v>0.005839218641</v>
      </c>
      <c r="X62" s="625">
        <f>Exposition!M63</f>
        <v>0.0083239804</v>
      </c>
      <c r="Y62" s="625">
        <f>Exposition!N63</f>
        <v>0.01590143543</v>
      </c>
      <c r="Z62" s="625">
        <f>Exposition!O63</f>
        <v>0.009404321609</v>
      </c>
      <c r="AA62" s="625">
        <f>Exposition!P63</f>
        <v>0.01300320258</v>
      </c>
      <c r="AB62" s="625">
        <f>Exposition!Q63</f>
        <v>0.000574768726</v>
      </c>
      <c r="AC62" s="625">
        <f>Exposition!R63</f>
        <v>0.00458662611</v>
      </c>
      <c r="AD62" s="625">
        <f>Exposition!S63</f>
        <v>0.0006033484817</v>
      </c>
      <c r="AE62" s="625">
        <f>Exposition!T63</f>
        <v>0.002022328673</v>
      </c>
      <c r="AF62" s="625">
        <f>Exposition!U63</f>
        <v>0.06346252856</v>
      </c>
      <c r="AG62" s="623"/>
      <c r="AH62" s="621">
        <f>PRIX!A63</f>
        <v>45751</v>
      </c>
      <c r="AI62" s="626">
        <f>PRIX!B63</f>
        <v>83000</v>
      </c>
      <c r="AJ62" s="626">
        <f>PRIX!C63</f>
        <v>1800</v>
      </c>
      <c r="AK62" s="627">
        <f>PRIX!D63</f>
        <v>3.25</v>
      </c>
      <c r="AL62" s="626">
        <f>PRIX!E63</f>
        <v>120</v>
      </c>
      <c r="AM62" s="626">
        <f>PRIX!F63</f>
        <v>220</v>
      </c>
      <c r="AN62" s="627">
        <f>PRIX!G63</f>
        <v>0.651</v>
      </c>
      <c r="AO62" s="627">
        <f>PRIX!H63</f>
        <v>13</v>
      </c>
      <c r="AP62" s="631">
        <f>PRIX!I63</f>
        <v>0.17</v>
      </c>
      <c r="AQ62" s="628">
        <f>PRIX!J63</f>
        <v>0.0000125</v>
      </c>
      <c r="AR62" s="631">
        <f>PRIX!K63</f>
        <v>1.8</v>
      </c>
      <c r="AS62" s="631">
        <f>PRIX!L63</f>
        <v>0.4</v>
      </c>
      <c r="AT62" s="631">
        <f>PRIX!M63</f>
        <v>155</v>
      </c>
      <c r="AU62" s="629">
        <f>PRIX!N63</f>
        <v>0.005</v>
      </c>
      <c r="AV62" s="631">
        <f>PRIX!O63</f>
        <v>3</v>
      </c>
      <c r="AW62" s="631">
        <f>PRIX!P63</f>
        <v>0.00125</v>
      </c>
      <c r="AX62" s="630">
        <f>PRIX!Q63</f>
        <v>0.0000075</v>
      </c>
      <c r="AY62" s="631">
        <f>PRIX!R63</f>
        <v>0.4</v>
      </c>
      <c r="AZ62" s="631">
        <f>PRIX!S63</f>
        <v>1.8</v>
      </c>
      <c r="BA62" s="623"/>
    </row>
    <row r="63">
      <c r="A63" s="621">
        <f>ARBITRAGES!E64</f>
        <v>45753</v>
      </c>
      <c r="B63" s="623" t="str">
        <f>IF(A63="","",IF(ARBITRAGES!F64="Invest","Achat","Vente"))</f>
        <v>Achat</v>
      </c>
      <c r="C63" s="623" t="str">
        <f>ARBITRAGES!H64</f>
        <v>ETH</v>
      </c>
      <c r="D63" s="624">
        <f>ARBITRAGES!I64</f>
        <v>1550</v>
      </c>
      <c r="E63" s="624">
        <f>ARBITRAGES!J64</f>
        <v>399.9</v>
      </c>
      <c r="F63" s="623"/>
      <c r="G63" s="621">
        <f>'PV (%)'!B65</f>
        <v>45817</v>
      </c>
      <c r="H63" s="624">
        <f>'PV (%)'!E65</f>
        <v>62148.50814</v>
      </c>
      <c r="I63" s="624">
        <f>'PV (%)'!F65</f>
        <v>49729.50647</v>
      </c>
      <c r="J63" s="626">
        <f>'PV (%)'!G65</f>
        <v>53721.82851</v>
      </c>
      <c r="K63" s="623"/>
      <c r="L63" s="621">
        <f>Exposition!A64</f>
        <v>45753</v>
      </c>
      <c r="M63" s="625">
        <f>Exposition!B64</f>
        <v>0.9434330074</v>
      </c>
      <c r="N63" s="625">
        <f>Exposition!C64</f>
        <v>0.5642137154</v>
      </c>
      <c r="O63" s="625">
        <f>Exposition!D64</f>
        <v>0.1248751075</v>
      </c>
      <c r="P63" s="625">
        <f>Exposition!E64</f>
        <v>0.03972680661</v>
      </c>
      <c r="Q63" s="625">
        <f>Exposition!F64</f>
        <v>0.0439871138</v>
      </c>
      <c r="R63" s="625">
        <f>Exposition!G64</f>
        <v>0.05571680433</v>
      </c>
      <c r="S63" s="625">
        <f>Exposition!H64</f>
        <v>0.009592582548</v>
      </c>
      <c r="T63" s="625">
        <f>Exposition!I64</f>
        <v>0.03446505202</v>
      </c>
      <c r="U63" s="625">
        <f>Exposition!J64</f>
        <v>0.007124395044</v>
      </c>
      <c r="V63" s="625">
        <f>Exposition!K64</f>
        <v>0.006395194619</v>
      </c>
      <c r="W63" s="625">
        <f>Exposition!L64</f>
        <v>0.006133877567</v>
      </c>
      <c r="X63" s="625">
        <f>Exposition!M64</f>
        <v>0.007736988847</v>
      </c>
      <c r="Y63" s="625">
        <f>Exposition!N64</f>
        <v>0.01416709653</v>
      </c>
      <c r="Z63" s="625">
        <f>Exposition!O64</f>
        <v>0.007392512393</v>
      </c>
      <c r="AA63" s="625">
        <f>Exposition!P64</f>
        <v>0.01381284688</v>
      </c>
      <c r="AB63" s="625">
        <f>Exposition!Q64</f>
        <v>0.0006105566958</v>
      </c>
      <c r="AC63" s="625">
        <f>Exposition!R64</f>
        <v>0.004872212345</v>
      </c>
      <c r="AD63" s="625">
        <f>Exposition!S64</f>
        <v>0.0006409159697</v>
      </c>
      <c r="AE63" s="625">
        <f>Exposition!T64</f>
        <v>0.001969228205</v>
      </c>
      <c r="AF63" s="625">
        <f>Exposition!U64</f>
        <v>0.05656699261</v>
      </c>
      <c r="AG63" s="623"/>
      <c r="AH63" s="621">
        <f>PRIX!A64</f>
        <v>45753</v>
      </c>
      <c r="AI63" s="626">
        <f>PRIX!B64</f>
        <v>80000</v>
      </c>
      <c r="AJ63" s="626">
        <f>PRIX!C64</f>
        <v>1500</v>
      </c>
      <c r="AK63" s="627">
        <f>PRIX!D64</f>
        <v>3.25</v>
      </c>
      <c r="AL63" s="626">
        <f>PRIX!E64</f>
        <v>115</v>
      </c>
      <c r="AM63" s="626">
        <f>PRIX!F64</f>
        <v>205</v>
      </c>
      <c r="AN63" s="627">
        <f>PRIX!G64</f>
        <v>0.5</v>
      </c>
      <c r="AO63" s="627">
        <f>PRIX!H64</f>
        <v>12.7</v>
      </c>
      <c r="AP63" s="631">
        <f>PRIX!I64</f>
        <v>0.15</v>
      </c>
      <c r="AQ63" s="628">
        <f>PRIX!J64</f>
        <v>0.0000115</v>
      </c>
      <c r="AR63" s="631">
        <f>PRIX!K64</f>
        <v>1.78</v>
      </c>
      <c r="AS63" s="631">
        <f>PRIX!L64</f>
        <v>0.35</v>
      </c>
      <c r="AT63" s="631">
        <f>PRIX!M64</f>
        <v>130</v>
      </c>
      <c r="AU63" s="629">
        <f>PRIX!N64</f>
        <v>0.0037</v>
      </c>
      <c r="AV63" s="631">
        <f>PRIX!O64</f>
        <v>3</v>
      </c>
      <c r="AW63" s="631">
        <f>PRIX!P64</f>
        <v>0.00125</v>
      </c>
      <c r="AX63" s="630">
        <f>PRIX!Q64</f>
        <v>0.0000075</v>
      </c>
      <c r="AY63" s="631">
        <f>PRIX!R64</f>
        <v>0.4</v>
      </c>
      <c r="AZ63" s="631">
        <f>PRIX!S64</f>
        <v>1.65</v>
      </c>
      <c r="BA63" s="623"/>
    </row>
    <row r="64">
      <c r="A64" s="621">
        <f>ARBITRAGES!E65</f>
        <v>45753</v>
      </c>
      <c r="B64" s="623" t="str">
        <f>IF(A64="","",IF(ARBITRAGES!F65="Invest","Achat","Vente"))</f>
        <v>Achat</v>
      </c>
      <c r="C64" s="623" t="str">
        <f>ARBITRAGES!H65</f>
        <v>BTC</v>
      </c>
      <c r="D64" s="624">
        <f>ARBITRAGES!I65</f>
        <v>78000</v>
      </c>
      <c r="E64" s="624">
        <f>ARBITRAGES!J65</f>
        <v>780</v>
      </c>
      <c r="F64" s="623"/>
      <c r="G64" s="621">
        <f>'PV (%)'!B66</f>
        <v>45818</v>
      </c>
      <c r="H64" s="624">
        <f>'PV (%)'!E66</f>
        <v>61256.42429</v>
      </c>
      <c r="I64" s="624">
        <f>'PV (%)'!F66</f>
        <v>49870.89334</v>
      </c>
      <c r="J64" s="626">
        <f>'PV (%)'!G66</f>
        <v>53968.13422</v>
      </c>
      <c r="K64" s="623"/>
      <c r="L64" s="621">
        <f>Exposition!A65</f>
        <v>45753</v>
      </c>
      <c r="M64" s="625">
        <f>Exposition!B65</f>
        <v>0.9646092037</v>
      </c>
      <c r="N64" s="625">
        <f>Exposition!C65</f>
        <v>0.5855955218</v>
      </c>
      <c r="O64" s="625">
        <f>Exposition!D65</f>
        <v>0.1248074011</v>
      </c>
      <c r="P64" s="625">
        <f>Exposition!E65</f>
        <v>0.03970526701</v>
      </c>
      <c r="Q64" s="625">
        <f>Exposition!F65</f>
        <v>0.0439632643</v>
      </c>
      <c r="R64" s="625">
        <f>Exposition!G65</f>
        <v>0.05568659507</v>
      </c>
      <c r="S64" s="625">
        <f>Exposition!H65</f>
        <v>0.009587381517</v>
      </c>
      <c r="T64" s="625">
        <f>Exposition!I65</f>
        <v>0.03444636531</v>
      </c>
      <c r="U64" s="625">
        <f>Exposition!J65</f>
        <v>0.007120532247</v>
      </c>
      <c r="V64" s="625">
        <f>Exposition!K65</f>
        <v>0.006391727189</v>
      </c>
      <c r="W64" s="625">
        <f>Exposition!L65</f>
        <v>0.006130551821</v>
      </c>
      <c r="X64" s="625">
        <f>Exposition!M65</f>
        <v>0.007732793906</v>
      </c>
      <c r="Y64" s="625">
        <f>Exposition!N65</f>
        <v>0.01415941523</v>
      </c>
      <c r="Z64" s="625">
        <f>Exposition!O65</f>
        <v>0.007388504225</v>
      </c>
      <c r="AA64" s="625">
        <f>Exposition!P65</f>
        <v>0.01380535765</v>
      </c>
      <c r="AB64" s="625">
        <f>Exposition!Q65</f>
        <v>0.0006102256563</v>
      </c>
      <c r="AC64" s="625">
        <f>Exposition!R65</f>
        <v>0.004869570666</v>
      </c>
      <c r="AD64" s="625">
        <f>Exposition!S65</f>
        <v>0.0006405684696</v>
      </c>
      <c r="AE64" s="625">
        <f>Exposition!T65</f>
        <v>0.001968160503</v>
      </c>
      <c r="AF64" s="625">
        <f>Exposition!U65</f>
        <v>0.03539079632</v>
      </c>
      <c r="AG64" s="623"/>
      <c r="AH64" s="621">
        <f>PRIX!A65</f>
        <v>45753</v>
      </c>
      <c r="AI64" s="626">
        <f>PRIX!B65</f>
        <v>80000</v>
      </c>
      <c r="AJ64" s="626">
        <f>PRIX!C65</f>
        <v>1500</v>
      </c>
      <c r="AK64" s="627">
        <f>PRIX!D65</f>
        <v>3.25</v>
      </c>
      <c r="AL64" s="626">
        <f>PRIX!E65</f>
        <v>115</v>
      </c>
      <c r="AM64" s="626">
        <f>PRIX!F65</f>
        <v>205</v>
      </c>
      <c r="AN64" s="627">
        <f>PRIX!G65</f>
        <v>0.5</v>
      </c>
      <c r="AO64" s="627">
        <f>PRIX!H65</f>
        <v>12.7</v>
      </c>
      <c r="AP64" s="631">
        <f>PRIX!I65</f>
        <v>0.15</v>
      </c>
      <c r="AQ64" s="628">
        <f>PRIX!J65</f>
        <v>0.0000115</v>
      </c>
      <c r="AR64" s="631">
        <f>PRIX!K65</f>
        <v>1.78</v>
      </c>
      <c r="AS64" s="631">
        <f>PRIX!L65</f>
        <v>0.35</v>
      </c>
      <c r="AT64" s="631">
        <f>PRIX!M65</f>
        <v>130</v>
      </c>
      <c r="AU64" s="629">
        <f>PRIX!N65</f>
        <v>0.0037</v>
      </c>
      <c r="AV64" s="631">
        <f>PRIX!O65</f>
        <v>3</v>
      </c>
      <c r="AW64" s="631">
        <f>PRIX!P65</f>
        <v>0.00125</v>
      </c>
      <c r="AX64" s="630">
        <f>PRIX!Q65</f>
        <v>0.0000075</v>
      </c>
      <c r="AY64" s="631">
        <f>PRIX!R65</f>
        <v>0.4</v>
      </c>
      <c r="AZ64" s="631">
        <f>PRIX!S65</f>
        <v>1.65</v>
      </c>
      <c r="BA64" s="623"/>
    </row>
    <row r="65">
      <c r="A65" s="621">
        <f>ARBITRAGES!E66</f>
        <v>45754</v>
      </c>
      <c r="B65" s="623" t="str">
        <f>IF(A65="","",IF(ARBITRAGES!F66="Invest","Achat","Vente"))</f>
        <v>Achat</v>
      </c>
      <c r="C65" s="623" t="str">
        <f>ARBITRAGES!H66</f>
        <v>DOGE</v>
      </c>
      <c r="D65" s="624">
        <f>ARBITRAGES!I66</f>
        <v>0.14</v>
      </c>
      <c r="E65" s="624">
        <f>ARBITRAGES!J66</f>
        <v>196</v>
      </c>
      <c r="F65" s="623"/>
      <c r="G65" s="621">
        <f>'PV (%)'!B67</f>
        <v>45831</v>
      </c>
      <c r="H65" s="624">
        <f>'PV (%)'!E67</f>
        <v>61256.42429</v>
      </c>
      <c r="I65" s="624">
        <f>'PV (%)'!F67</f>
        <v>47115.9733</v>
      </c>
      <c r="J65" s="626">
        <f>'PV (%)'!G67</f>
        <v>50252.42274</v>
      </c>
      <c r="K65" s="623"/>
      <c r="L65" s="621">
        <f>Exposition!A66</f>
        <v>45754</v>
      </c>
      <c r="M65" s="625">
        <f>Exposition!B66</f>
        <v>0.9697124871</v>
      </c>
      <c r="N65" s="625">
        <f>Exposition!C66</f>
        <v>0.5823170965</v>
      </c>
      <c r="O65" s="625">
        <f>Exposition!D66</f>
        <v>0.1256796694</v>
      </c>
      <c r="P65" s="625">
        <f>Exposition!E66</f>
        <v>0.03998276374</v>
      </c>
      <c r="Q65" s="625">
        <f>Exposition!F66</f>
        <v>0.04427051981</v>
      </c>
      <c r="R65" s="625">
        <f>Exposition!G66</f>
        <v>0.05607578394</v>
      </c>
      <c r="S65" s="625">
        <f>Exposition!H66</f>
        <v>0.00965438691</v>
      </c>
      <c r="T65" s="625">
        <f>Exposition!I66</f>
        <v>0.03468710803</v>
      </c>
      <c r="U65" s="625">
        <f>Exposition!J66</f>
        <v>0.01290311136</v>
      </c>
      <c r="V65" s="625">
        <f>Exposition!K66</f>
        <v>0.006436398426</v>
      </c>
      <c r="W65" s="625">
        <f>Exposition!L66</f>
        <v>0.006173397726</v>
      </c>
      <c r="X65" s="625">
        <f>Exposition!M66</f>
        <v>0.007786837744</v>
      </c>
      <c r="Y65" s="625">
        <f>Exposition!N66</f>
        <v>0.01425837417</v>
      </c>
      <c r="Z65" s="625">
        <f>Exposition!O66</f>
        <v>0.007440141852</v>
      </c>
      <c r="AA65" s="625">
        <f>Exposition!P66</f>
        <v>0.01390184212</v>
      </c>
      <c r="AB65" s="625">
        <f>Exposition!Q66</f>
        <v>0.0006144904714</v>
      </c>
      <c r="AC65" s="625">
        <f>Exposition!R66</f>
        <v>0.00490360368</v>
      </c>
      <c r="AD65" s="625">
        <f>Exposition!S66</f>
        <v>0.0006450453481</v>
      </c>
      <c r="AE65" s="625">
        <f>Exposition!T66</f>
        <v>0.001981915809</v>
      </c>
      <c r="AF65" s="625">
        <f>Exposition!U66</f>
        <v>0.03028751288</v>
      </c>
      <c r="AG65" s="623"/>
      <c r="AH65" s="621">
        <f>PRIX!A66</f>
        <v>45754</v>
      </c>
      <c r="AI65" s="626">
        <f>PRIX!B66</f>
        <v>79000</v>
      </c>
      <c r="AJ65" s="626">
        <f>PRIX!C66</f>
        <v>1500</v>
      </c>
      <c r="AK65" s="627">
        <f>PRIX!D66</f>
        <v>3.25</v>
      </c>
      <c r="AL65" s="626">
        <f>PRIX!E66</f>
        <v>115</v>
      </c>
      <c r="AM65" s="626">
        <f>PRIX!F66</f>
        <v>205</v>
      </c>
      <c r="AN65" s="627">
        <f>PRIX!G66</f>
        <v>0.5</v>
      </c>
      <c r="AO65" s="627">
        <f>PRIX!H66</f>
        <v>12.7</v>
      </c>
      <c r="AP65" s="631">
        <f>PRIX!I66</f>
        <v>0.15</v>
      </c>
      <c r="AQ65" s="628">
        <f>PRIX!J66</f>
        <v>0.0000115</v>
      </c>
      <c r="AR65" s="631">
        <f>PRIX!K66</f>
        <v>1.78</v>
      </c>
      <c r="AS65" s="631">
        <f>PRIX!L66</f>
        <v>0.35</v>
      </c>
      <c r="AT65" s="631">
        <f>PRIX!M66</f>
        <v>130</v>
      </c>
      <c r="AU65" s="629">
        <f>PRIX!N66</f>
        <v>0.0037</v>
      </c>
      <c r="AV65" s="631">
        <f>PRIX!O66</f>
        <v>3</v>
      </c>
      <c r="AW65" s="631">
        <f>PRIX!P66</f>
        <v>0.00125</v>
      </c>
      <c r="AX65" s="630">
        <f>PRIX!Q66</f>
        <v>0.0000075</v>
      </c>
      <c r="AY65" s="631">
        <f>PRIX!R66</f>
        <v>0.4</v>
      </c>
      <c r="AZ65" s="631">
        <f>PRIX!S66</f>
        <v>1.65</v>
      </c>
      <c r="BA65" s="623"/>
    </row>
    <row r="66">
      <c r="A66" s="621">
        <f>ARBITRAGES!E67</f>
        <v>45756</v>
      </c>
      <c r="B66" s="623" t="str">
        <f>IF(A66="","",IF(ARBITRAGES!F67="Invest","Achat","Vente"))</f>
        <v>Achat</v>
      </c>
      <c r="C66" s="623" t="str">
        <f>ARBITRAGES!H67</f>
        <v>SOL</v>
      </c>
      <c r="D66" s="624">
        <f>ARBITRAGES!I67</f>
        <v>100</v>
      </c>
      <c r="E66" s="624">
        <f>ARBITRAGES!J67</f>
        <v>550</v>
      </c>
      <c r="F66" s="623"/>
      <c r="G66" s="621">
        <f>'PV (%)'!B68</f>
        <v>45832</v>
      </c>
      <c r="H66" s="624">
        <f>'PV (%)'!E68</f>
        <v>65419.48225</v>
      </c>
      <c r="I66" s="624">
        <f>'PV (%)'!F68</f>
        <v>46194.05782</v>
      </c>
      <c r="J66" s="626">
        <f>'PV (%)'!G68</f>
        <v>49783.28497</v>
      </c>
      <c r="K66" s="623"/>
      <c r="L66" s="621">
        <f>Exposition!A67</f>
        <v>45756</v>
      </c>
      <c r="M66" s="625">
        <f>Exposition!B67</f>
        <v>0.9846484172</v>
      </c>
      <c r="N66" s="625">
        <f>Exposition!C67</f>
        <v>0.5779042428</v>
      </c>
      <c r="O66" s="625">
        <f>Exposition!D67</f>
        <v>0.1263263245</v>
      </c>
      <c r="P66" s="625">
        <f>Exposition!E67</f>
        <v>0.0401884856</v>
      </c>
      <c r="Q66" s="625">
        <f>Exposition!F67</f>
        <v>0.06185383574</v>
      </c>
      <c r="R66" s="625">
        <f>Exposition!G67</f>
        <v>0.05636430863</v>
      </c>
      <c r="S66" s="625">
        <f>Exposition!H67</f>
        <v>0.009704061277</v>
      </c>
      <c r="T66" s="625">
        <f>Exposition!I67</f>
        <v>0.03486558235</v>
      </c>
      <c r="U66" s="625">
        <f>Exposition!J67</f>
        <v>0.01296950127</v>
      </c>
      <c r="V66" s="625">
        <f>Exposition!K67</f>
        <v>0.006469515393</v>
      </c>
      <c r="W66" s="625">
        <f>Exposition!L67</f>
        <v>0.006205161485</v>
      </c>
      <c r="X66" s="625">
        <f>Exposition!M67</f>
        <v>0.007826903077</v>
      </c>
      <c r="Y66" s="625">
        <f>Exposition!N67</f>
        <v>0.01433173727</v>
      </c>
      <c r="Z66" s="625">
        <f>Exposition!O67</f>
        <v>0.007478423344</v>
      </c>
      <c r="AA66" s="625">
        <f>Exposition!P67</f>
        <v>0.01397337076</v>
      </c>
      <c r="AB66" s="625">
        <f>Exposition!Q67</f>
        <v>0.0006176521869</v>
      </c>
      <c r="AC66" s="625">
        <f>Exposition!R67</f>
        <v>0.004928834014</v>
      </c>
      <c r="AD66" s="625">
        <f>Exposition!S67</f>
        <v>0.0006483642764</v>
      </c>
      <c r="AE66" s="625">
        <f>Exposition!T67</f>
        <v>0.001992113288</v>
      </c>
      <c r="AF66" s="625">
        <f>Exposition!U67</f>
        <v>0.01535158279</v>
      </c>
      <c r="AG66" s="623"/>
      <c r="AH66" s="621">
        <f>PRIX!A67</f>
        <v>45756</v>
      </c>
      <c r="AI66" s="626">
        <f>PRIX!B67</f>
        <v>78000</v>
      </c>
      <c r="AJ66" s="626">
        <f>PRIX!C67</f>
        <v>1500</v>
      </c>
      <c r="AK66" s="627">
        <f>PRIX!D67</f>
        <v>3.25</v>
      </c>
      <c r="AL66" s="626">
        <f>PRIX!E67</f>
        <v>115</v>
      </c>
      <c r="AM66" s="626">
        <f>PRIX!F67</f>
        <v>205</v>
      </c>
      <c r="AN66" s="627">
        <f>PRIX!G67</f>
        <v>0.5</v>
      </c>
      <c r="AO66" s="627">
        <f>PRIX!H67</f>
        <v>12.7</v>
      </c>
      <c r="AP66" s="631">
        <f>PRIX!I67</f>
        <v>0.15</v>
      </c>
      <c r="AQ66" s="628">
        <f>PRIX!J67</f>
        <v>0.0000115</v>
      </c>
      <c r="AR66" s="631">
        <f>PRIX!K67</f>
        <v>1.78</v>
      </c>
      <c r="AS66" s="631">
        <f>PRIX!L67</f>
        <v>0.35</v>
      </c>
      <c r="AT66" s="631">
        <f>PRIX!M67</f>
        <v>130</v>
      </c>
      <c r="AU66" s="629">
        <f>PRIX!N67</f>
        <v>0.0037</v>
      </c>
      <c r="AV66" s="631">
        <f>PRIX!O67</f>
        <v>3</v>
      </c>
      <c r="AW66" s="631">
        <f>PRIX!P67</f>
        <v>0.00125</v>
      </c>
      <c r="AX66" s="630">
        <f>PRIX!Q67</f>
        <v>0.0000075</v>
      </c>
      <c r="AY66" s="631">
        <f>PRIX!R67</f>
        <v>0.4</v>
      </c>
      <c r="AZ66" s="631">
        <f>PRIX!S67</f>
        <v>1.65</v>
      </c>
      <c r="BA66" s="623"/>
    </row>
    <row r="67">
      <c r="A67" s="621">
        <f>ARBITRAGES!E68</f>
        <v>45757</v>
      </c>
      <c r="B67" s="623" t="str">
        <f>IF(A67="","",IF(ARBITRAGES!F68="Invest","Achat","Vente"))</f>
        <v>Vente</v>
      </c>
      <c r="C67" s="623" t="str">
        <f>ARBITRAGES!H68</f>
        <v>RON</v>
      </c>
      <c r="D67" s="624">
        <f>ARBITRAGES!I68</f>
        <v>0.68</v>
      </c>
      <c r="E67" s="624">
        <f>ARBITRAGES!J68</f>
        <v>226.5</v>
      </c>
      <c r="F67" s="623"/>
      <c r="G67" s="621">
        <f>'PV (%)'!B69</f>
        <v>45847</v>
      </c>
      <c r="H67" s="624">
        <f>'PV (%)'!E69</f>
        <v>65419.48225</v>
      </c>
      <c r="I67" s="624">
        <f>'PV (%)'!F69</f>
        <v>49211.16353</v>
      </c>
      <c r="J67" s="626">
        <f>'PV (%)'!G69</f>
        <v>52535.11227</v>
      </c>
      <c r="K67" s="623"/>
      <c r="L67" s="621">
        <f>Exposition!A68</f>
        <v>45757</v>
      </c>
      <c r="M67" s="625">
        <f>Exposition!B68</f>
        <v>0.9795863668</v>
      </c>
      <c r="N67" s="625">
        <f>Exposition!C68</f>
        <v>0.5610336958</v>
      </c>
      <c r="O67" s="625">
        <f>Exposition!D68</f>
        <v>0.1315298195</v>
      </c>
      <c r="P67" s="625">
        <f>Exposition!E68</f>
        <v>0.03511375007</v>
      </c>
      <c r="Q67" s="625">
        <f>Exposition!F68</f>
        <v>0.06872903458</v>
      </c>
      <c r="R67" s="625">
        <f>Exposition!G68</f>
        <v>0.06636333188</v>
      </c>
      <c r="S67" s="625">
        <f>Exposition!H68</f>
        <v>0.005442835348</v>
      </c>
      <c r="T67" s="625">
        <f>Exposition!I68</f>
        <v>0.03378113471</v>
      </c>
      <c r="U67" s="625">
        <f>Exposition!J68</f>
        <v>0.01350372671</v>
      </c>
      <c r="V67" s="625">
        <f>Exposition!K68</f>
        <v>0.0006656127032</v>
      </c>
      <c r="W67" s="625">
        <f>Exposition!L68</f>
        <v>0.006599343894</v>
      </c>
      <c r="X67" s="625">
        <f>Exposition!M68</f>
        <v>0.008466805466</v>
      </c>
      <c r="Y67" s="625">
        <f>Exposition!N68</f>
        <v>0.01565252562</v>
      </c>
      <c r="Z67" s="625">
        <f>Exposition!O68</f>
        <v>0.009565683456</v>
      </c>
      <c r="AA67" s="625">
        <f>Exposition!P68</f>
        <v>0.01498982365</v>
      </c>
      <c r="AB67" s="625">
        <f>Exposition!Q68</f>
        <v>0.0005846307605</v>
      </c>
      <c r="AC67" s="625">
        <f>Exposition!R68</f>
        <v>0.004665324658</v>
      </c>
      <c r="AD67" s="625">
        <f>Exposition!S68</f>
        <v>0.0006137008951</v>
      </c>
      <c r="AE67" s="625">
        <f>Exposition!T68</f>
        <v>0.002285587028</v>
      </c>
      <c r="AF67" s="625">
        <f>Exposition!U68</f>
        <v>0.02041363325</v>
      </c>
      <c r="AG67" s="623"/>
      <c r="AH67" s="621">
        <f>PRIX!A68</f>
        <v>45757</v>
      </c>
      <c r="AI67" s="626">
        <f>PRIX!B68</f>
        <v>80000</v>
      </c>
      <c r="AJ67" s="626">
        <f>PRIX!C68</f>
        <v>1650</v>
      </c>
      <c r="AK67" s="627">
        <f>PRIX!D68</f>
        <v>3</v>
      </c>
      <c r="AL67" s="626">
        <f>PRIX!E68</f>
        <v>135</v>
      </c>
      <c r="AM67" s="626">
        <f>PRIX!F68</f>
        <v>255</v>
      </c>
      <c r="AN67" s="627">
        <f>PRIX!G68</f>
        <v>0.56</v>
      </c>
      <c r="AO67" s="627">
        <f>PRIX!H68</f>
        <v>13</v>
      </c>
      <c r="AP67" s="631">
        <f>PRIX!I68</f>
        <v>0.165</v>
      </c>
      <c r="AQ67" s="628">
        <f>PRIX!J68</f>
        <v>0.00000125</v>
      </c>
      <c r="AR67" s="631">
        <f>PRIX!K68</f>
        <v>2</v>
      </c>
      <c r="AS67" s="631">
        <f>PRIX!L68</f>
        <v>0.4</v>
      </c>
      <c r="AT67" s="631">
        <f>PRIX!M68</f>
        <v>150</v>
      </c>
      <c r="AU67" s="629">
        <f>PRIX!N68</f>
        <v>0.005</v>
      </c>
      <c r="AV67" s="631">
        <f>PRIX!O68</f>
        <v>3.4</v>
      </c>
      <c r="AW67" s="631">
        <f>PRIX!P68</f>
        <v>0.00125</v>
      </c>
      <c r="AX67" s="630">
        <f>PRIX!Q68</f>
        <v>0.0000075</v>
      </c>
      <c r="AY67" s="631">
        <f>PRIX!R68</f>
        <v>0.4</v>
      </c>
      <c r="AZ67" s="631">
        <f>PRIX!S68</f>
        <v>2</v>
      </c>
      <c r="BA67" s="623"/>
    </row>
    <row r="68">
      <c r="A68" s="621">
        <f>ARBITRAGES!E69</f>
        <v>45757</v>
      </c>
      <c r="B68" s="623" t="str">
        <f>IF(A68="","",IF(ARBITRAGES!F69="Invest","Achat","Vente"))</f>
        <v>Achat</v>
      </c>
      <c r="C68" s="623" t="str">
        <f>ARBITRAGES!H69</f>
        <v>BTC</v>
      </c>
      <c r="D68" s="624">
        <f>ARBITRAGES!I69</f>
        <v>83000</v>
      </c>
      <c r="E68" s="624">
        <f>ARBITRAGES!J69</f>
        <v>227</v>
      </c>
      <c r="F68" s="623"/>
      <c r="G68" s="621">
        <f>'PV (%)'!B70</f>
        <v>45848</v>
      </c>
      <c r="H68" s="624">
        <f>'PV (%)'!E70</f>
        <v>70177.26278</v>
      </c>
      <c r="I68" s="624">
        <f>'PV (%)'!F70</f>
        <v>52347.66412</v>
      </c>
      <c r="J68" s="626">
        <f>'PV (%)'!G70</f>
        <v>55609.70236</v>
      </c>
      <c r="K68" s="623"/>
      <c r="L68" s="621">
        <f>Exposition!A69</f>
        <v>45757</v>
      </c>
      <c r="M68" s="625">
        <f>Exposition!B69</f>
        <v>0.985479048</v>
      </c>
      <c r="N68" s="625">
        <f>Exposition!C69</f>
        <v>0.5668371643</v>
      </c>
      <c r="O68" s="625">
        <f>Exposition!D69</f>
        <v>0.1315578545</v>
      </c>
      <c r="P68" s="625">
        <f>Exposition!E69</f>
        <v>0.03512123442</v>
      </c>
      <c r="Q68" s="625">
        <f>Exposition!F69</f>
        <v>0.06874368388</v>
      </c>
      <c r="R68" s="625">
        <f>Exposition!G69</f>
        <v>0.06637747694</v>
      </c>
      <c r="S68" s="625">
        <f>Exposition!H69</f>
        <v>0.005443995465</v>
      </c>
      <c r="T68" s="625">
        <f>Exposition!I69</f>
        <v>0.03378833501</v>
      </c>
      <c r="U68" s="625">
        <f>Exposition!J69</f>
        <v>0.01350660497</v>
      </c>
      <c r="V68" s="625">
        <f>Exposition!K69</f>
        <v>0.0006657545757</v>
      </c>
      <c r="W68" s="625">
        <f>Exposition!L69</f>
        <v>0.006600750517</v>
      </c>
      <c r="X68" s="625">
        <f>Exposition!M69</f>
        <v>0.00846861013</v>
      </c>
      <c r="Y68" s="625">
        <f>Exposition!N69</f>
        <v>0.01565586189</v>
      </c>
      <c r="Z68" s="625">
        <f>Exposition!O69</f>
        <v>0.009567722341</v>
      </c>
      <c r="AA68" s="625">
        <f>Exposition!P69</f>
        <v>0.01499301867</v>
      </c>
      <c r="AB68" s="625">
        <f>Exposition!Q69</f>
        <v>0.000584755372</v>
      </c>
      <c r="AC68" s="625">
        <f>Exposition!R69</f>
        <v>0.004666319053</v>
      </c>
      <c r="AD68" s="625">
        <f>Exposition!S69</f>
        <v>0.0006138317029</v>
      </c>
      <c r="AE68" s="625">
        <f>Exposition!T69</f>
        <v>0.002286074191</v>
      </c>
      <c r="AF68" s="625">
        <f>Exposition!U69</f>
        <v>0.01452095204</v>
      </c>
      <c r="AG68" s="623"/>
      <c r="AH68" s="621">
        <f>PRIX!A69</f>
        <v>45757</v>
      </c>
      <c r="AI68" s="626">
        <f>PRIX!B69</f>
        <v>80000</v>
      </c>
      <c r="AJ68" s="626">
        <f>PRIX!C69</f>
        <v>1650</v>
      </c>
      <c r="AK68" s="627">
        <f>PRIX!D69</f>
        <v>3</v>
      </c>
      <c r="AL68" s="626">
        <f>PRIX!E69</f>
        <v>135</v>
      </c>
      <c r="AM68" s="626">
        <f>PRIX!F69</f>
        <v>255</v>
      </c>
      <c r="AN68" s="627">
        <f>PRIX!G69</f>
        <v>0.56</v>
      </c>
      <c r="AO68" s="627">
        <f>PRIX!H69</f>
        <v>13</v>
      </c>
      <c r="AP68" s="631">
        <f>PRIX!I69</f>
        <v>0.165</v>
      </c>
      <c r="AQ68" s="628">
        <f>PRIX!J69</f>
        <v>0.00000125</v>
      </c>
      <c r="AR68" s="631">
        <f>PRIX!K69</f>
        <v>2</v>
      </c>
      <c r="AS68" s="631">
        <f>PRIX!L69</f>
        <v>0.4</v>
      </c>
      <c r="AT68" s="631">
        <f>PRIX!M69</f>
        <v>150</v>
      </c>
      <c r="AU68" s="629">
        <f>PRIX!N69</f>
        <v>0.005</v>
      </c>
      <c r="AV68" s="631">
        <f>PRIX!O69</f>
        <v>3.4</v>
      </c>
      <c r="AW68" s="631">
        <f>PRIX!P69</f>
        <v>0.00125</v>
      </c>
      <c r="AX68" s="630">
        <f>PRIX!Q69</f>
        <v>0.0000075</v>
      </c>
      <c r="AY68" s="631">
        <f>PRIX!R69</f>
        <v>0.4</v>
      </c>
      <c r="AZ68" s="631">
        <f>PRIX!S69</f>
        <v>2</v>
      </c>
      <c r="BA68" s="623"/>
    </row>
    <row r="69">
      <c r="A69" s="621">
        <f>ARBITRAGES!E70</f>
        <v>45758</v>
      </c>
      <c r="B69" s="623" t="str">
        <f>IF(A69="","",IF(ARBITRAGES!F70="Invest","Achat","Vente"))</f>
        <v>Vente</v>
      </c>
      <c r="C69" s="623" t="str">
        <f>ARBITRAGES!H70</f>
        <v>WIF</v>
      </c>
      <c r="D69" s="624">
        <f>ARBITRAGES!I70</f>
        <v>0.375</v>
      </c>
      <c r="E69" s="624">
        <f>ARBITRAGES!J70</f>
        <v>22.181</v>
      </c>
      <c r="F69" s="623"/>
      <c r="G69" s="621">
        <f>'PV (%)'!B71</f>
        <v>45849</v>
      </c>
      <c r="H69" s="624">
        <f>'PV (%)'!E71</f>
        <v>70177.26278</v>
      </c>
      <c r="I69" s="624">
        <f>'PV (%)'!F71</f>
        <v>52347.66412</v>
      </c>
      <c r="J69" s="626">
        <f>'PV (%)'!G71</f>
        <v>55610.38426</v>
      </c>
      <c r="K69" s="623"/>
      <c r="L69" s="621">
        <f>Exposition!A70</f>
        <v>45758</v>
      </c>
      <c r="M69" s="625">
        <f>Exposition!B70</f>
        <v>0.9855179548</v>
      </c>
      <c r="N69" s="625">
        <f>Exposition!C70</f>
        <v>0.5845222654</v>
      </c>
      <c r="O69" s="625">
        <f>Exposition!D70</f>
        <v>0.1261975897</v>
      </c>
      <c r="P69" s="625">
        <f>Exposition!E70</f>
        <v>0.03369023572</v>
      </c>
      <c r="Q69" s="625">
        <f>Exposition!F70</f>
        <v>0.06594275379</v>
      </c>
      <c r="R69" s="625">
        <f>Exposition!G70</f>
        <v>0.06367295687</v>
      </c>
      <c r="S69" s="625">
        <f>Exposition!H70</f>
        <v>0.00522218235</v>
      </c>
      <c r="T69" s="625">
        <f>Exposition!I70</f>
        <v>0.0324116447</v>
      </c>
      <c r="U69" s="625">
        <f>Exposition!J70</f>
        <v>0.0129562845</v>
      </c>
      <c r="V69" s="625">
        <f>Exposition!K70</f>
        <v>0.0006386287087</v>
      </c>
      <c r="W69" s="625">
        <f>Exposition!L70</f>
        <v>0.006331805943</v>
      </c>
      <c r="X69" s="625">
        <f>Exposition!M70</f>
        <v>0.008123560467</v>
      </c>
      <c r="Y69" s="625">
        <f>Exposition!N70</f>
        <v>0.01501797093</v>
      </c>
      <c r="Z69" s="625">
        <f>Exposition!O70</f>
        <v>0.009177889852</v>
      </c>
      <c r="AA69" s="625">
        <f>Exposition!P70</f>
        <v>0.01438213495</v>
      </c>
      <c r="AB69" s="625">
        <f>Exposition!Q70</f>
        <v>0.0005609297808</v>
      </c>
      <c r="AC69" s="625">
        <f>Exposition!R70</f>
        <v>0.004476192008</v>
      </c>
      <c r="AD69" s="625">
        <f>Exposition!S70</f>
        <v>0</v>
      </c>
      <c r="AE69" s="625">
        <f>Exposition!T70</f>
        <v>0.00219292914</v>
      </c>
      <c r="AF69" s="625">
        <f>Exposition!U70</f>
        <v>0.0144820452</v>
      </c>
      <c r="AG69" s="623"/>
      <c r="AH69" s="621">
        <f>PRIX!A70</f>
        <v>45758</v>
      </c>
      <c r="AI69" s="626">
        <f>PRIX!B70</f>
        <v>86000</v>
      </c>
      <c r="AJ69" s="626">
        <f>PRIX!C70</f>
        <v>1650</v>
      </c>
      <c r="AK69" s="627">
        <f>PRIX!D70</f>
        <v>3</v>
      </c>
      <c r="AL69" s="626">
        <f>PRIX!E70</f>
        <v>135</v>
      </c>
      <c r="AM69" s="626">
        <f>PRIX!F70</f>
        <v>255</v>
      </c>
      <c r="AN69" s="627">
        <f>PRIX!G70</f>
        <v>0.56</v>
      </c>
      <c r="AO69" s="627">
        <f>PRIX!H70</f>
        <v>13</v>
      </c>
      <c r="AP69" s="631">
        <f>PRIX!I70</f>
        <v>0.165</v>
      </c>
      <c r="AQ69" s="628">
        <f>PRIX!J70</f>
        <v>0.00000125</v>
      </c>
      <c r="AR69" s="631">
        <f>PRIX!K70</f>
        <v>2</v>
      </c>
      <c r="AS69" s="631">
        <f>PRIX!L70</f>
        <v>0.4</v>
      </c>
      <c r="AT69" s="631">
        <f>PRIX!M70</f>
        <v>150</v>
      </c>
      <c r="AU69" s="629">
        <f>PRIX!N70</f>
        <v>0.005</v>
      </c>
      <c r="AV69" s="631">
        <f>PRIX!O70</f>
        <v>3.4</v>
      </c>
      <c r="AW69" s="631">
        <f>PRIX!P70</f>
        <v>0.00125</v>
      </c>
      <c r="AX69" s="630">
        <f>PRIX!Q70</f>
        <v>0.0000075</v>
      </c>
      <c r="AY69" s="631">
        <f>PRIX!R70</f>
        <v>0.4</v>
      </c>
      <c r="AZ69" s="631">
        <f>PRIX!S70</f>
        <v>2</v>
      </c>
      <c r="BA69" s="623"/>
    </row>
    <row r="70">
      <c r="A70" s="621">
        <f>ARBITRAGES!E71</f>
        <v>45760</v>
      </c>
      <c r="B70" s="623" t="str">
        <f>IF(A70="","",IF(ARBITRAGES!F71="Invest","Achat","Vente"))</f>
        <v>Vente</v>
      </c>
      <c r="C70" s="623" t="str">
        <f>ARBITRAGES!H71</f>
        <v>BOME</v>
      </c>
      <c r="D70" s="634">
        <f>ARBITRAGES!I71</f>
        <v>0.001111</v>
      </c>
      <c r="E70" s="624">
        <f>ARBITRAGES!J71</f>
        <v>20.01</v>
      </c>
      <c r="F70" s="623"/>
      <c r="G70" s="621">
        <f>'PV (%)'!B72</f>
        <v>45849</v>
      </c>
      <c r="H70" s="624">
        <f>'PV (%)'!E72</f>
        <v>70177.26278</v>
      </c>
      <c r="I70" s="624">
        <f>'PV (%)'!F72</f>
        <v>52347.66412</v>
      </c>
      <c r="J70" s="626">
        <f>'PV (%)'!G72</f>
        <v>55612.49397</v>
      </c>
      <c r="K70" s="623"/>
      <c r="L70" s="621">
        <f>Exposition!A71</f>
        <v>45760</v>
      </c>
      <c r="M70" s="625">
        <f>Exposition!B71</f>
        <v>0.9850183795</v>
      </c>
      <c r="N70" s="625">
        <f>Exposition!C71</f>
        <v>0.5845586756</v>
      </c>
      <c r="O70" s="625">
        <f>Exposition!D71</f>
        <v>0.1262054506</v>
      </c>
      <c r="P70" s="625">
        <f>Exposition!E71</f>
        <v>0.03369233431</v>
      </c>
      <c r="Q70" s="625">
        <f>Exposition!F71</f>
        <v>0.06594686141</v>
      </c>
      <c r="R70" s="625">
        <f>Exposition!G71</f>
        <v>0.0636769231</v>
      </c>
      <c r="S70" s="625">
        <f>Exposition!H71</f>
        <v>0.005222507643</v>
      </c>
      <c r="T70" s="625">
        <f>Exposition!I71</f>
        <v>0.03241366364</v>
      </c>
      <c r="U70" s="625">
        <f>Exposition!J71</f>
        <v>0.01295709156</v>
      </c>
      <c r="V70" s="625">
        <f>Exposition!K71</f>
        <v>0.0006386684893</v>
      </c>
      <c r="W70" s="625">
        <f>Exposition!L71</f>
        <v>0.006332200355</v>
      </c>
      <c r="X70" s="625">
        <f>Exposition!M71</f>
        <v>0.008124066489</v>
      </c>
      <c r="Y70" s="625">
        <f>Exposition!N71</f>
        <v>0.01501890641</v>
      </c>
      <c r="Z70" s="625">
        <f>Exposition!O71</f>
        <v>0.009178461548</v>
      </c>
      <c r="AA70" s="625">
        <f>Exposition!P71</f>
        <v>0.01438303082</v>
      </c>
      <c r="AB70" s="625">
        <f>Exposition!Q71</f>
        <v>0.0000000009008980722</v>
      </c>
      <c r="AC70" s="625">
        <f>Exposition!R71</f>
        <v>0.004476470833</v>
      </c>
      <c r="AD70" s="625">
        <f>Exposition!S71</f>
        <v>0</v>
      </c>
      <c r="AE70" s="625">
        <f>Exposition!T71</f>
        <v>0.002193065739</v>
      </c>
      <c r="AF70" s="625">
        <f>Exposition!U71</f>
        <v>0.01498162054</v>
      </c>
      <c r="AG70" s="623"/>
      <c r="AH70" s="621">
        <f>PRIX!A71</f>
        <v>45760</v>
      </c>
      <c r="AI70" s="626">
        <f>PRIX!B71</f>
        <v>86000</v>
      </c>
      <c r="AJ70" s="626">
        <f>PRIX!C71</f>
        <v>1650</v>
      </c>
      <c r="AK70" s="627">
        <f>PRIX!D71</f>
        <v>3</v>
      </c>
      <c r="AL70" s="626">
        <f>PRIX!E71</f>
        <v>135</v>
      </c>
      <c r="AM70" s="626">
        <f>PRIX!F71</f>
        <v>255</v>
      </c>
      <c r="AN70" s="627">
        <f>PRIX!G71</f>
        <v>0.56</v>
      </c>
      <c r="AO70" s="627">
        <f>PRIX!H71</f>
        <v>13</v>
      </c>
      <c r="AP70" s="631">
        <f>PRIX!I71</f>
        <v>0.165</v>
      </c>
      <c r="AQ70" s="628">
        <f>PRIX!J71</f>
        <v>0.00000125</v>
      </c>
      <c r="AR70" s="631">
        <f>PRIX!K71</f>
        <v>2</v>
      </c>
      <c r="AS70" s="631">
        <f>PRIX!L71</f>
        <v>0.4</v>
      </c>
      <c r="AT70" s="631">
        <f>PRIX!M71</f>
        <v>150</v>
      </c>
      <c r="AU70" s="629">
        <f>PRIX!N71</f>
        <v>0.005</v>
      </c>
      <c r="AV70" s="631">
        <f>PRIX!O71</f>
        <v>3.4</v>
      </c>
      <c r="AW70" s="631">
        <f>PRIX!P71</f>
        <v>0.00125</v>
      </c>
      <c r="AX70" s="630">
        <f>PRIX!Q71</f>
        <v>0.0000075</v>
      </c>
      <c r="AY70" s="631">
        <f>PRIX!R71</f>
        <v>0.4</v>
      </c>
      <c r="AZ70" s="631">
        <f>PRIX!S71</f>
        <v>2</v>
      </c>
      <c r="BA70" s="623"/>
    </row>
    <row r="71">
      <c r="A71" s="621">
        <f>ARBITRAGES!E72</f>
        <v>45779</v>
      </c>
      <c r="B71" s="623" t="str">
        <f>IF(A71="","",IF(ARBITRAGES!F72="Invest","Achat","Vente"))</f>
        <v>Vente</v>
      </c>
      <c r="C71" s="623" t="str">
        <f>ARBITRAGES!H72</f>
        <v>BTC</v>
      </c>
      <c r="D71" s="624">
        <f>ARBITRAGES!I72</f>
        <v>97000</v>
      </c>
      <c r="E71" s="624">
        <f>ARBITRAGES!J72</f>
        <v>970</v>
      </c>
      <c r="F71" s="623"/>
      <c r="G71" s="632">
        <f>'PV (%)'!B73</f>
        <v>45850</v>
      </c>
      <c r="H71" s="624">
        <f>'PV (%)'!E73</f>
        <v>70177.26278</v>
      </c>
      <c r="I71" s="624">
        <f>'PV (%)'!F73</f>
        <v>52347.66412</v>
      </c>
      <c r="J71" s="626">
        <f>'PV (%)'!G73</f>
        <v>55614.84797</v>
      </c>
      <c r="K71" s="623"/>
      <c r="L71" s="621">
        <f>Exposition!A72</f>
        <v>45779</v>
      </c>
      <c r="M71" s="625">
        <f>Exposition!B72</f>
        <v>0.9643791131</v>
      </c>
      <c r="N71" s="625">
        <f>Exposition!C72</f>
        <v>0.5539950124</v>
      </c>
      <c r="O71" s="625">
        <f>Exposition!D72</f>
        <v>0.1252512617</v>
      </c>
      <c r="P71" s="625">
        <f>Exposition!E72</f>
        <v>0.03269454228</v>
      </c>
      <c r="Q71" s="625">
        <f>Exposition!F72</f>
        <v>0.06666026849</v>
      </c>
      <c r="R71" s="625">
        <f>Exposition!G72</f>
        <v>0.06815199621</v>
      </c>
      <c r="S71" s="625">
        <f>Exposition!H72</f>
        <v>0.004751103825</v>
      </c>
      <c r="T71" s="625">
        <f>Exposition!I72</f>
        <v>0.0340244775</v>
      </c>
      <c r="U71" s="625">
        <f>Exposition!J72</f>
        <v>0.01143033616</v>
      </c>
      <c r="V71" s="625">
        <f>Exposition!K72</f>
        <v>0.00557779</v>
      </c>
      <c r="W71" s="625">
        <f>Exposition!L72</f>
        <v>0.006048662933</v>
      </c>
      <c r="X71" s="625">
        <f>Exposition!M72</f>
        <v>0.009238445879</v>
      </c>
      <c r="Y71" s="625">
        <f>Exposition!N72</f>
        <v>0.01548500715</v>
      </c>
      <c r="Z71" s="625">
        <f>Exposition!O72</f>
        <v>0.008349977971</v>
      </c>
      <c r="AA71" s="625">
        <f>Exposition!P72</f>
        <v>0.01385445453</v>
      </c>
      <c r="AB71" s="625">
        <f>Exposition!Q72</f>
        <v>0.000000000983495417</v>
      </c>
      <c r="AC71" s="625">
        <f>Exposition!R72</f>
        <v>0.005972863885</v>
      </c>
      <c r="AD71" s="625">
        <f>Exposition!S72</f>
        <v>0</v>
      </c>
      <c r="AE71" s="625">
        <f>Exposition!T72</f>
        <v>0.002892911109</v>
      </c>
      <c r="AF71" s="625">
        <f>Exposition!U72</f>
        <v>0.03562088694</v>
      </c>
      <c r="AG71" s="623"/>
      <c r="AH71" s="621">
        <f>PRIX!A72</f>
        <v>45779</v>
      </c>
      <c r="AI71" s="626">
        <f>PRIX!B72</f>
        <v>93000</v>
      </c>
      <c r="AJ71" s="626">
        <f>PRIX!C72</f>
        <v>1800</v>
      </c>
      <c r="AK71" s="627">
        <f>PRIX!D72</f>
        <v>3.2</v>
      </c>
      <c r="AL71" s="626">
        <f>PRIX!E72</f>
        <v>150</v>
      </c>
      <c r="AM71" s="626">
        <f>PRIX!F72</f>
        <v>300</v>
      </c>
      <c r="AN71" s="627">
        <f>PRIX!G72</f>
        <v>0.56</v>
      </c>
      <c r="AO71" s="627">
        <f>PRIX!H72</f>
        <v>15</v>
      </c>
      <c r="AP71" s="631">
        <f>PRIX!I72</f>
        <v>0.16</v>
      </c>
      <c r="AQ71" s="628">
        <f>PRIX!J72</f>
        <v>0.000012</v>
      </c>
      <c r="AR71" s="631">
        <f>PRIX!K72</f>
        <v>2.1</v>
      </c>
      <c r="AS71" s="631">
        <f>PRIX!L72</f>
        <v>0.5</v>
      </c>
      <c r="AT71" s="631">
        <f>PRIX!M72</f>
        <v>170</v>
      </c>
      <c r="AU71" s="629">
        <f>PRIX!N72</f>
        <v>0.005</v>
      </c>
      <c r="AV71" s="631">
        <f>PRIX!O72</f>
        <v>3.6</v>
      </c>
      <c r="AW71" s="631">
        <f>PRIX!P72</f>
        <v>0.0015</v>
      </c>
      <c r="AX71" s="630">
        <f>PRIX!Q72</f>
        <v>0.000011</v>
      </c>
      <c r="AY71" s="631">
        <f>PRIX!R72</f>
        <v>0.4</v>
      </c>
      <c r="AZ71" s="631">
        <f>PRIX!S72</f>
        <v>2.9</v>
      </c>
      <c r="BA71" s="623"/>
    </row>
    <row r="72">
      <c r="A72" s="621">
        <f>ARBITRAGES!E73</f>
        <v>45779</v>
      </c>
      <c r="B72" s="623" t="str">
        <f>IF(A72="","",IF(ARBITRAGES!F73="Invest","Achat","Vente"))</f>
        <v>Vente</v>
      </c>
      <c r="C72" s="623" t="str">
        <f>ARBITRAGES!H73</f>
        <v>BTC</v>
      </c>
      <c r="D72" s="624">
        <f>ARBITRAGES!I73</f>
        <v>98000</v>
      </c>
      <c r="E72" s="624">
        <f>ARBITRAGES!J73</f>
        <v>980</v>
      </c>
      <c r="F72" s="623"/>
      <c r="G72" s="621">
        <f>'PV (%)'!B74</f>
        <v>45852</v>
      </c>
      <c r="H72" s="624">
        <f>'PV (%)'!E74</f>
        <v>71069.34663</v>
      </c>
      <c r="I72" s="624">
        <f>'PV (%)'!F74</f>
        <v>54815.62768</v>
      </c>
      <c r="J72" s="626">
        <f>'PV (%)'!G74</f>
        <v>58302.68636</v>
      </c>
      <c r="K72" s="623"/>
      <c r="L72" s="621">
        <f>Exposition!A73</f>
        <v>45779</v>
      </c>
      <c r="M72" s="625">
        <f>Exposition!B73</f>
        <v>0.9422263217</v>
      </c>
      <c r="N72" s="625">
        <f>Exposition!C73</f>
        <v>0.5323068999</v>
      </c>
      <c r="O72" s="625">
        <f>Exposition!D73</f>
        <v>0.1251094394</v>
      </c>
      <c r="P72" s="625">
        <f>Exposition!E73</f>
        <v>0.03265752218</v>
      </c>
      <c r="Q72" s="625">
        <f>Exposition!F73</f>
        <v>0.06658478891</v>
      </c>
      <c r="R72" s="625">
        <f>Exposition!G73</f>
        <v>0.06807482755</v>
      </c>
      <c r="S72" s="625">
        <f>Exposition!H73</f>
        <v>0.004745724139</v>
      </c>
      <c r="T72" s="625">
        <f>Exposition!I73</f>
        <v>0.03398595151</v>
      </c>
      <c r="U72" s="625">
        <f>Exposition!J73</f>
        <v>0.01141739356</v>
      </c>
      <c r="V72" s="625">
        <f>Exposition!K73</f>
        <v>0.005571474255</v>
      </c>
      <c r="W72" s="625">
        <f>Exposition!L73</f>
        <v>0.006041814018</v>
      </c>
      <c r="X72" s="625">
        <f>Exposition!M73</f>
        <v>0.009227985166</v>
      </c>
      <c r="Y72" s="625">
        <f>Exposition!N73</f>
        <v>0.01546747344</v>
      </c>
      <c r="Z72" s="625">
        <f>Exposition!O73</f>
        <v>0.008340523272</v>
      </c>
      <c r="AA72" s="625">
        <f>Exposition!P73</f>
        <v>0.0138387671</v>
      </c>
      <c r="AB72" s="625">
        <f>Exposition!Q73</f>
        <v>0.0000000009823818029</v>
      </c>
      <c r="AC72" s="625">
        <f>Exposition!R73</f>
        <v>0.005966100797</v>
      </c>
      <c r="AD72" s="625">
        <f>Exposition!S73</f>
        <v>0</v>
      </c>
      <c r="AE72" s="625">
        <f>Exposition!T73</f>
        <v>0.002889635459</v>
      </c>
      <c r="AF72" s="625">
        <f>Exposition!U73</f>
        <v>0.05777367833</v>
      </c>
      <c r="AG72" s="623"/>
      <c r="AH72" s="621">
        <f>PRIX!A73</f>
        <v>45779</v>
      </c>
      <c r="AI72" s="626">
        <f>PRIX!B73</f>
        <v>93000</v>
      </c>
      <c r="AJ72" s="626">
        <f>PRIX!C73</f>
        <v>1800</v>
      </c>
      <c r="AK72" s="627">
        <f>PRIX!D73</f>
        <v>3.2</v>
      </c>
      <c r="AL72" s="626">
        <f>PRIX!E73</f>
        <v>150</v>
      </c>
      <c r="AM72" s="626">
        <f>PRIX!F73</f>
        <v>300</v>
      </c>
      <c r="AN72" s="627">
        <f>PRIX!G73</f>
        <v>0.56</v>
      </c>
      <c r="AO72" s="627">
        <f>PRIX!H73</f>
        <v>15</v>
      </c>
      <c r="AP72" s="631">
        <f>PRIX!I73</f>
        <v>0.16</v>
      </c>
      <c r="AQ72" s="628">
        <f>PRIX!J73</f>
        <v>0.000012</v>
      </c>
      <c r="AR72" s="631">
        <f>PRIX!K73</f>
        <v>2.1</v>
      </c>
      <c r="AS72" s="631">
        <f>PRIX!L73</f>
        <v>0.5</v>
      </c>
      <c r="AT72" s="631">
        <f>PRIX!M73</f>
        <v>170</v>
      </c>
      <c r="AU72" s="629">
        <f>PRIX!N73</f>
        <v>0.005</v>
      </c>
      <c r="AV72" s="631">
        <f>PRIX!O73</f>
        <v>3.6</v>
      </c>
      <c r="AW72" s="631">
        <f>PRIX!P73</f>
        <v>0.0015</v>
      </c>
      <c r="AX72" s="630">
        <f>PRIX!Q73</f>
        <v>0.000011</v>
      </c>
      <c r="AY72" s="631">
        <f>PRIX!R73</f>
        <v>0.4</v>
      </c>
      <c r="AZ72" s="631">
        <f>PRIX!S73</f>
        <v>2.9</v>
      </c>
      <c r="BA72" s="623"/>
    </row>
    <row r="73">
      <c r="A73" s="621">
        <f>ARBITRAGES!E74</f>
        <v>45785</v>
      </c>
      <c r="B73" s="623" t="str">
        <f>IF(A73="","",IF(ARBITRAGES!F74="Invest","Achat","Vente"))</f>
        <v>Vente</v>
      </c>
      <c r="C73" s="623" t="str">
        <f>ARBITRAGES!H74</f>
        <v>BTC</v>
      </c>
      <c r="D73" s="624">
        <f>ARBITRAGES!I74</f>
        <v>102000</v>
      </c>
      <c r="E73" s="624">
        <f>ARBITRAGES!J74</f>
        <v>1020</v>
      </c>
      <c r="F73" s="623"/>
      <c r="G73" s="621">
        <f>'PV (%)'!B75</f>
        <v>45852</v>
      </c>
      <c r="H73" s="624">
        <f>'PV (%)'!E75</f>
        <v>71069.34663</v>
      </c>
      <c r="I73" s="624">
        <f>'PV (%)'!F75</f>
        <v>54815.62768</v>
      </c>
      <c r="J73" s="626">
        <f>'PV (%)'!G75</f>
        <v>58315.19336</v>
      </c>
      <c r="K73" s="623"/>
      <c r="L73" s="621">
        <f>Exposition!A74</f>
        <v>45785</v>
      </c>
      <c r="M73" s="625">
        <f>Exposition!B74</f>
        <v>0.9053734881</v>
      </c>
      <c r="N73" s="625">
        <f>Exposition!C74</f>
        <v>0.4687216534</v>
      </c>
      <c r="O73" s="625">
        <f>Exposition!D74</f>
        <v>0.1500977775</v>
      </c>
      <c r="P73" s="625">
        <f>Exposition!E74</f>
        <v>0.02909134976</v>
      </c>
      <c r="Q73" s="625">
        <f>Exposition!F74</f>
        <v>0.06518525509</v>
      </c>
      <c r="R73" s="625">
        <f>Exposition!G74</f>
        <v>0.08820526086</v>
      </c>
      <c r="S73" s="625">
        <f>Exposition!H74</f>
        <v>0.004663055398</v>
      </c>
      <c r="T73" s="625">
        <f>Exposition!I74</f>
        <v>0.03170588417</v>
      </c>
      <c r="U73" s="625">
        <f>Exposition!J74</f>
        <v>0.001275951052</v>
      </c>
      <c r="V73" s="625">
        <f>Exposition!K74</f>
        <v>0.006015847533</v>
      </c>
      <c r="W73" s="625">
        <f>Exposition!L74</f>
        <v>0.005790561234</v>
      </c>
      <c r="X73" s="625">
        <f>Exposition!M74</f>
        <v>0.008290045359</v>
      </c>
      <c r="Y73" s="625">
        <f>Exposition!N74</f>
        <v>0.01729059021</v>
      </c>
      <c r="Z73" s="625">
        <f>Exposition!O74</f>
        <v>0.007925061907</v>
      </c>
      <c r="AA73" s="625">
        <f>Exposition!P74</f>
        <v>0.01295019138</v>
      </c>
      <c r="AB73" s="625">
        <f>Exposition!Q74</f>
        <v>0.000000001046592115</v>
      </c>
      <c r="AC73" s="625">
        <f>Exposition!R74</f>
        <v>0.005668915082</v>
      </c>
      <c r="AD73" s="625">
        <f>Exposition!S74</f>
        <v>0</v>
      </c>
      <c r="AE73" s="625">
        <f>Exposition!T74</f>
        <v>0.002496087111</v>
      </c>
      <c r="AF73" s="625">
        <f>Exposition!U74</f>
        <v>0.09462651194</v>
      </c>
      <c r="AG73" s="623"/>
      <c r="AH73" s="621">
        <f>PRIX!A74</f>
        <v>45785</v>
      </c>
      <c r="AI73" s="626">
        <f>PRIX!B74</f>
        <v>104000</v>
      </c>
      <c r="AJ73" s="626">
        <f>PRIX!C74</f>
        <v>2500</v>
      </c>
      <c r="AK73" s="627">
        <f>PRIX!D74</f>
        <v>3.3</v>
      </c>
      <c r="AL73" s="626">
        <f>PRIX!E74</f>
        <v>170</v>
      </c>
      <c r="AM73" s="626">
        <f>PRIX!F74</f>
        <v>450</v>
      </c>
      <c r="AN73" s="627">
        <f>PRIX!G74</f>
        <v>0.637</v>
      </c>
      <c r="AO73" s="627">
        <f>PRIX!H74</f>
        <v>16.2</v>
      </c>
      <c r="AP73" s="631">
        <f>PRIX!I74</f>
        <v>0.0207</v>
      </c>
      <c r="AQ73" s="628">
        <f>PRIX!J74</f>
        <v>0.000015</v>
      </c>
      <c r="AR73" s="631">
        <f>PRIX!K74</f>
        <v>2.33</v>
      </c>
      <c r="AS73" s="631">
        <f>PRIX!L74</f>
        <v>0.52</v>
      </c>
      <c r="AT73" s="631">
        <f>PRIX!M74</f>
        <v>220</v>
      </c>
      <c r="AU73" s="629">
        <f>PRIX!N74</f>
        <v>0.0055</v>
      </c>
      <c r="AV73" s="631">
        <f>PRIX!O74</f>
        <v>3.9</v>
      </c>
      <c r="AW73" s="631">
        <f>PRIX!P74</f>
        <v>0.00185</v>
      </c>
      <c r="AX73" s="630">
        <f>PRIX!Q74</f>
        <v>0.0000121</v>
      </c>
      <c r="AY73" s="631">
        <f>PRIX!R74</f>
        <v>0.71</v>
      </c>
      <c r="AZ73" s="631">
        <f>PRIX!S74</f>
        <v>2.9</v>
      </c>
      <c r="BA73" s="623"/>
    </row>
    <row r="74">
      <c r="A74" s="621">
        <f>ARBITRAGES!E75</f>
        <v>45785</v>
      </c>
      <c r="B74" s="623" t="str">
        <f>IF(A74="","",IF(ARBITRAGES!F75="Invest","Achat","Vente"))</f>
        <v>Vente</v>
      </c>
      <c r="C74" s="623" t="str">
        <f>ARBITRAGES!H75</f>
        <v>BTC</v>
      </c>
      <c r="D74" s="624">
        <f>ARBITRAGES!I75</f>
        <v>102500</v>
      </c>
      <c r="E74" s="624">
        <f>ARBITRAGES!J75</f>
        <v>1266.14867</v>
      </c>
      <c r="F74" s="623"/>
      <c r="G74" s="621">
        <f>'PV (%)'!B76</f>
        <v>45852</v>
      </c>
      <c r="H74" s="624">
        <f>'PV (%)'!E76</f>
        <v>71069.34663</v>
      </c>
      <c r="I74" s="624">
        <f>'PV (%)'!F76</f>
        <v>54815.62768</v>
      </c>
      <c r="J74" s="626">
        <f>'PV (%)'!G76</f>
        <v>58340.06293</v>
      </c>
      <c r="K74" s="623"/>
      <c r="L74" s="621">
        <f>Exposition!A75</f>
        <v>45054</v>
      </c>
      <c r="M74" s="625">
        <f>Exposition!B75</f>
        <v>0.9009893252</v>
      </c>
      <c r="N74" s="625">
        <f>Exposition!C75</f>
        <v>0.4688667866</v>
      </c>
      <c r="O74" s="625">
        <f>Exposition!D75</f>
        <v>0.1501442532</v>
      </c>
      <c r="P74" s="625">
        <f>Exposition!E75</f>
        <v>0.0291003575</v>
      </c>
      <c r="Q74" s="625">
        <f>Exposition!F75</f>
        <v>0.06520543881</v>
      </c>
      <c r="R74" s="625">
        <f>Exposition!G75</f>
        <v>0.0882325724</v>
      </c>
      <c r="S74" s="625">
        <f>Exposition!H75</f>
        <v>0</v>
      </c>
      <c r="T74" s="625">
        <f>Exposition!I75</f>
        <v>0.03171570146</v>
      </c>
      <c r="U74" s="625">
        <f>Exposition!J75</f>
        <v>0.001276346132</v>
      </c>
      <c r="V74" s="625">
        <f>Exposition!K75</f>
        <v>0.006017710258</v>
      </c>
      <c r="W74" s="625">
        <f>Exposition!L75</f>
        <v>0.005792354202</v>
      </c>
      <c r="X74" s="625">
        <f>Exposition!M75</f>
        <v>0.008292612258</v>
      </c>
      <c r="Y74" s="625">
        <f>Exposition!N75</f>
        <v>0.01729594401</v>
      </c>
      <c r="Z74" s="625">
        <f>Exposition!O75</f>
        <v>0.007927515793</v>
      </c>
      <c r="AA74" s="625">
        <f>Exposition!P75</f>
        <v>0.01295420123</v>
      </c>
      <c r="AB74" s="625">
        <f>Exposition!Q75</f>
        <v>0.000000001046916178</v>
      </c>
      <c r="AC74" s="625">
        <f>Exposition!R75</f>
        <v>0.005670670383</v>
      </c>
      <c r="AD74" s="625">
        <f>Exposition!S75</f>
        <v>0</v>
      </c>
      <c r="AE74" s="625">
        <f>Exposition!T75</f>
        <v>0.00249685999</v>
      </c>
      <c r="AF74" s="625">
        <f>Exposition!U75</f>
        <v>0.09901067477</v>
      </c>
      <c r="AG74" s="623"/>
      <c r="AH74" s="621">
        <f>PRIX!A75</f>
        <v>45785</v>
      </c>
      <c r="AI74" s="626">
        <f>PRIX!B75</f>
        <v>104000</v>
      </c>
      <c r="AJ74" s="626">
        <f>PRIX!C75</f>
        <v>2500</v>
      </c>
      <c r="AK74" s="627">
        <f>PRIX!D75</f>
        <v>3.3</v>
      </c>
      <c r="AL74" s="626">
        <f>PRIX!E75</f>
        <v>170</v>
      </c>
      <c r="AM74" s="626">
        <f>PRIX!F75</f>
        <v>450</v>
      </c>
      <c r="AN74" s="627">
        <f>PRIX!G75</f>
        <v>0.637</v>
      </c>
      <c r="AO74" s="627">
        <f>PRIX!H75</f>
        <v>16.2</v>
      </c>
      <c r="AP74" s="631">
        <f>PRIX!I75</f>
        <v>0.0207</v>
      </c>
      <c r="AQ74" s="628">
        <f>PRIX!J75</f>
        <v>0.000015</v>
      </c>
      <c r="AR74" s="631">
        <f>PRIX!K75</f>
        <v>2.33</v>
      </c>
      <c r="AS74" s="631">
        <f>PRIX!L75</f>
        <v>0.52</v>
      </c>
      <c r="AT74" s="631">
        <f>PRIX!M75</f>
        <v>220</v>
      </c>
      <c r="AU74" s="629">
        <f>PRIX!N75</f>
        <v>0.0055</v>
      </c>
      <c r="AV74" s="631">
        <f>PRIX!O75</f>
        <v>3.9</v>
      </c>
      <c r="AW74" s="631">
        <f>PRIX!P75</f>
        <v>0.00185</v>
      </c>
      <c r="AX74" s="630">
        <f>PRIX!Q75</f>
        <v>0.0000121</v>
      </c>
      <c r="AY74" s="631">
        <f>PRIX!R75</f>
        <v>0.71</v>
      </c>
      <c r="AZ74" s="631">
        <f>PRIX!S75</f>
        <v>2.9</v>
      </c>
      <c r="BA74" s="623"/>
    </row>
    <row r="75">
      <c r="A75" s="621">
        <f>ARBITRAGES!E76</f>
        <v>45054</v>
      </c>
      <c r="B75" s="623" t="str">
        <f>IF(A75="","",IF(ARBITRAGES!F76="Invest","Achat","Vente"))</f>
        <v>Vente</v>
      </c>
      <c r="C75" s="623" t="str">
        <f>ARBITRAGES!H76</f>
        <v>RON</v>
      </c>
      <c r="D75" s="624">
        <f>ARBITRAGES!I76</f>
        <v>0.59</v>
      </c>
      <c r="E75" s="624">
        <f>ARBITRAGES!J76</f>
        <v>222.551735</v>
      </c>
      <c r="F75" s="623"/>
      <c r="G75" s="621">
        <f>'PV (%)'!B77</f>
        <v>45852</v>
      </c>
      <c r="H75" s="624">
        <f>'PV (%)'!E77</f>
        <v>71069.34663</v>
      </c>
      <c r="I75" s="624">
        <f>'PV (%)'!F77</f>
        <v>54815.62768</v>
      </c>
      <c r="J75" s="626">
        <f>'PV (%)'!G77</f>
        <v>58344.86155</v>
      </c>
      <c r="K75" s="623"/>
      <c r="L75" s="621">
        <f>Exposition!A76</f>
        <v>45786</v>
      </c>
      <c r="M75" s="625">
        <f>Exposition!B76</f>
        <v>0.8925846598</v>
      </c>
      <c r="N75" s="625">
        <f>Exposition!C76</f>
        <v>0.4684786672</v>
      </c>
      <c r="O75" s="625">
        <f>Exposition!D76</f>
        <v>0.150708449</v>
      </c>
      <c r="P75" s="625">
        <f>Exposition!E76</f>
        <v>0.02912430472</v>
      </c>
      <c r="Q75" s="625">
        <f>Exposition!F76</f>
        <v>0.06525909757</v>
      </c>
      <c r="R75" s="625">
        <f>Exposition!G76</f>
        <v>0.07949239365</v>
      </c>
      <c r="S75" s="625">
        <f>Exposition!H76</f>
        <v>0</v>
      </c>
      <c r="T75" s="625">
        <f>Exposition!I76</f>
        <v>0.0317418009</v>
      </c>
      <c r="U75" s="625">
        <f>Exposition!J76</f>
        <v>0.001277396461</v>
      </c>
      <c r="V75" s="625">
        <f>Exposition!K76</f>
        <v>0.006022662342</v>
      </c>
      <c r="W75" s="625">
        <f>Exposition!L76</f>
        <v>0.005797120837</v>
      </c>
      <c r="X75" s="625">
        <f>Exposition!M76</f>
        <v>0.008299436401</v>
      </c>
      <c r="Y75" s="625">
        <f>Exposition!N76</f>
        <v>0.01731017716</v>
      </c>
      <c r="Z75" s="625">
        <f>Exposition!O76</f>
        <v>0.007934039493</v>
      </c>
      <c r="AA75" s="625">
        <f>Exposition!P76</f>
        <v>0.01296486148</v>
      </c>
      <c r="AB75" s="625">
        <f>Exposition!Q76</f>
        <v>0.000000001047777704</v>
      </c>
      <c r="AC75" s="625">
        <f>Exposition!R76</f>
        <v>0.005675336883</v>
      </c>
      <c r="AD75" s="625">
        <f>Exposition!S76</f>
        <v>0</v>
      </c>
      <c r="AE75" s="625">
        <f>Exposition!T76</f>
        <v>0.002498914703</v>
      </c>
      <c r="AF75" s="625">
        <f>Exposition!U76</f>
        <v>0.1074153402</v>
      </c>
      <c r="AG75" s="623"/>
      <c r="AH75" s="621">
        <f>PRIX!A76</f>
        <v>45054</v>
      </c>
      <c r="AI75" s="626">
        <f>PRIX!B76</f>
        <v>104000</v>
      </c>
      <c r="AJ75" s="626">
        <f>PRIX!C76</f>
        <v>2500</v>
      </c>
      <c r="AK75" s="627">
        <f>PRIX!D76</f>
        <v>3.3</v>
      </c>
      <c r="AL75" s="626">
        <f>PRIX!E76</f>
        <v>170</v>
      </c>
      <c r="AM75" s="626">
        <f>PRIX!F76</f>
        <v>450</v>
      </c>
      <c r="AN75" s="627">
        <f>PRIX!G76</f>
        <v>0.637</v>
      </c>
      <c r="AO75" s="627">
        <f>PRIX!H76</f>
        <v>16.2</v>
      </c>
      <c r="AP75" s="631">
        <f>PRIX!I76</f>
        <v>0.0207</v>
      </c>
      <c r="AQ75" s="628">
        <f>PRIX!J76</f>
        <v>0.000015</v>
      </c>
      <c r="AR75" s="631">
        <f>PRIX!K76</f>
        <v>2.33</v>
      </c>
      <c r="AS75" s="631">
        <f>PRIX!L76</f>
        <v>0.52</v>
      </c>
      <c r="AT75" s="631">
        <f>PRIX!M76</f>
        <v>220</v>
      </c>
      <c r="AU75" s="629">
        <f>PRIX!N76</f>
        <v>0.0055</v>
      </c>
      <c r="AV75" s="631">
        <f>PRIX!O76</f>
        <v>3.9</v>
      </c>
      <c r="AW75" s="631">
        <f>PRIX!P76</f>
        <v>0.00185</v>
      </c>
      <c r="AX75" s="630">
        <f>PRIX!Q76</f>
        <v>0.0000121</v>
      </c>
      <c r="AY75" s="631">
        <f>PRIX!R76</f>
        <v>0.71</v>
      </c>
      <c r="AZ75" s="631">
        <f>PRIX!S76</f>
        <v>2.9</v>
      </c>
      <c r="BA75" s="623"/>
    </row>
    <row r="76">
      <c r="A76" s="621">
        <f>ARBITRAGES!E77</f>
        <v>45786</v>
      </c>
      <c r="B76" s="623" t="str">
        <f>IF(A76="","",IF(ARBITRAGES!F77="Invest","Achat","Vente"))</f>
        <v>Vente</v>
      </c>
      <c r="C76" s="623" t="str">
        <f>ARBITRAGES!H77</f>
        <v>TAO</v>
      </c>
      <c r="D76" s="624">
        <f>ARBITRAGES!I77</f>
        <v>425</v>
      </c>
      <c r="E76" s="624">
        <f>ARBITRAGES!J77</f>
        <v>425</v>
      </c>
      <c r="F76" s="623"/>
      <c r="G76" s="621">
        <f>'PV (%)'!B78</f>
        <v>45853</v>
      </c>
      <c r="H76" s="624">
        <f>'PV (%)'!E78</f>
        <v>70177.26278</v>
      </c>
      <c r="I76" s="624">
        <f>'PV (%)'!F78</f>
        <v>53732.02789</v>
      </c>
      <c r="J76" s="626">
        <f>'PV (%)'!G78</f>
        <v>57309.23725</v>
      </c>
      <c r="K76" s="623"/>
      <c r="L76" s="621">
        <f>Exposition!A77</f>
        <v>45789</v>
      </c>
      <c r="M76" s="625">
        <f>Exposition!B77</f>
        <v>0.8914654784</v>
      </c>
      <c r="N76" s="625">
        <f>Exposition!C77</f>
        <v>0.4551591463</v>
      </c>
      <c r="O76" s="625">
        <f>Exposition!D77</f>
        <v>0.1486374601</v>
      </c>
      <c r="P76" s="625">
        <f>Exposition!E77</f>
        <v>0.02493509143</v>
      </c>
      <c r="Q76" s="625">
        <f>Exposition!F77</f>
        <v>0.06518818023</v>
      </c>
      <c r="R76" s="625">
        <f>Exposition!G77</f>
        <v>0.08045690133</v>
      </c>
      <c r="S76" s="625">
        <f>Exposition!H77</f>
        <v>0</v>
      </c>
      <c r="T76" s="625">
        <f>Exposition!I77</f>
        <v>0.03316464134</v>
      </c>
      <c r="U76" s="625">
        <f>Exposition!J77</f>
        <v>0.01450543728</v>
      </c>
      <c r="V76" s="625">
        <f>Exposition!K77</f>
        <v>0.006447112951</v>
      </c>
      <c r="W76" s="625">
        <f>Exposition!L77</f>
        <v>0.006016029966</v>
      </c>
      <c r="X76" s="625">
        <f>Exposition!M77</f>
        <v>0.009033211363</v>
      </c>
      <c r="Y76" s="625">
        <f>Exposition!N77</f>
        <v>0.01711795394</v>
      </c>
      <c r="Z76" s="625">
        <f>Exposition!O77</f>
        <v>0.008380358874</v>
      </c>
      <c r="AA76" s="625">
        <f>Exposition!P77</f>
        <v>0.01285741816</v>
      </c>
      <c r="AB76" s="625">
        <f>Exposition!Q77</f>
        <v>0.000000001423840284</v>
      </c>
      <c r="AC76" s="625">
        <f>Exposition!R77</f>
        <v>0.006817007349</v>
      </c>
      <c r="AD76" s="625">
        <f>Exposition!S77</f>
        <v>0</v>
      </c>
      <c r="AE76" s="625">
        <f>Exposition!T77</f>
        <v>0.002749526297</v>
      </c>
      <c r="AF76" s="625">
        <f>Exposition!U77</f>
        <v>0.1085345216</v>
      </c>
      <c r="AG76" s="623"/>
      <c r="AH76" s="621">
        <f>PRIX!A77</f>
        <v>45786</v>
      </c>
      <c r="AI76" s="626">
        <f>PRIX!B77</f>
        <v>104000</v>
      </c>
      <c r="AJ76" s="626">
        <f>PRIX!C77</f>
        <v>2500</v>
      </c>
      <c r="AK76" s="627">
        <f>PRIX!D77</f>
        <v>3.3</v>
      </c>
      <c r="AL76" s="626">
        <f>PRIX!E77</f>
        <v>170</v>
      </c>
      <c r="AM76" s="626">
        <f>PRIX!F77</f>
        <v>450</v>
      </c>
      <c r="AN76" s="627">
        <f>PRIX!G77</f>
        <v>0.637</v>
      </c>
      <c r="AO76" s="627">
        <f>PRIX!H77</f>
        <v>16.2</v>
      </c>
      <c r="AP76" s="631">
        <f>PRIX!I77</f>
        <v>0.0207</v>
      </c>
      <c r="AQ76" s="628">
        <f>PRIX!J77</f>
        <v>0.000015</v>
      </c>
      <c r="AR76" s="631">
        <f>PRIX!K77</f>
        <v>2.33</v>
      </c>
      <c r="AS76" s="631">
        <f>PRIX!L77</f>
        <v>0.52</v>
      </c>
      <c r="AT76" s="631">
        <f>PRIX!M77</f>
        <v>220</v>
      </c>
      <c r="AU76" s="629">
        <f>PRIX!N77</f>
        <v>0.0055</v>
      </c>
      <c r="AV76" s="631">
        <f>PRIX!O77</f>
        <v>3.9</v>
      </c>
      <c r="AW76" s="631">
        <f>PRIX!P77</f>
        <v>0.00185</v>
      </c>
      <c r="AX76" s="630">
        <f>PRIX!Q77</f>
        <v>0.0000121</v>
      </c>
      <c r="AY76" s="631">
        <f>PRIX!R77</f>
        <v>0.71</v>
      </c>
      <c r="AZ76" s="631">
        <f>PRIX!S77</f>
        <v>2.9</v>
      </c>
      <c r="BA76" s="623"/>
    </row>
    <row r="77">
      <c r="A77" s="621">
        <f>ARBITRAGES!E78</f>
        <v>45789</v>
      </c>
      <c r="B77" s="623" t="str">
        <f>IF(A77="","",IF(ARBITRAGES!F78="Invest","Achat","Vente"))</f>
        <v>Vente</v>
      </c>
      <c r="C77" s="623" t="str">
        <f>ARBITRAGES!H78</f>
        <v>TON</v>
      </c>
      <c r="D77" s="624">
        <f>ARBITRAGES!I78</f>
        <v>3.25</v>
      </c>
      <c r="E77" s="624">
        <f>ARBITRAGES!J78</f>
        <v>246.75</v>
      </c>
      <c r="F77" s="623"/>
      <c r="G77" s="621">
        <f>'PV (%)'!B79</f>
        <v>45854</v>
      </c>
      <c r="H77" s="624">
        <f>'PV (%)'!E79</f>
        <v>71069.34663</v>
      </c>
      <c r="I77" s="624">
        <f>'PV (%)'!F79</f>
        <v>54815.62768</v>
      </c>
      <c r="J77" s="626">
        <f>'PV (%)'!G79</f>
        <v>58367.67308</v>
      </c>
      <c r="K77" s="623"/>
      <c r="L77" s="621">
        <f>Exposition!A78</f>
        <v>45790</v>
      </c>
      <c r="M77" s="625">
        <f>Exposition!B78</f>
        <v>0.9184521652</v>
      </c>
      <c r="N77" s="625">
        <f>Exposition!C78</f>
        <v>0.4860410577</v>
      </c>
      <c r="O77" s="625">
        <f>Exposition!D78</f>
        <v>0.1483008491</v>
      </c>
      <c r="P77" s="625">
        <f>Exposition!E78</f>
        <v>0.02392612648</v>
      </c>
      <c r="Q77" s="625">
        <f>Exposition!F78</f>
        <v>0.06634136321</v>
      </c>
      <c r="R77" s="625">
        <f>Exposition!G78</f>
        <v>0.08013805726</v>
      </c>
      <c r="S77" s="625">
        <f>Exposition!H78</f>
        <v>0</v>
      </c>
      <c r="T77" s="625">
        <f>Exposition!I78</f>
        <v>0.03182267872</v>
      </c>
      <c r="U77" s="625">
        <f>Exposition!J78</f>
        <v>0.0136325703</v>
      </c>
      <c r="V77" s="625">
        <f>Exposition!K78</f>
        <v>0.006086861858</v>
      </c>
      <c r="W77" s="625">
        <f>Exposition!L78</f>
        <v>0.005877555755</v>
      </c>
      <c r="X77" s="625">
        <f>Exposition!M78</f>
        <v>0.008717508948</v>
      </c>
      <c r="Y77" s="625">
        <f>Exposition!N78</f>
        <v>0.01703364336</v>
      </c>
      <c r="Z77" s="625">
        <f>Exposition!O78</f>
        <v>0.008528607946</v>
      </c>
      <c r="AA77" s="625">
        <f>Exposition!P78</f>
        <v>0.01243062336</v>
      </c>
      <c r="AB77" s="625">
        <f>Exposition!Q78</f>
        <v>0.000000001449028107</v>
      </c>
      <c r="AC77" s="625">
        <f>Exposition!R78</f>
        <v>0.006937600634</v>
      </c>
      <c r="AD77" s="625">
        <f>Exposition!S78</f>
        <v>0</v>
      </c>
      <c r="AE77" s="625">
        <f>Exposition!T78</f>
        <v>0.002637059086</v>
      </c>
      <c r="AF77" s="625">
        <f>Exposition!U78</f>
        <v>0.08154783479</v>
      </c>
      <c r="AG77" s="623"/>
      <c r="AH77" s="621">
        <f>PRIX!A78</f>
        <v>45789</v>
      </c>
      <c r="AI77" s="626">
        <f>PRIX!B78</f>
        <v>104500</v>
      </c>
      <c r="AJ77" s="626">
        <f>PRIX!C78</f>
        <v>2550</v>
      </c>
      <c r="AK77" s="627">
        <f>PRIX!D78</f>
        <v>3.5</v>
      </c>
      <c r="AL77" s="626">
        <f>PRIX!E78</f>
        <v>175</v>
      </c>
      <c r="AM77" s="626">
        <f>PRIX!F78</f>
        <v>470</v>
      </c>
      <c r="AN77" s="627">
        <f>PRIX!G78</f>
        <v>0.7</v>
      </c>
      <c r="AO77" s="627">
        <f>PRIX!H78</f>
        <v>17.5</v>
      </c>
      <c r="AP77" s="631">
        <f>PRIX!I78</f>
        <v>0.2431</v>
      </c>
      <c r="AQ77" s="628">
        <f>PRIX!J78</f>
        <v>0.0000166</v>
      </c>
      <c r="AR77" s="631">
        <f>PRIX!K78</f>
        <v>2.5</v>
      </c>
      <c r="AS77" s="631">
        <f>PRIX!L78</f>
        <v>0.58</v>
      </c>
      <c r="AT77" s="631">
        <f>PRIX!M78</f>
        <v>225</v>
      </c>
      <c r="AU77" s="629">
        <f>PRIX!N78</f>
        <v>0.006</v>
      </c>
      <c r="AV77" s="631">
        <f>PRIX!O78</f>
        <v>4</v>
      </c>
      <c r="AW77" s="631">
        <f>PRIX!P78</f>
        <v>0.0026</v>
      </c>
      <c r="AX77" s="630">
        <f>PRIX!Q78</f>
        <v>0.000015</v>
      </c>
      <c r="AY77" s="631">
        <f>PRIX!R78</f>
        <v>1.21</v>
      </c>
      <c r="AZ77" s="631">
        <f>PRIX!S78</f>
        <v>3.3</v>
      </c>
      <c r="BA77" s="623"/>
    </row>
    <row r="78">
      <c r="A78" s="621">
        <f>ARBITRAGES!E79</f>
        <v>45790</v>
      </c>
      <c r="B78" s="623" t="str">
        <f>IF(A78="","",IF(ARBITRAGES!F79="Invest","Achat","Vente"))</f>
        <v>Achat</v>
      </c>
      <c r="C78" s="623" t="str">
        <f>ARBITRAGES!H79</f>
        <v>BTC</v>
      </c>
      <c r="D78" s="624">
        <f>ARBITRAGES!I79</f>
        <v>101000</v>
      </c>
      <c r="E78" s="624">
        <f>ARBITRAGES!J79</f>
        <v>1500</v>
      </c>
      <c r="F78" s="623"/>
      <c r="G78" s="621">
        <f>'PV (%)'!B80</f>
        <v>45856</v>
      </c>
      <c r="H78" s="624">
        <f>'PV (%)'!E80</f>
        <v>72556.15305</v>
      </c>
      <c r="I78" s="624">
        <f>'PV (%)'!F80</f>
        <v>56229.50819</v>
      </c>
      <c r="J78" s="626">
        <f>'PV (%)'!G80</f>
        <v>59627.83598</v>
      </c>
      <c r="K78" s="623"/>
      <c r="L78" s="621">
        <f>Exposition!A79</f>
        <v>45808</v>
      </c>
      <c r="M78" s="625">
        <f>Exposition!B79</f>
        <v>0.9256389349</v>
      </c>
      <c r="N78" s="625">
        <f>Exposition!C79</f>
        <v>0.4967348512</v>
      </c>
      <c r="O78" s="625">
        <f>Exposition!D79</f>
        <v>0.1545950142</v>
      </c>
      <c r="P78" s="625">
        <f>Exposition!E79</f>
        <v>0.02408205198</v>
      </c>
      <c r="Q78" s="625">
        <f>Exposition!F79</f>
        <v>0.0600523096</v>
      </c>
      <c r="R78" s="625">
        <f>Exposition!G79</f>
        <v>0.08067212477</v>
      </c>
      <c r="S78" s="625">
        <f>Exposition!H79</f>
        <v>0</v>
      </c>
      <c r="T78" s="625">
        <f>Exposition!I79</f>
        <v>0.028580674</v>
      </c>
      <c r="U78" s="625">
        <f>Exposition!J79</f>
        <v>0.01117083352</v>
      </c>
      <c r="V78" s="625">
        <f>Exposition!K79</f>
        <v>0.006220783967</v>
      </c>
      <c r="W78" s="625">
        <f>Exposition!L79</f>
        <v>0.006006872747</v>
      </c>
      <c r="X78" s="625">
        <f>Exposition!M79</f>
        <v>0.008909310111</v>
      </c>
      <c r="Y78" s="625">
        <f>Exposition!N79</f>
        <v>0.01740841471</v>
      </c>
      <c r="Z78" s="625">
        <f>Exposition!O79</f>
        <v>0.008716252941</v>
      </c>
      <c r="AA78" s="625">
        <f>Exposition!P79</f>
        <v>0.01270411984</v>
      </c>
      <c r="AB78" s="625">
        <f>Exposition!Q79</f>
        <v>0.00000000148090938</v>
      </c>
      <c r="AC78" s="625">
        <f>Exposition!R79</f>
        <v>0.007090240555</v>
      </c>
      <c r="AD78" s="625">
        <f>Exposition!S79</f>
        <v>0</v>
      </c>
      <c r="AE78" s="625">
        <f>Exposition!T79</f>
        <v>0.002695079215</v>
      </c>
      <c r="AF78" s="625">
        <f>Exposition!U79</f>
        <v>0.07436106515</v>
      </c>
      <c r="AG78" s="623"/>
      <c r="AH78" s="621">
        <f>PRIX!A79</f>
        <v>45790</v>
      </c>
      <c r="AI78" s="626">
        <f>PRIX!B79</f>
        <v>103000</v>
      </c>
      <c r="AJ78" s="626">
        <f>PRIX!C79</f>
        <v>2500</v>
      </c>
      <c r="AK78" s="627">
        <f>PRIX!D79</f>
        <v>3.3</v>
      </c>
      <c r="AL78" s="626">
        <f>PRIX!E79</f>
        <v>175</v>
      </c>
      <c r="AM78" s="626">
        <f>PRIX!F79</f>
        <v>460</v>
      </c>
      <c r="AN78" s="627">
        <f>PRIX!G79</f>
        <v>0.7</v>
      </c>
      <c r="AO78" s="627">
        <f>PRIX!H79</f>
        <v>16.5</v>
      </c>
      <c r="AP78" s="631">
        <f>PRIX!I79</f>
        <v>0.2245</v>
      </c>
      <c r="AQ78" s="628">
        <f>PRIX!J79</f>
        <v>0.0000154</v>
      </c>
      <c r="AR78" s="631">
        <f>PRIX!K79</f>
        <v>2.4</v>
      </c>
      <c r="AS78" s="631">
        <f>PRIX!L79</f>
        <v>0.55</v>
      </c>
      <c r="AT78" s="631">
        <f>PRIX!M79</f>
        <v>220</v>
      </c>
      <c r="AU78" s="629">
        <f>PRIX!N79</f>
        <v>0.006</v>
      </c>
      <c r="AV78" s="631">
        <f>PRIX!O79</f>
        <v>3.8</v>
      </c>
      <c r="AW78" s="631">
        <f>PRIX!P79</f>
        <v>0.0026</v>
      </c>
      <c r="AX78" s="630">
        <f>PRIX!Q79</f>
        <v>0.000015</v>
      </c>
      <c r="AY78" s="631">
        <f>PRIX!R79</f>
        <v>1.15</v>
      </c>
      <c r="AZ78" s="631">
        <f>PRIX!S79</f>
        <v>3.11</v>
      </c>
      <c r="BA78" s="623"/>
    </row>
    <row r="79">
      <c r="A79" s="621">
        <f>ARBITRAGES!E80</f>
        <v>45808</v>
      </c>
      <c r="B79" s="623" t="str">
        <f>IF(A79="","",IF(ARBITRAGES!F80="Invest","Achat","Vente"))</f>
        <v>Achat</v>
      </c>
      <c r="C79" s="623" t="str">
        <f>ARBITRAGES!H80</f>
        <v>TAO</v>
      </c>
      <c r="D79" s="624">
        <f>ARBITRAGES!I80</f>
        <v>380</v>
      </c>
      <c r="E79" s="624">
        <f>ARBITRAGES!J80</f>
        <v>456</v>
      </c>
      <c r="F79" s="623"/>
      <c r="G79" s="621">
        <f>'PV (%)'!B81</f>
        <v>45856</v>
      </c>
      <c r="H79" s="624">
        <f>'PV (%)'!E81</f>
        <v>72556.15305</v>
      </c>
      <c r="I79" s="624">
        <f>'PV (%)'!F81</f>
        <v>56385.03375</v>
      </c>
      <c r="J79" s="626">
        <f>'PV (%)'!G81</f>
        <v>59793.41733</v>
      </c>
      <c r="K79" s="623"/>
      <c r="L79" s="621">
        <f>Exposition!A80</f>
        <v>45817</v>
      </c>
      <c r="M79" s="625">
        <f>Exposition!B80</f>
        <v>0.8895595063</v>
      </c>
      <c r="N79" s="625">
        <f>Exposition!C80</f>
        <v>0.4609419733</v>
      </c>
      <c r="O79" s="625">
        <f>Exposition!D80</f>
        <v>0.1547805673</v>
      </c>
      <c r="P79" s="625">
        <f>Exposition!E80</f>
        <v>0.02333198716</v>
      </c>
      <c r="Q79" s="625">
        <f>Exposition!F80</f>
        <v>0.05861589035</v>
      </c>
      <c r="R79" s="625">
        <f>Exposition!G80</f>
        <v>0.08390996647</v>
      </c>
      <c r="S79" s="625">
        <f>Exposition!H80</f>
        <v>0</v>
      </c>
      <c r="T79" s="625">
        <f>Exposition!I80</f>
        <v>0.02795716244</v>
      </c>
      <c r="U79" s="625">
        <f>Exposition!J80</f>
        <v>0.01173654956</v>
      </c>
      <c r="V79" s="625">
        <f>Exposition!K80</f>
        <v>0.004965524371</v>
      </c>
      <c r="W79" s="625">
        <f>Exposition!L80</f>
        <v>0.0059166321</v>
      </c>
      <c r="X79" s="625">
        <f>Exposition!M80</f>
        <v>0.007658588892</v>
      </c>
      <c r="Y79" s="625">
        <f>Exposition!N80</f>
        <v>0.02244683761</v>
      </c>
      <c r="Z79" s="625">
        <f>Exposition!O80</f>
        <v>0.005769328016</v>
      </c>
      <c r="AA79" s="625">
        <f>Exposition!P80</f>
        <v>0.01375142197</v>
      </c>
      <c r="AB79" s="625">
        <f>Exposition!Q80</f>
        <v>0.000000001077165656</v>
      </c>
      <c r="AC79" s="625">
        <f>Exposition!R80</f>
        <v>0.005810458852</v>
      </c>
      <c r="AD79" s="625">
        <f>Exposition!S80</f>
        <v>0</v>
      </c>
      <c r="AE79" s="625">
        <f>Exposition!T80</f>
        <v>0.001966616842</v>
      </c>
      <c r="AF79" s="625">
        <f>Exposition!U80</f>
        <v>0.1104404937</v>
      </c>
      <c r="AG79" s="623"/>
      <c r="AH79" s="621">
        <f>PRIX!A80</f>
        <v>45808</v>
      </c>
      <c r="AI79" s="626">
        <f>PRIX!B80</f>
        <v>103000</v>
      </c>
      <c r="AJ79" s="626">
        <f>PRIX!C80</f>
        <v>2550</v>
      </c>
      <c r="AK79" s="627">
        <f>PRIX!D80</f>
        <v>3.25</v>
      </c>
      <c r="AL79" s="626">
        <f>PRIX!E80</f>
        <v>155</v>
      </c>
      <c r="AM79" s="626">
        <f>PRIX!F80</f>
        <v>400</v>
      </c>
      <c r="AN79" s="627">
        <f>PRIX!G80</f>
        <v>0.56</v>
      </c>
      <c r="AO79" s="627">
        <f>PRIX!H80</f>
        <v>14.5</v>
      </c>
      <c r="AP79" s="631">
        <f>PRIX!I80</f>
        <v>0.18</v>
      </c>
      <c r="AQ79" s="628">
        <f>PRIX!J80</f>
        <v>0.0000154</v>
      </c>
      <c r="AR79" s="631">
        <f>PRIX!K80</f>
        <v>2.4</v>
      </c>
      <c r="AS79" s="631">
        <f>PRIX!L80</f>
        <v>0.55</v>
      </c>
      <c r="AT79" s="631">
        <f>PRIX!M80</f>
        <v>220</v>
      </c>
      <c r="AU79" s="629">
        <f>PRIX!N80</f>
        <v>0.006</v>
      </c>
      <c r="AV79" s="631">
        <f>PRIX!O80</f>
        <v>3.8</v>
      </c>
      <c r="AW79" s="631">
        <f>PRIX!P80</f>
        <v>0.0026</v>
      </c>
      <c r="AX79" s="630">
        <f>PRIX!Q80</f>
        <v>0.000015</v>
      </c>
      <c r="AY79" s="631">
        <f>PRIX!R80</f>
        <v>1.15</v>
      </c>
      <c r="AZ79" s="631">
        <f>PRIX!S80</f>
        <v>3.11</v>
      </c>
      <c r="BA79" s="623"/>
    </row>
    <row r="80">
      <c r="A80" s="621">
        <f>ARBITRAGES!E81</f>
        <v>45817</v>
      </c>
      <c r="B80" s="623" t="str">
        <f>IF(A80="","",IF(ARBITRAGES!F81="Invest","Achat","Vente"))</f>
        <v>Vente</v>
      </c>
      <c r="C80" s="623" t="str">
        <f>ARBITRAGES!H81</f>
        <v>BTC</v>
      </c>
      <c r="D80" s="624">
        <f>ARBITRAGES!I81</f>
        <v>108500</v>
      </c>
      <c r="E80" s="624">
        <f>ARBITRAGES!J81</f>
        <v>2154.633145</v>
      </c>
      <c r="F80" s="623"/>
      <c r="G80" s="621">
        <f>'PV (%)'!B82</f>
        <v>45857</v>
      </c>
      <c r="H80" s="624">
        <f>'PV (%)'!E82</f>
        <v>71366.70791</v>
      </c>
      <c r="I80" s="624">
        <f>'PV (%)'!F82</f>
        <v>56311.87243</v>
      </c>
      <c r="J80" s="626">
        <f>'PV (%)'!G82</f>
        <v>59959.08351</v>
      </c>
      <c r="K80" s="623"/>
      <c r="L80" s="621">
        <f>Exposition!A81</f>
        <v>45817</v>
      </c>
      <c r="M80" s="625">
        <f>Exposition!B81</f>
        <v>0.8382362732</v>
      </c>
      <c r="N80" s="625">
        <f>Exposition!C81</f>
        <v>0.4095331052</v>
      </c>
      <c r="O80" s="625">
        <f>Exposition!D81</f>
        <v>0.154822541</v>
      </c>
      <c r="P80" s="625">
        <f>Exposition!E81</f>
        <v>0.02332088925</v>
      </c>
      <c r="Q80" s="625">
        <f>Exposition!F81</f>
        <v>0.05871430827</v>
      </c>
      <c r="R80" s="625">
        <f>Exposition!G81</f>
        <v>0.08387005453</v>
      </c>
      <c r="S80" s="625">
        <f>Exposition!H81</f>
        <v>0</v>
      </c>
      <c r="T80" s="625">
        <f>Exposition!I81</f>
        <v>0.02794386456</v>
      </c>
      <c r="U80" s="625">
        <f>Exposition!J81</f>
        <v>0.01173295879</v>
      </c>
      <c r="V80" s="625">
        <f>Exposition!K81</f>
        <v>0.004961483914</v>
      </c>
      <c r="W80" s="625">
        <f>Exposition!L81</f>
        <v>0.005913817842</v>
      </c>
      <c r="X80" s="625">
        <f>Exposition!M81</f>
        <v>0.007669135832</v>
      </c>
      <c r="Y80" s="625">
        <f>Exposition!N81</f>
        <v>0.02243616072</v>
      </c>
      <c r="Z80" s="625">
        <f>Exposition!O81</f>
        <v>0.005768236275</v>
      </c>
      <c r="AA80" s="625">
        <f>Exposition!P81</f>
        <v>0.01374488108</v>
      </c>
      <c r="AB80" s="625">
        <f>Exposition!Q81</f>
        <v>0.0000000010766533</v>
      </c>
      <c r="AC80" s="625">
        <f>Exposition!R81</f>
        <v>0.005839153444</v>
      </c>
      <c r="AD80" s="625">
        <f>Exposition!S81</f>
        <v>0</v>
      </c>
      <c r="AE80" s="625">
        <f>Exposition!T81</f>
        <v>0.001965681417</v>
      </c>
      <c r="AF80" s="625">
        <f>Exposition!U81</f>
        <v>0.1617637268</v>
      </c>
      <c r="AG80" s="623"/>
      <c r="AH80" s="621">
        <f>PRIX!A81</f>
        <v>45817</v>
      </c>
      <c r="AI80" s="626">
        <f>PRIX!B81</f>
        <v>110000</v>
      </c>
      <c r="AJ80" s="626">
        <f>PRIX!C81</f>
        <v>2700</v>
      </c>
      <c r="AK80" s="627">
        <f>PRIX!D81</f>
        <v>3.33</v>
      </c>
      <c r="AL80" s="626">
        <f>PRIX!E81</f>
        <v>160</v>
      </c>
      <c r="AM80" s="626">
        <f>PRIX!F81</f>
        <v>440</v>
      </c>
      <c r="AN80" s="627">
        <f>PRIX!G81</f>
        <v>0.57</v>
      </c>
      <c r="AO80" s="627">
        <f>PRIX!H81</f>
        <v>15</v>
      </c>
      <c r="AP80" s="631">
        <f>PRIX!I81</f>
        <v>0.2</v>
      </c>
      <c r="AQ80" s="628">
        <f>PRIX!J81</f>
        <v>0.000013</v>
      </c>
      <c r="AR80" s="631">
        <f>PRIX!K81</f>
        <v>2.5</v>
      </c>
      <c r="AS80" s="631">
        <f>PRIX!L81</f>
        <v>0.5</v>
      </c>
      <c r="AT80" s="631">
        <f>PRIX!M81</f>
        <v>300</v>
      </c>
      <c r="AU80" s="629">
        <f>PRIX!N81</f>
        <v>0.0042</v>
      </c>
      <c r="AV80" s="631">
        <f>PRIX!O81</f>
        <v>4.35</v>
      </c>
      <c r="AW80" s="631">
        <f>PRIX!P81</f>
        <v>0.002</v>
      </c>
      <c r="AX80" s="630">
        <f>PRIX!Q81</f>
        <v>0.000013</v>
      </c>
      <c r="AY80" s="631">
        <f>PRIX!R81</f>
        <v>1.04</v>
      </c>
      <c r="AZ80" s="631">
        <f>PRIX!S81</f>
        <v>2.4</v>
      </c>
      <c r="BA80" s="623"/>
    </row>
    <row r="81">
      <c r="A81" s="621">
        <f>ARBITRAGES!E82</f>
        <v>45817</v>
      </c>
      <c r="B81" s="623" t="str">
        <f>IF(A81="","",IF(ARBITRAGES!F82="Invest","Achat","Vente"))</f>
        <v>Vente</v>
      </c>
      <c r="C81" s="623" t="str">
        <f>ARBITRAGES!H82</f>
        <v>BTC</v>
      </c>
      <c r="D81" s="624">
        <f>ARBITRAGES!I82</f>
        <v>110000</v>
      </c>
      <c r="E81" s="624">
        <f>ARBITRAGES!J82</f>
        <v>2750</v>
      </c>
      <c r="F81" s="623"/>
      <c r="G81" s="621">
        <f>'PV (%)'!B83</f>
        <v>45858</v>
      </c>
      <c r="H81" s="624">
        <f>'PV (%)'!E83</f>
        <v>71366.70791</v>
      </c>
      <c r="I81" s="624">
        <f>'PV (%)'!F83</f>
        <v>56354.28849</v>
      </c>
      <c r="J81" s="626">
        <f>'PV (%)'!G83</f>
        <v>60002.07732</v>
      </c>
      <c r="K81" s="623"/>
      <c r="L81" s="621">
        <f>Exposition!A82</f>
        <v>45818</v>
      </c>
      <c r="M81" s="625">
        <f>Exposition!B82</f>
        <v>0.8630628371</v>
      </c>
      <c r="N81" s="625">
        <f>Exposition!C82</f>
        <v>0.4319733151</v>
      </c>
      <c r="O81" s="625">
        <f>Exposition!D82</f>
        <v>0.1569699439</v>
      </c>
      <c r="P81" s="625">
        <f>Exposition!E82</f>
        <v>0.02321445481</v>
      </c>
      <c r="Q81" s="625">
        <f>Exposition!F82</f>
        <v>0.05844634145</v>
      </c>
      <c r="R81" s="625">
        <f>Exposition!G82</f>
        <v>0.08348727915</v>
      </c>
      <c r="S81" s="625">
        <f>Exposition!H82</f>
        <v>0</v>
      </c>
      <c r="T81" s="625">
        <f>Exposition!I82</f>
        <v>0.02781633128</v>
      </c>
      <c r="U81" s="625">
        <f>Exposition!J82</f>
        <v>0.01167941062</v>
      </c>
      <c r="V81" s="625">
        <f>Exposition!K82</f>
        <v>0.004938840148</v>
      </c>
      <c r="W81" s="625">
        <f>Exposition!L82</f>
        <v>0.005886827709</v>
      </c>
      <c r="X81" s="625">
        <f>Exposition!M82</f>
        <v>0.007634134586</v>
      </c>
      <c r="Y81" s="625">
        <f>Exposition!N82</f>
        <v>0.02382268171</v>
      </c>
      <c r="Z81" s="625">
        <f>Exposition!O82</f>
        <v>0.005741910564</v>
      </c>
      <c r="AA81" s="625">
        <f>Exposition!P82</f>
        <v>0.01368215068</v>
      </c>
      <c r="AB81" s="625">
        <f>Exposition!Q82</f>
        <v>0.000000001071739552</v>
      </c>
      <c r="AC81" s="625">
        <f>Exposition!R82</f>
        <v>0.005812504073</v>
      </c>
      <c r="AD81" s="625">
        <f>Exposition!S82</f>
        <v>0</v>
      </c>
      <c r="AE81" s="625">
        <f>Exposition!T82</f>
        <v>0.001956710224</v>
      </c>
      <c r="AF81" s="625">
        <f>Exposition!U82</f>
        <v>0.1369371629</v>
      </c>
      <c r="AG81" s="623"/>
      <c r="AH81" s="621">
        <f>PRIX!A82</f>
        <v>45817</v>
      </c>
      <c r="AI81" s="626">
        <f>PRIX!B82</f>
        <v>110000</v>
      </c>
      <c r="AJ81" s="626">
        <f>PRIX!C82</f>
        <v>2700</v>
      </c>
      <c r="AK81" s="627">
        <f>PRIX!D82</f>
        <v>3.33</v>
      </c>
      <c r="AL81" s="626">
        <f>PRIX!E82</f>
        <v>160</v>
      </c>
      <c r="AM81" s="626">
        <f>PRIX!F82</f>
        <v>440</v>
      </c>
      <c r="AN81" s="627">
        <f>PRIX!G82</f>
        <v>0.57</v>
      </c>
      <c r="AO81" s="627">
        <f>PRIX!H82</f>
        <v>15</v>
      </c>
      <c r="AP81" s="631">
        <f>PRIX!I82</f>
        <v>0.2</v>
      </c>
      <c r="AQ81" s="628">
        <f>PRIX!J82</f>
        <v>0.000013</v>
      </c>
      <c r="AR81" s="631">
        <f>PRIX!K82</f>
        <v>2.5</v>
      </c>
      <c r="AS81" s="631">
        <f>PRIX!L82</f>
        <v>0.5</v>
      </c>
      <c r="AT81" s="631">
        <f>PRIX!M82</f>
        <v>300</v>
      </c>
      <c r="AU81" s="629">
        <f>PRIX!N82</f>
        <v>0.0042</v>
      </c>
      <c r="AV81" s="631">
        <f>PRIX!O82</f>
        <v>4.35</v>
      </c>
      <c r="AW81" s="631">
        <f>PRIX!P82</f>
        <v>0.002</v>
      </c>
      <c r="AX81" s="630">
        <f>PRIX!Q82</f>
        <v>0.000013</v>
      </c>
      <c r="AY81" s="631">
        <f>PRIX!R82</f>
        <v>1.04</v>
      </c>
      <c r="AZ81" s="631">
        <f>PRIX!S82</f>
        <v>2.4</v>
      </c>
      <c r="BA81" s="623"/>
    </row>
    <row r="82">
      <c r="A82" s="621">
        <f>ARBITRAGES!E83</f>
        <v>45818</v>
      </c>
      <c r="B82" s="623" t="str">
        <f>IF(A82="","",IF(ARBITRAGES!F83="Invest","Achat","Vente"))</f>
        <v>Achat</v>
      </c>
      <c r="C82" s="623" t="str">
        <f>ARBITRAGES!H83</f>
        <v>BTC</v>
      </c>
      <c r="D82" s="624">
        <f>ARBITRAGES!I83</f>
        <v>109000</v>
      </c>
      <c r="E82" s="624">
        <f>ARBITRAGES!J83</f>
        <v>1300</v>
      </c>
      <c r="F82" s="623"/>
      <c r="G82" s="621">
        <f>'PV (%)'!B84</f>
        <v>45858</v>
      </c>
      <c r="H82" s="624">
        <f>'PV (%)'!E84</f>
        <v>71366.70791</v>
      </c>
      <c r="I82" s="624">
        <f>'PV (%)'!F84</f>
        <v>56354.28849</v>
      </c>
      <c r="J82" s="626">
        <f>'PV (%)'!G84</f>
        <v>60004.08732</v>
      </c>
      <c r="K82" s="623"/>
      <c r="L82" s="621">
        <f>Exposition!A83</f>
        <v>45831</v>
      </c>
      <c r="M82" s="625">
        <f>Exposition!B83</f>
        <v>0.8608554771</v>
      </c>
      <c r="N82" s="625">
        <f>Exposition!C83</f>
        <v>0.4471149694</v>
      </c>
      <c r="O82" s="625">
        <f>Exposition!D83</f>
        <v>0.1594065887</v>
      </c>
      <c r="P82" s="625">
        <f>Exposition!E83</f>
        <v>0.02246387226</v>
      </c>
      <c r="Q82" s="625">
        <f>Exposition!F83</f>
        <v>0.05689242705</v>
      </c>
      <c r="R82" s="625">
        <f>Exposition!G83</f>
        <v>0.07540818121</v>
      </c>
      <c r="S82" s="625">
        <f>Exposition!H83</f>
        <v>0</v>
      </c>
      <c r="T82" s="625">
        <f>Exposition!I83</f>
        <v>0.02788596882</v>
      </c>
      <c r="U82" s="625">
        <f>Exposition!J83</f>
        <v>0.009659636046</v>
      </c>
      <c r="V82" s="625">
        <f>Exposition!K83</f>
        <v>0.004488729281</v>
      </c>
      <c r="W82" s="625">
        <f>Exposition!L83</f>
        <v>0.005058484496</v>
      </c>
      <c r="X82" s="625">
        <f>Exposition!M83</f>
        <v>0.005739934848</v>
      </c>
      <c r="Y82" s="625">
        <f>Exposition!N83</f>
        <v>0.02502751052</v>
      </c>
      <c r="Z82" s="625">
        <f>Exposition!O83</f>
        <v>0.004405320385</v>
      </c>
      <c r="AA82" s="625">
        <f>Exposition!P83</f>
        <v>0.01131772221</v>
      </c>
      <c r="AB82" s="625">
        <f>Exposition!Q83</f>
        <v>0.000000000748258615</v>
      </c>
      <c r="AC82" s="625">
        <f>Exposition!R83</f>
        <v>0.004322266473</v>
      </c>
      <c r="AD82" s="625">
        <f>Exposition!S83</f>
        <v>0</v>
      </c>
      <c r="AE82" s="625">
        <f>Exposition!T83</f>
        <v>0.001663864609</v>
      </c>
      <c r="AF82" s="625">
        <f>Exposition!U83</f>
        <v>0.1391445229</v>
      </c>
      <c r="AG82" s="623"/>
      <c r="AH82" s="621">
        <f>PRIX!A83</f>
        <v>45818</v>
      </c>
      <c r="AI82" s="626">
        <f>PRIX!B83</f>
        <v>110000</v>
      </c>
      <c r="AJ82" s="626">
        <f>PRIX!C83</f>
        <v>2750</v>
      </c>
      <c r="AK82" s="627">
        <f>PRIX!D83</f>
        <v>3.33</v>
      </c>
      <c r="AL82" s="626">
        <f>PRIX!E83</f>
        <v>160</v>
      </c>
      <c r="AM82" s="626">
        <f>PRIX!F83</f>
        <v>440</v>
      </c>
      <c r="AN82" s="627">
        <f>PRIX!G83</f>
        <v>0.57</v>
      </c>
      <c r="AO82" s="627">
        <f>PRIX!H83</f>
        <v>15</v>
      </c>
      <c r="AP82" s="631">
        <f>PRIX!I83</f>
        <v>0.2</v>
      </c>
      <c r="AQ82" s="628">
        <f>PRIX!J83</f>
        <v>0.000013</v>
      </c>
      <c r="AR82" s="631">
        <f>PRIX!K83</f>
        <v>2.5</v>
      </c>
      <c r="AS82" s="631">
        <f>PRIX!L83</f>
        <v>0.5</v>
      </c>
      <c r="AT82" s="631">
        <f>PRIX!M83</f>
        <v>320</v>
      </c>
      <c r="AU82" s="629">
        <f>PRIX!N83</f>
        <v>0.0042</v>
      </c>
      <c r="AV82" s="631">
        <f>PRIX!O83</f>
        <v>4.35</v>
      </c>
      <c r="AW82" s="631">
        <f>PRIX!P83</f>
        <v>0.002</v>
      </c>
      <c r="AX82" s="630">
        <f>PRIX!Q83</f>
        <v>0.000013</v>
      </c>
      <c r="AY82" s="631">
        <f>PRIX!R83</f>
        <v>1.04</v>
      </c>
      <c r="AZ82" s="631">
        <f>PRIX!S83</f>
        <v>2.4</v>
      </c>
      <c r="BA82" s="623"/>
    </row>
    <row r="83">
      <c r="A83" s="621">
        <f>ARBITRAGES!E84</f>
        <v>45831</v>
      </c>
      <c r="B83" s="623" t="str">
        <f>IF(A83="","",IF(ARBITRAGES!F84="Invest","Achat","Vente"))</f>
        <v>Achat</v>
      </c>
      <c r="C83" s="623" t="str">
        <f>ARBITRAGES!H84</f>
        <v>AAVE</v>
      </c>
      <c r="D83" s="624">
        <f>ARBITRAGES!I84</f>
        <v>225</v>
      </c>
      <c r="E83" s="624">
        <f>ARBITRAGES!J84</f>
        <v>300</v>
      </c>
      <c r="F83" s="623"/>
      <c r="G83" s="621">
        <f>'PV (%)'!B85</f>
        <v>45858</v>
      </c>
      <c r="H83" s="624">
        <f>'PV (%)'!E85</f>
        <v>71366.70791</v>
      </c>
      <c r="I83" s="624">
        <f>'PV (%)'!F85</f>
        <v>56354.28849</v>
      </c>
      <c r="J83" s="626">
        <f>'PV (%)'!G85</f>
        <v>60009.08732</v>
      </c>
      <c r="K83" s="623"/>
      <c r="L83" s="621">
        <f>Exposition!A84</f>
        <v>45831</v>
      </c>
      <c r="M83" s="625">
        <f>Exposition!B84</f>
        <v>0.8580691009</v>
      </c>
      <c r="N83" s="625">
        <f>Exposition!C84</f>
        <v>0.4471149694</v>
      </c>
      <c r="O83" s="625">
        <f>Exposition!D84</f>
        <v>0.1594065887</v>
      </c>
      <c r="P83" s="625">
        <f>Exposition!E84</f>
        <v>0.02246387226</v>
      </c>
      <c r="Q83" s="625">
        <f>Exposition!F84</f>
        <v>0.05689242705</v>
      </c>
      <c r="R83" s="625">
        <f>Exposition!G84</f>
        <v>0.07540818121</v>
      </c>
      <c r="S83" s="625">
        <f>Exposition!H84</f>
        <v>0</v>
      </c>
      <c r="T83" s="625">
        <f>Exposition!I84</f>
        <v>0.02788596882</v>
      </c>
      <c r="U83" s="625">
        <f>Exposition!J84</f>
        <v>0.009659636046</v>
      </c>
      <c r="V83" s="625">
        <f>Exposition!K84</f>
        <v>0.004488729281</v>
      </c>
      <c r="W83" s="625">
        <f>Exposition!L84</f>
        <v>0.005058484496</v>
      </c>
      <c r="X83" s="625">
        <f>Exposition!M84</f>
        <v>0.002953558708</v>
      </c>
      <c r="Y83" s="625">
        <f>Exposition!N84</f>
        <v>0.02502751052</v>
      </c>
      <c r="Z83" s="625">
        <f>Exposition!O84</f>
        <v>0.004405320385</v>
      </c>
      <c r="AA83" s="625">
        <f>Exposition!P84</f>
        <v>0.01131772221</v>
      </c>
      <c r="AB83" s="625">
        <f>Exposition!Q84</f>
        <v>0.000000000748258615</v>
      </c>
      <c r="AC83" s="625">
        <f>Exposition!R84</f>
        <v>0.004322266473</v>
      </c>
      <c r="AD83" s="625">
        <f>Exposition!S84</f>
        <v>0</v>
      </c>
      <c r="AE83" s="625">
        <f>Exposition!T84</f>
        <v>0.001663864609</v>
      </c>
      <c r="AF83" s="625">
        <f>Exposition!U84</f>
        <v>0.1419308991</v>
      </c>
      <c r="AG83" s="623"/>
      <c r="AH83" s="621">
        <f>PRIX!A84</f>
        <v>45831</v>
      </c>
      <c r="AI83" s="626">
        <f>PRIX!B84</f>
        <v>106000</v>
      </c>
      <c r="AJ83" s="626">
        <f>PRIX!C84</f>
        <v>2600</v>
      </c>
      <c r="AK83" s="627">
        <f>PRIX!D84</f>
        <v>3</v>
      </c>
      <c r="AL83" s="626">
        <f>PRIX!E84</f>
        <v>145</v>
      </c>
      <c r="AM83" s="626">
        <f>PRIX!F84</f>
        <v>370</v>
      </c>
      <c r="AN83" s="627">
        <f>PRIX!G84</f>
        <v>0.6</v>
      </c>
      <c r="AO83" s="627">
        <f>PRIX!H84</f>
        <v>14</v>
      </c>
      <c r="AP83" s="631">
        <f>PRIX!I84</f>
        <v>0.154</v>
      </c>
      <c r="AQ83" s="628">
        <f>PRIX!J84</f>
        <v>0.000011</v>
      </c>
      <c r="AR83" s="631">
        <f>PRIX!K84</f>
        <v>2</v>
      </c>
      <c r="AS83" s="631">
        <f>PRIX!L84</f>
        <v>0.35</v>
      </c>
      <c r="AT83" s="631">
        <f>PRIX!M84</f>
        <v>235</v>
      </c>
      <c r="AU83" s="629">
        <f>PRIX!N84</f>
        <v>0.003</v>
      </c>
      <c r="AV83" s="631">
        <f>PRIX!O84</f>
        <v>3.35</v>
      </c>
      <c r="AW83" s="631">
        <f>PRIX!P84</f>
        <v>0.0013</v>
      </c>
      <c r="AX83" s="630">
        <f>PRIX!Q84</f>
        <v>0.000009</v>
      </c>
      <c r="AY83" s="631">
        <f>PRIX!R84</f>
        <v>0.7</v>
      </c>
      <c r="AZ83" s="631">
        <f>PRIX!S84</f>
        <v>1.9</v>
      </c>
      <c r="BA83" s="623"/>
    </row>
    <row r="84">
      <c r="A84" s="621">
        <f>ARBITRAGES!E85</f>
        <v>45831</v>
      </c>
      <c r="B84" s="623" t="str">
        <f>IF(A84="","",IF(ARBITRAGES!F85="Invest","Achat","Vente"))</f>
        <v>Vente</v>
      </c>
      <c r="C84" s="623" t="str">
        <f>ARBITRAGES!H85</f>
        <v>JUP</v>
      </c>
      <c r="D84" s="624">
        <f>ARBITRAGES!I85</f>
        <v>0.35</v>
      </c>
      <c r="E84" s="624">
        <f>ARBITRAGES!J85</f>
        <v>140</v>
      </c>
      <c r="F84" s="623"/>
      <c r="G84" s="621">
        <f>'PV (%)'!B86</f>
        <v>45858</v>
      </c>
      <c r="H84" s="624">
        <f>'PV (%)'!E86</f>
        <v>71366.70791</v>
      </c>
      <c r="I84" s="624">
        <f>'PV (%)'!F86</f>
        <v>56354.28849</v>
      </c>
      <c r="J84" s="626">
        <f>'PV (%)'!G86</f>
        <v>60012.62328</v>
      </c>
      <c r="K84" s="623"/>
      <c r="L84" s="621">
        <f>Exposition!A85</f>
        <v>45831</v>
      </c>
      <c r="M84" s="625">
        <f>Exposition!B85</f>
        <v>0.8555445574</v>
      </c>
      <c r="N84" s="625">
        <f>Exposition!C85</f>
        <v>0.4470437905</v>
      </c>
      <c r="O84" s="625">
        <f>Exposition!D85</f>
        <v>0.1593812118</v>
      </c>
      <c r="P84" s="625">
        <f>Exposition!E85</f>
        <v>0.0224602961</v>
      </c>
      <c r="Q84" s="625">
        <f>Exposition!F85</f>
        <v>0.05688336999</v>
      </c>
      <c r="R84" s="625">
        <f>Exposition!G85</f>
        <v>0.07539617651</v>
      </c>
      <c r="S84" s="625">
        <f>Exposition!H85</f>
        <v>0</v>
      </c>
      <c r="T84" s="625">
        <f>Exposition!I85</f>
        <v>0.02788152948</v>
      </c>
      <c r="U84" s="625">
        <f>Exposition!J85</f>
        <v>0.009658098269</v>
      </c>
      <c r="V84" s="625">
        <f>Exposition!K85</f>
        <v>0.004488014693</v>
      </c>
      <c r="W84" s="625">
        <f>Exposition!L85</f>
        <v>0.005057679205</v>
      </c>
      <c r="X84" s="625">
        <f>Exposition!M85</f>
        <v>0.002953088513</v>
      </c>
      <c r="Y84" s="625">
        <f>Exposition!N85</f>
        <v>0.02502352624</v>
      </c>
      <c r="Z84" s="625">
        <f>Exposition!O85</f>
        <v>0.002016676881</v>
      </c>
      <c r="AA84" s="625">
        <f>Exposition!P85</f>
        <v>0.01131592047</v>
      </c>
      <c r="AB84" s="625">
        <f>Exposition!Q85</f>
        <v>0.0000000007481394951</v>
      </c>
      <c r="AC84" s="625">
        <f>Exposition!R85</f>
        <v>0.004321578385</v>
      </c>
      <c r="AD84" s="625">
        <f>Exposition!S85</f>
        <v>0</v>
      </c>
      <c r="AE84" s="625">
        <f>Exposition!T85</f>
        <v>0.001663599728</v>
      </c>
      <c r="AF84" s="625">
        <f>Exposition!U85</f>
        <v>0.1444554426</v>
      </c>
      <c r="AG84" s="623"/>
      <c r="AH84" s="621">
        <f>PRIX!A85</f>
        <v>45831</v>
      </c>
      <c r="AI84" s="626">
        <f>PRIX!B85</f>
        <v>106000</v>
      </c>
      <c r="AJ84" s="626">
        <f>PRIX!C85</f>
        <v>2600</v>
      </c>
      <c r="AK84" s="627">
        <f>PRIX!D85</f>
        <v>3</v>
      </c>
      <c r="AL84" s="626">
        <f>PRIX!E85</f>
        <v>145</v>
      </c>
      <c r="AM84" s="626">
        <f>PRIX!F85</f>
        <v>370</v>
      </c>
      <c r="AN84" s="627">
        <f>PRIX!G85</f>
        <v>0.6</v>
      </c>
      <c r="AO84" s="627">
        <f>PRIX!H85</f>
        <v>14</v>
      </c>
      <c r="AP84" s="631">
        <f>PRIX!I85</f>
        <v>0.154</v>
      </c>
      <c r="AQ84" s="628">
        <f>PRIX!J85</f>
        <v>0.000011</v>
      </c>
      <c r="AR84" s="631">
        <f>PRIX!K85</f>
        <v>2</v>
      </c>
      <c r="AS84" s="631">
        <f>PRIX!L85</f>
        <v>0.35</v>
      </c>
      <c r="AT84" s="631">
        <f>PRIX!M85</f>
        <v>235</v>
      </c>
      <c r="AU84" s="629">
        <f>PRIX!N85</f>
        <v>0.003</v>
      </c>
      <c r="AV84" s="631">
        <f>PRIX!O85</f>
        <v>3.35</v>
      </c>
      <c r="AW84" s="631">
        <f>PRIX!P85</f>
        <v>0.0013</v>
      </c>
      <c r="AX84" s="630">
        <f>PRIX!Q85</f>
        <v>0.000009</v>
      </c>
      <c r="AY84" s="631">
        <f>PRIX!R85</f>
        <v>0.7</v>
      </c>
      <c r="AZ84" s="631">
        <f>PRIX!S85</f>
        <v>1.9</v>
      </c>
      <c r="BA84" s="623"/>
    </row>
    <row r="85">
      <c r="A85" s="621">
        <f>ARBITRAGES!E86</f>
        <v>45831</v>
      </c>
      <c r="B85" s="623" t="str">
        <f>IF(A85="","",IF(ARBITRAGES!F86="Invest","Achat","Vente"))</f>
        <v>Vente</v>
      </c>
      <c r="C85" s="623" t="str">
        <f>ARBITRAGES!H86</f>
        <v>CKB</v>
      </c>
      <c r="D85" s="634">
        <f>ARBITRAGES!I86</f>
        <v>0.0032</v>
      </c>
      <c r="E85" s="624">
        <f>ARBITRAGES!J86</f>
        <v>128</v>
      </c>
      <c r="F85" s="623"/>
      <c r="G85" s="621">
        <f>'PV (%)'!B87</f>
        <v>45859</v>
      </c>
      <c r="H85" s="624">
        <f>'PV (%)'!E87</f>
        <v>70474.62407</v>
      </c>
      <c r="I85" s="624">
        <f>'PV (%)'!F87</f>
        <v>56674.14209</v>
      </c>
      <c r="J85" s="626">
        <f>'PV (%)'!G87</f>
        <v>60313.6292</v>
      </c>
      <c r="K85" s="623"/>
      <c r="L85" s="621">
        <f>Exposition!A86</f>
        <v>45831</v>
      </c>
      <c r="M85" s="625">
        <f>Exposition!B86</f>
        <v>0.8538818073</v>
      </c>
      <c r="N85" s="625">
        <f>Exposition!C86</f>
        <v>0.4470442353</v>
      </c>
      <c r="O85" s="625">
        <f>Exposition!D86</f>
        <v>0.1593813704</v>
      </c>
      <c r="P85" s="625">
        <f>Exposition!E86</f>
        <v>0.02246031845</v>
      </c>
      <c r="Q85" s="625">
        <f>Exposition!F86</f>
        <v>0.05688342659</v>
      </c>
      <c r="R85" s="625">
        <f>Exposition!G86</f>
        <v>0.07539625153</v>
      </c>
      <c r="S85" s="625">
        <f>Exposition!H86</f>
        <v>0</v>
      </c>
      <c r="T85" s="625">
        <f>Exposition!I86</f>
        <v>0.02788155722</v>
      </c>
      <c r="U85" s="625">
        <f>Exposition!J86</f>
        <v>0.009658107879</v>
      </c>
      <c r="V85" s="625">
        <f>Exposition!K86</f>
        <v>0.004488019158</v>
      </c>
      <c r="W85" s="625">
        <f>Exposition!L86</f>
        <v>0.005057684237</v>
      </c>
      <c r="X85" s="625">
        <f>Exposition!M86</f>
        <v>0.002953091451</v>
      </c>
      <c r="Y85" s="625">
        <f>Exposition!N86</f>
        <v>0.02502355114</v>
      </c>
      <c r="Z85" s="625">
        <f>Exposition!O86</f>
        <v>0.002016678888</v>
      </c>
      <c r="AA85" s="625">
        <f>Exposition!P86</f>
        <v>0.01131593173</v>
      </c>
      <c r="AB85" s="625">
        <f>Exposition!Q86</f>
        <v>0.0000000007481402395</v>
      </c>
      <c r="AC85" s="625">
        <f>Exposition!R86</f>
        <v>0.004321582685</v>
      </c>
      <c r="AD85" s="625">
        <f>Exposition!S86</f>
        <v>0</v>
      </c>
      <c r="AE85" s="625">
        <f>Exposition!T86</f>
        <v>0</v>
      </c>
      <c r="AF85" s="625">
        <f>Exposition!U86</f>
        <v>0.1461181927</v>
      </c>
      <c r="AG85" s="623"/>
      <c r="AH85" s="621">
        <f>PRIX!A86</f>
        <v>45831</v>
      </c>
      <c r="AI85" s="626">
        <f>PRIX!B86</f>
        <v>106000</v>
      </c>
      <c r="AJ85" s="626">
        <f>PRIX!C86</f>
        <v>2600</v>
      </c>
      <c r="AK85" s="627">
        <f>PRIX!D86</f>
        <v>3</v>
      </c>
      <c r="AL85" s="626">
        <f>PRIX!E86</f>
        <v>145</v>
      </c>
      <c r="AM85" s="626">
        <f>PRIX!F86</f>
        <v>370</v>
      </c>
      <c r="AN85" s="627">
        <f>PRIX!G86</f>
        <v>0.6</v>
      </c>
      <c r="AO85" s="627">
        <f>PRIX!H86</f>
        <v>14</v>
      </c>
      <c r="AP85" s="631">
        <f>PRIX!I86</f>
        <v>0.154</v>
      </c>
      <c r="AQ85" s="628">
        <f>PRIX!J86</f>
        <v>0.000011</v>
      </c>
      <c r="AR85" s="631">
        <f>PRIX!K86</f>
        <v>2</v>
      </c>
      <c r="AS85" s="631">
        <f>PRIX!L86</f>
        <v>0.35</v>
      </c>
      <c r="AT85" s="631">
        <f>PRIX!M86</f>
        <v>235</v>
      </c>
      <c r="AU85" s="629">
        <f>PRIX!N86</f>
        <v>0.003</v>
      </c>
      <c r="AV85" s="631">
        <f>PRIX!O86</f>
        <v>3.35</v>
      </c>
      <c r="AW85" s="631">
        <f>PRIX!P86</f>
        <v>0.0013</v>
      </c>
      <c r="AX85" s="630">
        <f>PRIX!Q86</f>
        <v>0.000009</v>
      </c>
      <c r="AY85" s="631">
        <f>PRIX!R86</f>
        <v>0.7</v>
      </c>
      <c r="AZ85" s="631">
        <f>PRIX!S86</f>
        <v>1.9</v>
      </c>
      <c r="BA85" s="623"/>
    </row>
    <row r="86">
      <c r="A86" s="621">
        <f>ARBITRAGES!E87</f>
        <v>45831</v>
      </c>
      <c r="B86" s="623" t="str">
        <f>IF(A86="","",IF(ARBITRAGES!F87="Invest","Achat","Vente"))</f>
        <v>Vente</v>
      </c>
      <c r="C86" s="623" t="str">
        <f>ARBITRAGES!H87</f>
        <v>RAY</v>
      </c>
      <c r="D86" s="624">
        <f>ARBITRAGES!I87</f>
        <v>1.9</v>
      </c>
      <c r="E86" s="624">
        <f>ARBITRAGES!J87</f>
        <v>83.55</v>
      </c>
      <c r="F86" s="623"/>
      <c r="G86" s="621">
        <f>'PV (%)'!B88</f>
        <v>45860</v>
      </c>
      <c r="H86" s="624">
        <f>'PV (%)'!E88</f>
        <v>68987.81765</v>
      </c>
      <c r="I86" s="624">
        <f>'PV (%)'!F88</f>
        <v>54169.12461</v>
      </c>
      <c r="J86" s="626">
        <f>'PV (%)'!G88</f>
        <v>57734.626</v>
      </c>
      <c r="K86" s="623"/>
      <c r="L86" s="621">
        <f>Exposition!A87</f>
        <v>45831</v>
      </c>
      <c r="M86" s="625">
        <f>Exposition!B87</f>
        <v>0.8516931025</v>
      </c>
      <c r="N86" s="625">
        <f>Exposition!C87</f>
        <v>0.446953959</v>
      </c>
      <c r="O86" s="625">
        <f>Exposition!D87</f>
        <v>0.1593491848</v>
      </c>
      <c r="P86" s="625">
        <f>Exposition!E87</f>
        <v>0.0224557828</v>
      </c>
      <c r="Q86" s="625">
        <f>Exposition!F87</f>
        <v>0.05687193954</v>
      </c>
      <c r="R86" s="625">
        <f>Exposition!G87</f>
        <v>0.07538102599</v>
      </c>
      <c r="S86" s="625">
        <f>Exposition!H87</f>
        <v>0</v>
      </c>
      <c r="T86" s="625">
        <f>Exposition!I87</f>
        <v>0.02787592681</v>
      </c>
      <c r="U86" s="625">
        <f>Exposition!J87</f>
        <v>0.009656157518</v>
      </c>
      <c r="V86" s="625">
        <f>Exposition!K87</f>
        <v>0.004487112846</v>
      </c>
      <c r="W86" s="625">
        <f>Exposition!L87</f>
        <v>0.005056662887</v>
      </c>
      <c r="X86" s="625">
        <f>Exposition!M87</f>
        <v>0.002952495103</v>
      </c>
      <c r="Y86" s="625">
        <f>Exposition!N87</f>
        <v>0.02501849787</v>
      </c>
      <c r="Z86" s="625">
        <f>Exposition!O87</f>
        <v>0</v>
      </c>
      <c r="AA86" s="625">
        <f>Exposition!P87</f>
        <v>0.01131364658</v>
      </c>
      <c r="AB86" s="625">
        <f>Exposition!Q87</f>
        <v>0.0000000007479891598</v>
      </c>
      <c r="AC86" s="625">
        <f>Exposition!R87</f>
        <v>0.004320709983</v>
      </c>
      <c r="AD86" s="625">
        <f>Exposition!S87</f>
        <v>0</v>
      </c>
      <c r="AE86" s="625">
        <f>Exposition!T87</f>
        <v>0</v>
      </c>
      <c r="AF86" s="625">
        <f>Exposition!U87</f>
        <v>0.1483068975</v>
      </c>
      <c r="AG86" s="623"/>
      <c r="AH86" s="621">
        <f>PRIX!A87</f>
        <v>45831</v>
      </c>
      <c r="AI86" s="626">
        <f>PRIX!B87</f>
        <v>106000</v>
      </c>
      <c r="AJ86" s="626">
        <f>PRIX!C87</f>
        <v>2600</v>
      </c>
      <c r="AK86" s="627">
        <f>PRIX!D87</f>
        <v>3</v>
      </c>
      <c r="AL86" s="626">
        <f>PRIX!E87</f>
        <v>145</v>
      </c>
      <c r="AM86" s="626">
        <f>PRIX!F87</f>
        <v>370</v>
      </c>
      <c r="AN86" s="627">
        <f>PRIX!G87</f>
        <v>0.6</v>
      </c>
      <c r="AO86" s="627">
        <f>PRIX!H87</f>
        <v>14</v>
      </c>
      <c r="AP86" s="631">
        <f>PRIX!I87</f>
        <v>0.154</v>
      </c>
      <c r="AQ86" s="628">
        <f>PRIX!J87</f>
        <v>0.000011</v>
      </c>
      <c r="AR86" s="631">
        <f>PRIX!K87</f>
        <v>2</v>
      </c>
      <c r="AS86" s="631">
        <f>PRIX!L87</f>
        <v>0.35</v>
      </c>
      <c r="AT86" s="631">
        <f>PRIX!M87</f>
        <v>235</v>
      </c>
      <c r="AU86" s="629">
        <f>PRIX!N87</f>
        <v>0.003</v>
      </c>
      <c r="AV86" s="631">
        <f>PRIX!O87</f>
        <v>3.35</v>
      </c>
      <c r="AW86" s="631">
        <f>PRIX!P87</f>
        <v>0.0013</v>
      </c>
      <c r="AX86" s="630">
        <f>PRIX!Q87</f>
        <v>0.000009</v>
      </c>
      <c r="AY86" s="631">
        <f>PRIX!R87</f>
        <v>0.7</v>
      </c>
      <c r="AZ86" s="631">
        <f>PRIX!S87</f>
        <v>1.9</v>
      </c>
      <c r="BA86" s="623"/>
    </row>
    <row r="87">
      <c r="A87" s="621">
        <f>ARBITRAGES!E88</f>
        <v>45831</v>
      </c>
      <c r="B87" s="623" t="str">
        <f>IF(A87="","",IF(ARBITRAGES!F88="Invest","Achat","Vente"))</f>
        <v>Vente</v>
      </c>
      <c r="C87" s="623" t="str">
        <f>ARBITRAGES!H88</f>
        <v>CKB</v>
      </c>
      <c r="D87" s="634">
        <f>ARBITRAGES!I88</f>
        <v>0.0033</v>
      </c>
      <c r="E87" s="624">
        <f>ARBITRAGES!J88</f>
        <v>111.49304</v>
      </c>
      <c r="F87" s="623"/>
      <c r="G87" s="621">
        <f>'PV (%)'!B89</f>
        <v>45861</v>
      </c>
      <c r="H87" s="624">
        <f>'PV (%)'!E89</f>
        <v>68987.81765</v>
      </c>
      <c r="I87" s="624">
        <f>'PV (%)'!F89</f>
        <v>54169.12461</v>
      </c>
      <c r="J87" s="626">
        <f>'PV (%)'!G89</f>
        <v>57751.126</v>
      </c>
      <c r="K87" s="623"/>
      <c r="L87" s="621">
        <f>Exposition!A88</f>
        <v>45832</v>
      </c>
      <c r="M87" s="625">
        <f>Exposition!B88</f>
        <v>0.8470638996</v>
      </c>
      <c r="N87" s="625">
        <f>Exposition!C88</f>
        <v>0.4491284306</v>
      </c>
      <c r="O87" s="625">
        <f>Exposition!D88</f>
        <v>0.1516015868</v>
      </c>
      <c r="P87" s="625">
        <f>Exposition!E88</f>
        <v>0.02199181624</v>
      </c>
      <c r="Q87" s="625">
        <f>Exposition!F88</f>
        <v>0.05741947325</v>
      </c>
      <c r="R87" s="625">
        <f>Exposition!G88</f>
        <v>0.07404981631</v>
      </c>
      <c r="S87" s="625">
        <f>Exposition!H88</f>
        <v>0</v>
      </c>
      <c r="T87" s="625">
        <f>Exposition!I88</f>
        <v>0.02653605604</v>
      </c>
      <c r="U87" s="625">
        <f>Exposition!J88</f>
        <v>0.01044548788</v>
      </c>
      <c r="V87" s="625">
        <f>Exposition!K88</f>
        <v>0.004942159042</v>
      </c>
      <c r="W87" s="625">
        <f>Exposition!L88</f>
        <v>0.005615880414</v>
      </c>
      <c r="X87" s="625">
        <f>Exposition!M88</f>
        <v>0</v>
      </c>
      <c r="Y87" s="625">
        <f>Exposition!N88</f>
        <v>0.02848396262</v>
      </c>
      <c r="Z87" s="625">
        <f>Exposition!O88</f>
        <v>0</v>
      </c>
      <c r="AA87" s="625">
        <f>Exposition!P88</f>
        <v>0.01200222127</v>
      </c>
      <c r="AB87" s="625">
        <f>Exposition!Q88</f>
        <v>0.0000000007551904139</v>
      </c>
      <c r="AC87" s="625">
        <f>Exposition!R88</f>
        <v>0.004847008391</v>
      </c>
      <c r="AD87" s="625">
        <f>Exposition!S88</f>
        <v>0</v>
      </c>
      <c r="AE87" s="625">
        <f>Exposition!T88</f>
        <v>0</v>
      </c>
      <c r="AF87" s="625">
        <f>Exposition!U88</f>
        <v>0.1529361004</v>
      </c>
      <c r="AG87" s="623"/>
      <c r="AH87" s="621">
        <f>PRIX!A88</f>
        <v>45831</v>
      </c>
      <c r="AI87" s="626">
        <f>PRIX!B88</f>
        <v>106000</v>
      </c>
      <c r="AJ87" s="626">
        <f>PRIX!C88</f>
        <v>2600</v>
      </c>
      <c r="AK87" s="627">
        <f>PRIX!D88</f>
        <v>3</v>
      </c>
      <c r="AL87" s="626">
        <f>PRIX!E88</f>
        <v>145</v>
      </c>
      <c r="AM87" s="626">
        <f>PRIX!F88</f>
        <v>370</v>
      </c>
      <c r="AN87" s="627">
        <f>PRIX!G88</f>
        <v>0.6</v>
      </c>
      <c r="AO87" s="627">
        <f>PRIX!H88</f>
        <v>14</v>
      </c>
      <c r="AP87" s="631">
        <f>PRIX!I88</f>
        <v>0.154</v>
      </c>
      <c r="AQ87" s="628">
        <f>PRIX!J88</f>
        <v>0.000011</v>
      </c>
      <c r="AR87" s="631">
        <f>PRIX!K88</f>
        <v>2</v>
      </c>
      <c r="AS87" s="631">
        <f>PRIX!L88</f>
        <v>0.35</v>
      </c>
      <c r="AT87" s="631">
        <f>PRIX!M88</f>
        <v>235</v>
      </c>
      <c r="AU87" s="629">
        <f>PRIX!N88</f>
        <v>0.003</v>
      </c>
      <c r="AV87" s="631">
        <f>PRIX!O88</f>
        <v>3.35</v>
      </c>
      <c r="AW87" s="631">
        <f>PRIX!P88</f>
        <v>0.0013</v>
      </c>
      <c r="AX87" s="630">
        <f>PRIX!Q88</f>
        <v>0.000009</v>
      </c>
      <c r="AY87" s="631">
        <f>PRIX!R88</f>
        <v>0.7</v>
      </c>
      <c r="AZ87" s="631">
        <f>PRIX!S88</f>
        <v>1.9</v>
      </c>
      <c r="BA87" s="623"/>
    </row>
    <row r="88">
      <c r="A88" s="621">
        <f>ARBITRAGES!E89</f>
        <v>45832</v>
      </c>
      <c r="B88" s="623" t="str">
        <f>IF(A88="","",IF(ARBITRAGES!F89="Invest","Achat","Vente"))</f>
        <v>Vente</v>
      </c>
      <c r="C88" s="623" t="str">
        <f>ARBITRAGES!H89</f>
        <v>JUP</v>
      </c>
      <c r="D88" s="624">
        <f>ARBITRAGES!I89</f>
        <v>0.375</v>
      </c>
      <c r="E88" s="624">
        <f>ARBITRAGES!J89</f>
        <v>159.37524</v>
      </c>
      <c r="F88" s="623"/>
      <c r="G88" s="632">
        <f>'PV (%)'!B90</f>
        <v>45863</v>
      </c>
      <c r="H88" s="624">
        <f>'PV (%)'!E90</f>
        <v>69879.9015</v>
      </c>
      <c r="I88" s="624">
        <f>'PV (%)'!F90</f>
        <v>55929.74901</v>
      </c>
      <c r="J88" s="626">
        <f>'PV (%)'!G90</f>
        <v>59204.67145</v>
      </c>
      <c r="K88" s="623"/>
      <c r="L88" s="621">
        <f>Exposition!A89</f>
        <v>45847</v>
      </c>
      <c r="M88" s="625">
        <f>Exposition!B89</f>
        <v>0.8607472003</v>
      </c>
      <c r="N88" s="625">
        <f>Exposition!C89</f>
        <v>0.4518247283</v>
      </c>
      <c r="O88" s="625">
        <f>Exposition!D89</f>
        <v>0.1612516778</v>
      </c>
      <c r="P88" s="625">
        <f>Exposition!E89</f>
        <v>0.02033856626</v>
      </c>
      <c r="Q88" s="625">
        <f>Exposition!F89</f>
        <v>0.06489180003</v>
      </c>
      <c r="R88" s="625">
        <f>Exposition!G89</f>
        <v>0.06724724015</v>
      </c>
      <c r="S88" s="625">
        <f>Exposition!H89</f>
        <v>0</v>
      </c>
      <c r="T88" s="625">
        <f>Exposition!I89</f>
        <v>0.02667008291</v>
      </c>
      <c r="U88" s="625">
        <f>Exposition!J89</f>
        <v>0.01049824539</v>
      </c>
      <c r="V88" s="625">
        <f>Exposition!K89</f>
        <v>0.00507355893</v>
      </c>
      <c r="W88" s="625">
        <f>Exposition!L89</f>
        <v>0.005684560831</v>
      </c>
      <c r="X88" s="625">
        <f>Exposition!M89</f>
        <v>0</v>
      </c>
      <c r="Y88" s="625">
        <f>Exposition!N89</f>
        <v>0.03055692678</v>
      </c>
      <c r="Z88" s="625">
        <f>Exposition!O89</f>
        <v>0</v>
      </c>
      <c r="AA88" s="625">
        <f>Exposition!P89</f>
        <v>0.01211669341</v>
      </c>
      <c r="AB88" s="625">
        <f>Exposition!Q89</f>
        <v>0.0000000008257303755</v>
      </c>
      <c r="AC88" s="625">
        <f>Exposition!R89</f>
        <v>0.004593118575</v>
      </c>
      <c r="AD88" s="625">
        <f>Exposition!S89</f>
        <v>0</v>
      </c>
      <c r="AE88" s="625">
        <f>Exposition!T89</f>
        <v>0</v>
      </c>
      <c r="AF88" s="625">
        <f>Exposition!U89</f>
        <v>0.1392527997</v>
      </c>
      <c r="AG88" s="623"/>
      <c r="AH88" s="621">
        <f>PRIX!A89</f>
        <v>45832</v>
      </c>
      <c r="AI88" s="626">
        <f>PRIX!B89</f>
        <v>105500</v>
      </c>
      <c r="AJ88" s="626">
        <f>PRIX!C89</f>
        <v>2450</v>
      </c>
      <c r="AK88" s="627">
        <f>PRIX!D89</f>
        <v>2.91</v>
      </c>
      <c r="AL88" s="626">
        <f>PRIX!E89</f>
        <v>145</v>
      </c>
      <c r="AM88" s="626">
        <f>PRIX!F89</f>
        <v>360</v>
      </c>
      <c r="AN88" s="627">
        <f>PRIX!G89</f>
        <v>0.44</v>
      </c>
      <c r="AO88" s="627">
        <f>PRIX!H89</f>
        <v>13.2</v>
      </c>
      <c r="AP88" s="631">
        <f>PRIX!I89</f>
        <v>0.165</v>
      </c>
      <c r="AQ88" s="628">
        <f>PRIX!J89</f>
        <v>0.000012</v>
      </c>
      <c r="AR88" s="631">
        <f>PRIX!K89</f>
        <v>2.2</v>
      </c>
      <c r="AS88" s="631">
        <f>PRIX!L89</f>
        <v>0.42</v>
      </c>
      <c r="AT88" s="631">
        <f>PRIX!M89</f>
        <v>265</v>
      </c>
      <c r="AU88" s="629">
        <f>PRIX!N89</f>
        <v>0.003</v>
      </c>
      <c r="AV88" s="631">
        <f>PRIX!O89</f>
        <v>3.52</v>
      </c>
      <c r="AW88" s="631">
        <f>PRIX!P89</f>
        <v>0.0013</v>
      </c>
      <c r="AX88" s="630">
        <f>PRIX!Q89</f>
        <v>0.00001</v>
      </c>
      <c r="AY88" s="631">
        <f>PRIX!R89</f>
        <v>0.86</v>
      </c>
      <c r="AZ88" s="631">
        <f>PRIX!S89</f>
        <v>2</v>
      </c>
      <c r="BA88" s="623"/>
    </row>
    <row r="89">
      <c r="A89" s="621">
        <f>ARBITRAGES!E90</f>
        <v>45847</v>
      </c>
      <c r="B89" s="623" t="str">
        <f>IF(A89="","",IF(ARBITRAGES!F90="Invest","Achat","Vente"))</f>
        <v>Achat</v>
      </c>
      <c r="C89" s="623" t="str">
        <f>ARBITRAGES!H90</f>
        <v>SOL</v>
      </c>
      <c r="D89" s="624">
        <f>ARBITRAGES!I90</f>
        <v>149</v>
      </c>
      <c r="E89" s="624">
        <f>ARBITRAGES!J90</f>
        <v>298</v>
      </c>
      <c r="F89" s="623"/>
      <c r="G89" s="621">
        <f>'PV (%)'!B91</f>
        <v>45867</v>
      </c>
      <c r="H89" s="624">
        <f>'PV (%)'!E91</f>
        <v>71366.70791</v>
      </c>
      <c r="I89" s="624">
        <f>'PV (%)'!F91</f>
        <v>57239.03862</v>
      </c>
      <c r="J89" s="626">
        <f>'PV (%)'!G91</f>
        <v>60132.91956</v>
      </c>
      <c r="K89" s="623"/>
      <c r="L89" s="621">
        <f>Exposition!A90</f>
        <v>45848</v>
      </c>
      <c r="M89" s="625">
        <f>Exposition!B90</f>
        <v>0.8617927962</v>
      </c>
      <c r="N89" s="625">
        <f>Exposition!C90</f>
        <v>0.4497105488</v>
      </c>
      <c r="O89" s="625">
        <f>Exposition!D90</f>
        <v>0.166185029</v>
      </c>
      <c r="P89" s="625">
        <f>Exposition!E90</f>
        <v>0.01320423638</v>
      </c>
      <c r="Q89" s="625">
        <f>Exposition!F90</f>
        <v>0.06286590022</v>
      </c>
      <c r="R89" s="625">
        <f>Exposition!G90</f>
        <v>0.07365707283</v>
      </c>
      <c r="S89" s="625">
        <f>Exposition!H90</f>
        <v>0</v>
      </c>
      <c r="T89" s="625">
        <f>Exposition!I90</f>
        <v>0.02726516041</v>
      </c>
      <c r="U89" s="625">
        <f>Exposition!J90</f>
        <v>0.01133464078</v>
      </c>
      <c r="V89" s="625">
        <f>Exposition!K90</f>
        <v>0.004977396286</v>
      </c>
      <c r="W89" s="625">
        <f>Exposition!L90</f>
        <v>0.005827312795</v>
      </c>
      <c r="X89" s="625">
        <f>Exposition!M90</f>
        <v>0</v>
      </c>
      <c r="Y89" s="625">
        <f>Exposition!N90</f>
        <v>0.0293485975</v>
      </c>
      <c r="Z89" s="625">
        <f>Exposition!O90</f>
        <v>0</v>
      </c>
      <c r="AA89" s="625">
        <f>Exposition!P90</f>
        <v>0.01220989521</v>
      </c>
      <c r="AB89" s="625">
        <f>Exposition!Q90</f>
        <v>0.0000000009360921452</v>
      </c>
      <c r="AC89" s="625">
        <f>Exposition!R90</f>
        <v>0.005207005031</v>
      </c>
      <c r="AD89" s="625">
        <f>Exposition!S90</f>
        <v>0</v>
      </c>
      <c r="AE89" s="625">
        <f>Exposition!T90</f>
        <v>0</v>
      </c>
      <c r="AF89" s="625">
        <f>Exposition!U90</f>
        <v>0.1382072038</v>
      </c>
      <c r="AG89" s="623"/>
      <c r="AH89" s="621">
        <f>PRIX!A90</f>
        <v>45847</v>
      </c>
      <c r="AI89" s="626">
        <f>PRIX!B90</f>
        <v>112000</v>
      </c>
      <c r="AJ89" s="626">
        <f>PRIX!C90</f>
        <v>2750</v>
      </c>
      <c r="AK89" s="627">
        <f>PRIX!D90</f>
        <v>2.84</v>
      </c>
      <c r="AL89" s="626">
        <f>PRIX!E90</f>
        <v>157</v>
      </c>
      <c r="AM89" s="626">
        <f>PRIX!F90</f>
        <v>345</v>
      </c>
      <c r="AN89" s="627">
        <f>PRIX!G90</f>
        <v>0.495</v>
      </c>
      <c r="AO89" s="627">
        <f>PRIX!H90</f>
        <v>14</v>
      </c>
      <c r="AP89" s="631">
        <f>PRIX!I90</f>
        <v>0.175</v>
      </c>
      <c r="AQ89" s="628">
        <f>PRIX!J90</f>
        <v>0.000013</v>
      </c>
      <c r="AR89" s="631">
        <f>PRIX!K90</f>
        <v>2.35</v>
      </c>
      <c r="AS89" s="631">
        <f>PRIX!L90</f>
        <v>0.445</v>
      </c>
      <c r="AT89" s="631">
        <f>PRIX!M90</f>
        <v>300</v>
      </c>
      <c r="AU89" s="629">
        <f>PRIX!N90</f>
        <v>0.0038</v>
      </c>
      <c r="AV89" s="631">
        <f>PRIX!O90</f>
        <v>3.75</v>
      </c>
      <c r="AW89" s="631">
        <f>PRIX!P90</f>
        <v>0.0015</v>
      </c>
      <c r="AX89" s="630">
        <f>PRIX!Q90</f>
        <v>0.00001</v>
      </c>
      <c r="AY89" s="631">
        <f>PRIX!R90</f>
        <v>0.86</v>
      </c>
      <c r="AZ89" s="631">
        <f>PRIX!S90</f>
        <v>2.5</v>
      </c>
      <c r="BA89" s="623"/>
    </row>
    <row r="90">
      <c r="A90" s="621">
        <f>ARBITRAGES!E91</f>
        <v>45848</v>
      </c>
      <c r="B90" s="623" t="str">
        <f>IF(A90="","",IF(ARBITRAGES!F91="Invest","Achat","Vente"))</f>
        <v>Vente</v>
      </c>
      <c r="C90" s="623" t="str">
        <f>ARBITRAGES!H91</f>
        <v>TON</v>
      </c>
      <c r="D90" s="624">
        <f>ARBITRAGES!I91</f>
        <v>2.85</v>
      </c>
      <c r="E90" s="624">
        <f>ARBITRAGES!J91</f>
        <v>370</v>
      </c>
      <c r="F90" s="623"/>
      <c r="G90" s="621">
        <f>'PV (%)'!B92</f>
        <v>45868</v>
      </c>
      <c r="H90" s="624">
        <f>'PV (%)'!E92</f>
        <v>70474.62407</v>
      </c>
      <c r="I90" s="624">
        <f>'PV (%)'!F92</f>
        <v>55904.76125</v>
      </c>
      <c r="J90" s="626">
        <f>'PV (%)'!G92</f>
        <v>58941.80655</v>
      </c>
      <c r="K90" s="623"/>
      <c r="L90" s="621">
        <f>Exposition!A91</f>
        <v>45849</v>
      </c>
      <c r="M90" s="625">
        <f>Exposition!B91</f>
        <v>0.8532709048</v>
      </c>
      <c r="N90" s="625">
        <f>Exposition!C91</f>
        <v>0.4411937104</v>
      </c>
      <c r="O90" s="625">
        <f>Exposition!D91</f>
        <v>0.1661829912</v>
      </c>
      <c r="P90" s="625">
        <f>Exposition!E91</f>
        <v>0.01320407447</v>
      </c>
      <c r="Q90" s="625">
        <f>Exposition!F91</f>
        <v>0.06286512935</v>
      </c>
      <c r="R90" s="625">
        <f>Exposition!G91</f>
        <v>0.07365616965</v>
      </c>
      <c r="S90" s="625">
        <f>Exposition!H91</f>
        <v>0</v>
      </c>
      <c r="T90" s="625">
        <f>Exposition!I91</f>
        <v>0.02726482608</v>
      </c>
      <c r="U90" s="625">
        <f>Exposition!J91</f>
        <v>0.01133450179</v>
      </c>
      <c r="V90" s="625">
        <f>Exposition!K91</f>
        <v>0.004977335253</v>
      </c>
      <c r="W90" s="625">
        <f>Exposition!L91</f>
        <v>0.00582724134</v>
      </c>
      <c r="X90" s="625">
        <f>Exposition!M91</f>
        <v>0</v>
      </c>
      <c r="Y90" s="625">
        <f>Exposition!N91</f>
        <v>0.02934823763</v>
      </c>
      <c r="Z90" s="625">
        <f>Exposition!O91</f>
        <v>0</v>
      </c>
      <c r="AA90" s="625">
        <f>Exposition!P91</f>
        <v>0.01220974549</v>
      </c>
      <c r="AB90" s="625">
        <f>Exposition!Q91</f>
        <v>0.0000000009360806668</v>
      </c>
      <c r="AC90" s="625">
        <f>Exposition!R91</f>
        <v>0.005206941183</v>
      </c>
      <c r="AD90" s="625">
        <f>Exposition!S91</f>
        <v>0</v>
      </c>
      <c r="AE90" s="625">
        <f>Exposition!T91</f>
        <v>0</v>
      </c>
      <c r="AF90" s="625">
        <f>Exposition!U91</f>
        <v>0.1467290952</v>
      </c>
      <c r="AG90" s="623"/>
      <c r="AH90" s="621">
        <f>PRIX!A91</f>
        <v>45848</v>
      </c>
      <c r="AI90" s="626">
        <f>PRIX!B91</f>
        <v>118000</v>
      </c>
      <c r="AJ90" s="626">
        <f>PRIX!C91</f>
        <v>3000</v>
      </c>
      <c r="AK90" s="627">
        <f>PRIX!D91</f>
        <v>2.98</v>
      </c>
      <c r="AL90" s="626">
        <f>PRIX!E91</f>
        <v>161</v>
      </c>
      <c r="AM90" s="626">
        <f>PRIX!F91</f>
        <v>400</v>
      </c>
      <c r="AN90" s="627">
        <f>PRIX!G91</f>
        <v>0.51</v>
      </c>
      <c r="AO90" s="627">
        <f>PRIX!H91</f>
        <v>15.15</v>
      </c>
      <c r="AP90" s="631">
        <f>PRIX!I91</f>
        <v>0.2</v>
      </c>
      <c r="AQ90" s="628">
        <f>PRIX!J91</f>
        <v>0.0000135</v>
      </c>
      <c r="AR90" s="631">
        <f>PRIX!K91</f>
        <v>2.55</v>
      </c>
      <c r="AS90" s="631">
        <f>PRIX!L91</f>
        <v>0.485</v>
      </c>
      <c r="AT90" s="631">
        <f>PRIX!M91</f>
        <v>305</v>
      </c>
      <c r="AU90" s="629">
        <f>PRIX!N91</f>
        <v>0.0041</v>
      </c>
      <c r="AV90" s="631">
        <f>PRIX!O91</f>
        <v>4</v>
      </c>
      <c r="AW90" s="631">
        <f>PRIX!P91</f>
        <v>0.0018</v>
      </c>
      <c r="AX90" s="630">
        <f>PRIX!Q91</f>
        <v>0.000012</v>
      </c>
      <c r="AY90" s="631">
        <f>PRIX!R91</f>
        <v>0.96</v>
      </c>
      <c r="AZ90" s="631">
        <f>PRIX!S91</f>
        <v>2.6</v>
      </c>
      <c r="BA90" s="623"/>
    </row>
    <row r="91">
      <c r="A91" s="621">
        <f>ARBITRAGES!E92</f>
        <v>45849</v>
      </c>
      <c r="B91" s="623" t="str">
        <f>IF(A91="","",IF(ARBITRAGES!F92="Invest","Achat","Vente"))</f>
        <v>Vente</v>
      </c>
      <c r="C91" s="623" t="str">
        <f>ARBITRAGES!H92</f>
        <v>BTC</v>
      </c>
      <c r="D91" s="624">
        <f>ARBITRAGES!I92</f>
        <v>118170</v>
      </c>
      <c r="E91" s="624">
        <f>ARBITRAGES!J92</f>
        <v>473.9999</v>
      </c>
      <c r="F91" s="623"/>
      <c r="G91" s="621">
        <f>'PV (%)'!B93</f>
        <v>45869</v>
      </c>
      <c r="H91" s="624">
        <f>'PV (%)'!E93</f>
        <v>68690.45637</v>
      </c>
      <c r="I91" s="624">
        <f>'PV (%)'!F93</f>
        <v>53907.97298</v>
      </c>
      <c r="J91" s="626">
        <f>'PV (%)'!G93</f>
        <v>56872.72876</v>
      </c>
      <c r="K91" s="623"/>
      <c r="L91" s="621">
        <f>Exposition!A92</f>
        <v>45849</v>
      </c>
      <c r="M91" s="625">
        <f>Exposition!B92</f>
        <v>0.8442856841</v>
      </c>
      <c r="N91" s="625">
        <f>Exposition!C92</f>
        <v>0.4322241222</v>
      </c>
      <c r="O91" s="625">
        <f>Exposition!D92</f>
        <v>0.1661766869</v>
      </c>
      <c r="P91" s="625">
        <f>Exposition!E92</f>
        <v>0.01320357356</v>
      </c>
      <c r="Q91" s="625">
        <f>Exposition!F92</f>
        <v>0.06286274451</v>
      </c>
      <c r="R91" s="625">
        <f>Exposition!G92</f>
        <v>0.07365337544</v>
      </c>
      <c r="S91" s="625">
        <f>Exposition!H92</f>
        <v>0</v>
      </c>
      <c r="T91" s="625">
        <f>Exposition!I92</f>
        <v>0.02726379176</v>
      </c>
      <c r="U91" s="625">
        <f>Exposition!J92</f>
        <v>0.01133407181</v>
      </c>
      <c r="V91" s="625">
        <f>Exposition!K92</f>
        <v>0.004977146433</v>
      </c>
      <c r="W91" s="625">
        <f>Exposition!L92</f>
        <v>0.005827020279</v>
      </c>
      <c r="X91" s="625">
        <f>Exposition!M92</f>
        <v>0</v>
      </c>
      <c r="Y91" s="625">
        <f>Exposition!N92</f>
        <v>0.02934712428</v>
      </c>
      <c r="Z91" s="625">
        <f>Exposition!O92</f>
        <v>0</v>
      </c>
      <c r="AA91" s="625">
        <f>Exposition!P92</f>
        <v>0.01220928231</v>
      </c>
      <c r="AB91" s="625">
        <f>Exposition!Q92</f>
        <v>0.0000000009360451558</v>
      </c>
      <c r="AC91" s="625">
        <f>Exposition!R92</f>
        <v>0.005206743653</v>
      </c>
      <c r="AD91" s="625">
        <f>Exposition!S92</f>
        <v>0</v>
      </c>
      <c r="AE91" s="625">
        <f>Exposition!T92</f>
        <v>0</v>
      </c>
      <c r="AF91" s="625">
        <f>Exposition!U92</f>
        <v>0.1557143159</v>
      </c>
      <c r="AG91" s="623"/>
      <c r="AH91" s="621">
        <f>PRIX!A92</f>
        <v>45849</v>
      </c>
      <c r="AI91" s="626">
        <f>PRIX!B92</f>
        <v>118000</v>
      </c>
      <c r="AJ91" s="626">
        <f>PRIX!C92</f>
        <v>3000</v>
      </c>
      <c r="AK91" s="627">
        <f>PRIX!D92</f>
        <v>2.98</v>
      </c>
      <c r="AL91" s="626">
        <f>PRIX!E92</f>
        <v>161</v>
      </c>
      <c r="AM91" s="626">
        <f>PRIX!F92</f>
        <v>400</v>
      </c>
      <c r="AN91" s="627">
        <f>PRIX!G92</f>
        <v>0.51</v>
      </c>
      <c r="AO91" s="627">
        <f>PRIX!H92</f>
        <v>15.15</v>
      </c>
      <c r="AP91" s="631">
        <f>PRIX!I92</f>
        <v>0.2</v>
      </c>
      <c r="AQ91" s="628">
        <f>PRIX!J92</f>
        <v>0.0000135</v>
      </c>
      <c r="AR91" s="631">
        <f>PRIX!K92</f>
        <v>2.55</v>
      </c>
      <c r="AS91" s="631">
        <f>PRIX!L92</f>
        <v>0.485</v>
      </c>
      <c r="AT91" s="631">
        <f>PRIX!M92</f>
        <v>305</v>
      </c>
      <c r="AU91" s="629">
        <f>PRIX!N92</f>
        <v>0.0041</v>
      </c>
      <c r="AV91" s="631">
        <f>PRIX!O92</f>
        <v>4</v>
      </c>
      <c r="AW91" s="631">
        <f>PRIX!P92</f>
        <v>0.0018</v>
      </c>
      <c r="AX91" s="630">
        <f>PRIX!Q92</f>
        <v>0.000012</v>
      </c>
      <c r="AY91" s="631">
        <f>PRIX!R92</f>
        <v>0.96</v>
      </c>
      <c r="AZ91" s="631">
        <f>PRIX!S92</f>
        <v>2.6</v>
      </c>
      <c r="BA91" s="623"/>
    </row>
    <row r="92">
      <c r="A92" s="621">
        <f>ARBITRAGES!E93</f>
        <v>45849</v>
      </c>
      <c r="B92" s="623" t="str">
        <f>IF(A92="","",IF(ARBITRAGES!F93="Invest","Achat","Vente"))</f>
        <v>Vente</v>
      </c>
      <c r="C92" s="623" t="str">
        <f>ARBITRAGES!H93</f>
        <v>BTC</v>
      </c>
      <c r="D92" s="624">
        <f>ARBITRAGES!I93</f>
        <v>118500</v>
      </c>
      <c r="E92" s="624">
        <f>ARBITRAGES!J93</f>
        <v>500.000085</v>
      </c>
      <c r="F92" s="623"/>
      <c r="G92" s="621">
        <f>'PV (%)'!B94</f>
        <v>45869</v>
      </c>
      <c r="H92" s="624">
        <f>'PV (%)'!E94</f>
        <v>68690.45637</v>
      </c>
      <c r="I92" s="624">
        <f>'PV (%)'!F94</f>
        <v>53907.97298</v>
      </c>
      <c r="J92" s="626">
        <f>'PV (%)'!G94</f>
        <v>56869.25376</v>
      </c>
      <c r="K92" s="623"/>
      <c r="L92" s="621">
        <f>Exposition!A93</f>
        <v>45850</v>
      </c>
      <c r="M92" s="625">
        <f>Exposition!B93</f>
        <v>0.8383739712</v>
      </c>
      <c r="N92" s="625">
        <f>Exposition!C93</f>
        <v>0.4263298506</v>
      </c>
      <c r="O92" s="625">
        <f>Exposition!D93</f>
        <v>0.1661696532</v>
      </c>
      <c r="P92" s="625">
        <f>Exposition!E93</f>
        <v>0.01320301469</v>
      </c>
      <c r="Q92" s="625">
        <f>Exposition!F93</f>
        <v>0.06286008373</v>
      </c>
      <c r="R92" s="625">
        <f>Exposition!G93</f>
        <v>0.07365025792</v>
      </c>
      <c r="S92" s="625">
        <f>Exposition!H93</f>
        <v>0</v>
      </c>
      <c r="T92" s="625">
        <f>Exposition!I93</f>
        <v>0.02726263777</v>
      </c>
      <c r="U92" s="625">
        <f>Exposition!J93</f>
        <v>0.01133359207</v>
      </c>
      <c r="V92" s="625">
        <f>Exposition!K93</f>
        <v>0.004976935766</v>
      </c>
      <c r="W92" s="625">
        <f>Exposition!L93</f>
        <v>0.005826773639</v>
      </c>
      <c r="X92" s="625">
        <f>Exposition!M93</f>
        <v>0</v>
      </c>
      <c r="Y92" s="625">
        <f>Exposition!N93</f>
        <v>0.02934588211</v>
      </c>
      <c r="Z92" s="625">
        <f>Exposition!O93</f>
        <v>0</v>
      </c>
      <c r="AA92" s="625">
        <f>Exposition!P93</f>
        <v>0.01220876553</v>
      </c>
      <c r="AB92" s="625">
        <f>Exposition!Q93</f>
        <v>0.0000000009360055359</v>
      </c>
      <c r="AC92" s="625">
        <f>Exposition!R93</f>
        <v>0.005206523268</v>
      </c>
      <c r="AD92" s="625">
        <f>Exposition!S93</f>
        <v>0</v>
      </c>
      <c r="AE92" s="625">
        <f>Exposition!T93</f>
        <v>0</v>
      </c>
      <c r="AF92" s="625">
        <f>Exposition!U93</f>
        <v>0.1616260288</v>
      </c>
      <c r="AG92" s="623"/>
      <c r="AH92" s="621">
        <f>PRIX!A93</f>
        <v>45849</v>
      </c>
      <c r="AI92" s="626">
        <f>PRIX!B93</f>
        <v>118000</v>
      </c>
      <c r="AJ92" s="626">
        <f>PRIX!C93</f>
        <v>3000</v>
      </c>
      <c r="AK92" s="627">
        <f>PRIX!D93</f>
        <v>2.98</v>
      </c>
      <c r="AL92" s="626">
        <f>PRIX!E93</f>
        <v>161</v>
      </c>
      <c r="AM92" s="626">
        <f>PRIX!F93</f>
        <v>400</v>
      </c>
      <c r="AN92" s="627">
        <f>PRIX!G93</f>
        <v>0.51</v>
      </c>
      <c r="AO92" s="627">
        <f>PRIX!H93</f>
        <v>15.15</v>
      </c>
      <c r="AP92" s="631">
        <f>PRIX!I93</f>
        <v>0.2</v>
      </c>
      <c r="AQ92" s="628">
        <f>PRIX!J93</f>
        <v>0.0000135</v>
      </c>
      <c r="AR92" s="631">
        <f>PRIX!K93</f>
        <v>2.55</v>
      </c>
      <c r="AS92" s="631">
        <f>PRIX!L93</f>
        <v>0.485</v>
      </c>
      <c r="AT92" s="631">
        <f>PRIX!M93</f>
        <v>305</v>
      </c>
      <c r="AU92" s="629">
        <f>PRIX!N93</f>
        <v>0.0041</v>
      </c>
      <c r="AV92" s="631">
        <f>PRIX!O93</f>
        <v>4</v>
      </c>
      <c r="AW92" s="631">
        <f>PRIX!P93</f>
        <v>0.0018</v>
      </c>
      <c r="AX92" s="630">
        <f>PRIX!Q93</f>
        <v>0.000012</v>
      </c>
      <c r="AY92" s="631">
        <f>PRIX!R93</f>
        <v>0.96</v>
      </c>
      <c r="AZ92" s="631">
        <f>PRIX!S93</f>
        <v>2.6</v>
      </c>
      <c r="BA92" s="623"/>
    </row>
    <row r="93">
      <c r="A93" s="632">
        <f>ARBITRAGES!E94</f>
        <v>45850</v>
      </c>
      <c r="B93" s="623" t="str">
        <f>IF(A93="","",IF(ARBITRAGES!F94="Invest","Achat","Vente"))</f>
        <v>Vente</v>
      </c>
      <c r="C93" s="623" t="str">
        <f>ARBITRAGES!H94</f>
        <v>BTC</v>
      </c>
      <c r="D93" s="624">
        <f>ARBITRAGES!I94</f>
        <v>118850</v>
      </c>
      <c r="E93" s="624">
        <f>ARBITRAGES!J94</f>
        <v>329.145567</v>
      </c>
      <c r="F93" s="623"/>
      <c r="G93" s="621">
        <f>'PV (%)'!B95</f>
        <v>45869</v>
      </c>
      <c r="H93" s="624">
        <f>'PV (%)'!E95</f>
        <v>68690.45637</v>
      </c>
      <c r="I93" s="624">
        <f>'PV (%)'!F95</f>
        <v>53907.97298</v>
      </c>
      <c r="J93" s="626">
        <f>'PV (%)'!G95</f>
        <v>56869.25376</v>
      </c>
      <c r="K93" s="623"/>
      <c r="L93" s="621">
        <f>Exposition!A94</f>
        <v>45852</v>
      </c>
      <c r="M93" s="625">
        <f>Exposition!B94</f>
        <v>0.8629770338</v>
      </c>
      <c r="N93" s="625">
        <f>Exposition!C94</f>
        <v>0.428784271</v>
      </c>
      <c r="O93" s="625">
        <f>Exposition!D94</f>
        <v>0.1770017069</v>
      </c>
      <c r="P93" s="625">
        <f>Exposition!E94</f>
        <v>0.01339733118</v>
      </c>
      <c r="Q93" s="625">
        <f>Exposition!F94</f>
        <v>0.06517624208</v>
      </c>
      <c r="R93" s="625">
        <f>Exposition!G94</f>
        <v>0.0790367335</v>
      </c>
      <c r="S93" s="625">
        <f>Exposition!H94</f>
        <v>0</v>
      </c>
      <c r="T93" s="625">
        <f>Exposition!I94</f>
        <v>0.02909558754</v>
      </c>
      <c r="U93" s="625">
        <f>Exposition!J94</f>
        <v>0.01118948544</v>
      </c>
      <c r="V93" s="625">
        <f>Exposition!K94</f>
        <v>0.005028824658</v>
      </c>
      <c r="W93" s="625">
        <f>Exposition!L94</f>
        <v>0.005514557585</v>
      </c>
      <c r="X93" s="625">
        <f>Exposition!M94</f>
        <v>0</v>
      </c>
      <c r="Y93" s="625">
        <f>Exposition!N94</f>
        <v>0.03056284305</v>
      </c>
      <c r="Z93" s="625">
        <f>Exposition!O94</f>
        <v>0</v>
      </c>
      <c r="AA93" s="625">
        <f>Exposition!P94</f>
        <v>0.01251936801</v>
      </c>
      <c r="AB93" s="625">
        <f>Exposition!Q94</f>
        <v>0.000000001140869413</v>
      </c>
      <c r="AC93" s="625">
        <f>Exposition!R94</f>
        <v>0.005670081786</v>
      </c>
      <c r="AD93" s="625">
        <f>Exposition!S94</f>
        <v>0</v>
      </c>
      <c r="AE93" s="625">
        <f>Exposition!T94</f>
        <v>0</v>
      </c>
      <c r="AF93" s="625">
        <f>Exposition!U94</f>
        <v>0.1370229662</v>
      </c>
      <c r="AG93" s="623"/>
      <c r="AH93" s="621">
        <f>PRIX!A94</f>
        <v>45850</v>
      </c>
      <c r="AI93" s="626">
        <f>PRIX!B94</f>
        <v>118000</v>
      </c>
      <c r="AJ93" s="626">
        <f>PRIX!C94</f>
        <v>3000</v>
      </c>
      <c r="AK93" s="627">
        <f>PRIX!D94</f>
        <v>2.98</v>
      </c>
      <c r="AL93" s="626">
        <f>PRIX!E94</f>
        <v>161</v>
      </c>
      <c r="AM93" s="626">
        <f>PRIX!F94</f>
        <v>400</v>
      </c>
      <c r="AN93" s="627">
        <f>PRIX!G94</f>
        <v>0.51</v>
      </c>
      <c r="AO93" s="627">
        <f>PRIX!H94</f>
        <v>15.15</v>
      </c>
      <c r="AP93" s="631">
        <f>PRIX!I94</f>
        <v>0.2</v>
      </c>
      <c r="AQ93" s="628">
        <f>PRIX!J94</f>
        <v>0.0000135</v>
      </c>
      <c r="AR93" s="631">
        <f>PRIX!K94</f>
        <v>2.55</v>
      </c>
      <c r="AS93" s="631">
        <f>PRIX!L94</f>
        <v>0.485</v>
      </c>
      <c r="AT93" s="631">
        <f>PRIX!M94</f>
        <v>305</v>
      </c>
      <c r="AU93" s="629">
        <f>PRIX!N94</f>
        <v>0.0041</v>
      </c>
      <c r="AV93" s="631">
        <f>PRIX!O94</f>
        <v>4</v>
      </c>
      <c r="AW93" s="631">
        <f>PRIX!P94</f>
        <v>0.0018</v>
      </c>
      <c r="AX93" s="630">
        <f>PRIX!Q94</f>
        <v>0.000012</v>
      </c>
      <c r="AY93" s="631">
        <f>PRIX!R94</f>
        <v>0.96</v>
      </c>
      <c r="AZ93" s="631">
        <f>PRIX!S94</f>
        <v>2.6</v>
      </c>
      <c r="BA93" s="623"/>
    </row>
    <row r="94">
      <c r="A94" s="621">
        <f>ARBITRAGES!E95</f>
        <v>45852</v>
      </c>
      <c r="B94" s="623" t="str">
        <f>IF(A94="","",IF(ARBITRAGES!F95="Invest","Achat","Vente"))</f>
        <v>Achat</v>
      </c>
      <c r="C94" s="623" t="str">
        <f>ARBITRAGES!H95</f>
        <v>BTC</v>
      </c>
      <c r="D94" s="624">
        <f>ARBITRAGES!I95</f>
        <v>121000</v>
      </c>
      <c r="E94" s="624">
        <f>ARBITRAGES!J95</f>
        <v>1000</v>
      </c>
      <c r="F94" s="623"/>
      <c r="G94" s="621">
        <f>'PV (%)'!B96</f>
        <v>45870</v>
      </c>
      <c r="H94" s="624">
        <f>'PV (%)'!E96</f>
        <v>68690.45637</v>
      </c>
      <c r="I94" s="624">
        <f>'PV (%)'!F96</f>
        <v>53907.97298</v>
      </c>
      <c r="J94" s="626">
        <f>'PV (%)'!G96</f>
        <v>56871.87385</v>
      </c>
      <c r="K94" s="623"/>
      <c r="L94" s="621">
        <f>Exposition!A95</f>
        <v>45852</v>
      </c>
      <c r="M94" s="625">
        <f>Exposition!B95</f>
        <v>0.8664339159</v>
      </c>
      <c r="N94" s="625">
        <f>Exposition!C95</f>
        <v>0.4286923086</v>
      </c>
      <c r="O94" s="625">
        <f>Exposition!D95</f>
        <v>0.1769637449</v>
      </c>
      <c r="P94" s="625">
        <f>Exposition!E95</f>
        <v>0.01339445783</v>
      </c>
      <c r="Q94" s="625">
        <f>Exposition!F95</f>
        <v>0.06516226357</v>
      </c>
      <c r="R94" s="625">
        <f>Exposition!G95</f>
        <v>0.07901978231</v>
      </c>
      <c r="S94" s="625">
        <f>Exposition!H95</f>
        <v>0</v>
      </c>
      <c r="T94" s="625">
        <f>Exposition!I95</f>
        <v>0.02908934734</v>
      </c>
      <c r="U94" s="625">
        <f>Exposition!J95</f>
        <v>0.01482905243</v>
      </c>
      <c r="V94" s="625">
        <f>Exposition!K95</f>
        <v>0.005027746114</v>
      </c>
      <c r="W94" s="625">
        <f>Exposition!L95</f>
        <v>0.005513374864</v>
      </c>
      <c r="X94" s="625">
        <f>Exposition!M95</f>
        <v>0</v>
      </c>
      <c r="Y94" s="625">
        <f>Exposition!N95</f>
        <v>0.03055628816</v>
      </c>
      <c r="Z94" s="625">
        <f>Exposition!O95</f>
        <v>0</v>
      </c>
      <c r="AA94" s="625">
        <f>Exposition!P95</f>
        <v>0.01251668295</v>
      </c>
      <c r="AB94" s="625">
        <f>Exposition!Q95</f>
        <v>0.000000001140624728</v>
      </c>
      <c r="AC94" s="625">
        <f>Exposition!R95</f>
        <v>0.00566886571</v>
      </c>
      <c r="AD94" s="625">
        <f>Exposition!S95</f>
        <v>0</v>
      </c>
      <c r="AE94" s="625">
        <f>Exposition!T95</f>
        <v>0</v>
      </c>
      <c r="AF94" s="625">
        <f>Exposition!U95</f>
        <v>0.1335660841</v>
      </c>
      <c r="AG94" s="623"/>
      <c r="AH94" s="621">
        <f>PRIX!A95</f>
        <v>45852</v>
      </c>
      <c r="AI94" s="626">
        <f>PRIX!B95</f>
        <v>119500</v>
      </c>
      <c r="AJ94" s="626">
        <f>PRIX!C95</f>
        <v>3350</v>
      </c>
      <c r="AK94" s="627">
        <f>PRIX!D95</f>
        <v>3.17</v>
      </c>
      <c r="AL94" s="626">
        <f>PRIX!E95</f>
        <v>175</v>
      </c>
      <c r="AM94" s="626">
        <f>PRIX!F95</f>
        <v>450</v>
      </c>
      <c r="AN94" s="627">
        <f>PRIX!G95</f>
        <v>0.56</v>
      </c>
      <c r="AO94" s="627">
        <f>PRIX!H95</f>
        <v>16.95</v>
      </c>
      <c r="AP94" s="631">
        <f>PRIX!I95</f>
        <v>0.207</v>
      </c>
      <c r="AQ94" s="628">
        <f>PRIX!J95</f>
        <v>0.0000143</v>
      </c>
      <c r="AR94" s="631">
        <f>PRIX!K95</f>
        <v>2.53</v>
      </c>
      <c r="AS94" s="631">
        <f>PRIX!L95</f>
        <v>0.55</v>
      </c>
      <c r="AT94" s="631">
        <f>PRIX!M95</f>
        <v>333</v>
      </c>
      <c r="AU94" s="629">
        <f>PRIX!N95</f>
        <v>0.0044</v>
      </c>
      <c r="AV94" s="631">
        <f>PRIX!O95</f>
        <v>4.3</v>
      </c>
      <c r="AW94" s="631">
        <f>PRIX!P95</f>
        <v>0.0023</v>
      </c>
      <c r="AX94" s="630">
        <f>PRIX!Q95</f>
        <v>0.0000137</v>
      </c>
      <c r="AY94" s="631">
        <f>PRIX!R95</f>
        <v>1.15</v>
      </c>
      <c r="AZ94" s="631">
        <f>PRIX!S95</f>
        <v>2.75</v>
      </c>
      <c r="BA94" s="623"/>
    </row>
    <row r="95">
      <c r="A95" s="621">
        <f>ARBITRAGES!E96</f>
        <v>45852</v>
      </c>
      <c r="B95" s="623" t="str">
        <f>IF(A95="","",IF(ARBITRAGES!F96="Invest","Achat","Vente"))</f>
        <v>Achat</v>
      </c>
      <c r="C95" s="623" t="str">
        <f>ARBITRAGES!H96</f>
        <v>DOGE</v>
      </c>
      <c r="D95" s="631">
        <f>ARBITRAGES!I96</f>
        <v>0.195</v>
      </c>
      <c r="E95" s="624">
        <f>ARBITRAGES!J96</f>
        <v>199.875</v>
      </c>
      <c r="F95" s="623"/>
      <c r="G95" s="621">
        <f>'PV (%)'!B97</f>
        <v>45871</v>
      </c>
      <c r="H95" s="624">
        <f>'PV (%)'!E97</f>
        <v>67798.37252</v>
      </c>
      <c r="I95" s="624">
        <f>'PV (%)'!F97</f>
        <v>53223.10066</v>
      </c>
      <c r="J95" s="626">
        <f>'PV (%)'!G97</f>
        <v>56296.031</v>
      </c>
      <c r="K95" s="623"/>
      <c r="L95" s="621">
        <f>Exposition!A96</f>
        <v>45852</v>
      </c>
      <c r="M95" s="625">
        <f>Exposition!B96</f>
        <v>0.8713931449</v>
      </c>
      <c r="N95" s="625">
        <f>Exposition!C96</f>
        <v>0.428509563</v>
      </c>
      <c r="O95" s="625">
        <f>Exposition!D96</f>
        <v>0.1768883077</v>
      </c>
      <c r="P95" s="625">
        <f>Exposition!E96</f>
        <v>0.01338874795</v>
      </c>
      <c r="Q95" s="625">
        <f>Exposition!F96</f>
        <v>0.07046306362</v>
      </c>
      <c r="R95" s="625">
        <f>Exposition!G96</f>
        <v>0.07898609726</v>
      </c>
      <c r="S95" s="625">
        <f>Exposition!H96</f>
        <v>0</v>
      </c>
      <c r="T95" s="625">
        <f>Exposition!I96</f>
        <v>0.02907694695</v>
      </c>
      <c r="U95" s="625">
        <f>Exposition!J96</f>
        <v>0.01482273101</v>
      </c>
      <c r="V95" s="625">
        <f>Exposition!K96</f>
        <v>0.005025602855</v>
      </c>
      <c r="W95" s="625">
        <f>Exposition!L96</f>
        <v>0.005511024588</v>
      </c>
      <c r="X95" s="625">
        <f>Exposition!M96</f>
        <v>0</v>
      </c>
      <c r="Y95" s="625">
        <f>Exposition!N96</f>
        <v>0.03054326244</v>
      </c>
      <c r="Z95" s="625">
        <f>Exposition!O96</f>
        <v>0</v>
      </c>
      <c r="AA95" s="625">
        <f>Exposition!P96</f>
        <v>0.01251134726</v>
      </c>
      <c r="AB95" s="625">
        <f>Exposition!Q96</f>
        <v>0.000000001140138496</v>
      </c>
      <c r="AC95" s="625">
        <f>Exposition!R96</f>
        <v>0.00566644915</v>
      </c>
      <c r="AD95" s="625">
        <f>Exposition!S96</f>
        <v>0</v>
      </c>
      <c r="AE95" s="625">
        <f>Exposition!T96</f>
        <v>0</v>
      </c>
      <c r="AF95" s="625">
        <f>Exposition!U96</f>
        <v>0.1286068551</v>
      </c>
      <c r="AG95" s="623"/>
      <c r="AH95" s="621">
        <f>PRIX!A96</f>
        <v>45852</v>
      </c>
      <c r="AI95" s="626">
        <f>PRIX!B96</f>
        <v>119500</v>
      </c>
      <c r="AJ95" s="626">
        <f>PRIX!C96</f>
        <v>3350</v>
      </c>
      <c r="AK95" s="627">
        <f>PRIX!D96</f>
        <v>3.17</v>
      </c>
      <c r="AL95" s="626">
        <f>PRIX!E96</f>
        <v>175</v>
      </c>
      <c r="AM95" s="626">
        <f>PRIX!F96</f>
        <v>450</v>
      </c>
      <c r="AN95" s="627">
        <f>PRIX!G96</f>
        <v>0.56</v>
      </c>
      <c r="AO95" s="627">
        <f>PRIX!H96</f>
        <v>16.95</v>
      </c>
      <c r="AP95" s="631">
        <f>PRIX!I96</f>
        <v>0.207</v>
      </c>
      <c r="AQ95" s="628">
        <f>PRIX!J96</f>
        <v>0.0000143</v>
      </c>
      <c r="AR95" s="631">
        <f>PRIX!K96</f>
        <v>2.53</v>
      </c>
      <c r="AS95" s="631">
        <f>PRIX!L96</f>
        <v>0.55</v>
      </c>
      <c r="AT95" s="631">
        <f>PRIX!M96</f>
        <v>333</v>
      </c>
      <c r="AU95" s="629">
        <f>PRIX!N96</f>
        <v>0.0044</v>
      </c>
      <c r="AV95" s="631">
        <f>PRIX!O96</f>
        <v>4.3</v>
      </c>
      <c r="AW95" s="631">
        <f>PRIX!P96</f>
        <v>0.0023</v>
      </c>
      <c r="AX95" s="630">
        <f>PRIX!Q96</f>
        <v>0.0000137</v>
      </c>
      <c r="AY95" s="631">
        <f>PRIX!R96</f>
        <v>1.15</v>
      </c>
      <c r="AZ95" s="631">
        <f>PRIX!S96</f>
        <v>2.75</v>
      </c>
      <c r="BA95" s="623"/>
    </row>
    <row r="96">
      <c r="A96" s="621">
        <f>ARBITRAGES!E97</f>
        <v>45852</v>
      </c>
      <c r="B96" s="623" t="str">
        <f>IF(A96="","",IF(ARBITRAGES!F97="Invest","Achat","Vente"))</f>
        <v>Achat</v>
      </c>
      <c r="C96" s="623" t="str">
        <f>ARBITRAGES!H97</f>
        <v>SOL</v>
      </c>
      <c r="D96" s="624">
        <f>ARBITRAGES!I97</f>
        <v>161</v>
      </c>
      <c r="E96" s="624">
        <f>ARBITRAGES!J97</f>
        <v>286</v>
      </c>
      <c r="F96" s="623"/>
      <c r="G96" s="621">
        <f>'PV (%)'!B98</f>
        <v>45875</v>
      </c>
      <c r="H96" s="624">
        <f>'PV (%)'!E98</f>
        <v>67798.37252</v>
      </c>
      <c r="I96" s="624">
        <f>'PV (%)'!F98</f>
        <v>53223.10066</v>
      </c>
      <c r="J96" s="626">
        <f>'PV (%)'!G98</f>
        <v>56561.971</v>
      </c>
      <c r="K96" s="623"/>
      <c r="L96" s="621">
        <f>Exposition!A97</f>
        <v>45852</v>
      </c>
      <c r="M96" s="625">
        <f>Exposition!B97</f>
        <v>0.8748316162</v>
      </c>
      <c r="N96" s="625">
        <f>Exposition!C97</f>
        <v>0.4319844597</v>
      </c>
      <c r="O96" s="625">
        <f>Exposition!D97</f>
        <v>0.1768737593</v>
      </c>
      <c r="P96" s="625">
        <f>Exposition!E97</f>
        <v>0.01338764678</v>
      </c>
      <c r="Q96" s="625">
        <f>Exposition!F97</f>
        <v>0.07045726831</v>
      </c>
      <c r="R96" s="625">
        <f>Exposition!G97</f>
        <v>0.07897960097</v>
      </c>
      <c r="S96" s="625">
        <f>Exposition!H97</f>
        <v>0</v>
      </c>
      <c r="T96" s="625">
        <f>Exposition!I97</f>
        <v>0.02907455549</v>
      </c>
      <c r="U96" s="625">
        <f>Exposition!J97</f>
        <v>0.0148215119</v>
      </c>
      <c r="V96" s="625">
        <f>Exposition!K97</f>
        <v>0.00502518952</v>
      </c>
      <c r="W96" s="625">
        <f>Exposition!L97</f>
        <v>0.005510571329</v>
      </c>
      <c r="X96" s="625">
        <f>Exposition!M97</f>
        <v>0</v>
      </c>
      <c r="Y96" s="625">
        <f>Exposition!N97</f>
        <v>0.03054075038</v>
      </c>
      <c r="Z96" s="625">
        <f>Exposition!O97</f>
        <v>0</v>
      </c>
      <c r="AA96" s="625">
        <f>Exposition!P97</f>
        <v>0.01251031825</v>
      </c>
      <c r="AB96" s="625">
        <f>Exposition!Q97</f>
        <v>0.000000001140044724</v>
      </c>
      <c r="AC96" s="625">
        <f>Exposition!R97</f>
        <v>0.005665983108</v>
      </c>
      <c r="AD96" s="625">
        <f>Exposition!S97</f>
        <v>0</v>
      </c>
      <c r="AE96" s="625">
        <f>Exposition!T97</f>
        <v>0</v>
      </c>
      <c r="AF96" s="625">
        <f>Exposition!U97</f>
        <v>0.1251683838</v>
      </c>
      <c r="AG96" s="623"/>
      <c r="AH96" s="621">
        <f>PRIX!A97</f>
        <v>45852</v>
      </c>
      <c r="AI96" s="626">
        <f>PRIX!B97</f>
        <v>119500</v>
      </c>
      <c r="AJ96" s="626">
        <f>PRIX!C97</f>
        <v>3350</v>
      </c>
      <c r="AK96" s="627">
        <f>PRIX!D97</f>
        <v>3.17</v>
      </c>
      <c r="AL96" s="626">
        <f>PRIX!E97</f>
        <v>175</v>
      </c>
      <c r="AM96" s="626">
        <f>PRIX!F97</f>
        <v>450</v>
      </c>
      <c r="AN96" s="627">
        <f>PRIX!G97</f>
        <v>0.56</v>
      </c>
      <c r="AO96" s="627">
        <f>PRIX!H97</f>
        <v>16.95</v>
      </c>
      <c r="AP96" s="631">
        <f>PRIX!I97</f>
        <v>0.207</v>
      </c>
      <c r="AQ96" s="628">
        <f>PRIX!J97</f>
        <v>0.0000143</v>
      </c>
      <c r="AR96" s="631">
        <f>PRIX!K97</f>
        <v>2.53</v>
      </c>
      <c r="AS96" s="631">
        <f>PRIX!L97</f>
        <v>0.55</v>
      </c>
      <c r="AT96" s="631">
        <f>PRIX!M97</f>
        <v>333</v>
      </c>
      <c r="AU96" s="629">
        <f>PRIX!N97</f>
        <v>0.0044</v>
      </c>
      <c r="AV96" s="631">
        <f>PRIX!O97</f>
        <v>4.3</v>
      </c>
      <c r="AW96" s="631">
        <f>PRIX!P97</f>
        <v>0.0023</v>
      </c>
      <c r="AX96" s="630">
        <f>PRIX!Q97</f>
        <v>0.0000137</v>
      </c>
      <c r="AY96" s="631">
        <f>PRIX!R97</f>
        <v>1.15</v>
      </c>
      <c r="AZ96" s="631">
        <f>PRIX!S97</f>
        <v>2.75</v>
      </c>
      <c r="BA96" s="623"/>
    </row>
    <row r="97">
      <c r="A97" s="621">
        <f>ARBITRAGES!E98</f>
        <v>45852</v>
      </c>
      <c r="B97" s="623" t="str">
        <f>IF(A97="","",IF(ARBITRAGES!F98="Invest","Achat","Vente"))</f>
        <v>Achat</v>
      </c>
      <c r="C97" s="623" t="str">
        <f>ARBITRAGES!H98</f>
        <v>BTC</v>
      </c>
      <c r="D97" s="624">
        <f>ARBITRAGES!I98</f>
        <v>116700</v>
      </c>
      <c r="E97" s="624">
        <f>ARBITRAGES!J98</f>
        <v>200</v>
      </c>
      <c r="F97" s="623"/>
      <c r="G97" s="621">
        <f>'PV (%)'!B99</f>
        <v>45876</v>
      </c>
      <c r="H97" s="624">
        <f>'PV (%)'!E99</f>
        <v>70771.98535</v>
      </c>
      <c r="I97" s="624">
        <f>'PV (%)'!F99</f>
        <v>57534.55582</v>
      </c>
      <c r="J97" s="626">
        <f>'PV (%)'!G99</f>
        <v>61068.90436</v>
      </c>
      <c r="K97" s="623"/>
      <c r="L97" s="621">
        <f>Exposition!A98</f>
        <v>45853</v>
      </c>
      <c r="M97" s="625">
        <f>Exposition!B98</f>
        <v>0.8778044805</v>
      </c>
      <c r="N97" s="625">
        <f>Exposition!C98</f>
        <v>0.4395725409</v>
      </c>
      <c r="O97" s="625">
        <f>Exposition!D98</f>
        <v>0.172007175</v>
      </c>
      <c r="P97" s="625">
        <f>Exposition!E98</f>
        <v>0.01332860392</v>
      </c>
      <c r="Q97" s="625">
        <f>Exposition!F98</f>
        <v>0.06968104566</v>
      </c>
      <c r="R97" s="625">
        <f>Exposition!G98</f>
        <v>0.07933473527</v>
      </c>
      <c r="S97" s="625">
        <f>Exposition!H98</f>
        <v>0</v>
      </c>
      <c r="T97" s="625">
        <f>Exposition!I98</f>
        <v>0.02946025143</v>
      </c>
      <c r="U97" s="625">
        <f>Exposition!J98</f>
        <v>0.01450618539</v>
      </c>
      <c r="V97" s="625">
        <f>Exposition!K98</f>
        <v>0.005008670116</v>
      </c>
      <c r="W97" s="625">
        <f>Exposition!L98</f>
        <v>0.0055879773</v>
      </c>
      <c r="X97" s="625">
        <f>Exposition!M98</f>
        <v>0</v>
      </c>
      <c r="Y97" s="625">
        <f>Exposition!N98</f>
        <v>0.03081253253</v>
      </c>
      <c r="Z97" s="625">
        <f>Exposition!O98</f>
        <v>0</v>
      </c>
      <c r="AA97" s="625">
        <f>Exposition!P98</f>
        <v>0.01273638983</v>
      </c>
      <c r="AB97" s="625">
        <f>Exposition!Q98</f>
        <v>0.000000001160646255</v>
      </c>
      <c r="AC97" s="625">
        <f>Exposition!R98</f>
        <v>0.005768372009</v>
      </c>
      <c r="AD97" s="625">
        <f>Exposition!S98</f>
        <v>0</v>
      </c>
      <c r="AE97" s="625">
        <f>Exposition!T98</f>
        <v>0</v>
      </c>
      <c r="AF97" s="625">
        <f>Exposition!U98</f>
        <v>0.1221955195</v>
      </c>
      <c r="AG97" s="623"/>
      <c r="AH97" s="621">
        <f>PRIX!A98</f>
        <v>45852</v>
      </c>
      <c r="AI97" s="626">
        <f>PRIX!B98</f>
        <v>119500</v>
      </c>
      <c r="AJ97" s="626">
        <f>PRIX!C98</f>
        <v>3350</v>
      </c>
      <c r="AK97" s="627">
        <f>PRIX!D98</f>
        <v>3.17</v>
      </c>
      <c r="AL97" s="626">
        <f>PRIX!E98</f>
        <v>175</v>
      </c>
      <c r="AM97" s="626">
        <f>PRIX!F98</f>
        <v>450</v>
      </c>
      <c r="AN97" s="627">
        <f>PRIX!G98</f>
        <v>0.56</v>
      </c>
      <c r="AO97" s="627">
        <f>PRIX!H98</f>
        <v>16.95</v>
      </c>
      <c r="AP97" s="631">
        <f>PRIX!I98</f>
        <v>0.207</v>
      </c>
      <c r="AQ97" s="628">
        <f>PRIX!J98</f>
        <v>0.0000143</v>
      </c>
      <c r="AR97" s="631">
        <f>PRIX!K98</f>
        <v>2.53</v>
      </c>
      <c r="AS97" s="631">
        <f>PRIX!L98</f>
        <v>0.55</v>
      </c>
      <c r="AT97" s="631">
        <f>PRIX!M98</f>
        <v>333</v>
      </c>
      <c r="AU97" s="629">
        <f>PRIX!N98</f>
        <v>0.0044</v>
      </c>
      <c r="AV97" s="631">
        <f>PRIX!O98</f>
        <v>4.3</v>
      </c>
      <c r="AW97" s="631">
        <f>PRIX!P98</f>
        <v>0.0023</v>
      </c>
      <c r="AX97" s="630">
        <f>PRIX!Q98</f>
        <v>0.0000137</v>
      </c>
      <c r="AY97" s="631">
        <f>PRIX!R98</f>
        <v>1.15</v>
      </c>
      <c r="AZ97" s="631">
        <f>PRIX!S98</f>
        <v>2.75</v>
      </c>
      <c r="BA97" s="623"/>
    </row>
    <row r="98">
      <c r="A98" s="621">
        <f>ARBITRAGES!E99</f>
        <v>45853</v>
      </c>
      <c r="B98" s="623" t="str">
        <f>IF(A98="","",IF(ARBITRAGES!F99="Invest","Achat","Vente"))</f>
        <v>Achat</v>
      </c>
      <c r="C98" s="623" t="str">
        <f>ARBITRAGES!H99</f>
        <v>BTC</v>
      </c>
      <c r="D98" s="624">
        <f>ARBITRAGES!I99</f>
        <v>116500</v>
      </c>
      <c r="E98" s="624">
        <f>ARBITRAGES!J99</f>
        <v>300</v>
      </c>
      <c r="F98" s="623"/>
      <c r="G98" s="621">
        <f>'PV (%)'!B100</f>
        <v>45876</v>
      </c>
      <c r="H98" s="624">
        <f>'PV (%)'!E100</f>
        <v>70771.98535</v>
      </c>
      <c r="I98" s="624">
        <f>'PV (%)'!F100</f>
        <v>57534.55582</v>
      </c>
      <c r="J98" s="626">
        <f>'PV (%)'!G100</f>
        <v>60963.90436</v>
      </c>
      <c r="K98" s="623"/>
      <c r="L98" s="621">
        <f>Exposition!A99</f>
        <v>45854</v>
      </c>
      <c r="M98" s="625">
        <f>Exposition!B99</f>
        <v>0.8885867523</v>
      </c>
      <c r="N98" s="625">
        <f>Exposition!C99</f>
        <v>0.4459126714</v>
      </c>
      <c r="O98" s="625">
        <f>Exposition!D99</f>
        <v>0.1768046327</v>
      </c>
      <c r="P98" s="625">
        <f>Exposition!E99</f>
        <v>0.01338241456</v>
      </c>
      <c r="Q98" s="625">
        <f>Exposition!F99</f>
        <v>0.07042973187</v>
      </c>
      <c r="R98" s="625">
        <f>Exposition!G99</f>
        <v>0.07894873379</v>
      </c>
      <c r="S98" s="625">
        <f>Exposition!H99</f>
        <v>0</v>
      </c>
      <c r="T98" s="625">
        <f>Exposition!I99</f>
        <v>0.02906319244</v>
      </c>
      <c r="U98" s="625">
        <f>Exposition!J99</f>
        <v>0.01481571929</v>
      </c>
      <c r="V98" s="625">
        <f>Exposition!K99</f>
        <v>0.005023225551</v>
      </c>
      <c r="W98" s="625">
        <f>Exposition!L99</f>
        <v>0.005508417661</v>
      </c>
      <c r="X98" s="625">
        <f>Exposition!M99</f>
        <v>0</v>
      </c>
      <c r="Y98" s="625">
        <f>Exposition!N99</f>
        <v>0.0305288143</v>
      </c>
      <c r="Z98" s="625">
        <f>Exposition!O99</f>
        <v>0</v>
      </c>
      <c r="AA98" s="625">
        <f>Exposition!P99</f>
        <v>0.01250542891</v>
      </c>
      <c r="AB98" s="625">
        <f>Exposition!Q99</f>
        <v>0.000000001139599166</v>
      </c>
      <c r="AC98" s="625">
        <f>Exposition!R99</f>
        <v>0.005663768702</v>
      </c>
      <c r="AD98" s="625">
        <f>Exposition!S99</f>
        <v>0</v>
      </c>
      <c r="AE98" s="625">
        <f>Exposition!T99</f>
        <v>0</v>
      </c>
      <c r="AF98" s="625">
        <f>Exposition!U99</f>
        <v>0.1114132477</v>
      </c>
      <c r="AG98" s="623"/>
      <c r="AH98" s="621">
        <f>PRIX!A99</f>
        <v>45853</v>
      </c>
      <c r="AI98" s="626">
        <f>PRIX!B99</f>
        <v>118000</v>
      </c>
      <c r="AJ98" s="626">
        <f>PRIX!C99</f>
        <v>3200</v>
      </c>
      <c r="AK98" s="627">
        <f>PRIX!D99</f>
        <v>3.1</v>
      </c>
      <c r="AL98" s="626">
        <f>PRIX!E99</f>
        <v>170</v>
      </c>
      <c r="AM98" s="626">
        <f>PRIX!F99</f>
        <v>444</v>
      </c>
      <c r="AN98" s="627">
        <f>PRIX!G99</f>
        <v>0.55</v>
      </c>
      <c r="AO98" s="627">
        <f>PRIX!H99</f>
        <v>16.87</v>
      </c>
      <c r="AP98" s="631">
        <f>PRIX!I99</f>
        <v>0.199</v>
      </c>
      <c r="AQ98" s="628">
        <f>PRIX!J99</f>
        <v>0.000014</v>
      </c>
      <c r="AR98" s="631">
        <f>PRIX!K99</f>
        <v>2.52</v>
      </c>
      <c r="AS98" s="631">
        <f>PRIX!L99</f>
        <v>0.54</v>
      </c>
      <c r="AT98" s="631">
        <f>PRIX!M99</f>
        <v>330</v>
      </c>
      <c r="AU98" s="629">
        <f>PRIX!N99</f>
        <v>0.0045</v>
      </c>
      <c r="AV98" s="631">
        <f>PRIX!O99</f>
        <v>4.3</v>
      </c>
      <c r="AW98" s="631">
        <f>PRIX!P99</f>
        <v>0.0023</v>
      </c>
      <c r="AX98" s="630">
        <f>PRIX!Q99</f>
        <v>0.0000137</v>
      </c>
      <c r="AY98" s="631">
        <f>PRIX!R99</f>
        <v>1.08</v>
      </c>
      <c r="AZ98" s="631">
        <f>PRIX!S99</f>
        <v>2.68</v>
      </c>
      <c r="BA98" s="623"/>
    </row>
    <row r="99">
      <c r="A99" s="621">
        <f>ARBITRAGES!E100</f>
        <v>45854</v>
      </c>
      <c r="B99" s="623" t="str">
        <f>IF(A99="","",IF(ARBITRAGES!F100="Invest","Achat","Vente"))</f>
        <v>Achat</v>
      </c>
      <c r="C99" s="623" t="str">
        <f>ARBITRAGES!H100</f>
        <v>BTC</v>
      </c>
      <c r="D99" s="624">
        <f>ARBITRAGES!I100</f>
        <v>116000</v>
      </c>
      <c r="E99" s="624">
        <f>ARBITRAGES!J100</f>
        <v>500</v>
      </c>
      <c r="F99" s="623"/>
      <c r="G99" s="621">
        <f>'PV (%)'!B101</f>
        <v>45877</v>
      </c>
      <c r="H99" s="624">
        <f>'PV (%)'!E101</f>
        <v>70771.98535</v>
      </c>
      <c r="I99" s="624">
        <f>'PV (%)'!F101</f>
        <v>57534.55582</v>
      </c>
      <c r="J99" s="626">
        <f>'PV (%)'!G101</f>
        <v>60888.90436</v>
      </c>
      <c r="K99" s="623"/>
      <c r="L99" s="621">
        <f>Exposition!A100</f>
        <v>45856</v>
      </c>
      <c r="M99" s="625">
        <f>Exposition!B100</f>
        <v>0.8867486651</v>
      </c>
      <c r="N99" s="625">
        <f>Exposition!C100</f>
        <v>0.4456204068</v>
      </c>
      <c r="O99" s="625">
        <f>Exposition!D100</f>
        <v>0.1804993813</v>
      </c>
      <c r="P99" s="625">
        <f>Exposition!E100</f>
        <v>0.01281032779</v>
      </c>
      <c r="Q99" s="625">
        <f>Exposition!F100</f>
        <v>0.06894128384</v>
      </c>
      <c r="R99" s="625">
        <f>Exposition!G100</f>
        <v>0.07384556923</v>
      </c>
      <c r="S99" s="625">
        <f>Exposition!H100</f>
        <v>0</v>
      </c>
      <c r="T99" s="625">
        <f>Exposition!I100</f>
        <v>0.02953994038</v>
      </c>
      <c r="U99" s="625">
        <f>Exposition!J100</f>
        <v>0.0171649211</v>
      </c>
      <c r="V99" s="625">
        <f>Exposition!K100</f>
        <v>0.005329686593</v>
      </c>
      <c r="W99" s="625">
        <f>Exposition!L100</f>
        <v>0.005498565193</v>
      </c>
      <c r="X99" s="625">
        <f>Exposition!M100</f>
        <v>0</v>
      </c>
      <c r="Y99" s="625">
        <f>Exposition!N100</f>
        <v>0.0287169964</v>
      </c>
      <c r="Z99" s="625">
        <f>Exposition!O100</f>
        <v>0</v>
      </c>
      <c r="AA99" s="625">
        <f>Exposition!P100</f>
        <v>0.01323751365</v>
      </c>
      <c r="AB99" s="625">
        <f>Exposition!Q100</f>
        <v>0.000000001115515103</v>
      </c>
      <c r="AC99" s="625">
        <f>Exposition!R100</f>
        <v>0.005544071734</v>
      </c>
      <c r="AD99" s="625">
        <f>Exposition!S100</f>
        <v>0</v>
      </c>
      <c r="AE99" s="625">
        <f>Exposition!T100</f>
        <v>0</v>
      </c>
      <c r="AF99" s="625">
        <f>Exposition!U100</f>
        <v>0.1132513349</v>
      </c>
      <c r="AG99" s="623"/>
      <c r="AH99" s="621">
        <f>PRIX!A100</f>
        <v>45854</v>
      </c>
      <c r="AI99" s="626">
        <f>PRIX!B100</f>
        <v>119500</v>
      </c>
      <c r="AJ99" s="626">
        <f>PRIX!C100</f>
        <v>3350</v>
      </c>
      <c r="AK99" s="627">
        <f>PRIX!D100</f>
        <v>3.17</v>
      </c>
      <c r="AL99" s="626">
        <f>PRIX!E100</f>
        <v>175</v>
      </c>
      <c r="AM99" s="626">
        <f>PRIX!F100</f>
        <v>450</v>
      </c>
      <c r="AN99" s="627">
        <f>PRIX!G100</f>
        <v>0.56</v>
      </c>
      <c r="AO99" s="627">
        <f>PRIX!H100</f>
        <v>16.95</v>
      </c>
      <c r="AP99" s="631">
        <f>PRIX!I100</f>
        <v>0.207</v>
      </c>
      <c r="AQ99" s="628">
        <f>PRIX!J100</f>
        <v>0.0000143</v>
      </c>
      <c r="AR99" s="631">
        <f>PRIX!K100</f>
        <v>2.53</v>
      </c>
      <c r="AS99" s="631">
        <f>PRIX!L100</f>
        <v>0.55</v>
      </c>
      <c r="AT99" s="631">
        <f>PRIX!M100</f>
        <v>333</v>
      </c>
      <c r="AU99" s="629">
        <f>PRIX!N100</f>
        <v>0.0044</v>
      </c>
      <c r="AV99" s="631">
        <f>PRIX!O100</f>
        <v>4.3</v>
      </c>
      <c r="AW99" s="631">
        <f>PRIX!P100</f>
        <v>0.0023</v>
      </c>
      <c r="AX99" s="630">
        <f>PRIX!Q100</f>
        <v>0.0000137</v>
      </c>
      <c r="AY99" s="631">
        <f>PRIX!R100</f>
        <v>1.15</v>
      </c>
      <c r="AZ99" s="631">
        <f>PRIX!S100</f>
        <v>2.75</v>
      </c>
      <c r="BA99" s="623"/>
    </row>
    <row r="100">
      <c r="A100" s="621">
        <f>ARBITRAGES!E101</f>
        <v>45856</v>
      </c>
      <c r="B100" s="623" t="str">
        <f>IF(A100="","",IF(ARBITRAGES!F101="Invest","Achat","Vente"))</f>
        <v>Vente</v>
      </c>
      <c r="C100" s="623" t="str">
        <f>ARBITRAGES!H101</f>
        <v>ETH</v>
      </c>
      <c r="D100" s="624">
        <f>ARBITRAGES!I101</f>
        <v>3575</v>
      </c>
      <c r="E100" s="624">
        <f>ARBITRAGES!J101</f>
        <v>250.0000003</v>
      </c>
      <c r="F100" s="623"/>
      <c r="G100" s="621">
        <f>'PV (%)'!B102</f>
        <v>45877</v>
      </c>
      <c r="H100" s="624">
        <f>'PV (%)'!E102</f>
        <v>70771.98535</v>
      </c>
      <c r="I100" s="624">
        <f>'PV (%)'!F102</f>
        <v>57534.55582</v>
      </c>
      <c r="J100" s="626">
        <f>'PV (%)'!G102</f>
        <v>60873.85424</v>
      </c>
      <c r="K100" s="623"/>
      <c r="L100" s="621">
        <f>Exposition!A101</f>
        <v>45856</v>
      </c>
      <c r="M100" s="625">
        <f>Exposition!B101</f>
        <v>0.8828812211</v>
      </c>
      <c r="N100" s="625">
        <f>Exposition!C101</f>
        <v>0.4443863843</v>
      </c>
      <c r="O100" s="625">
        <f>Exposition!D101</f>
        <v>0.1785876995</v>
      </c>
      <c r="P100" s="625">
        <f>Exposition!E101</f>
        <v>0.01277485313</v>
      </c>
      <c r="Q100" s="625">
        <f>Exposition!F101</f>
        <v>0.06875037001</v>
      </c>
      <c r="R100" s="625">
        <f>Exposition!G101</f>
        <v>0.07364107433</v>
      </c>
      <c r="S100" s="625">
        <f>Exposition!H101</f>
        <v>0</v>
      </c>
      <c r="T100" s="625">
        <f>Exposition!I101</f>
        <v>0.02945813768</v>
      </c>
      <c r="U100" s="625">
        <f>Exposition!J101</f>
        <v>0.0171173876</v>
      </c>
      <c r="V100" s="625">
        <f>Exposition!K101</f>
        <v>0.005314927499</v>
      </c>
      <c r="W100" s="625">
        <f>Exposition!L101</f>
        <v>0.005483338436</v>
      </c>
      <c r="X100" s="625">
        <f>Exposition!M101</f>
        <v>0</v>
      </c>
      <c r="Y100" s="625">
        <f>Exposition!N101</f>
        <v>0.02863747261</v>
      </c>
      <c r="Z100" s="625">
        <f>Exposition!O101</f>
        <v>0</v>
      </c>
      <c r="AA100" s="625">
        <f>Exposition!P101</f>
        <v>0.01320085601</v>
      </c>
      <c r="AB100" s="625">
        <f>Exposition!Q101</f>
        <v>0.000000001112425992</v>
      </c>
      <c r="AC100" s="625">
        <f>Exposition!R101</f>
        <v>0.005528718959</v>
      </c>
      <c r="AD100" s="625">
        <f>Exposition!S101</f>
        <v>0</v>
      </c>
      <c r="AE100" s="625">
        <f>Exposition!T101</f>
        <v>0</v>
      </c>
      <c r="AF100" s="625">
        <f>Exposition!U101</f>
        <v>0.1171187789</v>
      </c>
      <c r="AG100" s="623"/>
      <c r="AH100" s="621">
        <f>PRIX!A101</f>
        <v>45856</v>
      </c>
      <c r="AI100" s="626">
        <f>PRIX!B101</f>
        <v>122000</v>
      </c>
      <c r="AJ100" s="624">
        <f>PRIX!C101</f>
        <v>3575</v>
      </c>
      <c r="AK100" s="627">
        <f>PRIX!D101</f>
        <v>3.1</v>
      </c>
      <c r="AL100" s="626">
        <f>PRIX!E101</f>
        <v>175</v>
      </c>
      <c r="AM100" s="626">
        <f>PRIX!F101</f>
        <v>430</v>
      </c>
      <c r="AN100" s="627">
        <f>PRIX!G101</f>
        <v>0.58</v>
      </c>
      <c r="AO100" s="627">
        <f>PRIX!H101</f>
        <v>17.6</v>
      </c>
      <c r="AP100" s="631">
        <f>PRIX!I101</f>
        <v>0.245</v>
      </c>
      <c r="AQ100" s="631">
        <f>PRIX!J101</f>
        <v>0.0000155</v>
      </c>
      <c r="AR100" s="631">
        <f>PRIX!K101</f>
        <v>2.58</v>
      </c>
      <c r="AS100" s="631">
        <f>PRIX!L101</f>
        <v>0.55</v>
      </c>
      <c r="AT100" s="631">
        <f>PRIX!M101</f>
        <v>320</v>
      </c>
      <c r="AU100" s="629">
        <f>PRIX!N101</f>
        <v>0.0058</v>
      </c>
      <c r="AV100" s="631">
        <f>PRIX!O101</f>
        <v>4.65</v>
      </c>
      <c r="AW100" s="631">
        <f>PRIX!P101</f>
        <v>0.0023</v>
      </c>
      <c r="AX100" s="630">
        <f>PRIX!Q101</f>
        <v>0.0000137</v>
      </c>
      <c r="AY100" s="631">
        <f>PRIX!R101</f>
        <v>1.2</v>
      </c>
      <c r="AZ100" s="631">
        <f>PRIX!S101</f>
        <v>2.8</v>
      </c>
      <c r="BA100" s="623"/>
    </row>
    <row r="101">
      <c r="A101" s="621">
        <f>ARBITRAGES!E102</f>
        <v>45856</v>
      </c>
      <c r="B101" s="623" t="str">
        <f>IF(A101="","",IF(ARBITRAGES!F102="Invest","Achat","Vente"))</f>
        <v>Vente</v>
      </c>
      <c r="C101" s="623" t="str">
        <f>ARBITRAGES!H102</f>
        <v>ETH</v>
      </c>
      <c r="D101" s="624">
        <f>ARBITRAGES!I102</f>
        <v>3630</v>
      </c>
      <c r="E101" s="624">
        <f>ARBITRAGES!J102</f>
        <v>250.0000003</v>
      </c>
      <c r="F101" s="623"/>
      <c r="G101" s="621">
        <f>'PV (%)'!B103</f>
        <v>45878</v>
      </c>
      <c r="H101" s="624">
        <f>'PV (%)'!E103</f>
        <v>70771.98535</v>
      </c>
      <c r="I101" s="624">
        <f>'PV (%)'!F103</f>
        <v>57534.55582</v>
      </c>
      <c r="J101" s="626">
        <f>'PV (%)'!G103</f>
        <v>60858.85417</v>
      </c>
      <c r="K101" s="623"/>
      <c r="L101" s="621">
        <f>Exposition!A102</f>
        <v>45857</v>
      </c>
      <c r="M101" s="625">
        <f>Exposition!B102</f>
        <v>0.8785680764</v>
      </c>
      <c r="N101" s="625">
        <f>Exposition!C102</f>
        <v>0.4358936561</v>
      </c>
      <c r="O101" s="625">
        <f>Exposition!D102</f>
        <v>0.1761559195</v>
      </c>
      <c r="P101" s="625">
        <f>Exposition!E102</f>
        <v>0.0131505098</v>
      </c>
      <c r="Q101" s="625">
        <f>Exposition!F102</f>
        <v>0.07051928257</v>
      </c>
      <c r="R101" s="625">
        <f>Exposition!G102</f>
        <v>0.07514545626</v>
      </c>
      <c r="S101" s="625">
        <f>Exposition!H102</f>
        <v>0</v>
      </c>
      <c r="T101" s="625">
        <f>Exposition!I102</f>
        <v>0.03004439852</v>
      </c>
      <c r="U101" s="625">
        <f>Exposition!J102</f>
        <v>0.01741846171</v>
      </c>
      <c r="V101" s="625">
        <f>Exposition!K102</f>
        <v>0.005300242422</v>
      </c>
      <c r="W101" s="625">
        <f>Exposition!L102</f>
        <v>0.005616549733</v>
      </c>
      <c r="X101" s="625">
        <f>Exposition!M102</f>
        <v>0</v>
      </c>
      <c r="Y101" s="625">
        <f>Exposition!N102</f>
        <v>0.03034324437</v>
      </c>
      <c r="Z101" s="625">
        <f>Exposition!O102</f>
        <v>0</v>
      </c>
      <c r="AA101" s="625">
        <f>Exposition!P102</f>
        <v>0.01330593471</v>
      </c>
      <c r="AB101" s="625">
        <f>Exposition!Q102</f>
        <v>0.000000001109352373</v>
      </c>
      <c r="AC101" s="625">
        <f>Exposition!R102</f>
        <v>0.005674419622</v>
      </c>
      <c r="AD101" s="625">
        <f>Exposition!S102</f>
        <v>0</v>
      </c>
      <c r="AE101" s="625">
        <f>Exposition!T102</f>
        <v>0</v>
      </c>
      <c r="AF101" s="625">
        <f>Exposition!U102</f>
        <v>0.1214319236</v>
      </c>
      <c r="AG101" s="623"/>
      <c r="AH101" s="621">
        <f>PRIX!A102</f>
        <v>45856</v>
      </c>
      <c r="AI101" s="626">
        <f>PRIX!B102</f>
        <v>122000</v>
      </c>
      <c r="AJ101" s="624">
        <f>PRIX!C102</f>
        <v>3630</v>
      </c>
      <c r="AK101" s="627">
        <f>PRIX!D102</f>
        <v>3.1</v>
      </c>
      <c r="AL101" s="626">
        <f>PRIX!E102</f>
        <v>175</v>
      </c>
      <c r="AM101" s="626">
        <f>PRIX!F102</f>
        <v>430</v>
      </c>
      <c r="AN101" s="627">
        <f>PRIX!G102</f>
        <v>0.58</v>
      </c>
      <c r="AO101" s="627">
        <f>PRIX!H102</f>
        <v>17.6</v>
      </c>
      <c r="AP101" s="631">
        <f>PRIX!I102</f>
        <v>0.245</v>
      </c>
      <c r="AQ101" s="631">
        <f>PRIX!J102</f>
        <v>0.0000155</v>
      </c>
      <c r="AR101" s="631">
        <f>PRIX!K102</f>
        <v>2.58</v>
      </c>
      <c r="AS101" s="631">
        <f>PRIX!L102</f>
        <v>0.55</v>
      </c>
      <c r="AT101" s="631">
        <f>PRIX!M102</f>
        <v>320</v>
      </c>
      <c r="AU101" s="629">
        <f>PRIX!N102</f>
        <v>0.0058</v>
      </c>
      <c r="AV101" s="631">
        <f>PRIX!O102</f>
        <v>4.65</v>
      </c>
      <c r="AW101" s="631">
        <f>PRIX!P102</f>
        <v>0.0023</v>
      </c>
      <c r="AX101" s="630">
        <f>PRIX!Q102</f>
        <v>0.0000137</v>
      </c>
      <c r="AY101" s="631">
        <f>PRIX!R102</f>
        <v>1.2</v>
      </c>
      <c r="AZ101" s="631">
        <f>PRIX!S102</f>
        <v>2.8</v>
      </c>
      <c r="BA101" s="623"/>
    </row>
    <row r="102">
      <c r="A102" s="621">
        <f>ARBITRAGES!E103</f>
        <v>45857</v>
      </c>
      <c r="B102" s="623" t="str">
        <f>IF(A102="","",IF(ARBITRAGES!F103="Invest","Achat","Vente"))</f>
        <v>Vente</v>
      </c>
      <c r="C102" s="623" t="str">
        <f>ARBITRAGES!H103</f>
        <v>ETH</v>
      </c>
      <c r="D102" s="624">
        <f>ARBITRAGES!I103</f>
        <v>3685</v>
      </c>
      <c r="E102" s="624">
        <f>ARBITRAGES!J103</f>
        <v>278.014825</v>
      </c>
      <c r="F102" s="623"/>
      <c r="G102" s="621">
        <f>'PV (%)'!B104</f>
        <v>45879</v>
      </c>
      <c r="H102" s="624">
        <f>'PV (%)'!E104</f>
        <v>70771.98535</v>
      </c>
      <c r="I102" s="624">
        <f>'PV (%)'!F104</f>
        <v>57534.55582</v>
      </c>
      <c r="J102" s="626">
        <f>'PV (%)'!G104</f>
        <v>60857.35417</v>
      </c>
      <c r="K102" s="623"/>
      <c r="L102" s="621">
        <f>Exposition!A103</f>
        <v>45858</v>
      </c>
      <c r="M102" s="625">
        <f>Exposition!B103</f>
        <v>0.8737219246</v>
      </c>
      <c r="N102" s="625">
        <f>Exposition!C103</f>
        <v>0.4355813214</v>
      </c>
      <c r="O102" s="625">
        <f>Exposition!D103</f>
        <v>0.1718130732</v>
      </c>
      <c r="P102" s="625">
        <f>Exposition!E103</f>
        <v>0.01314108695</v>
      </c>
      <c r="Q102" s="625">
        <f>Exposition!F103</f>
        <v>0.07046875277</v>
      </c>
      <c r="R102" s="625">
        <f>Exposition!G103</f>
        <v>0.07509161162</v>
      </c>
      <c r="S102" s="625">
        <f>Exposition!H103</f>
        <v>0</v>
      </c>
      <c r="T102" s="625">
        <f>Exposition!I103</f>
        <v>0.03002287055</v>
      </c>
      <c r="U102" s="625">
        <f>Exposition!J103</f>
        <v>0.0174059807</v>
      </c>
      <c r="V102" s="625">
        <f>Exposition!K103</f>
        <v>0.005296444593</v>
      </c>
      <c r="W102" s="625">
        <f>Exposition!L103</f>
        <v>0.005612525257</v>
      </c>
      <c r="X102" s="625">
        <f>Exposition!M103</f>
        <v>0</v>
      </c>
      <c r="Y102" s="625">
        <f>Exposition!N103</f>
        <v>0.03032150225</v>
      </c>
      <c r="Z102" s="625">
        <f>Exposition!O103</f>
        <v>0</v>
      </c>
      <c r="AA102" s="625">
        <f>Exposition!P103</f>
        <v>0.01329640049</v>
      </c>
      <c r="AB102" s="625">
        <f>Exposition!Q103</f>
        <v>0.000000001108557479</v>
      </c>
      <c r="AC102" s="625">
        <f>Exposition!R103</f>
        <v>0.005670353681</v>
      </c>
      <c r="AD102" s="625">
        <f>Exposition!S103</f>
        <v>0</v>
      </c>
      <c r="AE102" s="625">
        <f>Exposition!T103</f>
        <v>0</v>
      </c>
      <c r="AF102" s="625">
        <f>Exposition!U103</f>
        <v>0.1262780754</v>
      </c>
      <c r="AG102" s="623"/>
      <c r="AH102" s="621">
        <f>PRIX!A103</f>
        <v>45857</v>
      </c>
      <c r="AI102" s="631">
        <f>PRIX!B103</f>
        <v>120000</v>
      </c>
      <c r="AJ102" s="624">
        <f>PRIX!C103</f>
        <v>3685</v>
      </c>
      <c r="AK102" s="631">
        <f>PRIX!D103</f>
        <v>3.2</v>
      </c>
      <c r="AL102" s="631">
        <f>PRIX!E103</f>
        <v>180</v>
      </c>
      <c r="AM102" s="631">
        <f>PRIX!F103</f>
        <v>440</v>
      </c>
      <c r="AN102" s="631">
        <f>PRIX!G103</f>
        <v>0.6</v>
      </c>
      <c r="AO102" s="631">
        <f>PRIX!H103</f>
        <v>18</v>
      </c>
      <c r="AP102" s="631">
        <f>PRIX!I103</f>
        <v>0.25</v>
      </c>
      <c r="AQ102" s="631">
        <f>PRIX!J103</f>
        <v>0.0000155</v>
      </c>
      <c r="AR102" s="631">
        <f>PRIX!K103</f>
        <v>2.65</v>
      </c>
      <c r="AS102" s="631">
        <f>PRIX!L103</f>
        <v>0.565</v>
      </c>
      <c r="AT102" s="631">
        <f>PRIX!M103</f>
        <v>340</v>
      </c>
      <c r="AU102" s="631">
        <f>PRIX!N103</f>
        <v>0.0062</v>
      </c>
      <c r="AV102" s="631">
        <f>PRIX!O103</f>
        <v>4.7</v>
      </c>
      <c r="AW102" s="631">
        <f>PRIX!P103</f>
        <v>0.0023</v>
      </c>
      <c r="AX102" s="631">
        <f>PRIX!Q103</f>
        <v>0.0000141</v>
      </c>
      <c r="AY102" s="631">
        <f>PRIX!R103</f>
        <v>1.25</v>
      </c>
      <c r="AZ102" s="631">
        <f>PRIX!S103</f>
        <v>2.8</v>
      </c>
      <c r="BA102" s="623"/>
    </row>
    <row r="103">
      <c r="A103" s="621">
        <f>ARBITRAGES!E104</f>
        <v>45858</v>
      </c>
      <c r="B103" s="623" t="str">
        <f>IF(A103="","",IF(ARBITRAGES!F104="Invest","Achat","Vente"))</f>
        <v>Vente</v>
      </c>
      <c r="C103" s="623" t="str">
        <f>ARBITRAGES!H104</f>
        <v>ETH</v>
      </c>
      <c r="D103" s="624">
        <f>ARBITRAGES!I104</f>
        <v>3700</v>
      </c>
      <c r="E103" s="624">
        <f>ARBITRAGES!J104</f>
        <v>296</v>
      </c>
      <c r="F103" s="623"/>
      <c r="G103" s="621">
        <f>'PV (%)'!B105</f>
        <v>45880</v>
      </c>
      <c r="H103" s="624">
        <f>'PV (%)'!E105</f>
        <v>72556.15305</v>
      </c>
      <c r="I103" s="624">
        <f>'PV (%)'!F105</f>
        <v>58871.53347</v>
      </c>
      <c r="J103" s="626">
        <f>'PV (%)'!G105</f>
        <v>61863.37888</v>
      </c>
      <c r="K103" s="623"/>
      <c r="L103" s="621">
        <f>Exposition!A104</f>
        <v>45858</v>
      </c>
      <c r="M103" s="625">
        <f>Exposition!B104</f>
        <v>0.8695612716</v>
      </c>
      <c r="N103" s="625">
        <f>Exposition!C104</f>
        <v>0.4355667304</v>
      </c>
      <c r="O103" s="625">
        <f>Exposition!D104</f>
        <v>0.1676759326</v>
      </c>
      <c r="P103" s="625">
        <f>Exposition!E104</f>
        <v>0.01314064676</v>
      </c>
      <c r="Q103" s="625">
        <f>Exposition!F104</f>
        <v>0.07046639223</v>
      </c>
      <c r="R103" s="625">
        <f>Exposition!G104</f>
        <v>0.07508909623</v>
      </c>
      <c r="S103" s="625">
        <f>Exposition!H104</f>
        <v>0</v>
      </c>
      <c r="T103" s="625">
        <f>Exposition!I104</f>
        <v>0.03002186485</v>
      </c>
      <c r="U103" s="625">
        <f>Exposition!J104</f>
        <v>0.01740539764</v>
      </c>
      <c r="V103" s="625">
        <f>Exposition!K104</f>
        <v>0.005296267174</v>
      </c>
      <c r="W103" s="625">
        <f>Exposition!L104</f>
        <v>0.00561233725</v>
      </c>
      <c r="X103" s="625">
        <f>Exposition!M104</f>
        <v>0</v>
      </c>
      <c r="Y103" s="625">
        <f>Exposition!N104</f>
        <v>0.03032048655</v>
      </c>
      <c r="Z103" s="625">
        <f>Exposition!O104</f>
        <v>0</v>
      </c>
      <c r="AA103" s="625">
        <f>Exposition!P104</f>
        <v>0.01329595509</v>
      </c>
      <c r="AB103" s="625">
        <f>Exposition!Q104</f>
        <v>0.000000001108520345</v>
      </c>
      <c r="AC103" s="625">
        <f>Exposition!R104</f>
        <v>0.005670163737</v>
      </c>
      <c r="AD103" s="625">
        <f>Exposition!S104</f>
        <v>0</v>
      </c>
      <c r="AE103" s="625">
        <f>Exposition!T104</f>
        <v>0</v>
      </c>
      <c r="AF103" s="625">
        <f>Exposition!U104</f>
        <v>0.1304387284</v>
      </c>
      <c r="AG103" s="623"/>
      <c r="AH103" s="621">
        <f>PRIX!A104</f>
        <v>45858</v>
      </c>
      <c r="AI103" s="631">
        <f>PRIX!B104</f>
        <v>120000</v>
      </c>
      <c r="AJ103" s="624">
        <f>PRIX!C104</f>
        <v>3700</v>
      </c>
      <c r="AK103" s="631">
        <f>PRIX!D104</f>
        <v>3.2</v>
      </c>
      <c r="AL103" s="631">
        <f>PRIX!E104</f>
        <v>180</v>
      </c>
      <c r="AM103" s="631">
        <f>PRIX!F104</f>
        <v>440</v>
      </c>
      <c r="AN103" s="631">
        <f>PRIX!G104</f>
        <v>0.6</v>
      </c>
      <c r="AO103" s="631">
        <f>PRIX!H104</f>
        <v>18</v>
      </c>
      <c r="AP103" s="631">
        <f>PRIX!I104</f>
        <v>0.25</v>
      </c>
      <c r="AQ103" s="631">
        <f>PRIX!J104</f>
        <v>0.0000155</v>
      </c>
      <c r="AR103" s="631">
        <f>PRIX!K104</f>
        <v>2.65</v>
      </c>
      <c r="AS103" s="631">
        <f>PRIX!L104</f>
        <v>0.565</v>
      </c>
      <c r="AT103" s="631">
        <f>PRIX!M104</f>
        <v>340</v>
      </c>
      <c r="AU103" s="631">
        <f>PRIX!N104</f>
        <v>0.0062</v>
      </c>
      <c r="AV103" s="631">
        <f>PRIX!O104</f>
        <v>4.7</v>
      </c>
      <c r="AW103" s="631">
        <f>PRIX!P104</f>
        <v>0.0023</v>
      </c>
      <c r="AX103" s="631">
        <f>PRIX!Q104</f>
        <v>0.0000141</v>
      </c>
      <c r="AY103" s="631">
        <f>PRIX!R104</f>
        <v>1.25</v>
      </c>
      <c r="AZ103" s="631">
        <f>PRIX!S104</f>
        <v>2.8</v>
      </c>
      <c r="BA103" s="623"/>
    </row>
    <row r="104">
      <c r="A104" s="621">
        <f>ARBITRAGES!E105</f>
        <v>45858</v>
      </c>
      <c r="B104" s="623" t="str">
        <f>IF(A104="","",IF(ARBITRAGES!F105="Invest","Achat","Vente"))</f>
        <v>Vente</v>
      </c>
      <c r="C104" s="623" t="str">
        <f>ARBITRAGES!H105</f>
        <v>ETH</v>
      </c>
      <c r="D104" s="624">
        <f>ARBITRAGES!I105</f>
        <v>3730</v>
      </c>
      <c r="E104" s="624">
        <f>ARBITRAGES!J105</f>
        <v>249.91</v>
      </c>
      <c r="F104" s="623"/>
      <c r="G104" s="621">
        <f>'PV (%)'!B106</f>
        <v>45880</v>
      </c>
      <c r="H104" s="624">
        <f>'PV (%)'!E106</f>
        <v>72556.15305</v>
      </c>
      <c r="I104" s="624">
        <f>'PV (%)'!F106</f>
        <v>58871.53347</v>
      </c>
      <c r="J104" s="626">
        <f>'PV (%)'!G106</f>
        <v>61866.37888</v>
      </c>
      <c r="K104" s="623"/>
      <c r="L104" s="621">
        <f>Exposition!A105</f>
        <v>45858</v>
      </c>
      <c r="M104" s="625">
        <f>Exposition!B105</f>
        <v>0.8633230863</v>
      </c>
      <c r="N104" s="625">
        <f>Exposition!C105</f>
        <v>0.4355304387</v>
      </c>
      <c r="O104" s="625">
        <f>Exposition!D105</f>
        <v>0.1614962289</v>
      </c>
      <c r="P104" s="625">
        <f>Exposition!E105</f>
        <v>0.01313955187</v>
      </c>
      <c r="Q104" s="625">
        <f>Exposition!F105</f>
        <v>0.07046052092</v>
      </c>
      <c r="R104" s="625">
        <f>Exposition!G105</f>
        <v>0.07508283975</v>
      </c>
      <c r="S104" s="625">
        <f>Exposition!H105</f>
        <v>0</v>
      </c>
      <c r="T104" s="625">
        <f>Exposition!I105</f>
        <v>0.03001936341</v>
      </c>
      <c r="U104" s="625">
        <f>Exposition!J105</f>
        <v>0.01740394741</v>
      </c>
      <c r="V104" s="625">
        <f>Exposition!K105</f>
        <v>0.005295825885</v>
      </c>
      <c r="W104" s="625">
        <f>Exposition!L105</f>
        <v>0.005611869626</v>
      </c>
      <c r="X104" s="625">
        <f>Exposition!M105</f>
        <v>0</v>
      </c>
      <c r="Y104" s="625">
        <f>Exposition!N105</f>
        <v>0.03031796023</v>
      </c>
      <c r="Z104" s="625">
        <f>Exposition!O105</f>
        <v>0</v>
      </c>
      <c r="AA104" s="625">
        <f>Exposition!P105</f>
        <v>0.01329484726</v>
      </c>
      <c r="AB104" s="625">
        <f>Exposition!Q105</f>
        <v>0.000000001108427982</v>
      </c>
      <c r="AC104" s="625">
        <f>Exposition!R105</f>
        <v>0.005669691295</v>
      </c>
      <c r="AD104" s="625">
        <f>Exposition!S105</f>
        <v>0</v>
      </c>
      <c r="AE104" s="625">
        <f>Exposition!T105</f>
        <v>0</v>
      </c>
      <c r="AF104" s="625">
        <f>Exposition!U105</f>
        <v>0.1366769137</v>
      </c>
      <c r="AG104" s="623"/>
      <c r="AH104" s="621">
        <f>PRIX!A105</f>
        <v>45858</v>
      </c>
      <c r="AI104" s="631">
        <f>PRIX!B105</f>
        <v>120000</v>
      </c>
      <c r="AJ104" s="624">
        <f>PRIX!C105</f>
        <v>3700</v>
      </c>
      <c r="AK104" s="631">
        <f>PRIX!D105</f>
        <v>3.2</v>
      </c>
      <c r="AL104" s="631">
        <f>PRIX!E105</f>
        <v>180</v>
      </c>
      <c r="AM104" s="631">
        <f>PRIX!F105</f>
        <v>440</v>
      </c>
      <c r="AN104" s="631">
        <f>PRIX!G105</f>
        <v>0.6</v>
      </c>
      <c r="AO104" s="631">
        <f>PRIX!H105</f>
        <v>18</v>
      </c>
      <c r="AP104" s="631">
        <f>PRIX!I105</f>
        <v>0.25</v>
      </c>
      <c r="AQ104" s="631">
        <f>PRIX!J105</f>
        <v>0.0000155</v>
      </c>
      <c r="AR104" s="631">
        <f>PRIX!K105</f>
        <v>2.65</v>
      </c>
      <c r="AS104" s="631">
        <f>PRIX!L105</f>
        <v>0.565</v>
      </c>
      <c r="AT104" s="631">
        <f>PRIX!M105</f>
        <v>340</v>
      </c>
      <c r="AU104" s="631">
        <f>PRIX!N105</f>
        <v>0.0062</v>
      </c>
      <c r="AV104" s="631">
        <f>PRIX!O105</f>
        <v>4.7</v>
      </c>
      <c r="AW104" s="631">
        <f>PRIX!P105</f>
        <v>0.0023</v>
      </c>
      <c r="AX104" s="631">
        <f>PRIX!Q105</f>
        <v>0.0000141</v>
      </c>
      <c r="AY104" s="631">
        <f>PRIX!R105</f>
        <v>1.25</v>
      </c>
      <c r="AZ104" s="631">
        <f>PRIX!S105</f>
        <v>2.8</v>
      </c>
      <c r="BA104" s="623"/>
    </row>
    <row r="105">
      <c r="A105" s="621">
        <f>ARBITRAGES!E106</f>
        <v>45858</v>
      </c>
      <c r="B105" s="623" t="str">
        <f>IF(A105="","",IF(ARBITRAGES!F106="Invest","Achat","Vente"))</f>
        <v>Vente</v>
      </c>
      <c r="C105" s="623" t="str">
        <f>ARBITRAGES!H106</f>
        <v>ETH</v>
      </c>
      <c r="D105" s="624">
        <f>ARBITRAGES!I106</f>
        <v>3750</v>
      </c>
      <c r="E105" s="624">
        <f>ARBITRAGES!J106</f>
        <v>375</v>
      </c>
      <c r="F105" s="623"/>
      <c r="G105" s="621">
        <f>'PV (%)'!B107</f>
        <v>45880</v>
      </c>
      <c r="H105" s="624">
        <f>'PV (%)'!E107</f>
        <v>72556.15305</v>
      </c>
      <c r="I105" s="624">
        <f>'PV (%)'!F107</f>
        <v>58871.53347</v>
      </c>
      <c r="J105" s="626">
        <f>'PV (%)'!G107</f>
        <v>61878.88034</v>
      </c>
      <c r="K105" s="623"/>
      <c r="L105" s="621">
        <f>Exposition!A106</f>
        <v>45858</v>
      </c>
      <c r="M105" s="625">
        <f>Exposition!B106</f>
        <v>0.8605471634</v>
      </c>
      <c r="N105" s="625">
        <f>Exposition!C106</f>
        <v>0.4355047772</v>
      </c>
      <c r="O105" s="625">
        <f>Exposition!D106</f>
        <v>0.1587616577</v>
      </c>
      <c r="P105" s="625">
        <f>Exposition!E106</f>
        <v>0.01313877768</v>
      </c>
      <c r="Q105" s="625">
        <f>Exposition!F106</f>
        <v>0.07045636938</v>
      </c>
      <c r="R105" s="625">
        <f>Exposition!G106</f>
        <v>0.07507841586</v>
      </c>
      <c r="S105" s="625">
        <f>Exposition!H106</f>
        <v>0</v>
      </c>
      <c r="T105" s="625">
        <f>Exposition!I106</f>
        <v>0.03001759466</v>
      </c>
      <c r="U105" s="625">
        <f>Exposition!J106</f>
        <v>0.01740292197</v>
      </c>
      <c r="V105" s="625">
        <f>Exposition!K106</f>
        <v>0.005295513855</v>
      </c>
      <c r="W105" s="625">
        <f>Exposition!L106</f>
        <v>0.005611538974</v>
      </c>
      <c r="X105" s="625">
        <f>Exposition!M106</f>
        <v>0</v>
      </c>
      <c r="Y105" s="625">
        <f>Exposition!N106</f>
        <v>0.03031617389</v>
      </c>
      <c r="Z105" s="625">
        <f>Exposition!O106</f>
        <v>0</v>
      </c>
      <c r="AA105" s="625">
        <f>Exposition!P106</f>
        <v>0.01329406393</v>
      </c>
      <c r="AB105" s="625">
        <f>Exposition!Q106</f>
        <v>0.000000001108362673</v>
      </c>
      <c r="AC105" s="625">
        <f>Exposition!R106</f>
        <v>0.005669357236</v>
      </c>
      <c r="AD105" s="625">
        <f>Exposition!S106</f>
        <v>0</v>
      </c>
      <c r="AE105" s="625">
        <f>Exposition!T106</f>
        <v>0</v>
      </c>
      <c r="AF105" s="625">
        <f>Exposition!U106</f>
        <v>0.1394528366</v>
      </c>
      <c r="AG105" s="623"/>
      <c r="AH105" s="621">
        <f>PRIX!A106</f>
        <v>45858</v>
      </c>
      <c r="AI105" s="631">
        <f>PRIX!B106</f>
        <v>120000</v>
      </c>
      <c r="AJ105" s="624">
        <f>PRIX!C106</f>
        <v>3700</v>
      </c>
      <c r="AK105" s="631">
        <f>PRIX!D106</f>
        <v>3.2</v>
      </c>
      <c r="AL105" s="631">
        <f>PRIX!E106</f>
        <v>180</v>
      </c>
      <c r="AM105" s="631">
        <f>PRIX!F106</f>
        <v>440</v>
      </c>
      <c r="AN105" s="631">
        <f>PRIX!G106</f>
        <v>0.6</v>
      </c>
      <c r="AO105" s="631">
        <f>PRIX!H106</f>
        <v>18</v>
      </c>
      <c r="AP105" s="631">
        <f>PRIX!I106</f>
        <v>0.25</v>
      </c>
      <c r="AQ105" s="631">
        <f>PRIX!J106</f>
        <v>0.0000155</v>
      </c>
      <c r="AR105" s="631">
        <f>PRIX!K106</f>
        <v>2.65</v>
      </c>
      <c r="AS105" s="631">
        <f>PRIX!L106</f>
        <v>0.565</v>
      </c>
      <c r="AT105" s="631">
        <f>PRIX!M106</f>
        <v>340</v>
      </c>
      <c r="AU105" s="631">
        <f>PRIX!N106</f>
        <v>0.0062</v>
      </c>
      <c r="AV105" s="631">
        <f>PRIX!O106</f>
        <v>4.7</v>
      </c>
      <c r="AW105" s="631">
        <f>PRIX!P106</f>
        <v>0.0023</v>
      </c>
      <c r="AX105" s="631">
        <f>PRIX!Q106</f>
        <v>0.0000141</v>
      </c>
      <c r="AY105" s="631">
        <f>PRIX!R106</f>
        <v>1.25</v>
      </c>
      <c r="AZ105" s="631">
        <f>PRIX!S106</f>
        <v>2.8</v>
      </c>
      <c r="BA105" s="623"/>
    </row>
    <row r="106">
      <c r="A106" s="621">
        <f>ARBITRAGES!E107</f>
        <v>45858</v>
      </c>
      <c r="B106" s="623" t="str">
        <f>IF(A106="","",IF(ARBITRAGES!F107="Invest","Achat","Vente"))</f>
        <v>Vente</v>
      </c>
      <c r="C106" s="623" t="str">
        <f>ARBITRAGES!H107</f>
        <v>ETH</v>
      </c>
      <c r="D106" s="624">
        <f>ARBITRAGES!I107</f>
        <v>3780</v>
      </c>
      <c r="E106" s="624">
        <f>ARBITRAGES!J107</f>
        <v>167.0737</v>
      </c>
      <c r="F106" s="623"/>
      <c r="G106" s="621">
        <f>'PV (%)'!B108</f>
        <v>45881</v>
      </c>
      <c r="H106" s="624">
        <f>'PV (%)'!E108</f>
        <v>72556.15305</v>
      </c>
      <c r="I106" s="624">
        <f>'PV (%)'!F108</f>
        <v>60749.93131</v>
      </c>
      <c r="J106" s="626">
        <f>'PV (%)'!G108</f>
        <v>63504.65168</v>
      </c>
      <c r="K106" s="623"/>
      <c r="L106" s="621">
        <f>Exposition!A107</f>
        <v>45859</v>
      </c>
      <c r="M106" s="625">
        <f>Exposition!B107</f>
        <v>0.8549427275</v>
      </c>
      <c r="N106" s="625">
        <f>Exposition!C107</f>
        <v>0.4279146714</v>
      </c>
      <c r="O106" s="625">
        <f>Exposition!D107</f>
        <v>0.1561998371</v>
      </c>
      <c r="P106" s="625">
        <f>Exposition!E107</f>
        <v>0.01348174396</v>
      </c>
      <c r="Q106" s="625">
        <f>Exposition!F107</f>
        <v>0.0720520983</v>
      </c>
      <c r="R106" s="625">
        <f>Exposition!G107</f>
        <v>0.07385481768</v>
      </c>
      <c r="S106" s="625">
        <f>Exposition!H107</f>
        <v>0</v>
      </c>
      <c r="T106" s="625">
        <f>Exposition!I107</f>
        <v>0.03318642944</v>
      </c>
      <c r="U106" s="625">
        <f>Exposition!J107</f>
        <v>0.01835503376</v>
      </c>
      <c r="V106" s="625">
        <f>Exposition!K107</f>
        <v>0.005269085648</v>
      </c>
      <c r="W106" s="625">
        <f>Exposition!L107</f>
        <v>0.005794232968</v>
      </c>
      <c r="X106" s="625">
        <f>Exposition!M107</f>
        <v>0</v>
      </c>
      <c r="Y106" s="625">
        <f>Exposition!N107</f>
        <v>0.02954383406</v>
      </c>
      <c r="Z106" s="625">
        <f>Exposition!O107</f>
        <v>0</v>
      </c>
      <c r="AA106" s="625">
        <f>Exposition!P107</f>
        <v>0.01364987873</v>
      </c>
      <c r="AB106" s="625">
        <f>Exposition!Q107</f>
        <v>0.000000001102831192</v>
      </c>
      <c r="AC106" s="625">
        <f>Exposition!R107</f>
        <v>0.005641063297</v>
      </c>
      <c r="AD106" s="625">
        <f>Exposition!S107</f>
        <v>0</v>
      </c>
      <c r="AE106" s="625">
        <f>Exposition!T107</f>
        <v>0</v>
      </c>
      <c r="AF106" s="625">
        <f>Exposition!U107</f>
        <v>0.1450572725</v>
      </c>
      <c r="AG106" s="623"/>
      <c r="AH106" s="621">
        <f>PRIX!A107</f>
        <v>45858</v>
      </c>
      <c r="AI106" s="631">
        <f>PRIX!B107</f>
        <v>120000</v>
      </c>
      <c r="AJ106" s="624">
        <f>PRIX!C107</f>
        <v>3700</v>
      </c>
      <c r="AK106" s="631">
        <f>PRIX!D107</f>
        <v>3.2</v>
      </c>
      <c r="AL106" s="631">
        <f>PRIX!E107</f>
        <v>180</v>
      </c>
      <c r="AM106" s="631">
        <f>PRIX!F107</f>
        <v>440</v>
      </c>
      <c r="AN106" s="631">
        <f>PRIX!G107</f>
        <v>0.6</v>
      </c>
      <c r="AO106" s="631">
        <f>PRIX!H107</f>
        <v>18</v>
      </c>
      <c r="AP106" s="631">
        <f>PRIX!I107</f>
        <v>0.25</v>
      </c>
      <c r="AQ106" s="631">
        <f>PRIX!J107</f>
        <v>0.0000155</v>
      </c>
      <c r="AR106" s="631">
        <f>PRIX!K107</f>
        <v>2.65</v>
      </c>
      <c r="AS106" s="631">
        <f>PRIX!L107</f>
        <v>0.565</v>
      </c>
      <c r="AT106" s="631">
        <f>PRIX!M107</f>
        <v>340</v>
      </c>
      <c r="AU106" s="631">
        <f>PRIX!N107</f>
        <v>0.0062</v>
      </c>
      <c r="AV106" s="631">
        <f>PRIX!O107</f>
        <v>4.7</v>
      </c>
      <c r="AW106" s="631">
        <f>PRIX!P107</f>
        <v>0.0023</v>
      </c>
      <c r="AX106" s="631">
        <f>PRIX!Q107</f>
        <v>0.0000141</v>
      </c>
      <c r="AY106" s="631">
        <f>PRIX!R107</f>
        <v>1.25</v>
      </c>
      <c r="AZ106" s="631">
        <f>PRIX!S107</f>
        <v>2.8</v>
      </c>
      <c r="BA106" s="623"/>
    </row>
    <row r="107">
      <c r="A107" s="621">
        <f>ARBITRAGES!E108</f>
        <v>45859</v>
      </c>
      <c r="B107" s="623" t="str">
        <f>IF(A107="","",IF(ARBITRAGES!F108="Invest","Achat","Vente"))</f>
        <v>Vente</v>
      </c>
      <c r="C107" s="623" t="str">
        <f>ARBITRAGES!H108</f>
        <v>ETH</v>
      </c>
      <c r="D107" s="624">
        <f>ARBITRAGES!I108</f>
        <v>3800</v>
      </c>
      <c r="E107" s="624">
        <f>ARBITRAGES!J108</f>
        <v>380</v>
      </c>
      <c r="F107" s="623"/>
      <c r="G107" s="621">
        <f>'PV (%)'!B109</f>
        <v>45882</v>
      </c>
      <c r="H107" s="624">
        <f>'PV (%)'!E109</f>
        <v>72556.15305</v>
      </c>
      <c r="I107" s="624">
        <f>'PV (%)'!F109</f>
        <v>60749.93131</v>
      </c>
      <c r="J107" s="626">
        <f>'PV (%)'!G109</f>
        <v>63506.75168</v>
      </c>
      <c r="K107" s="623"/>
      <c r="L107" s="621">
        <f>Exposition!A108</f>
        <v>45860</v>
      </c>
      <c r="M107" s="625">
        <f>Exposition!B108</f>
        <v>0.839585885</v>
      </c>
      <c r="N107" s="625">
        <f>Exposition!C108</f>
        <v>0.4375985967</v>
      </c>
      <c r="O107" s="625">
        <f>Exposition!D108</f>
        <v>0.1567360686</v>
      </c>
      <c r="P107" s="625">
        <f>Exposition!E108</f>
        <v>0.01323039876</v>
      </c>
      <c r="Q107" s="625">
        <f>Exposition!F108</f>
        <v>0.05827436887</v>
      </c>
      <c r="R107" s="625">
        <f>Exposition!G108</f>
        <v>0.07271977642</v>
      </c>
      <c r="S107" s="625">
        <f>Exposition!H108</f>
        <v>0</v>
      </c>
      <c r="T107" s="625">
        <f>Exposition!I108</f>
        <v>0.03085529055</v>
      </c>
      <c r="U107" s="625">
        <f>Exposition!J108</f>
        <v>0.01664241144</v>
      </c>
      <c r="V107" s="625">
        <f>Exposition!K108</f>
        <v>0.0004971766232</v>
      </c>
      <c r="W107" s="625">
        <f>Exposition!L108</f>
        <v>0.005920994312</v>
      </c>
      <c r="X107" s="625">
        <f>Exposition!M108</f>
        <v>0</v>
      </c>
      <c r="Y107" s="625">
        <f>Exposition!N108</f>
        <v>0.02882452211</v>
      </c>
      <c r="Z107" s="625">
        <f>Exposition!O108</f>
        <v>0</v>
      </c>
      <c r="AA107" s="625">
        <f>Exposition!P108</f>
        <v>0.01293656085</v>
      </c>
      <c r="AB107" s="625">
        <f>Exposition!Q108</f>
        <v>0.000000001152094613</v>
      </c>
      <c r="AC107" s="625">
        <f>Exposition!R108</f>
        <v>0.005349718555</v>
      </c>
      <c r="AD107" s="625">
        <f>Exposition!S108</f>
        <v>0</v>
      </c>
      <c r="AE107" s="625">
        <f>Exposition!T108</f>
        <v>0</v>
      </c>
      <c r="AF107" s="625">
        <f>Exposition!U108</f>
        <v>0.160414115</v>
      </c>
      <c r="AG107" s="623"/>
      <c r="AH107" s="621">
        <f>PRIX!A108</f>
        <v>45859</v>
      </c>
      <c r="AI107" s="631">
        <f>PRIX!B108</f>
        <v>118500</v>
      </c>
      <c r="AJ107" s="624">
        <f>PRIX!C108</f>
        <v>3800</v>
      </c>
      <c r="AK107" s="631">
        <f>PRIX!D108</f>
        <v>3.3</v>
      </c>
      <c r="AL107" s="631">
        <f>PRIX!E108</f>
        <v>185</v>
      </c>
      <c r="AM107" s="631">
        <f>PRIX!F108</f>
        <v>435</v>
      </c>
      <c r="AN107" s="631">
        <f>PRIX!G108</f>
        <v>0.6</v>
      </c>
      <c r="AO107" s="631">
        <f>PRIX!H108</f>
        <v>20</v>
      </c>
      <c r="AP107" s="631">
        <f>PRIX!I108</f>
        <v>0.265</v>
      </c>
      <c r="AQ107" s="631">
        <f>PRIX!J108</f>
        <v>0.0000155</v>
      </c>
      <c r="AR107" s="631">
        <f>PRIX!K108</f>
        <v>2.75</v>
      </c>
      <c r="AS107" s="631">
        <f>PRIX!L108</f>
        <v>0.565</v>
      </c>
      <c r="AT107" s="631">
        <f>PRIX!M108</f>
        <v>333</v>
      </c>
      <c r="AU107" s="631">
        <f>PRIX!N108</f>
        <v>0.0065</v>
      </c>
      <c r="AV107" s="631">
        <f>PRIX!O108</f>
        <v>4.85</v>
      </c>
      <c r="AW107" s="631">
        <f>PRIX!P108</f>
        <v>0.0023</v>
      </c>
      <c r="AX107" s="631">
        <f>PRIX!Q108</f>
        <v>0.0000141</v>
      </c>
      <c r="AY107" s="631">
        <f>PRIX!R108</f>
        <v>1.25</v>
      </c>
      <c r="AZ107" s="631">
        <f>PRIX!S108</f>
        <v>3</v>
      </c>
      <c r="BA107" s="623"/>
    </row>
    <row r="108">
      <c r="A108" s="621">
        <f>ARBITRAGES!E109</f>
        <v>45860</v>
      </c>
      <c r="B108" s="623" t="str">
        <f>IF(A108="","",IF(ARBITRAGES!F109="Invest","Achat","Vente"))</f>
        <v>Vente</v>
      </c>
      <c r="C108" s="623" t="str">
        <f>ARBITRAGES!H109</f>
        <v>SOL</v>
      </c>
      <c r="D108" s="624">
        <f>ARBITRAGES!I109</f>
        <v>200</v>
      </c>
      <c r="E108" s="624">
        <f>ARBITRAGES!J109</f>
        <v>512.518388</v>
      </c>
      <c r="F108" s="623"/>
      <c r="G108" s="621">
        <f>'PV (%)'!B110</f>
        <v>45882</v>
      </c>
      <c r="H108" s="624">
        <f>'PV (%)'!E110</f>
        <v>72556.15305</v>
      </c>
      <c r="I108" s="624">
        <f>'PV (%)'!F110</f>
        <v>61129.29169</v>
      </c>
      <c r="J108" s="626">
        <f>'PV (%)'!G110</f>
        <v>63775.15911</v>
      </c>
      <c r="K108" s="623"/>
      <c r="L108" s="621">
        <f>Exposition!A109</f>
        <v>45861</v>
      </c>
      <c r="M108" s="625">
        <f>Exposition!B109</f>
        <v>0.8474237726</v>
      </c>
      <c r="N108" s="625">
        <f>Exposition!C109</f>
        <v>0.437473571</v>
      </c>
      <c r="O108" s="625">
        <f>Exposition!D109</f>
        <v>0.1566912878</v>
      </c>
      <c r="P108" s="625">
        <f>Exposition!E109</f>
        <v>0.01322661872</v>
      </c>
      <c r="Q108" s="625">
        <f>Exposition!F109</f>
        <v>0.05825771937</v>
      </c>
      <c r="R108" s="625">
        <f>Exposition!G109</f>
        <v>0.07269899975</v>
      </c>
      <c r="S108" s="625">
        <f>Exposition!H109</f>
        <v>0</v>
      </c>
      <c r="T108" s="625">
        <f>Exposition!I109</f>
        <v>0.03084647492</v>
      </c>
      <c r="U108" s="625">
        <f>Exposition!J109</f>
        <v>0.01663765655</v>
      </c>
      <c r="V108" s="625">
        <f>Exposition!K109</f>
        <v>0.0004970345755</v>
      </c>
      <c r="W108" s="625">
        <f>Exposition!L109</f>
        <v>0.005919302632</v>
      </c>
      <c r="X108" s="625">
        <f>Exposition!M109</f>
        <v>0</v>
      </c>
      <c r="Y108" s="625">
        <f>Exposition!N109</f>
        <v>0.03689405127</v>
      </c>
      <c r="Z108" s="625">
        <f>Exposition!O109</f>
        <v>0</v>
      </c>
      <c r="AA108" s="625">
        <f>Exposition!P109</f>
        <v>0.01293286476</v>
      </c>
      <c r="AB108" s="625">
        <f>Exposition!Q109</f>
        <v>0.000000001151765449</v>
      </c>
      <c r="AC108" s="625">
        <f>Exposition!R109</f>
        <v>0.005348190094</v>
      </c>
      <c r="AD108" s="625">
        <f>Exposition!S109</f>
        <v>0</v>
      </c>
      <c r="AE108" s="625">
        <f>Exposition!T109</f>
        <v>0</v>
      </c>
      <c r="AF108" s="625">
        <f>Exposition!U109</f>
        <v>0.1525762274</v>
      </c>
      <c r="AG108" s="623"/>
      <c r="AH108" s="621">
        <f>PRIX!A109</f>
        <v>45860</v>
      </c>
      <c r="AI108" s="626">
        <f>PRIX!B109</f>
        <v>116000</v>
      </c>
      <c r="AJ108" s="626">
        <f>PRIX!C109</f>
        <v>3650</v>
      </c>
      <c r="AK108" s="627">
        <f>PRIX!D109</f>
        <v>3.1</v>
      </c>
      <c r="AL108" s="626">
        <f>PRIX!E109</f>
        <v>160</v>
      </c>
      <c r="AM108" s="626">
        <f>PRIX!F109</f>
        <v>410</v>
      </c>
      <c r="AN108" s="627">
        <f>PRIX!G109</f>
        <v>0.5</v>
      </c>
      <c r="AO108" s="627">
        <f>PRIX!H109</f>
        <v>17.8</v>
      </c>
      <c r="AP108" s="631">
        <f>PRIX!I109</f>
        <v>0.23</v>
      </c>
      <c r="AQ108" s="631">
        <f>PRIX!J109</f>
        <v>0.0000014</v>
      </c>
      <c r="AR108" s="631">
        <f>PRIX!K109</f>
        <v>2.69</v>
      </c>
      <c r="AS108" s="631">
        <f>PRIX!L109</f>
        <v>0.54</v>
      </c>
      <c r="AT108" s="631">
        <f>PRIX!M109</f>
        <v>311</v>
      </c>
      <c r="AU108" s="629">
        <f>PRIX!N109</f>
        <v>0.006</v>
      </c>
      <c r="AV108" s="631">
        <f>PRIX!O109</f>
        <v>4.4</v>
      </c>
      <c r="AW108" s="631">
        <f>PRIX!P109</f>
        <v>0.0023</v>
      </c>
      <c r="AX108" s="631">
        <f>PRIX!Q109</f>
        <v>0.0000128</v>
      </c>
      <c r="AY108" s="631">
        <f>PRIX!R109</f>
        <v>1.07</v>
      </c>
      <c r="AZ108" s="631">
        <f>PRIX!S109</f>
        <v>2.75</v>
      </c>
      <c r="BA108" s="623"/>
    </row>
    <row r="109">
      <c r="A109" s="621">
        <f>ARBITRAGES!E110</f>
        <v>45861</v>
      </c>
      <c r="B109" s="623" t="str">
        <f>IF(A109="","",IF(ARBITRAGES!F110="Invest","Achat","Vente"))</f>
        <v>Achat</v>
      </c>
      <c r="C109" s="623" t="str">
        <f>ARBITRAGES!H110</f>
        <v>AAVE</v>
      </c>
      <c r="D109" s="624">
        <f>ARBITRAGES!I110</f>
        <v>300</v>
      </c>
      <c r="E109" s="624">
        <f>ARBITRAGES!J110</f>
        <v>450</v>
      </c>
      <c r="F109" s="623"/>
      <c r="G109" s="621">
        <f>'PV (%)'!B111</f>
        <v>45882</v>
      </c>
      <c r="H109" s="624">
        <f>'PV (%)'!E111</f>
        <v>72556.15305</v>
      </c>
      <c r="I109" s="624">
        <f>'PV (%)'!F111</f>
        <v>61129.29169</v>
      </c>
      <c r="J109" s="626">
        <f>'PV (%)'!G111</f>
        <v>63786.08411</v>
      </c>
      <c r="K109" s="623"/>
      <c r="L109" s="621">
        <f>Exposition!A110</f>
        <v>45863</v>
      </c>
      <c r="M109" s="625">
        <f>Exposition!B110</f>
        <v>0.8545478131</v>
      </c>
      <c r="N109" s="625">
        <f>Exposition!C110</f>
        <v>0.4357027211</v>
      </c>
      <c r="O109" s="625">
        <f>Exposition!D110</f>
        <v>0.1570318453</v>
      </c>
      <c r="P109" s="625">
        <f>Exposition!E110</f>
        <v>0.01385912638</v>
      </c>
      <c r="Q109" s="625">
        <f>Exposition!F110</f>
        <v>0.06641705032</v>
      </c>
      <c r="R109" s="625">
        <f>Exposition!G110</f>
        <v>0.07444600877</v>
      </c>
      <c r="S109" s="625">
        <f>Exposition!H110</f>
        <v>0</v>
      </c>
      <c r="T109" s="625">
        <f>Exposition!I110</f>
        <v>0.03093435814</v>
      </c>
      <c r="U109" s="625">
        <f>Exposition!J110</f>
        <v>0.01693479882</v>
      </c>
      <c r="V109" s="625">
        <f>Exposition!K110</f>
        <v>0.0004848317827</v>
      </c>
      <c r="W109" s="625">
        <f>Exposition!L110</f>
        <v>0.005902764262</v>
      </c>
      <c r="X109" s="625">
        <f>Exposition!M110</f>
        <v>0</v>
      </c>
      <c r="Y109" s="625">
        <f>Exposition!N110</f>
        <v>0.03471536162</v>
      </c>
      <c r="Z109" s="625">
        <f>Exposition!O110</f>
        <v>0</v>
      </c>
      <c r="AA109" s="625">
        <f>Exposition!P110</f>
        <v>0.01290205992</v>
      </c>
      <c r="AB109" s="625">
        <f>Exposition!Q110</f>
        <v>0.000000001123488231</v>
      </c>
      <c r="AC109" s="625">
        <f>Exposition!R110</f>
        <v>0.005216885635</v>
      </c>
      <c r="AD109" s="625">
        <f>Exposition!S110</f>
        <v>0</v>
      </c>
      <c r="AE109" s="625">
        <f>Exposition!T110</f>
        <v>0</v>
      </c>
      <c r="AF109" s="625">
        <f>Exposition!U110</f>
        <v>0.1454521869</v>
      </c>
      <c r="AG109" s="623"/>
      <c r="AH109" s="621">
        <f>PRIX!A110</f>
        <v>45861</v>
      </c>
      <c r="AI109" s="626">
        <f>PRIX!B110</f>
        <v>116000</v>
      </c>
      <c r="AJ109" s="626">
        <f>PRIX!C110</f>
        <v>3650</v>
      </c>
      <c r="AK109" s="627">
        <f>PRIX!D110</f>
        <v>3.1</v>
      </c>
      <c r="AL109" s="626">
        <f>PRIX!E110</f>
        <v>160</v>
      </c>
      <c r="AM109" s="626">
        <f>PRIX!F110</f>
        <v>410</v>
      </c>
      <c r="AN109" s="627">
        <f>PRIX!G110</f>
        <v>0.5</v>
      </c>
      <c r="AO109" s="627">
        <f>PRIX!H110</f>
        <v>17.8</v>
      </c>
      <c r="AP109" s="631">
        <f>PRIX!I110</f>
        <v>0.23</v>
      </c>
      <c r="AQ109" s="631">
        <f>PRIX!J110</f>
        <v>0.0000014</v>
      </c>
      <c r="AR109" s="631">
        <f>PRIX!K110</f>
        <v>2.69</v>
      </c>
      <c r="AS109" s="631">
        <f>PRIX!L110</f>
        <v>0.54</v>
      </c>
      <c r="AT109" s="631">
        <f>PRIX!M110</f>
        <v>311</v>
      </c>
      <c r="AU109" s="629">
        <f>PRIX!N110</f>
        <v>0.006</v>
      </c>
      <c r="AV109" s="631">
        <f>PRIX!O110</f>
        <v>4.4</v>
      </c>
      <c r="AW109" s="631">
        <f>PRIX!P110</f>
        <v>0.0023</v>
      </c>
      <c r="AX109" s="631">
        <f>PRIX!Q110</f>
        <v>0.0000128</v>
      </c>
      <c r="AY109" s="631">
        <f>PRIX!R110</f>
        <v>1.07</v>
      </c>
      <c r="AZ109" s="631">
        <f>PRIX!S110</f>
        <v>2.75</v>
      </c>
      <c r="BA109" s="623"/>
    </row>
    <row r="110">
      <c r="A110" s="632">
        <f>ARBITRAGES!E111</f>
        <v>45863</v>
      </c>
      <c r="B110" s="623" t="str">
        <f>IF(A110="","",IF(ARBITRAGES!F111="Invest","Achat","Vente"))</f>
        <v>Achat</v>
      </c>
      <c r="C110" s="623" t="str">
        <f>ARBITRAGES!H111</f>
        <v>BTC</v>
      </c>
      <c r="D110" s="624">
        <f>ARBITRAGES!I111</f>
        <v>115000</v>
      </c>
      <c r="E110" s="624">
        <f>ARBITRAGES!J111</f>
        <v>200</v>
      </c>
      <c r="F110" s="623"/>
      <c r="G110" s="621">
        <f>'PV (%)'!B112</f>
        <v>45883</v>
      </c>
      <c r="H110" s="624">
        <f>'PV (%)'!E112</f>
        <v>72556.15305</v>
      </c>
      <c r="I110" s="624">
        <f>'PV (%)'!F112</f>
        <v>61129.29169</v>
      </c>
      <c r="J110" s="626">
        <f>'PV (%)'!G112</f>
        <v>63782.66411</v>
      </c>
      <c r="K110" s="623"/>
      <c r="L110" s="621">
        <f>Exposition!A111</f>
        <v>45867</v>
      </c>
      <c r="M110" s="625">
        <f>Exposition!B111</f>
        <v>0.8601190663</v>
      </c>
      <c r="N110" s="625">
        <f>Exposition!C111</f>
        <v>0.4381041196</v>
      </c>
      <c r="O110" s="625">
        <f>Exposition!D111</f>
        <v>0.160792119</v>
      </c>
      <c r="P110" s="625">
        <f>Exposition!E111</f>
        <v>0.01475155516</v>
      </c>
      <c r="Q110" s="625">
        <f>Exposition!F111</f>
        <v>0.06644086282</v>
      </c>
      <c r="R110" s="625">
        <f>Exposition!G111</f>
        <v>0.0715090491</v>
      </c>
      <c r="S110" s="625">
        <f>Exposition!H111</f>
        <v>0</v>
      </c>
      <c r="T110" s="625">
        <f>Exposition!I111</f>
        <v>0.03162185229</v>
      </c>
      <c r="U110" s="625">
        <f>Exposition!J111</f>
        <v>0.01736810731</v>
      </c>
      <c r="V110" s="625">
        <f>Exposition!K111</f>
        <v>0.00446660993</v>
      </c>
      <c r="W110" s="625">
        <f>Exposition!L111</f>
        <v>0.006128644476</v>
      </c>
      <c r="X110" s="625">
        <f>Exposition!M111</f>
        <v>0</v>
      </c>
      <c r="Y110" s="625">
        <f>Exposition!N111</f>
        <v>0.03190084269</v>
      </c>
      <c r="Z110" s="625">
        <f>Exposition!O111</f>
        <v>0</v>
      </c>
      <c r="AA110" s="625">
        <f>Exposition!P111</f>
        <v>0.01242060934</v>
      </c>
      <c r="AB110" s="625">
        <f>Exposition!Q111</f>
        <v>0.0000000009618655539</v>
      </c>
      <c r="AC110" s="625">
        <f>Exposition!R111</f>
        <v>0.004614693616</v>
      </c>
      <c r="AD110" s="625">
        <f>Exposition!S111</f>
        <v>0</v>
      </c>
      <c r="AE110" s="625">
        <f>Exposition!T111</f>
        <v>0</v>
      </c>
      <c r="AF110" s="625">
        <f>Exposition!U111</f>
        <v>0.1398809337</v>
      </c>
      <c r="AG110" s="623"/>
      <c r="AH110" s="621">
        <f>PRIX!A111</f>
        <v>45863</v>
      </c>
      <c r="AI110" s="631">
        <f>PRIX!B111</f>
        <v>117500</v>
      </c>
      <c r="AJ110" s="631">
        <f>PRIX!C111</f>
        <v>3750</v>
      </c>
      <c r="AK110" s="631">
        <f>PRIX!D111</f>
        <v>3.33</v>
      </c>
      <c r="AL110" s="631">
        <f>PRIX!E111</f>
        <v>187</v>
      </c>
      <c r="AM110" s="631">
        <f>PRIX!F111</f>
        <v>430</v>
      </c>
      <c r="AN110" s="631">
        <f>PRIX!G111</f>
        <v>0.56</v>
      </c>
      <c r="AO110" s="631">
        <f>PRIX!H111</f>
        <v>18.3</v>
      </c>
      <c r="AP110" s="631">
        <f>PRIX!I111</f>
        <v>0.24</v>
      </c>
      <c r="AQ110" s="631">
        <f>PRIX!J111</f>
        <v>0.0000014</v>
      </c>
      <c r="AR110" s="631">
        <f>PRIX!K111</f>
        <v>2.75</v>
      </c>
      <c r="AS110" s="631">
        <f>PRIX!L111</f>
        <v>0.56</v>
      </c>
      <c r="AT110" s="631">
        <f>PRIX!M111</f>
        <v>300</v>
      </c>
      <c r="AU110" s="631">
        <f>PRIX!N111</f>
        <v>0.0065</v>
      </c>
      <c r="AV110" s="631">
        <f>PRIX!O111</f>
        <v>4.5</v>
      </c>
      <c r="AW110" s="631">
        <f>PRIX!P111</f>
        <v>0.0023</v>
      </c>
      <c r="AX110" s="631">
        <f>PRIX!Q111</f>
        <v>0.0000128</v>
      </c>
      <c r="AY110" s="631">
        <f>PRIX!R111</f>
        <v>1.07</v>
      </c>
      <c r="AZ110" s="631">
        <f>PRIX!S111</f>
        <v>2.75</v>
      </c>
      <c r="BA110" s="623"/>
    </row>
    <row r="111">
      <c r="A111" s="621">
        <f>ARBITRAGES!E112</f>
        <v>45867</v>
      </c>
      <c r="B111" s="623" t="str">
        <f>IF(A111="","",IF(ARBITRAGES!F112="Invest","Achat","Vente"))</f>
        <v>Achat</v>
      </c>
      <c r="C111" s="623" t="str">
        <f>ARBITRAGES!H112</f>
        <v>TAO</v>
      </c>
      <c r="D111" s="624">
        <f>ARBITRAGES!I112</f>
        <v>400</v>
      </c>
      <c r="E111" s="624">
        <f>ARBITRAGES!J112</f>
        <v>200</v>
      </c>
      <c r="F111" s="623"/>
      <c r="G111" s="621">
        <f>'PV (%)'!B113</f>
        <v>45886</v>
      </c>
      <c r="H111" s="624">
        <f>'PV (%)'!E113</f>
        <v>70771.98535</v>
      </c>
      <c r="I111" s="624">
        <f>'PV (%)'!F113</f>
        <v>59417.61423</v>
      </c>
      <c r="J111" s="626">
        <f>'PV (%)'!G113</f>
        <v>62371.57494</v>
      </c>
      <c r="K111" s="623"/>
      <c r="L111" s="621">
        <f>Exposition!A112</f>
        <v>45868</v>
      </c>
      <c r="M111" s="625">
        <f>Exposition!B112</f>
        <v>0.8625195017</v>
      </c>
      <c r="N111" s="625">
        <f>Exposition!C112</f>
        <v>0.4413704856</v>
      </c>
      <c r="O111" s="625">
        <f>Exposition!D112</f>
        <v>0.1598352614</v>
      </c>
      <c r="P111" s="625">
        <f>Exposition!E112</f>
        <v>0.01442258972</v>
      </c>
      <c r="Q111" s="625">
        <f>Exposition!F112</f>
        <v>0.06421596529</v>
      </c>
      <c r="R111" s="625">
        <f>Exposition!G112</f>
        <v>0.0743351071</v>
      </c>
      <c r="S111" s="625">
        <f>Exposition!H112</f>
        <v>0</v>
      </c>
      <c r="T111" s="625">
        <f>Exposition!I112</f>
        <v>0.03141190538</v>
      </c>
      <c r="U111" s="625">
        <f>Exposition!J112</f>
        <v>0.01630156007</v>
      </c>
      <c r="V111" s="625">
        <f>Exposition!K112</f>
        <v>0.00455687247</v>
      </c>
      <c r="W111" s="625">
        <f>Exposition!L112</f>
        <v>0.00614469227</v>
      </c>
      <c r="X111" s="625">
        <f>Exposition!M112</f>
        <v>0</v>
      </c>
      <c r="Y111" s="625">
        <f>Exposition!N112</f>
        <v>0.03254550411</v>
      </c>
      <c r="Z111" s="625">
        <f>Exposition!O112</f>
        <v>0</v>
      </c>
      <c r="AA111" s="625">
        <f>Exposition!P112</f>
        <v>0.0126716086</v>
      </c>
      <c r="AB111" s="625">
        <f>Exposition!Q112</f>
        <v>0.0000000009813032101</v>
      </c>
      <c r="AC111" s="625">
        <f>Exposition!R112</f>
        <v>0.004707948674</v>
      </c>
      <c r="AD111" s="625">
        <f>Exposition!S112</f>
        <v>0</v>
      </c>
      <c r="AE111" s="625">
        <f>Exposition!T112</f>
        <v>0</v>
      </c>
      <c r="AF111" s="625">
        <f>Exposition!U112</f>
        <v>0.1374804983</v>
      </c>
      <c r="AG111" s="623"/>
      <c r="AH111" s="621">
        <f>PRIX!A112</f>
        <v>45867</v>
      </c>
      <c r="AI111" s="631">
        <f>PRIX!B112</f>
        <v>120000</v>
      </c>
      <c r="AJ111" s="631">
        <f>PRIX!C112</f>
        <v>3900</v>
      </c>
      <c r="AK111" s="631">
        <f>PRIX!D112</f>
        <v>3.6</v>
      </c>
      <c r="AL111" s="631">
        <f>PRIX!E112</f>
        <v>190</v>
      </c>
      <c r="AM111" s="631">
        <f>PRIX!F112</f>
        <v>400</v>
      </c>
      <c r="AN111" s="631">
        <f>PRIX!G112</f>
        <v>0.6</v>
      </c>
      <c r="AO111" s="631">
        <f>PRIX!H112</f>
        <v>19</v>
      </c>
      <c r="AP111" s="631">
        <f>PRIX!I112</f>
        <v>0.25</v>
      </c>
      <c r="AQ111" s="631">
        <f>PRIX!J112</f>
        <v>0.0000131</v>
      </c>
      <c r="AR111" s="631">
        <f>PRIX!K112</f>
        <v>2.9</v>
      </c>
      <c r="AS111" s="631">
        <f>PRIX!L112</f>
        <v>0.53</v>
      </c>
      <c r="AT111" s="631">
        <f>PRIX!M112</f>
        <v>280</v>
      </c>
      <c r="AU111" s="631">
        <f>PRIX!N112</f>
        <v>0.0058</v>
      </c>
      <c r="AV111" s="631">
        <f>PRIX!O112</f>
        <v>4.4</v>
      </c>
      <c r="AW111" s="631">
        <f>PRIX!P112</f>
        <v>0.002</v>
      </c>
      <c r="AX111" s="631">
        <f>PRIX!Q112</f>
        <v>0.0000115</v>
      </c>
      <c r="AY111" s="631">
        <f>PRIX!R112</f>
        <v>1</v>
      </c>
      <c r="AZ111" s="631">
        <f>PRIX!S112</f>
        <v>3</v>
      </c>
      <c r="BA111" s="623"/>
    </row>
    <row r="112">
      <c r="A112" s="621">
        <f>ARBITRAGES!E113</f>
        <v>45868</v>
      </c>
      <c r="B112" s="623" t="str">
        <f>IF(A112="","",IF(ARBITRAGES!F113="Invest","Achat","Vente"))</f>
        <v>Achat</v>
      </c>
      <c r="C112" s="623" t="str">
        <f>ARBITRAGES!H113</f>
        <v>TAO</v>
      </c>
      <c r="D112" s="624">
        <f>ARBITRAGES!I113</f>
        <v>395</v>
      </c>
      <c r="E112" s="624">
        <f>ARBITRAGES!J113</f>
        <v>308.1</v>
      </c>
      <c r="F112" s="623"/>
      <c r="G112" s="621">
        <f>'PV (%)'!B114</f>
        <v>45887</v>
      </c>
      <c r="H112" s="624">
        <f>'PV (%)'!E114</f>
        <v>68393.09508</v>
      </c>
      <c r="I112" s="624">
        <f>'PV (%)'!F114</f>
        <v>57167.79227</v>
      </c>
      <c r="J112" s="626">
        <f>'PV (%)'!G114</f>
        <v>60469.59993</v>
      </c>
      <c r="K112" s="623"/>
      <c r="L112" s="621">
        <f>Exposition!A113</f>
        <v>45869</v>
      </c>
      <c r="M112" s="625">
        <f>Exposition!B113</f>
        <v>0.858372385</v>
      </c>
      <c r="N112" s="625">
        <f>Exposition!C113</f>
        <v>0.4458474622</v>
      </c>
      <c r="O112" s="625">
        <f>Exposition!D113</f>
        <v>0.160201183</v>
      </c>
      <c r="P112" s="625">
        <f>Exposition!E113</f>
        <v>0.01494729568</v>
      </c>
      <c r="Q112" s="625">
        <f>Exposition!F113</f>
        <v>0.06285485198</v>
      </c>
      <c r="R112" s="625">
        <f>Exposition!G113</f>
        <v>0.07095741664</v>
      </c>
      <c r="S112" s="625">
        <f>Exposition!H113</f>
        <v>0</v>
      </c>
      <c r="T112" s="625">
        <f>Exposition!I113</f>
        <v>0.02938721293</v>
      </c>
      <c r="U112" s="625">
        <f>Exposition!J113</f>
        <v>0.01505825232</v>
      </c>
      <c r="V112" s="625">
        <f>Exposition!K113</f>
        <v>0.004506350505</v>
      </c>
      <c r="W112" s="625">
        <f>Exposition!L113</f>
        <v>0.006033070754</v>
      </c>
      <c r="X112" s="625">
        <f>Exposition!M113</f>
        <v>0</v>
      </c>
      <c r="Y112" s="625">
        <f>Exposition!N113</f>
        <v>0.03214317433</v>
      </c>
      <c r="Z112" s="625">
        <f>Exposition!O113</f>
        <v>0</v>
      </c>
      <c r="AA112" s="625">
        <f>Exposition!P113</f>
        <v>0.01193873854</v>
      </c>
      <c r="AB112" s="625">
        <f>Exposition!Q113</f>
        <v>0.0000000008644532705</v>
      </c>
      <c r="AC112" s="625">
        <f>Exposition!R113</f>
        <v>0.004497375202</v>
      </c>
      <c r="AD112" s="625">
        <f>Exposition!S113</f>
        <v>0</v>
      </c>
      <c r="AE112" s="625">
        <f>Exposition!T113</f>
        <v>0</v>
      </c>
      <c r="AF112" s="625">
        <f>Exposition!U113</f>
        <v>0.141627615</v>
      </c>
      <c r="AG112" s="623"/>
      <c r="AH112" s="621">
        <f>PRIX!A113</f>
        <v>45868</v>
      </c>
      <c r="AI112" s="631">
        <f>PRIX!B113</f>
        <v>118500</v>
      </c>
      <c r="AJ112" s="631">
        <f>PRIX!C113</f>
        <v>3800</v>
      </c>
      <c r="AK112" s="631">
        <f>PRIX!D113</f>
        <v>3.45</v>
      </c>
      <c r="AL112" s="631">
        <f>PRIX!E113</f>
        <v>180</v>
      </c>
      <c r="AM112" s="631">
        <f>PRIX!F113</f>
        <v>380</v>
      </c>
      <c r="AN112" s="631">
        <f>PRIX!G113</f>
        <v>0.55</v>
      </c>
      <c r="AO112" s="631">
        <f>PRIX!H113</f>
        <v>18.5</v>
      </c>
      <c r="AP112" s="631">
        <f>PRIX!I113</f>
        <v>0.23</v>
      </c>
      <c r="AQ112" s="631">
        <f>PRIX!J113</f>
        <v>0.0000131</v>
      </c>
      <c r="AR112" s="631">
        <f>PRIX!K113</f>
        <v>2.85</v>
      </c>
      <c r="AS112" s="631">
        <f>PRIX!L113</f>
        <v>0.53</v>
      </c>
      <c r="AT112" s="631">
        <f>PRIX!M113</f>
        <v>280</v>
      </c>
      <c r="AU112" s="631">
        <f>PRIX!N113</f>
        <v>0.0058</v>
      </c>
      <c r="AV112" s="631">
        <f>PRIX!O113</f>
        <v>4.4</v>
      </c>
      <c r="AW112" s="631">
        <f>PRIX!P113</f>
        <v>0.002</v>
      </c>
      <c r="AX112" s="631">
        <f>PRIX!Q113</f>
        <v>0.0000115</v>
      </c>
      <c r="AY112" s="631">
        <f>PRIX!R113</f>
        <v>1</v>
      </c>
      <c r="AZ112" s="631">
        <f>PRIX!S113</f>
        <v>3</v>
      </c>
      <c r="BA112" s="623"/>
    </row>
    <row r="113">
      <c r="A113" s="621">
        <f>ARBITRAGES!E114</f>
        <v>45869</v>
      </c>
      <c r="B113" s="623" t="str">
        <f>IF(A113="","",IF(ARBITRAGES!F114="Invest","Achat","Vente"))</f>
        <v>Achat</v>
      </c>
      <c r="C113" s="623" t="str">
        <f>ARBITRAGES!H114</f>
        <v>AAVE</v>
      </c>
      <c r="D113" s="624">
        <f>ARBITRAGES!I114</f>
        <v>270</v>
      </c>
      <c r="E113" s="624">
        <f>ARBITRAGES!J114</f>
        <v>48.6</v>
      </c>
      <c r="F113" s="623"/>
      <c r="G113" s="621">
        <f>'PV (%)'!B115</f>
        <v>45887</v>
      </c>
      <c r="H113" s="624">
        <f>'PV (%)'!E115</f>
        <v>68393.09508</v>
      </c>
      <c r="I113" s="624">
        <f>'PV (%)'!F115</f>
        <v>57167.79227</v>
      </c>
      <c r="J113" s="626">
        <f>'PV (%)'!G115</f>
        <v>60474.59993</v>
      </c>
      <c r="K113" s="623"/>
      <c r="L113" s="621">
        <f>Exposition!A114</f>
        <v>45869</v>
      </c>
      <c r="M113" s="625">
        <f>Exposition!B114</f>
        <v>0.8601203918</v>
      </c>
      <c r="N113" s="625">
        <f>Exposition!C114</f>
        <v>0.4458747057</v>
      </c>
      <c r="O113" s="625">
        <f>Exposition!D114</f>
        <v>0.1602109721</v>
      </c>
      <c r="P113" s="625">
        <f>Exposition!E114</f>
        <v>0.01494820904</v>
      </c>
      <c r="Q113" s="625">
        <f>Exposition!F114</f>
        <v>0.06285869273</v>
      </c>
      <c r="R113" s="625">
        <f>Exposition!G114</f>
        <v>0.07265730842</v>
      </c>
      <c r="S113" s="625">
        <f>Exposition!H114</f>
        <v>0</v>
      </c>
      <c r="T113" s="625">
        <f>Exposition!I114</f>
        <v>0.02938900864</v>
      </c>
      <c r="U113" s="625">
        <f>Exposition!J114</f>
        <v>0.01505917246</v>
      </c>
      <c r="V113" s="625">
        <f>Exposition!K114</f>
        <v>0.004506625866</v>
      </c>
      <c r="W113" s="625">
        <f>Exposition!L114</f>
        <v>0.006033439405</v>
      </c>
      <c r="X113" s="625">
        <f>Exposition!M114</f>
        <v>0</v>
      </c>
      <c r="Y113" s="625">
        <f>Exposition!N114</f>
        <v>0.03214513844</v>
      </c>
      <c r="Z113" s="625">
        <f>Exposition!O114</f>
        <v>0</v>
      </c>
      <c r="AA113" s="625">
        <f>Exposition!P114</f>
        <v>0.01193946806</v>
      </c>
      <c r="AB113" s="625">
        <f>Exposition!Q114</f>
        <v>0.000000000864506093</v>
      </c>
      <c r="AC113" s="625">
        <f>Exposition!R114</f>
        <v>0.004497650014</v>
      </c>
      <c r="AD113" s="625">
        <f>Exposition!S114</f>
        <v>0</v>
      </c>
      <c r="AE113" s="625">
        <f>Exposition!T114</f>
        <v>0</v>
      </c>
      <c r="AF113" s="625">
        <f>Exposition!U114</f>
        <v>0.1398796082</v>
      </c>
      <c r="AG113" s="623"/>
      <c r="AH113" s="621">
        <f>PRIX!A114</f>
        <v>45869</v>
      </c>
      <c r="AI113" s="631">
        <f>PRIX!B114</f>
        <v>115500</v>
      </c>
      <c r="AJ113" s="631">
        <f>PRIX!C114</f>
        <v>3675</v>
      </c>
      <c r="AK113" s="631">
        <f>PRIX!D114</f>
        <v>3.45</v>
      </c>
      <c r="AL113" s="631">
        <f>PRIX!E114</f>
        <v>170</v>
      </c>
      <c r="AM113" s="631">
        <f>PRIX!F114</f>
        <v>350</v>
      </c>
      <c r="AN113" s="631">
        <f>PRIX!G114</f>
        <v>0.5</v>
      </c>
      <c r="AO113" s="631">
        <f>PRIX!H114</f>
        <v>16.7</v>
      </c>
      <c r="AP113" s="631">
        <f>PRIX!I114</f>
        <v>0.205</v>
      </c>
      <c r="AQ113" s="631">
        <f>PRIX!J114</f>
        <v>0.0000125</v>
      </c>
      <c r="AR113" s="631">
        <f>PRIX!K114</f>
        <v>2.7</v>
      </c>
      <c r="AS113" s="631">
        <f>PRIX!L114</f>
        <v>0.48</v>
      </c>
      <c r="AT113" s="631">
        <f>PRIX!M114</f>
        <v>260</v>
      </c>
      <c r="AU113" s="631">
        <f>PRIX!N114</f>
        <v>0.0054</v>
      </c>
      <c r="AV113" s="631">
        <f>PRIX!O114</f>
        <v>4</v>
      </c>
      <c r="AW113" s="631">
        <f>PRIX!P114</f>
        <v>0.0017</v>
      </c>
      <c r="AX113" s="631">
        <f>PRIX!Q114</f>
        <v>0.0000106</v>
      </c>
      <c r="AY113" s="631">
        <f>PRIX!R114</f>
        <v>0.9</v>
      </c>
      <c r="AZ113" s="631">
        <f>PRIX!S114</f>
        <v>2.7</v>
      </c>
      <c r="BA113" s="623"/>
    </row>
    <row r="114">
      <c r="A114" s="621">
        <f>ARBITRAGES!E115</f>
        <v>45869</v>
      </c>
      <c r="B114" s="623" t="str">
        <f>IF(A114="","",IF(ARBITRAGES!F115="Invest","Achat","Vente"))</f>
        <v>Achat</v>
      </c>
      <c r="C114" s="623" t="str">
        <f>ARBITRAGES!H115</f>
        <v>TAO</v>
      </c>
      <c r="D114" s="624">
        <f>ARBITRAGES!I115</f>
        <v>370</v>
      </c>
      <c r="E114" s="624">
        <f>ARBITRAGES!J115</f>
        <v>99.9</v>
      </c>
      <c r="F114" s="623"/>
      <c r="G114" s="621">
        <f>'PV (%)'!B116</f>
        <v>45887</v>
      </c>
      <c r="H114" s="624">
        <f>'PV (%)'!E116</f>
        <v>68393.09508</v>
      </c>
      <c r="I114" s="624">
        <f>'PV (%)'!F116</f>
        <v>57167.79227</v>
      </c>
      <c r="J114" s="626">
        <f>'PV (%)'!G116</f>
        <v>60474.59993</v>
      </c>
      <c r="K114" s="623"/>
      <c r="L114" s="621">
        <f>Exposition!A115</f>
        <v>45869</v>
      </c>
      <c r="M114" s="625">
        <f>Exposition!B115</f>
        <v>0.8627263694</v>
      </c>
      <c r="N114" s="625">
        <f>Exposition!C115</f>
        <v>0.4458747057</v>
      </c>
      <c r="O114" s="625">
        <f>Exposition!D115</f>
        <v>0.1602109721</v>
      </c>
      <c r="P114" s="625">
        <f>Exposition!E115</f>
        <v>0.01494820904</v>
      </c>
      <c r="Q114" s="625">
        <f>Exposition!F115</f>
        <v>0.06285869273</v>
      </c>
      <c r="R114" s="625">
        <f>Exposition!G115</f>
        <v>0.07265730842</v>
      </c>
      <c r="S114" s="625">
        <f>Exposition!H115</f>
        <v>0</v>
      </c>
      <c r="T114" s="625">
        <f>Exposition!I115</f>
        <v>0.02938900864</v>
      </c>
      <c r="U114" s="625">
        <f>Exposition!J115</f>
        <v>0.01505917246</v>
      </c>
      <c r="V114" s="625">
        <f>Exposition!K115</f>
        <v>0.004506625866</v>
      </c>
      <c r="W114" s="625">
        <f>Exposition!L115</f>
        <v>0.006033439405</v>
      </c>
      <c r="X114" s="625">
        <f>Exposition!M115</f>
        <v>0</v>
      </c>
      <c r="Y114" s="625">
        <f>Exposition!N115</f>
        <v>0.03475111601</v>
      </c>
      <c r="Z114" s="625">
        <f>Exposition!O115</f>
        <v>0</v>
      </c>
      <c r="AA114" s="625">
        <f>Exposition!P115</f>
        <v>0.01193946806</v>
      </c>
      <c r="AB114" s="625">
        <f>Exposition!Q115</f>
        <v>0.000000000864506093</v>
      </c>
      <c r="AC114" s="625">
        <f>Exposition!R115</f>
        <v>0.004497650014</v>
      </c>
      <c r="AD114" s="625">
        <f>Exposition!S115</f>
        <v>0</v>
      </c>
      <c r="AE114" s="625">
        <f>Exposition!T115</f>
        <v>0</v>
      </c>
      <c r="AF114" s="625">
        <f>Exposition!U115</f>
        <v>0.1372736306</v>
      </c>
      <c r="AG114" s="623"/>
      <c r="AH114" s="621">
        <f>PRIX!A115</f>
        <v>45869</v>
      </c>
      <c r="AI114" s="631">
        <f>PRIX!B115</f>
        <v>115500</v>
      </c>
      <c r="AJ114" s="631">
        <f>PRIX!C115</f>
        <v>3675</v>
      </c>
      <c r="AK114" s="631">
        <f>PRIX!D115</f>
        <v>3.45</v>
      </c>
      <c r="AL114" s="631">
        <f>PRIX!E115</f>
        <v>170</v>
      </c>
      <c r="AM114" s="631">
        <f>PRIX!F115</f>
        <v>350</v>
      </c>
      <c r="AN114" s="631">
        <f>PRIX!G115</f>
        <v>0.5</v>
      </c>
      <c r="AO114" s="631">
        <f>PRIX!H115</f>
        <v>16.7</v>
      </c>
      <c r="AP114" s="631">
        <f>PRIX!I115</f>
        <v>0.205</v>
      </c>
      <c r="AQ114" s="631">
        <f>PRIX!J115</f>
        <v>0.0000125</v>
      </c>
      <c r="AR114" s="631">
        <f>PRIX!K115</f>
        <v>2.7</v>
      </c>
      <c r="AS114" s="631">
        <f>PRIX!L115</f>
        <v>0.48</v>
      </c>
      <c r="AT114" s="631">
        <f>PRIX!M115</f>
        <v>260</v>
      </c>
      <c r="AU114" s="631">
        <f>PRIX!N115</f>
        <v>0.0054</v>
      </c>
      <c r="AV114" s="631">
        <f>PRIX!O115</f>
        <v>4</v>
      </c>
      <c r="AW114" s="631">
        <f>PRIX!P115</f>
        <v>0.0017</v>
      </c>
      <c r="AX114" s="631">
        <f>PRIX!Q115</f>
        <v>0.0000106</v>
      </c>
      <c r="AY114" s="631">
        <f>PRIX!R115</f>
        <v>0.9</v>
      </c>
      <c r="AZ114" s="631">
        <f>PRIX!S115</f>
        <v>2.7</v>
      </c>
      <c r="BA114" s="623"/>
    </row>
    <row r="115">
      <c r="A115" s="621">
        <f>ARBITRAGES!E116</f>
        <v>45869</v>
      </c>
      <c r="B115" s="623" t="str">
        <f>IF(A115="","",IF(ARBITRAGES!F116="Invest","Achat","Vente"))</f>
        <v>Achat</v>
      </c>
      <c r="C115" s="623" t="str">
        <f>ARBITRAGES!H116</f>
        <v>AAVE</v>
      </c>
      <c r="D115" s="624">
        <f>ARBITRAGES!I116</f>
        <v>260</v>
      </c>
      <c r="E115" s="624">
        <f>ARBITRAGES!J116</f>
        <v>148.2</v>
      </c>
      <c r="F115" s="623"/>
      <c r="G115" s="621">
        <f>'PV (%)'!B117</f>
        <v>45888</v>
      </c>
      <c r="H115" s="624">
        <f>'PV (%)'!E117</f>
        <v>68393.09508</v>
      </c>
      <c r="I115" s="624">
        <f>'PV (%)'!F117</f>
        <v>57167.79227</v>
      </c>
      <c r="J115" s="626">
        <f>'PV (%)'!G117</f>
        <v>60473.59993</v>
      </c>
      <c r="K115" s="623"/>
      <c r="L115" s="621">
        <f>Exposition!A116</f>
        <v>45870</v>
      </c>
      <c r="M115" s="625">
        <f>Exposition!B116</f>
        <v>0.8680077088</v>
      </c>
      <c r="N115" s="625">
        <f>Exposition!C116</f>
        <v>0.4511752495</v>
      </c>
      <c r="O115" s="625">
        <f>Exposition!D116</f>
        <v>0.1602035912</v>
      </c>
      <c r="P115" s="625">
        <f>Exposition!E116</f>
        <v>0.01494752038</v>
      </c>
      <c r="Q115" s="625">
        <f>Exposition!F116</f>
        <v>0.06285579683</v>
      </c>
      <c r="R115" s="625">
        <f>Exposition!G116</f>
        <v>0.0726539611</v>
      </c>
      <c r="S115" s="625">
        <f>Exposition!H116</f>
        <v>0</v>
      </c>
      <c r="T115" s="625">
        <f>Exposition!I116</f>
        <v>0.02938765469</v>
      </c>
      <c r="U115" s="625">
        <f>Exposition!J116</f>
        <v>0.01505847868</v>
      </c>
      <c r="V115" s="625">
        <f>Exposition!K116</f>
        <v>0.004506418246</v>
      </c>
      <c r="W115" s="625">
        <f>Exposition!L116</f>
        <v>0.006033161445</v>
      </c>
      <c r="X115" s="625">
        <f>Exposition!M116</f>
        <v>0</v>
      </c>
      <c r="Y115" s="625">
        <f>Exposition!N116</f>
        <v>0.03474951503</v>
      </c>
      <c r="Z115" s="625">
        <f>Exposition!O116</f>
        <v>0</v>
      </c>
      <c r="AA115" s="625">
        <f>Exposition!P116</f>
        <v>0.011938918</v>
      </c>
      <c r="AB115" s="625">
        <f>Exposition!Q116</f>
        <v>0.0000000008644662652</v>
      </c>
      <c r="AC115" s="625">
        <f>Exposition!R116</f>
        <v>0.004497442808</v>
      </c>
      <c r="AD115" s="625">
        <f>Exposition!S116</f>
        <v>0</v>
      </c>
      <c r="AE115" s="625">
        <f>Exposition!T116</f>
        <v>0</v>
      </c>
      <c r="AF115" s="625">
        <f>Exposition!U116</f>
        <v>0.1319922912</v>
      </c>
      <c r="AG115" s="623"/>
      <c r="AH115" s="621">
        <f>PRIX!A116</f>
        <v>45869</v>
      </c>
      <c r="AI115" s="631">
        <f>PRIX!B116</f>
        <v>115500</v>
      </c>
      <c r="AJ115" s="631">
        <f>PRIX!C116</f>
        <v>3675</v>
      </c>
      <c r="AK115" s="631">
        <f>PRIX!D116</f>
        <v>3.45</v>
      </c>
      <c r="AL115" s="631">
        <f>PRIX!E116</f>
        <v>170</v>
      </c>
      <c r="AM115" s="631">
        <f>PRIX!F116</f>
        <v>350</v>
      </c>
      <c r="AN115" s="631">
        <f>PRIX!G116</f>
        <v>0.5</v>
      </c>
      <c r="AO115" s="631">
        <f>PRIX!H116</f>
        <v>16.7</v>
      </c>
      <c r="AP115" s="631">
        <f>PRIX!I116</f>
        <v>0.205</v>
      </c>
      <c r="AQ115" s="631">
        <f>PRIX!J116</f>
        <v>0.0000125</v>
      </c>
      <c r="AR115" s="631">
        <f>PRIX!K116</f>
        <v>2.7</v>
      </c>
      <c r="AS115" s="631">
        <f>PRIX!L116</f>
        <v>0.48</v>
      </c>
      <c r="AT115" s="631">
        <f>PRIX!M116</f>
        <v>260</v>
      </c>
      <c r="AU115" s="631">
        <f>PRIX!N116</f>
        <v>0.0054</v>
      </c>
      <c r="AV115" s="631">
        <f>PRIX!O116</f>
        <v>4</v>
      </c>
      <c r="AW115" s="631">
        <f>PRIX!P116</f>
        <v>0.0017</v>
      </c>
      <c r="AX115" s="631">
        <f>PRIX!Q116</f>
        <v>0.0000106</v>
      </c>
      <c r="AY115" s="631">
        <f>PRIX!R116</f>
        <v>0.9</v>
      </c>
      <c r="AZ115" s="631">
        <f>PRIX!S116</f>
        <v>2.7</v>
      </c>
      <c r="BA115" s="623"/>
    </row>
    <row r="116">
      <c r="A116" s="621">
        <f>ARBITRAGES!E117</f>
        <v>45870</v>
      </c>
      <c r="B116" s="623" t="str">
        <f>IF(A116="","",IF(ARBITRAGES!F117="Invest","Achat","Vente"))</f>
        <v>Achat</v>
      </c>
      <c r="C116" s="623" t="str">
        <f>ARBITRAGES!H117</f>
        <v>BTC</v>
      </c>
      <c r="D116" s="624">
        <f>ARBITRAGES!I117</f>
        <v>114500</v>
      </c>
      <c r="E116" s="624">
        <f>ARBITRAGES!J117</f>
        <v>300</v>
      </c>
      <c r="F116" s="623"/>
      <c r="G116" s="621">
        <f>'PV (%)'!B118</f>
        <v>45888</v>
      </c>
      <c r="H116" s="624">
        <f>'PV (%)'!E118</f>
        <v>67798.37252</v>
      </c>
      <c r="I116" s="624">
        <f>'PV (%)'!F118</f>
        <v>56609.38811</v>
      </c>
      <c r="J116" s="626">
        <f>'PV (%)'!G118</f>
        <v>59958.34681</v>
      </c>
      <c r="K116" s="623"/>
      <c r="L116" s="621">
        <f>Exposition!A117</f>
        <v>45871</v>
      </c>
      <c r="M116" s="625">
        <f>Exposition!B117</f>
        <v>0.8719769617</v>
      </c>
      <c r="N116" s="625">
        <f>Exposition!C117</f>
        <v>0.4498708932</v>
      </c>
      <c r="O116" s="625">
        <f>Exposition!D117</f>
        <v>0.1607413195</v>
      </c>
      <c r="P116" s="625">
        <f>Exposition!E117</f>
        <v>0.01400618305</v>
      </c>
      <c r="Q116" s="625">
        <f>Exposition!F117</f>
        <v>0.06911547544</v>
      </c>
      <c r="R116" s="625">
        <f>Exposition!G117</f>
        <v>0.07234859615</v>
      </c>
      <c r="S116" s="625">
        <f>Exposition!H117</f>
        <v>0</v>
      </c>
      <c r="T116" s="625">
        <f>Exposition!I117</f>
        <v>0.0293327082</v>
      </c>
      <c r="U116" s="625">
        <f>Exposition!J117</f>
        <v>0.01484147257</v>
      </c>
      <c r="V116" s="625">
        <f>Exposition!K117</f>
        <v>0.00444325333</v>
      </c>
      <c r="W116" s="625">
        <f>Exposition!L117</f>
        <v>0.005869137601</v>
      </c>
      <c r="X116" s="625">
        <f>Exposition!M117</f>
        <v>0</v>
      </c>
      <c r="Y116" s="625">
        <f>Exposition!N117</f>
        <v>0.03510496211</v>
      </c>
      <c r="Z116" s="625">
        <f>Exposition!O117</f>
        <v>0</v>
      </c>
      <c r="AA116" s="625">
        <f>Exposition!P117</f>
        <v>0.01175951325</v>
      </c>
      <c r="AB116" s="625">
        <f>Exposition!Q117</f>
        <v>0.0000000008733087486</v>
      </c>
      <c r="AC116" s="625">
        <f>Exposition!R117</f>
        <v>0.004543446411</v>
      </c>
      <c r="AD116" s="625">
        <f>Exposition!S117</f>
        <v>0</v>
      </c>
      <c r="AE116" s="625">
        <f>Exposition!T117</f>
        <v>0</v>
      </c>
      <c r="AF116" s="625">
        <f>Exposition!U117</f>
        <v>0.1280230383</v>
      </c>
      <c r="AG116" s="623"/>
      <c r="AH116" s="621">
        <f>PRIX!A117</f>
        <v>45870</v>
      </c>
      <c r="AI116" s="631">
        <f>PRIX!B117</f>
        <v>115500</v>
      </c>
      <c r="AJ116" s="631">
        <f>PRIX!C117</f>
        <v>3675</v>
      </c>
      <c r="AK116" s="631">
        <f>PRIX!D117</f>
        <v>3.45</v>
      </c>
      <c r="AL116" s="631">
        <f>PRIX!E117</f>
        <v>170</v>
      </c>
      <c r="AM116" s="631">
        <f>PRIX!F117</f>
        <v>350</v>
      </c>
      <c r="AN116" s="631">
        <f>PRIX!G117</f>
        <v>0.5</v>
      </c>
      <c r="AO116" s="631">
        <f>PRIX!H117</f>
        <v>16.7</v>
      </c>
      <c r="AP116" s="631">
        <f>PRIX!I117</f>
        <v>0.205</v>
      </c>
      <c r="AQ116" s="631">
        <f>PRIX!J117</f>
        <v>0.0000125</v>
      </c>
      <c r="AR116" s="631">
        <f>PRIX!K117</f>
        <v>2.7</v>
      </c>
      <c r="AS116" s="631">
        <f>PRIX!L117</f>
        <v>0.48</v>
      </c>
      <c r="AT116" s="631">
        <f>PRIX!M117</f>
        <v>260</v>
      </c>
      <c r="AU116" s="631">
        <f>PRIX!N117</f>
        <v>0.0054</v>
      </c>
      <c r="AV116" s="631">
        <f>PRIX!O117</f>
        <v>4</v>
      </c>
      <c r="AW116" s="631">
        <f>PRIX!P117</f>
        <v>0.0017</v>
      </c>
      <c r="AX116" s="631">
        <f>PRIX!Q117</f>
        <v>0.0000106</v>
      </c>
      <c r="AY116" s="631">
        <f>PRIX!R117</f>
        <v>0.9</v>
      </c>
      <c r="AZ116" s="631">
        <f>PRIX!S117</f>
        <v>2.7</v>
      </c>
      <c r="BA116" s="623"/>
    </row>
    <row r="117">
      <c r="A117" s="621">
        <f>ARBITRAGES!E118</f>
        <v>45871</v>
      </c>
      <c r="B117" s="623" t="str">
        <f>IF(A117="","",IF(ARBITRAGES!F118="Invest","Achat","Vente"))</f>
        <v>Achat</v>
      </c>
      <c r="C117" s="623" t="str">
        <f>ARBITRAGES!H118</f>
        <v>SOL</v>
      </c>
      <c r="D117" s="624">
        <f>ARBITRAGES!I118</f>
        <v>161</v>
      </c>
      <c r="E117" s="624">
        <f>ARBITRAGES!J118</f>
        <v>299.46</v>
      </c>
      <c r="F117" s="623"/>
      <c r="G117" s="621">
        <f>'PV (%)'!B119</f>
        <v>45889</v>
      </c>
      <c r="H117" s="624">
        <f>'PV (%)'!E119</f>
        <v>67798.37252</v>
      </c>
      <c r="I117" s="624">
        <f>'PV (%)'!F119</f>
        <v>56609.38811</v>
      </c>
      <c r="J117" s="626">
        <f>'PV (%)'!G119</f>
        <v>59962.34681</v>
      </c>
      <c r="K117" s="623"/>
      <c r="L117" s="621">
        <f>Exposition!A118</f>
        <v>45875</v>
      </c>
      <c r="M117" s="625">
        <f>Exposition!B118</f>
        <v>0.874956109</v>
      </c>
      <c r="N117" s="625">
        <f>Exposition!C118</f>
        <v>0.4477557147</v>
      </c>
      <c r="O117" s="625">
        <f>Exposition!D118</f>
        <v>0.1599855547</v>
      </c>
      <c r="P117" s="625">
        <f>Exposition!E118</f>
        <v>0.01394032954</v>
      </c>
      <c r="Q117" s="625">
        <f>Exposition!F118</f>
        <v>0.06879051206</v>
      </c>
      <c r="R117" s="625">
        <f>Exposition!G118</f>
        <v>0.07200843145</v>
      </c>
      <c r="S117" s="625">
        <f>Exposition!H118</f>
        <v>0</v>
      </c>
      <c r="T117" s="625">
        <f>Exposition!I118</f>
        <v>0.02919479327</v>
      </c>
      <c r="U117" s="625">
        <f>Exposition!J118</f>
        <v>0.01477169174</v>
      </c>
      <c r="V117" s="625">
        <f>Exposition!K118</f>
        <v>0.004422362283</v>
      </c>
      <c r="W117" s="625">
        <f>Exposition!L118</f>
        <v>0.005841542409</v>
      </c>
      <c r="X117" s="625">
        <f>Exposition!M118</f>
        <v>0</v>
      </c>
      <c r="Y117" s="625">
        <f>Exposition!N118</f>
        <v>0.04201886874</v>
      </c>
      <c r="Z117" s="625">
        <f>Exposition!O118</f>
        <v>0</v>
      </c>
      <c r="AA117" s="625">
        <f>Exposition!P118</f>
        <v>0.01170422301</v>
      </c>
      <c r="AB117" s="625">
        <f>Exposition!Q118</f>
        <v>0.000000000869202673</v>
      </c>
      <c r="AC117" s="625">
        <f>Exposition!R118</f>
        <v>0.004522084282</v>
      </c>
      <c r="AD117" s="625">
        <f>Exposition!S118</f>
        <v>0</v>
      </c>
      <c r="AE117" s="625">
        <f>Exposition!T118</f>
        <v>0</v>
      </c>
      <c r="AF117" s="625">
        <f>Exposition!U118</f>
        <v>0.125043891</v>
      </c>
      <c r="AG117" s="623"/>
      <c r="AH117" s="621">
        <f>PRIX!A118</f>
        <v>45871</v>
      </c>
      <c r="AI117" s="631">
        <f>PRIX!B118</f>
        <v>114000</v>
      </c>
      <c r="AJ117" s="631">
        <f>PRIX!C118</f>
        <v>3650</v>
      </c>
      <c r="AK117" s="631">
        <f>PRIX!D118</f>
        <v>3.2</v>
      </c>
      <c r="AL117" s="631">
        <f>PRIX!E118</f>
        <v>170</v>
      </c>
      <c r="AM117" s="631">
        <f>PRIX!F118</f>
        <v>345</v>
      </c>
      <c r="AN117" s="631">
        <f>PRIX!G118</f>
        <v>0.5</v>
      </c>
      <c r="AO117" s="631">
        <f>PRIX!H118</f>
        <v>16.5</v>
      </c>
      <c r="AP117" s="631">
        <f>PRIX!I118</f>
        <v>0.2</v>
      </c>
      <c r="AQ117" s="631">
        <f>PRIX!J118</f>
        <v>0.0000122</v>
      </c>
      <c r="AR117" s="631">
        <f>PRIX!K118</f>
        <v>2.6</v>
      </c>
      <c r="AS117" s="631">
        <f>PRIX!L118</f>
        <v>0.462</v>
      </c>
      <c r="AT117" s="631">
        <f>PRIX!M118</f>
        <v>260</v>
      </c>
      <c r="AU117" s="631">
        <f>PRIX!N118</f>
        <v>0.0052</v>
      </c>
      <c r="AV117" s="631">
        <f>PRIX!O118</f>
        <v>3.9</v>
      </c>
      <c r="AW117" s="631">
        <f>PRIX!P118</f>
        <v>0.0017</v>
      </c>
      <c r="AX117" s="631">
        <f>PRIX!Q118</f>
        <v>0.0000106</v>
      </c>
      <c r="AY117" s="631">
        <f>PRIX!R118</f>
        <v>0.87</v>
      </c>
      <c r="AZ117" s="631">
        <f>PRIX!S118</f>
        <v>2.6</v>
      </c>
      <c r="BA117" s="623"/>
    </row>
    <row r="118">
      <c r="A118" s="621">
        <f>ARBITRAGES!E119</f>
        <v>45875</v>
      </c>
      <c r="B118" s="623" t="str">
        <f>IF(A118="","",IF(ARBITRAGES!F119="Invest","Achat","Vente"))</f>
        <v>Achat</v>
      </c>
      <c r="C118" s="623" t="str">
        <f>ARBITRAGES!H119</f>
        <v>AAVE</v>
      </c>
      <c r="D118" s="624">
        <f>ARBITRAGES!I119</f>
        <v>249</v>
      </c>
      <c r="E118" s="624">
        <f>ARBITRAGES!J119</f>
        <v>134.46</v>
      </c>
      <c r="F118" s="623"/>
      <c r="G118" s="621">
        <f>'PV (%)'!B120</f>
        <v>45891</v>
      </c>
      <c r="H118" s="624">
        <f>'PV (%)'!E120</f>
        <v>68987.81765</v>
      </c>
      <c r="I118" s="624">
        <f>'PV (%)'!F120</f>
        <v>59542.924</v>
      </c>
      <c r="J118" s="626">
        <f>'PV (%)'!G120</f>
        <v>62926.3</v>
      </c>
      <c r="K118" s="623"/>
      <c r="L118" s="621">
        <f>Exposition!A119</f>
        <v>45876</v>
      </c>
      <c r="M118" s="625">
        <f>Exposition!B119</f>
        <v>0.865107635</v>
      </c>
      <c r="N118" s="625">
        <f>Exposition!C119</f>
        <v>0.4134138823</v>
      </c>
      <c r="O118" s="625">
        <f>Exposition!D119</f>
        <v>0.1705067607</v>
      </c>
      <c r="P118" s="625">
        <f>Exposition!E119</f>
        <v>0.01331500729</v>
      </c>
      <c r="Q118" s="625">
        <f>Exposition!F119</f>
        <v>0.06746158371</v>
      </c>
      <c r="R118" s="625">
        <f>Exposition!G119</f>
        <v>0.0744268077</v>
      </c>
      <c r="S118" s="625">
        <f>Exposition!H119</f>
        <v>0</v>
      </c>
      <c r="T118" s="625">
        <f>Exposition!I119</f>
        <v>0.0352341928</v>
      </c>
      <c r="U118" s="625">
        <f>Exposition!J119</f>
        <v>0.01573375861</v>
      </c>
      <c r="V118" s="625">
        <f>Exposition!K119</f>
        <v>0.004532446241</v>
      </c>
      <c r="W118" s="625">
        <f>Exposition!L119</f>
        <v>0.005826619041</v>
      </c>
      <c r="X118" s="625">
        <f>Exposition!M119</f>
        <v>0</v>
      </c>
      <c r="Y118" s="625">
        <f>Exposition!N119</f>
        <v>0.04490520352</v>
      </c>
      <c r="Z118" s="625">
        <f>Exposition!O119</f>
        <v>0</v>
      </c>
      <c r="AA118" s="625">
        <f>Exposition!P119</f>
        <v>0.01500984293</v>
      </c>
      <c r="AB118" s="625">
        <f>Exposition!Q119</f>
        <v>0.0000000008524109958</v>
      </c>
      <c r="AC118" s="625">
        <f>Exposition!R119</f>
        <v>0.004741529311</v>
      </c>
      <c r="AD118" s="625">
        <f>Exposition!S119</f>
        <v>0</v>
      </c>
      <c r="AE118" s="625">
        <f>Exposition!T119</f>
        <v>0</v>
      </c>
      <c r="AF118" s="625">
        <f>Exposition!U119</f>
        <v>0.134892365</v>
      </c>
      <c r="AG118" s="623"/>
      <c r="AH118" s="621">
        <f>PRIX!A119</f>
        <v>45875</v>
      </c>
      <c r="AI118" s="631">
        <f>PRIX!B119</f>
        <v>114000</v>
      </c>
      <c r="AJ118" s="631">
        <f>PRIX!C119</f>
        <v>3650</v>
      </c>
      <c r="AK118" s="631">
        <f>PRIX!D119</f>
        <v>3.2</v>
      </c>
      <c r="AL118" s="631">
        <f>PRIX!E119</f>
        <v>170</v>
      </c>
      <c r="AM118" s="631">
        <f>PRIX!F119</f>
        <v>345</v>
      </c>
      <c r="AN118" s="631">
        <f>PRIX!G119</f>
        <v>0.5</v>
      </c>
      <c r="AO118" s="631">
        <f>PRIX!H119</f>
        <v>16.5</v>
      </c>
      <c r="AP118" s="631">
        <f>PRIX!I119</f>
        <v>0.2</v>
      </c>
      <c r="AQ118" s="631">
        <f>PRIX!J119</f>
        <v>0.0000122</v>
      </c>
      <c r="AR118" s="631">
        <f>PRIX!K119</f>
        <v>2.6</v>
      </c>
      <c r="AS118" s="631">
        <f>PRIX!L119</f>
        <v>0.462</v>
      </c>
      <c r="AT118" s="631">
        <f>PRIX!M119</f>
        <v>260</v>
      </c>
      <c r="AU118" s="631">
        <f>PRIX!N119</f>
        <v>0.0052</v>
      </c>
      <c r="AV118" s="631">
        <f>PRIX!O119</f>
        <v>3.9</v>
      </c>
      <c r="AW118" s="631">
        <f>PRIX!P119</f>
        <v>0.0017</v>
      </c>
      <c r="AX118" s="631">
        <f>PRIX!Q119</f>
        <v>0.0000106</v>
      </c>
      <c r="AY118" s="631">
        <f>PRIX!R119</f>
        <v>0.87</v>
      </c>
      <c r="AZ118" s="631">
        <f>PRIX!S119</f>
        <v>2.6</v>
      </c>
      <c r="BA118" s="623"/>
    </row>
    <row r="119">
      <c r="A119" s="621">
        <f>ARBITRAGES!E120</f>
        <v>45876</v>
      </c>
      <c r="B119" s="623" t="str">
        <f>IF(A119="","",IF(ARBITRAGES!F120="Invest","Achat","Vente"))</f>
        <v>Vente</v>
      </c>
      <c r="C119" s="623" t="str">
        <f>ARBITRAGES!H120</f>
        <v>BTC</v>
      </c>
      <c r="D119" s="624">
        <f>ARBITRAGES!I120</f>
        <v>116500</v>
      </c>
      <c r="E119" s="624">
        <f>ARBITRAGES!J120</f>
        <v>1165</v>
      </c>
      <c r="F119" s="623"/>
      <c r="G119" s="632">
        <f>'PV (%)'!B121</f>
        <v>45891</v>
      </c>
      <c r="H119" s="624">
        <f>'PV (%)'!E121</f>
        <v>68987.81765</v>
      </c>
      <c r="I119" s="624">
        <f>'PV (%)'!F121</f>
        <v>59542.924</v>
      </c>
      <c r="J119" s="626">
        <f>'PV (%)'!G121</f>
        <v>62926.3</v>
      </c>
      <c r="K119" s="623"/>
      <c r="L119" s="621">
        <f>Exposition!A120</f>
        <v>45876</v>
      </c>
      <c r="M119" s="625">
        <f>Exposition!B120</f>
        <v>0.8459296688</v>
      </c>
      <c r="N119" s="625">
        <f>Exposition!C120</f>
        <v>0.4141259177</v>
      </c>
      <c r="O119" s="625">
        <f>Exposition!D120</f>
        <v>0.1501324621</v>
      </c>
      <c r="P119" s="625">
        <f>Exposition!E120</f>
        <v>0.01333794013</v>
      </c>
      <c r="Q119" s="625">
        <f>Exposition!F120</f>
        <v>0.06757777486</v>
      </c>
      <c r="R119" s="625">
        <f>Exposition!G120</f>
        <v>0.07455499527</v>
      </c>
      <c r="S119" s="625">
        <f>Exposition!H120</f>
        <v>0</v>
      </c>
      <c r="T119" s="625">
        <f>Exposition!I120</f>
        <v>0.03529487773</v>
      </c>
      <c r="U119" s="625">
        <f>Exposition!J120</f>
        <v>0.01576085735</v>
      </c>
      <c r="V119" s="625">
        <f>Exposition!K120</f>
        <v>0.004540252612</v>
      </c>
      <c r="W119" s="625">
        <f>Exposition!L120</f>
        <v>0.005836654405</v>
      </c>
      <c r="X119" s="625">
        <f>Exposition!M120</f>
        <v>0</v>
      </c>
      <c r="Y119" s="625">
        <f>Exposition!N120</f>
        <v>0.04498254513</v>
      </c>
      <c r="Z119" s="625">
        <f>Exposition!O120</f>
        <v>0</v>
      </c>
      <c r="AA119" s="625">
        <f>Exposition!P120</f>
        <v>0.01503569484</v>
      </c>
      <c r="AB119" s="625">
        <f>Exposition!Q120</f>
        <v>0.0000000008538791294</v>
      </c>
      <c r="AC119" s="625">
        <f>Exposition!R120</f>
        <v>0.004749695792</v>
      </c>
      <c r="AD119" s="625">
        <f>Exposition!S120</f>
        <v>0</v>
      </c>
      <c r="AE119" s="625">
        <f>Exposition!T120</f>
        <v>0</v>
      </c>
      <c r="AF119" s="625">
        <f>Exposition!U120</f>
        <v>0.1540703312</v>
      </c>
      <c r="AG119" s="623"/>
      <c r="AH119" s="621">
        <f>PRIX!A120</f>
        <v>45876</v>
      </c>
      <c r="AI119" s="631">
        <f>PRIX!B120</f>
        <v>119000</v>
      </c>
      <c r="AJ119" s="631">
        <f>PRIX!C120</f>
        <v>4200</v>
      </c>
      <c r="AK119" s="631">
        <f>PRIX!D120</f>
        <v>3.3</v>
      </c>
      <c r="AL119" s="631">
        <f>PRIX!E120</f>
        <v>180</v>
      </c>
      <c r="AM119" s="631">
        <f>PRIX!F120</f>
        <v>385</v>
      </c>
      <c r="AN119" s="631">
        <f>PRIX!G120</f>
        <v>0.56</v>
      </c>
      <c r="AO119" s="631">
        <f>PRIX!H120</f>
        <v>21.5</v>
      </c>
      <c r="AP119" s="631">
        <f>PRIX!I120</f>
        <v>0.23</v>
      </c>
      <c r="AQ119" s="631">
        <f>PRIX!J120</f>
        <v>0.0000135</v>
      </c>
      <c r="AR119" s="631">
        <f>PRIX!K120</f>
        <v>2.8</v>
      </c>
      <c r="AS119" s="631">
        <f>PRIX!L120</f>
        <v>0.51</v>
      </c>
      <c r="AT119" s="631">
        <f>PRIX!M120</f>
        <v>300</v>
      </c>
      <c r="AU119" s="631">
        <f>PRIX!N120</f>
        <v>0.0057</v>
      </c>
      <c r="AV119" s="631">
        <f>PRIX!O120</f>
        <v>5.4</v>
      </c>
      <c r="AW119" s="631">
        <f>PRIX!P120</f>
        <v>0.0018</v>
      </c>
      <c r="AX119" s="631">
        <f>PRIX!Q120</f>
        <v>0.000012</v>
      </c>
      <c r="AY119" s="631">
        <f>PRIX!R120</f>
        <v>0.96</v>
      </c>
      <c r="AZ119" s="631">
        <f>PRIX!S120</f>
        <v>3.25</v>
      </c>
      <c r="BA119" s="623"/>
    </row>
    <row r="120">
      <c r="A120" s="621">
        <f>ARBITRAGES!E121</f>
        <v>45876</v>
      </c>
      <c r="B120" s="623" t="str">
        <f>IF(A120="","",IF(ARBITRAGES!F121="Invest","Achat","Vente"))</f>
        <v>Vente</v>
      </c>
      <c r="C120" s="623" t="str">
        <f>ARBITRAGES!H121</f>
        <v>ETH</v>
      </c>
      <c r="D120" s="624">
        <f>ARBITRAGES!I121</f>
        <v>3850</v>
      </c>
      <c r="E120" s="624">
        <f>ARBITRAGES!J121</f>
        <v>1155</v>
      </c>
      <c r="F120" s="623"/>
      <c r="G120" s="621">
        <f>'PV (%)'!B122</f>
        <v>45892</v>
      </c>
      <c r="H120" s="624">
        <f>'PV (%)'!E122</f>
        <v>68987.81765</v>
      </c>
      <c r="I120" s="624">
        <f>'PV (%)'!F122</f>
        <v>59542.924</v>
      </c>
      <c r="J120" s="626">
        <f>'PV (%)'!G122</f>
        <v>62971.3</v>
      </c>
      <c r="K120" s="623"/>
      <c r="L120" s="621">
        <f>Exposition!A121</f>
        <v>45877</v>
      </c>
      <c r="M120" s="625">
        <f>Exposition!B121</f>
        <v>0.8262782186</v>
      </c>
      <c r="N120" s="625">
        <f>Exposition!C121</f>
        <v>0.4146360179</v>
      </c>
      <c r="O120" s="625">
        <f>Exposition!D121</f>
        <v>0.1296239626</v>
      </c>
      <c r="P120" s="625">
        <f>Exposition!E121</f>
        <v>0.01335436916</v>
      </c>
      <c r="Q120" s="625">
        <f>Exposition!F121</f>
        <v>0.06766101389</v>
      </c>
      <c r="R120" s="625">
        <f>Exposition!G121</f>
        <v>0.0746468285</v>
      </c>
      <c r="S120" s="625">
        <f>Exposition!H121</f>
        <v>0</v>
      </c>
      <c r="T120" s="625">
        <f>Exposition!I121</f>
        <v>0.03533835224</v>
      </c>
      <c r="U120" s="625">
        <f>Exposition!J121</f>
        <v>0.01578027081</v>
      </c>
      <c r="V120" s="625">
        <f>Exposition!K121</f>
        <v>0.004545845075</v>
      </c>
      <c r="W120" s="625">
        <f>Exposition!L121</f>
        <v>0.005843843713</v>
      </c>
      <c r="X120" s="625">
        <f>Exposition!M121</f>
        <v>0</v>
      </c>
      <c r="Y120" s="625">
        <f>Exposition!N121</f>
        <v>0.04503795245</v>
      </c>
      <c r="Z120" s="625">
        <f>Exposition!O121</f>
        <v>0</v>
      </c>
      <c r="AA120" s="625">
        <f>Exposition!P121</f>
        <v>0.01505421508</v>
      </c>
      <c r="AB120" s="625">
        <f>Exposition!Q121</f>
        <v>0.0000000008549308963</v>
      </c>
      <c r="AC120" s="625">
        <f>Exposition!R121</f>
        <v>0.004755546237</v>
      </c>
      <c r="AD120" s="625">
        <f>Exposition!S121</f>
        <v>0</v>
      </c>
      <c r="AE120" s="625">
        <f>Exposition!T121</f>
        <v>0</v>
      </c>
      <c r="AF120" s="625">
        <f>Exposition!U121</f>
        <v>0.1737217814</v>
      </c>
      <c r="AG120" s="623"/>
      <c r="AH120" s="621">
        <f>PRIX!A121</f>
        <v>45876</v>
      </c>
      <c r="AI120" s="631">
        <f>PRIX!B121</f>
        <v>119000</v>
      </c>
      <c r="AJ120" s="631">
        <f>PRIX!C121</f>
        <v>4200</v>
      </c>
      <c r="AK120" s="631">
        <f>PRIX!D121</f>
        <v>3.3</v>
      </c>
      <c r="AL120" s="631">
        <f>PRIX!E121</f>
        <v>180</v>
      </c>
      <c r="AM120" s="631">
        <f>PRIX!F121</f>
        <v>385</v>
      </c>
      <c r="AN120" s="631">
        <f>PRIX!G121</f>
        <v>0.56</v>
      </c>
      <c r="AO120" s="631">
        <f>PRIX!H121</f>
        <v>21.5</v>
      </c>
      <c r="AP120" s="631">
        <f>PRIX!I121</f>
        <v>0.23</v>
      </c>
      <c r="AQ120" s="631">
        <f>PRIX!J121</f>
        <v>0.0000135</v>
      </c>
      <c r="AR120" s="631">
        <f>PRIX!K121</f>
        <v>2.8</v>
      </c>
      <c r="AS120" s="631">
        <f>PRIX!L121</f>
        <v>0.51</v>
      </c>
      <c r="AT120" s="631">
        <f>PRIX!M121</f>
        <v>300</v>
      </c>
      <c r="AU120" s="631">
        <f>PRIX!N121</f>
        <v>0.0057</v>
      </c>
      <c r="AV120" s="631">
        <f>PRIX!O121</f>
        <v>5.4</v>
      </c>
      <c r="AW120" s="631">
        <f>PRIX!P121</f>
        <v>0.0018</v>
      </c>
      <c r="AX120" s="631">
        <f>PRIX!Q121</f>
        <v>0.000012</v>
      </c>
      <c r="AY120" s="631">
        <f>PRIX!R121</f>
        <v>0.96</v>
      </c>
      <c r="AZ120" s="631">
        <f>PRIX!S121</f>
        <v>3.25</v>
      </c>
      <c r="BA120" s="623"/>
    </row>
    <row r="121">
      <c r="A121" s="621">
        <f>ARBITRAGES!E122</f>
        <v>45877</v>
      </c>
      <c r="B121" s="623" t="str">
        <f>IF(A121="","",IF(ARBITRAGES!F122="Invest","Achat","Vente"))</f>
        <v>Vente</v>
      </c>
      <c r="C121" s="623" t="str">
        <f>ARBITRAGES!H122</f>
        <v>ETH</v>
      </c>
      <c r="D121" s="624">
        <f>ARBITRAGES!I122</f>
        <v>3950</v>
      </c>
      <c r="E121" s="624">
        <f>ARBITRAGES!J122</f>
        <v>1185</v>
      </c>
      <c r="F121" s="623"/>
      <c r="G121" s="632">
        <f>'PV (%)'!B123</f>
        <v>45894</v>
      </c>
      <c r="H121" s="624">
        <f>'PV (%)'!E123</f>
        <v>65419.48225</v>
      </c>
      <c r="I121" s="624">
        <f>'PV (%)'!F123</f>
        <v>55655.95562</v>
      </c>
      <c r="J121" s="626">
        <f>'PV (%)'!G123</f>
        <v>59614.91091</v>
      </c>
      <c r="K121" s="623"/>
      <c r="L121" s="621">
        <f>Exposition!A122</f>
        <v>45877</v>
      </c>
      <c r="M121" s="625">
        <f>Exposition!B122</f>
        <v>0.8216528061</v>
      </c>
      <c r="N121" s="625">
        <f>Exposition!C122</f>
        <v>0.4147385303</v>
      </c>
      <c r="O121" s="625">
        <f>Exposition!D122</f>
        <v>0.1248263132</v>
      </c>
      <c r="P121" s="625">
        <f>Exposition!E122</f>
        <v>0.01335767082</v>
      </c>
      <c r="Q121" s="625">
        <f>Exposition!F122</f>
        <v>0.06767774203</v>
      </c>
      <c r="R121" s="625">
        <f>Exposition!G122</f>
        <v>0.07466528377</v>
      </c>
      <c r="S121" s="625">
        <f>Exposition!H122</f>
        <v>0</v>
      </c>
      <c r="T121" s="625">
        <f>Exposition!I122</f>
        <v>0.0353470891</v>
      </c>
      <c r="U121" s="625">
        <f>Exposition!J122</f>
        <v>0.01578417224</v>
      </c>
      <c r="V121" s="625">
        <f>Exposition!K122</f>
        <v>0.004546968965</v>
      </c>
      <c r="W121" s="625">
        <f>Exposition!L122</f>
        <v>0.005845288513</v>
      </c>
      <c r="X121" s="625">
        <f>Exposition!M122</f>
        <v>0</v>
      </c>
      <c r="Y121" s="625">
        <f>Exposition!N122</f>
        <v>0.04504908738</v>
      </c>
      <c r="Z121" s="625">
        <f>Exposition!O122</f>
        <v>0</v>
      </c>
      <c r="AA121" s="625">
        <f>Exposition!P122</f>
        <v>0.015057937</v>
      </c>
      <c r="AB121" s="625">
        <f>Exposition!Q122</f>
        <v>0.0000000008551422647</v>
      </c>
      <c r="AC121" s="625">
        <f>Exposition!R122</f>
        <v>0.004756721972</v>
      </c>
      <c r="AD121" s="625">
        <f>Exposition!S122</f>
        <v>0</v>
      </c>
      <c r="AE121" s="625">
        <f>Exposition!T122</f>
        <v>0</v>
      </c>
      <c r="AF121" s="625">
        <f>Exposition!U122</f>
        <v>0.1783471939</v>
      </c>
      <c r="AG121" s="623"/>
      <c r="AH121" s="621">
        <f>PRIX!A122</f>
        <v>45877</v>
      </c>
      <c r="AI121" s="631">
        <f>PRIX!B122</f>
        <v>119000</v>
      </c>
      <c r="AJ121" s="631">
        <f>PRIX!C122</f>
        <v>4200</v>
      </c>
      <c r="AK121" s="631">
        <f>PRIX!D122</f>
        <v>3.3</v>
      </c>
      <c r="AL121" s="631">
        <f>PRIX!E122</f>
        <v>180</v>
      </c>
      <c r="AM121" s="631">
        <f>PRIX!F122</f>
        <v>385</v>
      </c>
      <c r="AN121" s="631">
        <f>PRIX!G122</f>
        <v>0.56</v>
      </c>
      <c r="AO121" s="631">
        <f>PRIX!H122</f>
        <v>21.5</v>
      </c>
      <c r="AP121" s="631">
        <f>PRIX!I122</f>
        <v>0.23</v>
      </c>
      <c r="AQ121" s="631">
        <f>PRIX!J122</f>
        <v>0.0000135</v>
      </c>
      <c r="AR121" s="631">
        <f>PRIX!K122</f>
        <v>2.8</v>
      </c>
      <c r="AS121" s="631">
        <f>PRIX!L122</f>
        <v>0.51</v>
      </c>
      <c r="AT121" s="631">
        <f>PRIX!M122</f>
        <v>300</v>
      </c>
      <c r="AU121" s="631">
        <f>PRIX!N122</f>
        <v>0.0057</v>
      </c>
      <c r="AV121" s="631">
        <f>PRIX!O122</f>
        <v>5.4</v>
      </c>
      <c r="AW121" s="631">
        <f>PRIX!P122</f>
        <v>0.0018</v>
      </c>
      <c r="AX121" s="631">
        <f>PRIX!Q122</f>
        <v>0.000012</v>
      </c>
      <c r="AY121" s="631">
        <f>PRIX!R122</f>
        <v>0.96</v>
      </c>
      <c r="AZ121" s="631">
        <f>PRIX!S122</f>
        <v>3.25</v>
      </c>
      <c r="BA121" s="623"/>
    </row>
    <row r="122">
      <c r="A122" s="621">
        <f>ARBITRAGES!E123</f>
        <v>45877</v>
      </c>
      <c r="B122" s="623" t="str">
        <f>IF(A122="","",IF(ARBITRAGES!F123="Invest","Achat","Vente"))</f>
        <v>Vente</v>
      </c>
      <c r="C122" s="623" t="str">
        <f>ARBITRAGES!H123</f>
        <v>ETH</v>
      </c>
      <c r="D122" s="624">
        <f>ARBITRAGES!I123</f>
        <v>3985</v>
      </c>
      <c r="E122" s="624">
        <f>ARBITRAGES!J123</f>
        <v>278.9521519</v>
      </c>
      <c r="F122" s="623"/>
      <c r="G122" s="632">
        <f>'PV (%)'!B124</f>
        <v>45894</v>
      </c>
      <c r="H122" s="624">
        <f>'PV (%)'!E124</f>
        <v>65419.48225</v>
      </c>
      <c r="I122" s="624">
        <f>'PV (%)'!F124</f>
        <v>55655.95562</v>
      </c>
      <c r="J122" s="626">
        <f>'PV (%)'!G124</f>
        <v>59615.33091</v>
      </c>
      <c r="K122" s="623"/>
      <c r="L122" s="621">
        <f>Exposition!A123</f>
        <v>45878</v>
      </c>
      <c r="M122" s="625">
        <f>Exposition!B123</f>
        <v>0.7983910752</v>
      </c>
      <c r="N122" s="625">
        <f>Exposition!C123</f>
        <v>0.3913765059</v>
      </c>
      <c r="O122" s="625">
        <f>Exposition!D123</f>
        <v>0.1248570795</v>
      </c>
      <c r="P122" s="625">
        <f>Exposition!E123</f>
        <v>0.01336096313</v>
      </c>
      <c r="Q122" s="625">
        <f>Exposition!F123</f>
        <v>0.06769442277</v>
      </c>
      <c r="R122" s="625">
        <f>Exposition!G123</f>
        <v>0.07468368676</v>
      </c>
      <c r="S122" s="625">
        <f>Exposition!H123</f>
        <v>0</v>
      </c>
      <c r="T122" s="625">
        <f>Exposition!I123</f>
        <v>0.03535580121</v>
      </c>
      <c r="U122" s="625">
        <f>Exposition!J123</f>
        <v>0.01578806261</v>
      </c>
      <c r="V122" s="625">
        <f>Exposition!K123</f>
        <v>0.004548089671</v>
      </c>
      <c r="W122" s="625">
        <f>Exposition!L123</f>
        <v>0.005846729219</v>
      </c>
      <c r="X122" s="625">
        <f>Exposition!M123</f>
        <v>0</v>
      </c>
      <c r="Y122" s="625">
        <f>Exposition!N123</f>
        <v>0.04506019077</v>
      </c>
      <c r="Z122" s="625">
        <f>Exposition!O123</f>
        <v>0</v>
      </c>
      <c r="AA122" s="625">
        <f>Exposition!P123</f>
        <v>0.01506164838</v>
      </c>
      <c r="AB122" s="625">
        <f>Exposition!Q123</f>
        <v>0.0000000008553530344</v>
      </c>
      <c r="AC122" s="625">
        <f>Exposition!R123</f>
        <v>0.004757894376</v>
      </c>
      <c r="AD122" s="625">
        <f>Exposition!S123</f>
        <v>0</v>
      </c>
      <c r="AE122" s="625">
        <f>Exposition!T123</f>
        <v>0</v>
      </c>
      <c r="AF122" s="625">
        <f>Exposition!U123</f>
        <v>0.2016089248</v>
      </c>
      <c r="AG122" s="623"/>
      <c r="AH122" s="621">
        <f>PRIX!A123</f>
        <v>45877</v>
      </c>
      <c r="AI122" s="631">
        <f>PRIX!B123</f>
        <v>119000</v>
      </c>
      <c r="AJ122" s="631">
        <f>PRIX!C123</f>
        <v>4200</v>
      </c>
      <c r="AK122" s="631">
        <f>PRIX!D123</f>
        <v>3.3</v>
      </c>
      <c r="AL122" s="631">
        <f>PRIX!E123</f>
        <v>180</v>
      </c>
      <c r="AM122" s="631">
        <f>PRIX!F123</f>
        <v>385</v>
      </c>
      <c r="AN122" s="631">
        <f>PRIX!G123</f>
        <v>0.56</v>
      </c>
      <c r="AO122" s="631">
        <f>PRIX!H123</f>
        <v>21.5</v>
      </c>
      <c r="AP122" s="631">
        <f>PRIX!I123</f>
        <v>0.23</v>
      </c>
      <c r="AQ122" s="631">
        <f>PRIX!J123</f>
        <v>0.0000135</v>
      </c>
      <c r="AR122" s="631">
        <f>PRIX!K123</f>
        <v>2.8</v>
      </c>
      <c r="AS122" s="631">
        <f>PRIX!L123</f>
        <v>0.51</v>
      </c>
      <c r="AT122" s="631">
        <f>PRIX!M123</f>
        <v>300</v>
      </c>
      <c r="AU122" s="631">
        <f>PRIX!N123</f>
        <v>0.0057</v>
      </c>
      <c r="AV122" s="631">
        <f>PRIX!O123</f>
        <v>5.4</v>
      </c>
      <c r="AW122" s="631">
        <f>PRIX!P123</f>
        <v>0.0018</v>
      </c>
      <c r="AX122" s="631">
        <f>PRIX!Q123</f>
        <v>0.000012</v>
      </c>
      <c r="AY122" s="631">
        <f>PRIX!R123</f>
        <v>0.96</v>
      </c>
      <c r="AZ122" s="631">
        <f>PRIX!S123</f>
        <v>3.25</v>
      </c>
      <c r="BA122" s="623"/>
    </row>
    <row r="123">
      <c r="A123" s="621">
        <f>ARBITRAGES!E124</f>
        <v>45878</v>
      </c>
      <c r="B123" s="623" t="str">
        <f>IF(A123="","",IF(ARBITRAGES!F124="Invest","Achat","Vente"))</f>
        <v>Vente</v>
      </c>
      <c r="C123" s="623" t="str">
        <f>ARBITRAGES!H124</f>
        <v>BTC</v>
      </c>
      <c r="D123" s="624">
        <f>ARBITRAGES!I124</f>
        <v>117750</v>
      </c>
      <c r="E123" s="624">
        <f>ARBITRAGES!J124</f>
        <v>1413.007065</v>
      </c>
      <c r="F123" s="623"/>
      <c r="G123" s="621">
        <f>'PV (%)'!B125</f>
        <v>45894</v>
      </c>
      <c r="H123" s="624">
        <f>'PV (%)'!E125</f>
        <v>65419.48225</v>
      </c>
      <c r="I123" s="624">
        <f>'PV (%)'!F125</f>
        <v>55655.95562</v>
      </c>
      <c r="J123" s="626">
        <f>'PV (%)'!G125</f>
        <v>59614.25299</v>
      </c>
      <c r="K123" s="623"/>
      <c r="L123" s="621">
        <f>Exposition!A124</f>
        <v>45879</v>
      </c>
      <c r="M123" s="625">
        <f>Exposition!B124</f>
        <v>0.7788568311</v>
      </c>
      <c r="N123" s="625">
        <f>Exposition!C124</f>
        <v>0.3718322298</v>
      </c>
      <c r="O123" s="625">
        <f>Exposition!D124</f>
        <v>0.124860157</v>
      </c>
      <c r="P123" s="625">
        <f>Exposition!E124</f>
        <v>0.01336129245</v>
      </c>
      <c r="Q123" s="625">
        <f>Exposition!F124</f>
        <v>0.06769609129</v>
      </c>
      <c r="R123" s="625">
        <f>Exposition!G124</f>
        <v>0.07468552755</v>
      </c>
      <c r="S123" s="625">
        <f>Exposition!H124</f>
        <v>0</v>
      </c>
      <c r="T123" s="625">
        <f>Exposition!I124</f>
        <v>0.03535667266</v>
      </c>
      <c r="U123" s="625">
        <f>Exposition!J124</f>
        <v>0.01578845175</v>
      </c>
      <c r="V123" s="625">
        <f>Exposition!K124</f>
        <v>0.004548201771</v>
      </c>
      <c r="W123" s="625">
        <f>Exposition!L124</f>
        <v>0.005846873329</v>
      </c>
      <c r="X123" s="625">
        <f>Exposition!M124</f>
        <v>0</v>
      </c>
      <c r="Y123" s="625">
        <f>Exposition!N124</f>
        <v>0.04506130141</v>
      </c>
      <c r="Z123" s="625">
        <f>Exposition!O124</f>
        <v>0</v>
      </c>
      <c r="AA123" s="625">
        <f>Exposition!P124</f>
        <v>0.01506201961</v>
      </c>
      <c r="AB123" s="625">
        <f>Exposition!Q124</f>
        <v>0.0000000008553741169</v>
      </c>
      <c r="AC123" s="625">
        <f>Exposition!R124</f>
        <v>0.004758011648</v>
      </c>
      <c r="AD123" s="625">
        <f>Exposition!S124</f>
        <v>0</v>
      </c>
      <c r="AE123" s="625">
        <f>Exposition!T124</f>
        <v>0</v>
      </c>
      <c r="AF123" s="625">
        <f>Exposition!U124</f>
        <v>0.2211431689</v>
      </c>
      <c r="AG123" s="623"/>
      <c r="AH123" s="621">
        <f>PRIX!A124</f>
        <v>45878</v>
      </c>
      <c r="AI123" s="631">
        <f>PRIX!B124</f>
        <v>119000</v>
      </c>
      <c r="AJ123" s="631">
        <f>PRIX!C124</f>
        <v>4200</v>
      </c>
      <c r="AK123" s="631">
        <f>PRIX!D124</f>
        <v>3.3</v>
      </c>
      <c r="AL123" s="631">
        <f>PRIX!E124</f>
        <v>180</v>
      </c>
      <c r="AM123" s="631">
        <f>PRIX!F124</f>
        <v>385</v>
      </c>
      <c r="AN123" s="631">
        <f>PRIX!G124</f>
        <v>0.56</v>
      </c>
      <c r="AO123" s="631">
        <f>PRIX!H124</f>
        <v>21.5</v>
      </c>
      <c r="AP123" s="631">
        <f>PRIX!I124</f>
        <v>0.23</v>
      </c>
      <c r="AQ123" s="631">
        <f>PRIX!J124</f>
        <v>0.0000135</v>
      </c>
      <c r="AR123" s="631">
        <f>PRIX!K124</f>
        <v>2.8</v>
      </c>
      <c r="AS123" s="631">
        <f>PRIX!L124</f>
        <v>0.51</v>
      </c>
      <c r="AT123" s="631">
        <f>PRIX!M124</f>
        <v>300</v>
      </c>
      <c r="AU123" s="631">
        <f>PRIX!N124</f>
        <v>0.0057</v>
      </c>
      <c r="AV123" s="631">
        <f>PRIX!O124</f>
        <v>5.4</v>
      </c>
      <c r="AW123" s="631">
        <f>PRIX!P124</f>
        <v>0.0018</v>
      </c>
      <c r="AX123" s="631">
        <f>PRIX!Q124</f>
        <v>0.000012</v>
      </c>
      <c r="AY123" s="631">
        <f>PRIX!R124</f>
        <v>0.96</v>
      </c>
      <c r="AZ123" s="631">
        <f>PRIX!S124</f>
        <v>3.25</v>
      </c>
      <c r="BA123" s="623"/>
    </row>
    <row r="124">
      <c r="A124" s="621">
        <f>ARBITRAGES!E125</f>
        <v>45879</v>
      </c>
      <c r="B124" s="623" t="str">
        <f>IF(A124="","",IF(ARBITRAGES!F125="Invest","Achat","Vente"))</f>
        <v>Vente</v>
      </c>
      <c r="C124" s="623" t="str">
        <f>ARBITRAGES!H125</f>
        <v>BTC</v>
      </c>
      <c r="D124" s="624">
        <f>ARBITRAGES!I125</f>
        <v>118850</v>
      </c>
      <c r="E124" s="624">
        <f>ARBITRAGES!J125</f>
        <v>1188.5</v>
      </c>
      <c r="F124" s="623"/>
      <c r="G124" s="621">
        <f>'PV (%)'!B126</f>
        <v>45894</v>
      </c>
      <c r="H124" s="624">
        <f>'PV (%)'!E126</f>
        <v>65419.48225</v>
      </c>
      <c r="I124" s="624">
        <f>'PV (%)'!F126</f>
        <v>55655.95562</v>
      </c>
      <c r="J124" s="626">
        <f>'PV (%)'!G126</f>
        <v>59602.25299</v>
      </c>
      <c r="K124" s="623"/>
      <c r="L124" s="621">
        <f>Exposition!A125</f>
        <v>45880</v>
      </c>
      <c r="M124" s="625">
        <f>Exposition!B125</f>
        <v>0.7533566962</v>
      </c>
      <c r="N124" s="625">
        <f>Exposition!C125</f>
        <v>0.3454256486</v>
      </c>
      <c r="O124" s="625">
        <f>Exposition!D125</f>
        <v>0.1257541923</v>
      </c>
      <c r="P124" s="625">
        <f>Exposition!E125</f>
        <v>0.01330333192</v>
      </c>
      <c r="Q124" s="625">
        <f>Exposition!F125</f>
        <v>0.06844508186</v>
      </c>
      <c r="R124" s="625">
        <f>Exposition!G125</f>
        <v>0.07347098855</v>
      </c>
      <c r="S124" s="625">
        <f>Exposition!H125</f>
        <v>0</v>
      </c>
      <c r="T124" s="625">
        <f>Exposition!I125</f>
        <v>0.03559057782</v>
      </c>
      <c r="U124" s="625">
        <f>Exposition!J125</f>
        <v>0.01573428671</v>
      </c>
      <c r="V124" s="625">
        <f>Exposition!K125</f>
        <v>0.004474238734</v>
      </c>
      <c r="W124" s="625">
        <f>Exposition!L125</f>
        <v>0.005854501802</v>
      </c>
      <c r="X124" s="625">
        <f>Exposition!M125</f>
        <v>0</v>
      </c>
      <c r="Y124" s="625">
        <f>Exposition!N125</f>
        <v>0.04580612984</v>
      </c>
      <c r="Z124" s="625">
        <f>Exposition!O125</f>
        <v>0</v>
      </c>
      <c r="AA124" s="625">
        <f>Exposition!P125</f>
        <v>0.01481708046</v>
      </c>
      <c r="AB124" s="625">
        <f>Exposition!Q125</f>
        <v>0.0000000008882119887</v>
      </c>
      <c r="AC124" s="625">
        <f>Exposition!R125</f>
        <v>0.004680636675</v>
      </c>
      <c r="AD124" s="625">
        <f>Exposition!S125</f>
        <v>0</v>
      </c>
      <c r="AE124" s="625">
        <f>Exposition!T125</f>
        <v>0</v>
      </c>
      <c r="AF124" s="625">
        <f>Exposition!U125</f>
        <v>0.2466433038</v>
      </c>
      <c r="AG124" s="623"/>
      <c r="AH124" s="621">
        <f>PRIX!A125</f>
        <v>45879</v>
      </c>
      <c r="AI124" s="631">
        <f>PRIX!B125</f>
        <v>119000</v>
      </c>
      <c r="AJ124" s="631">
        <f>PRIX!C125</f>
        <v>4200</v>
      </c>
      <c r="AK124" s="631">
        <f>PRIX!D125</f>
        <v>3.3</v>
      </c>
      <c r="AL124" s="631">
        <f>PRIX!E125</f>
        <v>180</v>
      </c>
      <c r="AM124" s="631">
        <f>PRIX!F125</f>
        <v>385</v>
      </c>
      <c r="AN124" s="631">
        <f>PRIX!G125</f>
        <v>0.56</v>
      </c>
      <c r="AO124" s="631">
        <f>PRIX!H125</f>
        <v>21.5</v>
      </c>
      <c r="AP124" s="631">
        <f>PRIX!I125</f>
        <v>0.23</v>
      </c>
      <c r="AQ124" s="631">
        <f>PRIX!J125</f>
        <v>0.0000135</v>
      </c>
      <c r="AR124" s="631">
        <f>PRIX!K125</f>
        <v>2.8</v>
      </c>
      <c r="AS124" s="631">
        <f>PRIX!L125</f>
        <v>0.51</v>
      </c>
      <c r="AT124" s="631">
        <f>PRIX!M125</f>
        <v>300</v>
      </c>
      <c r="AU124" s="631">
        <f>PRIX!N125</f>
        <v>0.0057</v>
      </c>
      <c r="AV124" s="631">
        <f>PRIX!O125</f>
        <v>5.4</v>
      </c>
      <c r="AW124" s="631">
        <f>PRIX!P125</f>
        <v>0.0018</v>
      </c>
      <c r="AX124" s="631">
        <f>PRIX!Q125</f>
        <v>0.000012</v>
      </c>
      <c r="AY124" s="631">
        <f>PRIX!R125</f>
        <v>0.96</v>
      </c>
      <c r="AZ124" s="631">
        <f>PRIX!S125</f>
        <v>3.25</v>
      </c>
      <c r="BA124" s="623"/>
    </row>
    <row r="125">
      <c r="A125" s="621">
        <f>ARBITRAGES!E126</f>
        <v>45880</v>
      </c>
      <c r="B125" s="623" t="str">
        <f>IF(A125="","",IF(ARBITRAGES!F126="Invest","Achat","Vente"))</f>
        <v>Vente</v>
      </c>
      <c r="C125" s="623" t="str">
        <f>ARBITRAGES!H126</f>
        <v>BTC</v>
      </c>
      <c r="D125" s="624">
        <f>ARBITRAGES!I126</f>
        <v>120000</v>
      </c>
      <c r="E125" s="624">
        <f>ARBITRAGES!J126</f>
        <v>1800</v>
      </c>
      <c r="F125" s="623"/>
      <c r="G125" s="621">
        <f>'PV (%)'!B127</f>
        <v>45895</v>
      </c>
      <c r="H125" s="624">
        <f>'PV (%)'!E127</f>
        <v>64527.39841</v>
      </c>
      <c r="I125" s="624">
        <f>'PV (%)'!F127</f>
        <v>55714.47217</v>
      </c>
      <c r="J125" s="626">
        <f>'PV (%)'!G127</f>
        <v>59864.82955</v>
      </c>
      <c r="K125" s="623"/>
      <c r="L125" s="621">
        <f>Exposition!A126</f>
        <v>45880</v>
      </c>
      <c r="M125" s="625">
        <f>Exposition!B126</f>
        <v>0.7562781526</v>
      </c>
      <c r="N125" s="625">
        <f>Exposition!C126</f>
        <v>0.3483668863</v>
      </c>
      <c r="O125" s="625">
        <f>Exposition!D126</f>
        <v>0.1257480943</v>
      </c>
      <c r="P125" s="625">
        <f>Exposition!E126</f>
        <v>0.01330268682</v>
      </c>
      <c r="Q125" s="625">
        <f>Exposition!F126</f>
        <v>0.06844176285</v>
      </c>
      <c r="R125" s="625">
        <f>Exposition!G126</f>
        <v>0.07346742582</v>
      </c>
      <c r="S125" s="625">
        <f>Exposition!H126</f>
        <v>0</v>
      </c>
      <c r="T125" s="625">
        <f>Exposition!I126</f>
        <v>0.03558885197</v>
      </c>
      <c r="U125" s="625">
        <f>Exposition!J126</f>
        <v>0.01573352373</v>
      </c>
      <c r="V125" s="625">
        <f>Exposition!K126</f>
        <v>0.004474021771</v>
      </c>
      <c r="W125" s="625">
        <f>Exposition!L126</f>
        <v>0.005854217907</v>
      </c>
      <c r="X125" s="625">
        <f>Exposition!M126</f>
        <v>0</v>
      </c>
      <c r="Y125" s="625">
        <f>Exposition!N126</f>
        <v>0.04580390862</v>
      </c>
      <c r="Z125" s="625">
        <f>Exposition!O126</f>
        <v>0</v>
      </c>
      <c r="AA125" s="625">
        <f>Exposition!P126</f>
        <v>0.01481636195</v>
      </c>
      <c r="AB125" s="625">
        <f>Exposition!Q126</f>
        <v>0.0000000008881689178</v>
      </c>
      <c r="AC125" s="625">
        <f>Exposition!R126</f>
        <v>0.004680409703</v>
      </c>
      <c r="AD125" s="625">
        <f>Exposition!S126</f>
        <v>0</v>
      </c>
      <c r="AE125" s="625">
        <f>Exposition!T126</f>
        <v>0</v>
      </c>
      <c r="AF125" s="625">
        <f>Exposition!U126</f>
        <v>0.2437218474</v>
      </c>
      <c r="AG125" s="623"/>
      <c r="AH125" s="621">
        <f>PRIX!A126</f>
        <v>45880</v>
      </c>
      <c r="AI125" s="631">
        <f>PRIX!B126</f>
        <v>122000</v>
      </c>
      <c r="AJ125" s="631">
        <f>PRIX!C126</f>
        <v>4300</v>
      </c>
      <c r="AK125" s="631">
        <f>PRIX!D126</f>
        <v>3.34</v>
      </c>
      <c r="AL125" s="631">
        <f>PRIX!E126</f>
        <v>185</v>
      </c>
      <c r="AM125" s="631">
        <f>PRIX!F126</f>
        <v>385</v>
      </c>
      <c r="AN125" s="631">
        <f>PRIX!G126</f>
        <v>0.565</v>
      </c>
      <c r="AO125" s="631">
        <f>PRIX!H126</f>
        <v>22</v>
      </c>
      <c r="AP125" s="631">
        <f>PRIX!I126</f>
        <v>0.233</v>
      </c>
      <c r="AQ125" s="631">
        <f>PRIX!J126</f>
        <v>0.0000135</v>
      </c>
      <c r="AR125" s="631">
        <f>PRIX!K126</f>
        <v>2.85</v>
      </c>
      <c r="AS125" s="631">
        <f>PRIX!L126</f>
        <v>0.52</v>
      </c>
      <c r="AT125" s="631">
        <f>PRIX!M126</f>
        <v>310</v>
      </c>
      <c r="AU125" s="631">
        <f>PRIX!N126</f>
        <v>0.0057</v>
      </c>
      <c r="AV125" s="631">
        <f>PRIX!O126</f>
        <v>5.4</v>
      </c>
      <c r="AW125" s="631">
        <f>PRIX!P126</f>
        <v>0.0019</v>
      </c>
      <c r="AX125" s="631">
        <f>PRIX!Q126</f>
        <v>0.000012</v>
      </c>
      <c r="AY125" s="631">
        <f>PRIX!R126</f>
        <v>0.97</v>
      </c>
      <c r="AZ125" s="631">
        <f>PRIX!S126</f>
        <v>3.3</v>
      </c>
      <c r="BA125" s="623"/>
    </row>
    <row r="126">
      <c r="A126" s="621">
        <f>ARBITRAGES!E127</f>
        <v>45880</v>
      </c>
      <c r="B126" s="623" t="str">
        <f>IF(A126="","",IF(ARBITRAGES!F127="Invest","Achat","Vente"))</f>
        <v>Achat</v>
      </c>
      <c r="C126" s="623" t="str">
        <f>ARBITRAGES!H127</f>
        <v>BTC</v>
      </c>
      <c r="D126" s="624">
        <f>ARBITRAGES!I127</f>
        <v>120000</v>
      </c>
      <c r="E126" s="624">
        <f>ARBITRAGES!J127</f>
        <v>180</v>
      </c>
      <c r="F126" s="623"/>
      <c r="G126" s="621">
        <f>'PV (%)'!B128</f>
        <v>45908</v>
      </c>
      <c r="H126" s="624">
        <f>'PV (%)'!E128</f>
        <v>65419.48225</v>
      </c>
      <c r="I126" s="624">
        <f>'PV (%)'!F128</f>
        <v>55655.95562</v>
      </c>
      <c r="J126" s="626">
        <f>'PV (%)'!G128</f>
        <v>59805.95069</v>
      </c>
      <c r="K126" s="623"/>
      <c r="L126" s="621">
        <f>Exposition!A127</f>
        <v>45880</v>
      </c>
      <c r="M126" s="625">
        <f>Exposition!B127</f>
        <v>0.7659844834</v>
      </c>
      <c r="N126" s="625">
        <f>Exposition!C127</f>
        <v>0.3581556279</v>
      </c>
      <c r="O126" s="625">
        <f>Exposition!D127</f>
        <v>0.1257226892</v>
      </c>
      <c r="P126" s="625">
        <f>Exposition!E127</f>
        <v>0.01329999926</v>
      </c>
      <c r="Q126" s="625">
        <f>Exposition!F127</f>
        <v>0.06842793548</v>
      </c>
      <c r="R126" s="625">
        <f>Exposition!G127</f>
        <v>0.07345258311</v>
      </c>
      <c r="S126" s="625">
        <f>Exposition!H127</f>
        <v>0</v>
      </c>
      <c r="T126" s="625">
        <f>Exposition!I127</f>
        <v>0.03558166192</v>
      </c>
      <c r="U126" s="625">
        <f>Exposition!J127</f>
        <v>0.01573034507</v>
      </c>
      <c r="V126" s="625">
        <f>Exposition!K127</f>
        <v>0.004473117879</v>
      </c>
      <c r="W126" s="625">
        <f>Exposition!L127</f>
        <v>0.005853035173</v>
      </c>
      <c r="X126" s="625">
        <f>Exposition!M127</f>
        <v>0</v>
      </c>
      <c r="Y126" s="625">
        <f>Exposition!N127</f>
        <v>0.0457946548</v>
      </c>
      <c r="Z126" s="625">
        <f>Exposition!O127</f>
        <v>0</v>
      </c>
      <c r="AA126" s="625">
        <f>Exposition!P127</f>
        <v>0.01481336859</v>
      </c>
      <c r="AB126" s="625">
        <f>Exposition!Q127</f>
        <v>0.00000000088798948</v>
      </c>
      <c r="AC126" s="625">
        <f>Exposition!R127</f>
        <v>0.004679464114</v>
      </c>
      <c r="AD126" s="625">
        <f>Exposition!S127</f>
        <v>0</v>
      </c>
      <c r="AE126" s="625">
        <f>Exposition!T127</f>
        <v>0</v>
      </c>
      <c r="AF126" s="625">
        <f>Exposition!U127</f>
        <v>0.2340155166</v>
      </c>
      <c r="AG126" s="623"/>
      <c r="AH126" s="621">
        <f>PRIX!A127</f>
        <v>45880</v>
      </c>
      <c r="AI126" s="631">
        <f>PRIX!B127</f>
        <v>122000</v>
      </c>
      <c r="AJ126" s="631">
        <f>PRIX!C127</f>
        <v>4300</v>
      </c>
      <c r="AK126" s="631">
        <f>PRIX!D127</f>
        <v>3.34</v>
      </c>
      <c r="AL126" s="631">
        <f>PRIX!E127</f>
        <v>185</v>
      </c>
      <c r="AM126" s="631">
        <f>PRIX!F127</f>
        <v>385</v>
      </c>
      <c r="AN126" s="631">
        <f>PRIX!G127</f>
        <v>0.565</v>
      </c>
      <c r="AO126" s="631">
        <f>PRIX!H127</f>
        <v>22</v>
      </c>
      <c r="AP126" s="631">
        <f>PRIX!I127</f>
        <v>0.233</v>
      </c>
      <c r="AQ126" s="631">
        <f>PRIX!J127</f>
        <v>0.0000135</v>
      </c>
      <c r="AR126" s="631">
        <f>PRIX!K127</f>
        <v>2.85</v>
      </c>
      <c r="AS126" s="631">
        <f>PRIX!L127</f>
        <v>0.52</v>
      </c>
      <c r="AT126" s="631">
        <f>PRIX!M127</f>
        <v>310</v>
      </c>
      <c r="AU126" s="631">
        <f>PRIX!N127</f>
        <v>0.0057</v>
      </c>
      <c r="AV126" s="631">
        <f>PRIX!O127</f>
        <v>5.4</v>
      </c>
      <c r="AW126" s="631">
        <f>PRIX!P127</f>
        <v>0.0019</v>
      </c>
      <c r="AX126" s="631">
        <f>PRIX!Q127</f>
        <v>0.000012</v>
      </c>
      <c r="AY126" s="631">
        <f>PRIX!R127</f>
        <v>0.97</v>
      </c>
      <c r="AZ126" s="631">
        <f>PRIX!S127</f>
        <v>3.3</v>
      </c>
      <c r="BA126" s="623"/>
    </row>
    <row r="127">
      <c r="A127" s="621">
        <f>ARBITRAGES!E128</f>
        <v>45880</v>
      </c>
      <c r="B127" s="623" t="str">
        <f>IF(A127="","",IF(ARBITRAGES!F128="Invest","Achat","Vente"))</f>
        <v>Achat</v>
      </c>
      <c r="C127" s="623" t="str">
        <f>ARBITRAGES!H128</f>
        <v>BTC</v>
      </c>
      <c r="D127" s="624">
        <f>ARBITRAGES!I128</f>
        <v>119500</v>
      </c>
      <c r="E127" s="624">
        <f>ARBITRAGES!J128</f>
        <v>597.57</v>
      </c>
      <c r="F127" s="623"/>
      <c r="G127" s="621">
        <f>'PV (%)'!B129</f>
        <v>45908</v>
      </c>
      <c r="H127" s="624">
        <f>'PV (%)'!E129</f>
        <v>65419.48225</v>
      </c>
      <c r="I127" s="624">
        <f>'PV (%)'!F129</f>
        <v>55655.95562</v>
      </c>
      <c r="J127" s="626">
        <f>'PV (%)'!G129</f>
        <v>59814.62121</v>
      </c>
      <c r="K127" s="623"/>
      <c r="L127" s="621">
        <f>Exposition!A128</f>
        <v>45881</v>
      </c>
      <c r="M127" s="625">
        <f>Exposition!B128</f>
        <v>0.7789828338</v>
      </c>
      <c r="N127" s="625">
        <f>Exposition!C128</f>
        <v>0.3561856902</v>
      </c>
      <c r="O127" s="625">
        <f>Exposition!D128</f>
        <v>0.1338998138</v>
      </c>
      <c r="P127" s="625">
        <f>Exposition!E128</f>
        <v>0.01342511942</v>
      </c>
      <c r="Q127" s="625">
        <f>Exposition!F128</f>
        <v>0.07208229625</v>
      </c>
      <c r="R127" s="625">
        <f>Exposition!G128</f>
        <v>0.07436066135</v>
      </c>
      <c r="S127" s="625">
        <f>Exposition!H128</f>
        <v>0</v>
      </c>
      <c r="T127" s="625">
        <f>Exposition!I128</f>
        <v>0.03624668492</v>
      </c>
      <c r="U127" s="625">
        <f>Exposition!J128</f>
        <v>0.01644596061</v>
      </c>
      <c r="V127" s="625">
        <f>Exposition!K128</f>
        <v>0.004520032099</v>
      </c>
      <c r="W127" s="625">
        <f>Exposition!L128</f>
        <v>0.006003360691</v>
      </c>
      <c r="X127" s="625">
        <f>Exposition!M128</f>
        <v>0</v>
      </c>
      <c r="Y127" s="625">
        <f>Exposition!N128</f>
        <v>0.04678141625</v>
      </c>
      <c r="Z127" s="625">
        <f>Exposition!O128</f>
        <v>0</v>
      </c>
      <c r="AA127" s="625">
        <f>Exposition!P128</f>
        <v>0.01443413416</v>
      </c>
      <c r="AB127" s="625">
        <f>Exposition!Q128</f>
        <v>0.0000000009563358206</v>
      </c>
      <c r="AC127" s="625">
        <f>Exposition!R128</f>
        <v>0.004597663199</v>
      </c>
      <c r="AD127" s="625">
        <f>Exposition!S128</f>
        <v>0</v>
      </c>
      <c r="AE127" s="625">
        <f>Exposition!T128</f>
        <v>0</v>
      </c>
      <c r="AF127" s="625">
        <f>Exposition!U128</f>
        <v>0.2210171662</v>
      </c>
      <c r="AG127" s="623"/>
      <c r="AH127" s="621">
        <f>PRIX!A128</f>
        <v>45880</v>
      </c>
      <c r="AI127" s="631">
        <f>PRIX!B128</f>
        <v>122000</v>
      </c>
      <c r="AJ127" s="631">
        <f>PRIX!C128</f>
        <v>4300</v>
      </c>
      <c r="AK127" s="631">
        <f>PRIX!D128</f>
        <v>3.34</v>
      </c>
      <c r="AL127" s="631">
        <f>PRIX!E128</f>
        <v>185</v>
      </c>
      <c r="AM127" s="631">
        <f>PRIX!F128</f>
        <v>385</v>
      </c>
      <c r="AN127" s="631">
        <f>PRIX!G128</f>
        <v>0.565</v>
      </c>
      <c r="AO127" s="631">
        <f>PRIX!H128</f>
        <v>22</v>
      </c>
      <c r="AP127" s="631">
        <f>PRIX!I128</f>
        <v>0.233</v>
      </c>
      <c r="AQ127" s="631">
        <f>PRIX!J128</f>
        <v>0.0000135</v>
      </c>
      <c r="AR127" s="631">
        <f>PRIX!K128</f>
        <v>2.85</v>
      </c>
      <c r="AS127" s="631">
        <f>PRIX!L128</f>
        <v>0.52</v>
      </c>
      <c r="AT127" s="631">
        <f>PRIX!M128</f>
        <v>310</v>
      </c>
      <c r="AU127" s="631">
        <f>PRIX!N128</f>
        <v>0.0057</v>
      </c>
      <c r="AV127" s="631">
        <f>PRIX!O128</f>
        <v>5.4</v>
      </c>
      <c r="AW127" s="631">
        <f>PRIX!P128</f>
        <v>0.0019</v>
      </c>
      <c r="AX127" s="631">
        <f>PRIX!Q128</f>
        <v>0.000012</v>
      </c>
      <c r="AY127" s="631">
        <f>PRIX!R128</f>
        <v>0.97</v>
      </c>
      <c r="AZ127" s="631">
        <f>PRIX!S128</f>
        <v>3.3</v>
      </c>
      <c r="BA127" s="623"/>
    </row>
    <row r="128">
      <c r="A128" s="621">
        <f>ARBITRAGES!E129</f>
        <v>45881</v>
      </c>
      <c r="B128" s="623" t="str">
        <f>IF(A128="","",IF(ARBITRAGES!F129="Invest","Achat","Vente"))</f>
        <v>Achat</v>
      </c>
      <c r="C128" s="623" t="str">
        <f>ARBITRAGES!H129</f>
        <v>BTC</v>
      </c>
      <c r="D128" s="624">
        <f>ARBITRAGES!I129</f>
        <v>118750</v>
      </c>
      <c r="E128" s="624">
        <f>ARBITRAGES!J129</f>
        <v>445</v>
      </c>
      <c r="F128" s="623"/>
      <c r="G128" s="621">
        <f>'PV (%)'!B130</f>
        <v>45909</v>
      </c>
      <c r="H128" s="624">
        <f>'PV (%)'!E130</f>
        <v>65419.48225</v>
      </c>
      <c r="I128" s="624">
        <f>'PV (%)'!F130</f>
        <v>55655.95562</v>
      </c>
      <c r="J128" s="626">
        <f>'PV (%)'!G130</f>
        <v>59843.93736</v>
      </c>
      <c r="K128" s="623"/>
      <c r="L128" s="621">
        <f>Exposition!A129</f>
        <v>45882</v>
      </c>
      <c r="M128" s="625">
        <f>Exposition!B129</f>
        <v>0.7634154203</v>
      </c>
      <c r="N128" s="625">
        <f>Exposition!C129</f>
        <v>0.3561739121</v>
      </c>
      <c r="O128" s="625">
        <f>Exposition!D129</f>
        <v>0.1183537314</v>
      </c>
      <c r="P128" s="625">
        <f>Exposition!E129</f>
        <v>0.01342467548</v>
      </c>
      <c r="Q128" s="625">
        <f>Exposition!F129</f>
        <v>0.07207991267</v>
      </c>
      <c r="R128" s="625">
        <f>Exposition!G129</f>
        <v>0.07435820244</v>
      </c>
      <c r="S128" s="625">
        <f>Exposition!H129</f>
        <v>0</v>
      </c>
      <c r="T128" s="625">
        <f>Exposition!I129</f>
        <v>0.03624548633</v>
      </c>
      <c r="U128" s="625">
        <f>Exposition!J129</f>
        <v>0.01644541679</v>
      </c>
      <c r="V128" s="625">
        <f>Exposition!K129</f>
        <v>0.004519882633</v>
      </c>
      <c r="W128" s="625">
        <f>Exposition!L129</f>
        <v>0.006003162176</v>
      </c>
      <c r="X128" s="625">
        <f>Exposition!M129</f>
        <v>0</v>
      </c>
      <c r="Y128" s="625">
        <f>Exposition!N129</f>
        <v>0.04677986931</v>
      </c>
      <c r="Z128" s="625">
        <f>Exposition!O129</f>
        <v>0</v>
      </c>
      <c r="AA128" s="625">
        <f>Exposition!P129</f>
        <v>0.01443365686</v>
      </c>
      <c r="AB128" s="625">
        <f>Exposition!Q129</f>
        <v>0.0000000009563041971</v>
      </c>
      <c r="AC128" s="625">
        <f>Exposition!R129</f>
        <v>0.004597511167</v>
      </c>
      <c r="AD128" s="625">
        <f>Exposition!S129</f>
        <v>0</v>
      </c>
      <c r="AE128" s="625">
        <f>Exposition!T129</f>
        <v>0</v>
      </c>
      <c r="AF128" s="625">
        <f>Exposition!U129</f>
        <v>0.2365845797</v>
      </c>
      <c r="AG128" s="623"/>
      <c r="AH128" s="621">
        <f>PRIX!A129</f>
        <v>45881</v>
      </c>
      <c r="AI128" s="631">
        <f>PRIX!B129</f>
        <v>122000</v>
      </c>
      <c r="AJ128" s="631">
        <f>PRIX!C129</f>
        <v>4700</v>
      </c>
      <c r="AK128" s="631">
        <f>PRIX!D129</f>
        <v>3.46</v>
      </c>
      <c r="AL128" s="631">
        <f>PRIX!E129</f>
        <v>200</v>
      </c>
      <c r="AM128" s="631">
        <f>PRIX!F129</f>
        <v>400</v>
      </c>
      <c r="AN128" s="631">
        <f>PRIX!G129</f>
        <v>0.6</v>
      </c>
      <c r="AO128" s="631">
        <f>PRIX!H129</f>
        <v>23</v>
      </c>
      <c r="AP128" s="631">
        <f>PRIX!I129</f>
        <v>0.25</v>
      </c>
      <c r="AQ128" s="631">
        <f>PRIX!J129</f>
        <v>0.000014</v>
      </c>
      <c r="AR128" s="631">
        <f>PRIX!K129</f>
        <v>3</v>
      </c>
      <c r="AS128" s="631">
        <f>PRIX!L129</f>
        <v>0.55</v>
      </c>
      <c r="AT128" s="631">
        <f>PRIX!M129</f>
        <v>325</v>
      </c>
      <c r="AU128" s="631">
        <f>PRIX!N129</f>
        <v>0.0058</v>
      </c>
      <c r="AV128" s="631">
        <f>PRIX!O129</f>
        <v>5.4</v>
      </c>
      <c r="AW128" s="631">
        <f>PRIX!P129</f>
        <v>0.0021</v>
      </c>
      <c r="AX128" s="631">
        <f>PRIX!Q129</f>
        <v>0.0000121</v>
      </c>
      <c r="AY128" s="631">
        <f>PRIX!R129</f>
        <v>1</v>
      </c>
      <c r="AZ128" s="631">
        <f>PRIX!S129</f>
        <v>3.65</v>
      </c>
      <c r="BA128" s="623"/>
    </row>
    <row r="129">
      <c r="A129" s="621">
        <f>ARBITRAGES!E130</f>
        <v>45882</v>
      </c>
      <c r="B129" s="623" t="str">
        <f>IF(A129="","",IF(ARBITRAGES!F130="Invest","Achat","Vente"))</f>
        <v>Vente</v>
      </c>
      <c r="C129" s="623" t="str">
        <f>ARBITRAGES!H130</f>
        <v>ETH</v>
      </c>
      <c r="D129" s="624">
        <f>ARBITRAGES!I130</f>
        <v>4710</v>
      </c>
      <c r="E129" s="624">
        <f>ARBITRAGES!J130</f>
        <v>989.1</v>
      </c>
      <c r="F129" s="623"/>
      <c r="G129" s="621">
        <f>'PV (%)'!B131</f>
        <v>45911</v>
      </c>
      <c r="H129" s="624">
        <f>'PV (%)'!E131</f>
        <v>68690.45637</v>
      </c>
      <c r="I129" s="624">
        <f>'PV (%)'!F131</f>
        <v>59446.60496</v>
      </c>
      <c r="J129" s="626">
        <f>'PV (%)'!G131</f>
        <v>63068.19267</v>
      </c>
      <c r="K129" s="623"/>
      <c r="L129" s="621">
        <f>Exposition!A130</f>
        <v>45882</v>
      </c>
      <c r="M129" s="625">
        <f>Exposition!B130</f>
        <v>0.7585198004</v>
      </c>
      <c r="N129" s="625">
        <f>Exposition!C130</f>
        <v>0.3546749001</v>
      </c>
      <c r="O129" s="625">
        <f>Exposition!D130</f>
        <v>0.119109405</v>
      </c>
      <c r="P129" s="625">
        <f>Exposition!E130</f>
        <v>0.01375453916</v>
      </c>
      <c r="Q129" s="625">
        <f>Exposition!F130</f>
        <v>0.06768858288</v>
      </c>
      <c r="R129" s="625">
        <f>Exposition!G130</f>
        <v>0.07219412329</v>
      </c>
      <c r="S129" s="625">
        <f>Exposition!H130</f>
        <v>0</v>
      </c>
      <c r="T129" s="625">
        <f>Exposition!I130</f>
        <v>0.03766220004</v>
      </c>
      <c r="U129" s="625">
        <f>Exposition!J130</f>
        <v>0.01637620375</v>
      </c>
      <c r="V129" s="625">
        <f>Exposition!K130</f>
        <v>0.004500860022</v>
      </c>
      <c r="W129" s="625">
        <f>Exposition!L130</f>
        <v>0.005878265341</v>
      </c>
      <c r="X129" s="625">
        <f>Exposition!M130</f>
        <v>0</v>
      </c>
      <c r="Y129" s="625">
        <f>Exposition!N130</f>
        <v>0.04772964733</v>
      </c>
      <c r="Z129" s="625">
        <f>Exposition!O130</f>
        <v>0</v>
      </c>
      <c r="AA129" s="625">
        <f>Exposition!P130</f>
        <v>0.01437291063</v>
      </c>
      <c r="AB129" s="625">
        <f>Exposition!Q130</f>
        <v>0.0000000009522794459</v>
      </c>
      <c r="AC129" s="625">
        <f>Exposition!R130</f>
        <v>0.004578161844</v>
      </c>
      <c r="AD129" s="625">
        <f>Exposition!S130</f>
        <v>0</v>
      </c>
      <c r="AE129" s="625">
        <f>Exposition!T130</f>
        <v>0</v>
      </c>
      <c r="AF129" s="625">
        <f>Exposition!U130</f>
        <v>0.2414801996</v>
      </c>
      <c r="AG129" s="623"/>
      <c r="AH129" s="621">
        <f>PRIX!A130</f>
        <v>45882</v>
      </c>
      <c r="AI129" s="631">
        <f>PRIX!B130</f>
        <v>122000</v>
      </c>
      <c r="AJ129" s="631">
        <f>PRIX!C130</f>
        <v>4700</v>
      </c>
      <c r="AK129" s="631">
        <f>PRIX!D130</f>
        <v>3.46</v>
      </c>
      <c r="AL129" s="631">
        <f>PRIX!E130</f>
        <v>200</v>
      </c>
      <c r="AM129" s="631">
        <f>PRIX!F130</f>
        <v>400</v>
      </c>
      <c r="AN129" s="631">
        <f>PRIX!G130</f>
        <v>0.6</v>
      </c>
      <c r="AO129" s="631">
        <f>PRIX!H130</f>
        <v>23</v>
      </c>
      <c r="AP129" s="631">
        <f>PRIX!I130</f>
        <v>0.25</v>
      </c>
      <c r="AQ129" s="631">
        <f>PRIX!J130</f>
        <v>0.000014</v>
      </c>
      <c r="AR129" s="631">
        <f>PRIX!K130</f>
        <v>3</v>
      </c>
      <c r="AS129" s="631">
        <f>PRIX!L130</f>
        <v>0.55</v>
      </c>
      <c r="AT129" s="631">
        <f>PRIX!M130</f>
        <v>325</v>
      </c>
      <c r="AU129" s="631">
        <f>PRIX!N130</f>
        <v>0.0058</v>
      </c>
      <c r="AV129" s="631">
        <f>PRIX!O130</f>
        <v>5.4</v>
      </c>
      <c r="AW129" s="631">
        <f>PRIX!P130</f>
        <v>0.0021</v>
      </c>
      <c r="AX129" s="631">
        <f>PRIX!Q130</f>
        <v>0.0000121</v>
      </c>
      <c r="AY129" s="631">
        <f>PRIX!R130</f>
        <v>1</v>
      </c>
      <c r="AZ129" s="631">
        <f>PRIX!S130</f>
        <v>3.65</v>
      </c>
      <c r="BA129" s="623"/>
    </row>
    <row r="130">
      <c r="A130" s="621">
        <f>ARBITRAGES!E131</f>
        <v>45882</v>
      </c>
      <c r="B130" s="623" t="str">
        <f>IF(A130="","",IF(ARBITRAGES!F131="Invest","Achat","Vente"))</f>
        <v>Vente</v>
      </c>
      <c r="C130" s="623" t="str">
        <f>ARBITRAGES!H131</f>
        <v>SOL</v>
      </c>
      <c r="D130" s="624">
        <f>ARBITRAGES!I131</f>
        <v>202</v>
      </c>
      <c r="E130" s="624">
        <f>ARBITRAGES!J131</f>
        <v>375.72</v>
      </c>
      <c r="F130" s="623"/>
      <c r="G130" s="621">
        <f>'PV (%)'!B132</f>
        <v>45911</v>
      </c>
      <c r="H130" s="624">
        <f>'PV (%)'!E132</f>
        <v>68690.45637</v>
      </c>
      <c r="I130" s="624">
        <f>'PV (%)'!F132</f>
        <v>59446.60496</v>
      </c>
      <c r="J130" s="626">
        <f>'PV (%)'!G132</f>
        <v>63402.30545</v>
      </c>
      <c r="K130" s="623"/>
      <c r="L130" s="621">
        <f>Exposition!A131</f>
        <v>45882</v>
      </c>
      <c r="M130" s="625">
        <f>Exposition!B131</f>
        <v>0.7511139122</v>
      </c>
      <c r="N130" s="625">
        <f>Exposition!C131</f>
        <v>0.354614153</v>
      </c>
      <c r="O130" s="625">
        <f>Exposition!D131</f>
        <v>0.1118130322</v>
      </c>
      <c r="P130" s="625">
        <f>Exposition!E131</f>
        <v>0.01375218334</v>
      </c>
      <c r="Q130" s="625">
        <f>Exposition!F131</f>
        <v>0.06767698948</v>
      </c>
      <c r="R130" s="625">
        <f>Exposition!G131</f>
        <v>0.0721817582</v>
      </c>
      <c r="S130" s="625">
        <f>Exposition!H131</f>
        <v>0</v>
      </c>
      <c r="T130" s="625">
        <f>Exposition!I131</f>
        <v>0.03765574943</v>
      </c>
      <c r="U130" s="625">
        <f>Exposition!J131</f>
        <v>0.01637339891</v>
      </c>
      <c r="V130" s="625">
        <f>Exposition!K131</f>
        <v>0.004500089134</v>
      </c>
      <c r="W130" s="625">
        <f>Exposition!L131</f>
        <v>0.005877258538</v>
      </c>
      <c r="X130" s="625">
        <f>Exposition!M131</f>
        <v>0</v>
      </c>
      <c r="Y130" s="625">
        <f>Exposition!N131</f>
        <v>0.04772147241</v>
      </c>
      <c r="Z130" s="625">
        <f>Exposition!O131</f>
        <v>0</v>
      </c>
      <c r="AA130" s="625">
        <f>Exposition!P131</f>
        <v>0.0143704489</v>
      </c>
      <c r="AB130" s="625">
        <f>Exposition!Q131</f>
        <v>0.0000000009521163436</v>
      </c>
      <c r="AC130" s="625">
        <f>Exposition!R131</f>
        <v>0.004577377716</v>
      </c>
      <c r="AD130" s="625">
        <f>Exposition!S131</f>
        <v>0</v>
      </c>
      <c r="AE130" s="625">
        <f>Exposition!T131</f>
        <v>0</v>
      </c>
      <c r="AF130" s="625">
        <f>Exposition!U131</f>
        <v>0.2488860878</v>
      </c>
      <c r="AG130" s="623"/>
      <c r="AH130" s="621">
        <f>PRIX!A131</f>
        <v>45882</v>
      </c>
      <c r="AI130" s="631">
        <f>PRIX!B131</f>
        <v>122000</v>
      </c>
      <c r="AJ130" s="631">
        <f>PRIX!C131</f>
        <v>4750</v>
      </c>
      <c r="AK130" s="631">
        <f>PRIX!D131</f>
        <v>3.56</v>
      </c>
      <c r="AL130" s="631">
        <f>PRIX!E131</f>
        <v>205</v>
      </c>
      <c r="AM130" s="631">
        <f>PRIX!F131</f>
        <v>390</v>
      </c>
      <c r="AN130" s="631">
        <f>PRIX!G131</f>
        <v>0.6</v>
      </c>
      <c r="AO130" s="631">
        <f>PRIX!H131</f>
        <v>24</v>
      </c>
      <c r="AP130" s="631">
        <f>PRIX!I131</f>
        <v>0.25</v>
      </c>
      <c r="AQ130" s="631">
        <f>PRIX!J131</f>
        <v>0.000014</v>
      </c>
      <c r="AR130" s="631">
        <f>PRIX!K131</f>
        <v>2.95</v>
      </c>
      <c r="AS130" s="631">
        <f>PRIX!L131</f>
        <v>0.55</v>
      </c>
      <c r="AT130" s="631">
        <f>PRIX!M131</f>
        <v>333</v>
      </c>
      <c r="AU130" s="631">
        <f>PRIX!N131</f>
        <v>0.0058</v>
      </c>
      <c r="AV130" s="631">
        <f>PRIX!O131</f>
        <v>5.4</v>
      </c>
      <c r="AW130" s="631">
        <f>PRIX!P131</f>
        <v>0.0021</v>
      </c>
      <c r="AX130" s="631">
        <f>PRIX!Q131</f>
        <v>0.0000121</v>
      </c>
      <c r="AY130" s="631">
        <f>PRIX!R131</f>
        <v>1</v>
      </c>
      <c r="AZ130" s="631">
        <f>PRIX!S131</f>
        <v>3.7</v>
      </c>
      <c r="BA130" s="623"/>
    </row>
    <row r="131">
      <c r="A131" s="621">
        <f>ARBITRAGES!E132</f>
        <v>45882</v>
      </c>
      <c r="B131" s="623" t="str">
        <f>IF(A131="","",IF(ARBITRAGES!F132="Invest","Achat","Vente"))</f>
        <v>Vente</v>
      </c>
      <c r="C131" s="623" t="str">
        <f>ARBITRAGES!H132</f>
        <v>ETH</v>
      </c>
      <c r="D131" s="624">
        <f>ARBITRAGES!I132</f>
        <v>4750</v>
      </c>
      <c r="E131" s="624">
        <f>ARBITRAGES!J132</f>
        <v>475.03078</v>
      </c>
      <c r="F131" s="623"/>
      <c r="G131" s="621">
        <f>'PV (%)'!B133</f>
        <v>45911</v>
      </c>
      <c r="H131" s="624">
        <f>'PV (%)'!E133</f>
        <v>68690.45637</v>
      </c>
      <c r="I131" s="624">
        <f>'PV (%)'!F133</f>
        <v>59446.60496</v>
      </c>
      <c r="J131" s="626">
        <f>'PV (%)'!G133</f>
        <v>63397.30545</v>
      </c>
      <c r="K131" s="623"/>
      <c r="L131" s="621">
        <f>Exposition!A132</f>
        <v>45883</v>
      </c>
      <c r="M131" s="625">
        <f>Exposition!B132</f>
        <v>0.7452024126</v>
      </c>
      <c r="N131" s="625">
        <f>Exposition!C132</f>
        <v>0.3546331672</v>
      </c>
      <c r="O131" s="625">
        <f>Exposition!D132</f>
        <v>0.1118190276</v>
      </c>
      <c r="P131" s="625">
        <f>Exposition!E132</f>
        <v>0.01375292073</v>
      </c>
      <c r="Q131" s="625">
        <f>Exposition!F132</f>
        <v>0.06768061829</v>
      </c>
      <c r="R131" s="625">
        <f>Exposition!G132</f>
        <v>0.07218562856</v>
      </c>
      <c r="S131" s="625">
        <f>Exposition!H132</f>
        <v>0</v>
      </c>
      <c r="T131" s="625">
        <f>Exposition!I132</f>
        <v>0.03765776851</v>
      </c>
      <c r="U131" s="625">
        <f>Exposition!J132</f>
        <v>0.01637427684</v>
      </c>
      <c r="V131" s="625">
        <f>Exposition!K132</f>
        <v>0.004500330427</v>
      </c>
      <c r="W131" s="625">
        <f>Exposition!L132</f>
        <v>0.005877573674</v>
      </c>
      <c r="X131" s="625">
        <f>Exposition!M132</f>
        <v>0</v>
      </c>
      <c r="Y131" s="625">
        <f>Exposition!N132</f>
        <v>0.04177225724</v>
      </c>
      <c r="Z131" s="625">
        <f>Exposition!O132</f>
        <v>0</v>
      </c>
      <c r="AA131" s="625">
        <f>Exposition!P132</f>
        <v>0.01437121944</v>
      </c>
      <c r="AB131" s="625">
        <f>Exposition!Q132</f>
        <v>0.0000000009521673957</v>
      </c>
      <c r="AC131" s="625">
        <f>Exposition!R132</f>
        <v>0.004577623153</v>
      </c>
      <c r="AD131" s="625">
        <f>Exposition!S132</f>
        <v>0</v>
      </c>
      <c r="AE131" s="625">
        <f>Exposition!T132</f>
        <v>0</v>
      </c>
      <c r="AF131" s="625">
        <f>Exposition!U132</f>
        <v>0.2547975874</v>
      </c>
      <c r="AG131" s="623"/>
      <c r="AH131" s="621">
        <f>PRIX!A132</f>
        <v>45882</v>
      </c>
      <c r="AI131" s="631">
        <f>PRIX!B132</f>
        <v>122000</v>
      </c>
      <c r="AJ131" s="631">
        <f>PRIX!C132</f>
        <v>4750</v>
      </c>
      <c r="AK131" s="631">
        <f>PRIX!D132</f>
        <v>3.56</v>
      </c>
      <c r="AL131" s="631">
        <f>PRIX!E132</f>
        <v>205</v>
      </c>
      <c r="AM131" s="631">
        <f>PRIX!F132</f>
        <v>390</v>
      </c>
      <c r="AN131" s="631">
        <f>PRIX!G132</f>
        <v>0.6</v>
      </c>
      <c r="AO131" s="631">
        <f>PRIX!H132</f>
        <v>24</v>
      </c>
      <c r="AP131" s="631">
        <f>PRIX!I132</f>
        <v>0.25</v>
      </c>
      <c r="AQ131" s="631">
        <f>PRIX!J132</f>
        <v>0.000014</v>
      </c>
      <c r="AR131" s="631">
        <f>PRIX!K132</f>
        <v>2.95</v>
      </c>
      <c r="AS131" s="631">
        <f>PRIX!L132</f>
        <v>0.55</v>
      </c>
      <c r="AT131" s="631">
        <f>PRIX!M132</f>
        <v>333</v>
      </c>
      <c r="AU131" s="631">
        <f>PRIX!N132</f>
        <v>0.0058</v>
      </c>
      <c r="AV131" s="631">
        <f>PRIX!O132</f>
        <v>5.4</v>
      </c>
      <c r="AW131" s="631">
        <f>PRIX!P132</f>
        <v>0.0021</v>
      </c>
      <c r="AX131" s="631">
        <f>PRIX!Q132</f>
        <v>0.0000121</v>
      </c>
      <c r="AY131" s="631">
        <f>PRIX!R132</f>
        <v>1</v>
      </c>
      <c r="AZ131" s="631">
        <f>PRIX!S132</f>
        <v>3.7</v>
      </c>
      <c r="BA131" s="623"/>
    </row>
    <row r="132">
      <c r="A132" s="621">
        <f>ARBITRAGES!E133</f>
        <v>45883</v>
      </c>
      <c r="B132" s="623" t="str">
        <f>IF(A132="","",IF(ARBITRAGES!F133="Invest","Achat","Vente"))</f>
        <v>Vente</v>
      </c>
      <c r="C132" s="623" t="str">
        <f>ARBITRAGES!H133</f>
        <v>AAVE</v>
      </c>
      <c r="D132" s="624">
        <f>ARBITRAGES!I133</f>
        <v>330</v>
      </c>
      <c r="E132" s="624">
        <f>ARBITRAGES!J133</f>
        <v>376.2</v>
      </c>
      <c r="F132" s="623"/>
      <c r="G132" s="621">
        <f>'PV (%)'!B134</f>
        <v>45912</v>
      </c>
      <c r="H132" s="624">
        <f>'PV (%)'!E134</f>
        <v>68690.45637</v>
      </c>
      <c r="I132" s="624">
        <f>'PV (%)'!F134</f>
        <v>59446.60496</v>
      </c>
      <c r="J132" s="626">
        <f>'PV (%)'!G134</f>
        <v>63116.34295</v>
      </c>
      <c r="K132" s="623"/>
      <c r="L132" s="621">
        <f>Exposition!A133</f>
        <v>45886</v>
      </c>
      <c r="M132" s="625">
        <f>Exposition!B133</f>
        <v>0.7355258554</v>
      </c>
      <c r="N132" s="625">
        <f>Exposition!C133</f>
        <v>0.3537385784</v>
      </c>
      <c r="O132" s="625">
        <f>Exposition!D133</f>
        <v>0.1095341249</v>
      </c>
      <c r="P132" s="625">
        <f>Exposition!E133</f>
        <v>0.01382703082</v>
      </c>
      <c r="Q132" s="625">
        <f>Exposition!F133</f>
        <v>0.06583563252</v>
      </c>
      <c r="R132" s="625">
        <f>Exposition!G133</f>
        <v>0.07211524042</v>
      </c>
      <c r="S132" s="625">
        <f>Exposition!H133</f>
        <v>0</v>
      </c>
      <c r="T132" s="625">
        <f>Exposition!I133</f>
        <v>0.03581722222</v>
      </c>
      <c r="U132" s="625">
        <f>Exposition!J133</f>
        <v>0.01574004346</v>
      </c>
      <c r="V132" s="625">
        <f>Exposition!K133</f>
        <v>0.004339165773</v>
      </c>
      <c r="W132" s="625">
        <f>Exposition!L133</f>
        <v>0.005704926343</v>
      </c>
      <c r="X132" s="625">
        <f>Exposition!M133</f>
        <v>0</v>
      </c>
      <c r="Y132" s="625">
        <f>Exposition!N133</f>
        <v>0.03912546339</v>
      </c>
      <c r="Z132" s="625">
        <f>Exposition!O133</f>
        <v>0</v>
      </c>
      <c r="AA132" s="625">
        <f>Exposition!P133</f>
        <v>0.01537673937</v>
      </c>
      <c r="AB132" s="625">
        <f>Exposition!Q133</f>
        <v>0.0000000008809749446</v>
      </c>
      <c r="AC132" s="625">
        <f>Exposition!R133</f>
        <v>0.004371686947</v>
      </c>
      <c r="AD132" s="625">
        <f>Exposition!S133</f>
        <v>0</v>
      </c>
      <c r="AE132" s="625">
        <f>Exposition!T133</f>
        <v>0</v>
      </c>
      <c r="AF132" s="625">
        <f>Exposition!U133</f>
        <v>0.2644741446</v>
      </c>
      <c r="AG132" s="623"/>
      <c r="AH132" s="621">
        <f>PRIX!A133</f>
        <v>45883</v>
      </c>
      <c r="AI132" s="631">
        <f>PRIX!B133</f>
        <v>122000</v>
      </c>
      <c r="AJ132" s="631">
        <f>PRIX!C133</f>
        <v>4750</v>
      </c>
      <c r="AK132" s="631">
        <f>PRIX!D133</f>
        <v>3.56</v>
      </c>
      <c r="AL132" s="631">
        <f>PRIX!E133</f>
        <v>205</v>
      </c>
      <c r="AM132" s="631">
        <f>PRIX!F133</f>
        <v>390</v>
      </c>
      <c r="AN132" s="631">
        <f>PRIX!G133</f>
        <v>0.6</v>
      </c>
      <c r="AO132" s="631">
        <f>PRIX!H133</f>
        <v>24</v>
      </c>
      <c r="AP132" s="631">
        <f>PRIX!I133</f>
        <v>0.25</v>
      </c>
      <c r="AQ132" s="631">
        <f>PRIX!J133</f>
        <v>0.000014</v>
      </c>
      <c r="AR132" s="631">
        <f>PRIX!K133</f>
        <v>2.95</v>
      </c>
      <c r="AS132" s="631">
        <f>PRIX!L133</f>
        <v>0.55</v>
      </c>
      <c r="AT132" s="631">
        <f>PRIX!M133</f>
        <v>333</v>
      </c>
      <c r="AU132" s="631">
        <f>PRIX!N133</f>
        <v>0.0058</v>
      </c>
      <c r="AV132" s="631">
        <f>PRIX!O133</f>
        <v>5.4</v>
      </c>
      <c r="AW132" s="631">
        <f>PRIX!P133</f>
        <v>0.0021</v>
      </c>
      <c r="AX132" s="631">
        <f>PRIX!Q133</f>
        <v>0.0000121</v>
      </c>
      <c r="AY132" s="631">
        <f>PRIX!R133</f>
        <v>1</v>
      </c>
      <c r="AZ132" s="631">
        <f>PRIX!S133</f>
        <v>3.7</v>
      </c>
      <c r="BA132" s="623"/>
    </row>
    <row r="133">
      <c r="A133" s="621">
        <f>ARBITRAGES!E134</f>
        <v>45886</v>
      </c>
      <c r="B133" s="623" t="str">
        <f>IF(A133="","",IF(ARBITRAGES!F134="Invest","Achat","Vente"))</f>
        <v>Vente</v>
      </c>
      <c r="C133" s="623" t="str">
        <f>ARBITRAGES!H134</f>
        <v>LINK</v>
      </c>
      <c r="D133" s="624">
        <f>ARBITRAGES!I134</f>
        <v>24.4</v>
      </c>
      <c r="E133" s="624">
        <f>ARBITRAGES!J134</f>
        <v>244</v>
      </c>
      <c r="F133" s="623"/>
      <c r="G133" s="621">
        <f>'PV (%)'!B135</f>
        <v>45914</v>
      </c>
      <c r="H133" s="624">
        <f>'PV (%)'!E135</f>
        <v>69285.17893</v>
      </c>
      <c r="I133" s="624">
        <f>'PV (%)'!F135</f>
        <v>60160.81499</v>
      </c>
      <c r="J133" s="626">
        <f>'PV (%)'!G135</f>
        <v>63628.93254</v>
      </c>
      <c r="K133" s="623"/>
      <c r="L133" s="621">
        <f>Exposition!A134</f>
        <v>45887</v>
      </c>
      <c r="M133" s="625">
        <f>Exposition!B134</f>
        <v>0.7322196782</v>
      </c>
      <c r="N133" s="625">
        <f>Exposition!C134</f>
        <v>0.3526004971</v>
      </c>
      <c r="O133" s="625">
        <f>Exposition!D134</f>
        <v>0.1130488094</v>
      </c>
      <c r="P133" s="625">
        <f>Exposition!E134</f>
        <v>0.01365071214</v>
      </c>
      <c r="Q133" s="625">
        <f>Exposition!F134</f>
        <v>0.06268281926</v>
      </c>
      <c r="R133" s="625">
        <f>Exposition!G134</f>
        <v>0.06930747042</v>
      </c>
      <c r="S133" s="625">
        <f>Exposition!H134</f>
        <v>0</v>
      </c>
      <c r="T133" s="625">
        <f>Exposition!I134</f>
        <v>0.03798656436</v>
      </c>
      <c r="U133" s="625">
        <f>Exposition!J134</f>
        <v>0.01533700836</v>
      </c>
      <c r="V133" s="625">
        <f>Exposition!K134</f>
        <v>0.00427220881</v>
      </c>
      <c r="W133" s="625">
        <f>Exposition!L134</f>
        <v>0.005674209801</v>
      </c>
      <c r="X133" s="625">
        <f>Exposition!M134</f>
        <v>0</v>
      </c>
      <c r="Y133" s="625">
        <f>Exposition!N134</f>
        <v>0.0383713667</v>
      </c>
      <c r="Z133" s="625">
        <f>Exposition!O134</f>
        <v>0</v>
      </c>
      <c r="AA133" s="625">
        <f>Exposition!P134</f>
        <v>0.01501824562</v>
      </c>
      <c r="AB133" s="625">
        <f>Exposition!Q134</f>
        <v>0.0000000008608591033</v>
      </c>
      <c r="AC133" s="625">
        <f>Exposition!R134</f>
        <v>0.004269765308</v>
      </c>
      <c r="AD133" s="625">
        <f>Exposition!S134</f>
        <v>0</v>
      </c>
      <c r="AE133" s="625">
        <f>Exposition!T134</f>
        <v>0</v>
      </c>
      <c r="AF133" s="625">
        <f>Exposition!U134</f>
        <v>0.2677803218</v>
      </c>
      <c r="AG133" s="623"/>
      <c r="AH133" s="621">
        <f>PRIX!A134</f>
        <v>45886</v>
      </c>
      <c r="AI133" s="631">
        <f>PRIX!B134</f>
        <v>119000</v>
      </c>
      <c r="AJ133" s="631">
        <f>PRIX!C134</f>
        <v>4550</v>
      </c>
      <c r="AK133" s="631">
        <f>PRIX!D134</f>
        <v>3.5</v>
      </c>
      <c r="AL133" s="631">
        <f>PRIX!E134</f>
        <v>195</v>
      </c>
      <c r="AM133" s="631">
        <f>PRIX!F134</f>
        <v>381</v>
      </c>
      <c r="AN133" s="631">
        <f>PRIX!G134</f>
        <v>0.568</v>
      </c>
      <c r="AO133" s="631">
        <f>PRIX!H134</f>
        <v>24.8</v>
      </c>
      <c r="AP133" s="631">
        <f>PRIX!I134</f>
        <v>0.235</v>
      </c>
      <c r="AQ133" s="631">
        <f>PRIX!J134</f>
        <v>0.0000132</v>
      </c>
      <c r="AR133" s="631">
        <f>PRIX!K134</f>
        <v>2.8</v>
      </c>
      <c r="AS133" s="631">
        <f>PRIX!L134</f>
        <v>0.52</v>
      </c>
      <c r="AT133" s="631">
        <f>PRIX!M134</f>
        <v>305</v>
      </c>
      <c r="AU133" s="631">
        <f>PRIX!N134</f>
        <v>0.0053</v>
      </c>
      <c r="AV133" s="631">
        <f>PRIX!O134</f>
        <v>5.65</v>
      </c>
      <c r="AW133" s="631">
        <f>PRIX!P134</f>
        <v>0.0019</v>
      </c>
      <c r="AX133" s="631">
        <f>PRIX!Q134</f>
        <v>0.0000113</v>
      </c>
      <c r="AY133" s="631">
        <f>PRIX!R134</f>
        <v>0.9</v>
      </c>
      <c r="AZ133" s="631">
        <f>PRIX!S134</f>
        <v>3.75</v>
      </c>
      <c r="BA133" s="623"/>
    </row>
    <row r="134">
      <c r="A134" s="621">
        <f>ARBITRAGES!E135</f>
        <v>45887</v>
      </c>
      <c r="B134" s="623" t="str">
        <f>IF(A134="","",IF(ARBITRAGES!F135="Invest","Achat","Vente"))</f>
        <v>Achat</v>
      </c>
      <c r="C134" s="623" t="str">
        <f>ARBITRAGES!H135</f>
        <v>ETH</v>
      </c>
      <c r="D134" s="624">
        <f>ARBITRAGES!I135</f>
        <v>4330</v>
      </c>
      <c r="E134" s="624">
        <f>ARBITRAGES!J135</f>
        <v>303.1</v>
      </c>
      <c r="F134" s="623"/>
      <c r="G134" s="621">
        <f>'PV (%)'!B136</f>
        <v>45918</v>
      </c>
      <c r="H134" s="624">
        <f>'PV (%)'!E136</f>
        <v>68690.45637</v>
      </c>
      <c r="I134" s="624">
        <f>'PV (%)'!F136</f>
        <v>58981.08605</v>
      </c>
      <c r="J134" s="626">
        <f>'PV (%)'!G136</f>
        <v>62622.14299</v>
      </c>
      <c r="K134" s="623"/>
      <c r="L134" s="621">
        <f>Exposition!A135</f>
        <v>45887</v>
      </c>
      <c r="M134" s="625">
        <f>Exposition!B135</f>
        <v>0.7393522413</v>
      </c>
      <c r="N134" s="625">
        <f>Exposition!C135</f>
        <v>0.3525713443</v>
      </c>
      <c r="O134" s="625">
        <f>Exposition!D135</f>
        <v>0.1202325652</v>
      </c>
      <c r="P134" s="625">
        <f>Exposition!E135</f>
        <v>0.01364958351</v>
      </c>
      <c r="Q134" s="625">
        <f>Exposition!F135</f>
        <v>0.06267763669</v>
      </c>
      <c r="R134" s="625">
        <f>Exposition!G135</f>
        <v>0.06930174013</v>
      </c>
      <c r="S134" s="625">
        <f>Exposition!H135</f>
        <v>0</v>
      </c>
      <c r="T134" s="625">
        <f>Exposition!I135</f>
        <v>0.03798342366</v>
      </c>
      <c r="U134" s="625">
        <f>Exposition!J135</f>
        <v>0.01533574031</v>
      </c>
      <c r="V134" s="625">
        <f>Exposition!K135</f>
        <v>0.004271855587</v>
      </c>
      <c r="W134" s="625">
        <f>Exposition!L135</f>
        <v>0.005673740661</v>
      </c>
      <c r="X134" s="625">
        <f>Exposition!M135</f>
        <v>0</v>
      </c>
      <c r="Y134" s="625">
        <f>Exposition!N135</f>
        <v>0.03836819418</v>
      </c>
      <c r="Z134" s="625">
        <f>Exposition!O135</f>
        <v>0</v>
      </c>
      <c r="AA134" s="625">
        <f>Exposition!P135</f>
        <v>0.01501700392</v>
      </c>
      <c r="AB134" s="625">
        <f>Exposition!Q135</f>
        <v>0.0000000008607879281</v>
      </c>
      <c r="AC134" s="625">
        <f>Exposition!R135</f>
        <v>0.004269412287</v>
      </c>
      <c r="AD134" s="625">
        <f>Exposition!S135</f>
        <v>0</v>
      </c>
      <c r="AE134" s="625">
        <f>Exposition!T135</f>
        <v>0</v>
      </c>
      <c r="AF134" s="625">
        <f>Exposition!U135</f>
        <v>0.2606477587</v>
      </c>
      <c r="AG134" s="623"/>
      <c r="AH134" s="621">
        <f>PRIX!A135</f>
        <v>45887</v>
      </c>
      <c r="AI134" s="631">
        <f>PRIX!B135</f>
        <v>115000</v>
      </c>
      <c r="AJ134" s="631">
        <f>PRIX!C135</f>
        <v>4350</v>
      </c>
      <c r="AK134" s="631">
        <f>PRIX!D135</f>
        <v>3.35</v>
      </c>
      <c r="AL134" s="631">
        <f>PRIX!E135</f>
        <v>180</v>
      </c>
      <c r="AM134" s="631">
        <f>PRIX!F135</f>
        <v>355</v>
      </c>
      <c r="AN134" s="631">
        <f>PRIX!G135</f>
        <v>0.55</v>
      </c>
      <c r="AO134" s="631">
        <f>PRIX!H135</f>
        <v>25.5</v>
      </c>
      <c r="AP134" s="631">
        <f>PRIX!I135</f>
        <v>0.222</v>
      </c>
      <c r="AQ134" s="631">
        <f>PRIX!J135</f>
        <v>0.0000126</v>
      </c>
      <c r="AR134" s="631">
        <f>PRIX!K135</f>
        <v>2.7</v>
      </c>
      <c r="AS134" s="631">
        <f>PRIX!L135</f>
        <v>0.5</v>
      </c>
      <c r="AT134" s="631">
        <f>PRIX!M135</f>
        <v>290</v>
      </c>
      <c r="AU134" s="631">
        <f>PRIX!N135</f>
        <v>0.005</v>
      </c>
      <c r="AV134" s="631">
        <f>PRIX!O135</f>
        <v>5.35</v>
      </c>
      <c r="AW134" s="631">
        <f>PRIX!P135</f>
        <v>0.0018</v>
      </c>
      <c r="AX134" s="631">
        <f>PRIX!Q135</f>
        <v>0.0000107</v>
      </c>
      <c r="AY134" s="631">
        <f>PRIX!R135</f>
        <v>0.875</v>
      </c>
      <c r="AZ134" s="631">
        <f>PRIX!S135</f>
        <v>3.4</v>
      </c>
      <c r="BA134" s="623"/>
    </row>
    <row r="135">
      <c r="A135" s="621">
        <f>ARBITRAGES!E136</f>
        <v>45887</v>
      </c>
      <c r="B135" s="623" t="str">
        <f>IF(A135="","",IF(ARBITRAGES!F136="Invest","Achat","Vente"))</f>
        <v>Achat</v>
      </c>
      <c r="C135" s="623" t="str">
        <f>ARBITRAGES!H136</f>
        <v>ETH</v>
      </c>
      <c r="D135" s="624">
        <f>ARBITRAGES!I136</f>
        <v>4300</v>
      </c>
      <c r="E135" s="624">
        <f>ARBITRAGES!J136</f>
        <v>430</v>
      </c>
      <c r="F135" s="623"/>
      <c r="G135" s="621">
        <f>'PV (%)'!B137</f>
        <v>45918</v>
      </c>
      <c r="H135" s="624">
        <f>'PV (%)'!E137</f>
        <v>68690.45637</v>
      </c>
      <c r="I135" s="624">
        <f>'PV (%)'!F137</f>
        <v>58981.08605</v>
      </c>
      <c r="J135" s="626">
        <f>'PV (%)'!G137</f>
        <v>62637.14299</v>
      </c>
      <c r="K135" s="623"/>
      <c r="L135" s="621">
        <f>Exposition!A136</f>
        <v>45887</v>
      </c>
      <c r="M135" s="625">
        <f>Exposition!B136</f>
        <v>0.7460079282</v>
      </c>
      <c r="N135" s="625">
        <f>Exposition!C136</f>
        <v>0.3592270312</v>
      </c>
      <c r="O135" s="625">
        <f>Exposition!D136</f>
        <v>0.1202325652</v>
      </c>
      <c r="P135" s="625">
        <f>Exposition!E136</f>
        <v>0.01364958351</v>
      </c>
      <c r="Q135" s="625">
        <f>Exposition!F136</f>
        <v>0.06267763669</v>
      </c>
      <c r="R135" s="625">
        <f>Exposition!G136</f>
        <v>0.06930174013</v>
      </c>
      <c r="S135" s="625">
        <f>Exposition!H136</f>
        <v>0</v>
      </c>
      <c r="T135" s="625">
        <f>Exposition!I136</f>
        <v>0.03798342366</v>
      </c>
      <c r="U135" s="625">
        <f>Exposition!J136</f>
        <v>0.01533574031</v>
      </c>
      <c r="V135" s="625">
        <f>Exposition!K136</f>
        <v>0.004271855587</v>
      </c>
      <c r="W135" s="625">
        <f>Exposition!L136</f>
        <v>0.005673740661</v>
      </c>
      <c r="X135" s="625">
        <f>Exposition!M136</f>
        <v>0</v>
      </c>
      <c r="Y135" s="625">
        <f>Exposition!N136</f>
        <v>0.03836819418</v>
      </c>
      <c r="Z135" s="625">
        <f>Exposition!O136</f>
        <v>0</v>
      </c>
      <c r="AA135" s="625">
        <f>Exposition!P136</f>
        <v>0.01501700392</v>
      </c>
      <c r="AB135" s="625">
        <f>Exposition!Q136</f>
        <v>0.0000000008607879281</v>
      </c>
      <c r="AC135" s="625">
        <f>Exposition!R136</f>
        <v>0.004269412287</v>
      </c>
      <c r="AD135" s="625">
        <f>Exposition!S136</f>
        <v>0</v>
      </c>
      <c r="AE135" s="625">
        <f>Exposition!T136</f>
        <v>0</v>
      </c>
      <c r="AF135" s="625">
        <f>Exposition!U136</f>
        <v>0.2539920718</v>
      </c>
      <c r="AG135" s="623"/>
      <c r="AH135" s="621">
        <f>PRIX!A136</f>
        <v>45887</v>
      </c>
      <c r="AI135" s="631">
        <f>PRIX!B136</f>
        <v>115000</v>
      </c>
      <c r="AJ135" s="631">
        <f>PRIX!C136</f>
        <v>4350</v>
      </c>
      <c r="AK135" s="631">
        <f>PRIX!D136</f>
        <v>3.35</v>
      </c>
      <c r="AL135" s="631">
        <f>PRIX!E136</f>
        <v>180</v>
      </c>
      <c r="AM135" s="631">
        <f>PRIX!F136</f>
        <v>355</v>
      </c>
      <c r="AN135" s="631">
        <f>PRIX!G136</f>
        <v>0.55</v>
      </c>
      <c r="AO135" s="631">
        <f>PRIX!H136</f>
        <v>25.5</v>
      </c>
      <c r="AP135" s="631">
        <f>PRIX!I136</f>
        <v>0.222</v>
      </c>
      <c r="AQ135" s="631">
        <f>PRIX!J136</f>
        <v>0.0000126</v>
      </c>
      <c r="AR135" s="631">
        <f>PRIX!K136</f>
        <v>2.7</v>
      </c>
      <c r="AS135" s="631">
        <f>PRIX!L136</f>
        <v>0.5</v>
      </c>
      <c r="AT135" s="631">
        <f>PRIX!M136</f>
        <v>290</v>
      </c>
      <c r="AU135" s="631">
        <f>PRIX!N136</f>
        <v>0.005</v>
      </c>
      <c r="AV135" s="631">
        <f>PRIX!O136</f>
        <v>5.35</v>
      </c>
      <c r="AW135" s="631">
        <f>PRIX!P136</f>
        <v>0.0018</v>
      </c>
      <c r="AX135" s="631">
        <f>PRIX!Q136</f>
        <v>0.0000107</v>
      </c>
      <c r="AY135" s="631">
        <f>PRIX!R136</f>
        <v>0.875</v>
      </c>
      <c r="AZ135" s="631">
        <f>PRIX!S136</f>
        <v>3.4</v>
      </c>
      <c r="BA135" s="623"/>
    </row>
    <row r="136">
      <c r="A136" s="621">
        <f>ARBITRAGES!E137</f>
        <v>45887</v>
      </c>
      <c r="B136" s="623" t="str">
        <f>IF(A136="","",IF(ARBITRAGES!F137="Invest","Achat","Vente"))</f>
        <v>Achat</v>
      </c>
      <c r="C136" s="623" t="str">
        <f>ARBITRAGES!H137</f>
        <v>BTC</v>
      </c>
      <c r="D136" s="624">
        <f>ARBITRAGES!I137</f>
        <v>115000</v>
      </c>
      <c r="E136" s="624">
        <f>ARBITRAGES!J137</f>
        <v>402.5</v>
      </c>
      <c r="F136" s="623"/>
      <c r="G136" s="621">
        <f>'PV (%)'!B138</f>
        <v>45919</v>
      </c>
      <c r="H136" s="624">
        <f>'PV (%)'!E138</f>
        <v>68690.45637</v>
      </c>
      <c r="I136" s="624">
        <f>'PV (%)'!F138</f>
        <v>58981.08605</v>
      </c>
      <c r="J136" s="626">
        <f>'PV (%)'!G138</f>
        <v>62642.39299</v>
      </c>
      <c r="K136" s="623"/>
      <c r="L136" s="621">
        <f>Exposition!A137</f>
        <v>45888</v>
      </c>
      <c r="M136" s="625">
        <f>Exposition!B137</f>
        <v>0.7489967697</v>
      </c>
      <c r="N136" s="625">
        <f>Exposition!C137</f>
        <v>0.3592329714</v>
      </c>
      <c r="O136" s="625">
        <f>Exposition!D137</f>
        <v>0.1202345534</v>
      </c>
      <c r="P136" s="625">
        <f>Exposition!E137</f>
        <v>0.01364980922</v>
      </c>
      <c r="Q136" s="625">
        <f>Exposition!F137</f>
        <v>0.06565517859</v>
      </c>
      <c r="R136" s="625">
        <f>Exposition!G137</f>
        <v>0.06930288611</v>
      </c>
      <c r="S136" s="625">
        <f>Exposition!H137</f>
        <v>0</v>
      </c>
      <c r="T136" s="625">
        <f>Exposition!I137</f>
        <v>0.03798405176</v>
      </c>
      <c r="U136" s="625">
        <f>Exposition!J137</f>
        <v>0.0153359939</v>
      </c>
      <c r="V136" s="625">
        <f>Exposition!K137</f>
        <v>0.004271926227</v>
      </c>
      <c r="W136" s="625">
        <f>Exposition!L137</f>
        <v>0.005673834483</v>
      </c>
      <c r="X136" s="625">
        <f>Exposition!M137</f>
        <v>0</v>
      </c>
      <c r="Y136" s="625">
        <f>Exposition!N137</f>
        <v>0.03836882864</v>
      </c>
      <c r="Z136" s="625">
        <f>Exposition!O137</f>
        <v>0</v>
      </c>
      <c r="AA136" s="625">
        <f>Exposition!P137</f>
        <v>0.01501725224</v>
      </c>
      <c r="AB136" s="625">
        <f>Exposition!Q137</f>
        <v>0.0000000008608021622</v>
      </c>
      <c r="AC136" s="625">
        <f>Exposition!R137</f>
        <v>0.004269482886</v>
      </c>
      <c r="AD136" s="625">
        <f>Exposition!S137</f>
        <v>0</v>
      </c>
      <c r="AE136" s="625">
        <f>Exposition!T137</f>
        <v>0</v>
      </c>
      <c r="AF136" s="625">
        <f>Exposition!U137</f>
        <v>0.2510032303</v>
      </c>
      <c r="AG136" s="623"/>
      <c r="AH136" s="621">
        <f>PRIX!A137</f>
        <v>45887</v>
      </c>
      <c r="AI136" s="631">
        <f>PRIX!B137</f>
        <v>115000</v>
      </c>
      <c r="AJ136" s="631">
        <f>PRIX!C137</f>
        <v>4350</v>
      </c>
      <c r="AK136" s="631">
        <f>PRIX!D137</f>
        <v>3.35</v>
      </c>
      <c r="AL136" s="631">
        <f>PRIX!E137</f>
        <v>180</v>
      </c>
      <c r="AM136" s="631">
        <f>PRIX!F137</f>
        <v>355</v>
      </c>
      <c r="AN136" s="631">
        <f>PRIX!G137</f>
        <v>0.55</v>
      </c>
      <c r="AO136" s="631">
        <f>PRIX!H137</f>
        <v>25.5</v>
      </c>
      <c r="AP136" s="631">
        <f>PRIX!I137</f>
        <v>0.222</v>
      </c>
      <c r="AQ136" s="631">
        <f>PRIX!J137</f>
        <v>0.0000126</v>
      </c>
      <c r="AR136" s="631">
        <f>PRIX!K137</f>
        <v>2.7</v>
      </c>
      <c r="AS136" s="631">
        <f>PRIX!L137</f>
        <v>0.5</v>
      </c>
      <c r="AT136" s="631">
        <f>PRIX!M137</f>
        <v>290</v>
      </c>
      <c r="AU136" s="631">
        <f>PRIX!N137</f>
        <v>0.005</v>
      </c>
      <c r="AV136" s="631">
        <f>PRIX!O137</f>
        <v>5.35</v>
      </c>
      <c r="AW136" s="631">
        <f>PRIX!P137</f>
        <v>0.0018</v>
      </c>
      <c r="AX136" s="631">
        <f>PRIX!Q137</f>
        <v>0.0000107</v>
      </c>
      <c r="AY136" s="631">
        <f>PRIX!R137</f>
        <v>0.875</v>
      </c>
      <c r="AZ136" s="631">
        <f>PRIX!S137</f>
        <v>3.4</v>
      </c>
      <c r="BA136" s="623"/>
    </row>
    <row r="137">
      <c r="A137" s="621">
        <f>ARBITRAGES!E138</f>
        <v>45888</v>
      </c>
      <c r="B137" s="623" t="str">
        <f>IF(A137="","",IF(ARBITRAGES!F138="Invest","Achat","Vente"))</f>
        <v>Achat</v>
      </c>
      <c r="C137" s="623" t="str">
        <f>ARBITRAGES!H138</f>
        <v>SOL</v>
      </c>
      <c r="D137" s="624">
        <f>ARBITRAGES!I138</f>
        <v>181</v>
      </c>
      <c r="E137" s="624">
        <f>ARBITRAGES!J138</f>
        <v>181</v>
      </c>
      <c r="F137" s="623"/>
      <c r="G137" s="621">
        <f>'PV (%)'!B139</f>
        <v>45922</v>
      </c>
      <c r="H137" s="624">
        <f>'PV (%)'!E139</f>
        <v>67203.64995</v>
      </c>
      <c r="I137" s="624">
        <f>'PV (%)'!F139</f>
        <v>56209.48784</v>
      </c>
      <c r="J137" s="626">
        <f>'PV (%)'!G139</f>
        <v>60659.23884</v>
      </c>
      <c r="K137" s="623"/>
      <c r="L137" s="621">
        <f>Exposition!A138</f>
        <v>45888</v>
      </c>
      <c r="M137" s="625">
        <f>Exposition!B138</f>
        <v>0.7534768766</v>
      </c>
      <c r="N137" s="625">
        <f>Exposition!C138</f>
        <v>0.3658240571</v>
      </c>
      <c r="O137" s="625">
        <f>Exposition!D138</f>
        <v>0.1198739085</v>
      </c>
      <c r="P137" s="625">
        <f>Exposition!E138</f>
        <v>0.01343834232</v>
      </c>
      <c r="Q137" s="625">
        <f>Exposition!F138</f>
        <v>0.06621938754</v>
      </c>
      <c r="R137" s="625">
        <f>Exposition!G138</f>
        <v>0.06694498642</v>
      </c>
      <c r="S137" s="625">
        <f>Exposition!H138</f>
        <v>0</v>
      </c>
      <c r="T137" s="625">
        <f>Exposition!I138</f>
        <v>0.03906165404</v>
      </c>
      <c r="U137" s="625">
        <f>Exposition!J138</f>
        <v>0.01498006112</v>
      </c>
      <c r="V137" s="625">
        <f>Exposition!K138</f>
        <v>0.004240246036</v>
      </c>
      <c r="W137" s="625">
        <f>Exposition!L138</f>
        <v>0.005510644804</v>
      </c>
      <c r="X137" s="625">
        <f>Exposition!M138</f>
        <v>0</v>
      </c>
      <c r="Y137" s="625">
        <f>Exposition!N138</f>
        <v>0.03869855185</v>
      </c>
      <c r="Z137" s="625">
        <f>Exposition!O138</f>
        <v>0</v>
      </c>
      <c r="AA137" s="625">
        <f>Exposition!P138</f>
        <v>0.01458008632</v>
      </c>
      <c r="AB137" s="625">
        <f>Exposition!Q138</f>
        <v>0.0000000008199661765</v>
      </c>
      <c r="AC137" s="625">
        <f>Exposition!R138</f>
        <v>0.004104949738</v>
      </c>
      <c r="AD137" s="625">
        <f>Exposition!S138</f>
        <v>0</v>
      </c>
      <c r="AE137" s="625">
        <f>Exposition!T138</f>
        <v>0</v>
      </c>
      <c r="AF137" s="625">
        <f>Exposition!U138</f>
        <v>0.2465231234</v>
      </c>
      <c r="AG137" s="623"/>
      <c r="AH137" s="621">
        <f>PRIX!A138</f>
        <v>45888</v>
      </c>
      <c r="AI137" s="631">
        <f>PRIX!B138</f>
        <v>115000</v>
      </c>
      <c r="AJ137" s="631">
        <f>PRIX!C138</f>
        <v>4350</v>
      </c>
      <c r="AK137" s="631">
        <f>PRIX!D138</f>
        <v>3.35</v>
      </c>
      <c r="AL137" s="631">
        <f>PRIX!E138</f>
        <v>180</v>
      </c>
      <c r="AM137" s="631">
        <f>PRIX!F138</f>
        <v>355</v>
      </c>
      <c r="AN137" s="631">
        <f>PRIX!G138</f>
        <v>0.55</v>
      </c>
      <c r="AO137" s="631">
        <f>PRIX!H138</f>
        <v>25.5</v>
      </c>
      <c r="AP137" s="631">
        <f>PRIX!I138</f>
        <v>0.222</v>
      </c>
      <c r="AQ137" s="631">
        <f>PRIX!J138</f>
        <v>0.0000126</v>
      </c>
      <c r="AR137" s="631">
        <f>PRIX!K138</f>
        <v>2.7</v>
      </c>
      <c r="AS137" s="631">
        <f>PRIX!L138</f>
        <v>0.5</v>
      </c>
      <c r="AT137" s="631">
        <f>PRIX!M138</f>
        <v>290</v>
      </c>
      <c r="AU137" s="631">
        <f>PRIX!N138</f>
        <v>0.005</v>
      </c>
      <c r="AV137" s="631">
        <f>PRIX!O138</f>
        <v>5.35</v>
      </c>
      <c r="AW137" s="631">
        <f>PRIX!P138</f>
        <v>0.0018</v>
      </c>
      <c r="AX137" s="631">
        <f>PRIX!Q138</f>
        <v>0.0000107</v>
      </c>
      <c r="AY137" s="631">
        <f>PRIX!R138</f>
        <v>0.875</v>
      </c>
      <c r="AZ137" s="631">
        <f>PRIX!S138</f>
        <v>3.4</v>
      </c>
      <c r="BA137" s="623"/>
    </row>
    <row r="138">
      <c r="A138" s="621">
        <f>ARBITRAGES!E139</f>
        <v>45888</v>
      </c>
      <c r="B138" s="623" t="str">
        <f>IF(A138="","",IF(ARBITRAGES!F139="Invest","Achat","Vente"))</f>
        <v>Achat</v>
      </c>
      <c r="C138" s="623" t="str">
        <f>ARBITRAGES!H139</f>
        <v>BTC</v>
      </c>
      <c r="D138" s="624">
        <f>ARBITRAGES!I139</f>
        <v>113700</v>
      </c>
      <c r="E138" s="624">
        <f>ARBITRAGES!J139</f>
        <v>397.95</v>
      </c>
      <c r="F138" s="623"/>
      <c r="G138" s="621">
        <f>'PV (%)'!B140</f>
        <v>45923</v>
      </c>
      <c r="H138" s="624">
        <f>'PV (%)'!E140</f>
        <v>67203.64995</v>
      </c>
      <c r="I138" s="624">
        <f>'PV (%)'!F140</f>
        <v>56209.48784</v>
      </c>
      <c r="J138" s="626">
        <f>'PV (%)'!G140</f>
        <v>60664.44284</v>
      </c>
      <c r="K138" s="623"/>
      <c r="L138" s="621">
        <f>Exposition!A139</f>
        <v>45889</v>
      </c>
      <c r="M138" s="625">
        <f>Exposition!B139</f>
        <v>0.7564284971</v>
      </c>
      <c r="N138" s="625">
        <f>Exposition!C139</f>
        <v>0.3657996535</v>
      </c>
      <c r="O138" s="625">
        <f>Exposition!D139</f>
        <v>0.1198659119</v>
      </c>
      <c r="P138" s="625">
        <f>Exposition!E139</f>
        <v>0.01343744586</v>
      </c>
      <c r="Q138" s="625">
        <f>Exposition!F139</f>
        <v>0.06921685398</v>
      </c>
      <c r="R138" s="625">
        <f>Exposition!G139</f>
        <v>0.06694052062</v>
      </c>
      <c r="S138" s="625">
        <f>Exposition!H139</f>
        <v>0</v>
      </c>
      <c r="T138" s="625">
        <f>Exposition!I139</f>
        <v>0.0390590483</v>
      </c>
      <c r="U138" s="625">
        <f>Exposition!J139</f>
        <v>0.01497906182</v>
      </c>
      <c r="V138" s="625">
        <f>Exposition!K139</f>
        <v>0.004239963176</v>
      </c>
      <c r="W138" s="625">
        <f>Exposition!L139</f>
        <v>0.005510277197</v>
      </c>
      <c r="X138" s="625">
        <f>Exposition!M139</f>
        <v>0</v>
      </c>
      <c r="Y138" s="625">
        <f>Exposition!N139</f>
        <v>0.03869597033</v>
      </c>
      <c r="Z138" s="625">
        <f>Exposition!O139</f>
        <v>0</v>
      </c>
      <c r="AA138" s="625">
        <f>Exposition!P139</f>
        <v>0.01457911371</v>
      </c>
      <c r="AB138" s="625">
        <f>Exposition!Q139</f>
        <v>0.0000000008199114777</v>
      </c>
      <c r="AC138" s="625">
        <f>Exposition!R139</f>
        <v>0.004104675902</v>
      </c>
      <c r="AD138" s="625">
        <f>Exposition!S139</f>
        <v>0</v>
      </c>
      <c r="AE138" s="625">
        <f>Exposition!T139</f>
        <v>0</v>
      </c>
      <c r="AF138" s="625">
        <f>Exposition!U139</f>
        <v>0.2435715029</v>
      </c>
      <c r="AG138" s="623"/>
      <c r="AH138" s="621">
        <f>PRIX!A139</f>
        <v>45888</v>
      </c>
      <c r="AI138" s="631">
        <f>PRIX!B139</f>
        <v>114000</v>
      </c>
      <c r="AJ138" s="631">
        <f>PRIX!C139</f>
        <v>4300</v>
      </c>
      <c r="AK138" s="631">
        <f>PRIX!D139</f>
        <v>3.27</v>
      </c>
      <c r="AL138" s="631">
        <f>PRIX!E139</f>
        <v>180</v>
      </c>
      <c r="AM138" s="631">
        <f>PRIX!F139</f>
        <v>340</v>
      </c>
      <c r="AN138" s="631">
        <f>PRIX!G139</f>
        <v>0.51</v>
      </c>
      <c r="AO138" s="631">
        <f>PRIX!H139</f>
        <v>26</v>
      </c>
      <c r="AP138" s="631">
        <f>PRIX!I139</f>
        <v>0.215</v>
      </c>
      <c r="AQ138" s="631">
        <f>PRIX!J139</f>
        <v>0.0000124</v>
      </c>
      <c r="AR138" s="631">
        <f>PRIX!K139</f>
        <v>2.6</v>
      </c>
      <c r="AS138" s="631">
        <f>PRIX!L139</f>
        <v>0.48</v>
      </c>
      <c r="AT138" s="631">
        <f>PRIX!M139</f>
        <v>290</v>
      </c>
      <c r="AU138" s="631">
        <f>PRIX!N139</f>
        <v>0.0048</v>
      </c>
      <c r="AV138" s="631">
        <f>PRIX!O139</f>
        <v>5.15</v>
      </c>
      <c r="AW138" s="631">
        <f>PRIX!P139</f>
        <v>0.0017</v>
      </c>
      <c r="AX138" s="631">
        <f>PRIX!Q139</f>
        <v>0.0000102</v>
      </c>
      <c r="AY138" s="631">
        <f>PRIX!R139</f>
        <v>0.82</v>
      </c>
      <c r="AZ138" s="631">
        <f>PRIX!S139</f>
        <v>3.25</v>
      </c>
      <c r="BA138" s="623"/>
    </row>
    <row r="139">
      <c r="A139" s="621">
        <f>ARBITRAGES!E140</f>
        <v>45889</v>
      </c>
      <c r="B139" s="623" t="str">
        <f>IF(A139="","",IF(ARBITRAGES!F140="Invest","Achat","Vente"))</f>
        <v>Achat</v>
      </c>
      <c r="C139" s="623" t="str">
        <f>ARBITRAGES!H140</f>
        <v>SOL</v>
      </c>
      <c r="D139" s="624">
        <f>ARBITRAGES!I140</f>
        <v>176</v>
      </c>
      <c r="E139" s="624">
        <f>ARBITRAGES!J140</f>
        <v>176</v>
      </c>
      <c r="F139" s="623"/>
      <c r="G139" s="621">
        <f>'PV (%)'!B141</f>
        <v>45924</v>
      </c>
      <c r="H139" s="624">
        <f>'PV (%)'!E141</f>
        <v>66311.5661</v>
      </c>
      <c r="I139" s="624">
        <f>'PV (%)'!F141</f>
        <v>54527.35087</v>
      </c>
      <c r="J139" s="626">
        <f>'PV (%)'!G141</f>
        <v>59207.2624</v>
      </c>
      <c r="K139" s="623"/>
      <c r="L139" s="621">
        <f>Exposition!A140</f>
        <v>45891</v>
      </c>
      <c r="M139" s="625">
        <f>Exposition!B140</f>
        <v>0.7664908165</v>
      </c>
      <c r="N139" s="625">
        <f>Exposition!C140</f>
        <v>0.3546850254</v>
      </c>
      <c r="O139" s="625">
        <f>Exposition!D140</f>
        <v>0.1275013846</v>
      </c>
      <c r="P139" s="625">
        <f>Exposition!E140</f>
        <v>0.01331356361</v>
      </c>
      <c r="Q139" s="625">
        <f>Exposition!F140</f>
        <v>0.0751172426</v>
      </c>
      <c r="R139" s="625">
        <f>Exposition!G140</f>
        <v>0.06847774629</v>
      </c>
      <c r="S139" s="625">
        <f>Exposition!H140</f>
        <v>0</v>
      </c>
      <c r="T139" s="625">
        <f>Exposition!I140</f>
        <v>0.03721928987</v>
      </c>
      <c r="U139" s="625">
        <f>Exposition!J140</f>
        <v>0.01580045291</v>
      </c>
      <c r="V139" s="625">
        <f>Exposition!K140</f>
        <v>0.004398662022</v>
      </c>
      <c r="W139" s="625">
        <f>Exposition!L140</f>
        <v>0.005654634723</v>
      </c>
      <c r="X139" s="625">
        <f>Exposition!M140</f>
        <v>0</v>
      </c>
      <c r="Y139" s="625">
        <f>Exposition!N140</f>
        <v>0.04372764173</v>
      </c>
      <c r="Z139" s="625">
        <f>Exposition!O140</f>
        <v>0</v>
      </c>
      <c r="AA139" s="625">
        <f>Exposition!P140</f>
        <v>0.01618533043</v>
      </c>
      <c r="AB139" s="625">
        <f>Exposition!Q140</f>
        <v>0.000000001057042152</v>
      </c>
      <c r="AC139" s="625">
        <f>Exposition!R140</f>
        <v>0.004409841354</v>
      </c>
      <c r="AD139" s="625">
        <f>Exposition!S140</f>
        <v>0</v>
      </c>
      <c r="AE139" s="625">
        <f>Exposition!T140</f>
        <v>0</v>
      </c>
      <c r="AF139" s="625">
        <f>Exposition!U140</f>
        <v>0.2335091835</v>
      </c>
      <c r="AG139" s="623"/>
      <c r="AH139" s="621">
        <f>PRIX!A140</f>
        <v>45889</v>
      </c>
      <c r="AI139" s="631">
        <f>PRIX!B140</f>
        <v>114000</v>
      </c>
      <c r="AJ139" s="631">
        <f>PRIX!C140</f>
        <v>4300</v>
      </c>
      <c r="AK139" s="631">
        <f>PRIX!D140</f>
        <v>3.27</v>
      </c>
      <c r="AL139" s="631">
        <f>PRIX!E140</f>
        <v>180</v>
      </c>
      <c r="AM139" s="631">
        <f>PRIX!F140</f>
        <v>340</v>
      </c>
      <c r="AN139" s="631">
        <f>PRIX!G140</f>
        <v>0.51</v>
      </c>
      <c r="AO139" s="631">
        <f>PRIX!H140</f>
        <v>26</v>
      </c>
      <c r="AP139" s="631">
        <f>PRIX!I140</f>
        <v>0.215</v>
      </c>
      <c r="AQ139" s="631">
        <f>PRIX!J140</f>
        <v>0.0000124</v>
      </c>
      <c r="AR139" s="631">
        <f>PRIX!K140</f>
        <v>2.6</v>
      </c>
      <c r="AS139" s="631">
        <f>PRIX!L140</f>
        <v>0.48</v>
      </c>
      <c r="AT139" s="631">
        <f>PRIX!M140</f>
        <v>290</v>
      </c>
      <c r="AU139" s="631">
        <f>PRIX!N140</f>
        <v>0.0048</v>
      </c>
      <c r="AV139" s="631">
        <f>PRIX!O140</f>
        <v>5.15</v>
      </c>
      <c r="AW139" s="631">
        <f>PRIX!P140</f>
        <v>0.0017</v>
      </c>
      <c r="AX139" s="631">
        <f>PRIX!Q140</f>
        <v>0.0000102</v>
      </c>
      <c r="AY139" s="631">
        <f>PRIX!R140</f>
        <v>0.82</v>
      </c>
      <c r="AZ139" s="631">
        <f>PRIX!S140</f>
        <v>3.25</v>
      </c>
      <c r="BA139" s="623"/>
    </row>
    <row r="140">
      <c r="A140" s="621">
        <f>ARBITRAGES!E141</f>
        <v>45891</v>
      </c>
      <c r="B140" s="623" t="str">
        <f>IF(A140="","",IF(ARBITRAGES!F141="Invest","Achat","Vente"))</f>
        <v>Vente</v>
      </c>
      <c r="C140" s="623" t="str">
        <f>ARBITRAGES!H141</f>
        <v>AAVE</v>
      </c>
      <c r="D140" s="624">
        <f>ARBITRAGES!I141</f>
        <v>355</v>
      </c>
      <c r="E140" s="624">
        <f>ARBITRAGES!J141</f>
        <v>88.75</v>
      </c>
      <c r="F140" s="623"/>
      <c r="G140" s="621">
        <f>'PV (%)'!B142</f>
        <v>45925</v>
      </c>
      <c r="H140" s="624">
        <f>'PV (%)'!E142</f>
        <v>66311.5661</v>
      </c>
      <c r="I140" s="624">
        <f>'PV (%)'!F142</f>
        <v>54527.35087</v>
      </c>
      <c r="J140" s="626">
        <f>'PV (%)'!G142</f>
        <v>59207.9944</v>
      </c>
      <c r="K140" s="623"/>
      <c r="L140" s="621">
        <f>Exposition!A141</f>
        <v>45891</v>
      </c>
      <c r="M140" s="625">
        <f>Exposition!B141</f>
        <v>0.7655373201</v>
      </c>
      <c r="N140" s="625">
        <f>Exposition!C141</f>
        <v>0.3546850254</v>
      </c>
      <c r="O140" s="625">
        <f>Exposition!D141</f>
        <v>0.1275013846</v>
      </c>
      <c r="P140" s="625">
        <f>Exposition!E141</f>
        <v>0.01331356361</v>
      </c>
      <c r="Q140" s="625">
        <f>Exposition!F141</f>
        <v>0.0751172426</v>
      </c>
      <c r="R140" s="625">
        <f>Exposition!G141</f>
        <v>0.06847774629</v>
      </c>
      <c r="S140" s="625">
        <f>Exposition!H141</f>
        <v>0</v>
      </c>
      <c r="T140" s="625">
        <f>Exposition!I141</f>
        <v>0.03721928987</v>
      </c>
      <c r="U140" s="625">
        <f>Exposition!J141</f>
        <v>0.01580045291</v>
      </c>
      <c r="V140" s="625">
        <f>Exposition!K141</f>
        <v>0.004398662022</v>
      </c>
      <c r="W140" s="625">
        <f>Exposition!L141</f>
        <v>0.005654634723</v>
      </c>
      <c r="X140" s="625">
        <f>Exposition!M141</f>
        <v>0</v>
      </c>
      <c r="Y140" s="625">
        <f>Exposition!N141</f>
        <v>0.04372764173</v>
      </c>
      <c r="Z140" s="625">
        <f>Exposition!O141</f>
        <v>0</v>
      </c>
      <c r="AA140" s="625">
        <f>Exposition!P141</f>
        <v>0.01523183403</v>
      </c>
      <c r="AB140" s="625">
        <f>Exposition!Q141</f>
        <v>0.000000001057042152</v>
      </c>
      <c r="AC140" s="625">
        <f>Exposition!R141</f>
        <v>0.004409841354</v>
      </c>
      <c r="AD140" s="625">
        <f>Exposition!S141</f>
        <v>0</v>
      </c>
      <c r="AE140" s="625">
        <f>Exposition!T141</f>
        <v>0</v>
      </c>
      <c r="AF140" s="625">
        <f>Exposition!U141</f>
        <v>0.2344626799</v>
      </c>
      <c r="AG140" s="623"/>
      <c r="AH140" s="621">
        <f>PRIX!A141</f>
        <v>45891</v>
      </c>
      <c r="AI140" s="631">
        <f>PRIX!B141</f>
        <v>116000</v>
      </c>
      <c r="AJ140" s="631">
        <f>PRIX!C141</f>
        <v>4800</v>
      </c>
      <c r="AK140" s="631">
        <f>PRIX!D141</f>
        <v>3.4</v>
      </c>
      <c r="AL140" s="631">
        <f>PRIX!E141</f>
        <v>205</v>
      </c>
      <c r="AM140" s="631">
        <f>PRIX!F141</f>
        <v>365</v>
      </c>
      <c r="AN140" s="631">
        <f>PRIX!G141</f>
        <v>0.56</v>
      </c>
      <c r="AO140" s="631">
        <f>PRIX!H141</f>
        <v>26</v>
      </c>
      <c r="AP140" s="631">
        <f>PRIX!I141</f>
        <v>0.238</v>
      </c>
      <c r="AQ140" s="631">
        <f>PRIX!J141</f>
        <v>0.0000135</v>
      </c>
      <c r="AR140" s="631">
        <f>PRIX!K141</f>
        <v>2.8</v>
      </c>
      <c r="AS140" s="631">
        <f>PRIX!L141</f>
        <v>0.53</v>
      </c>
      <c r="AT140" s="631">
        <f>PRIX!M141</f>
        <v>355</v>
      </c>
      <c r="AU140" s="631">
        <f>PRIX!N141</f>
        <v>0.0052</v>
      </c>
      <c r="AV140" s="631">
        <f>PRIX!O141</f>
        <v>6</v>
      </c>
      <c r="AW140" s="631">
        <f>PRIX!P141</f>
        <v>0.0023</v>
      </c>
      <c r="AX140" s="631">
        <f>PRIX!Q141</f>
        <v>0.0000115</v>
      </c>
      <c r="AY140" s="631">
        <f>PRIX!R141</f>
        <v>0.9</v>
      </c>
      <c r="AZ140" s="631">
        <f>PRIX!S141</f>
        <v>3.6</v>
      </c>
      <c r="BA140" s="623"/>
    </row>
    <row r="141">
      <c r="A141" s="632">
        <f>ARBITRAGES!E142</f>
        <v>45891</v>
      </c>
      <c r="B141" s="623" t="str">
        <f>IF(A141="","",IF(ARBITRAGES!F142="Invest","Achat","Vente"))</f>
        <v>Vente</v>
      </c>
      <c r="C141" s="623" t="str">
        <f>ARBITRAGES!H142</f>
        <v>PENDLE</v>
      </c>
      <c r="D141" s="624">
        <f>ARBITRAGES!I142</f>
        <v>6</v>
      </c>
      <c r="E141" s="624">
        <f>ARBITRAGES!J142</f>
        <v>60</v>
      </c>
      <c r="F141" s="623"/>
      <c r="G141" s="621">
        <f>'PV (%)'!B143</f>
        <v>45928</v>
      </c>
      <c r="H141" s="624">
        <f>'PV (%)'!E143</f>
        <v>65419.48225</v>
      </c>
      <c r="I141" s="624">
        <f>'PV (%)'!F143</f>
        <v>54024.27915</v>
      </c>
      <c r="J141" s="626">
        <f>'PV (%)'!G143</f>
        <v>58803.84076</v>
      </c>
      <c r="K141" s="623"/>
      <c r="L141" s="621">
        <f>Exposition!A142</f>
        <v>45892</v>
      </c>
      <c r="M141" s="625">
        <f>Exposition!B142</f>
        <v>0.763561036</v>
      </c>
      <c r="N141" s="625">
        <f>Exposition!C142</f>
        <v>0.3544315634</v>
      </c>
      <c r="O141" s="625">
        <f>Exposition!D142</f>
        <v>0.1274102707</v>
      </c>
      <c r="P141" s="625">
        <f>Exposition!E142</f>
        <v>0.01330404958</v>
      </c>
      <c r="Q141" s="625">
        <f>Exposition!F142</f>
        <v>0.07506356298</v>
      </c>
      <c r="R141" s="625">
        <f>Exposition!G142</f>
        <v>0.06842881132</v>
      </c>
      <c r="S141" s="625">
        <f>Exposition!H142</f>
        <v>0</v>
      </c>
      <c r="T141" s="625">
        <f>Exposition!I142</f>
        <v>0.03719269255</v>
      </c>
      <c r="U141" s="625">
        <f>Exposition!J142</f>
        <v>0.01578916173</v>
      </c>
      <c r="V141" s="625">
        <f>Exposition!K142</f>
        <v>0.004395518689</v>
      </c>
      <c r="W141" s="625">
        <f>Exposition!L142</f>
        <v>0.005650593857</v>
      </c>
      <c r="X141" s="625">
        <f>Exposition!M142</f>
        <v>0</v>
      </c>
      <c r="Y141" s="625">
        <f>Exposition!N142</f>
        <v>0.04369639347</v>
      </c>
      <c r="Z141" s="625">
        <f>Exposition!O142</f>
        <v>0</v>
      </c>
      <c r="AA141" s="625">
        <f>Exposition!P142</f>
        <v>0.01379172668</v>
      </c>
      <c r="AB141" s="625">
        <f>Exposition!Q142</f>
        <v>0.000000001056286778</v>
      </c>
      <c r="AC141" s="625">
        <f>Exposition!R142</f>
        <v>0.004406690032</v>
      </c>
      <c r="AD141" s="625">
        <f>Exposition!S142</f>
        <v>0</v>
      </c>
      <c r="AE141" s="625">
        <f>Exposition!T142</f>
        <v>0</v>
      </c>
      <c r="AF141" s="625">
        <f>Exposition!U142</f>
        <v>0.236438964</v>
      </c>
      <c r="AG141" s="623"/>
      <c r="AH141" s="621">
        <f>PRIX!A142</f>
        <v>45891</v>
      </c>
      <c r="AI141" s="631">
        <f>PRIX!B142</f>
        <v>116000</v>
      </c>
      <c r="AJ141" s="631">
        <f>PRIX!C142</f>
        <v>4800</v>
      </c>
      <c r="AK141" s="631">
        <f>PRIX!D142</f>
        <v>3.4</v>
      </c>
      <c r="AL141" s="631">
        <f>PRIX!E142</f>
        <v>205</v>
      </c>
      <c r="AM141" s="631">
        <f>PRIX!F142</f>
        <v>365</v>
      </c>
      <c r="AN141" s="631">
        <f>PRIX!G142</f>
        <v>0.56</v>
      </c>
      <c r="AO141" s="631">
        <f>PRIX!H142</f>
        <v>26</v>
      </c>
      <c r="AP141" s="631">
        <f>PRIX!I142</f>
        <v>0.238</v>
      </c>
      <c r="AQ141" s="631">
        <f>PRIX!J142</f>
        <v>0.0000135</v>
      </c>
      <c r="AR141" s="631">
        <f>PRIX!K142</f>
        <v>2.8</v>
      </c>
      <c r="AS141" s="631">
        <f>PRIX!L142</f>
        <v>0.53</v>
      </c>
      <c r="AT141" s="631">
        <f>PRIX!M142</f>
        <v>355</v>
      </c>
      <c r="AU141" s="631">
        <f>PRIX!N142</f>
        <v>0.0052</v>
      </c>
      <c r="AV141" s="631">
        <f>PRIX!O142</f>
        <v>6</v>
      </c>
      <c r="AW141" s="631">
        <f>PRIX!P142</f>
        <v>0.0023</v>
      </c>
      <c r="AX141" s="631">
        <f>PRIX!Q142</f>
        <v>0.0000115</v>
      </c>
      <c r="AY141" s="631">
        <f>PRIX!R142</f>
        <v>0.9</v>
      </c>
      <c r="AZ141" s="631">
        <f>PRIX!S142</f>
        <v>3.6</v>
      </c>
      <c r="BA141" s="623"/>
    </row>
    <row r="142">
      <c r="A142" s="621">
        <f>ARBITRAGES!E143</f>
        <v>45892</v>
      </c>
      <c r="B142" s="623" t="str">
        <f>IF(A142="","",IF(ARBITRAGES!F143="Invest","Achat","Vente"))</f>
        <v>Vente</v>
      </c>
      <c r="C142" s="623" t="str">
        <f>ARBITRAGES!H143</f>
        <v>PENDLE</v>
      </c>
      <c r="D142" s="624">
        <f>ARBITRAGES!I143</f>
        <v>6.2</v>
      </c>
      <c r="E142" s="624">
        <f>ARBITRAGES!J143</f>
        <v>93</v>
      </c>
      <c r="F142" s="623"/>
      <c r="G142" s="621">
        <f>'PV (%)'!B144</f>
        <v>45905</v>
      </c>
      <c r="H142" s="624">
        <f>'PV (%)'!E144</f>
        <v>73243.65233</v>
      </c>
      <c r="I142" s="624">
        <f>'PV (%)'!F144</f>
        <v>60583.69916</v>
      </c>
      <c r="J142" s="626">
        <f>'PV (%)'!G144</f>
        <v>63770.45958</v>
      </c>
      <c r="K142" s="623"/>
      <c r="L142" s="621">
        <f>Exposition!A143</f>
        <v>45894</v>
      </c>
      <c r="M142" s="625">
        <f>Exposition!B143</f>
        <v>0.7539731469</v>
      </c>
      <c r="N142" s="625">
        <f>Exposition!C143</f>
        <v>0.3550216566</v>
      </c>
      <c r="O142" s="625">
        <f>Exposition!D143</f>
        <v>0.1247702289</v>
      </c>
      <c r="P142" s="625">
        <f>Exposition!E143</f>
        <v>0.01301976818</v>
      </c>
      <c r="Q142" s="625">
        <f>Exposition!F143</f>
        <v>0.07348804171</v>
      </c>
      <c r="R142" s="625">
        <f>Exposition!G143</f>
        <v>0.06436018033</v>
      </c>
      <c r="S142" s="625">
        <f>Exposition!H143</f>
        <v>0</v>
      </c>
      <c r="T142" s="625">
        <f>Exposition!I143</f>
        <v>0.03520691347</v>
      </c>
      <c r="U142" s="625">
        <f>Exposition!J143</f>
        <v>0.01836886365</v>
      </c>
      <c r="V142" s="625">
        <f>Exposition!K143</f>
        <v>0.004195888636</v>
      </c>
      <c r="W142" s="625">
        <f>Exposition!L143</f>
        <v>0.005329222222</v>
      </c>
      <c r="X142" s="625">
        <f>Exposition!M143</f>
        <v>0</v>
      </c>
      <c r="Y142" s="625">
        <f>Exposition!N143</f>
        <v>0.04329614543</v>
      </c>
      <c r="Z142" s="625">
        <f>Exposition!O143</f>
        <v>0</v>
      </c>
      <c r="AA142" s="625">
        <f>Exposition!P143</f>
        <v>0.01286859167</v>
      </c>
      <c r="AB142" s="625">
        <f>Exposition!Q143</f>
        <v>0.0000000009702234407</v>
      </c>
      <c r="AC142" s="625">
        <f>Exposition!R143</f>
        <v>0.004047645066</v>
      </c>
      <c r="AD142" s="625">
        <f>Exposition!S143</f>
        <v>0</v>
      </c>
      <c r="AE142" s="625">
        <f>Exposition!T143</f>
        <v>0</v>
      </c>
      <c r="AF142" s="625">
        <f>Exposition!U143</f>
        <v>0.2460268531</v>
      </c>
      <c r="AG142" s="623"/>
      <c r="AH142" s="621">
        <f>PRIX!A143</f>
        <v>45892</v>
      </c>
      <c r="AI142" s="631">
        <f>PRIX!B143</f>
        <v>116000</v>
      </c>
      <c r="AJ142" s="631">
        <f>PRIX!C143</f>
        <v>4800</v>
      </c>
      <c r="AK142" s="631">
        <f>PRIX!D143</f>
        <v>3.4</v>
      </c>
      <c r="AL142" s="631">
        <f>PRIX!E143</f>
        <v>205</v>
      </c>
      <c r="AM142" s="631">
        <f>PRIX!F143</f>
        <v>365</v>
      </c>
      <c r="AN142" s="631">
        <f>PRIX!G143</f>
        <v>0.56</v>
      </c>
      <c r="AO142" s="631">
        <f>PRIX!H143</f>
        <v>26</v>
      </c>
      <c r="AP142" s="631">
        <f>PRIX!I143</f>
        <v>0.238</v>
      </c>
      <c r="AQ142" s="631">
        <f>PRIX!J143</f>
        <v>0.0000135</v>
      </c>
      <c r="AR142" s="631">
        <f>PRIX!K143</f>
        <v>2.8</v>
      </c>
      <c r="AS142" s="631">
        <f>PRIX!L143</f>
        <v>0.53</v>
      </c>
      <c r="AT142" s="631">
        <f>PRIX!M143</f>
        <v>355</v>
      </c>
      <c r="AU142" s="631">
        <f>PRIX!N143</f>
        <v>0.0052</v>
      </c>
      <c r="AV142" s="631">
        <f>PRIX!O143</f>
        <v>6</v>
      </c>
      <c r="AW142" s="631">
        <f>PRIX!P143</f>
        <v>0.0023</v>
      </c>
      <c r="AX142" s="631">
        <f>PRIX!Q143</f>
        <v>0.0000115</v>
      </c>
      <c r="AY142" s="631">
        <f>PRIX!R143</f>
        <v>0.9</v>
      </c>
      <c r="AZ142" s="631">
        <f>PRIX!S143</f>
        <v>3.6</v>
      </c>
      <c r="BA142" s="623"/>
    </row>
    <row r="143">
      <c r="A143" s="632">
        <f>ARBITRAGES!E144</f>
        <v>45894</v>
      </c>
      <c r="B143" s="623" t="str">
        <f>IF(A143="","",IF(ARBITRAGES!F144="Invest","Achat","Vente"))</f>
        <v>Achat</v>
      </c>
      <c r="C143" s="623" t="str">
        <f>ARBITRAGES!H144</f>
        <v>DOGE</v>
      </c>
      <c r="D143" s="624">
        <f>ARBITRAGES!I144</f>
        <v>0.222</v>
      </c>
      <c r="E143" s="624">
        <f>ARBITRAGES!J144</f>
        <v>222</v>
      </c>
      <c r="F143" s="623"/>
      <c r="G143" s="621">
        <f>'PV (%)'!B145</f>
        <v>45939</v>
      </c>
      <c r="H143" s="624">
        <f>'PV (%)'!E145</f>
        <v>72556.15305</v>
      </c>
      <c r="I143" s="624">
        <f>'PV (%)'!F145</f>
        <v>59662.63611</v>
      </c>
      <c r="J143" s="626">
        <f>'PV (%)'!G145</f>
        <v>63789.16448</v>
      </c>
      <c r="K143" s="623"/>
      <c r="L143" s="621">
        <f>Exposition!A144</f>
        <v>45894</v>
      </c>
      <c r="M143" s="625">
        <f>Exposition!B144</f>
        <v>0.759193001</v>
      </c>
      <c r="N143" s="625">
        <f>Exposition!C144</f>
        <v>0.3550191555</v>
      </c>
      <c r="O143" s="625">
        <f>Exposition!D144</f>
        <v>0.1299945158</v>
      </c>
      <c r="P143" s="625">
        <f>Exposition!E144</f>
        <v>0.01301967645</v>
      </c>
      <c r="Q143" s="625">
        <f>Exposition!F144</f>
        <v>0.07348752397</v>
      </c>
      <c r="R143" s="625">
        <f>Exposition!G144</f>
        <v>0.0643597269</v>
      </c>
      <c r="S143" s="625">
        <f>Exposition!H144</f>
        <v>0</v>
      </c>
      <c r="T143" s="625">
        <f>Exposition!I144</f>
        <v>0.03520666543</v>
      </c>
      <c r="U143" s="625">
        <f>Exposition!J144</f>
        <v>0.01836873424</v>
      </c>
      <c r="V143" s="625">
        <f>Exposition!K144</f>
        <v>0.004195859075</v>
      </c>
      <c r="W143" s="625">
        <f>Exposition!L144</f>
        <v>0.005329184677</v>
      </c>
      <c r="X143" s="625">
        <f>Exposition!M144</f>
        <v>0</v>
      </c>
      <c r="Y143" s="625">
        <f>Exposition!N144</f>
        <v>0.0432958404</v>
      </c>
      <c r="Z143" s="625">
        <f>Exposition!O144</f>
        <v>0</v>
      </c>
      <c r="AA143" s="625">
        <f>Exposition!P144</f>
        <v>0.01286850101</v>
      </c>
      <c r="AB143" s="625">
        <f>Exposition!Q144</f>
        <v>0.0000000009702166053</v>
      </c>
      <c r="AC143" s="625">
        <f>Exposition!R144</f>
        <v>0.00404761655</v>
      </c>
      <c r="AD143" s="625">
        <f>Exposition!S144</f>
        <v>0</v>
      </c>
      <c r="AE143" s="625">
        <f>Exposition!T144</f>
        <v>0</v>
      </c>
      <c r="AF143" s="625">
        <f>Exposition!U144</f>
        <v>0.240806999</v>
      </c>
      <c r="AG143" s="623"/>
      <c r="AH143" s="621">
        <f>PRIX!A144</f>
        <v>45894</v>
      </c>
      <c r="AI143" s="631">
        <f>PRIX!B144</f>
        <v>110000</v>
      </c>
      <c r="AJ143" s="631">
        <f>PRIX!C144</f>
        <v>4450</v>
      </c>
      <c r="AK143" s="631">
        <f>PRIX!D144</f>
        <v>3.15</v>
      </c>
      <c r="AL143" s="631">
        <f>PRIX!E144</f>
        <v>190</v>
      </c>
      <c r="AM143" s="631">
        <f>PRIX!F144</f>
        <v>325</v>
      </c>
      <c r="AN143" s="631">
        <f>PRIX!G144</f>
        <v>0.516</v>
      </c>
      <c r="AO143" s="631">
        <f>PRIX!H144</f>
        <v>23.3</v>
      </c>
      <c r="AP143" s="631">
        <f>PRIX!I144</f>
        <v>0.2115</v>
      </c>
      <c r="AQ143" s="631">
        <f>PRIX!J144</f>
        <v>0.0000122</v>
      </c>
      <c r="AR143" s="631">
        <f>PRIX!K144</f>
        <v>2.5</v>
      </c>
      <c r="AS143" s="631">
        <f>PRIX!L144</f>
        <v>0.46</v>
      </c>
      <c r="AT143" s="631">
        <f>PRIX!M144</f>
        <v>333</v>
      </c>
      <c r="AU143" s="631">
        <f>PRIX!N144</f>
        <v>0.0046</v>
      </c>
      <c r="AV143" s="631">
        <f>PRIX!O144</f>
        <v>5.3</v>
      </c>
      <c r="AW143" s="631">
        <f>PRIX!P144</f>
        <v>0.002</v>
      </c>
      <c r="AX143" s="631">
        <f>PRIX!Q144</f>
        <v>0.00001</v>
      </c>
      <c r="AY143" s="631">
        <f>PRIX!R144</f>
        <v>0.77</v>
      </c>
      <c r="AZ143" s="631">
        <f>PRIX!S144</f>
        <v>3.33</v>
      </c>
      <c r="BA143" s="623"/>
    </row>
    <row r="144">
      <c r="A144" s="632">
        <f>ARBITRAGES!E145</f>
        <v>45894</v>
      </c>
      <c r="B144" s="623" t="str">
        <f>IF(A144="","",IF(ARBITRAGES!F145="Invest","Achat","Vente"))</f>
        <v>Achat</v>
      </c>
      <c r="C144" s="623" t="str">
        <f>ARBITRAGES!H145</f>
        <v>ETH</v>
      </c>
      <c r="D144" s="624">
        <f>ARBITRAGES!I145</f>
        <v>4444</v>
      </c>
      <c r="E144" s="624">
        <f>ARBITRAGES!J145</f>
        <v>311.08</v>
      </c>
      <c r="F144" s="623"/>
      <c r="G144" s="621">
        <f>'PV (%)'!B146</f>
        <v>45939</v>
      </c>
      <c r="H144" s="624">
        <f>'PV (%)'!E146</f>
        <v>72556.15305</v>
      </c>
      <c r="I144" s="624">
        <f>'PV (%)'!F146</f>
        <v>59662.63611</v>
      </c>
      <c r="J144" s="626">
        <f>'PV (%)'!G146</f>
        <v>63791.66448</v>
      </c>
      <c r="K144" s="623"/>
      <c r="L144" s="621">
        <f>Exposition!A145</f>
        <v>45894</v>
      </c>
      <c r="M144" s="625">
        <f>Exposition!B145</f>
        <v>0.7641791401</v>
      </c>
      <c r="N144" s="625">
        <f>Exposition!C145</f>
        <v>0.3599979865</v>
      </c>
      <c r="O144" s="625">
        <f>Exposition!D145</f>
        <v>0.1299968663</v>
      </c>
      <c r="P144" s="625">
        <f>Exposition!E145</f>
        <v>0.01301991186</v>
      </c>
      <c r="Q144" s="625">
        <f>Exposition!F145</f>
        <v>0.07348885274</v>
      </c>
      <c r="R144" s="625">
        <f>Exposition!G145</f>
        <v>0.06436089062</v>
      </c>
      <c r="S144" s="625">
        <f>Exposition!H145</f>
        <v>0</v>
      </c>
      <c r="T144" s="625">
        <f>Exposition!I145</f>
        <v>0.03520730202</v>
      </c>
      <c r="U144" s="625">
        <f>Exposition!J145</f>
        <v>0.01836906637</v>
      </c>
      <c r="V144" s="625">
        <f>Exposition!K145</f>
        <v>0.004195934942</v>
      </c>
      <c r="W144" s="625">
        <f>Exposition!L145</f>
        <v>0.005329281036</v>
      </c>
      <c r="X144" s="625">
        <f>Exposition!M145</f>
        <v>0</v>
      </c>
      <c r="Y144" s="625">
        <f>Exposition!N145</f>
        <v>0.04329662326</v>
      </c>
      <c r="Z144" s="625">
        <f>Exposition!O145</f>
        <v>0</v>
      </c>
      <c r="AA144" s="625">
        <f>Exposition!P145</f>
        <v>0.0128687337</v>
      </c>
      <c r="AB144" s="625">
        <f>Exposition!Q145</f>
        <v>0.0000000009702341483</v>
      </c>
      <c r="AC144" s="625">
        <f>Exposition!R145</f>
        <v>0.004047689737</v>
      </c>
      <c r="AD144" s="625">
        <f>Exposition!S145</f>
        <v>0</v>
      </c>
      <c r="AE144" s="625">
        <f>Exposition!T145</f>
        <v>0</v>
      </c>
      <c r="AF144" s="625">
        <f>Exposition!U145</f>
        <v>0.2358208599</v>
      </c>
      <c r="AG144" s="623"/>
      <c r="AH144" s="621">
        <f>PRIX!A145</f>
        <v>45894</v>
      </c>
      <c r="AI144" s="631">
        <f>PRIX!B145</f>
        <v>110000</v>
      </c>
      <c r="AJ144" s="631">
        <f>PRIX!C145</f>
        <v>4450</v>
      </c>
      <c r="AK144" s="631">
        <f>PRIX!D145</f>
        <v>3.15</v>
      </c>
      <c r="AL144" s="631">
        <f>PRIX!E145</f>
        <v>190</v>
      </c>
      <c r="AM144" s="631">
        <f>PRIX!F145</f>
        <v>325</v>
      </c>
      <c r="AN144" s="631">
        <f>PRIX!G145</f>
        <v>0.516</v>
      </c>
      <c r="AO144" s="631">
        <f>PRIX!H145</f>
        <v>23.3</v>
      </c>
      <c r="AP144" s="631">
        <f>PRIX!I145</f>
        <v>0.2115</v>
      </c>
      <c r="AQ144" s="631">
        <f>PRIX!J145</f>
        <v>0.0000122</v>
      </c>
      <c r="AR144" s="631">
        <f>PRIX!K145</f>
        <v>2.5</v>
      </c>
      <c r="AS144" s="631">
        <f>PRIX!L145</f>
        <v>0.46</v>
      </c>
      <c r="AT144" s="631">
        <f>PRIX!M145</f>
        <v>333</v>
      </c>
      <c r="AU144" s="631">
        <f>PRIX!N145</f>
        <v>0.0046</v>
      </c>
      <c r="AV144" s="631">
        <f>PRIX!O145</f>
        <v>5.3</v>
      </c>
      <c r="AW144" s="631">
        <f>PRIX!P145</f>
        <v>0.002</v>
      </c>
      <c r="AX144" s="631">
        <f>PRIX!Q145</f>
        <v>0.00001</v>
      </c>
      <c r="AY144" s="631">
        <f>PRIX!R145</f>
        <v>0.77</v>
      </c>
      <c r="AZ144" s="631">
        <f>PRIX!S145</f>
        <v>3.33</v>
      </c>
      <c r="BA144" s="623"/>
    </row>
    <row r="145">
      <c r="A145" s="621">
        <f>ARBITRAGES!E146</f>
        <v>45894</v>
      </c>
      <c r="B145" s="623" t="str">
        <f>IF(A145="","",IF(ARBITRAGES!F146="Invest","Achat","Vente"))</f>
        <v>Achat</v>
      </c>
      <c r="C145" s="623" t="str">
        <f>ARBITRAGES!H146</f>
        <v>BTC</v>
      </c>
      <c r="D145" s="624">
        <f>ARBITRAGES!I146</f>
        <v>110400</v>
      </c>
      <c r="E145" s="624">
        <f>ARBITRAGES!J146</f>
        <v>297.5045276</v>
      </c>
      <c r="F145" s="623"/>
      <c r="G145" s="621">
        <f>'PV (%)'!B147</f>
        <v>45940</v>
      </c>
      <c r="H145" s="624">
        <f>'PV (%)'!E147</f>
        <v>72556.15305</v>
      </c>
      <c r="I145" s="624">
        <f>'PV (%)'!F147</f>
        <v>59662.63611</v>
      </c>
      <c r="J145" s="626">
        <f>'PV (%)'!G147</f>
        <v>63023.16419</v>
      </c>
      <c r="K145" s="623"/>
      <c r="L145" s="621">
        <f>Exposition!A146</f>
        <v>45894</v>
      </c>
      <c r="M145" s="625">
        <f>Exposition!B146</f>
        <v>0.7725122169</v>
      </c>
      <c r="N145" s="625">
        <f>Exposition!C146</f>
        <v>0.3600704666</v>
      </c>
      <c r="O145" s="625">
        <f>Exposition!D146</f>
        <v>0.1300230392</v>
      </c>
      <c r="P145" s="625">
        <f>Exposition!E146</f>
        <v>0.01302253322</v>
      </c>
      <c r="Q145" s="625">
        <f>Exposition!F146</f>
        <v>0.07350364859</v>
      </c>
      <c r="R145" s="625">
        <f>Exposition!G146</f>
        <v>0.07255306971</v>
      </c>
      <c r="S145" s="625">
        <f>Exposition!H146</f>
        <v>0</v>
      </c>
      <c r="T145" s="625">
        <f>Exposition!I146</f>
        <v>0.03521439047</v>
      </c>
      <c r="U145" s="625">
        <f>Exposition!J146</f>
        <v>0.0183727647</v>
      </c>
      <c r="V145" s="625">
        <f>Exposition!K146</f>
        <v>0.00419677973</v>
      </c>
      <c r="W145" s="625">
        <f>Exposition!L146</f>
        <v>0.005330354005</v>
      </c>
      <c r="X145" s="625">
        <f>Exposition!M146</f>
        <v>0</v>
      </c>
      <c r="Y145" s="625">
        <f>Exposition!N146</f>
        <v>0.04330534037</v>
      </c>
      <c r="Z145" s="625">
        <f>Exposition!O146</f>
        <v>0</v>
      </c>
      <c r="AA145" s="625">
        <f>Exposition!P146</f>
        <v>0.01287132462</v>
      </c>
      <c r="AB145" s="625">
        <f>Exposition!Q146</f>
        <v>0.00000000097042949</v>
      </c>
      <c r="AC145" s="625">
        <f>Exposition!R146</f>
        <v>0.004048504677</v>
      </c>
      <c r="AD145" s="625">
        <f>Exposition!S146</f>
        <v>0</v>
      </c>
      <c r="AE145" s="625">
        <f>Exposition!T146</f>
        <v>0</v>
      </c>
      <c r="AF145" s="625">
        <f>Exposition!U146</f>
        <v>0.2274877831</v>
      </c>
      <c r="AG145" s="623"/>
      <c r="AH145" s="621">
        <f>PRIX!A146</f>
        <v>45894</v>
      </c>
      <c r="AI145" s="631">
        <f>PRIX!B146</f>
        <v>110000</v>
      </c>
      <c r="AJ145" s="631">
        <f>PRIX!C146</f>
        <v>4450</v>
      </c>
      <c r="AK145" s="631">
        <f>PRIX!D146</f>
        <v>3.15</v>
      </c>
      <c r="AL145" s="631">
        <f>PRIX!E146</f>
        <v>190</v>
      </c>
      <c r="AM145" s="631">
        <f>PRIX!F146</f>
        <v>325</v>
      </c>
      <c r="AN145" s="631">
        <f>PRIX!G146</f>
        <v>0.516</v>
      </c>
      <c r="AO145" s="631">
        <f>PRIX!H146</f>
        <v>23.3</v>
      </c>
      <c r="AP145" s="631">
        <f>PRIX!I146</f>
        <v>0.2115</v>
      </c>
      <c r="AQ145" s="631">
        <f>PRIX!J146</f>
        <v>0.0000122</v>
      </c>
      <c r="AR145" s="631">
        <f>PRIX!K146</f>
        <v>2.5</v>
      </c>
      <c r="AS145" s="631">
        <f>PRIX!L146</f>
        <v>0.46</v>
      </c>
      <c r="AT145" s="631">
        <f>PRIX!M146</f>
        <v>333</v>
      </c>
      <c r="AU145" s="631">
        <f>PRIX!N146</f>
        <v>0.0046</v>
      </c>
      <c r="AV145" s="631">
        <f>PRIX!O146</f>
        <v>5.3</v>
      </c>
      <c r="AW145" s="631">
        <f>PRIX!P146</f>
        <v>0.002</v>
      </c>
      <c r="AX145" s="631">
        <f>PRIX!Q146</f>
        <v>0.00001</v>
      </c>
      <c r="AY145" s="631">
        <f>PRIX!R146</f>
        <v>0.77</v>
      </c>
      <c r="AZ145" s="631">
        <f>PRIX!S146</f>
        <v>3.33</v>
      </c>
      <c r="BA145" s="623"/>
    </row>
    <row r="146">
      <c r="A146" s="621">
        <f>ARBITRAGES!E147</f>
        <v>45894</v>
      </c>
      <c r="B146" s="623" t="str">
        <f>IF(A146="","",IF(ARBITRAGES!F147="Invest","Achat","Vente"))</f>
        <v>Achat</v>
      </c>
      <c r="C146" s="623" t="str">
        <f>ARBITRAGES!H147</f>
        <v>TAO</v>
      </c>
      <c r="D146" s="624">
        <f>ARBITRAGES!I147</f>
        <v>333</v>
      </c>
      <c r="E146" s="624">
        <f>ARBITRAGES!J147</f>
        <v>499.5</v>
      </c>
      <c r="F146" s="623"/>
      <c r="G146" s="621">
        <f>'PV (%)'!B148</f>
        <v>45941</v>
      </c>
      <c r="H146" s="624">
        <f>'PV (%)'!E148</f>
        <v>66906.28867</v>
      </c>
      <c r="I146" s="624">
        <f>'PV (%)'!F148</f>
        <v>53161.16048</v>
      </c>
      <c r="J146" s="626">
        <f>'PV (%)'!G148</f>
        <v>57331.98588</v>
      </c>
      <c r="K146" s="623"/>
      <c r="L146" s="621">
        <f>Exposition!A147</f>
        <v>45895</v>
      </c>
      <c r="M146" s="625">
        <f>Exposition!B147</f>
        <v>0.781778642</v>
      </c>
      <c r="N146" s="625">
        <f>Exposition!C147</f>
        <v>0.3650389729</v>
      </c>
      <c r="O146" s="625">
        <f>Exposition!D147</f>
        <v>0.1294527377</v>
      </c>
      <c r="P146" s="625">
        <f>Exposition!E147</f>
        <v>0.01296541434</v>
      </c>
      <c r="Q146" s="625">
        <f>Exposition!F147</f>
        <v>0.07895871714</v>
      </c>
      <c r="R146" s="625">
        <f>Exposition!G147</f>
        <v>0.07334614578</v>
      </c>
      <c r="S146" s="625">
        <f>Exposition!H147</f>
        <v>0</v>
      </c>
      <c r="T146" s="625">
        <f>Exposition!I147</f>
        <v>0.03573705782</v>
      </c>
      <c r="U146" s="625">
        <f>Exposition!J147</f>
        <v>0.01885434985</v>
      </c>
      <c r="V146" s="625">
        <f>Exposition!K147</f>
        <v>0.004281118846</v>
      </c>
      <c r="W146" s="625">
        <f>Exposition!L147</f>
        <v>0.005306974234</v>
      </c>
      <c r="X146" s="625">
        <f>Exposition!M147</f>
        <v>0</v>
      </c>
      <c r="Y146" s="625">
        <f>Exposition!N147</f>
        <v>0.04207959102</v>
      </c>
      <c r="Z146" s="625">
        <f>Exposition!O147</f>
        <v>0</v>
      </c>
      <c r="AA146" s="625">
        <f>Exposition!P147</f>
        <v>0.01172681405</v>
      </c>
      <c r="AB146" s="625">
        <f>Exposition!Q147</f>
        <v>0.0000000009661730336</v>
      </c>
      <c r="AC146" s="625">
        <f>Exposition!R147</f>
        <v>0.004030747299</v>
      </c>
      <c r="AD146" s="625">
        <f>Exposition!S147</f>
        <v>0</v>
      </c>
      <c r="AE146" s="625">
        <f>Exposition!T147</f>
        <v>0</v>
      </c>
      <c r="AF146" s="625">
        <f>Exposition!U147</f>
        <v>0.218221358</v>
      </c>
      <c r="AG146" s="623"/>
      <c r="AH146" s="621">
        <f>PRIX!A147</f>
        <v>45894</v>
      </c>
      <c r="AI146" s="631">
        <f>PRIX!B147</f>
        <v>110000</v>
      </c>
      <c r="AJ146" s="631">
        <f>PRIX!C147</f>
        <v>4450</v>
      </c>
      <c r="AK146" s="631">
        <f>PRIX!D147</f>
        <v>3.15</v>
      </c>
      <c r="AL146" s="631">
        <f>PRIX!E147</f>
        <v>190</v>
      </c>
      <c r="AM146" s="631">
        <f>PRIX!F147</f>
        <v>325</v>
      </c>
      <c r="AN146" s="631">
        <f>PRIX!G147</f>
        <v>0.516</v>
      </c>
      <c r="AO146" s="631">
        <f>PRIX!H147</f>
        <v>23.3</v>
      </c>
      <c r="AP146" s="631">
        <f>PRIX!I147</f>
        <v>0.2115</v>
      </c>
      <c r="AQ146" s="631">
        <f>PRIX!J147</f>
        <v>0.0000122</v>
      </c>
      <c r="AR146" s="631">
        <f>PRIX!K147</f>
        <v>2.5</v>
      </c>
      <c r="AS146" s="631">
        <f>PRIX!L147</f>
        <v>0.46</v>
      </c>
      <c r="AT146" s="631">
        <f>PRIX!M147</f>
        <v>333</v>
      </c>
      <c r="AU146" s="631">
        <f>PRIX!N147</f>
        <v>0.0046</v>
      </c>
      <c r="AV146" s="631">
        <f>PRIX!O147</f>
        <v>5.3</v>
      </c>
      <c r="AW146" s="631">
        <f>PRIX!P147</f>
        <v>0.002</v>
      </c>
      <c r="AX146" s="631">
        <f>PRIX!Q147</f>
        <v>0.00001</v>
      </c>
      <c r="AY146" s="631">
        <f>PRIX!R147</f>
        <v>0.77</v>
      </c>
      <c r="AZ146" s="631">
        <f>PRIX!S147</f>
        <v>3.33</v>
      </c>
      <c r="BA146" s="623"/>
    </row>
    <row r="147">
      <c r="A147" s="621">
        <f>ARBITRAGES!E148</f>
        <v>45895</v>
      </c>
      <c r="B147" s="623" t="str">
        <f>IF(A147="","",IF(ARBITRAGES!F148="Invest","Achat","Vente"))</f>
        <v>Achat</v>
      </c>
      <c r="C147" s="623" t="str">
        <f>ARBITRAGES!H148</f>
        <v>BTC</v>
      </c>
      <c r="D147" s="624">
        <f>ARBITRAGES!I148</f>
        <v>110000</v>
      </c>
      <c r="E147" s="624">
        <f>ARBITRAGES!J148</f>
        <v>495</v>
      </c>
      <c r="F147" s="623"/>
      <c r="G147" s="621">
        <f>'PV (%)'!B149</f>
        <v>45941</v>
      </c>
      <c r="H147" s="624">
        <f>'PV (%)'!E149</f>
        <v>68393.09508</v>
      </c>
      <c r="I147" s="624">
        <f>'PV (%)'!F149</f>
        <v>56011.75802</v>
      </c>
      <c r="J147" s="626">
        <f>'PV (%)'!G149</f>
        <v>60267.14169</v>
      </c>
      <c r="K147" s="623"/>
      <c r="L147" s="621">
        <f>Exposition!A148</f>
        <v>45908</v>
      </c>
      <c r="M147" s="625">
        <f>Exposition!B148</f>
        <v>0.7849079522</v>
      </c>
      <c r="N147" s="625">
        <f>Exposition!C148</f>
        <v>0.3704499433</v>
      </c>
      <c r="O147" s="625">
        <f>Exposition!D148</f>
        <v>0.1330012095</v>
      </c>
      <c r="P147" s="625">
        <f>Exposition!E148</f>
        <v>0.01297817877</v>
      </c>
      <c r="Q147" s="625">
        <f>Exposition!F148</f>
        <v>0.07325329685</v>
      </c>
      <c r="R147" s="625">
        <f>Exposition!G148</f>
        <v>0.07230595562</v>
      </c>
      <c r="S147" s="625">
        <f>Exposition!H148</f>
        <v>0</v>
      </c>
      <c r="T147" s="625">
        <f>Exposition!I148</f>
        <v>0.03509445106</v>
      </c>
      <c r="U147" s="625">
        <f>Exposition!J148</f>
        <v>0.01831018749</v>
      </c>
      <c r="V147" s="625">
        <f>Exposition!K148</f>
        <v>0.004182485594</v>
      </c>
      <c r="W147" s="625">
        <f>Exposition!L148</f>
        <v>0.005312198941</v>
      </c>
      <c r="X147" s="625">
        <f>Exposition!M148</f>
        <v>0</v>
      </c>
      <c r="Y147" s="625">
        <f>Exposition!N148</f>
        <v>0.04315784337</v>
      </c>
      <c r="Z147" s="625">
        <f>Exposition!O148</f>
        <v>0</v>
      </c>
      <c r="AA147" s="625">
        <f>Exposition!P148</f>
        <v>0.01282748518</v>
      </c>
      <c r="AB147" s="625">
        <f>Exposition!Q148</f>
        <v>0.0000000009671242294</v>
      </c>
      <c r="AC147" s="625">
        <f>Exposition!R148</f>
        <v>0.004034715563</v>
      </c>
      <c r="AD147" s="625">
        <f>Exposition!S148</f>
        <v>0</v>
      </c>
      <c r="AE147" s="625">
        <f>Exposition!T148</f>
        <v>0</v>
      </c>
      <c r="AF147" s="625">
        <f>Exposition!U148</f>
        <v>0.2150920478</v>
      </c>
      <c r="AG147" s="623"/>
      <c r="AH147" s="621">
        <f>PRIX!A148</f>
        <v>45895</v>
      </c>
      <c r="AI147" s="631">
        <f>PRIX!B148</f>
        <v>108500</v>
      </c>
      <c r="AJ147" s="631">
        <f>PRIX!C148</f>
        <v>4450</v>
      </c>
      <c r="AK147" s="631">
        <f>PRIX!D148</f>
        <v>3.15</v>
      </c>
      <c r="AL147" s="631">
        <f>PRIX!E148</f>
        <v>205</v>
      </c>
      <c r="AM147" s="631">
        <f>PRIX!F148</f>
        <v>330</v>
      </c>
      <c r="AN147" s="631">
        <f>PRIX!G148</f>
        <v>0.515</v>
      </c>
      <c r="AO147" s="631">
        <f>PRIX!H148</f>
        <v>23.75</v>
      </c>
      <c r="AP147" s="631">
        <f>PRIX!I148</f>
        <v>0.218</v>
      </c>
      <c r="AQ147" s="631">
        <f>PRIX!J148</f>
        <v>0.0000125</v>
      </c>
      <c r="AR147" s="631">
        <f>PRIX!K148</f>
        <v>2.5</v>
      </c>
      <c r="AS147" s="631">
        <f>PRIX!L148</f>
        <v>0.5</v>
      </c>
      <c r="AT147" s="631">
        <f>PRIX!M148</f>
        <v>325</v>
      </c>
      <c r="AU147" s="631">
        <f>PRIX!N148</f>
        <v>0.005</v>
      </c>
      <c r="AV147" s="631">
        <f>PRIX!O148</f>
        <v>4.85</v>
      </c>
      <c r="AW147" s="631">
        <f>PRIX!P148</f>
        <v>0.002</v>
      </c>
      <c r="AX147" s="631">
        <f>PRIX!Q148</f>
        <v>0.00001</v>
      </c>
      <c r="AY147" s="631">
        <f>PRIX!R148</f>
        <v>0.81</v>
      </c>
      <c r="AZ147" s="631">
        <f>PRIX!S148</f>
        <v>3.5</v>
      </c>
      <c r="BA147" s="623"/>
    </row>
    <row r="148">
      <c r="A148" s="621">
        <f>ARBITRAGES!E149</f>
        <v>45908</v>
      </c>
      <c r="B148" s="623" t="str">
        <f>IF(A148="","",IF(ARBITRAGES!F149="Invest","Achat","Vente"))</f>
        <v>Achat</v>
      </c>
      <c r="C148" s="623" t="str">
        <f>ARBITRAGES!H149</f>
        <v>ETH</v>
      </c>
      <c r="D148" s="624">
        <f>ARBITRAGES!I149</f>
        <v>4350</v>
      </c>
      <c r="E148" s="624">
        <f>ARBITRAGES!J149</f>
        <v>200</v>
      </c>
      <c r="F148" s="623"/>
      <c r="G148" s="621">
        <f>'PV (%)'!B150</f>
        <v>45942</v>
      </c>
      <c r="H148" s="624">
        <f>'PV (%)'!E150</f>
        <v>68393.09508</v>
      </c>
      <c r="I148" s="624">
        <f>'PV (%)'!F150</f>
        <v>56011.75802</v>
      </c>
      <c r="J148" s="626">
        <f>'PV (%)'!G150</f>
        <v>60279.58169</v>
      </c>
      <c r="K148" s="623"/>
      <c r="L148" s="621">
        <f>Exposition!A149</f>
        <v>45908</v>
      </c>
      <c r="M148" s="625">
        <f>Exposition!B149</f>
        <v>0.7899546273</v>
      </c>
      <c r="N148" s="625">
        <f>Exposition!C149</f>
        <v>0.3703962442</v>
      </c>
      <c r="O148" s="625">
        <f>Exposition!D149</f>
        <v>0.1381423828</v>
      </c>
      <c r="P148" s="625">
        <f>Exposition!E149</f>
        <v>0.0129762975</v>
      </c>
      <c r="Q148" s="625">
        <f>Exposition!F149</f>
        <v>0.0732426783</v>
      </c>
      <c r="R148" s="625">
        <f>Exposition!G149</f>
        <v>0.0722954744</v>
      </c>
      <c r="S148" s="625">
        <f>Exposition!H149</f>
        <v>0</v>
      </c>
      <c r="T148" s="625">
        <f>Exposition!I149</f>
        <v>0.03508936389</v>
      </c>
      <c r="U148" s="625">
        <f>Exposition!J149</f>
        <v>0.0183075333</v>
      </c>
      <c r="V148" s="625">
        <f>Exposition!K149</f>
        <v>0.004181879315</v>
      </c>
      <c r="W148" s="625">
        <f>Exposition!L149</f>
        <v>0.005311428903</v>
      </c>
      <c r="X148" s="625">
        <f>Exposition!M149</f>
        <v>0</v>
      </c>
      <c r="Y148" s="625">
        <f>Exposition!N149</f>
        <v>0.04315158736</v>
      </c>
      <c r="Z148" s="625">
        <f>Exposition!O149</f>
        <v>0</v>
      </c>
      <c r="AA148" s="625">
        <f>Exposition!P149</f>
        <v>0.01282562575</v>
      </c>
      <c r="AB148" s="625">
        <f>Exposition!Q149</f>
        <v>0.0000000009669840384</v>
      </c>
      <c r="AC148" s="625">
        <f>Exposition!R149</f>
        <v>0.004034130704</v>
      </c>
      <c r="AD148" s="625">
        <f>Exposition!S149</f>
        <v>0</v>
      </c>
      <c r="AE148" s="625">
        <f>Exposition!T149</f>
        <v>0</v>
      </c>
      <c r="AF148" s="625">
        <f>Exposition!U149</f>
        <v>0.2100453727</v>
      </c>
      <c r="AG148" s="623"/>
      <c r="AH148" s="621">
        <f>PRIX!A149</f>
        <v>45908</v>
      </c>
      <c r="AI148" s="631">
        <f>PRIX!B149</f>
        <v>110000</v>
      </c>
      <c r="AJ148" s="631">
        <f>PRIX!C149</f>
        <v>4450</v>
      </c>
      <c r="AK148" s="631">
        <f>PRIX!D149</f>
        <v>3.15</v>
      </c>
      <c r="AL148" s="631">
        <f>PRIX!E149</f>
        <v>190</v>
      </c>
      <c r="AM148" s="631">
        <f>PRIX!F149</f>
        <v>325</v>
      </c>
      <c r="AN148" s="631">
        <f>PRIX!G149</f>
        <v>0.516</v>
      </c>
      <c r="AO148" s="631">
        <f>PRIX!H149</f>
        <v>23.3</v>
      </c>
      <c r="AP148" s="631">
        <f>PRIX!I149</f>
        <v>0.2115</v>
      </c>
      <c r="AQ148" s="631">
        <f>PRIX!J149</f>
        <v>0.0000122</v>
      </c>
      <c r="AR148" s="631">
        <f>PRIX!K149</f>
        <v>2.5</v>
      </c>
      <c r="AS148" s="631">
        <f>PRIX!L149</f>
        <v>0.46</v>
      </c>
      <c r="AT148" s="631">
        <f>PRIX!M149</f>
        <v>333</v>
      </c>
      <c r="AU148" s="631">
        <f>PRIX!N149</f>
        <v>0.0046</v>
      </c>
      <c r="AV148" s="631">
        <f>PRIX!O149</f>
        <v>5.3</v>
      </c>
      <c r="AW148" s="631">
        <f>PRIX!P149</f>
        <v>0.002</v>
      </c>
      <c r="AX148" s="631">
        <f>PRIX!Q149</f>
        <v>0.00001</v>
      </c>
      <c r="AY148" s="631">
        <f>PRIX!R149</f>
        <v>0.77</v>
      </c>
      <c r="AZ148" s="631">
        <f>PRIX!S149</f>
        <v>3.33</v>
      </c>
      <c r="BA148" s="623"/>
    </row>
    <row r="149">
      <c r="A149" s="621">
        <f>ARBITRAGES!E150</f>
        <v>45908</v>
      </c>
      <c r="B149" s="623" t="str">
        <f>IF(A149="","",IF(ARBITRAGES!F150="Invest","Achat","Vente"))</f>
        <v>Achat</v>
      </c>
      <c r="C149" s="623" t="str">
        <f>ARBITRAGES!H150</f>
        <v>ETH</v>
      </c>
      <c r="D149" s="624">
        <f>ARBITRAGES!I150</f>
        <v>4325</v>
      </c>
      <c r="E149" s="624">
        <f>ARBITRAGES!J150</f>
        <v>300</v>
      </c>
      <c r="F149" s="623"/>
      <c r="G149" s="621">
        <f>'PV (%)'!B151</f>
        <v>45945</v>
      </c>
      <c r="H149" s="624">
        <f>'PV (%)'!E151</f>
        <v>66080.21903</v>
      </c>
      <c r="I149" s="624">
        <f>'PV (%)'!F151</f>
        <v>54118.32902</v>
      </c>
      <c r="J149" s="626">
        <f>'PV (%)'!G151</f>
        <v>58802.78132</v>
      </c>
      <c r="K149" s="623"/>
      <c r="L149" s="621">
        <f>Exposition!A150</f>
        <v>45909</v>
      </c>
      <c r="M149" s="625">
        <f>Exposition!B150</f>
        <v>0.7861203667</v>
      </c>
      <c r="N149" s="625">
        <f>Exposition!C150</f>
        <v>0.3702147957</v>
      </c>
      <c r="O149" s="625">
        <f>Exposition!D150</f>
        <v>0.13807471</v>
      </c>
      <c r="P149" s="625">
        <f>Exposition!E150</f>
        <v>0.01296994072</v>
      </c>
      <c r="Q149" s="625">
        <f>Exposition!F150</f>
        <v>0.06975951817</v>
      </c>
      <c r="R149" s="625">
        <f>Exposition!G150</f>
        <v>0.07226005853</v>
      </c>
      <c r="S149" s="625">
        <f>Exposition!H150</f>
        <v>0</v>
      </c>
      <c r="T149" s="625">
        <f>Exposition!I150</f>
        <v>0.03507217443</v>
      </c>
      <c r="U149" s="625">
        <f>Exposition!J150</f>
        <v>0.01829856487</v>
      </c>
      <c r="V149" s="625">
        <f>Exposition!K150</f>
        <v>0.00417983071</v>
      </c>
      <c r="W149" s="625">
        <f>Exposition!L150</f>
        <v>0.005308826958</v>
      </c>
      <c r="X149" s="625">
        <f>Exposition!M150</f>
        <v>0</v>
      </c>
      <c r="Y149" s="625">
        <f>Exposition!N150</f>
        <v>0.0431304484</v>
      </c>
      <c r="Z149" s="625">
        <f>Exposition!O150</f>
        <v>0</v>
      </c>
      <c r="AA149" s="625">
        <f>Exposition!P150</f>
        <v>0.01281934278</v>
      </c>
      <c r="AB149" s="625">
        <f>Exposition!Q150</f>
        <v>0.0000000009665103355</v>
      </c>
      <c r="AC149" s="625">
        <f>Exposition!R150</f>
        <v>0.004032154478</v>
      </c>
      <c r="AD149" s="625">
        <f>Exposition!S150</f>
        <v>0</v>
      </c>
      <c r="AE149" s="625">
        <f>Exposition!T150</f>
        <v>0</v>
      </c>
      <c r="AF149" s="625">
        <f>Exposition!U150</f>
        <v>0.2138796333</v>
      </c>
      <c r="AG149" s="623"/>
      <c r="AH149" s="621">
        <f>PRIX!A150</f>
        <v>45908</v>
      </c>
      <c r="AI149" s="631">
        <f>PRIX!B150</f>
        <v>110000</v>
      </c>
      <c r="AJ149" s="631">
        <f>PRIX!C150</f>
        <v>4450</v>
      </c>
      <c r="AK149" s="631">
        <f>PRIX!D150</f>
        <v>3.15</v>
      </c>
      <c r="AL149" s="631">
        <f>PRIX!E150</f>
        <v>190</v>
      </c>
      <c r="AM149" s="631">
        <f>PRIX!F150</f>
        <v>325</v>
      </c>
      <c r="AN149" s="631">
        <f>PRIX!G150</f>
        <v>0.516</v>
      </c>
      <c r="AO149" s="631">
        <f>PRIX!H150</f>
        <v>23.3</v>
      </c>
      <c r="AP149" s="631">
        <f>PRIX!I150</f>
        <v>0.2115</v>
      </c>
      <c r="AQ149" s="631">
        <f>PRIX!J150</f>
        <v>0.0000122</v>
      </c>
      <c r="AR149" s="631">
        <f>PRIX!K150</f>
        <v>2.5</v>
      </c>
      <c r="AS149" s="631">
        <f>PRIX!L150</f>
        <v>0.46</v>
      </c>
      <c r="AT149" s="631">
        <f>PRIX!M150</f>
        <v>333</v>
      </c>
      <c r="AU149" s="631">
        <f>PRIX!N150</f>
        <v>0.0046</v>
      </c>
      <c r="AV149" s="631">
        <f>PRIX!O150</f>
        <v>5.3</v>
      </c>
      <c r="AW149" s="631">
        <f>PRIX!P150</f>
        <v>0.002</v>
      </c>
      <c r="AX149" s="631">
        <f>PRIX!Q150</f>
        <v>0.00001</v>
      </c>
      <c r="AY149" s="631">
        <f>PRIX!R150</f>
        <v>0.77</v>
      </c>
      <c r="AZ149" s="631">
        <f>PRIX!S150</f>
        <v>3.33</v>
      </c>
      <c r="BA149" s="623"/>
    </row>
    <row r="150">
      <c r="A150" s="621">
        <f>ARBITRAGES!E151</f>
        <v>45909</v>
      </c>
      <c r="B150" s="623" t="str">
        <f>IF(A150="","",IF(ARBITRAGES!F151="Invest","Achat","Vente"))</f>
        <v>Vente</v>
      </c>
      <c r="C150" s="623" t="str">
        <f>ARBITRAGES!H151</f>
        <v>SOL</v>
      </c>
      <c r="D150" s="624">
        <f>ARBITRAGES!I151</f>
        <v>217</v>
      </c>
      <c r="E150" s="624">
        <f>ARBITRAGES!J151</f>
        <v>235.6149718</v>
      </c>
      <c r="F150" s="623"/>
      <c r="G150" s="621">
        <f>'PV (%)'!B152</f>
        <v>45949</v>
      </c>
      <c r="H150" s="624">
        <f>'PV (%)'!E152</f>
        <v>66311.5661</v>
      </c>
      <c r="I150" s="624">
        <f>'PV (%)'!F152</f>
        <v>54611.22529</v>
      </c>
      <c r="J150" s="626">
        <f>'PV (%)'!G152</f>
        <v>59403.42487</v>
      </c>
      <c r="K150" s="623"/>
      <c r="L150" s="621">
        <f>Exposition!A151</f>
        <v>45911</v>
      </c>
      <c r="M150" s="625">
        <f>Exposition!B151</f>
        <v>0.7950726217</v>
      </c>
      <c r="N150" s="625">
        <f>Exposition!C151</f>
        <v>0.3688525961</v>
      </c>
      <c r="O150" s="625">
        <f>Exposition!D151</f>
        <v>0.135432138</v>
      </c>
      <c r="P150" s="625">
        <f>Exposition!E151</f>
        <v>0.01250222152</v>
      </c>
      <c r="Q150" s="625">
        <f>Exposition!F151</f>
        <v>0.08361243803</v>
      </c>
      <c r="R150" s="625">
        <f>Exposition!G151</f>
        <v>0.07489504311</v>
      </c>
      <c r="S150" s="625">
        <f>Exposition!H151</f>
        <v>0</v>
      </c>
      <c r="T150" s="625">
        <f>Exposition!I151</f>
        <v>0.03570726233</v>
      </c>
      <c r="U150" s="625">
        <f>Exposition!J151</f>
        <v>0.01972842771</v>
      </c>
      <c r="V150" s="625">
        <f>Exposition!K151</f>
        <v>0.004323747031</v>
      </c>
      <c r="W150" s="625">
        <f>Exposition!L151</f>
        <v>0.005238918991</v>
      </c>
      <c r="X150" s="625">
        <f>Exposition!M151</f>
        <v>0</v>
      </c>
      <c r="Y150" s="625">
        <f>Exposition!N151</f>
        <v>0.03871328882</v>
      </c>
      <c r="Z150" s="625">
        <f>Exposition!O151</f>
        <v>0</v>
      </c>
      <c r="AA150" s="625">
        <f>Exposition!P151</f>
        <v>0.01204922095</v>
      </c>
      <c r="AB150" s="625">
        <f>Exposition!Q151</f>
        <v>0.0000000009170991197</v>
      </c>
      <c r="AC150" s="625">
        <f>Exposition!R151</f>
        <v>0.004017318228</v>
      </c>
      <c r="AD150" s="625">
        <f>Exposition!S151</f>
        <v>0</v>
      </c>
      <c r="AE150" s="625">
        <f>Exposition!T151</f>
        <v>0</v>
      </c>
      <c r="AF150" s="625">
        <f>Exposition!U151</f>
        <v>0.2049273783</v>
      </c>
      <c r="AG150" s="623"/>
      <c r="AH150" s="621">
        <f>PRIX!A151</f>
        <v>45909</v>
      </c>
      <c r="AI150" s="631">
        <f>PRIX!B151</f>
        <v>110000</v>
      </c>
      <c r="AJ150" s="631">
        <f>PRIX!C151</f>
        <v>4450</v>
      </c>
      <c r="AK150" s="631">
        <f>PRIX!D151</f>
        <v>3.15</v>
      </c>
      <c r="AL150" s="631">
        <f>PRIX!E151</f>
        <v>190</v>
      </c>
      <c r="AM150" s="631">
        <f>PRIX!F151</f>
        <v>325</v>
      </c>
      <c r="AN150" s="631">
        <f>PRIX!G151</f>
        <v>0.516</v>
      </c>
      <c r="AO150" s="631">
        <f>PRIX!H151</f>
        <v>23.3</v>
      </c>
      <c r="AP150" s="631">
        <f>PRIX!I151</f>
        <v>0.2115</v>
      </c>
      <c r="AQ150" s="631">
        <f>PRIX!J151</f>
        <v>0.0000122</v>
      </c>
      <c r="AR150" s="631">
        <f>PRIX!K151</f>
        <v>2.5</v>
      </c>
      <c r="AS150" s="631">
        <f>PRIX!L151</f>
        <v>0.46</v>
      </c>
      <c r="AT150" s="631">
        <f>PRIX!M151</f>
        <v>333</v>
      </c>
      <c r="AU150" s="631">
        <f>PRIX!N151</f>
        <v>0.0046</v>
      </c>
      <c r="AV150" s="631">
        <f>PRIX!O151</f>
        <v>5.3</v>
      </c>
      <c r="AW150" s="631">
        <f>PRIX!P151</f>
        <v>0.002</v>
      </c>
      <c r="AX150" s="631">
        <f>PRIX!Q151</f>
        <v>0.00001</v>
      </c>
      <c r="AY150" s="631">
        <f>PRIX!R151</f>
        <v>0.77</v>
      </c>
      <c r="AZ150" s="631">
        <f>PRIX!S151</f>
        <v>3.33</v>
      </c>
      <c r="BA150" s="623"/>
    </row>
    <row r="151">
      <c r="A151" s="621">
        <f>ARBITRAGES!E152</f>
        <v>45911</v>
      </c>
      <c r="B151" s="623" t="str">
        <f>IF(A151="","",IF(ARBITRAGES!F152="Invest","Achat","Vente"))</f>
        <v>Vente</v>
      </c>
      <c r="C151" s="623" t="str">
        <f>ARBITRAGES!H152</f>
        <v>DOGE</v>
      </c>
      <c r="D151" s="624">
        <f>ARBITRAGES!I152</f>
        <v>0.25</v>
      </c>
      <c r="E151" s="624">
        <f>ARBITRAGES!J152</f>
        <v>125</v>
      </c>
      <c r="F151" s="623"/>
      <c r="G151" s="621">
        <f>'PV (%)'!B153</f>
        <v>45950</v>
      </c>
      <c r="H151" s="624">
        <f>'PV (%)'!E153</f>
        <v>66311.5661</v>
      </c>
      <c r="I151" s="624">
        <f>'PV (%)'!F153</f>
        <v>54611.22529</v>
      </c>
      <c r="J151" s="626">
        <f>'PV (%)'!G153</f>
        <v>59404.42487</v>
      </c>
      <c r="K151" s="623"/>
      <c r="L151" s="621">
        <f>Exposition!A152</f>
        <v>45911</v>
      </c>
      <c r="M151" s="625">
        <f>Exposition!B152</f>
        <v>0.794512214</v>
      </c>
      <c r="N151" s="625">
        <f>Exposition!C152</f>
        <v>0.366908844</v>
      </c>
      <c r="O151" s="625">
        <f>Exposition!D152</f>
        <v>0.1400031181</v>
      </c>
      <c r="P151" s="625">
        <f>Exposition!E152</f>
        <v>0.01243633823</v>
      </c>
      <c r="Q151" s="625">
        <f>Exposition!F152</f>
        <v>0.08317182338</v>
      </c>
      <c r="R151" s="625">
        <f>Exposition!G152</f>
        <v>0.07450036675</v>
      </c>
      <c r="S151" s="625">
        <f>Exposition!H152</f>
        <v>0</v>
      </c>
      <c r="T151" s="625">
        <f>Exposition!I152</f>
        <v>0.03551909483</v>
      </c>
      <c r="U151" s="625">
        <f>Exposition!J152</f>
        <v>0.0196244643</v>
      </c>
      <c r="V151" s="625">
        <f>Exposition!K152</f>
        <v>0.004300962069</v>
      </c>
      <c r="W151" s="625">
        <f>Exposition!L152</f>
        <v>0.005211311323</v>
      </c>
      <c r="X151" s="625">
        <f>Exposition!M152</f>
        <v>0</v>
      </c>
      <c r="Y151" s="625">
        <f>Exposition!N152</f>
        <v>0.03850928039</v>
      </c>
      <c r="Z151" s="625">
        <f>Exposition!O152</f>
        <v>0</v>
      </c>
      <c r="AA151" s="625">
        <f>Exposition!P152</f>
        <v>0.0103304617</v>
      </c>
      <c r="AB151" s="625">
        <f>Exposition!Q152</f>
        <v>0.0000000009122662586</v>
      </c>
      <c r="AC151" s="625">
        <f>Exposition!R152</f>
        <v>0.003996148061</v>
      </c>
      <c r="AD151" s="625">
        <f>Exposition!S152</f>
        <v>0</v>
      </c>
      <c r="AE151" s="625">
        <f>Exposition!T152</f>
        <v>0</v>
      </c>
      <c r="AF151" s="625">
        <f>Exposition!U152</f>
        <v>0.205487786</v>
      </c>
      <c r="AG151" s="623"/>
      <c r="AH151" s="621">
        <f>PRIX!A152</f>
        <v>45911</v>
      </c>
      <c r="AI151" s="631">
        <f>PRIX!B152</f>
        <v>115500</v>
      </c>
      <c r="AJ151" s="631">
        <f>PRIX!C152</f>
        <v>4600</v>
      </c>
      <c r="AK151" s="631">
        <f>PRIX!D152</f>
        <v>3.2</v>
      </c>
      <c r="AL151" s="631">
        <f>PRIX!E152</f>
        <v>240</v>
      </c>
      <c r="AM151" s="631">
        <f>PRIX!F152</f>
        <v>355</v>
      </c>
      <c r="AN151" s="631">
        <f>PRIX!G152</f>
        <v>0.52</v>
      </c>
      <c r="AO151" s="631">
        <f>PRIX!H152</f>
        <v>25</v>
      </c>
      <c r="AP151" s="631">
        <f>PRIX!I152</f>
        <v>0.266</v>
      </c>
      <c r="AQ151" s="631">
        <f>PRIX!J152</f>
        <v>0.0000133</v>
      </c>
      <c r="AR151" s="631">
        <f>PRIX!K152</f>
        <v>2.6</v>
      </c>
      <c r="AS151" s="631">
        <f>PRIX!L152</f>
        <v>0.56</v>
      </c>
      <c r="AT151" s="631">
        <f>PRIX!M152</f>
        <v>315</v>
      </c>
      <c r="AU151" s="631">
        <f>PRIX!N152</f>
        <v>0.0055</v>
      </c>
      <c r="AV151" s="631">
        <f>PRIX!O152</f>
        <v>5.25</v>
      </c>
      <c r="AW151" s="631">
        <f>PRIX!P152</f>
        <v>0.002</v>
      </c>
      <c r="AX151" s="631">
        <f>PRIX!Q152</f>
        <v>0.0000105</v>
      </c>
      <c r="AY151" s="631">
        <f>PRIX!R152</f>
        <v>0.9</v>
      </c>
      <c r="AZ151" s="631">
        <f>PRIX!S152</f>
        <v>3.7</v>
      </c>
      <c r="BA151" s="623"/>
    </row>
    <row r="152">
      <c r="A152" s="621">
        <f>ARBITRAGES!E153</f>
        <v>45911</v>
      </c>
      <c r="B152" s="623" t="str">
        <f>IF(A152="","",IF(ARBITRAGES!F153="Invest","Achat","Vente"))</f>
        <v>Vente</v>
      </c>
      <c r="C152" s="623" t="str">
        <f>ARBITRAGES!H153</f>
        <v>PENDLE</v>
      </c>
      <c r="D152" s="624">
        <f>ARBITRAGES!I153</f>
        <v>5.2</v>
      </c>
      <c r="E152" s="624">
        <f>ARBITRAGES!J153</f>
        <v>104</v>
      </c>
      <c r="F152" s="623"/>
      <c r="G152" s="621">
        <f>'PV (%)'!B154</f>
        <v>45952</v>
      </c>
      <c r="H152" s="624">
        <f>'PV (%)'!E154</f>
        <v>64348.98164</v>
      </c>
      <c r="I152" s="624">
        <f>'PV (%)'!F154</f>
        <v>52269.48385</v>
      </c>
      <c r="J152" s="626">
        <f>'PV (%)'!G154</f>
        <v>57209.62094</v>
      </c>
      <c r="K152" s="623"/>
      <c r="L152" s="621">
        <f>Exposition!A153</f>
        <v>45911</v>
      </c>
      <c r="M152" s="625">
        <f>Exposition!B153</f>
        <v>0.7907892255</v>
      </c>
      <c r="N152" s="625">
        <f>Exposition!C153</f>
        <v>0.3669377812</v>
      </c>
      <c r="O152" s="625">
        <f>Exposition!D153</f>
        <v>0.1400141598</v>
      </c>
      <c r="P152" s="625">
        <f>Exposition!E153</f>
        <v>0.01243731906</v>
      </c>
      <c r="Q152" s="625">
        <f>Exposition!F153</f>
        <v>0.0793927331</v>
      </c>
      <c r="R152" s="625">
        <f>Exposition!G153</f>
        <v>0.07450624242</v>
      </c>
      <c r="S152" s="625">
        <f>Exposition!H153</f>
        <v>0</v>
      </c>
      <c r="T152" s="625">
        <f>Exposition!I153</f>
        <v>0.03552189614</v>
      </c>
      <c r="U152" s="625">
        <f>Exposition!J153</f>
        <v>0.01962601204</v>
      </c>
      <c r="V152" s="625">
        <f>Exposition!K153</f>
        <v>0.004301301276</v>
      </c>
      <c r="W152" s="625">
        <f>Exposition!L153</f>
        <v>0.005211722327</v>
      </c>
      <c r="X152" s="625">
        <f>Exposition!M153</f>
        <v>0</v>
      </c>
      <c r="Y152" s="625">
        <f>Exposition!N153</f>
        <v>0.03851231753</v>
      </c>
      <c r="Z152" s="625">
        <f>Exposition!O153</f>
        <v>0</v>
      </c>
      <c r="AA152" s="625">
        <f>Exposition!P153</f>
        <v>0.01033127644</v>
      </c>
      <c r="AB152" s="625">
        <f>Exposition!Q153</f>
        <v>0.0000000009123382069</v>
      </c>
      <c r="AC152" s="625">
        <f>Exposition!R153</f>
        <v>0.003996463228</v>
      </c>
      <c r="AD152" s="625">
        <f>Exposition!S153</f>
        <v>0</v>
      </c>
      <c r="AE152" s="625">
        <f>Exposition!T153</f>
        <v>0</v>
      </c>
      <c r="AF152" s="625">
        <f>Exposition!U153</f>
        <v>0.2092107745</v>
      </c>
      <c r="AG152" s="623"/>
      <c r="AH152" s="621">
        <f>PRIX!A153</f>
        <v>45911</v>
      </c>
      <c r="AI152" s="631">
        <f>PRIX!B153</f>
        <v>115500</v>
      </c>
      <c r="AJ152" s="631">
        <f>PRIX!C153</f>
        <v>4600</v>
      </c>
      <c r="AK152" s="631">
        <f>PRIX!D153</f>
        <v>3.2</v>
      </c>
      <c r="AL152" s="631">
        <f>PRIX!E153</f>
        <v>240</v>
      </c>
      <c r="AM152" s="631">
        <f>PRIX!F153</f>
        <v>355</v>
      </c>
      <c r="AN152" s="631">
        <f>PRIX!G153</f>
        <v>0.52</v>
      </c>
      <c r="AO152" s="631">
        <f>PRIX!H153</f>
        <v>25</v>
      </c>
      <c r="AP152" s="631">
        <f>PRIX!I153</f>
        <v>0.266</v>
      </c>
      <c r="AQ152" s="631">
        <f>PRIX!J153</f>
        <v>0.0000133</v>
      </c>
      <c r="AR152" s="631">
        <f>PRIX!K153</f>
        <v>2.6</v>
      </c>
      <c r="AS152" s="631">
        <f>PRIX!L153</f>
        <v>0.56</v>
      </c>
      <c r="AT152" s="631">
        <f>PRIX!M153</f>
        <v>315</v>
      </c>
      <c r="AU152" s="631">
        <f>PRIX!N153</f>
        <v>0.0055</v>
      </c>
      <c r="AV152" s="631">
        <f>PRIX!O153</f>
        <v>5.25</v>
      </c>
      <c r="AW152" s="631">
        <f>PRIX!P153</f>
        <v>0.002</v>
      </c>
      <c r="AX152" s="631">
        <f>PRIX!Q153</f>
        <v>0.0000105</v>
      </c>
      <c r="AY152" s="631">
        <f>PRIX!R153</f>
        <v>0.9</v>
      </c>
      <c r="AZ152" s="631">
        <f>PRIX!S153</f>
        <v>3.7</v>
      </c>
      <c r="BA152" s="623"/>
    </row>
    <row r="153">
      <c r="A153" s="621">
        <f>ARBITRAGES!E154</f>
        <v>45911</v>
      </c>
      <c r="B153" s="623" t="str">
        <f>IF(A153="","",IF(ARBITRAGES!F154="Invest","Achat","Vente"))</f>
        <v>Vente</v>
      </c>
      <c r="C153" s="623" t="str">
        <f>ARBITRAGES!H154</f>
        <v>SOL</v>
      </c>
      <c r="D153" s="624">
        <f>ARBITRAGES!I154</f>
        <v>235</v>
      </c>
      <c r="E153" s="624">
        <f>ARBITRAGES!J154</f>
        <v>235</v>
      </c>
      <c r="F153" s="623"/>
      <c r="G153" s="621">
        <f>'PV (%)'!B155</f>
        <v>45953</v>
      </c>
      <c r="H153" s="624">
        <f>'PV (%)'!E155</f>
        <v>65716.84354</v>
      </c>
      <c r="I153" s="624">
        <f>'PV (%)'!F155</f>
        <v>53216.70275</v>
      </c>
      <c r="J153" s="626">
        <f>'PV (%)'!G155</f>
        <v>57908.82315</v>
      </c>
      <c r="K153" s="623"/>
      <c r="L153" s="621">
        <f>Exposition!A154</f>
        <v>45912</v>
      </c>
      <c r="M153" s="625">
        <f>Exposition!B154</f>
        <v>0.7868476096</v>
      </c>
      <c r="N153" s="625">
        <f>Exposition!C154</f>
        <v>0.3685712053</v>
      </c>
      <c r="O153" s="625">
        <f>Exposition!D154</f>
        <v>0.140637433</v>
      </c>
      <c r="P153" s="625">
        <f>Exposition!E154</f>
        <v>0.01250028881</v>
      </c>
      <c r="Q153" s="625">
        <f>Exposition!F154</f>
        <v>0.07227423418</v>
      </c>
      <c r="R153" s="625">
        <f>Exposition!G154</f>
        <v>0.07483790708</v>
      </c>
      <c r="S153" s="625">
        <f>Exposition!H154</f>
        <v>0</v>
      </c>
      <c r="T153" s="625">
        <f>Exposition!I154</f>
        <v>0.03568002192</v>
      </c>
      <c r="U153" s="625">
        <f>Exposition!J154</f>
        <v>0.01971337726</v>
      </c>
      <c r="V153" s="625">
        <f>Exposition!K154</f>
        <v>0.004320448525</v>
      </c>
      <c r="W153" s="625">
        <f>Exposition!L154</f>
        <v>0.005234922317</v>
      </c>
      <c r="X153" s="625">
        <f>Exposition!M154</f>
        <v>0</v>
      </c>
      <c r="Y153" s="625">
        <f>Exposition!N154</f>
        <v>0.03868375517</v>
      </c>
      <c r="Z153" s="625">
        <f>Exposition!O154</f>
        <v>0</v>
      </c>
      <c r="AA153" s="625">
        <f>Exposition!P154</f>
        <v>0.01037726613</v>
      </c>
      <c r="AB153" s="625">
        <f>Exposition!Q154</f>
        <v>0.0000000009163994819</v>
      </c>
      <c r="AC153" s="625">
        <f>Exposition!R154</f>
        <v>0.004016748882</v>
      </c>
      <c r="AD153" s="625">
        <f>Exposition!S154</f>
        <v>0</v>
      </c>
      <c r="AE153" s="625">
        <f>Exposition!T154</f>
        <v>0</v>
      </c>
      <c r="AF153" s="625">
        <f>Exposition!U154</f>
        <v>0.2131523904</v>
      </c>
      <c r="AG153" s="623"/>
      <c r="AH153" s="621">
        <f>PRIX!A154</f>
        <v>45911</v>
      </c>
      <c r="AI153" s="631">
        <f>PRIX!B154</f>
        <v>115500</v>
      </c>
      <c r="AJ153" s="631">
        <f>PRIX!C154</f>
        <v>4600</v>
      </c>
      <c r="AK153" s="631">
        <f>PRIX!D154</f>
        <v>3.2</v>
      </c>
      <c r="AL153" s="631">
        <f>PRIX!E154</f>
        <v>240</v>
      </c>
      <c r="AM153" s="631">
        <f>PRIX!F154</f>
        <v>355</v>
      </c>
      <c r="AN153" s="631">
        <f>PRIX!G154</f>
        <v>0.52</v>
      </c>
      <c r="AO153" s="631">
        <f>PRIX!H154</f>
        <v>25</v>
      </c>
      <c r="AP153" s="631">
        <f>PRIX!I154</f>
        <v>0.266</v>
      </c>
      <c r="AQ153" s="631">
        <f>PRIX!J154</f>
        <v>0.0000133</v>
      </c>
      <c r="AR153" s="631">
        <f>PRIX!K154</f>
        <v>2.6</v>
      </c>
      <c r="AS153" s="631">
        <f>PRIX!L154</f>
        <v>0.56</v>
      </c>
      <c r="AT153" s="631">
        <f>PRIX!M154</f>
        <v>315</v>
      </c>
      <c r="AU153" s="631">
        <f>PRIX!N154</f>
        <v>0.0055</v>
      </c>
      <c r="AV153" s="631">
        <f>PRIX!O154</f>
        <v>5.25</v>
      </c>
      <c r="AW153" s="631">
        <f>PRIX!P154</f>
        <v>0.002</v>
      </c>
      <c r="AX153" s="631">
        <f>PRIX!Q154</f>
        <v>0.0000105</v>
      </c>
      <c r="AY153" s="631">
        <f>PRIX!R154</f>
        <v>0.9</v>
      </c>
      <c r="AZ153" s="631">
        <f>PRIX!S154</f>
        <v>3.7</v>
      </c>
      <c r="BA153" s="623"/>
    </row>
    <row r="154">
      <c r="A154" s="621">
        <f>ARBITRAGES!E155</f>
        <v>45912</v>
      </c>
      <c r="B154" s="623" t="str">
        <f>IF(A154="","",IF(ARBITRAGES!F155="Invest","Achat","Vente"))</f>
        <v>Vente</v>
      </c>
      <c r="C154" s="623" t="str">
        <f>ARBITRAGES!H155</f>
        <v>SOL</v>
      </c>
      <c r="D154" s="624">
        <f>ARBITRAGES!I155</f>
        <v>240</v>
      </c>
      <c r="E154" s="624">
        <f>ARBITRAGES!J155</f>
        <v>240</v>
      </c>
      <c r="F154" s="623"/>
      <c r="G154" s="621">
        <f>'PV (%)'!B156</f>
        <v>45957</v>
      </c>
      <c r="H154" s="624">
        <f>'PV (%)'!E156</f>
        <v>68095.7338</v>
      </c>
      <c r="I154" s="624">
        <f>'PV (%)'!F156</f>
        <v>55782.40668</v>
      </c>
      <c r="J154" s="626">
        <f>'PV (%)'!G156</f>
        <v>60211.62415</v>
      </c>
      <c r="K154" s="623"/>
      <c r="L154" s="621">
        <f>Exposition!A155</f>
        <v>45914</v>
      </c>
      <c r="M154" s="625">
        <f>Exposition!B155</f>
        <v>0.7847142985</v>
      </c>
      <c r="N154" s="625">
        <f>Exposition!C155</f>
        <v>0.3687674107</v>
      </c>
      <c r="O154" s="625">
        <f>Exposition!D155</f>
        <v>0.142537175</v>
      </c>
      <c r="P154" s="625">
        <f>Exposition!E155</f>
        <v>0.01278707459</v>
      </c>
      <c r="Q154" s="625">
        <f>Exposition!F155</f>
        <v>0.0693351324</v>
      </c>
      <c r="R154" s="625">
        <f>Exposition!G155</f>
        <v>0.07423501888</v>
      </c>
      <c r="S154" s="625">
        <f>Exposition!H155</f>
        <v>0</v>
      </c>
      <c r="T154" s="625">
        <f>Exposition!I155</f>
        <v>0.03454316444</v>
      </c>
      <c r="U154" s="625">
        <f>Exposition!J155</f>
        <v>0.02131888978</v>
      </c>
      <c r="V154" s="625">
        <f>Exposition!K155</f>
        <v>0.004446757748</v>
      </c>
      <c r="W154" s="625">
        <f>Exposition!L155</f>
        <v>0.005192750201</v>
      </c>
      <c r="X154" s="625">
        <f>Exposition!M155</f>
        <v>0</v>
      </c>
      <c r="Y154" s="625">
        <f>Exposition!N155</f>
        <v>0.03776304063</v>
      </c>
      <c r="Z154" s="625">
        <f>Exposition!O155</f>
        <v>0</v>
      </c>
      <c r="AA154" s="625">
        <f>Exposition!P155</f>
        <v>0.009803493055</v>
      </c>
      <c r="AB154" s="625">
        <f>Exposition!Q155</f>
        <v>0.0000000009090170409</v>
      </c>
      <c r="AC154" s="625">
        <f>Exposition!R155</f>
        <v>0.003984390274</v>
      </c>
      <c r="AD154" s="625">
        <f>Exposition!S155</f>
        <v>0</v>
      </c>
      <c r="AE154" s="625">
        <f>Exposition!T155</f>
        <v>0</v>
      </c>
      <c r="AF154" s="625">
        <f>Exposition!U155</f>
        <v>0.2152857015</v>
      </c>
      <c r="AG154" s="623"/>
      <c r="AH154" s="621">
        <f>PRIX!A155</f>
        <v>45912</v>
      </c>
      <c r="AI154" s="631">
        <f>PRIX!B155</f>
        <v>115500</v>
      </c>
      <c r="AJ154" s="631">
        <f>PRIX!C155</f>
        <v>4600</v>
      </c>
      <c r="AK154" s="631">
        <f>PRIX!D155</f>
        <v>3.2</v>
      </c>
      <c r="AL154" s="631">
        <f>PRIX!E155</f>
        <v>240</v>
      </c>
      <c r="AM154" s="631">
        <f>PRIX!F155</f>
        <v>355</v>
      </c>
      <c r="AN154" s="631">
        <f>PRIX!G155</f>
        <v>0.52</v>
      </c>
      <c r="AO154" s="631">
        <f>PRIX!H155</f>
        <v>25</v>
      </c>
      <c r="AP154" s="631">
        <f>PRIX!I155</f>
        <v>0.266</v>
      </c>
      <c r="AQ154" s="631">
        <f>PRIX!J155</f>
        <v>0.0000133</v>
      </c>
      <c r="AR154" s="631">
        <f>PRIX!K155</f>
        <v>2.6</v>
      </c>
      <c r="AS154" s="631">
        <f>PRIX!L155</f>
        <v>0.56</v>
      </c>
      <c r="AT154" s="631">
        <f>PRIX!M155</f>
        <v>315</v>
      </c>
      <c r="AU154" s="631">
        <f>PRIX!N155</f>
        <v>0.0055</v>
      </c>
      <c r="AV154" s="631">
        <f>PRIX!O155</f>
        <v>5.25</v>
      </c>
      <c r="AW154" s="631">
        <f>PRIX!P155</f>
        <v>0.002</v>
      </c>
      <c r="AX154" s="631">
        <f>PRIX!Q155</f>
        <v>0.0000105</v>
      </c>
      <c r="AY154" s="631">
        <f>PRIX!R155</f>
        <v>0.9</v>
      </c>
      <c r="AZ154" s="631">
        <f>PRIX!S155</f>
        <v>3.7</v>
      </c>
      <c r="BA154" s="623"/>
    </row>
    <row r="155">
      <c r="A155" s="621">
        <f>ARBITRAGES!E156</f>
        <v>45914</v>
      </c>
      <c r="B155" s="623" t="str">
        <f>IF(A155="","",IF(ARBITRAGES!F156="Invest","Achat","Vente"))</f>
        <v>Vente</v>
      </c>
      <c r="C155" s="623" t="str">
        <f>ARBITRAGES!H156</f>
        <v>SOL</v>
      </c>
      <c r="D155" s="624">
        <f>ARBITRAGES!I156</f>
        <v>245</v>
      </c>
      <c r="E155" s="624">
        <f>ARBITRAGES!J156</f>
        <v>245</v>
      </c>
      <c r="F155" s="623"/>
      <c r="G155" s="621">
        <f>'PV (%)'!B157</f>
        <v>45957</v>
      </c>
      <c r="H155" s="624">
        <f>'PV (%)'!E157</f>
        <v>68095.7338</v>
      </c>
      <c r="I155" s="624">
        <f>'PV (%)'!F157</f>
        <v>55782.40668</v>
      </c>
      <c r="J155" s="626">
        <f>'PV (%)'!G157</f>
        <v>60206.62415</v>
      </c>
      <c r="K155" s="623"/>
      <c r="L155" s="621">
        <f>Exposition!A156</f>
        <v>45918</v>
      </c>
      <c r="M155" s="625">
        <f>Exposition!B156</f>
        <v>0.7777080325</v>
      </c>
      <c r="N155" s="625">
        <f>Exposition!C156</f>
        <v>0.3714798869</v>
      </c>
      <c r="O155" s="625">
        <f>Exposition!D156</f>
        <v>0.1402065806</v>
      </c>
      <c r="P155" s="625">
        <f>Exposition!E156</f>
        <v>0.01259893829</v>
      </c>
      <c r="Q155" s="625">
        <f>Exposition!F156</f>
        <v>0.06757434411</v>
      </c>
      <c r="R155" s="625">
        <f>Exposition!G156</f>
        <v>0.07101269132</v>
      </c>
      <c r="S155" s="625">
        <f>Exposition!H156</f>
        <v>0</v>
      </c>
      <c r="T155" s="625">
        <f>Exposition!I156</f>
        <v>0.03416352065</v>
      </c>
      <c r="U155" s="625">
        <f>Exposition!J156</f>
        <v>0.02016773205</v>
      </c>
      <c r="V155" s="625">
        <f>Exposition!K156</f>
        <v>0.004289062667</v>
      </c>
      <c r="W155" s="625">
        <f>Exposition!L156</f>
        <v>0.005073303033</v>
      </c>
      <c r="X155" s="625">
        <f>Exposition!M156</f>
        <v>0</v>
      </c>
      <c r="Y155" s="625">
        <f>Exposition!N156</f>
        <v>0.03713241783</v>
      </c>
      <c r="Z155" s="625">
        <f>Exposition!O156</f>
        <v>0</v>
      </c>
      <c r="AA155" s="625">
        <f>Exposition!P156</f>
        <v>0.009961105905</v>
      </c>
      <c r="AB155" s="625">
        <f>Exposition!Q156</f>
        <v>0.0000000009236315018</v>
      </c>
      <c r="AC155" s="625">
        <f>Exposition!R156</f>
        <v>0.004048448167</v>
      </c>
      <c r="AD155" s="625">
        <f>Exposition!S156</f>
        <v>0</v>
      </c>
      <c r="AE155" s="625">
        <f>Exposition!T156</f>
        <v>0</v>
      </c>
      <c r="AF155" s="625">
        <f>Exposition!U156</f>
        <v>0.2222919675</v>
      </c>
      <c r="AG155" s="623"/>
      <c r="AH155" s="621">
        <f>PRIX!A156</f>
        <v>45914</v>
      </c>
      <c r="AI155" s="631">
        <f>PRIX!B156</f>
        <v>116500</v>
      </c>
      <c r="AJ155" s="631">
        <f>PRIX!C156</f>
        <v>4700</v>
      </c>
      <c r="AK155" s="631">
        <f>PRIX!D156</f>
        <v>3.3</v>
      </c>
      <c r="AL155" s="631">
        <f>PRIX!E156</f>
        <v>245</v>
      </c>
      <c r="AM155" s="631">
        <f>PRIX!F156</f>
        <v>355</v>
      </c>
      <c r="AN155" s="631">
        <f>PRIX!G156</f>
        <v>0.5</v>
      </c>
      <c r="AO155" s="631">
        <f>PRIX!H156</f>
        <v>24.4</v>
      </c>
      <c r="AP155" s="631">
        <f>PRIX!I156</f>
        <v>0.29</v>
      </c>
      <c r="AQ155" s="631">
        <f>PRIX!J156</f>
        <v>0.0000138</v>
      </c>
      <c r="AR155" s="631">
        <f>PRIX!K156</f>
        <v>2.6</v>
      </c>
      <c r="AS155" s="631">
        <f>PRIX!L156</f>
        <v>0.54</v>
      </c>
      <c r="AT155" s="631">
        <f>PRIX!M156</f>
        <v>310</v>
      </c>
      <c r="AU155" s="631">
        <f>PRIX!N156</f>
        <v>0.0055</v>
      </c>
      <c r="AV155" s="631">
        <f>PRIX!O156</f>
        <v>5</v>
      </c>
      <c r="AW155" s="631">
        <f>PRIX!P156</f>
        <v>0.002</v>
      </c>
      <c r="AX155" s="631">
        <f>PRIX!Q156</f>
        <v>0.0000105</v>
      </c>
      <c r="AY155" s="631">
        <f>PRIX!R156</f>
        <v>0.93</v>
      </c>
      <c r="AZ155" s="631">
        <f>PRIX!S156</f>
        <v>3.4</v>
      </c>
      <c r="BA155" s="623"/>
    </row>
    <row r="156">
      <c r="A156" s="621">
        <f>ARBITRAGES!E157</f>
        <v>45918</v>
      </c>
      <c r="B156" s="623" t="str">
        <f>IF(A156="","",IF(ARBITRAGES!F157="Invest","Achat","Vente"))</f>
        <v>Vente</v>
      </c>
      <c r="C156" s="623" t="str">
        <f>ARBITRAGES!H157</f>
        <v>TAO</v>
      </c>
      <c r="D156" s="624">
        <f>ARBITRAGES!I157</f>
        <v>370</v>
      </c>
      <c r="E156" s="624">
        <f>ARBITRAGES!J157</f>
        <v>222</v>
      </c>
      <c r="F156" s="623"/>
      <c r="G156" s="621">
        <f>'PV (%)'!B158</f>
        <v>45958</v>
      </c>
      <c r="H156" s="624">
        <f>'PV (%)'!E158</f>
        <v>68095.7338</v>
      </c>
      <c r="I156" s="624">
        <f>'PV (%)'!F158</f>
        <v>55782.40668</v>
      </c>
      <c r="J156" s="626">
        <f>'PV (%)'!G158</f>
        <v>60237.52415</v>
      </c>
      <c r="K156" s="623"/>
      <c r="L156" s="621">
        <f>Exposition!A157</f>
        <v>45918</v>
      </c>
      <c r="M156" s="625">
        <f>Exposition!B157</f>
        <v>0.7737700237</v>
      </c>
      <c r="N156" s="625">
        <f>Exposition!C157</f>
        <v>0.371390927</v>
      </c>
      <c r="O156" s="625">
        <f>Exposition!D157</f>
        <v>0.1401730047</v>
      </c>
      <c r="P156" s="625">
        <f>Exposition!E157</f>
        <v>0.01259592117</v>
      </c>
      <c r="Q156" s="625">
        <f>Exposition!F157</f>
        <v>0.06380639424</v>
      </c>
      <c r="R156" s="625">
        <f>Exposition!G157</f>
        <v>0.07099568559</v>
      </c>
      <c r="S156" s="625">
        <f>Exposition!H157</f>
        <v>0</v>
      </c>
      <c r="T156" s="625">
        <f>Exposition!I157</f>
        <v>0.03415533935</v>
      </c>
      <c r="U156" s="625">
        <f>Exposition!J157</f>
        <v>0.02016290239</v>
      </c>
      <c r="V156" s="625">
        <f>Exposition!K157</f>
        <v>0.004288035545</v>
      </c>
      <c r="W156" s="625">
        <f>Exposition!L157</f>
        <v>0.005072088106</v>
      </c>
      <c r="X156" s="625">
        <f>Exposition!M157</f>
        <v>0</v>
      </c>
      <c r="Y156" s="625">
        <f>Exposition!N157</f>
        <v>0.03712352556</v>
      </c>
      <c r="Z156" s="625">
        <f>Exposition!O157</f>
        <v>0</v>
      </c>
      <c r="AA156" s="625">
        <f>Exposition!P157</f>
        <v>0.009958720474</v>
      </c>
      <c r="AB156" s="625">
        <f>Exposition!Q157</f>
        <v>0.0000000009234103156</v>
      </c>
      <c r="AC156" s="625">
        <f>Exposition!R157</f>
        <v>0.004047478667</v>
      </c>
      <c r="AD156" s="625">
        <f>Exposition!S157</f>
        <v>0</v>
      </c>
      <c r="AE156" s="625">
        <f>Exposition!T157</f>
        <v>0</v>
      </c>
      <c r="AF156" s="625">
        <f>Exposition!U157</f>
        <v>0.2262299763</v>
      </c>
      <c r="AG156" s="623"/>
      <c r="AH156" s="621">
        <f>PRIX!A157</f>
        <v>45918</v>
      </c>
      <c r="AI156" s="631">
        <f>PRIX!B157</f>
        <v>115500</v>
      </c>
      <c r="AJ156" s="631">
        <f>PRIX!C157</f>
        <v>4550</v>
      </c>
      <c r="AK156" s="631">
        <f>PRIX!D157</f>
        <v>3.2</v>
      </c>
      <c r="AL156" s="631">
        <f>PRIX!E157</f>
        <v>235</v>
      </c>
      <c r="AM156" s="631">
        <f>PRIX!F157</f>
        <v>350</v>
      </c>
      <c r="AN156" s="631">
        <f>PRIX!G157</f>
        <v>0.5</v>
      </c>
      <c r="AO156" s="631">
        <f>PRIX!H157</f>
        <v>23.75</v>
      </c>
      <c r="AP156" s="631">
        <f>PRIX!I157</f>
        <v>0.27</v>
      </c>
      <c r="AQ156" s="631">
        <f>PRIX!J157</f>
        <v>0.0000131</v>
      </c>
      <c r="AR156" s="631">
        <f>PRIX!K157</f>
        <v>2.5</v>
      </c>
      <c r="AS156" s="631">
        <f>PRIX!L157</f>
        <v>0.51</v>
      </c>
      <c r="AT156" s="631">
        <f>PRIX!M157</f>
        <v>300</v>
      </c>
      <c r="AU156" s="631">
        <f>PRIX!N157</f>
        <v>0.0052</v>
      </c>
      <c r="AV156" s="631">
        <f>PRIX!O157</f>
        <v>5</v>
      </c>
      <c r="AW156" s="631">
        <f>PRIX!P157</f>
        <v>0.002</v>
      </c>
      <c r="AX156" s="631">
        <f>PRIX!Q157</f>
        <v>0.0000105</v>
      </c>
      <c r="AY156" s="631">
        <f>PRIX!R157</f>
        <v>0.9</v>
      </c>
      <c r="AZ156" s="631">
        <f>PRIX!S157</f>
        <v>3.3</v>
      </c>
      <c r="BA156" s="623"/>
    </row>
    <row r="157">
      <c r="A157" s="621">
        <f>ARBITRAGES!E158</f>
        <v>45918</v>
      </c>
      <c r="B157" s="623" t="str">
        <f>IF(A157="","",IF(ARBITRAGES!F158="Invest","Achat","Vente"))</f>
        <v>Vente</v>
      </c>
      <c r="C157" s="623" t="str">
        <f>ARBITRAGES!H158</f>
        <v>SOL</v>
      </c>
      <c r="D157" s="624">
        <f>ARBITRAGES!I158</f>
        <v>250</v>
      </c>
      <c r="E157" s="624">
        <f>ARBITRAGES!J158</f>
        <v>250</v>
      </c>
      <c r="F157" s="623"/>
      <c r="G157" s="621">
        <f>'PV (%)'!B159</f>
        <v>45960</v>
      </c>
      <c r="H157" s="624">
        <f>'PV (%)'!E159</f>
        <v>66014.20482</v>
      </c>
      <c r="I157" s="624">
        <f>'PV (%)'!F159</f>
        <v>53810.515</v>
      </c>
      <c r="J157" s="626">
        <f>'PV (%)'!G159</f>
        <v>58892.85713</v>
      </c>
      <c r="K157" s="623"/>
      <c r="L157" s="621">
        <f>Exposition!A158</f>
        <v>45919</v>
      </c>
      <c r="M157" s="625">
        <f>Exposition!B158</f>
        <v>0.7697996726</v>
      </c>
      <c r="N157" s="625">
        <f>Exposition!C158</f>
        <v>0.371359801</v>
      </c>
      <c r="O157" s="625">
        <f>Exposition!D158</f>
        <v>0.1401612569</v>
      </c>
      <c r="P157" s="625">
        <f>Exposition!E158</f>
        <v>0.01259486552</v>
      </c>
      <c r="Q157" s="625">
        <f>Exposition!F158</f>
        <v>0.06380104668</v>
      </c>
      <c r="R157" s="625">
        <f>Exposition!G158</f>
        <v>0.06708423337</v>
      </c>
      <c r="S157" s="625">
        <f>Exposition!H158</f>
        <v>0</v>
      </c>
      <c r="T157" s="625">
        <f>Exposition!I158</f>
        <v>0.03415247683</v>
      </c>
      <c r="U157" s="625">
        <f>Exposition!J158</f>
        <v>0.02016121256</v>
      </c>
      <c r="V157" s="625">
        <f>Exposition!K158</f>
        <v>0.004287676169</v>
      </c>
      <c r="W157" s="625">
        <f>Exposition!L158</f>
        <v>0.005071663019</v>
      </c>
      <c r="X157" s="625">
        <f>Exposition!M158</f>
        <v>0</v>
      </c>
      <c r="Y157" s="625">
        <f>Exposition!N158</f>
        <v>0.03712041428</v>
      </c>
      <c r="Z157" s="625">
        <f>Exposition!O158</f>
        <v>0</v>
      </c>
      <c r="AA157" s="625">
        <f>Exposition!P158</f>
        <v>0.009957885843</v>
      </c>
      <c r="AB157" s="625">
        <f>Exposition!Q158</f>
        <v>0.0000000009233329255</v>
      </c>
      <c r="AC157" s="625">
        <f>Exposition!R158</f>
        <v>0.004047139451</v>
      </c>
      <c r="AD157" s="625">
        <f>Exposition!S158</f>
        <v>0</v>
      </c>
      <c r="AE157" s="625">
        <f>Exposition!T158</f>
        <v>0</v>
      </c>
      <c r="AF157" s="625">
        <f>Exposition!U158</f>
        <v>0.2302003274</v>
      </c>
      <c r="AG157" s="623"/>
      <c r="AH157" s="621">
        <f>PRIX!A158</f>
        <v>45918</v>
      </c>
      <c r="AI157" s="631">
        <f>PRIX!B158</f>
        <v>115500</v>
      </c>
      <c r="AJ157" s="631">
        <f>PRIX!C158</f>
        <v>4550</v>
      </c>
      <c r="AK157" s="631">
        <f>PRIX!D158</f>
        <v>3.2</v>
      </c>
      <c r="AL157" s="631">
        <f>PRIX!E158</f>
        <v>235</v>
      </c>
      <c r="AM157" s="631">
        <f>PRIX!F158</f>
        <v>350</v>
      </c>
      <c r="AN157" s="631">
        <f>PRIX!G158</f>
        <v>0.5</v>
      </c>
      <c r="AO157" s="631">
        <f>PRIX!H158</f>
        <v>23.75</v>
      </c>
      <c r="AP157" s="631">
        <f>PRIX!I158</f>
        <v>0.27</v>
      </c>
      <c r="AQ157" s="631">
        <f>PRIX!J158</f>
        <v>0.0000131</v>
      </c>
      <c r="AR157" s="631">
        <f>PRIX!K158</f>
        <v>2.5</v>
      </c>
      <c r="AS157" s="631">
        <f>PRIX!L158</f>
        <v>0.51</v>
      </c>
      <c r="AT157" s="631">
        <f>PRIX!M158</f>
        <v>300</v>
      </c>
      <c r="AU157" s="631">
        <f>PRIX!N158</f>
        <v>0.0052</v>
      </c>
      <c r="AV157" s="631">
        <f>PRIX!O158</f>
        <v>5</v>
      </c>
      <c r="AW157" s="631">
        <f>PRIX!P158</f>
        <v>0.002</v>
      </c>
      <c r="AX157" s="631">
        <f>PRIX!Q158</f>
        <v>0.0000105</v>
      </c>
      <c r="AY157" s="631">
        <f>PRIX!R158</f>
        <v>0.9</v>
      </c>
      <c r="AZ157" s="631">
        <f>PRIX!S158</f>
        <v>3.3</v>
      </c>
      <c r="BA157" s="623"/>
    </row>
    <row r="158">
      <c r="A158" s="621">
        <f>ARBITRAGES!E159</f>
        <v>45919</v>
      </c>
      <c r="B158" s="623" t="str">
        <f>IF(A158="","",IF(ARBITRAGES!F159="Invest","Achat","Vente"))</f>
        <v>Vente</v>
      </c>
      <c r="C158" s="623" t="str">
        <f>ARBITRAGES!H159</f>
        <v>TAO</v>
      </c>
      <c r="D158" s="624">
        <f>ARBITRAGES!I159</f>
        <v>357</v>
      </c>
      <c r="E158" s="624">
        <f>ARBITRAGES!J159</f>
        <v>249.9</v>
      </c>
      <c r="F158" s="623"/>
      <c r="G158" s="621">
        <f>'PV (%)'!B160</f>
        <v>45961</v>
      </c>
      <c r="H158" s="624">
        <f>'PV (%)'!E160</f>
        <v>66014.20482</v>
      </c>
      <c r="I158" s="624">
        <f>'PV (%)'!F160</f>
        <v>53810.515</v>
      </c>
      <c r="J158" s="626">
        <f>'PV (%)'!G160</f>
        <v>58886.30713</v>
      </c>
      <c r="K158" s="623"/>
      <c r="L158" s="621">
        <f>Exposition!A159</f>
        <v>45922</v>
      </c>
      <c r="M158" s="625">
        <f>Exposition!B159</f>
        <v>0.767062699</v>
      </c>
      <c r="N158" s="625">
        <f>Exposition!C159</f>
        <v>0.3751999165</v>
      </c>
      <c r="O158" s="625">
        <f>Exposition!D159</f>
        <v>0.1453801479</v>
      </c>
      <c r="P158" s="625">
        <f>Exposition!E159</f>
        <v>0.01158403336</v>
      </c>
      <c r="Q158" s="625">
        <f>Exposition!F159</f>
        <v>0.06168136918</v>
      </c>
      <c r="R158" s="625">
        <f>Exposition!G159</f>
        <v>0.06333937569</v>
      </c>
      <c r="S158" s="625">
        <f>Exposition!H159</f>
        <v>0</v>
      </c>
      <c r="T158" s="625">
        <f>Exposition!I159</f>
        <v>0.03244751307</v>
      </c>
      <c r="U158" s="625">
        <f>Exposition!J159</f>
        <v>0.01850697802</v>
      </c>
      <c r="V158" s="625">
        <f>Exposition!K159</f>
        <v>0.004123650939</v>
      </c>
      <c r="W158" s="625">
        <f>Exposition!L159</f>
        <v>0.00576121998</v>
      </c>
      <c r="X158" s="625">
        <f>Exposition!M159</f>
        <v>0</v>
      </c>
      <c r="Y158" s="625">
        <f>Exposition!N159</f>
        <v>0.03513950479</v>
      </c>
      <c r="Z158" s="625">
        <f>Exposition!O159</f>
        <v>0</v>
      </c>
      <c r="AA158" s="625">
        <f>Exposition!P159</f>
        <v>0.01007777371</v>
      </c>
      <c r="AB158" s="625">
        <f>Exposition!Q159</f>
        <v>0.0000000008104918117</v>
      </c>
      <c r="AC158" s="625">
        <f>Exposition!R159</f>
        <v>0.00382121511</v>
      </c>
      <c r="AD158" s="625">
        <f>Exposition!S159</f>
        <v>0</v>
      </c>
      <c r="AE158" s="625">
        <f>Exposition!T159</f>
        <v>0</v>
      </c>
      <c r="AF158" s="625">
        <f>Exposition!U159</f>
        <v>0.232937301</v>
      </c>
      <c r="AG158" s="623"/>
      <c r="AH158" s="621">
        <f>PRIX!A159</f>
        <v>45919</v>
      </c>
      <c r="AI158" s="631">
        <f>PRIX!B159</f>
        <v>115500</v>
      </c>
      <c r="AJ158" s="631">
        <f>PRIX!C159</f>
        <v>4550</v>
      </c>
      <c r="AK158" s="631">
        <f>PRIX!D159</f>
        <v>3.2</v>
      </c>
      <c r="AL158" s="631">
        <f>PRIX!E159</f>
        <v>235</v>
      </c>
      <c r="AM158" s="631">
        <f>PRIX!F159</f>
        <v>350</v>
      </c>
      <c r="AN158" s="631">
        <f>PRIX!G159</f>
        <v>0.5</v>
      </c>
      <c r="AO158" s="631">
        <f>PRIX!H159</f>
        <v>23.75</v>
      </c>
      <c r="AP158" s="631">
        <f>PRIX!I159</f>
        <v>0.27</v>
      </c>
      <c r="AQ158" s="631">
        <f>PRIX!J159</f>
        <v>0.0000131</v>
      </c>
      <c r="AR158" s="631">
        <f>PRIX!K159</f>
        <v>2.5</v>
      </c>
      <c r="AS158" s="631">
        <f>PRIX!L159</f>
        <v>0.51</v>
      </c>
      <c r="AT158" s="631">
        <f>PRIX!M159</f>
        <v>300</v>
      </c>
      <c r="AU158" s="631">
        <f>PRIX!N159</f>
        <v>0.0052</v>
      </c>
      <c r="AV158" s="631">
        <f>PRIX!O159</f>
        <v>5</v>
      </c>
      <c r="AW158" s="631">
        <f>PRIX!P159</f>
        <v>0.002</v>
      </c>
      <c r="AX158" s="631">
        <f>PRIX!Q159</f>
        <v>0.0000105</v>
      </c>
      <c r="AY158" s="631">
        <f>PRIX!R159</f>
        <v>0.9</v>
      </c>
      <c r="AZ158" s="631">
        <f>PRIX!S159</f>
        <v>3.3</v>
      </c>
      <c r="BA158" s="623"/>
    </row>
    <row r="159">
      <c r="A159" s="621">
        <f>ARBITRAGES!E160</f>
        <v>45922</v>
      </c>
      <c r="B159" s="623" t="str">
        <f>IF(A159="","",IF(ARBITRAGES!F160="Invest","Achat","Vente"))</f>
        <v>Achat</v>
      </c>
      <c r="C159" s="623" t="str">
        <f>ARBITRAGES!H160</f>
        <v>ETH</v>
      </c>
      <c r="D159" s="624">
        <f>ARBITRAGES!I160</f>
        <v>4150</v>
      </c>
      <c r="E159" s="624">
        <f>ARBITRAGES!J160</f>
        <v>290.5</v>
      </c>
      <c r="F159" s="623"/>
      <c r="G159" s="621">
        <f>'PV (%)'!B161</f>
        <v>45961</v>
      </c>
      <c r="H159" s="624">
        <f>'PV (%)'!E161</f>
        <v>66014.20482</v>
      </c>
      <c r="I159" s="624">
        <f>'PV (%)'!F161</f>
        <v>53810.515</v>
      </c>
      <c r="J159" s="626">
        <f>'PV (%)'!G161</f>
        <v>58907.25713</v>
      </c>
      <c r="K159" s="623"/>
      <c r="L159" s="621">
        <f>Exposition!A160</f>
        <v>45923</v>
      </c>
      <c r="M159" s="625">
        <f>Exposition!B160</f>
        <v>0.7688794503</v>
      </c>
      <c r="N159" s="625">
        <f>Exposition!C160</f>
        <v>0.3751826322</v>
      </c>
      <c r="O159" s="625">
        <f>Exposition!D160</f>
        <v>0.1453676767</v>
      </c>
      <c r="P159" s="625">
        <f>Exposition!E160</f>
        <v>0.01158303965</v>
      </c>
      <c r="Q159" s="625">
        <f>Exposition!F160</f>
        <v>0.06354372882</v>
      </c>
      <c r="R159" s="625">
        <f>Exposition!G160</f>
        <v>0.06333394222</v>
      </c>
      <c r="S159" s="625">
        <f>Exposition!H160</f>
        <v>0</v>
      </c>
      <c r="T159" s="625">
        <f>Exposition!I160</f>
        <v>0.03244472961</v>
      </c>
      <c r="U159" s="625">
        <f>Exposition!J160</f>
        <v>0.01850539043</v>
      </c>
      <c r="V159" s="625">
        <f>Exposition!K160</f>
        <v>0.004123297198</v>
      </c>
      <c r="W159" s="625">
        <f>Exposition!L160</f>
        <v>0.005760725763</v>
      </c>
      <c r="X159" s="625">
        <f>Exposition!M160</f>
        <v>0</v>
      </c>
      <c r="Y159" s="625">
        <f>Exposition!N160</f>
        <v>0.03513649041</v>
      </c>
      <c r="Z159" s="625">
        <f>Exposition!O160</f>
        <v>0</v>
      </c>
      <c r="AA159" s="625">
        <f>Exposition!P160</f>
        <v>0.0100769092</v>
      </c>
      <c r="AB159" s="625">
        <f>Exposition!Q160</f>
        <v>0.0000000008104222849</v>
      </c>
      <c r="AC159" s="625">
        <f>Exposition!R160</f>
        <v>0.003820887313</v>
      </c>
      <c r="AD159" s="625">
        <f>Exposition!S160</f>
        <v>0</v>
      </c>
      <c r="AE159" s="625">
        <f>Exposition!T160</f>
        <v>0</v>
      </c>
      <c r="AF159" s="625">
        <f>Exposition!U160</f>
        <v>0.2311205497</v>
      </c>
      <c r="AG159" s="623"/>
      <c r="AH159" s="621">
        <f>PRIX!A160</f>
        <v>45922</v>
      </c>
      <c r="AI159" s="631">
        <f>PRIX!B160</f>
        <v>113000</v>
      </c>
      <c r="AJ159" s="631">
        <f>PRIX!C160</f>
        <v>4200</v>
      </c>
      <c r="AK159" s="631">
        <f>PRIX!D160</f>
        <v>2.85</v>
      </c>
      <c r="AL159" s="631">
        <f>PRIX!E160</f>
        <v>220</v>
      </c>
      <c r="AM159" s="631">
        <f>PRIX!F160</f>
        <v>320</v>
      </c>
      <c r="AN159" s="631">
        <f>PRIX!G160</f>
        <v>0.49</v>
      </c>
      <c r="AO159" s="631">
        <f>PRIX!H160</f>
        <v>21.85</v>
      </c>
      <c r="AP159" s="631">
        <f>PRIX!I160</f>
        <v>0.24</v>
      </c>
      <c r="AQ159" s="631">
        <f>PRIX!J160</f>
        <v>0.0000122</v>
      </c>
      <c r="AR159" s="631">
        <f>PRIX!K160</f>
        <v>2.75</v>
      </c>
      <c r="AS159" s="631">
        <f>PRIX!L160</f>
        <v>0.475</v>
      </c>
      <c r="AT159" s="631">
        <f>PRIX!M160</f>
        <v>275</v>
      </c>
      <c r="AU159" s="631">
        <f>PRIX!N160</f>
        <v>0.0045</v>
      </c>
      <c r="AV159" s="631">
        <f>PRIX!O160</f>
        <v>4.9</v>
      </c>
      <c r="AW159" s="631">
        <f>PRIX!P160</f>
        <v>0.0017</v>
      </c>
      <c r="AX159" s="631">
        <f>PRIX!Q160</f>
        <v>0.0000096</v>
      </c>
      <c r="AY159" s="631">
        <f>PRIX!R160</f>
        <v>0.8</v>
      </c>
      <c r="AZ159" s="631">
        <f>PRIX!S160</f>
        <v>2.8</v>
      </c>
      <c r="BA159" s="623"/>
    </row>
    <row r="160">
      <c r="A160" s="621">
        <f>ARBITRAGES!E161</f>
        <v>45923</v>
      </c>
      <c r="B160" s="623" t="str">
        <f>IF(A160="","",IF(ARBITRAGES!F161="Invest","Achat","Vente"))</f>
        <v>Achat</v>
      </c>
      <c r="C160" s="623" t="str">
        <f>ARBITRAGES!H161</f>
        <v>SOL</v>
      </c>
      <c r="D160" s="624">
        <f>ARBITRAGES!I161</f>
        <v>218</v>
      </c>
      <c r="E160" s="624">
        <f>ARBITRAGES!J161</f>
        <v>109</v>
      </c>
      <c r="F160" s="623"/>
      <c r="G160" s="621">
        <f>'PV (%)'!B162</f>
        <v>45962</v>
      </c>
      <c r="H160" s="624">
        <f>'PV (%)'!E162</f>
        <v>65419.48225</v>
      </c>
      <c r="I160" s="624">
        <f>'PV (%)'!F162</f>
        <v>53780.41265</v>
      </c>
      <c r="J160" s="626">
        <f>'PV (%)'!G162</f>
        <v>59046.03016</v>
      </c>
      <c r="K160" s="623"/>
      <c r="L160" s="621">
        <f>Exposition!A161</f>
        <v>45924</v>
      </c>
      <c r="M160" s="625">
        <f>Exposition!B161</f>
        <v>0.7657669209</v>
      </c>
      <c r="N160" s="625">
        <f>Exposition!C161</f>
        <v>0.3793135721</v>
      </c>
      <c r="O160" s="625">
        <f>Exposition!D161</f>
        <v>0.1418527576</v>
      </c>
      <c r="P160" s="625">
        <f>Exposition!E161</f>
        <v>0.01157661822</v>
      </c>
      <c r="Q160" s="625">
        <f>Exposition!F161</f>
        <v>0.05918876025</v>
      </c>
      <c r="R160" s="625">
        <f>Exposition!G161</f>
        <v>0.06337036659</v>
      </c>
      <c r="S160" s="625">
        <f>Exposition!H161</f>
        <v>0</v>
      </c>
      <c r="T160" s="625">
        <f>Exposition!I161</f>
        <v>0.03324324357</v>
      </c>
      <c r="U160" s="625">
        <f>Exposition!J161</f>
        <v>0.01832880826</v>
      </c>
      <c r="V160" s="625">
        <f>Exposition!K161</f>
        <v>0.00422477779</v>
      </c>
      <c r="W160" s="625">
        <f>Exposition!L161</f>
        <v>0.005795187663</v>
      </c>
      <c r="X160" s="625">
        <f>Exposition!M161</f>
        <v>0</v>
      </c>
      <c r="Y160" s="625">
        <f>Exposition!N161</f>
        <v>0.03534668445</v>
      </c>
      <c r="Z160" s="625">
        <f>Exposition!O161</f>
        <v>0</v>
      </c>
      <c r="AA160" s="625">
        <f>Exposition!P161</f>
        <v>0.00969277942</v>
      </c>
      <c r="AB160" s="625">
        <f>Exposition!Q161</f>
        <v>0.0000000007815228286</v>
      </c>
      <c r="AC160" s="625">
        <f>Exposition!R161</f>
        <v>0.003833364199</v>
      </c>
      <c r="AD160" s="625">
        <f>Exposition!S161</f>
        <v>0</v>
      </c>
      <c r="AE160" s="625">
        <f>Exposition!T161</f>
        <v>0</v>
      </c>
      <c r="AF160" s="625">
        <f>Exposition!U161</f>
        <v>0.2342330791</v>
      </c>
      <c r="AG160" s="623"/>
      <c r="AH160" s="621">
        <f>PRIX!A161</f>
        <v>45923</v>
      </c>
      <c r="AI160" s="631">
        <f>PRIX!B161</f>
        <v>113000</v>
      </c>
      <c r="AJ160" s="631">
        <f>PRIX!C161</f>
        <v>4200</v>
      </c>
      <c r="AK160" s="631">
        <f>PRIX!D161</f>
        <v>2.85</v>
      </c>
      <c r="AL160" s="631">
        <f>PRIX!E161</f>
        <v>220</v>
      </c>
      <c r="AM160" s="631">
        <f>PRIX!F161</f>
        <v>320</v>
      </c>
      <c r="AN160" s="631">
        <f>PRIX!G161</f>
        <v>0.49</v>
      </c>
      <c r="AO160" s="631">
        <f>PRIX!H161</f>
        <v>21.85</v>
      </c>
      <c r="AP160" s="631">
        <f>PRIX!I161</f>
        <v>0.24</v>
      </c>
      <c r="AQ160" s="631">
        <f>PRIX!J161</f>
        <v>0.0000122</v>
      </c>
      <c r="AR160" s="631">
        <f>PRIX!K161</f>
        <v>2.75</v>
      </c>
      <c r="AS160" s="631">
        <f>PRIX!L161</f>
        <v>0.475</v>
      </c>
      <c r="AT160" s="631">
        <f>PRIX!M161</f>
        <v>275</v>
      </c>
      <c r="AU160" s="631">
        <f>PRIX!N161</f>
        <v>0.0045</v>
      </c>
      <c r="AV160" s="631">
        <f>PRIX!O161</f>
        <v>4.9</v>
      </c>
      <c r="AW160" s="631">
        <f>PRIX!P161</f>
        <v>0.0017</v>
      </c>
      <c r="AX160" s="631">
        <f>PRIX!Q161</f>
        <v>0.0000096</v>
      </c>
      <c r="AY160" s="631">
        <f>PRIX!R161</f>
        <v>0.8</v>
      </c>
      <c r="AZ160" s="631">
        <f>PRIX!S161</f>
        <v>2.8</v>
      </c>
      <c r="BA160" s="623"/>
    </row>
    <row r="161">
      <c r="A161" s="621">
        <f>ARBITRAGES!E162</f>
        <v>45924</v>
      </c>
      <c r="B161" s="623" t="str">
        <f>IF(A161="","",IF(ARBITRAGES!F162="Invest","Achat","Vente"))</f>
        <v>Achat</v>
      </c>
      <c r="C161" s="623" t="str">
        <f>ARBITRAGES!H162</f>
        <v>TAO</v>
      </c>
      <c r="D161" s="624">
        <f>ARBITRAGES!I162</f>
        <v>305</v>
      </c>
      <c r="E161" s="624">
        <f>ARBITRAGES!J162</f>
        <v>152.5</v>
      </c>
      <c r="F161" s="623"/>
      <c r="G161" s="621">
        <f>'PV (%)'!B163</f>
        <v>45963</v>
      </c>
      <c r="H161" s="624">
        <f>'PV (%)'!E163</f>
        <v>65419.48225</v>
      </c>
      <c r="I161" s="624">
        <f>'PV (%)'!F163</f>
        <v>53780.41265</v>
      </c>
      <c r="J161" s="626">
        <f>'PV (%)'!G163</f>
        <v>59050.75837</v>
      </c>
      <c r="K161" s="623"/>
      <c r="L161" s="621">
        <f>Exposition!A162</f>
        <v>45925</v>
      </c>
      <c r="M161" s="625">
        <f>Exposition!B162</f>
        <v>0.7667409694</v>
      </c>
      <c r="N161" s="625">
        <f>Exposition!C162</f>
        <v>0.3793088826</v>
      </c>
      <c r="O161" s="625">
        <f>Exposition!D162</f>
        <v>0.1418510038</v>
      </c>
      <c r="P161" s="625">
        <f>Exposition!E162</f>
        <v>0.0115764751</v>
      </c>
      <c r="Q161" s="625">
        <f>Exposition!F162</f>
        <v>0.05918802849</v>
      </c>
      <c r="R161" s="625">
        <f>Exposition!G162</f>
        <v>0.06336958313</v>
      </c>
      <c r="S161" s="625">
        <f>Exposition!H162</f>
        <v>0</v>
      </c>
      <c r="T161" s="625">
        <f>Exposition!I162</f>
        <v>0.03324283258</v>
      </c>
      <c r="U161" s="625">
        <f>Exposition!J162</f>
        <v>0.01931209749</v>
      </c>
      <c r="V161" s="625">
        <f>Exposition!K162</f>
        <v>0.004224725559</v>
      </c>
      <c r="W161" s="625">
        <f>Exposition!L162</f>
        <v>0.005795116016</v>
      </c>
      <c r="X161" s="625">
        <f>Exposition!M162</f>
        <v>0</v>
      </c>
      <c r="Y161" s="625">
        <f>Exposition!N162</f>
        <v>0.03534624745</v>
      </c>
      <c r="Z161" s="625">
        <f>Exposition!O162</f>
        <v>0</v>
      </c>
      <c r="AA161" s="625">
        <f>Exposition!P162</f>
        <v>0.009692659586</v>
      </c>
      <c r="AB161" s="625">
        <f>Exposition!Q162</f>
        <v>0.0000000007815131665</v>
      </c>
      <c r="AC161" s="625">
        <f>Exposition!R162</f>
        <v>0.003833316807</v>
      </c>
      <c r="AD161" s="625">
        <f>Exposition!S162</f>
        <v>0</v>
      </c>
      <c r="AE161" s="625">
        <f>Exposition!T162</f>
        <v>0</v>
      </c>
      <c r="AF161" s="625">
        <f>Exposition!U162</f>
        <v>0.2332590306</v>
      </c>
      <c r="AG161" s="623"/>
      <c r="AH161" s="621">
        <f>PRIX!A162</f>
        <v>45924</v>
      </c>
      <c r="AI161" s="631">
        <f>PRIX!B162</f>
        <v>111500</v>
      </c>
      <c r="AJ161" s="631">
        <f>PRIX!C162</f>
        <v>4000</v>
      </c>
      <c r="AK161" s="631">
        <f>PRIX!D162</f>
        <v>2.78</v>
      </c>
      <c r="AL161" s="631">
        <f>PRIX!E162</f>
        <v>200</v>
      </c>
      <c r="AM161" s="631">
        <f>PRIX!F162</f>
        <v>300</v>
      </c>
      <c r="AN161" s="631">
        <f>PRIX!G162</f>
        <v>0.465</v>
      </c>
      <c r="AO161" s="631">
        <f>PRIX!H162</f>
        <v>21.85</v>
      </c>
      <c r="AP161" s="631">
        <f>PRIX!I162</f>
        <v>0.232</v>
      </c>
      <c r="AQ161" s="631">
        <f>PRIX!J162</f>
        <v>0.0000122</v>
      </c>
      <c r="AR161" s="631">
        <f>PRIX!K162</f>
        <v>2.7</v>
      </c>
      <c r="AS161" s="631">
        <f>PRIX!L162</f>
        <v>0.45</v>
      </c>
      <c r="AT161" s="631">
        <f>PRIX!M162</f>
        <v>270</v>
      </c>
      <c r="AU161" s="631">
        <f>PRIX!N162</f>
        <v>0.0042</v>
      </c>
      <c r="AV161" s="631">
        <f>PRIX!O162</f>
        <v>4.6</v>
      </c>
      <c r="AW161" s="631">
        <f>PRIX!P162</f>
        <v>0.0016</v>
      </c>
      <c r="AX161" s="631">
        <f>PRIX!Q162</f>
        <v>0.0000094</v>
      </c>
      <c r="AY161" s="631">
        <f>PRIX!R162</f>
        <v>0.75</v>
      </c>
      <c r="AZ161" s="631">
        <f>PRIX!S162</f>
        <v>2.6</v>
      </c>
      <c r="BA161" s="623"/>
    </row>
    <row r="162">
      <c r="A162" s="621">
        <f>ARBITRAGES!E163</f>
        <v>45925</v>
      </c>
      <c r="B162" s="623" t="str">
        <f>IF(A162="","",IF(ARBITRAGES!F163="Invest","Achat","Vente"))</f>
        <v>Achat</v>
      </c>
      <c r="C162" s="623" t="str">
        <f>ARBITRAGES!H163</f>
        <v>DOGE</v>
      </c>
      <c r="D162" s="624">
        <f>ARBITRAGES!I163</f>
        <v>0.23</v>
      </c>
      <c r="E162" s="624">
        <f>ARBITRAGES!J163</f>
        <v>57.5</v>
      </c>
      <c r="F162" s="623"/>
      <c r="G162" s="621">
        <f>'PV (%)'!B164</f>
        <v>45964</v>
      </c>
      <c r="H162" s="624">
        <f>'PV (%)'!E164</f>
        <v>59769.61788</v>
      </c>
      <c r="I162" s="624">
        <f>'PV (%)'!F164</f>
        <v>46842.50624</v>
      </c>
      <c r="J162" s="626">
        <f>'PV (%)'!G164</f>
        <v>53780.20039</v>
      </c>
      <c r="K162" s="623"/>
      <c r="L162" s="621">
        <f>Exposition!A163</f>
        <v>45928</v>
      </c>
      <c r="M162" s="625">
        <f>Exposition!B163</f>
        <v>0.7701544797</v>
      </c>
      <c r="N162" s="625">
        <f>Exposition!C163</f>
        <v>0.376777958</v>
      </c>
      <c r="O162" s="625">
        <f>Exposition!D163</f>
        <v>0.143540063</v>
      </c>
      <c r="P162" s="625">
        <f>Exposition!E163</f>
        <v>0.01132061361</v>
      </c>
      <c r="Q162" s="625">
        <f>Exposition!F163</f>
        <v>0.05989279672</v>
      </c>
      <c r="R162" s="625">
        <f>Exposition!G163</f>
        <v>0.06890682429</v>
      </c>
      <c r="S162" s="625">
        <f>Exposition!H163</f>
        <v>0</v>
      </c>
      <c r="T162" s="625">
        <f>Exposition!I163</f>
        <v>0.03216922016</v>
      </c>
      <c r="U162" s="625">
        <f>Exposition!J163</f>
        <v>0.01927720001</v>
      </c>
      <c r="V162" s="625">
        <f>Exposition!K163</f>
        <v>0.004184027927</v>
      </c>
      <c r="W162" s="625">
        <f>Exposition!L163</f>
        <v>0.005618836253</v>
      </c>
      <c r="X162" s="625">
        <f>Exposition!M163</f>
        <v>0</v>
      </c>
      <c r="Y162" s="625">
        <f>Exposition!N163</f>
        <v>0.03493012023</v>
      </c>
      <c r="Z162" s="625">
        <f>Exposition!O163</f>
        <v>0</v>
      </c>
      <c r="AA162" s="625">
        <f>Exposition!P163</f>
        <v>0.009759276384</v>
      </c>
      <c r="AB162" s="625">
        <f>Exposition!Q163</f>
        <v>0.0000000007868844378</v>
      </c>
      <c r="AC162" s="625">
        <f>Exposition!R163</f>
        <v>0.00377754237</v>
      </c>
      <c r="AD162" s="625">
        <f>Exposition!S163</f>
        <v>0</v>
      </c>
      <c r="AE162" s="625">
        <f>Exposition!T163</f>
        <v>0</v>
      </c>
      <c r="AF162" s="625">
        <f>Exposition!U163</f>
        <v>0.2298455203</v>
      </c>
      <c r="AG162" s="623"/>
      <c r="AH162" s="621">
        <f>PRIX!A163</f>
        <v>45925</v>
      </c>
      <c r="AI162" s="631">
        <f>PRIX!B163</f>
        <v>111500</v>
      </c>
      <c r="AJ162" s="631">
        <f>PRIX!C163</f>
        <v>4000</v>
      </c>
      <c r="AK162" s="631">
        <f>PRIX!D163</f>
        <v>2.78</v>
      </c>
      <c r="AL162" s="631">
        <f>PRIX!E163</f>
        <v>200</v>
      </c>
      <c r="AM162" s="631">
        <f>PRIX!F163</f>
        <v>300</v>
      </c>
      <c r="AN162" s="631">
        <f>PRIX!G163</f>
        <v>0.465</v>
      </c>
      <c r="AO162" s="631">
        <f>PRIX!H163</f>
        <v>21.85</v>
      </c>
      <c r="AP162" s="631">
        <f>PRIX!I163</f>
        <v>0.232</v>
      </c>
      <c r="AQ162" s="631">
        <f>PRIX!J163</f>
        <v>0.0000122</v>
      </c>
      <c r="AR162" s="631">
        <f>PRIX!K163</f>
        <v>2.7</v>
      </c>
      <c r="AS162" s="631">
        <f>PRIX!L163</f>
        <v>0.45</v>
      </c>
      <c r="AT162" s="631">
        <f>PRIX!M163</f>
        <v>270</v>
      </c>
      <c r="AU162" s="631">
        <f>PRIX!N163</f>
        <v>0.0042</v>
      </c>
      <c r="AV162" s="631">
        <f>PRIX!O163</f>
        <v>4.6</v>
      </c>
      <c r="AW162" s="631">
        <f>PRIX!P163</f>
        <v>0.0016</v>
      </c>
      <c r="AX162" s="631">
        <f>PRIX!Q163</f>
        <v>0.0000094</v>
      </c>
      <c r="AY162" s="631">
        <f>PRIX!R163</f>
        <v>0.75</v>
      </c>
      <c r="AZ162" s="631">
        <f>PRIX!S163</f>
        <v>2.6</v>
      </c>
      <c r="BA162" s="623"/>
    </row>
    <row r="163">
      <c r="A163" s="621">
        <f>ARBITRAGES!E164</f>
        <v>45928</v>
      </c>
      <c r="B163" s="623" t="str">
        <f>IF(A163="","",IF(ARBITRAGES!F164="Invest","Achat","Vente"))</f>
        <v>Achat</v>
      </c>
      <c r="C163" s="623" t="str">
        <f>ARBITRAGES!H164</f>
        <v>TAO</v>
      </c>
      <c r="D163" s="624">
        <f>ARBITRAGES!I164</f>
        <v>295</v>
      </c>
      <c r="E163" s="624">
        <f>ARBITRAGES!J164</f>
        <v>295</v>
      </c>
      <c r="F163" s="623"/>
      <c r="G163" s="621">
        <f>'PV (%)'!B165</f>
        <v>45964</v>
      </c>
      <c r="H163" s="624">
        <f>'PV (%)'!E165</f>
        <v>59769.61788</v>
      </c>
      <c r="I163" s="624">
        <f>'PV (%)'!F165</f>
        <v>46842.50624</v>
      </c>
      <c r="J163" s="626">
        <f>'PV (%)'!G165</f>
        <v>53785.70314</v>
      </c>
      <c r="K163" s="623"/>
      <c r="L163" s="621">
        <f>Exposition!A164</f>
        <v>45905</v>
      </c>
      <c r="M163" s="625">
        <f>Exposition!B164</f>
        <v>0.7844879986</v>
      </c>
      <c r="N163" s="625">
        <f>Exposition!C164</f>
        <v>0.3889864953</v>
      </c>
      <c r="O163" s="625">
        <f>Exposition!D164</f>
        <v>0.1456555907</v>
      </c>
      <c r="P163" s="625">
        <f>Exposition!E164</f>
        <v>0.01090288566</v>
      </c>
      <c r="Q163" s="625">
        <f>Exposition!F164</f>
        <v>0.06471766499</v>
      </c>
      <c r="R163" s="625">
        <f>Exposition!G164</f>
        <v>0.06883518553</v>
      </c>
      <c r="S163" s="625">
        <f>Exposition!H164</f>
        <v>0</v>
      </c>
      <c r="T163" s="625">
        <f>Exposition!I164</f>
        <v>0.03248891593</v>
      </c>
      <c r="U163" s="625">
        <f>Exposition!J164</f>
        <v>0.0200944263</v>
      </c>
      <c r="V163" s="625">
        <f>Exposition!K164</f>
        <v>0.0004179678016</v>
      </c>
      <c r="W163" s="625">
        <f>Exposition!L164</f>
        <v>0.007273643952</v>
      </c>
      <c r="X163" s="625">
        <f>Exposition!M164</f>
        <v>0</v>
      </c>
      <c r="Y163" s="625">
        <f>Exposition!N164</f>
        <v>0.03524831415</v>
      </c>
      <c r="Z163" s="625">
        <f>Exposition!O164</f>
        <v>0</v>
      </c>
      <c r="AA163" s="625">
        <f>Exposition!P164</f>
        <v>0.009488283891</v>
      </c>
      <c r="AB163" s="625">
        <f>Exposition!Q164</f>
        <v>0.0000000007890896881</v>
      </c>
      <c r="AC163" s="625">
        <f>Exposition!R164</f>
        <v>0.0003786235846</v>
      </c>
      <c r="AD163" s="625">
        <f>Exposition!S164</f>
        <v>0</v>
      </c>
      <c r="AE163" s="625">
        <f>Exposition!T164</f>
        <v>0</v>
      </c>
      <c r="AF163" s="625">
        <f>Exposition!U164</f>
        <v>0.2155120014</v>
      </c>
      <c r="AG163" s="623"/>
      <c r="AH163" s="621">
        <f>PRIX!A164</f>
        <v>45928</v>
      </c>
      <c r="AI163" s="631">
        <f>PRIX!B164</f>
        <v>110000</v>
      </c>
      <c r="AJ163" s="631">
        <f>PRIX!C164</f>
        <v>4020</v>
      </c>
      <c r="AK163" s="631">
        <f>PRIX!D164</f>
        <v>2.7</v>
      </c>
      <c r="AL163" s="631">
        <f>PRIX!E164</f>
        <v>201</v>
      </c>
      <c r="AM163" s="631">
        <f>PRIX!F164</f>
        <v>300</v>
      </c>
      <c r="AN163" s="631">
        <f>PRIX!G164</f>
        <v>0.456</v>
      </c>
      <c r="AO163" s="631">
        <f>PRIX!H164</f>
        <v>21</v>
      </c>
      <c r="AP163" s="631">
        <f>PRIX!I164</f>
        <v>0.23</v>
      </c>
      <c r="AQ163" s="631">
        <f>PRIX!J164</f>
        <v>0.000012</v>
      </c>
      <c r="AR163" s="631">
        <f>PRIX!K164</f>
        <v>2.6</v>
      </c>
      <c r="AS163" s="631">
        <f>PRIX!L164</f>
        <v>0.43</v>
      </c>
      <c r="AT163" s="631">
        <f>PRIX!M164</f>
        <v>265</v>
      </c>
      <c r="AU163" s="631">
        <f>PRIX!N164</f>
        <v>0.0042</v>
      </c>
      <c r="AV163" s="631">
        <f>PRIX!O164</f>
        <v>4.6</v>
      </c>
      <c r="AW163" s="631">
        <f>PRIX!P164</f>
        <v>0.0016</v>
      </c>
      <c r="AX163" s="631">
        <f>PRIX!Q164</f>
        <v>0.0000092</v>
      </c>
      <c r="AY163" s="631">
        <f>PRIX!R164</f>
        <v>0.725</v>
      </c>
      <c r="AZ163" s="631">
        <f>PRIX!S164</f>
        <v>2.6</v>
      </c>
      <c r="BA163" s="623"/>
    </row>
    <row r="164">
      <c r="A164" s="621">
        <f>ARBITRAGES!E165</f>
        <v>45905</v>
      </c>
      <c r="B164" s="623" t="str">
        <f>IF(A164="","",IF(ARBITRAGES!F165="Invest","Achat","Vente"))</f>
        <v>Vente</v>
      </c>
      <c r="C164" s="623" t="str">
        <f>ARBITRAGES!H165</f>
        <v>ETH</v>
      </c>
      <c r="D164" s="624">
        <f>ARBITRAGES!I165</f>
        <v>4550</v>
      </c>
      <c r="E164" s="624">
        <f>ARBITRAGES!J165</f>
        <v>227.5</v>
      </c>
      <c r="F164" s="623"/>
      <c r="G164" s="621">
        <f>'PV (%)'!B166</f>
        <v>45964</v>
      </c>
      <c r="H164" s="624">
        <f>'PV (%)'!E166</f>
        <v>59769.61788</v>
      </c>
      <c r="I164" s="624">
        <f>'PV (%)'!F166</f>
        <v>46842.50624</v>
      </c>
      <c r="J164" s="626">
        <f>'PV (%)'!G166</f>
        <v>53798.70314</v>
      </c>
      <c r="K164" s="623"/>
      <c r="L164" s="621">
        <f>Exposition!A165</f>
        <v>45939</v>
      </c>
      <c r="M164" s="625">
        <f>Exposition!B165</f>
        <v>0.7815068765</v>
      </c>
      <c r="N164" s="625">
        <f>Exposition!C165</f>
        <v>0.3852222936</v>
      </c>
      <c r="O164" s="625">
        <f>Exposition!D165</f>
        <v>0.139433569</v>
      </c>
      <c r="P164" s="625">
        <f>Exposition!E165</f>
        <v>0.01062912896</v>
      </c>
      <c r="Q164" s="625">
        <f>Exposition!F165</f>
        <v>0.06111961148</v>
      </c>
      <c r="R164" s="625">
        <f>Exposition!G165</f>
        <v>0.07952105702</v>
      </c>
      <c r="S164" s="625">
        <f>Exposition!H165</f>
        <v>0</v>
      </c>
      <c r="T164" s="625">
        <f>Exposition!I165</f>
        <v>0.03177331552</v>
      </c>
      <c r="U164" s="625">
        <f>Exposition!J165</f>
        <v>0.01931589808</v>
      </c>
      <c r="V164" s="625">
        <f>Exposition!K165</f>
        <v>0.0003857032993</v>
      </c>
      <c r="W164" s="625">
        <f>Exposition!L165</f>
        <v>0.007371120842</v>
      </c>
      <c r="X164" s="625">
        <f>Exposition!M165</f>
        <v>0</v>
      </c>
      <c r="Y164" s="625">
        <f>Exposition!N165</f>
        <v>0.03402287559</v>
      </c>
      <c r="Z164" s="625">
        <f>Exposition!O165</f>
        <v>0</v>
      </c>
      <c r="AA164" s="625">
        <f>Exposition!P165</f>
        <v>0.009192135611</v>
      </c>
      <c r="AB164" s="625">
        <f>Exposition!Q165</f>
        <v>0.0000000007435216192</v>
      </c>
      <c r="AC164" s="625">
        <f>Exposition!R165</f>
        <v>0.003520166816</v>
      </c>
      <c r="AD164" s="625">
        <f>Exposition!S165</f>
        <v>0</v>
      </c>
      <c r="AE164" s="625">
        <f>Exposition!T165</f>
        <v>0</v>
      </c>
      <c r="AF164" s="625">
        <f>Exposition!U165</f>
        <v>0.2184931235</v>
      </c>
      <c r="AG164" s="623"/>
      <c r="AH164" s="621">
        <f>PRIX!A165</f>
        <v>45905</v>
      </c>
      <c r="AI164" s="631">
        <f>PRIX!B165</f>
        <v>123156</v>
      </c>
      <c r="AJ164" s="631">
        <f>PRIX!C165</f>
        <v>4542.78</v>
      </c>
      <c r="AK164" s="631">
        <f>PRIX!D165</f>
        <v>2.82</v>
      </c>
      <c r="AL164" s="631">
        <f>PRIX!E165</f>
        <v>235</v>
      </c>
      <c r="AM164" s="631">
        <f>PRIX!F165</f>
        <v>325</v>
      </c>
      <c r="AN164" s="631">
        <f>PRIX!G165</f>
        <v>0.48</v>
      </c>
      <c r="AO164" s="631">
        <f>PRIX!H165</f>
        <v>23</v>
      </c>
      <c r="AP164" s="631">
        <f>PRIX!I165</f>
        <v>0.26</v>
      </c>
      <c r="AQ164" s="631">
        <f>PRIX!J165</f>
        <v>0.0000013</v>
      </c>
      <c r="AR164" s="631">
        <f>PRIX!K165</f>
        <v>3.65</v>
      </c>
      <c r="AS164" s="631">
        <f>PRIX!L165</f>
        <v>0.465</v>
      </c>
      <c r="AT164" s="631">
        <f>PRIX!M165</f>
        <v>290</v>
      </c>
      <c r="AU164" s="631">
        <f>PRIX!N165</f>
        <v>0.0043</v>
      </c>
      <c r="AV164" s="631">
        <f>PRIX!O165</f>
        <v>4.85</v>
      </c>
      <c r="AW164" s="631">
        <f>PRIX!P165</f>
        <v>0.00174</v>
      </c>
      <c r="AX164" s="631">
        <f>PRIX!Q165</f>
        <v>0.000001</v>
      </c>
      <c r="AY164" s="631">
        <f>PRIX!R165</f>
        <v>0.8</v>
      </c>
      <c r="AZ164" s="631">
        <f>PRIX!S165</f>
        <v>2.95</v>
      </c>
      <c r="BA164" s="623"/>
    </row>
    <row r="165">
      <c r="A165" s="621">
        <f>ARBITRAGES!E166</f>
        <v>45939</v>
      </c>
      <c r="B165" s="623" t="str">
        <f>IF(A165="","",IF(ARBITRAGES!F166="Invest","Achat","Vente"))</f>
        <v>Vente</v>
      </c>
      <c r="C165" s="623" t="str">
        <f>ARBITRAGES!H166</f>
        <v>TAO</v>
      </c>
      <c r="D165" s="624">
        <f>ARBITRAGES!I166</f>
        <v>388.389</v>
      </c>
      <c r="E165" s="624">
        <f>ARBITRAGES!J166</f>
        <v>194.1944144</v>
      </c>
      <c r="F165" s="623"/>
      <c r="G165" s="621">
        <f>'PV (%)'!B167</f>
        <v>45965</v>
      </c>
      <c r="H165" s="624">
        <f>'PV (%)'!E167</f>
        <v>59769.61788</v>
      </c>
      <c r="I165" s="624">
        <f>'PV (%)'!F167</f>
        <v>46842.50624</v>
      </c>
      <c r="J165" s="626">
        <f>'PV (%)'!G167</f>
        <v>53803.2486</v>
      </c>
      <c r="K165" s="623"/>
      <c r="L165" s="621">
        <f>Exposition!A166</f>
        <v>45939</v>
      </c>
      <c r="M165" s="625">
        <f>Exposition!B166</f>
        <v>0.7784194235</v>
      </c>
      <c r="N165" s="625">
        <f>Exposition!C166</f>
        <v>0.3852071967</v>
      </c>
      <c r="O165" s="625">
        <f>Exposition!D166</f>
        <v>0.1394281046</v>
      </c>
      <c r="P165" s="625">
        <f>Exposition!E166</f>
        <v>0.0106287124</v>
      </c>
      <c r="Q165" s="625">
        <f>Exposition!F166</f>
        <v>0.0611172162</v>
      </c>
      <c r="R165" s="625">
        <f>Exposition!G166</f>
        <v>0.07646111487</v>
      </c>
      <c r="S165" s="625">
        <f>Exposition!H166</f>
        <v>0</v>
      </c>
      <c r="T165" s="625">
        <f>Exposition!I166</f>
        <v>0.03177207032</v>
      </c>
      <c r="U165" s="625">
        <f>Exposition!J166</f>
        <v>0.01931514109</v>
      </c>
      <c r="V165" s="625">
        <f>Exposition!K166</f>
        <v>0.0003856881836</v>
      </c>
      <c r="W165" s="625">
        <f>Exposition!L166</f>
        <v>0.007370831967</v>
      </c>
      <c r="X165" s="625">
        <f>Exposition!M166</f>
        <v>0</v>
      </c>
      <c r="Y165" s="625">
        <f>Exposition!N166</f>
        <v>0.03402154223</v>
      </c>
      <c r="Z165" s="625">
        <f>Exposition!O166</f>
        <v>0</v>
      </c>
      <c r="AA165" s="625">
        <f>Exposition!P166</f>
        <v>0.00919177537</v>
      </c>
      <c r="AB165" s="625">
        <f>Exposition!Q166</f>
        <v>0.0000000007434924805</v>
      </c>
      <c r="AC165" s="625">
        <f>Exposition!R166</f>
        <v>0.00352002886</v>
      </c>
      <c r="AD165" s="625">
        <f>Exposition!S166</f>
        <v>0</v>
      </c>
      <c r="AE165" s="625">
        <f>Exposition!T166</f>
        <v>0</v>
      </c>
      <c r="AF165" s="625">
        <f>Exposition!U166</f>
        <v>0.2215805765</v>
      </c>
      <c r="AG165" s="623"/>
      <c r="AH165" s="621">
        <f>PRIX!A166</f>
        <v>45939</v>
      </c>
      <c r="AI165" s="635">
        <f>PRIX!B166</f>
        <v>122000</v>
      </c>
      <c r="AJ165" s="635">
        <f>PRIX!C166</f>
        <v>4350</v>
      </c>
      <c r="AK165" s="635">
        <f>PRIX!D166</f>
        <v>2.75</v>
      </c>
      <c r="AL165" s="635">
        <f>PRIX!E166</f>
        <v>222</v>
      </c>
      <c r="AM165" s="635">
        <f>PRIX!F166</f>
        <v>390</v>
      </c>
      <c r="AN165" s="635">
        <f>PRIX!G166</f>
        <v>0.47</v>
      </c>
      <c r="AO165" s="635">
        <f>PRIX!H166</f>
        <v>22.5</v>
      </c>
      <c r="AP165" s="635">
        <f>PRIX!I166</f>
        <v>0.25</v>
      </c>
      <c r="AQ165" s="635">
        <f>PRIX!J166</f>
        <v>0.0000012</v>
      </c>
      <c r="AR165" s="635">
        <f>PRIX!K166</f>
        <v>3.7</v>
      </c>
      <c r="AS165" s="635">
        <f>PRIX!L166</f>
        <v>0.436</v>
      </c>
      <c r="AT165" s="635">
        <f>PRIX!M166</f>
        <v>280</v>
      </c>
      <c r="AU165" s="635">
        <f>PRIX!N166</f>
        <v>0.0043</v>
      </c>
      <c r="AV165" s="635">
        <f>PRIX!O166</f>
        <v>4.7</v>
      </c>
      <c r="AW165" s="635">
        <f>PRIX!P166</f>
        <v>0.00164</v>
      </c>
      <c r="AX165" s="635">
        <f>PRIX!Q166</f>
        <v>0.0000093</v>
      </c>
      <c r="AY165" s="635">
        <f>PRIX!R166</f>
        <v>0.73</v>
      </c>
      <c r="AZ165" s="635">
        <f>PRIX!S166</f>
        <v>2.7</v>
      </c>
      <c r="BA165" s="623"/>
    </row>
    <row r="166">
      <c r="A166" s="621">
        <f>ARBITRAGES!E167</f>
        <v>45939</v>
      </c>
      <c r="B166" s="623" t="str">
        <f>IF(A166="","",IF(ARBITRAGES!F167="Invest","Achat","Vente"))</f>
        <v>Vente</v>
      </c>
      <c r="C166" s="623" t="str">
        <f>ARBITRAGES!H167</f>
        <v>TAO</v>
      </c>
      <c r="D166" s="624">
        <f>ARBITRAGES!I167</f>
        <v>395</v>
      </c>
      <c r="E166" s="624">
        <f>ARBITRAGES!J167</f>
        <v>197.5</v>
      </c>
      <c r="F166" s="623"/>
      <c r="G166" s="621">
        <f>'PV (%)'!B168</f>
        <v>45968</v>
      </c>
      <c r="H166" s="624">
        <f>'PV (%)'!E168</f>
        <v>60661.70173</v>
      </c>
      <c r="I166" s="624">
        <f>'PV (%)'!F168</f>
        <v>47801.2208</v>
      </c>
      <c r="J166" s="626">
        <f>'PV (%)'!G168</f>
        <v>54577.90923</v>
      </c>
      <c r="K166" s="623"/>
      <c r="L166" s="621">
        <f>Exposition!A167</f>
        <v>45940</v>
      </c>
      <c r="M166" s="625">
        <f>Exposition!B167</f>
        <v>0.7843348843</v>
      </c>
      <c r="N166" s="625">
        <f>Exposition!C167</f>
        <v>0.3899043878</v>
      </c>
      <c r="O166" s="625">
        <f>Exposition!D167</f>
        <v>0.1375494785</v>
      </c>
      <c r="P166" s="625">
        <f>Exposition!E167</f>
        <v>0.01076058722</v>
      </c>
      <c r="Q166" s="625">
        <f>Exposition!F167</f>
        <v>0.06186247548</v>
      </c>
      <c r="R166" s="625">
        <f>Exposition!G167</f>
        <v>0.07739347664</v>
      </c>
      <c r="S166" s="625">
        <f>Exposition!H167</f>
        <v>0</v>
      </c>
      <c r="T166" s="625">
        <f>Exposition!I167</f>
        <v>0.03215949685</v>
      </c>
      <c r="U166" s="625">
        <f>Exposition!J167</f>
        <v>0.01955066864</v>
      </c>
      <c r="V166" s="625">
        <f>Exposition!K167</f>
        <v>0.0003903912397</v>
      </c>
      <c r="W166" s="625">
        <f>Exposition!L167</f>
        <v>0.007460711404</v>
      </c>
      <c r="X166" s="625">
        <f>Exposition!M167</f>
        <v>0</v>
      </c>
      <c r="Y166" s="625">
        <f>Exposition!N167</f>
        <v>0.03443639866</v>
      </c>
      <c r="Z166" s="625">
        <f>Exposition!O167</f>
        <v>0</v>
      </c>
      <c r="AA166" s="625">
        <f>Exposition!P167</f>
        <v>0.00930385927</v>
      </c>
      <c r="AB166" s="625">
        <f>Exposition!Q167</f>
        <v>0.0000000007525585786</v>
      </c>
      <c r="AC166" s="625">
        <f>Exposition!R167</f>
        <v>0.003562951859</v>
      </c>
      <c r="AD166" s="625">
        <f>Exposition!S167</f>
        <v>0</v>
      </c>
      <c r="AE166" s="625">
        <f>Exposition!T167</f>
        <v>0</v>
      </c>
      <c r="AF166" s="625">
        <f>Exposition!U167</f>
        <v>0.2156651157</v>
      </c>
      <c r="AG166" s="623"/>
      <c r="AH166" s="621">
        <f>PRIX!A167</f>
        <v>45939</v>
      </c>
      <c r="AI166" s="635">
        <f>PRIX!B167</f>
        <v>122000</v>
      </c>
      <c r="AJ166" s="635">
        <f>PRIX!C167</f>
        <v>4350</v>
      </c>
      <c r="AK166" s="635">
        <f>PRIX!D167</f>
        <v>2.75</v>
      </c>
      <c r="AL166" s="635">
        <f>PRIX!E167</f>
        <v>222</v>
      </c>
      <c r="AM166" s="635">
        <f>PRIX!F167</f>
        <v>390</v>
      </c>
      <c r="AN166" s="635">
        <f>PRIX!G167</f>
        <v>0.47</v>
      </c>
      <c r="AO166" s="635">
        <f>PRIX!H167</f>
        <v>22.5</v>
      </c>
      <c r="AP166" s="635">
        <f>PRIX!I167</f>
        <v>0.25</v>
      </c>
      <c r="AQ166" s="635">
        <f>PRIX!J167</f>
        <v>0.0000012</v>
      </c>
      <c r="AR166" s="635">
        <f>PRIX!K167</f>
        <v>3.7</v>
      </c>
      <c r="AS166" s="635">
        <f>PRIX!L167</f>
        <v>0.436</v>
      </c>
      <c r="AT166" s="635">
        <f>PRIX!M167</f>
        <v>280</v>
      </c>
      <c r="AU166" s="635">
        <f>PRIX!N167</f>
        <v>0.0043</v>
      </c>
      <c r="AV166" s="635">
        <f>PRIX!O167</f>
        <v>4.7</v>
      </c>
      <c r="AW166" s="635">
        <f>PRIX!P167</f>
        <v>0.00164</v>
      </c>
      <c r="AX166" s="635">
        <f>PRIX!Q167</f>
        <v>0.0000093</v>
      </c>
      <c r="AY166" s="635">
        <f>PRIX!R167</f>
        <v>0.73</v>
      </c>
      <c r="AZ166" s="635">
        <f>PRIX!S167</f>
        <v>2.7</v>
      </c>
      <c r="BA166" s="623"/>
    </row>
    <row r="167">
      <c r="A167" s="621">
        <f>ARBITRAGES!E168</f>
        <v>45940</v>
      </c>
      <c r="B167" s="623" t="str">
        <f>IF(A167="","",IF(ARBITRAGES!F168="Invest","Achat","Vente"))</f>
        <v>Vente</v>
      </c>
      <c r="C167" s="623" t="str">
        <f>ARBITRAGES!H168</f>
        <v>ETH</v>
      </c>
      <c r="D167" s="624">
        <f>ARBITRAGES!I168</f>
        <v>4600</v>
      </c>
      <c r="E167" s="624">
        <f>ARBITRAGES!J168</f>
        <v>230</v>
      </c>
      <c r="F167" s="623"/>
      <c r="G167" s="621">
        <f>'PV (%)'!B169</f>
        <v>45970</v>
      </c>
      <c r="H167" s="624">
        <f>'PV (%)'!E169</f>
        <v>63337.95327</v>
      </c>
      <c r="I167" s="624">
        <f>'PV (%)'!F169</f>
        <v>50693.78413</v>
      </c>
      <c r="J167" s="626">
        <f>'PV (%)'!G169</f>
        <v>56935.8572</v>
      </c>
      <c r="K167" s="623"/>
      <c r="L167" s="621">
        <f>Exposition!A168</f>
        <v>45941</v>
      </c>
      <c r="M167" s="625">
        <f>Exposition!B168</f>
        <v>0.7642537967</v>
      </c>
      <c r="N167" s="625">
        <f>Exposition!C168</f>
        <v>0.3952337591</v>
      </c>
      <c r="O167" s="625">
        <f>Exposition!D168</f>
        <v>0.1369223564</v>
      </c>
      <c r="P167" s="625">
        <f>Exposition!E168</f>
        <v>0.009678075709</v>
      </c>
      <c r="Q167" s="625">
        <f>Exposition!F168</f>
        <v>0.05666948519</v>
      </c>
      <c r="R167" s="625">
        <f>Exposition!G168</f>
        <v>0.06980603108</v>
      </c>
      <c r="S167" s="625">
        <f>Exposition!H168</f>
        <v>0</v>
      </c>
      <c r="T167" s="625">
        <f>Exposition!I168</f>
        <v>0.02828150072</v>
      </c>
      <c r="U167" s="625">
        <f>Exposition!J168</f>
        <v>0.01676329688</v>
      </c>
      <c r="V167" s="625">
        <f>Exposition!K168</f>
        <v>0.0003755012053</v>
      </c>
      <c r="W167" s="625">
        <f>Exposition!L168</f>
        <v>0.006317228638</v>
      </c>
      <c r="X167" s="625">
        <f>Exposition!M168</f>
        <v>0</v>
      </c>
      <c r="Y167" s="625">
        <f>Exposition!N168</f>
        <v>0.0331229492</v>
      </c>
      <c r="Z167" s="625">
        <f>Exposition!O168</f>
        <v>0</v>
      </c>
      <c r="AA167" s="625">
        <f>Exposition!P168</f>
        <v>0.008051378016</v>
      </c>
      <c r="AB167" s="625">
        <f>Exposition!Q168</f>
        <v>0.0000000005044285758</v>
      </c>
      <c r="AC167" s="625">
        <f>Exposition!R168</f>
        <v>0.003032234054</v>
      </c>
      <c r="AD167" s="625">
        <f>Exposition!S168</f>
        <v>0</v>
      </c>
      <c r="AE167" s="625">
        <f>Exposition!T168</f>
        <v>0</v>
      </c>
      <c r="AF167" s="625">
        <f>Exposition!U168</f>
        <v>0.2357462033</v>
      </c>
      <c r="AG167" s="623"/>
      <c r="AH167" s="621">
        <f>PRIX!A168</f>
        <v>45940</v>
      </c>
      <c r="AI167" s="635">
        <f>PRIX!B168</f>
        <v>122000</v>
      </c>
      <c r="AJ167" s="635">
        <f>PRIX!C168</f>
        <v>4350</v>
      </c>
      <c r="AK167" s="635">
        <f>PRIX!D168</f>
        <v>2.75</v>
      </c>
      <c r="AL167" s="635">
        <f>PRIX!E168</f>
        <v>222</v>
      </c>
      <c r="AM167" s="635">
        <f>PRIX!F168</f>
        <v>390</v>
      </c>
      <c r="AN167" s="635">
        <f>PRIX!G168</f>
        <v>0.47</v>
      </c>
      <c r="AO167" s="635">
        <f>PRIX!H168</f>
        <v>22.5</v>
      </c>
      <c r="AP167" s="635">
        <f>PRIX!I168</f>
        <v>0.25</v>
      </c>
      <c r="AQ167" s="635">
        <f>PRIX!J168</f>
        <v>0.0000012</v>
      </c>
      <c r="AR167" s="635">
        <f>PRIX!K168</f>
        <v>3.7</v>
      </c>
      <c r="AS167" s="635">
        <f>PRIX!L168</f>
        <v>0.436</v>
      </c>
      <c r="AT167" s="635">
        <f>PRIX!M168</f>
        <v>280</v>
      </c>
      <c r="AU167" s="635">
        <f>PRIX!N168</f>
        <v>0.0043</v>
      </c>
      <c r="AV167" s="635">
        <f>PRIX!O168</f>
        <v>4.7</v>
      </c>
      <c r="AW167" s="635">
        <f>PRIX!P168</f>
        <v>0.00164</v>
      </c>
      <c r="AX167" s="635">
        <f>PRIX!Q168</f>
        <v>0.0000093</v>
      </c>
      <c r="AY167" s="635">
        <f>PRIX!R168</f>
        <v>0.73</v>
      </c>
      <c r="AZ167" s="635">
        <f>PRIX!S168</f>
        <v>2.7</v>
      </c>
      <c r="BA167" s="623"/>
    </row>
    <row r="168">
      <c r="A168" s="621">
        <f>ARBITRAGES!E169</f>
        <v>45941</v>
      </c>
      <c r="B168" s="623" t="str">
        <f>IF(A168="","",IF(ARBITRAGES!F169="Invest","Achat","Vente"))</f>
        <v>Achat</v>
      </c>
      <c r="C168" s="623" t="str">
        <f>ARBITRAGES!H169</f>
        <v>ETH</v>
      </c>
      <c r="D168" s="624">
        <f>ARBITRAGES!I169</f>
        <v>3805</v>
      </c>
      <c r="E168" s="624">
        <f>ARBITRAGES!J169</f>
        <v>76.1</v>
      </c>
      <c r="F168" s="623"/>
      <c r="G168" s="621">
        <f>'PV (%)'!B170</f>
        <v>45971</v>
      </c>
      <c r="H168" s="624">
        <f>'PV (%)'!E170</f>
        <v>63337.95327</v>
      </c>
      <c r="I168" s="624">
        <f>'PV (%)'!F170</f>
        <v>50693.78413</v>
      </c>
      <c r="J168" s="626">
        <f>'PV (%)'!G170</f>
        <v>56948.59667</v>
      </c>
      <c r="K168" s="623"/>
      <c r="L168" s="621">
        <f>Exposition!A169</f>
        <v>45941</v>
      </c>
      <c r="M168" s="625">
        <f>Exposition!B169</f>
        <v>0.7772949302</v>
      </c>
      <c r="N168" s="625">
        <f>Exposition!C169</f>
        <v>0.3843401378</v>
      </c>
      <c r="O168" s="625">
        <f>Exposition!D169</f>
        <v>0.1403250172</v>
      </c>
      <c r="P168" s="625">
        <f>Exposition!E169</f>
        <v>0.009411323973</v>
      </c>
      <c r="Q168" s="625">
        <f>Exposition!F169</f>
        <v>0.05828058807</v>
      </c>
      <c r="R168" s="625">
        <f>Exposition!G169</f>
        <v>0.08612068101</v>
      </c>
      <c r="S168" s="625">
        <f>Exposition!H169</f>
        <v>0</v>
      </c>
      <c r="T168" s="625">
        <f>Exposition!I169</f>
        <v>0.02989347013</v>
      </c>
      <c r="U168" s="625">
        <f>Exposition!J169</f>
        <v>0.01725534596</v>
      </c>
      <c r="V168" s="625">
        <f>Exposition!K169</f>
        <v>0.0003742235481</v>
      </c>
      <c r="W168" s="625">
        <f>Exposition!L169</f>
        <v>0.007380166682</v>
      </c>
      <c r="X168" s="625">
        <f>Exposition!M169</f>
        <v>0</v>
      </c>
      <c r="Y168" s="625">
        <f>Exposition!N169</f>
        <v>0.03279589485</v>
      </c>
      <c r="Z168" s="625">
        <f>Exposition!O169</f>
        <v>0</v>
      </c>
      <c r="AA168" s="625">
        <f>Exposition!P169</f>
        <v>0.00807327026</v>
      </c>
      <c r="AB168" s="625">
        <f>Exposition!Q169</f>
        <v>0.0000000005758340185</v>
      </c>
      <c r="AC168" s="625">
        <f>Exposition!R169</f>
        <v>0.003044810071</v>
      </c>
      <c r="AD168" s="625">
        <f>Exposition!S169</f>
        <v>0</v>
      </c>
      <c r="AE168" s="625">
        <f>Exposition!T169</f>
        <v>0</v>
      </c>
      <c r="AF168" s="625">
        <f>Exposition!U169</f>
        <v>0.2227050698</v>
      </c>
      <c r="AG168" s="623"/>
      <c r="AH168" s="621">
        <f>PRIX!A169</f>
        <v>45941</v>
      </c>
      <c r="AI168" s="635">
        <f>PRIX!B169</f>
        <v>112500</v>
      </c>
      <c r="AJ168" s="635">
        <f>PRIX!C169</f>
        <v>3900</v>
      </c>
      <c r="AK168" s="635">
        <f>PRIX!D169</f>
        <v>2.25</v>
      </c>
      <c r="AL168" s="635">
        <f>PRIX!E169</f>
        <v>185</v>
      </c>
      <c r="AM168" s="635">
        <f>PRIX!F169</f>
        <v>320</v>
      </c>
      <c r="AN168" s="635">
        <f>PRIX!G169</f>
        <v>0.27</v>
      </c>
      <c r="AO168" s="635">
        <f>PRIX!H169</f>
        <v>18</v>
      </c>
      <c r="AP168" s="635">
        <f>PRIX!I169</f>
        <v>0.195</v>
      </c>
      <c r="AQ168" s="635">
        <f>PRIX!J169</f>
        <v>0.00000105</v>
      </c>
      <c r="AR168" s="635">
        <f>PRIX!K169</f>
        <v>2.85</v>
      </c>
      <c r="AS168" s="635">
        <f>PRIX!L169</f>
        <v>0.34</v>
      </c>
      <c r="AT168" s="635">
        <f>PRIX!M169</f>
        <v>245</v>
      </c>
      <c r="AU168" s="635">
        <f>PRIX!N169</f>
        <v>0.0033</v>
      </c>
      <c r="AV168" s="635">
        <f>PRIX!O169</f>
        <v>3.7</v>
      </c>
      <c r="AW168" s="635">
        <f>PRIX!P169</f>
        <v>0.001</v>
      </c>
      <c r="AX168" s="635">
        <f>PRIX!Q169</f>
        <v>0.0000072</v>
      </c>
      <c r="AY168" s="635">
        <f>PRIX!R169</f>
        <v>0.5</v>
      </c>
      <c r="AZ168" s="635">
        <f>PRIX!S169</f>
        <v>2</v>
      </c>
      <c r="BA168" s="623"/>
    </row>
    <row r="169">
      <c r="A169" s="621">
        <f>ARBITRAGES!E170</f>
        <v>45941</v>
      </c>
      <c r="B169" s="623" t="str">
        <f>IF(A169="","",IF(ARBITRAGES!F170="Invest","Achat","Vente"))</f>
        <v>Achat</v>
      </c>
      <c r="C169" s="623" t="str">
        <f>ARBITRAGES!H170</f>
        <v>ETH</v>
      </c>
      <c r="D169" s="624">
        <f>ARBITRAGES!I170</f>
        <v>3760</v>
      </c>
      <c r="E169" s="624">
        <f>ARBITRAGES!J170</f>
        <v>94</v>
      </c>
      <c r="F169" s="623"/>
      <c r="G169" s="621">
        <f>'PV (%)'!B171</f>
        <v>45971</v>
      </c>
      <c r="H169" s="624">
        <f>'PV (%)'!E171</f>
        <v>61851.14686</v>
      </c>
      <c r="I169" s="624">
        <f>'PV (%)'!F171</f>
        <v>49030.38307</v>
      </c>
      <c r="J169" s="626">
        <f>'PV (%)'!G171</f>
        <v>55642.93569</v>
      </c>
      <c r="K169" s="623"/>
      <c r="L169" s="621">
        <f>Exposition!A170</f>
        <v>45942</v>
      </c>
      <c r="M169" s="625">
        <f>Exposition!B170</f>
        <v>0.779007126</v>
      </c>
      <c r="N169" s="625">
        <f>Exposition!C170</f>
        <v>0.3842608209</v>
      </c>
      <c r="O169" s="625">
        <f>Exposition!D170</f>
        <v>0.1421686656</v>
      </c>
      <c r="P169" s="625">
        <f>Exposition!E170</f>
        <v>0.009409381742</v>
      </c>
      <c r="Q169" s="625">
        <f>Exposition!F170</f>
        <v>0.0582685606</v>
      </c>
      <c r="R169" s="625">
        <f>Exposition!G170</f>
        <v>0.08610290813</v>
      </c>
      <c r="S169" s="625">
        <f>Exposition!H170</f>
        <v>0</v>
      </c>
      <c r="T169" s="625">
        <f>Exposition!I170</f>
        <v>0.02988730096</v>
      </c>
      <c r="U169" s="625">
        <f>Exposition!J170</f>
        <v>0.01725178495</v>
      </c>
      <c r="V169" s="625">
        <f>Exposition!K170</f>
        <v>0.000374146319</v>
      </c>
      <c r="W169" s="625">
        <f>Exposition!L170</f>
        <v>0.007378643625</v>
      </c>
      <c r="X169" s="625">
        <f>Exposition!M170</f>
        <v>0</v>
      </c>
      <c r="Y169" s="625">
        <f>Exposition!N170</f>
        <v>0.03278912671</v>
      </c>
      <c r="Z169" s="625">
        <f>Exposition!O170</f>
        <v>0</v>
      </c>
      <c r="AA169" s="625">
        <f>Exposition!P170</f>
        <v>0.008071604165</v>
      </c>
      <c r="AB169" s="625">
        <f>Exposition!Q170</f>
        <v>0.0000000005757151827</v>
      </c>
      <c r="AC169" s="625">
        <f>Exposition!R170</f>
        <v>0.003044181709</v>
      </c>
      <c r="AD169" s="625">
        <f>Exposition!S170</f>
        <v>0</v>
      </c>
      <c r="AE169" s="625">
        <f>Exposition!T170</f>
        <v>0</v>
      </c>
      <c r="AF169" s="625">
        <f>Exposition!U170</f>
        <v>0.220992874</v>
      </c>
      <c r="AG169" s="623"/>
      <c r="AH169" s="621">
        <f>PRIX!A170</f>
        <v>45941</v>
      </c>
      <c r="AI169" s="635">
        <f>PRIX!B170</f>
        <v>115000</v>
      </c>
      <c r="AJ169" s="635">
        <f>PRIX!C170</f>
        <v>4150</v>
      </c>
      <c r="AK169" s="635">
        <f>PRIX!D170</f>
        <v>2.3</v>
      </c>
      <c r="AL169" s="635">
        <f>PRIX!E170</f>
        <v>200</v>
      </c>
      <c r="AM169" s="635">
        <f>PRIX!F170</f>
        <v>415</v>
      </c>
      <c r="AN169" s="635">
        <f>PRIX!G170</f>
        <v>0.4</v>
      </c>
      <c r="AO169" s="635">
        <f>PRIX!H170</f>
        <v>20</v>
      </c>
      <c r="AP169" s="635">
        <f>PRIX!I170</f>
        <v>0.211</v>
      </c>
      <c r="AQ169" s="635">
        <f>PRIX!J170</f>
        <v>0.0000011</v>
      </c>
      <c r="AR169" s="635">
        <f>PRIX!K170</f>
        <v>3.5</v>
      </c>
      <c r="AS169" s="635">
        <f>PRIX!L170</f>
        <v>0.38</v>
      </c>
      <c r="AT169" s="635">
        <f>PRIX!M170</f>
        <v>255</v>
      </c>
      <c r="AU169" s="635">
        <f>PRIX!N170</f>
        <v>0.0036</v>
      </c>
      <c r="AV169" s="635">
        <f>PRIX!O170</f>
        <v>3.9</v>
      </c>
      <c r="AW169" s="635">
        <f>PRIX!P170</f>
        <v>0.0012</v>
      </c>
      <c r="AX169" s="635">
        <f>PRIX!Q170</f>
        <v>0.0000076</v>
      </c>
      <c r="AY169" s="635">
        <f>PRIX!R170</f>
        <v>0.56</v>
      </c>
      <c r="AZ169" s="635">
        <f>PRIX!S170</f>
        <v>2</v>
      </c>
      <c r="BA169" s="623"/>
    </row>
    <row r="170">
      <c r="A170" s="621">
        <f>ARBITRAGES!E171</f>
        <v>45942</v>
      </c>
      <c r="B170" s="623" t="str">
        <f>IF(A170="","",IF(ARBITRAGES!F171="Invest","Achat","Vente"))</f>
        <v>Achat</v>
      </c>
      <c r="C170" s="623" t="str">
        <f>ARBITRAGES!H171</f>
        <v>ETH</v>
      </c>
      <c r="D170" s="624">
        <f>ARBITRAGES!I171</f>
        <v>3720</v>
      </c>
      <c r="E170" s="624">
        <f>ARBITRAGES!J171</f>
        <v>100.44</v>
      </c>
      <c r="F170" s="623"/>
      <c r="G170" s="621">
        <f>'PV (%)'!B172</f>
        <v>45972</v>
      </c>
      <c r="H170" s="624">
        <f>'PV (%)'!E172</f>
        <v>61851.14686</v>
      </c>
      <c r="I170" s="624">
        <f>'PV (%)'!F172</f>
        <v>49030.38307</v>
      </c>
      <c r="J170" s="626">
        <f>'PV (%)'!G172</f>
        <v>55842.93569</v>
      </c>
      <c r="K170" s="623"/>
      <c r="L170" s="621">
        <f>Exposition!A171</f>
        <v>45945</v>
      </c>
      <c r="M170" s="625">
        <f>Exposition!B171</f>
        <v>0.7696731737</v>
      </c>
      <c r="N170" s="625">
        <f>Exposition!C171</f>
        <v>0.3805902723</v>
      </c>
      <c r="O170" s="625">
        <f>Exposition!D171</f>
        <v>0.1404714752</v>
      </c>
      <c r="P170" s="625">
        <f>Exposition!E171</f>
        <v>0.009436004343</v>
      </c>
      <c r="Q170" s="625">
        <f>Exposition!F171</f>
        <v>0.05973194431</v>
      </c>
      <c r="R170" s="625">
        <f>Exposition!G171</f>
        <v>0.08167382355</v>
      </c>
      <c r="S170" s="625">
        <f>Exposition!H171</f>
        <v>0</v>
      </c>
      <c r="T170" s="625">
        <f>Exposition!I171</f>
        <v>0.02789581207</v>
      </c>
      <c r="U170" s="625">
        <f>Exposition!J171</f>
        <v>0.01676308464</v>
      </c>
      <c r="V170" s="625">
        <f>Exposition!K171</f>
        <v>0.003486752759</v>
      </c>
      <c r="W170" s="625">
        <f>Exposition!L171</f>
        <v>0.007347841329</v>
      </c>
      <c r="X170" s="625">
        <f>Exposition!M171</f>
        <v>0</v>
      </c>
      <c r="Y170" s="625">
        <f>Exposition!N171</f>
        <v>0.03229446658</v>
      </c>
      <c r="Z170" s="625">
        <f>Exposition!O171</f>
        <v>0</v>
      </c>
      <c r="AA170" s="625">
        <f>Exposition!P171</f>
        <v>0.007107427158</v>
      </c>
      <c r="AB170" s="625">
        <f>Exposition!Q171</f>
        <v>0.0000000005557471469</v>
      </c>
      <c r="AC170" s="625">
        <f>Exposition!R171</f>
        <v>0.002874268805</v>
      </c>
      <c r="AD170" s="625">
        <f>Exposition!S171</f>
        <v>0</v>
      </c>
      <c r="AE170" s="625">
        <f>Exposition!T171</f>
        <v>0</v>
      </c>
      <c r="AF170" s="625">
        <f>Exposition!U171</f>
        <v>0.2303268263</v>
      </c>
      <c r="AG170" s="623"/>
      <c r="AH170" s="621">
        <f>PRIX!A171</f>
        <v>45942</v>
      </c>
      <c r="AI170" s="635">
        <f>PRIX!B171</f>
        <v>115000</v>
      </c>
      <c r="AJ170" s="635">
        <f>PRIX!C171</f>
        <v>4150</v>
      </c>
      <c r="AK170" s="635">
        <f>PRIX!D171</f>
        <v>2.3</v>
      </c>
      <c r="AL170" s="635">
        <f>PRIX!E171</f>
        <v>200</v>
      </c>
      <c r="AM170" s="635">
        <f>PRIX!F171</f>
        <v>415</v>
      </c>
      <c r="AN170" s="635">
        <f>PRIX!G171</f>
        <v>0.4</v>
      </c>
      <c r="AO170" s="635">
        <f>PRIX!H171</f>
        <v>20</v>
      </c>
      <c r="AP170" s="635">
        <f>PRIX!I171</f>
        <v>0.211</v>
      </c>
      <c r="AQ170" s="635">
        <f>PRIX!J171</f>
        <v>0.0000011</v>
      </c>
      <c r="AR170" s="635">
        <f>PRIX!K171</f>
        <v>3.5</v>
      </c>
      <c r="AS170" s="635">
        <f>PRIX!L171</f>
        <v>0.38</v>
      </c>
      <c r="AT170" s="635">
        <f>PRIX!M171</f>
        <v>255</v>
      </c>
      <c r="AU170" s="635">
        <f>PRIX!N171</f>
        <v>0.0036</v>
      </c>
      <c r="AV170" s="635">
        <f>PRIX!O171</f>
        <v>3.9</v>
      </c>
      <c r="AW170" s="635">
        <f>PRIX!P171</f>
        <v>0.0012</v>
      </c>
      <c r="AX170" s="635">
        <f>PRIX!Q171</f>
        <v>0.0000076</v>
      </c>
      <c r="AY170" s="635">
        <f>PRIX!R171</f>
        <v>0.56</v>
      </c>
      <c r="AZ170" s="635">
        <f>PRIX!S171</f>
        <v>2</v>
      </c>
      <c r="BA170" s="623"/>
    </row>
    <row r="171">
      <c r="A171" s="621">
        <f>ARBITRAGES!E172</f>
        <v>45945</v>
      </c>
      <c r="B171" s="623" t="str">
        <f>IF(A171="","",IF(ARBITRAGES!F172="Invest","Achat","Vente"))</f>
        <v>Vente</v>
      </c>
      <c r="C171" s="623" t="str">
        <f>ARBITRAGES!H172</f>
        <v>TAO</v>
      </c>
      <c r="D171" s="624">
        <f>ARBITRAGES!I172</f>
        <v>445</v>
      </c>
      <c r="E171" s="624">
        <f>ARBITRAGES!J172</f>
        <v>222.5</v>
      </c>
      <c r="F171" s="623"/>
      <c r="G171" s="621">
        <f>'PV (%)'!B173</f>
        <v>45974</v>
      </c>
      <c r="H171" s="624">
        <f>'PV (%)'!E173</f>
        <v>58282.81146</v>
      </c>
      <c r="I171" s="624">
        <f>'PV (%)'!F173</f>
        <v>45724.50509</v>
      </c>
      <c r="J171" s="626">
        <f>'PV (%)'!G173</f>
        <v>53100.54934</v>
      </c>
      <c r="K171" s="623"/>
      <c r="L171" s="621">
        <f>Exposition!A172</f>
        <v>45949</v>
      </c>
      <c r="M171" s="625">
        <f>Exposition!B172</f>
        <v>0.768214408</v>
      </c>
      <c r="N171" s="625">
        <f>Exposition!C172</f>
        <v>0.3780609997</v>
      </c>
      <c r="O171" s="625">
        <f>Exposition!D172</f>
        <v>0.1414845262</v>
      </c>
      <c r="P171" s="625">
        <f>Exposition!E172</f>
        <v>0.009340594437</v>
      </c>
      <c r="Q171" s="625">
        <f>Exposition!F172</f>
        <v>0.05764977954</v>
      </c>
      <c r="R171" s="625">
        <f>Exposition!G172</f>
        <v>0.08813485241</v>
      </c>
      <c r="S171" s="625">
        <f>Exposition!H172</f>
        <v>0</v>
      </c>
      <c r="T171" s="625">
        <f>Exposition!I172</f>
        <v>0.027295305</v>
      </c>
      <c r="U171" s="625">
        <f>Exposition!J172</f>
        <v>0.01667655665</v>
      </c>
      <c r="V171" s="625">
        <f>Exposition!K172</f>
        <v>0.003451497291</v>
      </c>
      <c r="W171" s="625">
        <f>Exposition!L172</f>
        <v>0.006417834164</v>
      </c>
      <c r="X171" s="625">
        <f>Exposition!M172</f>
        <v>0</v>
      </c>
      <c r="Y171" s="625">
        <f>Exposition!N172</f>
        <v>0.03001070866</v>
      </c>
      <c r="Z171" s="625">
        <f>Exposition!O172</f>
        <v>0</v>
      </c>
      <c r="AA171" s="625">
        <f>Exposition!P172</f>
        <v>0.006846547003</v>
      </c>
      <c r="AB171" s="625">
        <f>Exposition!Q172</f>
        <v>0.0000000005355226783</v>
      </c>
      <c r="AC171" s="625">
        <f>Exposition!R172</f>
        <v>0.002845206322</v>
      </c>
      <c r="AD171" s="625">
        <f>Exposition!S172</f>
        <v>0</v>
      </c>
      <c r="AE171" s="625">
        <f>Exposition!T172</f>
        <v>0</v>
      </c>
      <c r="AF171" s="625">
        <f>Exposition!U172</f>
        <v>0.231785592</v>
      </c>
      <c r="AG171" s="623"/>
      <c r="AH171" s="621">
        <f>PRIX!A172</f>
        <v>45945</v>
      </c>
      <c r="AI171" s="635">
        <f>PRIX!B172</f>
        <v>111111</v>
      </c>
      <c r="AJ171" s="635">
        <f>PRIX!C172</f>
        <v>4000</v>
      </c>
      <c r="AK171" s="635">
        <f>PRIX!D172</f>
        <v>2.25</v>
      </c>
      <c r="AL171" s="635">
        <f>PRIX!E172</f>
        <v>200</v>
      </c>
      <c r="AM171" s="635">
        <f>PRIX!F172</f>
        <v>400</v>
      </c>
      <c r="AN171" s="635">
        <f>PRIX!G172</f>
        <v>0.4</v>
      </c>
      <c r="AO171" s="635">
        <f>PRIX!H172</f>
        <v>18.21</v>
      </c>
      <c r="AP171" s="635">
        <f>PRIX!I172</f>
        <v>0.2</v>
      </c>
      <c r="AQ171" s="635">
        <f>PRIX!J172</f>
        <v>0.00001</v>
      </c>
      <c r="AR171" s="635">
        <f>PRIX!K172</f>
        <v>3.4</v>
      </c>
      <c r="AS171" s="635">
        <f>PRIX!L172</f>
        <v>0.36</v>
      </c>
      <c r="AT171" s="635">
        <f>PRIX!M172</f>
        <v>245</v>
      </c>
      <c r="AU171" s="635">
        <f>PRIX!N172</f>
        <v>0.0034</v>
      </c>
      <c r="AV171" s="635">
        <f>PRIX!O172</f>
        <v>3.35</v>
      </c>
      <c r="AW171" s="635">
        <f>PRIX!P172</f>
        <v>0.00113</v>
      </c>
      <c r="AX171" s="635">
        <f>PRIX!Q172</f>
        <v>0.000007</v>
      </c>
      <c r="AY171" s="635">
        <f>PRIX!R172</f>
        <v>0.55</v>
      </c>
      <c r="AZ171" s="635">
        <f>PRIX!S172</f>
        <v>1.95</v>
      </c>
      <c r="BA171" s="623"/>
    </row>
    <row r="172">
      <c r="A172" s="621">
        <f>ARBITRAGES!E173</f>
        <v>45949</v>
      </c>
      <c r="B172" s="623" t="str">
        <f>IF(A172="","",IF(ARBITRAGES!F173="Invest","Achat","Vente"))</f>
        <v>Vente</v>
      </c>
      <c r="C172" s="623" t="str">
        <f>ARBITRAGES!H173</f>
        <v>TAO</v>
      </c>
      <c r="D172" s="624">
        <f>ARBITRAGES!I173</f>
        <v>450</v>
      </c>
      <c r="E172" s="624">
        <f>ARBITRAGES!J173</f>
        <v>225</v>
      </c>
      <c r="F172" s="623"/>
      <c r="G172" s="621">
        <f>'PV (%)'!B174</f>
        <v>45974</v>
      </c>
      <c r="H172" s="624">
        <f>'PV (%)'!E174</f>
        <v>57985.45018</v>
      </c>
      <c r="I172" s="624">
        <f>'PV (%)'!F174</f>
        <v>45330.80545</v>
      </c>
      <c r="J172" s="626">
        <f>'PV (%)'!G174</f>
        <v>52763.48738</v>
      </c>
      <c r="K172" s="623"/>
      <c r="L172" s="621">
        <f>Exposition!A173</f>
        <v>45950</v>
      </c>
      <c r="M172" s="625">
        <f>Exposition!B173</f>
        <v>0.764371795</v>
      </c>
      <c r="N172" s="625">
        <f>Exposition!C173</f>
        <v>0.3780546356</v>
      </c>
      <c r="O172" s="625">
        <f>Exposition!D173</f>
        <v>0.1414821445</v>
      </c>
      <c r="P172" s="625">
        <f>Exposition!E173</f>
        <v>0.0093404372</v>
      </c>
      <c r="Q172" s="625">
        <f>Exposition!F173</f>
        <v>0.05764880908</v>
      </c>
      <c r="R172" s="625">
        <f>Exposition!G173</f>
        <v>0.08430368772</v>
      </c>
      <c r="S172" s="625">
        <f>Exposition!H173</f>
        <v>0</v>
      </c>
      <c r="T172" s="625">
        <f>Exposition!I173</f>
        <v>0.02729484552</v>
      </c>
      <c r="U172" s="625">
        <f>Exposition!J173</f>
        <v>0.01667627592</v>
      </c>
      <c r="V172" s="625">
        <f>Exposition!K173</f>
        <v>0.003451439189</v>
      </c>
      <c r="W172" s="625">
        <f>Exposition!L173</f>
        <v>0.006417726127</v>
      </c>
      <c r="X172" s="625">
        <f>Exposition!M173</f>
        <v>0</v>
      </c>
      <c r="Y172" s="625">
        <f>Exposition!N173</f>
        <v>0.03001020347</v>
      </c>
      <c r="Z172" s="625">
        <f>Exposition!O173</f>
        <v>0</v>
      </c>
      <c r="AA172" s="625">
        <f>Exposition!P173</f>
        <v>0.00684643175</v>
      </c>
      <c r="AB172" s="625">
        <f>Exposition!Q173</f>
        <v>0.0000000005355136634</v>
      </c>
      <c r="AC172" s="625">
        <f>Exposition!R173</f>
        <v>0.002845158427</v>
      </c>
      <c r="AD172" s="625">
        <f>Exposition!S173</f>
        <v>0</v>
      </c>
      <c r="AE172" s="625">
        <f>Exposition!T173</f>
        <v>0</v>
      </c>
      <c r="AF172" s="625">
        <f>Exposition!U173</f>
        <v>0.235628205</v>
      </c>
      <c r="AG172" s="623"/>
      <c r="AH172" s="621">
        <f>PRIX!A173</f>
        <v>45949</v>
      </c>
      <c r="AI172" s="635">
        <f>PRIX!B173</f>
        <v>111500</v>
      </c>
      <c r="AJ172" s="635">
        <f>PRIX!C173</f>
        <v>4070</v>
      </c>
      <c r="AK172" s="635">
        <f>PRIX!D173</f>
        <v>2.25</v>
      </c>
      <c r="AL172" s="635">
        <f>PRIX!E173</f>
        <v>195</v>
      </c>
      <c r="AM172" s="635">
        <f>PRIX!F173</f>
        <v>455</v>
      </c>
      <c r="AN172" s="635">
        <f>PRIX!G173</f>
        <v>0.39</v>
      </c>
      <c r="AO172" s="635">
        <f>PRIX!H173</f>
        <v>18</v>
      </c>
      <c r="AP172" s="635">
        <f>PRIX!I173</f>
        <v>0.201</v>
      </c>
      <c r="AQ172" s="635">
        <f>PRIX!J173</f>
        <v>0.00001</v>
      </c>
      <c r="AR172" s="635">
        <f>PRIX!K173</f>
        <v>3</v>
      </c>
      <c r="AS172" s="635">
        <f>PRIX!L173</f>
        <v>0.36</v>
      </c>
      <c r="AT172" s="635">
        <f>PRIX!M173</f>
        <v>230</v>
      </c>
      <c r="AU172" s="635">
        <f>PRIX!N173</f>
        <v>0.0034</v>
      </c>
      <c r="AV172" s="635">
        <f>PRIX!O173</f>
        <v>3.26</v>
      </c>
      <c r="AW172" s="635">
        <f>PRIX!P173</f>
        <v>0.0011</v>
      </c>
      <c r="AX172" s="635">
        <f>PRIX!Q173</f>
        <v>0.000007</v>
      </c>
      <c r="AY172" s="635">
        <f>PRIX!R173</f>
        <v>0.55</v>
      </c>
      <c r="AZ172" s="635">
        <f>PRIX!S173</f>
        <v>1.95</v>
      </c>
      <c r="BA172" s="623"/>
    </row>
    <row r="173">
      <c r="A173" s="621">
        <f>ARBITRAGES!E174</f>
        <v>45950</v>
      </c>
      <c r="B173" s="623" t="str">
        <f>IF(A173="","",IF(ARBITRAGES!F174="Invest","Achat","Vente"))</f>
        <v>Vente</v>
      </c>
      <c r="C173" s="623" t="str">
        <f>ARBITRAGES!H174</f>
        <v>TAO</v>
      </c>
      <c r="D173" s="624">
        <f>ARBITRAGES!I174</f>
        <v>457</v>
      </c>
      <c r="E173" s="624">
        <f>ARBITRAGES!J174</f>
        <v>228.5</v>
      </c>
      <c r="F173" s="623"/>
      <c r="G173" s="621">
        <f>'PV (%)'!B175</f>
        <v>45974</v>
      </c>
      <c r="H173" s="624">
        <f>'PV (%)'!E175</f>
        <v>57985.45018</v>
      </c>
      <c r="I173" s="624">
        <f>'PV (%)'!F175</f>
        <v>45330.80545</v>
      </c>
      <c r="J173" s="626">
        <f>'PV (%)'!G175</f>
        <v>52763.48738</v>
      </c>
      <c r="K173" s="623"/>
      <c r="L173" s="621">
        <f>Exposition!A174</f>
        <v>45952</v>
      </c>
      <c r="M173" s="625">
        <f>Exposition!B174</f>
        <v>0.7454168432</v>
      </c>
      <c r="N173" s="625">
        <f>Exposition!C174</f>
        <v>0.3809400955</v>
      </c>
      <c r="O173" s="625">
        <f>Exposition!D174</f>
        <v>0.1389689191</v>
      </c>
      <c r="P173" s="625">
        <f>Exposition!E174</f>
        <v>0.00000005224783305</v>
      </c>
      <c r="Q173" s="625">
        <f>Exposition!F174</f>
        <v>0.05679069484</v>
      </c>
      <c r="R173" s="625">
        <f>Exposition!G174</f>
        <v>0.07503251578</v>
      </c>
      <c r="S173" s="625">
        <f>Exposition!H174</f>
        <v>0</v>
      </c>
      <c r="T173" s="625">
        <f>Exposition!I174</f>
        <v>0.02771216963</v>
      </c>
      <c r="U173" s="625">
        <f>Exposition!J174</f>
        <v>0.0165407032</v>
      </c>
      <c r="V173" s="625">
        <f>Exposition!K174</f>
        <v>0.003583851049</v>
      </c>
      <c r="W173" s="625">
        <f>Exposition!L174</f>
        <v>0.006108609235</v>
      </c>
      <c r="X173" s="625">
        <f>Exposition!M174</f>
        <v>0</v>
      </c>
      <c r="Y173" s="625">
        <f>Exposition!N174</f>
        <v>0.02980667348</v>
      </c>
      <c r="Z173" s="625">
        <f>Exposition!O174</f>
        <v>0</v>
      </c>
      <c r="AA173" s="625">
        <f>Exposition!P174</f>
        <v>0.006978247791</v>
      </c>
      <c r="AB173" s="625">
        <f>Exposition!Q174</f>
        <v>0.0000000005055074918</v>
      </c>
      <c r="AC173" s="625">
        <f>Exposition!R174</f>
        <v>0.002954310783</v>
      </c>
      <c r="AD173" s="625">
        <f>Exposition!S174</f>
        <v>0</v>
      </c>
      <c r="AE173" s="625">
        <f>Exposition!T174</f>
        <v>0</v>
      </c>
      <c r="AF173" s="625">
        <f>Exposition!U174</f>
        <v>0.2545831568</v>
      </c>
      <c r="AG173" s="623"/>
      <c r="AH173" s="621">
        <f>PRIX!A174</f>
        <v>45950</v>
      </c>
      <c r="AI173" s="635">
        <f>PRIX!B174</f>
        <v>111500</v>
      </c>
      <c r="AJ173" s="635">
        <f>PRIX!C174</f>
        <v>4070</v>
      </c>
      <c r="AK173" s="635">
        <f>PRIX!D174</f>
        <v>2.25</v>
      </c>
      <c r="AL173" s="635">
        <f>PRIX!E174</f>
        <v>195</v>
      </c>
      <c r="AM173" s="635">
        <f>PRIX!F174</f>
        <v>455</v>
      </c>
      <c r="AN173" s="635">
        <f>PRIX!G174</f>
        <v>0.39</v>
      </c>
      <c r="AO173" s="635">
        <f>PRIX!H174</f>
        <v>18</v>
      </c>
      <c r="AP173" s="635">
        <f>PRIX!I174</f>
        <v>0.201</v>
      </c>
      <c r="AQ173" s="635">
        <f>PRIX!J174</f>
        <v>0.00001</v>
      </c>
      <c r="AR173" s="635">
        <f>PRIX!K174</f>
        <v>3</v>
      </c>
      <c r="AS173" s="635">
        <f>PRIX!L174</f>
        <v>0.36</v>
      </c>
      <c r="AT173" s="635">
        <f>PRIX!M174</f>
        <v>230</v>
      </c>
      <c r="AU173" s="635">
        <f>PRIX!N174</f>
        <v>0.0034</v>
      </c>
      <c r="AV173" s="635">
        <f>PRIX!O174</f>
        <v>3.26</v>
      </c>
      <c r="AW173" s="635">
        <f>PRIX!P174</f>
        <v>0.0011</v>
      </c>
      <c r="AX173" s="635">
        <f>PRIX!Q174</f>
        <v>0.000007</v>
      </c>
      <c r="AY173" s="635">
        <f>PRIX!R174</f>
        <v>0.55</v>
      </c>
      <c r="AZ173" s="635">
        <f>PRIX!S174</f>
        <v>1.95</v>
      </c>
      <c r="BA173" s="623"/>
    </row>
    <row r="174">
      <c r="A174" s="621">
        <f>ARBITRAGES!E175</f>
        <v>45952</v>
      </c>
      <c r="B174" s="623" t="str">
        <f>IF(A174="","",IF(ARBITRAGES!F175="Invest","Achat","Vente"))</f>
        <v>Vente</v>
      </c>
      <c r="C174" s="623" t="str">
        <f>ARBITRAGES!H175</f>
        <v>TON</v>
      </c>
      <c r="D174" s="624">
        <f>ARBITRAGES!I175</f>
        <v>2.3</v>
      </c>
      <c r="E174" s="624">
        <f>ARBITRAGES!J175</f>
        <v>567.2478978</v>
      </c>
      <c r="F174" s="623"/>
      <c r="G174" s="621">
        <f>'PV (%)'!B176</f>
        <v>45974</v>
      </c>
      <c r="H174" s="624">
        <f>'PV (%)'!E176</f>
        <v>57985.45018</v>
      </c>
      <c r="I174" s="624">
        <f>'PV (%)'!F176</f>
        <v>45330.80545</v>
      </c>
      <c r="J174" s="626">
        <f>'PV (%)'!G176</f>
        <v>52773.85007</v>
      </c>
      <c r="K174" s="623"/>
      <c r="L174" s="621">
        <f>Exposition!A175</f>
        <v>45953</v>
      </c>
      <c r="M174" s="625">
        <f>Exposition!B175</f>
        <v>0.7455722295</v>
      </c>
      <c r="N174" s="625">
        <f>Exposition!C175</f>
        <v>0.3843403972</v>
      </c>
      <c r="O174" s="625">
        <f>Exposition!D175</f>
        <v>0.1390739816</v>
      </c>
      <c r="P174" s="625">
        <f>Exposition!E175</f>
        <v>0.00000005281737765</v>
      </c>
      <c r="Q174" s="625">
        <f>Exposition!F175</f>
        <v>0.05792461452</v>
      </c>
      <c r="R174" s="625">
        <f>Exposition!G175</f>
        <v>0.07317621833</v>
      </c>
      <c r="S174" s="625">
        <f>Exposition!H175</f>
        <v>0</v>
      </c>
      <c r="T174" s="625">
        <f>Exposition!I175</f>
        <v>0.02753312195</v>
      </c>
      <c r="U174" s="625">
        <f>Exposition!J175</f>
        <v>0.01659631551</v>
      </c>
      <c r="V174" s="625">
        <f>Exposition!K175</f>
        <v>0.003540578945</v>
      </c>
      <c r="W174" s="625">
        <f>Exposition!L175</f>
        <v>0.005815403528</v>
      </c>
      <c r="X174" s="625">
        <f>Exposition!M175</f>
        <v>0</v>
      </c>
      <c r="Y174" s="625">
        <f>Exposition!N175</f>
        <v>0.03078527209</v>
      </c>
      <c r="Z174" s="625">
        <f>Exposition!O175</f>
        <v>0</v>
      </c>
      <c r="AA174" s="625">
        <f>Exposition!P175</f>
        <v>0.00678627248</v>
      </c>
      <c r="AB174" s="625">
        <f>Exposition!Q175</f>
        <v>0.0000000004994038976</v>
      </c>
      <c r="AC174" s="625">
        <f>Exposition!R175</f>
        <v>0</v>
      </c>
      <c r="AD174" s="625">
        <f>Exposition!S175</f>
        <v>0</v>
      </c>
      <c r="AE174" s="625">
        <f>Exposition!T175</f>
        <v>0</v>
      </c>
      <c r="AF174" s="625">
        <f>Exposition!U175</f>
        <v>0.2544277705</v>
      </c>
      <c r="AG174" s="623"/>
      <c r="AH174" s="621">
        <f>PRIX!A175</f>
        <v>45952</v>
      </c>
      <c r="AI174" s="635">
        <f>PRIX!B175</f>
        <v>108200</v>
      </c>
      <c r="AJ174" s="635">
        <f>PRIX!C175</f>
        <v>3850</v>
      </c>
      <c r="AK174" s="635">
        <f>PRIX!D175</f>
        <v>2.15</v>
      </c>
      <c r="AL174" s="635">
        <f>PRIX!E175</f>
        <v>185</v>
      </c>
      <c r="AM174" s="635">
        <f>PRIX!F175</f>
        <v>390</v>
      </c>
      <c r="AN174" s="635">
        <f>PRIX!G175</f>
        <v>0.37</v>
      </c>
      <c r="AO174" s="635">
        <f>PRIX!H175</f>
        <v>17.6</v>
      </c>
      <c r="AP174" s="635">
        <f>PRIX!I175</f>
        <v>0.192</v>
      </c>
      <c r="AQ174" s="635">
        <f>PRIX!J175</f>
        <v>0.00001</v>
      </c>
      <c r="AR174" s="635">
        <f>PRIX!K175</f>
        <v>2.75</v>
      </c>
      <c r="AS174" s="635">
        <f>PRIX!L175</f>
        <v>0.35</v>
      </c>
      <c r="AT174" s="635">
        <f>PRIX!M175</f>
        <v>220</v>
      </c>
      <c r="AU174" s="635">
        <f>PRIX!N175</f>
        <v>0.0033</v>
      </c>
      <c r="AV174" s="635">
        <f>PRIX!O175</f>
        <v>3.2</v>
      </c>
      <c r="AW174" s="635">
        <f>PRIX!P175</f>
        <v>0.001</v>
      </c>
      <c r="AX174" s="635">
        <f>PRIX!Q175</f>
        <v>0.000007</v>
      </c>
      <c r="AY174" s="635">
        <f>PRIX!R175</f>
        <v>0.51</v>
      </c>
      <c r="AZ174" s="635">
        <f>PRIX!S175</f>
        <v>1.77</v>
      </c>
      <c r="BA174" s="623"/>
    </row>
    <row r="175">
      <c r="A175" s="621">
        <f>ARBITRAGES!E176</f>
        <v>45953</v>
      </c>
      <c r="B175" s="623" t="str">
        <f>IF(A175="","",IF(ARBITRAGES!F176="Invest","Achat","Vente"))</f>
        <v>Vente</v>
      </c>
      <c r="C175" s="623" t="str">
        <f>ARBITRAGES!H176</f>
        <v>PEPE</v>
      </c>
      <c r="D175" s="624">
        <f>ARBITRAGES!I176</f>
        <v>0.000007</v>
      </c>
      <c r="E175" s="624">
        <f>ARBITRAGES!J176</f>
        <v>169.0068699</v>
      </c>
      <c r="F175" s="623"/>
      <c r="G175" s="621">
        <f>'PV (%)'!B177</f>
        <v>45974</v>
      </c>
      <c r="H175" s="624">
        <f>'PV (%)'!E177</f>
        <v>57985.45018</v>
      </c>
      <c r="I175" s="624">
        <f>'PV (%)'!F177</f>
        <v>45330.80545</v>
      </c>
      <c r="J175" s="626">
        <f>'PV (%)'!G177</f>
        <v>52789.47507</v>
      </c>
      <c r="K175" s="623"/>
      <c r="L175" s="621">
        <f>Exposition!A176</f>
        <v>45957</v>
      </c>
      <c r="M175" s="625">
        <f>Exposition!B176</f>
        <v>0.7362865893</v>
      </c>
      <c r="N175" s="625">
        <f>Exposition!C176</f>
        <v>0.3640056684</v>
      </c>
      <c r="O175" s="625">
        <f>Exposition!D176</f>
        <v>0.1423291236</v>
      </c>
      <c r="P175" s="625">
        <f>Exposition!E176</f>
        <v>0.00000005264454764</v>
      </c>
      <c r="Q175" s="625">
        <f>Exposition!F176</f>
        <v>0.05833432512</v>
      </c>
      <c r="R175" s="625">
        <f>Exposition!G176</f>
        <v>0.08225951473</v>
      </c>
      <c r="S175" s="625">
        <f>Exposition!H176</f>
        <v>0</v>
      </c>
      <c r="T175" s="625">
        <f>Exposition!I176</f>
        <v>0.02767695563</v>
      </c>
      <c r="U175" s="625">
        <f>Exposition!J176</f>
        <v>0.01596158738</v>
      </c>
      <c r="V175" s="625">
        <f>Exposition!K176</f>
        <v>0.00357542752</v>
      </c>
      <c r="W175" s="625">
        <f>Exposition!L176</f>
        <v>0.005698520866</v>
      </c>
      <c r="X175" s="625">
        <f>Exposition!M176</f>
        <v>0</v>
      </c>
      <c r="Y175" s="625">
        <f>Exposition!N176</f>
        <v>0.02960788556</v>
      </c>
      <c r="Z175" s="625">
        <f>Exposition!O176</f>
        <v>0</v>
      </c>
      <c r="AA175" s="625">
        <f>Exposition!P176</f>
        <v>0.006837527349</v>
      </c>
      <c r="AB175" s="625">
        <f>Exposition!Q176</f>
        <v>0.0000000005283345473</v>
      </c>
      <c r="AC175" s="625">
        <f>Exposition!R176</f>
        <v>0</v>
      </c>
      <c r="AD175" s="625">
        <f>Exposition!S176</f>
        <v>0</v>
      </c>
      <c r="AE175" s="625">
        <f>Exposition!T176</f>
        <v>0</v>
      </c>
      <c r="AF175" s="625">
        <f>Exposition!U176</f>
        <v>0.2637134107</v>
      </c>
      <c r="AG175" s="623"/>
      <c r="AH175" s="621">
        <f>PRIX!A176</f>
        <v>45953</v>
      </c>
      <c r="AI175" s="635">
        <f>PRIX!B176</f>
        <v>110500</v>
      </c>
      <c r="AJ175" s="635">
        <f>PRIX!C176</f>
        <v>3900</v>
      </c>
      <c r="AK175" s="635">
        <f>PRIX!D176</f>
        <v>2.2</v>
      </c>
      <c r="AL175" s="635">
        <f>PRIX!E176</f>
        <v>191</v>
      </c>
      <c r="AM175" s="635">
        <f>PRIX!F176</f>
        <v>385</v>
      </c>
      <c r="AN175" s="635">
        <f>PRIX!G176</f>
        <v>0.375</v>
      </c>
      <c r="AO175" s="635">
        <f>PRIX!H176</f>
        <v>17.7</v>
      </c>
      <c r="AP175" s="635">
        <f>PRIX!I176</f>
        <v>0.195</v>
      </c>
      <c r="AQ175" s="635">
        <f>PRIX!J176</f>
        <v>0.00001</v>
      </c>
      <c r="AR175" s="635">
        <f>PRIX!K176</f>
        <v>2.65</v>
      </c>
      <c r="AS175" s="635">
        <f>PRIX!L176</f>
        <v>0.37</v>
      </c>
      <c r="AT175" s="635">
        <f>PRIX!M176</f>
        <v>230</v>
      </c>
      <c r="AU175" s="635">
        <f>PRIX!N176</f>
        <v>0.0032</v>
      </c>
      <c r="AV175" s="635">
        <f>PRIX!O176</f>
        <v>3.15</v>
      </c>
      <c r="AW175" s="635">
        <f>PRIX!P176</f>
        <v>0.001</v>
      </c>
      <c r="AX175" s="635">
        <f>PRIX!Q176</f>
        <v>0.000007</v>
      </c>
      <c r="AY175" s="635">
        <f>PRIX!R176</f>
        <v>0.53</v>
      </c>
      <c r="AZ175" s="635">
        <f>PRIX!S176</f>
        <v>1.78</v>
      </c>
      <c r="BA175" s="623"/>
    </row>
    <row r="176">
      <c r="A176" s="621">
        <f>ARBITRAGES!E177</f>
        <v>45957</v>
      </c>
      <c r="B176" s="623" t="str">
        <f>IF(A176="","",IF(ARBITRAGES!F177="Invest","Achat","Vente"))</f>
        <v>Vente</v>
      </c>
      <c r="C176" s="623" t="str">
        <f>ARBITRAGES!H177</f>
        <v>BTC</v>
      </c>
      <c r="D176" s="624">
        <f>ARBITRAGES!I177</f>
        <v>114500</v>
      </c>
      <c r="E176" s="624">
        <f>ARBITRAGES!J177</f>
        <v>1145</v>
      </c>
      <c r="F176" s="623"/>
      <c r="G176" s="621">
        <f>'PV (%)'!B178</f>
        <v>45974</v>
      </c>
      <c r="H176" s="624">
        <f>'PV (%)'!E178</f>
        <v>57093.36633</v>
      </c>
      <c r="I176" s="624">
        <f>'PV (%)'!F178</f>
        <v>44465.08929</v>
      </c>
      <c r="J176" s="626">
        <f>'PV (%)'!G178</f>
        <v>52016.56799</v>
      </c>
      <c r="K176" s="623"/>
      <c r="L176" s="621">
        <f>Exposition!A177</f>
        <v>45957</v>
      </c>
      <c r="M176" s="625">
        <f>Exposition!B177</f>
        <v>0.7225618775</v>
      </c>
      <c r="N176" s="625">
        <f>Exposition!C177</f>
        <v>0.3640358981</v>
      </c>
      <c r="O176" s="625">
        <f>Exposition!D177</f>
        <v>0.1285550851</v>
      </c>
      <c r="P176" s="625">
        <f>Exposition!E177</f>
        <v>0.00000005264891963</v>
      </c>
      <c r="Q176" s="625">
        <f>Exposition!F177</f>
        <v>0.05833916963</v>
      </c>
      <c r="R176" s="625">
        <f>Exposition!G177</f>
        <v>0.08226634616</v>
      </c>
      <c r="S176" s="625">
        <f>Exposition!H177</f>
        <v>0</v>
      </c>
      <c r="T176" s="625">
        <f>Exposition!I177</f>
        <v>0.02767925413</v>
      </c>
      <c r="U176" s="625">
        <f>Exposition!J177</f>
        <v>0.01596291294</v>
      </c>
      <c r="V176" s="625">
        <f>Exposition!K177</f>
        <v>0.00357572445</v>
      </c>
      <c r="W176" s="625">
        <f>Exposition!L177</f>
        <v>0.005698994113</v>
      </c>
      <c r="X176" s="625">
        <f>Exposition!M177</f>
        <v>0</v>
      </c>
      <c r="Y176" s="625">
        <f>Exposition!N177</f>
        <v>0.02961034442</v>
      </c>
      <c r="Z176" s="625">
        <f>Exposition!O177</f>
        <v>0</v>
      </c>
      <c r="AA176" s="625">
        <f>Exposition!P177</f>
        <v>0.006838095188</v>
      </c>
      <c r="AB176" s="625">
        <f>Exposition!Q177</f>
        <v>0.0000000005283784241</v>
      </c>
      <c r="AC176" s="625">
        <f>Exposition!R177</f>
        <v>0</v>
      </c>
      <c r="AD176" s="625">
        <f>Exposition!S177</f>
        <v>0</v>
      </c>
      <c r="AE176" s="625">
        <f>Exposition!T177</f>
        <v>0</v>
      </c>
      <c r="AF176" s="625">
        <f>Exposition!U177</f>
        <v>0.2774381225</v>
      </c>
      <c r="AG176" s="623"/>
      <c r="AH176" s="621">
        <f>PRIX!A177</f>
        <v>45957</v>
      </c>
      <c r="AI176" s="635">
        <f>PRIX!B177</f>
        <v>114500</v>
      </c>
      <c r="AJ176" s="635">
        <f>PRIX!C177</f>
        <v>4150</v>
      </c>
      <c r="AK176" s="635">
        <f>PRIX!D177</f>
        <v>2.28</v>
      </c>
      <c r="AL176" s="635">
        <f>PRIX!E177</f>
        <v>200</v>
      </c>
      <c r="AM176" s="635">
        <f>PRIX!F177</f>
        <v>450</v>
      </c>
      <c r="AN176" s="635">
        <f>PRIX!G177</f>
        <v>0.36</v>
      </c>
      <c r="AO176" s="635">
        <f>PRIX!H177</f>
        <v>18.5</v>
      </c>
      <c r="AP176" s="635">
        <f>PRIX!I177</f>
        <v>0.195</v>
      </c>
      <c r="AQ176" s="635">
        <f>PRIX!J177</f>
        <v>0.0000105</v>
      </c>
      <c r="AR176" s="635">
        <f>PRIX!K177</f>
        <v>2.7</v>
      </c>
      <c r="AS176" s="635">
        <f>PRIX!L177</f>
        <v>0.437</v>
      </c>
      <c r="AT176" s="635">
        <f>PRIX!M177</f>
        <v>230</v>
      </c>
      <c r="AU176" s="635">
        <f>PRIX!N177</f>
        <v>5</v>
      </c>
      <c r="AV176" s="635">
        <f>PRIX!O177</f>
        <v>3.3</v>
      </c>
      <c r="AW176" s="635">
        <f>PRIX!P177</f>
        <v>0.0011</v>
      </c>
      <c r="AX176" s="635">
        <f>PRIX!Q177</f>
        <v>0.00000718</v>
      </c>
      <c r="AY176" s="635">
        <f>PRIX!R177</f>
        <v>0.55</v>
      </c>
      <c r="AZ176" s="635">
        <f>PRIX!S177</f>
        <v>1.85</v>
      </c>
      <c r="BA176" s="623"/>
    </row>
    <row r="177">
      <c r="A177" s="621">
        <f>ARBITRAGES!E178</f>
        <v>45957</v>
      </c>
      <c r="B177" s="623" t="str">
        <f>IF(A177="","",IF(ARBITRAGES!F178="Invest","Achat","Vente"))</f>
        <v>Vente</v>
      </c>
      <c r="C177" s="623" t="str">
        <f>ARBITRAGES!H178</f>
        <v>ETH</v>
      </c>
      <c r="D177" s="624">
        <f>ARBITRAGES!I178</f>
        <v>4125</v>
      </c>
      <c r="E177" s="624">
        <f>ARBITRAGES!J178</f>
        <v>825</v>
      </c>
      <c r="F177" s="623"/>
      <c r="G177" s="621">
        <f>'PV (%)'!B179</f>
        <v>45974</v>
      </c>
      <c r="H177" s="624">
        <f>'PV (%)'!E179</f>
        <v>57093.36633</v>
      </c>
      <c r="I177" s="624">
        <f>'PV (%)'!F179</f>
        <v>44465.08929</v>
      </c>
      <c r="J177" s="626">
        <f>'PV (%)'!G179</f>
        <v>52027.09431</v>
      </c>
      <c r="K177" s="623"/>
      <c r="L177" s="621">
        <f>Exposition!A178</f>
        <v>45958</v>
      </c>
      <c r="M177" s="625">
        <f>Exposition!B178</f>
        <v>0.7147357397</v>
      </c>
      <c r="N177" s="625">
        <f>Exposition!C178</f>
        <v>0.3638491589</v>
      </c>
      <c r="O177" s="625">
        <f>Exposition!D178</f>
        <v>0.1284891403</v>
      </c>
      <c r="P177" s="625">
        <f>Exposition!E178</f>
        <v>0.00000005262191235</v>
      </c>
      <c r="Q177" s="625">
        <f>Exposition!F178</f>
        <v>0.05830924343</v>
      </c>
      <c r="R177" s="625">
        <f>Exposition!G178</f>
        <v>0.07476866035</v>
      </c>
      <c r="S177" s="625">
        <f>Exposition!H178</f>
        <v>0</v>
      </c>
      <c r="T177" s="625">
        <f>Exposition!I178</f>
        <v>0.02766505552</v>
      </c>
      <c r="U177" s="625">
        <f>Exposition!J178</f>
        <v>0.01595472446</v>
      </c>
      <c r="V177" s="625">
        <f>Exposition!K178</f>
        <v>0.003573890213</v>
      </c>
      <c r="W177" s="625">
        <f>Exposition!L178</f>
        <v>0.005696070704</v>
      </c>
      <c r="X177" s="625">
        <f>Exposition!M178</f>
        <v>0</v>
      </c>
      <c r="Y177" s="625">
        <f>Exposition!N178</f>
        <v>0.02959515522</v>
      </c>
      <c r="Z177" s="625">
        <f>Exposition!O178</f>
        <v>0</v>
      </c>
      <c r="AA177" s="625">
        <f>Exposition!P178</f>
        <v>0.006834587455</v>
      </c>
      <c r="AB177" s="625">
        <f>Exposition!Q178</f>
        <v>0.0000000005281073822</v>
      </c>
      <c r="AC177" s="625">
        <f>Exposition!R178</f>
        <v>0</v>
      </c>
      <c r="AD177" s="625">
        <f>Exposition!S178</f>
        <v>0</v>
      </c>
      <c r="AE177" s="625">
        <f>Exposition!T178</f>
        <v>0</v>
      </c>
      <c r="AF177" s="625">
        <f>Exposition!U178</f>
        <v>0.2852642603</v>
      </c>
      <c r="AG177" s="623"/>
      <c r="AH177" s="621">
        <f>PRIX!A178</f>
        <v>45957</v>
      </c>
      <c r="AI177" s="635">
        <f>PRIX!B178</f>
        <v>114500</v>
      </c>
      <c r="AJ177" s="635">
        <f>PRIX!C178</f>
        <v>4150</v>
      </c>
      <c r="AK177" s="635">
        <f>PRIX!D178</f>
        <v>2.28</v>
      </c>
      <c r="AL177" s="635">
        <f>PRIX!E178</f>
        <v>200</v>
      </c>
      <c r="AM177" s="635">
        <f>PRIX!F178</f>
        <v>450</v>
      </c>
      <c r="AN177" s="635">
        <f>PRIX!G178</f>
        <v>0.36</v>
      </c>
      <c r="AO177" s="635">
        <f>PRIX!H178</f>
        <v>18.5</v>
      </c>
      <c r="AP177" s="635">
        <f>PRIX!I178</f>
        <v>0.195</v>
      </c>
      <c r="AQ177" s="635">
        <f>PRIX!J178</f>
        <v>0.0000105</v>
      </c>
      <c r="AR177" s="635">
        <f>PRIX!K178</f>
        <v>2.7</v>
      </c>
      <c r="AS177" s="635">
        <f>PRIX!L178</f>
        <v>0.437</v>
      </c>
      <c r="AT177" s="635">
        <f>PRIX!M178</f>
        <v>230</v>
      </c>
      <c r="AU177" s="635">
        <f>PRIX!N178</f>
        <v>5</v>
      </c>
      <c r="AV177" s="635">
        <f>PRIX!O178</f>
        <v>3.3</v>
      </c>
      <c r="AW177" s="635">
        <f>PRIX!P178</f>
        <v>0.0011</v>
      </c>
      <c r="AX177" s="635">
        <f>PRIX!Q178</f>
        <v>0.00000718</v>
      </c>
      <c r="AY177" s="635">
        <f>PRIX!R178</f>
        <v>0.55</v>
      </c>
      <c r="AZ177" s="635">
        <f>PRIX!S178</f>
        <v>1.85</v>
      </c>
      <c r="BA177" s="623"/>
    </row>
    <row r="178">
      <c r="A178" s="621">
        <f>ARBITRAGES!E179</f>
        <v>45958</v>
      </c>
      <c r="B178" s="623" t="str">
        <f>IF(A178="","",IF(ARBITRAGES!F179="Invest","Achat","Vente"))</f>
        <v>Vente</v>
      </c>
      <c r="C178" s="623" t="str">
        <f>ARBITRAGES!H179</f>
        <v>TAO</v>
      </c>
      <c r="D178" s="624">
        <f>ARBITRAGES!I179</f>
        <v>450</v>
      </c>
      <c r="E178" s="624">
        <f>ARBITRAGES!J179</f>
        <v>450</v>
      </c>
      <c r="F178" s="623"/>
      <c r="G178" s="621">
        <f>'PV (%)'!B180</f>
        <v>45974</v>
      </c>
      <c r="H178" s="624">
        <f>'PV (%)'!E180</f>
        <v>57985.45018</v>
      </c>
      <c r="I178" s="624">
        <f>'PV (%)'!F180</f>
        <v>45330.80545</v>
      </c>
      <c r="J178" s="626">
        <f>'PV (%)'!G180</f>
        <v>52834.80637</v>
      </c>
      <c r="K178" s="623"/>
      <c r="L178" s="621">
        <f>Exposition!A179</f>
        <v>45960</v>
      </c>
      <c r="M178" s="625">
        <f>Exposition!B179</f>
        <v>0.7003267692</v>
      </c>
      <c r="N178" s="625">
        <f>Exposition!C179</f>
        <v>0.3607807496</v>
      </c>
      <c r="O178" s="625">
        <f>Exposition!D179</f>
        <v>0.1235058199</v>
      </c>
      <c r="P178" s="625">
        <f>Exposition!E179</f>
        <v>0.00000005311519585</v>
      </c>
      <c r="Q178" s="625">
        <f>Exposition!F179</f>
        <v>0.05665855587</v>
      </c>
      <c r="R178" s="625">
        <f>Exposition!G179</f>
        <v>0.07267510342</v>
      </c>
      <c r="S178" s="625">
        <f>Exposition!H179</f>
        <v>0</v>
      </c>
      <c r="T178" s="625">
        <f>Exposition!I179</f>
        <v>0.02676716374</v>
      </c>
      <c r="U178" s="625">
        <f>Exposition!J179</f>
        <v>0.01564951175</v>
      </c>
      <c r="V178" s="625">
        <f>Exposition!K179</f>
        <v>0.003481419819</v>
      </c>
      <c r="W178" s="625">
        <f>Exposition!L179</f>
        <v>0.005286669742</v>
      </c>
      <c r="X178" s="625">
        <f>Exposition!M179</f>
        <v>0</v>
      </c>
      <c r="Y178" s="625">
        <f>Exposition!N179</f>
        <v>0.0289547591</v>
      </c>
      <c r="Z178" s="625">
        <f>Exposition!O179</f>
        <v>0</v>
      </c>
      <c r="AA178" s="625">
        <f>Exposition!P179</f>
        <v>0.00656696268</v>
      </c>
      <c r="AB178" s="625">
        <f>Exposition!Q179</f>
        <v>0.0000000004910594153</v>
      </c>
      <c r="AC178" s="625">
        <f>Exposition!R179</f>
        <v>0</v>
      </c>
      <c r="AD178" s="625">
        <f>Exposition!S179</f>
        <v>0</v>
      </c>
      <c r="AE178" s="625">
        <f>Exposition!T179</f>
        <v>0</v>
      </c>
      <c r="AF178" s="625">
        <f>Exposition!U179</f>
        <v>0.2996732308</v>
      </c>
      <c r="AG178" s="623"/>
      <c r="AH178" s="621">
        <f>PRIX!A179</f>
        <v>45958</v>
      </c>
      <c r="AI178" s="635">
        <f>PRIX!B179</f>
        <v>114500</v>
      </c>
      <c r="AJ178" s="635">
        <f>PRIX!C179</f>
        <v>4150</v>
      </c>
      <c r="AK178" s="635">
        <f>PRIX!D179</f>
        <v>2.28</v>
      </c>
      <c r="AL178" s="635">
        <f>PRIX!E179</f>
        <v>200</v>
      </c>
      <c r="AM178" s="635">
        <f>PRIX!F179</f>
        <v>450</v>
      </c>
      <c r="AN178" s="635">
        <f>PRIX!G179</f>
        <v>0.36</v>
      </c>
      <c r="AO178" s="635">
        <f>PRIX!H179</f>
        <v>18.5</v>
      </c>
      <c r="AP178" s="635">
        <f>PRIX!I179</f>
        <v>0.195</v>
      </c>
      <c r="AQ178" s="635">
        <f>PRIX!J179</f>
        <v>0.0000105</v>
      </c>
      <c r="AR178" s="635">
        <f>PRIX!K179</f>
        <v>2.7</v>
      </c>
      <c r="AS178" s="635">
        <f>PRIX!L179</f>
        <v>0.437</v>
      </c>
      <c r="AT178" s="635">
        <f>PRIX!M179</f>
        <v>230</v>
      </c>
      <c r="AU178" s="635">
        <f>PRIX!N179</f>
        <v>5</v>
      </c>
      <c r="AV178" s="635">
        <f>PRIX!O179</f>
        <v>3.3</v>
      </c>
      <c r="AW178" s="635">
        <f>PRIX!P179</f>
        <v>0.0011</v>
      </c>
      <c r="AX178" s="635">
        <f>PRIX!Q179</f>
        <v>0.00000718</v>
      </c>
      <c r="AY178" s="635">
        <f>PRIX!R179</f>
        <v>0.55</v>
      </c>
      <c r="AZ178" s="635">
        <f>PRIX!S179</f>
        <v>1.85</v>
      </c>
      <c r="BA178" s="623"/>
    </row>
    <row r="179">
      <c r="A179" s="621">
        <f>ARBITRAGES!E180</f>
        <v>45960</v>
      </c>
      <c r="B179" s="623" t="str">
        <f>IF(A179="","",IF(ARBITRAGES!F180="Invest","Achat","Vente"))</f>
        <v>Vente</v>
      </c>
      <c r="C179" s="623" t="str">
        <f>ARBITRAGES!H180</f>
        <v>TAO</v>
      </c>
      <c r="D179" s="624">
        <f>ARBITRAGES!I180</f>
        <v>465</v>
      </c>
      <c r="E179" s="624">
        <f>ARBITRAGES!J180</f>
        <v>465</v>
      </c>
      <c r="F179" s="623"/>
      <c r="G179" s="621">
        <f>'PV (%)'!B181</f>
        <v>45975</v>
      </c>
      <c r="H179" s="624">
        <f>'PV (%)'!E181</f>
        <v>57985.45018</v>
      </c>
      <c r="I179" s="624">
        <f>'PV (%)'!F181</f>
        <v>45330.80545</v>
      </c>
      <c r="J179" s="626">
        <f>'PV (%)'!G181</f>
        <v>52850.13407</v>
      </c>
      <c r="K179" s="623"/>
      <c r="L179" s="621">
        <f>Exposition!A180</f>
        <v>45961</v>
      </c>
      <c r="M179" s="625">
        <f>Exposition!B180</f>
        <v>0.6883212132</v>
      </c>
      <c r="N179" s="625">
        <f>Exposition!C180</f>
        <v>0.3608208797</v>
      </c>
      <c r="O179" s="625">
        <f>Exposition!D180</f>
        <v>0.1235195576</v>
      </c>
      <c r="P179" s="625">
        <f>Exposition!E180</f>
        <v>0.00000005312110392</v>
      </c>
      <c r="Q179" s="625">
        <f>Exposition!F180</f>
        <v>0.05666485807</v>
      </c>
      <c r="R179" s="625">
        <f>Exposition!G180</f>
        <v>0.06059973288</v>
      </c>
      <c r="S179" s="625">
        <f>Exposition!H180</f>
        <v>0</v>
      </c>
      <c r="T179" s="625">
        <f>Exposition!I180</f>
        <v>0.02677014109</v>
      </c>
      <c r="U179" s="625">
        <f>Exposition!J180</f>
        <v>0.01565125247</v>
      </c>
      <c r="V179" s="625">
        <f>Exposition!K180</f>
        <v>0.003481807061</v>
      </c>
      <c r="W179" s="625">
        <f>Exposition!L180</f>
        <v>0.005287257785</v>
      </c>
      <c r="X179" s="625">
        <f>Exposition!M180</f>
        <v>0</v>
      </c>
      <c r="Y179" s="625">
        <f>Exposition!N180</f>
        <v>0.02895797978</v>
      </c>
      <c r="Z179" s="625">
        <f>Exposition!O180</f>
        <v>0</v>
      </c>
      <c r="AA179" s="625">
        <f>Exposition!P180</f>
        <v>0.006567693132</v>
      </c>
      <c r="AB179" s="625">
        <f>Exposition!Q180</f>
        <v>0.0000000004911140364</v>
      </c>
      <c r="AC179" s="625">
        <f>Exposition!R180</f>
        <v>0</v>
      </c>
      <c r="AD179" s="625">
        <f>Exposition!S180</f>
        <v>0</v>
      </c>
      <c r="AE179" s="625">
        <f>Exposition!T180</f>
        <v>0</v>
      </c>
      <c r="AF179" s="625">
        <f>Exposition!U180</f>
        <v>0.3116787868</v>
      </c>
      <c r="AG179" s="623"/>
      <c r="AH179" s="621">
        <f>PRIX!A180</f>
        <v>45960</v>
      </c>
      <c r="AI179" s="635">
        <f>PRIX!B180</f>
        <v>111000</v>
      </c>
      <c r="AJ179" s="635">
        <f>PRIX!C180</f>
        <v>3900</v>
      </c>
      <c r="AK179" s="635">
        <f>PRIX!D180</f>
        <v>2.25</v>
      </c>
      <c r="AL179" s="635">
        <f>PRIX!E180</f>
        <v>190</v>
      </c>
      <c r="AM179" s="635">
        <f>PRIX!F180</f>
        <v>475</v>
      </c>
      <c r="AN179" s="635">
        <f>PRIX!G180</f>
        <v>0.33</v>
      </c>
      <c r="AO179" s="635">
        <f>PRIX!H180</f>
        <v>17.5</v>
      </c>
      <c r="AP179" s="635">
        <f>PRIX!I180</f>
        <v>0.187</v>
      </c>
      <c r="AQ179" s="635">
        <f>PRIX!J180</f>
        <v>0.00001</v>
      </c>
      <c r="AR179" s="635">
        <f>PRIX!K180</f>
        <v>2.45</v>
      </c>
      <c r="AS179" s="635">
        <f>PRIX!L180</f>
        <v>0.405</v>
      </c>
      <c r="AT179" s="635">
        <f>PRIX!M180</f>
        <v>220</v>
      </c>
      <c r="AU179" s="635">
        <f>PRIX!N180</f>
        <v>0.0031</v>
      </c>
      <c r="AV179" s="635">
        <f>PRIX!O180</f>
        <v>3.1</v>
      </c>
      <c r="AW179" s="635">
        <f>PRIX!P180</f>
        <v>0.001</v>
      </c>
      <c r="AX179" s="635">
        <f>PRIX!Q180</f>
        <v>0.0000065</v>
      </c>
      <c r="AY179" s="635">
        <f>PRIX!R180</f>
        <v>0.5</v>
      </c>
      <c r="AZ179" s="635">
        <f>PRIX!S180</f>
        <v>1.7</v>
      </c>
      <c r="BA179" s="623"/>
    </row>
    <row r="180">
      <c r="A180" s="621">
        <f>ARBITRAGES!E181</f>
        <v>45961</v>
      </c>
      <c r="B180" s="623" t="str">
        <f>IF(A180="","",IF(ARBITRAGES!F181="Invest","Achat","Vente"))</f>
        <v>Vente</v>
      </c>
      <c r="C180" s="623" t="str">
        <f>ARBITRAGES!H181</f>
        <v>TAO</v>
      </c>
      <c r="D180" s="624">
        <f>ARBITRAGES!I181</f>
        <v>470</v>
      </c>
      <c r="E180" s="624">
        <f>ARBITRAGES!J181</f>
        <v>705</v>
      </c>
      <c r="F180" s="623"/>
      <c r="G180" s="621">
        <f>'PV (%)'!B182</f>
        <v>45977</v>
      </c>
      <c r="H180" s="624">
        <f>'PV (%)'!E182</f>
        <v>54714.47607</v>
      </c>
      <c r="I180" s="624">
        <f>'PV (%)'!F182</f>
        <v>42532.51251</v>
      </c>
      <c r="J180" s="626">
        <f>'PV (%)'!G182</f>
        <v>50173.95668</v>
      </c>
      <c r="K180" s="623"/>
      <c r="L180" s="621">
        <f>Exposition!A181</f>
        <v>45961</v>
      </c>
      <c r="M180" s="625">
        <f>Exposition!B181</f>
        <v>0.681641725</v>
      </c>
      <c r="N180" s="625">
        <f>Exposition!C181</f>
        <v>0.360692556</v>
      </c>
      <c r="O180" s="625">
        <f>Exposition!D181</f>
        <v>0.1234756286</v>
      </c>
      <c r="P180" s="625">
        <f>Exposition!E181</f>
        <v>0.00000005310221173</v>
      </c>
      <c r="Q180" s="625">
        <f>Exposition!F181</f>
        <v>0.05664470557</v>
      </c>
      <c r="R180" s="625">
        <f>Exposition!G181</f>
        <v>0.05414348992</v>
      </c>
      <c r="S180" s="625">
        <f>Exposition!H181</f>
        <v>0</v>
      </c>
      <c r="T180" s="625">
        <f>Exposition!I181</f>
        <v>0.02676062045</v>
      </c>
      <c r="U180" s="625">
        <f>Exposition!J181</f>
        <v>0.0156456862</v>
      </c>
      <c r="V180" s="625">
        <f>Exposition!K181</f>
        <v>0.003480568778</v>
      </c>
      <c r="W180" s="625">
        <f>Exposition!L181</f>
        <v>0.005285377404</v>
      </c>
      <c r="X180" s="625">
        <f>Exposition!M181</f>
        <v>0</v>
      </c>
      <c r="Y180" s="625">
        <f>Exposition!N181</f>
        <v>0.02894768105</v>
      </c>
      <c r="Z180" s="625">
        <f>Exposition!O181</f>
        <v>0</v>
      </c>
      <c r="AA180" s="625">
        <f>Exposition!P181</f>
        <v>0.006565357373</v>
      </c>
      <c r="AB180" s="625">
        <f>Exposition!Q181</f>
        <v>0.0000000004909393748</v>
      </c>
      <c r="AC180" s="625">
        <f>Exposition!R181</f>
        <v>0</v>
      </c>
      <c r="AD180" s="625">
        <f>Exposition!S181</f>
        <v>0</v>
      </c>
      <c r="AE180" s="625">
        <f>Exposition!T181</f>
        <v>0</v>
      </c>
      <c r="AF180" s="625">
        <f>Exposition!U181</f>
        <v>0.318358275</v>
      </c>
      <c r="AG180" s="623"/>
      <c r="AH180" s="621">
        <f>PRIX!A181</f>
        <v>45961</v>
      </c>
      <c r="AI180" s="635">
        <f>PRIX!B181</f>
        <v>111000</v>
      </c>
      <c r="AJ180" s="635">
        <f>PRIX!C181</f>
        <v>3900</v>
      </c>
      <c r="AK180" s="635">
        <f>PRIX!D181</f>
        <v>2.25</v>
      </c>
      <c r="AL180" s="635">
        <f>PRIX!E181</f>
        <v>190</v>
      </c>
      <c r="AM180" s="635">
        <f>PRIX!F181</f>
        <v>475</v>
      </c>
      <c r="AN180" s="635">
        <f>PRIX!G181</f>
        <v>0.33</v>
      </c>
      <c r="AO180" s="635">
        <f>PRIX!H181</f>
        <v>17.5</v>
      </c>
      <c r="AP180" s="635">
        <f>PRIX!I181</f>
        <v>0.187</v>
      </c>
      <c r="AQ180" s="635">
        <f>PRIX!J181</f>
        <v>0.00001</v>
      </c>
      <c r="AR180" s="635">
        <f>PRIX!K181</f>
        <v>2.45</v>
      </c>
      <c r="AS180" s="635">
        <f>PRIX!L181</f>
        <v>0.405</v>
      </c>
      <c r="AT180" s="635">
        <f>PRIX!M181</f>
        <v>220</v>
      </c>
      <c r="AU180" s="635">
        <f>PRIX!N181</f>
        <v>0.0031</v>
      </c>
      <c r="AV180" s="635">
        <f>PRIX!O181</f>
        <v>3.1</v>
      </c>
      <c r="AW180" s="635">
        <f>PRIX!P181</f>
        <v>0.001</v>
      </c>
      <c r="AX180" s="635">
        <f>PRIX!Q181</f>
        <v>0.0000065</v>
      </c>
      <c r="AY180" s="635">
        <f>PRIX!R181</f>
        <v>0.5</v>
      </c>
      <c r="AZ180" s="635">
        <f>PRIX!S181</f>
        <v>1.7</v>
      </c>
      <c r="BA180" s="623"/>
    </row>
    <row r="181">
      <c r="A181" s="621">
        <f>ARBITRAGES!E182</f>
        <v>45961</v>
      </c>
      <c r="B181" s="623" t="str">
        <f>IF(A181="","",IF(ARBITRAGES!F182="Invest","Achat","Vente"))</f>
        <v>Vente</v>
      </c>
      <c r="C181" s="623" t="str">
        <f>ARBITRAGES!H182</f>
        <v>TAO</v>
      </c>
      <c r="D181" s="624">
        <f>ARBITRAGES!I182</f>
        <v>500</v>
      </c>
      <c r="E181" s="624">
        <f>ARBITRAGES!J182</f>
        <v>400</v>
      </c>
      <c r="F181" s="623"/>
      <c r="G181" s="621">
        <f>'PV (%)'!B183</f>
        <v>45977</v>
      </c>
      <c r="H181" s="624">
        <f>'PV (%)'!E183</f>
        <v>54714.47607</v>
      </c>
      <c r="I181" s="624">
        <f>'PV (%)'!F183</f>
        <v>42532.51251</v>
      </c>
      <c r="J181" s="626">
        <f>'PV (%)'!G183</f>
        <v>50186.95668</v>
      </c>
      <c r="K181" s="623"/>
      <c r="L181" s="621">
        <f>Exposition!A182</f>
        <v>45962</v>
      </c>
      <c r="M181" s="625">
        <f>Exposition!B182</f>
        <v>0.677901923</v>
      </c>
      <c r="N181" s="625">
        <f>Exposition!C182</f>
        <v>0.3566029924</v>
      </c>
      <c r="O181" s="625">
        <f>Exposition!D182</f>
        <v>0.1231854298</v>
      </c>
      <c r="P181" s="625">
        <f>Exposition!E182</f>
        <v>0.00000005415468391</v>
      </c>
      <c r="Q181" s="625">
        <f>Exposition!F182</f>
        <v>0.05502442951</v>
      </c>
      <c r="R181" s="625">
        <f>Exposition!G182</f>
        <v>0.05573784676</v>
      </c>
      <c r="S181" s="625">
        <f>Exposition!H182</f>
        <v>0</v>
      </c>
      <c r="T181" s="625">
        <f>Exposition!I182</f>
        <v>0.02669772626</v>
      </c>
      <c r="U181" s="625">
        <f>Exposition!J182</f>
        <v>0.0156089149</v>
      </c>
      <c r="V181" s="625">
        <f>Exposition!K182</f>
        <v>0.003472388566</v>
      </c>
      <c r="W181" s="625">
        <f>Exposition!L182</f>
        <v>0.005380566773</v>
      </c>
      <c r="X181" s="625">
        <f>Exposition!M182</f>
        <v>0</v>
      </c>
      <c r="Y181" s="625">
        <f>Exposition!N182</f>
        <v>0.02953600233</v>
      </c>
      <c r="Z181" s="625">
        <f>Exposition!O182</f>
        <v>0</v>
      </c>
      <c r="AA181" s="625">
        <f>Exposition!P182</f>
        <v>0.006655571117</v>
      </c>
      <c r="AB181" s="625">
        <f>Exposition!Q182</f>
        <v>0.0000000004897855437</v>
      </c>
      <c r="AC181" s="625">
        <f>Exposition!R182</f>
        <v>0</v>
      </c>
      <c r="AD181" s="625">
        <f>Exposition!S182</f>
        <v>0</v>
      </c>
      <c r="AE181" s="625">
        <f>Exposition!T182</f>
        <v>0</v>
      </c>
      <c r="AF181" s="625">
        <f>Exposition!U182</f>
        <v>0.322098077</v>
      </c>
      <c r="AG181" s="623"/>
      <c r="AH181" s="621">
        <f>PRIX!A182</f>
        <v>45961</v>
      </c>
      <c r="AI181" s="635">
        <f>PRIX!B182</f>
        <v>111000</v>
      </c>
      <c r="AJ181" s="635">
        <f>PRIX!C182</f>
        <v>3900</v>
      </c>
      <c r="AK181" s="635">
        <f>PRIX!D182</f>
        <v>2.25</v>
      </c>
      <c r="AL181" s="635">
        <f>PRIX!E182</f>
        <v>190</v>
      </c>
      <c r="AM181" s="635">
        <f>PRIX!F182</f>
        <v>475</v>
      </c>
      <c r="AN181" s="635">
        <f>PRIX!G182</f>
        <v>0.33</v>
      </c>
      <c r="AO181" s="635">
        <f>PRIX!H182</f>
        <v>17.5</v>
      </c>
      <c r="AP181" s="635">
        <f>PRIX!I182</f>
        <v>0.187</v>
      </c>
      <c r="AQ181" s="635">
        <f>PRIX!J182</f>
        <v>0.00001</v>
      </c>
      <c r="AR181" s="635">
        <f>PRIX!K182</f>
        <v>2.45</v>
      </c>
      <c r="AS181" s="635">
        <f>PRIX!L182</f>
        <v>0.405</v>
      </c>
      <c r="AT181" s="635">
        <f>PRIX!M182</f>
        <v>220</v>
      </c>
      <c r="AU181" s="635">
        <f>PRIX!N182</f>
        <v>0.0031</v>
      </c>
      <c r="AV181" s="635">
        <f>PRIX!O182</f>
        <v>3.1</v>
      </c>
      <c r="AW181" s="635">
        <f>PRIX!P182</f>
        <v>0.001</v>
      </c>
      <c r="AX181" s="635">
        <f>PRIX!Q182</f>
        <v>0.0000065</v>
      </c>
      <c r="AY181" s="635">
        <f>PRIX!R182</f>
        <v>0.5</v>
      </c>
      <c r="AZ181" s="635">
        <f>PRIX!S182</f>
        <v>1.7</v>
      </c>
      <c r="BA181" s="623"/>
    </row>
    <row r="182">
      <c r="A182" s="621">
        <f>ARBITRAGES!E183</f>
        <v>45962</v>
      </c>
      <c r="B182" s="623" t="str">
        <f>IF(A182="","",IF(ARBITRAGES!F183="Invest","Achat","Vente"))</f>
        <v>Vente</v>
      </c>
      <c r="C182" s="623" t="str">
        <f>ARBITRAGES!H183</f>
        <v>TAO</v>
      </c>
      <c r="D182" s="624">
        <f>ARBITRAGES!I183</f>
        <v>530</v>
      </c>
      <c r="E182" s="624">
        <f>ARBITRAGES!J183</f>
        <v>265</v>
      </c>
      <c r="F182" s="623"/>
      <c r="G182" s="621">
        <f>'PV (%)'!B184</f>
        <v>45978</v>
      </c>
      <c r="H182" s="624">
        <f>'PV (%)'!E184</f>
        <v>54714.47607</v>
      </c>
      <c r="I182" s="624">
        <f>'PV (%)'!F184</f>
        <v>42532.51251</v>
      </c>
      <c r="J182" s="626">
        <f>'PV (%)'!G184</f>
        <v>49950.97459</v>
      </c>
      <c r="K182" s="623"/>
      <c r="L182" s="621">
        <f>Exposition!A183</f>
        <v>45963</v>
      </c>
      <c r="M182" s="625">
        <f>Exposition!B183</f>
        <v>0.6743755328</v>
      </c>
      <c r="N182" s="625">
        <f>Exposition!C183</f>
        <v>0.3565744391</v>
      </c>
      <c r="O182" s="625">
        <f>Exposition!D183</f>
        <v>0.1231755663</v>
      </c>
      <c r="P182" s="625">
        <f>Exposition!E183</f>
        <v>0.00000005415034773</v>
      </c>
      <c r="Q182" s="625">
        <f>Exposition!F183</f>
        <v>0.0550200237</v>
      </c>
      <c r="R182" s="625">
        <f>Exposition!G183</f>
        <v>0.05573338382</v>
      </c>
      <c r="S182" s="625">
        <f>Exposition!H183</f>
        <v>0</v>
      </c>
      <c r="T182" s="625">
        <f>Exposition!I183</f>
        <v>0.02669558857</v>
      </c>
      <c r="U182" s="625">
        <f>Exposition!J183</f>
        <v>0.01560766509</v>
      </c>
      <c r="V182" s="625">
        <f>Exposition!K183</f>
        <v>0</v>
      </c>
      <c r="W182" s="625">
        <f>Exposition!L183</f>
        <v>0.00538013595</v>
      </c>
      <c r="X182" s="625">
        <f>Exposition!M183</f>
        <v>0</v>
      </c>
      <c r="Y182" s="625">
        <f>Exposition!N183</f>
        <v>0.02953363737</v>
      </c>
      <c r="Z182" s="625">
        <f>Exposition!O183</f>
        <v>0</v>
      </c>
      <c r="AA182" s="625">
        <f>Exposition!P183</f>
        <v>0.006655038204</v>
      </c>
      <c r="AB182" s="625">
        <f>Exposition!Q183</f>
        <v>0.0000000004897463265</v>
      </c>
      <c r="AC182" s="625">
        <f>Exposition!R183</f>
        <v>0</v>
      </c>
      <c r="AD182" s="625">
        <f>Exposition!S183</f>
        <v>0</v>
      </c>
      <c r="AE182" s="625">
        <f>Exposition!T183</f>
        <v>0</v>
      </c>
      <c r="AF182" s="625">
        <f>Exposition!U183</f>
        <v>0.3256244672</v>
      </c>
      <c r="AG182" s="623"/>
      <c r="AH182" s="621">
        <f>PRIX!A183</f>
        <v>45962</v>
      </c>
      <c r="AI182" s="635">
        <f>PRIX!B183</f>
        <v>110000</v>
      </c>
      <c r="AJ182" s="635">
        <f>PRIX!C183</f>
        <v>3900</v>
      </c>
      <c r="AK182" s="635">
        <f>PRIX!D183</f>
        <v>2.3</v>
      </c>
      <c r="AL182" s="635">
        <f>PRIX!E183</f>
        <v>185</v>
      </c>
      <c r="AM182" s="635">
        <f>PRIX!F183</f>
        <v>530</v>
      </c>
      <c r="AN182" s="635">
        <f>PRIX!G183</f>
        <v>0.33</v>
      </c>
      <c r="AO182" s="635">
        <f>PRIX!H183</f>
        <v>17.5</v>
      </c>
      <c r="AP182" s="635">
        <f>PRIX!I183</f>
        <v>0.187</v>
      </c>
      <c r="AQ182" s="635">
        <f>PRIX!J183</f>
        <v>0.00001</v>
      </c>
      <c r="AR182" s="635">
        <f>PRIX!K183</f>
        <v>2.5</v>
      </c>
      <c r="AS182" s="635">
        <f>PRIX!L183</f>
        <v>0.41</v>
      </c>
      <c r="AT182" s="635">
        <f>PRIX!M183</f>
        <v>225</v>
      </c>
      <c r="AU182" s="635">
        <f>PRIX!N183</f>
        <v>0.0032</v>
      </c>
      <c r="AV182" s="635">
        <f>PRIX!O183</f>
        <v>3.15</v>
      </c>
      <c r="AW182" s="635">
        <f>PRIX!P183</f>
        <v>0.001</v>
      </c>
      <c r="AX182" s="635">
        <f>PRIX!Q183</f>
        <v>0.0000065</v>
      </c>
      <c r="AY182" s="635">
        <f>PRIX!R183</f>
        <v>0.5</v>
      </c>
      <c r="AZ182" s="635">
        <f>PRIX!S183</f>
        <v>1.65</v>
      </c>
      <c r="BA182" s="623"/>
    </row>
    <row r="183">
      <c r="A183" s="621">
        <f>ARBITRAGES!E184</f>
        <v>45963</v>
      </c>
      <c r="B183" s="623" t="str">
        <f>IF(A183="","",IF(ARBITRAGES!F184="Invest","Achat","Vente"))</f>
        <v>Vente</v>
      </c>
      <c r="C183" s="623" t="str">
        <f>ARBITRAGES!H184</f>
        <v>SHIB</v>
      </c>
      <c r="D183" s="624">
        <f>ARBITRAGES!I184</f>
        <v>0.00001023</v>
      </c>
      <c r="E183" s="624">
        <f>ARBITRAGES!J184</f>
        <v>209.7589657</v>
      </c>
      <c r="F183" s="623"/>
      <c r="G183" s="621">
        <f>'PV (%)'!B185</f>
        <v>45978</v>
      </c>
      <c r="H183" s="624">
        <f>'PV (%)'!E185</f>
        <v>54417.11478</v>
      </c>
      <c r="I183" s="624">
        <f>'PV (%)'!F185</f>
        <v>42920.08728</v>
      </c>
      <c r="J183" s="626">
        <f>'PV (%)'!G185</f>
        <v>50259.02658</v>
      </c>
      <c r="K183" s="623"/>
      <c r="L183" s="621">
        <f>Exposition!A184</f>
        <v>45964</v>
      </c>
      <c r="M183" s="625">
        <f>Exposition!B184</f>
        <v>0.6480420007</v>
      </c>
      <c r="N183" s="625">
        <f>Exposition!C184</f>
        <v>0.3633125007</v>
      </c>
      <c r="O183" s="625">
        <f>Exposition!D184</f>
        <v>0.110971895</v>
      </c>
      <c r="P183" s="625">
        <f>Exposition!E184</f>
        <v>0.00000004911680155</v>
      </c>
      <c r="Q183" s="625">
        <f>Exposition!F184</f>
        <v>0.05061553203</v>
      </c>
      <c r="R183" s="625">
        <f>Exposition!G184</f>
        <v>0.04618517535</v>
      </c>
      <c r="S183" s="625">
        <f>Exposition!H184</f>
        <v>0</v>
      </c>
      <c r="T183" s="625">
        <f>Exposition!I184</f>
        <v>0.02386818412</v>
      </c>
      <c r="U183" s="625">
        <f>Exposition!J184</f>
        <v>0.01466288326</v>
      </c>
      <c r="V183" s="625">
        <f>Exposition!K184</f>
        <v>0</v>
      </c>
      <c r="W183" s="625">
        <f>Exposition!L184</f>
        <v>0.005080363235</v>
      </c>
      <c r="X183" s="625">
        <f>Exposition!M184</f>
        <v>0</v>
      </c>
      <c r="Y183" s="625">
        <f>Exposition!N184</f>
        <v>0.02738363417</v>
      </c>
      <c r="Z183" s="625">
        <f>Exposition!O184</f>
        <v>0</v>
      </c>
      <c r="AA183" s="625">
        <f>Exposition!P184</f>
        <v>0.005961783295</v>
      </c>
      <c r="AB183" s="625">
        <f>Exposition!Q184</f>
        <v>0.0000000004301938896</v>
      </c>
      <c r="AC183" s="625">
        <f>Exposition!R184</f>
        <v>0</v>
      </c>
      <c r="AD183" s="625">
        <f>Exposition!S184</f>
        <v>0</v>
      </c>
      <c r="AE183" s="625">
        <f>Exposition!T184</f>
        <v>0</v>
      </c>
      <c r="AF183" s="625">
        <f>Exposition!U184</f>
        <v>0.3519579993</v>
      </c>
      <c r="AG183" s="623"/>
      <c r="AH183" s="621">
        <f>PRIX!A184</f>
        <v>45963</v>
      </c>
      <c r="AI183" s="635">
        <f>PRIX!B184</f>
        <v>110000</v>
      </c>
      <c r="AJ183" s="635">
        <f>PRIX!C184</f>
        <v>3900</v>
      </c>
      <c r="AK183" s="635">
        <f>PRIX!D184</f>
        <v>2.3</v>
      </c>
      <c r="AL183" s="635">
        <f>PRIX!E184</f>
        <v>185</v>
      </c>
      <c r="AM183" s="635">
        <f>PRIX!F184</f>
        <v>530</v>
      </c>
      <c r="AN183" s="635">
        <f>PRIX!G184</f>
        <v>0.33</v>
      </c>
      <c r="AO183" s="635">
        <f>PRIX!H184</f>
        <v>17.5</v>
      </c>
      <c r="AP183" s="635">
        <f>PRIX!I184</f>
        <v>0.187</v>
      </c>
      <c r="AQ183" s="635">
        <f>PRIX!J184</f>
        <v>0.00001</v>
      </c>
      <c r="AR183" s="635">
        <f>PRIX!K184</f>
        <v>2.5</v>
      </c>
      <c r="AS183" s="635">
        <f>PRIX!L184</f>
        <v>0.41</v>
      </c>
      <c r="AT183" s="635">
        <f>PRIX!M184</f>
        <v>225</v>
      </c>
      <c r="AU183" s="635">
        <f>PRIX!N184</f>
        <v>0.0032</v>
      </c>
      <c r="AV183" s="635">
        <f>PRIX!O184</f>
        <v>3.15</v>
      </c>
      <c r="AW183" s="635">
        <f>PRIX!P184</f>
        <v>0.001</v>
      </c>
      <c r="AX183" s="635">
        <f>PRIX!Q184</f>
        <v>0.0000065</v>
      </c>
      <c r="AY183" s="635">
        <f>PRIX!R184</f>
        <v>0.5</v>
      </c>
      <c r="AZ183" s="635">
        <f>PRIX!S184</f>
        <v>1.65</v>
      </c>
      <c r="BA183" s="623"/>
    </row>
    <row r="184">
      <c r="A184" s="621">
        <f>ARBITRAGES!E185</f>
        <v>45964</v>
      </c>
      <c r="B184" s="623" t="str">
        <f>IF(A184="","",IF(ARBITRAGES!F185="Invest","Achat","Vente"))</f>
        <v>Achat</v>
      </c>
      <c r="C184" s="623" t="str">
        <f>ARBITRAGES!H185</f>
        <v>BTC</v>
      </c>
      <c r="D184" s="624">
        <f>ARBITRAGES!I185</f>
        <v>100000</v>
      </c>
      <c r="E184" s="624">
        <f>ARBITRAGES!J185</f>
        <v>300</v>
      </c>
      <c r="F184" s="623"/>
      <c r="G184" s="621">
        <f>'PV (%)'!B186</f>
        <v>45978</v>
      </c>
      <c r="H184" s="624">
        <f>'PV (%)'!E186</f>
        <v>55428.14315</v>
      </c>
      <c r="I184" s="624">
        <f>'PV (%)'!F186</f>
        <v>43718.45183</v>
      </c>
      <c r="J184" s="626">
        <f>'PV (%)'!G186</f>
        <v>51053.33978</v>
      </c>
      <c r="K184" s="623"/>
      <c r="L184" s="621">
        <f>Exposition!A185</f>
        <v>45964</v>
      </c>
      <c r="M184" s="625">
        <f>Exposition!B185</f>
        <v>0.6666703104</v>
      </c>
      <c r="N184" s="625">
        <f>Exposition!C185</f>
        <v>0.3819699407</v>
      </c>
      <c r="O184" s="625">
        <f>Exposition!D185</f>
        <v>0.1109605416</v>
      </c>
      <c r="P184" s="625">
        <f>Exposition!E185</f>
        <v>0.00000004911177647</v>
      </c>
      <c r="Q184" s="625">
        <f>Exposition!F185</f>
        <v>0.05061035362</v>
      </c>
      <c r="R184" s="625">
        <f>Exposition!G185</f>
        <v>0.0461804502</v>
      </c>
      <c r="S184" s="625">
        <f>Exposition!H185</f>
        <v>0</v>
      </c>
      <c r="T184" s="625">
        <f>Exposition!I185</f>
        <v>0.02386574219</v>
      </c>
      <c r="U184" s="625">
        <f>Exposition!J185</f>
        <v>0.01466138312</v>
      </c>
      <c r="V184" s="625">
        <f>Exposition!K185</f>
        <v>0</v>
      </c>
      <c r="W184" s="625">
        <f>Exposition!L185</f>
        <v>0.005079843469</v>
      </c>
      <c r="X184" s="625">
        <f>Exposition!M185</f>
        <v>0</v>
      </c>
      <c r="Y184" s="625">
        <f>Exposition!N185</f>
        <v>0.02738083259</v>
      </c>
      <c r="Z184" s="625">
        <f>Exposition!O185</f>
        <v>0</v>
      </c>
      <c r="AA184" s="625">
        <f>Exposition!P185</f>
        <v>0.005961173352</v>
      </c>
      <c r="AB184" s="625">
        <f>Exposition!Q185</f>
        <v>0.000000000430149877</v>
      </c>
      <c r="AC184" s="625">
        <f>Exposition!R185</f>
        <v>0</v>
      </c>
      <c r="AD184" s="625">
        <f>Exposition!S185</f>
        <v>0</v>
      </c>
      <c r="AE184" s="625">
        <f>Exposition!T185</f>
        <v>0</v>
      </c>
      <c r="AF184" s="625">
        <f>Exposition!U185</f>
        <v>0.3333296896</v>
      </c>
      <c r="AG184" s="623"/>
      <c r="AH184" s="621">
        <f>PRIX!A185</f>
        <v>45964</v>
      </c>
      <c r="AI184" s="635">
        <f>PRIX!B185</f>
        <v>100500</v>
      </c>
      <c r="AJ184" s="635">
        <f>PRIX!C185</f>
        <v>3200</v>
      </c>
      <c r="AK184" s="635">
        <f>PRIX!D185</f>
        <v>1.9</v>
      </c>
      <c r="AL184" s="635">
        <f>PRIX!E185</f>
        <v>155</v>
      </c>
      <c r="AM184" s="635">
        <f>PRIX!F185</f>
        <v>400</v>
      </c>
      <c r="AN184" s="635">
        <f>PRIX!G185</f>
        <v>0.27</v>
      </c>
      <c r="AO184" s="635">
        <f>PRIX!H185</f>
        <v>14.25</v>
      </c>
      <c r="AP184" s="635">
        <f>PRIX!I185</f>
        <v>0.16</v>
      </c>
      <c r="AQ184" s="635">
        <f>PRIX!J185</f>
        <v>0.0000087</v>
      </c>
      <c r="AR184" s="635">
        <f>PRIX!K185</f>
        <v>2.15</v>
      </c>
      <c r="AS184" s="635">
        <f>PRIX!L185</f>
        <v>0.34</v>
      </c>
      <c r="AT184" s="635">
        <f>PRIX!M185</f>
        <v>190</v>
      </c>
      <c r="AU184" s="635">
        <f>PRIX!N185</f>
        <v>0.0028</v>
      </c>
      <c r="AV184" s="635">
        <f>PRIX!O185</f>
        <v>2.57</v>
      </c>
      <c r="AW184" s="635">
        <f>PRIX!P185</f>
        <v>0.0008</v>
      </c>
      <c r="AX184" s="635">
        <f>PRIX!Q185</f>
        <v>0.00000546</v>
      </c>
      <c r="AY184" s="635">
        <f>PRIX!R185</f>
        <v>0.4</v>
      </c>
      <c r="AZ184" s="635">
        <f>PRIX!S185</f>
        <v>1.4</v>
      </c>
      <c r="BA184" s="623"/>
    </row>
    <row r="185">
      <c r="A185" s="621">
        <f>ARBITRAGES!E186</f>
        <v>45964</v>
      </c>
      <c r="B185" s="623" t="str">
        <f>IF(A185="","",IF(ARBITRAGES!F186="Invest","Achat","Vente"))</f>
        <v>Achat</v>
      </c>
      <c r="C185" s="623" t="str">
        <f>ARBITRAGES!H186</f>
        <v>BTC</v>
      </c>
      <c r="D185" s="624">
        <f>ARBITRAGES!I186</f>
        <v>99950</v>
      </c>
      <c r="E185" s="624">
        <f>ARBITRAGES!J186</f>
        <v>1000</v>
      </c>
      <c r="F185" s="623"/>
      <c r="G185" s="621">
        <f>'PV (%)'!B187</f>
        <v>45979</v>
      </c>
      <c r="H185" s="624">
        <f>'PV (%)'!E187</f>
        <v>55428.14315</v>
      </c>
      <c r="I185" s="624">
        <f>'PV (%)'!F187</f>
        <v>43718.45183</v>
      </c>
      <c r="J185" s="626">
        <f>'PV (%)'!G187</f>
        <v>51138.33978</v>
      </c>
      <c r="K185" s="623"/>
      <c r="L185" s="621">
        <f>Exposition!A186</f>
        <v>45964</v>
      </c>
      <c r="M185" s="625">
        <f>Exposition!B186</f>
        <v>0.6742417436</v>
      </c>
      <c r="N185" s="625">
        <f>Exposition!C186</f>
        <v>0.3818776409</v>
      </c>
      <c r="O185" s="625">
        <f>Exposition!D186</f>
        <v>0.1186662573</v>
      </c>
      <c r="P185" s="625">
        <f>Exposition!E186</f>
        <v>0.00000004909990902</v>
      </c>
      <c r="Q185" s="625">
        <f>Exposition!F186</f>
        <v>0.05059812406</v>
      </c>
      <c r="R185" s="625">
        <f>Exposition!G186</f>
        <v>0.04616929108</v>
      </c>
      <c r="S185" s="625">
        <f>Exposition!H186</f>
        <v>0</v>
      </c>
      <c r="T185" s="625">
        <f>Exposition!I186</f>
        <v>0.02385997524</v>
      </c>
      <c r="U185" s="625">
        <f>Exposition!J186</f>
        <v>0.01465784032</v>
      </c>
      <c r="V185" s="625">
        <f>Exposition!K186</f>
        <v>0</v>
      </c>
      <c r="W185" s="625">
        <f>Exposition!L186</f>
        <v>0.005078615968</v>
      </c>
      <c r="X185" s="625">
        <f>Exposition!M186</f>
        <v>0</v>
      </c>
      <c r="Y185" s="625">
        <f>Exposition!N186</f>
        <v>0.02737421624</v>
      </c>
      <c r="Z185" s="625">
        <f>Exposition!O186</f>
        <v>0</v>
      </c>
      <c r="AA185" s="625">
        <f>Exposition!P186</f>
        <v>0.005959732885</v>
      </c>
      <c r="AB185" s="625">
        <f>Exposition!Q186</f>
        <v>0.0000000004300459349</v>
      </c>
      <c r="AC185" s="625">
        <f>Exposition!R186</f>
        <v>0</v>
      </c>
      <c r="AD185" s="625">
        <f>Exposition!S186</f>
        <v>0</v>
      </c>
      <c r="AE185" s="625">
        <f>Exposition!T186</f>
        <v>0</v>
      </c>
      <c r="AF185" s="625">
        <f>Exposition!U186</f>
        <v>0.3257582564</v>
      </c>
      <c r="AG185" s="623"/>
      <c r="AH185" s="621">
        <f>PRIX!A186</f>
        <v>45964</v>
      </c>
      <c r="AI185" s="635">
        <f>PRIX!B186</f>
        <v>100500</v>
      </c>
      <c r="AJ185" s="635">
        <f>PRIX!C186</f>
        <v>3200</v>
      </c>
      <c r="AK185" s="635">
        <f>PRIX!D186</f>
        <v>1.9</v>
      </c>
      <c r="AL185" s="635">
        <f>PRIX!E186</f>
        <v>155</v>
      </c>
      <c r="AM185" s="635">
        <f>PRIX!F186</f>
        <v>400</v>
      </c>
      <c r="AN185" s="635">
        <f>PRIX!G186</f>
        <v>0.27</v>
      </c>
      <c r="AO185" s="635">
        <f>PRIX!H186</f>
        <v>14.25</v>
      </c>
      <c r="AP185" s="635">
        <f>PRIX!I186</f>
        <v>0.16</v>
      </c>
      <c r="AQ185" s="635">
        <f>PRIX!J186</f>
        <v>0.0000087</v>
      </c>
      <c r="AR185" s="635">
        <f>PRIX!K186</f>
        <v>2.15</v>
      </c>
      <c r="AS185" s="635">
        <f>PRIX!L186</f>
        <v>0.34</v>
      </c>
      <c r="AT185" s="635">
        <f>PRIX!M186</f>
        <v>190</v>
      </c>
      <c r="AU185" s="635">
        <f>PRIX!N186</f>
        <v>0.0028</v>
      </c>
      <c r="AV185" s="635">
        <f>PRIX!O186</f>
        <v>2.57</v>
      </c>
      <c r="AW185" s="635">
        <f>PRIX!P186</f>
        <v>0.0008</v>
      </c>
      <c r="AX185" s="635">
        <f>PRIX!Q186</f>
        <v>0.00000546</v>
      </c>
      <c r="AY185" s="635">
        <f>PRIX!R186</f>
        <v>0.4</v>
      </c>
      <c r="AZ185" s="635">
        <f>PRIX!S186</f>
        <v>1.4</v>
      </c>
      <c r="BA185" s="623"/>
    </row>
    <row r="186">
      <c r="A186" s="621">
        <f>ARBITRAGES!E187</f>
        <v>45964</v>
      </c>
      <c r="B186" s="623" t="str">
        <f>IF(A186="","",IF(ARBITRAGES!F187="Invest","Achat","Vente"))</f>
        <v>Achat</v>
      </c>
      <c r="C186" s="623" t="str">
        <f>ARBITRAGES!H187</f>
        <v>ETH</v>
      </c>
      <c r="D186" s="624">
        <f>ARBITRAGES!I187</f>
        <v>3100</v>
      </c>
      <c r="E186" s="624">
        <f>ARBITRAGES!J187</f>
        <v>403</v>
      </c>
      <c r="F186" s="623"/>
      <c r="G186" s="621">
        <f>'PV (%)'!B188</f>
        <v>45980</v>
      </c>
      <c r="H186" s="624">
        <f>'PV (%)'!E188</f>
        <v>51443.50195</v>
      </c>
      <c r="I186" s="624">
        <f>'PV (%)'!F188</f>
        <v>40379.79827</v>
      </c>
      <c r="J186" s="626">
        <f>'PV (%)'!G188</f>
        <v>47928.09342</v>
      </c>
      <c r="K186" s="623"/>
      <c r="L186" s="621">
        <f>Exposition!A187</f>
        <v>45965</v>
      </c>
      <c r="M186" s="625">
        <f>Exposition!B187</f>
        <v>0.6798451361</v>
      </c>
      <c r="N186" s="625">
        <f>Exposition!C187</f>
        <v>0.3875057332</v>
      </c>
      <c r="O186" s="625">
        <f>Exposition!D187</f>
        <v>0.1186562321</v>
      </c>
      <c r="P186" s="625">
        <f>Exposition!E187</f>
        <v>0.00000004909576092</v>
      </c>
      <c r="Q186" s="625">
        <f>Exposition!F187</f>
        <v>0.05059384938</v>
      </c>
      <c r="R186" s="625">
        <f>Exposition!G187</f>
        <v>0.04616539057</v>
      </c>
      <c r="S186" s="625">
        <f>Exposition!H187</f>
        <v>0</v>
      </c>
      <c r="T186" s="625">
        <f>Exposition!I187</f>
        <v>0.02385795948</v>
      </c>
      <c r="U186" s="625">
        <f>Exposition!J187</f>
        <v>0.01465660198</v>
      </c>
      <c r="V186" s="625">
        <f>Exposition!K187</f>
        <v>0</v>
      </c>
      <c r="W186" s="625">
        <f>Exposition!L187</f>
        <v>0.005078186912</v>
      </c>
      <c r="X186" s="625">
        <f>Exposition!M187</f>
        <v>0</v>
      </c>
      <c r="Y186" s="625">
        <f>Exposition!N187</f>
        <v>0.02737190359</v>
      </c>
      <c r="Z186" s="625">
        <f>Exposition!O187</f>
        <v>0</v>
      </c>
      <c r="AA186" s="625">
        <f>Exposition!P187</f>
        <v>0.00595922939</v>
      </c>
      <c r="AB186" s="625">
        <f>Exposition!Q187</f>
        <v>0.0000000004300096034</v>
      </c>
      <c r="AC186" s="625">
        <f>Exposition!R187</f>
        <v>0</v>
      </c>
      <c r="AD186" s="625">
        <f>Exposition!S187</f>
        <v>0</v>
      </c>
      <c r="AE186" s="625">
        <f>Exposition!T187</f>
        <v>0</v>
      </c>
      <c r="AF186" s="625">
        <f>Exposition!U187</f>
        <v>0.3201548639</v>
      </c>
      <c r="AG186" s="623"/>
      <c r="AH186" s="621">
        <f>PRIX!A187</f>
        <v>45964</v>
      </c>
      <c r="AI186" s="635">
        <f>PRIX!B187</f>
        <v>100500</v>
      </c>
      <c r="AJ186" s="635">
        <f>PRIX!C187</f>
        <v>3200</v>
      </c>
      <c r="AK186" s="635">
        <f>PRIX!D187</f>
        <v>1.9</v>
      </c>
      <c r="AL186" s="635">
        <f>PRIX!E187</f>
        <v>155</v>
      </c>
      <c r="AM186" s="635">
        <f>PRIX!F187</f>
        <v>400</v>
      </c>
      <c r="AN186" s="635">
        <f>PRIX!G187</f>
        <v>0.27</v>
      </c>
      <c r="AO186" s="635">
        <f>PRIX!H187</f>
        <v>14.25</v>
      </c>
      <c r="AP186" s="635">
        <f>PRIX!I187</f>
        <v>0.16</v>
      </c>
      <c r="AQ186" s="635">
        <f>PRIX!J187</f>
        <v>0.0000087</v>
      </c>
      <c r="AR186" s="635">
        <f>PRIX!K187</f>
        <v>2.15</v>
      </c>
      <c r="AS186" s="635">
        <f>PRIX!L187</f>
        <v>0.34</v>
      </c>
      <c r="AT186" s="635">
        <f>PRIX!M187</f>
        <v>190</v>
      </c>
      <c r="AU186" s="635">
        <f>PRIX!N187</f>
        <v>0.0028</v>
      </c>
      <c r="AV186" s="635">
        <f>PRIX!O187</f>
        <v>2.57</v>
      </c>
      <c r="AW186" s="635">
        <f>PRIX!P187</f>
        <v>0.0008</v>
      </c>
      <c r="AX186" s="635">
        <f>PRIX!Q187</f>
        <v>0.00000546</v>
      </c>
      <c r="AY186" s="635">
        <f>PRIX!R187</f>
        <v>0.4</v>
      </c>
      <c r="AZ186" s="635">
        <f>PRIX!S187</f>
        <v>1.4</v>
      </c>
      <c r="BA186" s="623"/>
    </row>
    <row r="187">
      <c r="A187" s="621">
        <f>ARBITRAGES!E188</f>
        <v>45965</v>
      </c>
      <c r="B187" s="623" t="str">
        <f>IF(A187="","",IF(ARBITRAGES!F188="Invest","Achat","Vente"))</f>
        <v>Achat</v>
      </c>
      <c r="C187" s="623" t="str">
        <f>ARBITRAGES!H188</f>
        <v>BTC</v>
      </c>
      <c r="D187" s="624">
        <f>ARBITRAGES!I188</f>
        <v>99000</v>
      </c>
      <c r="E187" s="624">
        <f>ARBITRAGES!J188</f>
        <v>300</v>
      </c>
      <c r="F187" s="623"/>
      <c r="G187" s="621">
        <f>'PV (%)'!B189</f>
        <v>45981</v>
      </c>
      <c r="H187" s="624">
        <f>'PV (%)'!E189</f>
        <v>51443.50195</v>
      </c>
      <c r="I187" s="624">
        <f>'PV (%)'!F189</f>
        <v>40379.79827</v>
      </c>
      <c r="J187" s="626">
        <f>'PV (%)'!G189</f>
        <v>47926.36928</v>
      </c>
      <c r="K187" s="623"/>
      <c r="L187" s="621">
        <f>Exposition!A188</f>
        <v>45968</v>
      </c>
      <c r="M187" s="625">
        <f>Exposition!B188</f>
        <v>0.7027117388</v>
      </c>
      <c r="N187" s="625">
        <f>Exposition!C188</f>
        <v>0.406211024</v>
      </c>
      <c r="O187" s="625">
        <f>Exposition!D188</f>
        <v>0.1206274421</v>
      </c>
      <c r="P187" s="625">
        <f>Exposition!E188</f>
        <v>0.000000050436761</v>
      </c>
      <c r="Q187" s="625">
        <f>Exposition!F188</f>
        <v>0.05148463191</v>
      </c>
      <c r="R187" s="625">
        <f>Exposition!G188</f>
        <v>0.04437238106</v>
      </c>
      <c r="S187" s="625">
        <f>Exposition!H188</f>
        <v>0</v>
      </c>
      <c r="T187" s="625">
        <f>Exposition!I188</f>
        <v>0.02500475878</v>
      </c>
      <c r="U187" s="625">
        <f>Exposition!J188</f>
        <v>0.01508069605</v>
      </c>
      <c r="V187" s="625">
        <f>Exposition!K188</f>
        <v>0</v>
      </c>
      <c r="W187" s="625">
        <f>Exposition!L188</f>
        <v>0.005355372227</v>
      </c>
      <c r="X187" s="625">
        <f>Exposition!M188</f>
        <v>0</v>
      </c>
      <c r="Y187" s="625">
        <f>Exposition!N188</f>
        <v>0.02840357465</v>
      </c>
      <c r="Z187" s="625">
        <f>Exposition!O188</f>
        <v>0</v>
      </c>
      <c r="AA187" s="625">
        <f>Exposition!P188</f>
        <v>0.006171807162</v>
      </c>
      <c r="AB187" s="625">
        <f>Exposition!Q188</f>
        <v>0.0000000004556991548</v>
      </c>
      <c r="AC187" s="625">
        <f>Exposition!R188</f>
        <v>0</v>
      </c>
      <c r="AD187" s="625">
        <f>Exposition!S188</f>
        <v>0</v>
      </c>
      <c r="AE187" s="625">
        <f>Exposition!T188</f>
        <v>0</v>
      </c>
      <c r="AF187" s="625">
        <f>Exposition!U188</f>
        <v>0.2972882612</v>
      </c>
      <c r="AG187" s="623"/>
      <c r="AH187" s="621">
        <f>PRIX!A188</f>
        <v>45965</v>
      </c>
      <c r="AI187" s="635">
        <f>PRIX!B188</f>
        <v>100500</v>
      </c>
      <c r="AJ187" s="635">
        <f>PRIX!C188</f>
        <v>3200</v>
      </c>
      <c r="AK187" s="635">
        <f>PRIX!D188</f>
        <v>1.9</v>
      </c>
      <c r="AL187" s="635">
        <f>PRIX!E188</f>
        <v>155</v>
      </c>
      <c r="AM187" s="635">
        <f>PRIX!F188</f>
        <v>400</v>
      </c>
      <c r="AN187" s="635">
        <f>PRIX!G188</f>
        <v>0.27</v>
      </c>
      <c r="AO187" s="635">
        <f>PRIX!H188</f>
        <v>14.25</v>
      </c>
      <c r="AP187" s="635">
        <f>PRIX!I188</f>
        <v>0.16</v>
      </c>
      <c r="AQ187" s="635">
        <f>PRIX!J188</f>
        <v>0.0000087</v>
      </c>
      <c r="AR187" s="635">
        <f>PRIX!K188</f>
        <v>2.15</v>
      </c>
      <c r="AS187" s="635">
        <f>PRIX!L188</f>
        <v>0.34</v>
      </c>
      <c r="AT187" s="635">
        <f>PRIX!M188</f>
        <v>190</v>
      </c>
      <c r="AU187" s="635">
        <f>PRIX!N188</f>
        <v>0.0028</v>
      </c>
      <c r="AV187" s="635">
        <f>PRIX!O188</f>
        <v>2.57</v>
      </c>
      <c r="AW187" s="635">
        <f>PRIX!P188</f>
        <v>0.0008</v>
      </c>
      <c r="AX187" s="635">
        <f>PRIX!Q188</f>
        <v>0.00000546</v>
      </c>
      <c r="AY187" s="635">
        <f>PRIX!R188</f>
        <v>0.4</v>
      </c>
      <c r="AZ187" s="635">
        <f>PRIX!S188</f>
        <v>1.4</v>
      </c>
      <c r="BA187" s="623"/>
    </row>
    <row r="188">
      <c r="A188" s="621">
        <f>ARBITRAGES!E189</f>
        <v>45968</v>
      </c>
      <c r="B188" s="623" t="str">
        <f>IF(A188="","",IF(ARBITRAGES!F189="Invest","Achat","Vente"))</f>
        <v>Achat</v>
      </c>
      <c r="C188" s="623" t="str">
        <f>ARBITRAGES!H189</f>
        <v>BTC</v>
      </c>
      <c r="D188" s="624">
        <f>ARBITRAGES!I189</f>
        <v>101000</v>
      </c>
      <c r="E188" s="624">
        <f>ARBITRAGES!J189</f>
        <v>1000</v>
      </c>
      <c r="F188" s="623"/>
      <c r="G188" s="621">
        <f>'PV (%)'!B190</f>
        <v>45981</v>
      </c>
      <c r="H188" s="624">
        <f>'PV (%)'!E190</f>
        <v>49659.33426</v>
      </c>
      <c r="I188" s="624">
        <f>'PV (%)'!F190</f>
        <v>38881.43268</v>
      </c>
      <c r="J188" s="626">
        <f>'PV (%)'!G190</f>
        <v>46475.85983</v>
      </c>
      <c r="K188" s="623"/>
      <c r="L188" s="621">
        <f>Exposition!A189</f>
        <v>45970</v>
      </c>
      <c r="M188" s="625">
        <f>Exposition!B189</f>
        <v>0.7220491179</v>
      </c>
      <c r="N188" s="625">
        <f>Exposition!C189</f>
        <v>0.4136256329</v>
      </c>
      <c r="O188" s="625">
        <f>Exposition!D189</f>
        <v>0.1278957387</v>
      </c>
      <c r="P188" s="625">
        <f>Exposition!E189</f>
        <v>0.00000005249905543</v>
      </c>
      <c r="Q188" s="625">
        <f>Exposition!F189</f>
        <v>0.0524369692</v>
      </c>
      <c r="R188" s="625">
        <f>Exposition!G189</f>
        <v>0.04362537261</v>
      </c>
      <c r="S188" s="625">
        <f>Exposition!H189</f>
        <v>0</v>
      </c>
      <c r="T188" s="625">
        <f>Exposition!I189</f>
        <v>0.026105079</v>
      </c>
      <c r="U188" s="625">
        <f>Exposition!J189</f>
        <v>0.0160142895</v>
      </c>
      <c r="V188" s="625">
        <f>Exposition!K189</f>
        <v>0</v>
      </c>
      <c r="W188" s="625">
        <f>Exposition!L189</f>
        <v>0.005579982872</v>
      </c>
      <c r="X188" s="625">
        <f>Exposition!M189</f>
        <v>0</v>
      </c>
      <c r="Y188" s="625">
        <f>Exposition!N189</f>
        <v>0.03063067406</v>
      </c>
      <c r="Z188" s="625">
        <f>Exposition!O189</f>
        <v>0</v>
      </c>
      <c r="AA188" s="625">
        <f>Exposition!P189</f>
        <v>0.006135326036</v>
      </c>
      <c r="AB188" s="625">
        <f>Exposition!Q189</f>
        <v>0.0000000004977793528</v>
      </c>
      <c r="AC188" s="625">
        <f>Exposition!R189</f>
        <v>0</v>
      </c>
      <c r="AD188" s="625">
        <f>Exposition!S189</f>
        <v>0</v>
      </c>
      <c r="AE188" s="625">
        <f>Exposition!T189</f>
        <v>0</v>
      </c>
      <c r="AF188" s="625">
        <f>Exposition!U189</f>
        <v>0.2779508821</v>
      </c>
      <c r="AG188" s="623"/>
      <c r="AH188" s="621">
        <f>PRIX!A189</f>
        <v>45968</v>
      </c>
      <c r="AI188" s="635">
        <f>PRIX!B189</f>
        <v>102000</v>
      </c>
      <c r="AJ188" s="635">
        <f>PRIX!C189</f>
        <v>3300</v>
      </c>
      <c r="AK188" s="635">
        <f>PRIX!D189</f>
        <v>1.98</v>
      </c>
      <c r="AL188" s="635">
        <f>PRIX!E189</f>
        <v>160</v>
      </c>
      <c r="AM188" s="635">
        <f>PRIX!F189</f>
        <v>390</v>
      </c>
      <c r="AN188" s="635">
        <f>PRIX!G189</f>
        <v>0.287</v>
      </c>
      <c r="AO188" s="635">
        <f>PRIX!H189</f>
        <v>15.15</v>
      </c>
      <c r="AP188" s="635">
        <f>PRIX!I189</f>
        <v>0.167</v>
      </c>
      <c r="AQ188" s="635">
        <f>PRIX!J189</f>
        <v>0.0000095</v>
      </c>
      <c r="AR188" s="635">
        <f>PRIX!K189</f>
        <v>2.3</v>
      </c>
      <c r="AS188" s="635">
        <f>PRIX!L189</f>
        <v>0.35</v>
      </c>
      <c r="AT188" s="635">
        <f>PRIX!M189</f>
        <v>200</v>
      </c>
      <c r="AU188" s="635">
        <f>PRIX!N189</f>
        <v>0.0032</v>
      </c>
      <c r="AV188" s="635">
        <f>PRIX!O189</f>
        <v>2.7</v>
      </c>
      <c r="AW188" s="635">
        <f>PRIX!P189</f>
        <v>0.00086</v>
      </c>
      <c r="AX188" s="635">
        <f>PRIX!Q189</f>
        <v>0.0000057</v>
      </c>
      <c r="AY188" s="635">
        <f>PRIX!R189</f>
        <v>0.45</v>
      </c>
      <c r="AZ188" s="635">
        <f>PRIX!S189</f>
        <v>1.35</v>
      </c>
      <c r="BA188" s="623"/>
    </row>
    <row r="189">
      <c r="A189" s="621">
        <f>ARBITRAGES!E190</f>
        <v>45970</v>
      </c>
      <c r="B189" s="623" t="str">
        <f>IF(A189="","",IF(ARBITRAGES!F190="Invest","Achat","Vente"))</f>
        <v>Achat</v>
      </c>
      <c r="C189" s="623" t="str">
        <f>ARBITRAGES!H190</f>
        <v>BTC</v>
      </c>
      <c r="D189" s="624">
        <f>ARBITRAGES!I190</f>
        <v>106000</v>
      </c>
      <c r="E189" s="624">
        <f>ARBITRAGES!J190</f>
        <v>400</v>
      </c>
      <c r="F189" s="623"/>
      <c r="G189" s="621">
        <f>'PV (%)'!B191</f>
        <v>45981</v>
      </c>
      <c r="H189" s="624">
        <f>'PV (%)'!E191</f>
        <v>49659.33426</v>
      </c>
      <c r="I189" s="624">
        <f>'PV (%)'!F191</f>
        <v>38881.43268</v>
      </c>
      <c r="J189" s="626">
        <f>'PV (%)'!G191</f>
        <v>46477.85983</v>
      </c>
      <c r="K189" s="623"/>
      <c r="L189" s="621">
        <f>Exposition!A190</f>
        <v>45971</v>
      </c>
      <c r="M189" s="625">
        <f>Exposition!B190</f>
        <v>0.7157537129</v>
      </c>
      <c r="N189" s="625">
        <f>Exposition!C190</f>
        <v>0.4135331044</v>
      </c>
      <c r="O189" s="625">
        <f>Exposition!D190</f>
        <v>0.1278671282</v>
      </c>
      <c r="P189" s="625">
        <f>Exposition!E190</f>
        <v>0.00000005248731133</v>
      </c>
      <c r="Q189" s="625">
        <f>Exposition!F190</f>
        <v>0.05242523898</v>
      </c>
      <c r="R189" s="625">
        <f>Exposition!G190</f>
        <v>0.04361561357</v>
      </c>
      <c r="S189" s="625">
        <f>Exposition!H190</f>
        <v>0</v>
      </c>
      <c r="T189" s="625">
        <f>Exposition!I190</f>
        <v>0.02609923926</v>
      </c>
      <c r="U189" s="625">
        <f>Exposition!J190</f>
        <v>0.01601070708</v>
      </c>
      <c r="V189" s="625">
        <f>Exposition!K190</f>
        <v>0</v>
      </c>
      <c r="W189" s="625">
        <f>Exposition!L190</f>
        <v>0.005578734623</v>
      </c>
      <c r="X189" s="625">
        <f>Exposition!M190</f>
        <v>0</v>
      </c>
      <c r="Y189" s="625">
        <f>Exposition!N190</f>
        <v>0.03062382194</v>
      </c>
      <c r="Z189" s="625">
        <f>Exposition!O190</f>
        <v>0</v>
      </c>
      <c r="AA189" s="625">
        <f>Exposition!P190</f>
        <v>0.00000007184753151</v>
      </c>
      <c r="AB189" s="625">
        <f>Exposition!Q190</f>
        <v>0.000000000497667999</v>
      </c>
      <c r="AC189" s="625">
        <f>Exposition!R190</f>
        <v>0</v>
      </c>
      <c r="AD189" s="625">
        <f>Exposition!S190</f>
        <v>0</v>
      </c>
      <c r="AE189" s="625">
        <f>Exposition!T190</f>
        <v>0</v>
      </c>
      <c r="AF189" s="625">
        <f>Exposition!U190</f>
        <v>0.2842462871</v>
      </c>
      <c r="AG189" s="623"/>
      <c r="AH189" s="621">
        <f>PRIX!A190</f>
        <v>45970</v>
      </c>
      <c r="AI189" s="635">
        <f>PRIX!B190</f>
        <v>106500</v>
      </c>
      <c r="AJ189" s="635">
        <f>PRIX!C190</f>
        <v>3650</v>
      </c>
      <c r="AK189" s="635">
        <f>PRIX!D190</f>
        <v>2.15</v>
      </c>
      <c r="AL189" s="635">
        <f>PRIX!E190</f>
        <v>170</v>
      </c>
      <c r="AM189" s="635">
        <f>PRIX!F190</f>
        <v>400</v>
      </c>
      <c r="AN189" s="635">
        <f>PRIX!G190</f>
        <v>0.31</v>
      </c>
      <c r="AO189" s="635">
        <f>PRIX!H190</f>
        <v>16.5</v>
      </c>
      <c r="AP189" s="635">
        <f>PRIX!I190</f>
        <v>0.185</v>
      </c>
      <c r="AQ189" s="635">
        <f>PRIX!J190</f>
        <v>0.00000101</v>
      </c>
      <c r="AR189" s="635">
        <f>PRIX!K190</f>
        <v>2.5</v>
      </c>
      <c r="AS189" s="635">
        <f>PRIX!L190</f>
        <v>0.36</v>
      </c>
      <c r="AT189" s="635">
        <f>PRIX!M190</f>
        <v>225</v>
      </c>
      <c r="AU189" s="635">
        <f>PRIX!N190</f>
        <v>0.0035</v>
      </c>
      <c r="AV189" s="635">
        <f>PRIX!O190</f>
        <v>2.8</v>
      </c>
      <c r="AW189" s="635">
        <f>PRIX!P190</f>
        <v>0.00098</v>
      </c>
      <c r="AX189" s="635">
        <f>PRIX!Q190</f>
        <v>0.0000062</v>
      </c>
      <c r="AY189" s="635">
        <f>PRIX!R190</f>
        <v>0.5</v>
      </c>
      <c r="AZ189" s="635">
        <f>PRIX!S190</f>
        <v>1.6</v>
      </c>
      <c r="BA189" s="623"/>
    </row>
    <row r="190">
      <c r="A190" s="621">
        <f>ARBITRAGES!E191</f>
        <v>45971</v>
      </c>
      <c r="B190" s="623" t="str">
        <f>IF(A190="","",IF(ARBITRAGES!F191="Invest","Achat","Vente"))</f>
        <v>Vente</v>
      </c>
      <c r="C190" s="623" t="str">
        <f>ARBITRAGES!H191</f>
        <v>PENDLE</v>
      </c>
      <c r="D190" s="624">
        <f>ARBITRAGES!I191</f>
        <v>2.9</v>
      </c>
      <c r="E190" s="624">
        <f>ARBITRAGES!J191</f>
        <v>362.0554253</v>
      </c>
      <c r="F190" s="623"/>
      <c r="G190" s="621">
        <f>'PV (%)'!B192</f>
        <v>45981</v>
      </c>
      <c r="H190" s="624">
        <f>'PV (%)'!E192</f>
        <v>49659.33426</v>
      </c>
      <c r="I190" s="624">
        <f>'PV (%)'!F192</f>
        <v>38881.43268</v>
      </c>
      <c r="J190" s="626">
        <f>'PV (%)'!G192</f>
        <v>46469.09171</v>
      </c>
      <c r="K190" s="623"/>
      <c r="L190" s="621">
        <f>Exposition!A191</f>
        <v>45971</v>
      </c>
      <c r="M190" s="625">
        <f>Exposition!B191</f>
        <v>0.7109709083</v>
      </c>
      <c r="N190" s="625">
        <f>Exposition!C191</f>
        <v>0.4151705824</v>
      </c>
      <c r="O190" s="625">
        <f>Exposition!D191</f>
        <v>0.1254894116</v>
      </c>
      <c r="P190" s="625">
        <f>Exposition!E191</f>
        <v>0.00000005122037094</v>
      </c>
      <c r="Q190" s="625">
        <f>Exposition!F191</f>
        <v>0.05049919693</v>
      </c>
      <c r="R190" s="625">
        <f>Exposition!G191</f>
        <v>0.04240710087</v>
      </c>
      <c r="S190" s="625">
        <f>Exposition!H191</f>
        <v>0</v>
      </c>
      <c r="T190" s="625">
        <f>Exposition!I191</f>
        <v>0.0259022135</v>
      </c>
      <c r="U190" s="625">
        <f>Exposition!J191</f>
        <v>0.01550064693</v>
      </c>
      <c r="V190" s="625">
        <f>Exposition!K191</f>
        <v>0</v>
      </c>
      <c r="W190" s="625">
        <f>Exposition!L191</f>
        <v>0.006052217955</v>
      </c>
      <c r="X190" s="625">
        <f>Exposition!M191</f>
        <v>0</v>
      </c>
      <c r="Y190" s="625">
        <f>Exposition!N191</f>
        <v>0.02994941366</v>
      </c>
      <c r="Z190" s="625">
        <f>Exposition!O191</f>
        <v>0</v>
      </c>
      <c r="AA190" s="625">
        <f>Exposition!P191</f>
        <v>0.00000007274557498</v>
      </c>
      <c r="AB190" s="625">
        <f>Exposition!Q191</f>
        <v>0.0000000004885561506</v>
      </c>
      <c r="AC190" s="625">
        <f>Exposition!R191</f>
        <v>0</v>
      </c>
      <c r="AD190" s="625">
        <f>Exposition!S191</f>
        <v>0</v>
      </c>
      <c r="AE190" s="625">
        <f>Exposition!T191</f>
        <v>0</v>
      </c>
      <c r="AF190" s="625">
        <f>Exposition!U191</f>
        <v>0.2890290917</v>
      </c>
      <c r="AG190" s="623"/>
      <c r="AH190" s="621">
        <f>PRIX!A191</f>
        <v>45971</v>
      </c>
      <c r="AI190" s="635">
        <f>PRIX!B191</f>
        <v>106500</v>
      </c>
      <c r="AJ190" s="635">
        <f>PRIX!C191</f>
        <v>3650</v>
      </c>
      <c r="AK190" s="635">
        <f>PRIX!D191</f>
        <v>2.15</v>
      </c>
      <c r="AL190" s="635">
        <f>PRIX!E191</f>
        <v>170</v>
      </c>
      <c r="AM190" s="635">
        <f>PRIX!F191</f>
        <v>400</v>
      </c>
      <c r="AN190" s="635">
        <f>PRIX!G191</f>
        <v>0.31</v>
      </c>
      <c r="AO190" s="635">
        <f>PRIX!H191</f>
        <v>16.5</v>
      </c>
      <c r="AP190" s="635">
        <f>PRIX!I191</f>
        <v>0.185</v>
      </c>
      <c r="AQ190" s="635">
        <f>PRIX!J191</f>
        <v>0.0000098</v>
      </c>
      <c r="AR190" s="635">
        <f>PRIX!K191</f>
        <v>2.5</v>
      </c>
      <c r="AS190" s="635">
        <f>PRIX!L191</f>
        <v>0.36</v>
      </c>
      <c r="AT190" s="635">
        <f>PRIX!M191</f>
        <v>225</v>
      </c>
      <c r="AU190" s="635">
        <f>PRIX!N191</f>
        <v>0.0035</v>
      </c>
      <c r="AV190" s="635">
        <f>PRIX!O191</f>
        <v>2.8</v>
      </c>
      <c r="AW190" s="635">
        <f>PRIX!P191</f>
        <v>0.00098</v>
      </c>
      <c r="AX190" s="635">
        <f>PRIX!Q191</f>
        <v>0.0000062</v>
      </c>
      <c r="AY190" s="635">
        <f>PRIX!R191</f>
        <v>0.5</v>
      </c>
      <c r="AZ190" s="635">
        <f>PRIX!S191</f>
        <v>1.6</v>
      </c>
      <c r="BA190" s="623"/>
    </row>
    <row r="191">
      <c r="A191" s="621">
        <f>ARBITRAGES!E192</f>
        <v>45971</v>
      </c>
      <c r="B191" s="623" t="str">
        <f>IF(A191="","",IF(ARBITRAGES!F192="Invest","Achat","Vente"))</f>
        <v>Achat</v>
      </c>
      <c r="C191" s="623" t="str">
        <f>ARBITRAGES!H192</f>
        <v>BTC</v>
      </c>
      <c r="D191" s="624">
        <f>ARBITRAGES!I192</f>
        <v>105000</v>
      </c>
      <c r="E191" s="624">
        <f>ARBITRAGES!J192</f>
        <v>105</v>
      </c>
      <c r="F191" s="623"/>
      <c r="G191" s="633">
        <f>'PV (%)'!B193</f>
        <v>45981</v>
      </c>
      <c r="H191" s="624">
        <f>'PV (%)'!E193</f>
        <v>49659.33426</v>
      </c>
      <c r="I191" s="624">
        <f>'PV (%)'!F193</f>
        <v>38881.43268</v>
      </c>
      <c r="J191" s="626">
        <f>'PV (%)'!G193</f>
        <v>46469.09171</v>
      </c>
      <c r="K191" s="623"/>
      <c r="L191" s="621">
        <f>Exposition!A192</f>
        <v>45972</v>
      </c>
      <c r="M191" s="625">
        <f>Exposition!B192</f>
        <v>0.7121493174</v>
      </c>
      <c r="N191" s="625">
        <f>Exposition!C192</f>
        <v>0.4174083925</v>
      </c>
      <c r="O191" s="625">
        <f>Exposition!D192</f>
        <v>0.1250399746</v>
      </c>
      <c r="P191" s="625">
        <f>Exposition!E192</f>
        <v>0.00000005103692653</v>
      </c>
      <c r="Q191" s="625">
        <f>Exposition!F192</f>
        <v>0.05031833539</v>
      </c>
      <c r="R191" s="625">
        <f>Exposition!G192</f>
        <v>0.04225522095</v>
      </c>
      <c r="S191" s="625">
        <f>Exposition!H192</f>
        <v>0</v>
      </c>
      <c r="T191" s="625">
        <f>Exposition!I192</f>
        <v>0.02580944541</v>
      </c>
      <c r="U191" s="625">
        <f>Exposition!J192</f>
        <v>0.01544513177</v>
      </c>
      <c r="V191" s="625">
        <f>Exposition!K192</f>
        <v>0</v>
      </c>
      <c r="W191" s="625">
        <f>Exposition!L192</f>
        <v>0.006030542096</v>
      </c>
      <c r="X191" s="625">
        <f>Exposition!M192</f>
        <v>0</v>
      </c>
      <c r="Y191" s="625">
        <f>Exposition!N192</f>
        <v>0.02984215063</v>
      </c>
      <c r="Z191" s="625">
        <f>Exposition!O192</f>
        <v>0</v>
      </c>
      <c r="AA191" s="625">
        <f>Exposition!P192</f>
        <v>0.00000007248503862</v>
      </c>
      <c r="AB191" s="625">
        <f>Exposition!Q192</f>
        <v>0.0000000004868063997</v>
      </c>
      <c r="AC191" s="625">
        <f>Exposition!R192</f>
        <v>0</v>
      </c>
      <c r="AD191" s="625">
        <f>Exposition!S192</f>
        <v>0</v>
      </c>
      <c r="AE191" s="625">
        <f>Exposition!T192</f>
        <v>0</v>
      </c>
      <c r="AF191" s="625">
        <f>Exposition!U192</f>
        <v>0.2878506826</v>
      </c>
      <c r="AG191" s="623"/>
      <c r="AH191" s="621">
        <f>PRIX!A192</f>
        <v>45971</v>
      </c>
      <c r="AI191" s="635">
        <f>PRIX!B192</f>
        <v>104000</v>
      </c>
      <c r="AJ191" s="635">
        <f>PRIX!C192</f>
        <v>3500</v>
      </c>
      <c r="AK191" s="635">
        <f>PRIX!D192</f>
        <v>2.05</v>
      </c>
      <c r="AL191" s="635">
        <f>PRIX!E192</f>
        <v>160</v>
      </c>
      <c r="AM191" s="635">
        <f>PRIX!F192</f>
        <v>380</v>
      </c>
      <c r="AN191" s="635">
        <f>PRIX!G192</f>
        <v>0.285</v>
      </c>
      <c r="AO191" s="635">
        <f>PRIX!H192</f>
        <v>16</v>
      </c>
      <c r="AP191" s="635">
        <f>PRIX!I192</f>
        <v>0.175</v>
      </c>
      <c r="AQ191" s="635">
        <f>PRIX!J192</f>
        <v>0.0000098</v>
      </c>
      <c r="AR191" s="635">
        <f>PRIX!K192</f>
        <v>2.65</v>
      </c>
      <c r="AS191" s="635">
        <f>PRIX!L192</f>
        <v>0.35</v>
      </c>
      <c r="AT191" s="635">
        <f>PRIX!M192</f>
        <v>215</v>
      </c>
      <c r="AU191" s="635">
        <f>PRIX!N192</f>
        <v>0.0034</v>
      </c>
      <c r="AV191" s="635">
        <f>PRIX!O192</f>
        <v>2.77</v>
      </c>
      <c r="AW191" s="635">
        <f>PRIX!P192</f>
        <v>0.00094</v>
      </c>
      <c r="AX191" s="635">
        <f>PRIX!Q192</f>
        <v>0.000006</v>
      </c>
      <c r="AY191" s="635">
        <f>PRIX!R192</f>
        <v>0.47</v>
      </c>
      <c r="AZ191" s="635">
        <f>PRIX!S192</f>
        <v>1.56</v>
      </c>
      <c r="BA191" s="623"/>
    </row>
    <row r="192">
      <c r="A192" s="621">
        <f>ARBITRAGES!E193</f>
        <v>45972</v>
      </c>
      <c r="B192" s="623" t="str">
        <f>IF(A192="","",IF(ARBITRAGES!F193="Invest","Achat","Vente"))</f>
        <v>Achat</v>
      </c>
      <c r="C192" s="623" t="str">
        <f>ARBITRAGES!H193</f>
        <v>BTC</v>
      </c>
      <c r="D192" s="624">
        <f>ARBITRAGES!I193</f>
        <v>104000</v>
      </c>
      <c r="E192" s="624">
        <f>ARBITRAGES!J193</f>
        <v>208</v>
      </c>
      <c r="F192" s="623"/>
      <c r="G192" s="621">
        <f>'PV (%)'!B194</f>
        <v>45981</v>
      </c>
      <c r="H192" s="624">
        <f>'PV (%)'!E194</f>
        <v>49659.33426</v>
      </c>
      <c r="I192" s="624">
        <f>'PV (%)'!F194</f>
        <v>38881.43268</v>
      </c>
      <c r="J192" s="626">
        <f>'PV (%)'!G194</f>
        <v>46470.59774</v>
      </c>
      <c r="K192" s="623"/>
      <c r="L192" s="621">
        <f>Exposition!A193</f>
        <v>45974</v>
      </c>
      <c r="M192" s="625">
        <f>Exposition!B193</f>
        <v>0.7179986395</v>
      </c>
      <c r="N192" s="625">
        <f>Exposition!C193</f>
        <v>0.4343559986</v>
      </c>
      <c r="O192" s="625">
        <f>Exposition!D193</f>
        <v>0.120226454</v>
      </c>
      <c r="P192" s="625">
        <f>Exposition!E193</f>
        <v>0.00000005236364561</v>
      </c>
      <c r="Q192" s="625">
        <f>Exposition!F193</f>
        <v>0.04960971924</v>
      </c>
      <c r="R192" s="625">
        <f>Exposition!G193</f>
        <v>0.03894128166</v>
      </c>
      <c r="S192" s="625">
        <f>Exposition!H193</f>
        <v>0</v>
      </c>
      <c r="T192" s="625">
        <f>Exposition!I193</f>
        <v>0.02485224016</v>
      </c>
      <c r="U192" s="625">
        <f>Exposition!J193</f>
        <v>0.01531463818</v>
      </c>
      <c r="V192" s="625">
        <f>Exposition!K193</f>
        <v>0</v>
      </c>
      <c r="W192" s="625">
        <f>Exposition!L193</f>
        <v>0.005504369032</v>
      </c>
      <c r="X192" s="625">
        <f>Exposition!M193</f>
        <v>0</v>
      </c>
      <c r="Y192" s="625">
        <f>Exposition!N193</f>
        <v>0.02919381699</v>
      </c>
      <c r="Z192" s="625">
        <f>Exposition!O193</f>
        <v>0</v>
      </c>
      <c r="AA192" s="625">
        <f>Exposition!P193</f>
        <v>0.00000006879832131</v>
      </c>
      <c r="AB192" s="625">
        <f>Exposition!Q193</f>
        <v>0.0000000004574850839</v>
      </c>
      <c r="AC192" s="625">
        <f>Exposition!R193</f>
        <v>0</v>
      </c>
      <c r="AD192" s="625">
        <f>Exposition!S193</f>
        <v>0</v>
      </c>
      <c r="AE192" s="625">
        <f>Exposition!T193</f>
        <v>0</v>
      </c>
      <c r="AF192" s="625">
        <f>Exposition!U193</f>
        <v>0.2820013605</v>
      </c>
      <c r="AG192" s="623"/>
      <c r="AH192" s="621">
        <f>PRIX!A193</f>
        <v>45972</v>
      </c>
      <c r="AI192" s="635">
        <f>PRIX!B193</f>
        <v>104000</v>
      </c>
      <c r="AJ192" s="635">
        <f>PRIX!C193</f>
        <v>3500</v>
      </c>
      <c r="AK192" s="635">
        <f>PRIX!D193</f>
        <v>2.05</v>
      </c>
      <c r="AL192" s="635">
        <f>PRIX!E193</f>
        <v>160</v>
      </c>
      <c r="AM192" s="635">
        <f>PRIX!F193</f>
        <v>380</v>
      </c>
      <c r="AN192" s="635">
        <f>PRIX!G193</f>
        <v>0.285</v>
      </c>
      <c r="AO192" s="635">
        <f>PRIX!H193</f>
        <v>16</v>
      </c>
      <c r="AP192" s="635">
        <f>PRIX!I193</f>
        <v>0.175</v>
      </c>
      <c r="AQ192" s="635">
        <f>PRIX!J193</f>
        <v>0.0000098</v>
      </c>
      <c r="AR192" s="635">
        <f>PRIX!K193</f>
        <v>2.65</v>
      </c>
      <c r="AS192" s="635">
        <f>PRIX!L193</f>
        <v>0.35</v>
      </c>
      <c r="AT192" s="635">
        <f>PRIX!M193</f>
        <v>215</v>
      </c>
      <c r="AU192" s="635">
        <f>PRIX!N193</f>
        <v>0.0034</v>
      </c>
      <c r="AV192" s="635">
        <f>PRIX!O193</f>
        <v>2.77</v>
      </c>
      <c r="AW192" s="635">
        <f>PRIX!P193</f>
        <v>0.00094</v>
      </c>
      <c r="AX192" s="635">
        <f>PRIX!Q193</f>
        <v>0.000006</v>
      </c>
      <c r="AY192" s="635">
        <f>PRIX!R193</f>
        <v>0.47</v>
      </c>
      <c r="AZ192" s="635">
        <f>PRIX!S193</f>
        <v>1.56</v>
      </c>
      <c r="BA192" s="623"/>
    </row>
    <row r="193">
      <c r="A193" s="621">
        <f>ARBITRAGES!E194</f>
        <v>45974</v>
      </c>
      <c r="B193" s="623" t="str">
        <f>IF(A193="","",IF(ARBITRAGES!F194="Invest","Achat","Vente"))</f>
        <v>Achat</v>
      </c>
      <c r="C193" s="623" t="str">
        <f>ARBITRAGES!H194</f>
        <v>BTC</v>
      </c>
      <c r="D193" s="624">
        <f>ARBITRAGES!I194</f>
        <v>98000</v>
      </c>
      <c r="E193" s="624">
        <f>ARBITRAGES!J194</f>
        <v>1100</v>
      </c>
      <c r="F193" s="623"/>
      <c r="G193" s="621">
        <f>'PV (%)'!B195</f>
        <v>45981</v>
      </c>
      <c r="H193" s="624">
        <f>'PV (%)'!E195</f>
        <v>49659.33426</v>
      </c>
      <c r="I193" s="624">
        <f>'PV (%)'!F195</f>
        <v>38881.43268</v>
      </c>
      <c r="J193" s="626">
        <f>'PV (%)'!G195</f>
        <v>46471.86585</v>
      </c>
      <c r="K193" s="623"/>
      <c r="L193" s="621">
        <f>Exposition!A194</f>
        <v>45974</v>
      </c>
      <c r="M193" s="625">
        <f>Exposition!B194</f>
        <v>0.7346983747</v>
      </c>
      <c r="N193" s="625">
        <f>Exposition!C194</f>
        <v>0.4536712137</v>
      </c>
      <c r="O193" s="625">
        <f>Exposition!D194</f>
        <v>0.1202382651</v>
      </c>
      <c r="P193" s="625">
        <f>Exposition!E194</f>
        <v>0.00000005138069948</v>
      </c>
      <c r="Q193" s="625">
        <f>Exposition!F194</f>
        <v>0.04826241326</v>
      </c>
      <c r="R193" s="625">
        <f>Exposition!G194</f>
        <v>0.03919004506</v>
      </c>
      <c r="S193" s="625">
        <f>Exposition!H194</f>
        <v>0</v>
      </c>
      <c r="T193" s="625">
        <f>Exposition!I194</f>
        <v>0.02446468505</v>
      </c>
      <c r="U193" s="625">
        <f>Exposition!J194</f>
        <v>0.01530037994</v>
      </c>
      <c r="V193" s="625">
        <f>Exposition!K194</f>
        <v>0</v>
      </c>
      <c r="W193" s="625">
        <f>Exposition!L194</f>
        <v>0.005659956465</v>
      </c>
      <c r="X193" s="625">
        <f>Exposition!M194</f>
        <v>0</v>
      </c>
      <c r="Y193" s="625">
        <f>Exposition!N194</f>
        <v>0.02791129636</v>
      </c>
      <c r="Z193" s="625">
        <f>Exposition!O194</f>
        <v>0</v>
      </c>
      <c r="AA193" s="625">
        <f>Exposition!P194</f>
        <v>0.00000006785306013</v>
      </c>
      <c r="AB193" s="625">
        <f>Exposition!Q194</f>
        <v>0.0000000004494454898</v>
      </c>
      <c r="AC193" s="625">
        <f>Exposition!R194</f>
        <v>0</v>
      </c>
      <c r="AD193" s="625">
        <f>Exposition!S194</f>
        <v>0</v>
      </c>
      <c r="AE193" s="625">
        <f>Exposition!T194</f>
        <v>0</v>
      </c>
      <c r="AF193" s="625">
        <f>Exposition!U194</f>
        <v>0.2653016253</v>
      </c>
      <c r="AG193" s="623"/>
      <c r="AH193" s="621">
        <f>PRIX!A194</f>
        <v>45974</v>
      </c>
      <c r="AI193" s="635">
        <f>PRIX!B194</f>
        <v>98000</v>
      </c>
      <c r="AJ193" s="635">
        <f>PRIX!C194</f>
        <v>3200</v>
      </c>
      <c r="AK193" s="635">
        <f>PRIX!D194</f>
        <v>2</v>
      </c>
      <c r="AL193" s="635">
        <f>PRIX!E194</f>
        <v>150</v>
      </c>
      <c r="AM193" s="635">
        <f>PRIX!F194</f>
        <v>333</v>
      </c>
      <c r="AN193" s="635">
        <f>PRIX!G194</f>
        <v>0.266</v>
      </c>
      <c r="AO193" s="635">
        <f>PRIX!H194</f>
        <v>14.65</v>
      </c>
      <c r="AP193" s="635">
        <f>PRIX!I194</f>
        <v>0.165</v>
      </c>
      <c r="AQ193" s="635">
        <f>PRIX!J194</f>
        <v>0.0000093</v>
      </c>
      <c r="AR193" s="635">
        <f>PRIX!K194</f>
        <v>2.3</v>
      </c>
      <c r="AS193" s="635">
        <f>PRIX!L194</f>
        <v>0.32</v>
      </c>
      <c r="AT193" s="635">
        <f>PRIX!M194</f>
        <v>200</v>
      </c>
      <c r="AU193" s="635">
        <f>PRIX!N194</f>
        <v>0.003</v>
      </c>
      <c r="AV193" s="635">
        <f>PRIX!O194</f>
        <v>2.5</v>
      </c>
      <c r="AW193" s="635">
        <f>PRIX!P194</f>
        <v>0.00084</v>
      </c>
      <c r="AX193" s="635">
        <f>PRIX!Q194</f>
        <v>0.0000055</v>
      </c>
      <c r="AY193" s="635">
        <f>PRIX!R194</f>
        <v>0.44</v>
      </c>
      <c r="AZ193" s="635">
        <f>PRIX!S194</f>
        <v>1.4</v>
      </c>
      <c r="BA193" s="623"/>
    </row>
    <row r="194">
      <c r="A194" s="621">
        <f>ARBITRAGES!E195</f>
        <v>45974</v>
      </c>
      <c r="B194" s="623" t="str">
        <f>IF(A194="","",IF(ARBITRAGES!F195="Invest","Achat","Vente"))</f>
        <v>Achat</v>
      </c>
      <c r="C194" s="623" t="str">
        <f>ARBITRAGES!H195</f>
        <v>BTC</v>
      </c>
      <c r="D194" s="624">
        <f>ARBITRAGES!I195</f>
        <v>96100</v>
      </c>
      <c r="E194" s="624">
        <f>ARBITRAGES!J195</f>
        <v>976.1881982</v>
      </c>
      <c r="F194" s="623"/>
      <c r="G194" s="621">
        <f>'PV (%)'!B196</f>
        <v>45982</v>
      </c>
      <c r="H194" s="624">
        <f>'PV (%)'!E196</f>
        <v>50551.41811</v>
      </c>
      <c r="I194" s="624">
        <f>'PV (%)'!F196</f>
        <v>39420.78982</v>
      </c>
      <c r="J194" s="626">
        <f>'PV (%)'!G196</f>
        <v>47074.14994</v>
      </c>
      <c r="K194" s="623"/>
      <c r="L194" s="621">
        <f>Exposition!A195</f>
        <v>45974</v>
      </c>
      <c r="M194" s="625">
        <f>Exposition!B195</f>
        <v>0.7479755088</v>
      </c>
      <c r="N194" s="625">
        <f>Exposition!C195</f>
        <v>0.4536712137</v>
      </c>
      <c r="O194" s="625">
        <f>Exposition!D195</f>
        <v>0.1335153993</v>
      </c>
      <c r="P194" s="625">
        <f>Exposition!E195</f>
        <v>0.00000005138069948</v>
      </c>
      <c r="Q194" s="625">
        <f>Exposition!F195</f>
        <v>0.04826241326</v>
      </c>
      <c r="R194" s="625">
        <f>Exposition!G195</f>
        <v>0.03919004506</v>
      </c>
      <c r="S194" s="625">
        <f>Exposition!H195</f>
        <v>0</v>
      </c>
      <c r="T194" s="625">
        <f>Exposition!I195</f>
        <v>0.02446468505</v>
      </c>
      <c r="U194" s="625">
        <f>Exposition!J195</f>
        <v>0.01530037994</v>
      </c>
      <c r="V194" s="625">
        <f>Exposition!K195</f>
        <v>0</v>
      </c>
      <c r="W194" s="625">
        <f>Exposition!L195</f>
        <v>0.005659956465</v>
      </c>
      <c r="X194" s="625">
        <f>Exposition!M195</f>
        <v>0</v>
      </c>
      <c r="Y194" s="625">
        <f>Exposition!N195</f>
        <v>0.02791129636</v>
      </c>
      <c r="Z194" s="625">
        <f>Exposition!O195</f>
        <v>0</v>
      </c>
      <c r="AA194" s="625">
        <f>Exposition!P195</f>
        <v>0.00000006785306013</v>
      </c>
      <c r="AB194" s="625">
        <f>Exposition!Q195</f>
        <v>0.0000000004494454898</v>
      </c>
      <c r="AC194" s="625">
        <f>Exposition!R195</f>
        <v>0</v>
      </c>
      <c r="AD194" s="625">
        <f>Exposition!S195</f>
        <v>0</v>
      </c>
      <c r="AE194" s="625">
        <f>Exposition!T195</f>
        <v>0</v>
      </c>
      <c r="AF194" s="625">
        <f>Exposition!U195</f>
        <v>0.2520244912</v>
      </c>
      <c r="AG194" s="623"/>
      <c r="AH194" s="621">
        <f>PRIX!A195</f>
        <v>45974</v>
      </c>
      <c r="AI194" s="635">
        <f>PRIX!B195</f>
        <v>97500</v>
      </c>
      <c r="AJ194" s="635">
        <f>PRIX!C195</f>
        <v>3180</v>
      </c>
      <c r="AK194" s="635">
        <f>PRIX!D195</f>
        <v>1.95</v>
      </c>
      <c r="AL194" s="635">
        <f>PRIX!E195</f>
        <v>145</v>
      </c>
      <c r="AM194" s="635">
        <f>PRIX!F195</f>
        <v>333</v>
      </c>
      <c r="AN194" s="635">
        <f>PRIX!G195</f>
        <v>0.26</v>
      </c>
      <c r="AO194" s="635">
        <f>PRIX!H195</f>
        <v>14.33</v>
      </c>
      <c r="AP194" s="635">
        <f>PRIX!I195</f>
        <v>0.1638</v>
      </c>
      <c r="AQ194" s="635">
        <f>PRIX!J195</f>
        <v>0.0000091</v>
      </c>
      <c r="AR194" s="635">
        <f>PRIX!K195</f>
        <v>2.35</v>
      </c>
      <c r="AS194" s="635">
        <f>PRIX!L195</f>
        <v>0.3</v>
      </c>
      <c r="AT194" s="635">
        <f>PRIX!M195</f>
        <v>190</v>
      </c>
      <c r="AU194" s="635">
        <f>PRIX!N195</f>
        <v>0.003</v>
      </c>
      <c r="AV194" s="635">
        <f>PRIX!O195</f>
        <v>2.45</v>
      </c>
      <c r="AW194" s="635">
        <f>PRIX!P195</f>
        <v>0.00082</v>
      </c>
      <c r="AX194" s="635">
        <f>PRIX!Q195</f>
        <v>0.0000053</v>
      </c>
      <c r="AY194" s="635">
        <f>PRIX!R195</f>
        <v>0.43</v>
      </c>
      <c r="AZ194" s="635">
        <f>PRIX!S195</f>
        <v>1.4</v>
      </c>
      <c r="BA194" s="623"/>
    </row>
    <row r="195">
      <c r="A195" s="621">
        <f>ARBITRAGES!E196</f>
        <v>45974</v>
      </c>
      <c r="B195" s="623" t="str">
        <f>IF(A195="","",IF(ARBITRAGES!F196="Invest","Achat","Vente"))</f>
        <v>Achat</v>
      </c>
      <c r="C195" s="623" t="str">
        <f>ARBITRAGES!H196</f>
        <v>ETH</v>
      </c>
      <c r="D195" s="624">
        <f>ARBITRAGES!I196</f>
        <v>3180</v>
      </c>
      <c r="E195" s="624">
        <f>ARBITRAGES!J196</f>
        <v>700.5479</v>
      </c>
      <c r="F195" s="623"/>
      <c r="G195" s="621">
        <f>'PV (%)'!B197</f>
        <v>45988</v>
      </c>
      <c r="H195" s="624">
        <f>'PV (%)'!E197</f>
        <v>55011.83735</v>
      </c>
      <c r="I195" s="624">
        <f>'PV (%)'!F197</f>
        <v>43146.82675</v>
      </c>
      <c r="J195" s="626">
        <f>'PV (%)'!G197</f>
        <v>50959.10987</v>
      </c>
      <c r="K195" s="623"/>
      <c r="L195" s="621">
        <f>Exposition!A196</f>
        <v>45974</v>
      </c>
      <c r="M195" s="625">
        <f>Exposition!B196</f>
        <v>0.766973775</v>
      </c>
      <c r="N195" s="625">
        <f>Exposition!C196</f>
        <v>0.4727272696</v>
      </c>
      <c r="O195" s="625">
        <f>Exposition!D196</f>
        <v>0.1334891821</v>
      </c>
      <c r="P195" s="625">
        <f>Exposition!E196</f>
        <v>0.00000005137061035</v>
      </c>
      <c r="Q195" s="625">
        <f>Exposition!F196</f>
        <v>0.04825293643</v>
      </c>
      <c r="R195" s="625">
        <f>Exposition!G196</f>
        <v>0.03918234969</v>
      </c>
      <c r="S195" s="625">
        <f>Exposition!H196</f>
        <v>0</v>
      </c>
      <c r="T195" s="625">
        <f>Exposition!I196</f>
        <v>0.02445988116</v>
      </c>
      <c r="U195" s="625">
        <f>Exposition!J196</f>
        <v>0.01529737555</v>
      </c>
      <c r="V195" s="625">
        <f>Exposition!K196</f>
        <v>0</v>
      </c>
      <c r="W195" s="625">
        <f>Exposition!L196</f>
        <v>0.005658845073</v>
      </c>
      <c r="X195" s="625">
        <f>Exposition!M196</f>
        <v>0</v>
      </c>
      <c r="Y195" s="625">
        <f>Exposition!N196</f>
        <v>0.02790581569</v>
      </c>
      <c r="Z195" s="625">
        <f>Exposition!O196</f>
        <v>0</v>
      </c>
      <c r="AA195" s="625">
        <f>Exposition!P196</f>
        <v>0.00000006783973648</v>
      </c>
      <c r="AB195" s="625">
        <f>Exposition!Q196</f>
        <v>0.0000000004493572365</v>
      </c>
      <c r="AC195" s="625">
        <f>Exposition!R196</f>
        <v>0</v>
      </c>
      <c r="AD195" s="625">
        <f>Exposition!S196</f>
        <v>0</v>
      </c>
      <c r="AE195" s="625">
        <f>Exposition!T196</f>
        <v>0</v>
      </c>
      <c r="AF195" s="625">
        <f>Exposition!U196</f>
        <v>0.233026225</v>
      </c>
      <c r="AG195" s="623"/>
      <c r="AH195" s="621">
        <f>PRIX!A196</f>
        <v>45974</v>
      </c>
      <c r="AI195" s="635">
        <f>PRIX!B196</f>
        <v>97500</v>
      </c>
      <c r="AJ195" s="635">
        <f>PRIX!C196</f>
        <v>3180</v>
      </c>
      <c r="AK195" s="635">
        <f>PRIX!D196</f>
        <v>1.95</v>
      </c>
      <c r="AL195" s="635">
        <f>PRIX!E196</f>
        <v>145</v>
      </c>
      <c r="AM195" s="635">
        <f>PRIX!F196</f>
        <v>333</v>
      </c>
      <c r="AN195" s="635">
        <f>PRIX!G196</f>
        <v>0.26</v>
      </c>
      <c r="AO195" s="635">
        <f>PRIX!H196</f>
        <v>14.33</v>
      </c>
      <c r="AP195" s="635">
        <f>PRIX!I196</f>
        <v>0.1638</v>
      </c>
      <c r="AQ195" s="635">
        <f>PRIX!J196</f>
        <v>0.0000091</v>
      </c>
      <c r="AR195" s="635">
        <f>PRIX!K196</f>
        <v>2.35</v>
      </c>
      <c r="AS195" s="635">
        <f>PRIX!L196</f>
        <v>0.3</v>
      </c>
      <c r="AT195" s="635">
        <f>PRIX!M196</f>
        <v>190</v>
      </c>
      <c r="AU195" s="635">
        <f>PRIX!N196</f>
        <v>0.003</v>
      </c>
      <c r="AV195" s="635">
        <f>PRIX!O196</f>
        <v>2.45</v>
      </c>
      <c r="AW195" s="635">
        <f>PRIX!P196</f>
        <v>0.00082</v>
      </c>
      <c r="AX195" s="635">
        <f>PRIX!Q196</f>
        <v>0.0000053</v>
      </c>
      <c r="AY195" s="635">
        <f>PRIX!R196</f>
        <v>0.43</v>
      </c>
      <c r="AZ195" s="635">
        <f>PRIX!S196</f>
        <v>1.4</v>
      </c>
      <c r="BA195" s="623"/>
    </row>
    <row r="196">
      <c r="A196" s="621">
        <f>ARBITRAGES!E197</f>
        <v>45974</v>
      </c>
      <c r="B196" s="623" t="str">
        <f>IF(A196="","",IF(ARBITRAGES!F197="Invest","Achat","Vente"))</f>
        <v>Achat</v>
      </c>
      <c r="C196" s="623" t="str">
        <f>ARBITRAGES!H197</f>
        <v>BTC</v>
      </c>
      <c r="D196" s="624">
        <f>ARBITRAGES!I197</f>
        <v>96500</v>
      </c>
      <c r="E196" s="624">
        <f>ARBITRAGES!J197</f>
        <v>1000</v>
      </c>
      <c r="F196" s="623"/>
      <c r="G196" s="621">
        <f>'PV (%)'!B198</f>
        <v>45988</v>
      </c>
      <c r="H196" s="624">
        <f>'PV (%)'!E198</f>
        <v>55011.83735</v>
      </c>
      <c r="I196" s="624">
        <f>'PV (%)'!F198</f>
        <v>43146.82675</v>
      </c>
      <c r="J196" s="626">
        <f>'PV (%)'!G198</f>
        <v>50957.50987</v>
      </c>
      <c r="K196" s="623"/>
      <c r="L196" s="621">
        <f>Exposition!A197</f>
        <v>45974</v>
      </c>
      <c r="M196" s="625">
        <f>Exposition!B197</f>
        <v>0.7859859177</v>
      </c>
      <c r="N196" s="625">
        <f>Exposition!C197</f>
        <v>0.4918265055</v>
      </c>
      <c r="O196" s="625">
        <f>Exposition!D197</f>
        <v>0.1334496711</v>
      </c>
      <c r="P196" s="625">
        <f>Exposition!E197</f>
        <v>0.00000005135540531</v>
      </c>
      <c r="Q196" s="625">
        <f>Exposition!F197</f>
        <v>0.04823865419</v>
      </c>
      <c r="R196" s="625">
        <f>Exposition!G197</f>
        <v>0.03917075222</v>
      </c>
      <c r="S196" s="625">
        <f>Exposition!H197</f>
        <v>0</v>
      </c>
      <c r="T196" s="625">
        <f>Exposition!I197</f>
        <v>0.02445264135</v>
      </c>
      <c r="U196" s="625">
        <f>Exposition!J197</f>
        <v>0.01529284773</v>
      </c>
      <c r="V196" s="625">
        <f>Exposition!K197</f>
        <v>0</v>
      </c>
      <c r="W196" s="625">
        <f>Exposition!L197</f>
        <v>0.005657170129</v>
      </c>
      <c r="X196" s="625">
        <f>Exposition!M197</f>
        <v>0</v>
      </c>
      <c r="Y196" s="625">
        <f>Exposition!N197</f>
        <v>0.02789755593</v>
      </c>
      <c r="Z196" s="625">
        <f>Exposition!O197</f>
        <v>0</v>
      </c>
      <c r="AA196" s="625">
        <f>Exposition!P197</f>
        <v>0.0000000678196568</v>
      </c>
      <c r="AB196" s="625">
        <f>Exposition!Q197</f>
        <v>0.0000000004492242326</v>
      </c>
      <c r="AC196" s="625">
        <f>Exposition!R197</f>
        <v>0</v>
      </c>
      <c r="AD196" s="625">
        <f>Exposition!S197</f>
        <v>0</v>
      </c>
      <c r="AE196" s="625">
        <f>Exposition!T197</f>
        <v>0</v>
      </c>
      <c r="AF196" s="625">
        <f>Exposition!U197</f>
        <v>0.2140140823</v>
      </c>
      <c r="AG196" s="623"/>
      <c r="AH196" s="621">
        <f>PRIX!A197</f>
        <v>45974</v>
      </c>
      <c r="AI196" s="635">
        <f>PRIX!B197</f>
        <v>97500</v>
      </c>
      <c r="AJ196" s="635">
        <f>PRIX!C197</f>
        <v>3180</v>
      </c>
      <c r="AK196" s="635">
        <f>PRIX!D197</f>
        <v>1.95</v>
      </c>
      <c r="AL196" s="635">
        <f>PRIX!E197</f>
        <v>145</v>
      </c>
      <c r="AM196" s="635">
        <f>PRIX!F197</f>
        <v>333</v>
      </c>
      <c r="AN196" s="635">
        <f>PRIX!G197</f>
        <v>0.26</v>
      </c>
      <c r="AO196" s="635">
        <f>PRIX!H197</f>
        <v>14.33</v>
      </c>
      <c r="AP196" s="635">
        <f>PRIX!I197</f>
        <v>0.1638</v>
      </c>
      <c r="AQ196" s="635">
        <f>PRIX!J197</f>
        <v>0.0000091</v>
      </c>
      <c r="AR196" s="635">
        <f>PRIX!K197</f>
        <v>2.35</v>
      </c>
      <c r="AS196" s="635">
        <f>PRIX!L197</f>
        <v>0.3</v>
      </c>
      <c r="AT196" s="635">
        <f>PRIX!M197</f>
        <v>190</v>
      </c>
      <c r="AU196" s="635">
        <f>PRIX!N197</f>
        <v>0.003</v>
      </c>
      <c r="AV196" s="635">
        <f>PRIX!O197</f>
        <v>2.45</v>
      </c>
      <c r="AW196" s="635">
        <f>PRIX!P197</f>
        <v>0.00082</v>
      </c>
      <c r="AX196" s="635">
        <f>PRIX!Q197</f>
        <v>0.0000053</v>
      </c>
      <c r="AY196" s="635">
        <f>PRIX!R197</f>
        <v>0.43</v>
      </c>
      <c r="AZ196" s="635">
        <f>PRIX!S197</f>
        <v>1.4</v>
      </c>
      <c r="BA196" s="623"/>
    </row>
    <row r="197">
      <c r="A197" s="621">
        <f>ARBITRAGES!E198</f>
        <v>45974</v>
      </c>
      <c r="B197" s="623" t="str">
        <f>IF(A197="","",IF(ARBITRAGES!F198="Invest","Achat","Vente"))</f>
        <v>Achat</v>
      </c>
      <c r="C197" s="623" t="str">
        <f>ARBITRAGES!H198</f>
        <v>BTC</v>
      </c>
      <c r="D197" s="624">
        <f>ARBITRAGES!I198</f>
        <v>96000</v>
      </c>
      <c r="E197" s="624">
        <f>ARBITRAGES!J198</f>
        <v>1000</v>
      </c>
      <c r="F197" s="623"/>
      <c r="G197" s="621">
        <f>'PV (%)'!B199</f>
        <v>45988</v>
      </c>
      <c r="H197" s="624">
        <f>'PV (%)'!E199</f>
        <v>55011.83735</v>
      </c>
      <c r="I197" s="624">
        <f>'PV (%)'!F199</f>
        <v>43146.82675</v>
      </c>
      <c r="J197" s="626">
        <f>'PV (%)'!G199</f>
        <v>50956.00987</v>
      </c>
      <c r="K197" s="623"/>
      <c r="L197" s="621">
        <f>Exposition!A198</f>
        <v>45974</v>
      </c>
      <c r="M197" s="625">
        <f>Exposition!B198</f>
        <v>0.7924182337</v>
      </c>
      <c r="N197" s="625">
        <f>Exposition!C198</f>
        <v>0.5011181445</v>
      </c>
      <c r="O197" s="625">
        <f>Exposition!D198</f>
        <v>0.1320254725</v>
      </c>
      <c r="P197" s="625">
        <f>Exposition!E198</f>
        <v>0.00000005078211677</v>
      </c>
      <c r="Q197" s="625">
        <f>Exposition!F198</f>
        <v>0.04726730763</v>
      </c>
      <c r="R197" s="625">
        <f>Exposition!G198</f>
        <v>0.03879776321</v>
      </c>
      <c r="S197" s="625">
        <f>Exposition!H198</f>
        <v>0</v>
      </c>
      <c r="T197" s="625">
        <f>Exposition!I198</f>
        <v>0.02450426478</v>
      </c>
      <c r="U197" s="625">
        <f>Exposition!J198</f>
        <v>0.01539690681</v>
      </c>
      <c r="V197" s="625">
        <f>Exposition!K198</f>
        <v>0</v>
      </c>
      <c r="W197" s="625">
        <f>Exposition!L198</f>
        <v>0.005741229247</v>
      </c>
      <c r="X197" s="625">
        <f>Exposition!M198</f>
        <v>0</v>
      </c>
      <c r="Y197" s="625">
        <f>Exposition!N198</f>
        <v>0.02756702712</v>
      </c>
      <c r="Z197" s="625">
        <f>Exposition!O198</f>
        <v>0</v>
      </c>
      <c r="AA197" s="625">
        <f>Exposition!P198</f>
        <v>0.00000006657995517</v>
      </c>
      <c r="AB197" s="625">
        <f>Exposition!Q198</f>
        <v>0.0000000004503394479</v>
      </c>
      <c r="AC197" s="625">
        <f>Exposition!R198</f>
        <v>0</v>
      </c>
      <c r="AD197" s="625">
        <f>Exposition!S198</f>
        <v>0</v>
      </c>
      <c r="AE197" s="625">
        <f>Exposition!T198</f>
        <v>0</v>
      </c>
      <c r="AF197" s="625">
        <f>Exposition!U198</f>
        <v>0.2075817663</v>
      </c>
      <c r="AG197" s="623"/>
      <c r="AH197" s="621">
        <f>PRIX!A198</f>
        <v>45974</v>
      </c>
      <c r="AI197" s="635">
        <f>PRIX!B198</f>
        <v>97500</v>
      </c>
      <c r="AJ197" s="635">
        <f>PRIX!C198</f>
        <v>3180</v>
      </c>
      <c r="AK197" s="635">
        <f>PRIX!D198</f>
        <v>1.95</v>
      </c>
      <c r="AL197" s="635">
        <f>PRIX!E198</f>
        <v>145</v>
      </c>
      <c r="AM197" s="635">
        <f>PRIX!F198</f>
        <v>333</v>
      </c>
      <c r="AN197" s="635">
        <f>PRIX!G198</f>
        <v>0.26</v>
      </c>
      <c r="AO197" s="635">
        <f>PRIX!H198</f>
        <v>14.33</v>
      </c>
      <c r="AP197" s="635">
        <f>PRIX!I198</f>
        <v>0.1638</v>
      </c>
      <c r="AQ197" s="635">
        <f>PRIX!J198</f>
        <v>0.0000091</v>
      </c>
      <c r="AR197" s="635">
        <f>PRIX!K198</f>
        <v>2.35</v>
      </c>
      <c r="AS197" s="635">
        <f>PRIX!L198</f>
        <v>0.3</v>
      </c>
      <c r="AT197" s="635">
        <f>PRIX!M198</f>
        <v>190</v>
      </c>
      <c r="AU197" s="635">
        <f>PRIX!N198</f>
        <v>0.003</v>
      </c>
      <c r="AV197" s="635">
        <f>PRIX!O198</f>
        <v>2.45</v>
      </c>
      <c r="AW197" s="635">
        <f>PRIX!P198</f>
        <v>0.00082</v>
      </c>
      <c r="AX197" s="635">
        <f>PRIX!Q198</f>
        <v>0.0000053</v>
      </c>
      <c r="AY197" s="635">
        <f>PRIX!R198</f>
        <v>0.43</v>
      </c>
      <c r="AZ197" s="635">
        <f>PRIX!S198</f>
        <v>1.4</v>
      </c>
      <c r="BA197" s="623"/>
    </row>
    <row r="198">
      <c r="A198" s="621">
        <f>ARBITRAGES!E199</f>
        <v>45974</v>
      </c>
      <c r="B198" s="623" t="str">
        <f>IF(A198="","",IF(ARBITRAGES!F199="Invest","Achat","Vente"))</f>
        <v>Achat</v>
      </c>
      <c r="C198" s="623" t="str">
        <f>ARBITRAGES!H199</f>
        <v>BTC</v>
      </c>
      <c r="D198" s="624">
        <f>ARBITRAGES!I199</f>
        <v>95500</v>
      </c>
      <c r="E198" s="624">
        <f>ARBITRAGES!J199</f>
        <v>500</v>
      </c>
      <c r="F198" s="623"/>
      <c r="G198" s="621">
        <f>'PV (%)'!B200</f>
        <v>45989</v>
      </c>
      <c r="H198" s="624">
        <f>'PV (%)'!E200</f>
        <v>55011.83735</v>
      </c>
      <c r="I198" s="624">
        <f>'PV (%)'!F200</f>
        <v>43146.82675</v>
      </c>
      <c r="J198" s="626">
        <f>'PV (%)'!G200</f>
        <v>50952.25987</v>
      </c>
      <c r="K198" s="623"/>
      <c r="L198" s="621">
        <f>Exposition!A199</f>
        <v>45974</v>
      </c>
      <c r="M198" s="625">
        <f>Exposition!B199</f>
        <v>0.8116809868</v>
      </c>
      <c r="N198" s="625">
        <f>Exposition!C199</f>
        <v>0.5204398345</v>
      </c>
      <c r="O198" s="625">
        <f>Exposition!D199</f>
        <v>0.1319987607</v>
      </c>
      <c r="P198" s="625">
        <f>Exposition!E199</f>
        <v>0.00000005077184235</v>
      </c>
      <c r="Q198" s="625">
        <f>Exposition!F199</f>
        <v>0.04725774434</v>
      </c>
      <c r="R198" s="625">
        <f>Exposition!G199</f>
        <v>0.03878991351</v>
      </c>
      <c r="S198" s="625">
        <f>Exposition!H199</f>
        <v>0</v>
      </c>
      <c r="T198" s="625">
        <f>Exposition!I199</f>
        <v>0.02449930698</v>
      </c>
      <c r="U198" s="625">
        <f>Exposition!J199</f>
        <v>0.01539379165</v>
      </c>
      <c r="V198" s="625">
        <f>Exposition!K199</f>
        <v>0</v>
      </c>
      <c r="W198" s="625">
        <f>Exposition!L199</f>
        <v>0.00574006766</v>
      </c>
      <c r="X198" s="625">
        <f>Exposition!M199</f>
        <v>0</v>
      </c>
      <c r="Y198" s="625">
        <f>Exposition!N199</f>
        <v>0.02756144965</v>
      </c>
      <c r="Z198" s="625">
        <f>Exposition!O199</f>
        <v>0</v>
      </c>
      <c r="AA198" s="625">
        <f>Exposition!P199</f>
        <v>0.00000006656648447</v>
      </c>
      <c r="AB198" s="625">
        <f>Exposition!Q199</f>
        <v>0.0000000004502483335</v>
      </c>
      <c r="AC198" s="625">
        <f>Exposition!R199</f>
        <v>0</v>
      </c>
      <c r="AD198" s="625">
        <f>Exposition!S199</f>
        <v>0</v>
      </c>
      <c r="AE198" s="625">
        <f>Exposition!T199</f>
        <v>0</v>
      </c>
      <c r="AF198" s="625">
        <f>Exposition!U199</f>
        <v>0.1883190132</v>
      </c>
      <c r="AG198" s="623"/>
      <c r="AH198" s="621">
        <f>PRIX!A199</f>
        <v>45974</v>
      </c>
      <c r="AI198" s="635">
        <f>PRIX!B199</f>
        <v>96000</v>
      </c>
      <c r="AJ198" s="635">
        <f>PRIX!C199</f>
        <v>3100</v>
      </c>
      <c r="AK198" s="635">
        <f>PRIX!D199</f>
        <v>1.9</v>
      </c>
      <c r="AL198" s="635">
        <f>PRIX!E199</f>
        <v>140</v>
      </c>
      <c r="AM198" s="635">
        <f>PRIX!F199</f>
        <v>325</v>
      </c>
      <c r="AN198" s="635">
        <f>PRIX!G199</f>
        <v>0.26</v>
      </c>
      <c r="AO198" s="635">
        <f>PRIX!H199</f>
        <v>14.15</v>
      </c>
      <c r="AP198" s="635">
        <f>PRIX!I199</f>
        <v>0.1625</v>
      </c>
      <c r="AQ198" s="635">
        <f>PRIX!J199</f>
        <v>0.0000091</v>
      </c>
      <c r="AR198" s="635">
        <f>PRIX!K199</f>
        <v>2.35</v>
      </c>
      <c r="AS198" s="635">
        <f>PRIX!L199</f>
        <v>0.29</v>
      </c>
      <c r="AT198" s="635">
        <f>PRIX!M199</f>
        <v>185</v>
      </c>
      <c r="AU198" s="635">
        <f>PRIX!N199</f>
        <v>0.003</v>
      </c>
      <c r="AV198" s="635">
        <f>PRIX!O199</f>
        <v>2.37</v>
      </c>
      <c r="AW198" s="635">
        <f>PRIX!P199</f>
        <v>0.00081</v>
      </c>
      <c r="AX198" s="635">
        <f>PRIX!Q199</f>
        <v>0.00000525</v>
      </c>
      <c r="AY198" s="635">
        <f>PRIX!R199</f>
        <v>0.427</v>
      </c>
      <c r="AZ198" s="635">
        <f>PRIX!S199</f>
        <v>1.37</v>
      </c>
      <c r="BA198" s="623"/>
    </row>
    <row r="199">
      <c r="A199" s="621">
        <f>ARBITRAGES!E200</f>
        <v>45974</v>
      </c>
      <c r="B199" s="623" t="str">
        <f>IF(A199="","",IF(ARBITRAGES!F200="Invest","Achat","Vente"))</f>
        <v>Achat</v>
      </c>
      <c r="C199" s="623" t="str">
        <f>ARBITRAGES!H200</f>
        <v>BTC</v>
      </c>
      <c r="D199" s="624">
        <f>ARBITRAGES!I200</f>
        <v>95000</v>
      </c>
      <c r="E199" s="624">
        <f>ARBITRAGES!J200</f>
        <v>1000</v>
      </c>
      <c r="F199" s="623"/>
      <c r="G199" s="621">
        <f>'PV (%)'!B201</f>
        <v>45991</v>
      </c>
      <c r="H199" s="624">
        <f>'PV (%)'!E201</f>
        <v>51740.86324</v>
      </c>
      <c r="I199" s="624">
        <f>'PV (%)'!F201</f>
        <v>40064.55148</v>
      </c>
      <c r="J199" s="626">
        <f>'PV (%)'!G201</f>
        <v>47959.81892</v>
      </c>
      <c r="K199" s="623"/>
      <c r="L199" s="621">
        <f>Exposition!A200</f>
        <v>45974</v>
      </c>
      <c r="M199" s="625">
        <f>Exposition!B200</f>
        <v>0.8202379887</v>
      </c>
      <c r="N199" s="625">
        <f>Exposition!C200</f>
        <v>0.5263309598</v>
      </c>
      <c r="O199" s="625">
        <f>Exposition!D200</f>
        <v>0.1333351737</v>
      </c>
      <c r="P199" s="625">
        <f>Exposition!E200</f>
        <v>0.00000005131134331</v>
      </c>
      <c r="Q199" s="625">
        <f>Exposition!F200</f>
        <v>0.0481972663</v>
      </c>
      <c r="R199" s="625">
        <f>Exposition!G200</f>
        <v>0.03913714443</v>
      </c>
      <c r="S199" s="625">
        <f>Exposition!H200</f>
        <v>0</v>
      </c>
      <c r="T199" s="625">
        <f>Exposition!I200</f>
        <v>0.02443166143</v>
      </c>
      <c r="U199" s="625">
        <f>Exposition!J200</f>
        <v>0.01527972675</v>
      </c>
      <c r="V199" s="625">
        <f>Exposition!K200</f>
        <v>0</v>
      </c>
      <c r="W199" s="625">
        <f>Exposition!L200</f>
        <v>0.00565231638</v>
      </c>
      <c r="X199" s="625">
        <f>Exposition!M200</f>
        <v>0</v>
      </c>
      <c r="Y199" s="625">
        <f>Exposition!N200</f>
        <v>0.02787362034</v>
      </c>
      <c r="Z199" s="625">
        <f>Exposition!O200</f>
        <v>0</v>
      </c>
      <c r="AA199" s="625">
        <f>Exposition!P200</f>
        <v>0.00000006776146877</v>
      </c>
      <c r="AB199" s="625">
        <f>Exposition!Q200</f>
        <v>0.0000000004488388064</v>
      </c>
      <c r="AC199" s="625">
        <f>Exposition!R200</f>
        <v>0</v>
      </c>
      <c r="AD199" s="625">
        <f>Exposition!S200</f>
        <v>0</v>
      </c>
      <c r="AE199" s="625">
        <f>Exposition!T200</f>
        <v>0</v>
      </c>
      <c r="AF199" s="625">
        <f>Exposition!U200</f>
        <v>0.1797620113</v>
      </c>
      <c r="AG199" s="623"/>
      <c r="AH199" s="621">
        <f>PRIX!A200</f>
        <v>45974</v>
      </c>
      <c r="AI199" s="635">
        <f>PRIX!B200</f>
        <v>96000</v>
      </c>
      <c r="AJ199" s="635">
        <f>PRIX!C200</f>
        <v>3100</v>
      </c>
      <c r="AK199" s="635">
        <f>PRIX!D200</f>
        <v>1.9</v>
      </c>
      <c r="AL199" s="635">
        <f>PRIX!E200</f>
        <v>140</v>
      </c>
      <c r="AM199" s="635">
        <f>PRIX!F200</f>
        <v>325</v>
      </c>
      <c r="AN199" s="635">
        <f>PRIX!G200</f>
        <v>0.26</v>
      </c>
      <c r="AO199" s="635">
        <f>PRIX!H200</f>
        <v>14.15</v>
      </c>
      <c r="AP199" s="635">
        <f>PRIX!I200</f>
        <v>0.1625</v>
      </c>
      <c r="AQ199" s="635">
        <f>PRIX!J200</f>
        <v>0.0000091</v>
      </c>
      <c r="AR199" s="635">
        <f>PRIX!K200</f>
        <v>2.35</v>
      </c>
      <c r="AS199" s="635">
        <f>PRIX!L200</f>
        <v>0.29</v>
      </c>
      <c r="AT199" s="635">
        <f>PRIX!M200</f>
        <v>185</v>
      </c>
      <c r="AU199" s="635">
        <f>PRIX!N200</f>
        <v>0.003</v>
      </c>
      <c r="AV199" s="635">
        <f>PRIX!O200</f>
        <v>2.37</v>
      </c>
      <c r="AW199" s="635">
        <f>PRIX!P200</f>
        <v>0.00081</v>
      </c>
      <c r="AX199" s="635">
        <f>PRIX!Q200</f>
        <v>0.00000525</v>
      </c>
      <c r="AY199" s="635">
        <f>PRIX!R200</f>
        <v>0.427</v>
      </c>
      <c r="AZ199" s="635">
        <f>PRIX!S200</f>
        <v>1.37</v>
      </c>
      <c r="BA199" s="623"/>
    </row>
    <row r="200">
      <c r="A200" s="621">
        <f>ARBITRAGES!E201</f>
        <v>45974</v>
      </c>
      <c r="B200" s="623" t="str">
        <f>IF(A200="","",IF(ARBITRAGES!F201="Invest","Achat","Vente"))</f>
        <v>Achat</v>
      </c>
      <c r="C200" s="623" t="str">
        <f>ARBITRAGES!H201</f>
        <v>BTC</v>
      </c>
      <c r="D200" s="624">
        <f>ARBITRAGES!I201</f>
        <v>94800</v>
      </c>
      <c r="E200" s="624">
        <f>ARBITRAGES!J201</f>
        <v>300</v>
      </c>
      <c r="F200" s="623"/>
      <c r="G200" s="621">
        <f>'PV (%)'!B202</f>
        <v>45992</v>
      </c>
      <c r="H200" s="624">
        <f>'PV (%)'!E202</f>
        <v>51740.86324</v>
      </c>
      <c r="I200" s="624">
        <f>'PV (%)'!F202</f>
        <v>40064.55148</v>
      </c>
      <c r="J200" s="626">
        <f>'PV (%)'!G202</f>
        <v>47966.31892</v>
      </c>
      <c r="K200" s="623"/>
      <c r="L200" s="621">
        <f>Exposition!A201</f>
        <v>45975</v>
      </c>
      <c r="M200" s="625">
        <f>Exposition!B201</f>
        <v>0.8297508375</v>
      </c>
      <c r="N200" s="625">
        <f>Exposition!C201</f>
        <v>0.5359290482</v>
      </c>
      <c r="O200" s="625">
        <f>Exposition!D201</f>
        <v>0.1332965036</v>
      </c>
      <c r="P200" s="625">
        <f>Exposition!E201</f>
        <v>0.0000000512964619</v>
      </c>
      <c r="Q200" s="625">
        <f>Exposition!F201</f>
        <v>0.04818328804</v>
      </c>
      <c r="R200" s="625">
        <f>Exposition!G201</f>
        <v>0.0391257938</v>
      </c>
      <c r="S200" s="625">
        <f>Exposition!H201</f>
        <v>0</v>
      </c>
      <c r="T200" s="625">
        <f>Exposition!I201</f>
        <v>0.02442457571</v>
      </c>
      <c r="U200" s="625">
        <f>Exposition!J201</f>
        <v>0.01527529529</v>
      </c>
      <c r="V200" s="625">
        <f>Exposition!K201</f>
        <v>0</v>
      </c>
      <c r="W200" s="625">
        <f>Exposition!L201</f>
        <v>0.005650677085</v>
      </c>
      <c r="X200" s="625">
        <f>Exposition!M201</f>
        <v>0</v>
      </c>
      <c r="Y200" s="625">
        <f>Exposition!N201</f>
        <v>0.02786553638</v>
      </c>
      <c r="Z200" s="625">
        <f>Exposition!O201</f>
        <v>0</v>
      </c>
      <c r="AA200" s="625">
        <f>Exposition!P201</f>
        <v>0.00000006774181646</v>
      </c>
      <c r="AB200" s="625">
        <f>Exposition!Q201</f>
        <v>0.0000000004487086334</v>
      </c>
      <c r="AC200" s="625">
        <f>Exposition!R201</f>
        <v>0</v>
      </c>
      <c r="AD200" s="625">
        <f>Exposition!S201</f>
        <v>0</v>
      </c>
      <c r="AE200" s="625">
        <f>Exposition!T201</f>
        <v>0</v>
      </c>
      <c r="AF200" s="625">
        <f>Exposition!U201</f>
        <v>0.1702491625</v>
      </c>
      <c r="AG200" s="623"/>
      <c r="AH200" s="621">
        <f>PRIX!A201</f>
        <v>45974</v>
      </c>
      <c r="AI200" s="635">
        <f>PRIX!B201</f>
        <v>97500</v>
      </c>
      <c r="AJ200" s="635">
        <f>PRIX!C201</f>
        <v>3180</v>
      </c>
      <c r="AK200" s="635">
        <f>PRIX!D201</f>
        <v>1.95</v>
      </c>
      <c r="AL200" s="635">
        <f>PRIX!E201</f>
        <v>145</v>
      </c>
      <c r="AM200" s="635">
        <f>PRIX!F201</f>
        <v>333</v>
      </c>
      <c r="AN200" s="635">
        <f>PRIX!G201</f>
        <v>0.26</v>
      </c>
      <c r="AO200" s="635">
        <f>PRIX!H201</f>
        <v>14.33</v>
      </c>
      <c r="AP200" s="635">
        <f>PRIX!I201</f>
        <v>0.1638</v>
      </c>
      <c r="AQ200" s="635">
        <f>PRIX!J201</f>
        <v>0.0000091</v>
      </c>
      <c r="AR200" s="635">
        <f>PRIX!K201</f>
        <v>2.35</v>
      </c>
      <c r="AS200" s="635">
        <f>PRIX!L201</f>
        <v>0.3</v>
      </c>
      <c r="AT200" s="635">
        <f>PRIX!M201</f>
        <v>190</v>
      </c>
      <c r="AU200" s="635">
        <f>PRIX!N201</f>
        <v>0.003</v>
      </c>
      <c r="AV200" s="635">
        <f>PRIX!O201</f>
        <v>2.45</v>
      </c>
      <c r="AW200" s="635">
        <f>PRIX!P201</f>
        <v>0.00082</v>
      </c>
      <c r="AX200" s="635">
        <f>PRIX!Q201</f>
        <v>0.0000053</v>
      </c>
      <c r="AY200" s="635">
        <f>PRIX!R201</f>
        <v>0.43</v>
      </c>
      <c r="AZ200" s="635">
        <f>PRIX!S201</f>
        <v>1.4</v>
      </c>
      <c r="BA200" s="623"/>
    </row>
    <row r="201">
      <c r="A201" s="621">
        <f>ARBITRAGES!E202</f>
        <v>45975</v>
      </c>
      <c r="B201" s="623" t="str">
        <f>IF(A201="","",IF(ARBITRAGES!F202="Invest","Achat","Vente"))</f>
        <v>Achat</v>
      </c>
      <c r="C201" s="623" t="str">
        <f>ARBITRAGES!H202</f>
        <v>BTC</v>
      </c>
      <c r="D201" s="624">
        <f>ARBITRAGES!I202</f>
        <v>94600</v>
      </c>
      <c r="E201" s="624">
        <f>ARBITRAGES!J202</f>
        <v>500</v>
      </c>
      <c r="F201" s="623"/>
      <c r="G201" s="621">
        <f>'PV (%)'!B203</f>
        <v>45992</v>
      </c>
      <c r="H201" s="624">
        <f>'PV (%)'!E203</f>
        <v>51740.86324</v>
      </c>
      <c r="I201" s="624">
        <f>'PV (%)'!F203</f>
        <v>40064.55148</v>
      </c>
      <c r="J201" s="626">
        <f>'PV (%)'!G203</f>
        <v>47956.31892</v>
      </c>
      <c r="K201" s="623"/>
      <c r="L201" s="621">
        <f>Exposition!A202</f>
        <v>45977</v>
      </c>
      <c r="M201" s="625">
        <f>Exposition!B202</f>
        <v>0.8303870848</v>
      </c>
      <c r="N201" s="625">
        <f>Exposition!C202</f>
        <v>0.5423344857</v>
      </c>
      <c r="O201" s="625">
        <f>Exposition!D202</f>
        <v>0.1324587448</v>
      </c>
      <c r="P201" s="625">
        <f>Exposition!E202</f>
        <v>0.0000000484907154</v>
      </c>
      <c r="Q201" s="625">
        <f>Exposition!F202</f>
        <v>0.04550294714</v>
      </c>
      <c r="R201" s="625">
        <f>Exposition!G202</f>
        <v>0.03836616277</v>
      </c>
      <c r="S201" s="625">
        <f>Exposition!H202</f>
        <v>0</v>
      </c>
      <c r="T201" s="625">
        <f>Exposition!I202</f>
        <v>0.02423719456</v>
      </c>
      <c r="U201" s="625">
        <f>Exposition!J202</f>
        <v>0.01532385586</v>
      </c>
      <c r="V201" s="625">
        <f>Exposition!K202</f>
        <v>0</v>
      </c>
      <c r="W201" s="625">
        <f>Exposition!L202</f>
        <v>0.005901416835</v>
      </c>
      <c r="X201" s="625">
        <f>Exposition!M202</f>
        <v>0</v>
      </c>
      <c r="Y201" s="625">
        <f>Exposition!N202</f>
        <v>0.02626216166</v>
      </c>
      <c r="Z201" s="625">
        <f>Exposition!O202</f>
        <v>0</v>
      </c>
      <c r="AA201" s="625">
        <f>Exposition!P202</f>
        <v>0.00000006640386276</v>
      </c>
      <c r="AB201" s="625">
        <f>Exposition!Q202</f>
        <v>0.0000000004956975443</v>
      </c>
      <c r="AC201" s="625">
        <f>Exposition!R202</f>
        <v>0</v>
      </c>
      <c r="AD201" s="625">
        <f>Exposition!S202</f>
        <v>0</v>
      </c>
      <c r="AE201" s="625">
        <f>Exposition!T202</f>
        <v>0</v>
      </c>
      <c r="AF201" s="625">
        <f>Exposition!U202</f>
        <v>0.1696129152</v>
      </c>
      <c r="AG201" s="623"/>
      <c r="AH201" s="621">
        <f>PRIX!A202</f>
        <v>45975</v>
      </c>
      <c r="AI201" s="635">
        <f>PRIX!B202</f>
        <v>97500</v>
      </c>
      <c r="AJ201" s="635">
        <f>PRIX!C202</f>
        <v>3180</v>
      </c>
      <c r="AK201" s="635">
        <f>PRIX!D202</f>
        <v>1.95</v>
      </c>
      <c r="AL201" s="635">
        <f>PRIX!E202</f>
        <v>145</v>
      </c>
      <c r="AM201" s="635">
        <f>PRIX!F202</f>
        <v>333</v>
      </c>
      <c r="AN201" s="635">
        <f>PRIX!G202</f>
        <v>0.26</v>
      </c>
      <c r="AO201" s="635">
        <f>PRIX!H202</f>
        <v>14.33</v>
      </c>
      <c r="AP201" s="635">
        <f>PRIX!I202</f>
        <v>0.1638</v>
      </c>
      <c r="AQ201" s="635">
        <f>PRIX!J202</f>
        <v>0.0000091</v>
      </c>
      <c r="AR201" s="635">
        <f>PRIX!K202</f>
        <v>2.35</v>
      </c>
      <c r="AS201" s="635">
        <f>PRIX!L202</f>
        <v>0.3</v>
      </c>
      <c r="AT201" s="635">
        <f>PRIX!M202</f>
        <v>190</v>
      </c>
      <c r="AU201" s="635">
        <f>PRIX!N202</f>
        <v>0.003</v>
      </c>
      <c r="AV201" s="635">
        <f>PRIX!O202</f>
        <v>2.45</v>
      </c>
      <c r="AW201" s="635">
        <f>PRIX!P202</f>
        <v>0.00082</v>
      </c>
      <c r="AX201" s="635">
        <f>PRIX!Q202</f>
        <v>0.0000053</v>
      </c>
      <c r="AY201" s="635">
        <f>PRIX!R202</f>
        <v>0.43</v>
      </c>
      <c r="AZ201" s="635">
        <f>PRIX!S202</f>
        <v>1.4</v>
      </c>
      <c r="BA201" s="623"/>
    </row>
    <row r="202">
      <c r="A202" s="621">
        <f>ARBITRAGES!E203</f>
        <v>45977</v>
      </c>
      <c r="B202" s="623" t="str">
        <f>IF(A202="","",IF(ARBITRAGES!F203="Invest","Achat","Vente"))</f>
        <v>Achat</v>
      </c>
      <c r="C202" s="623" t="str">
        <f>ARBITRAGES!H203</f>
        <v>BTC</v>
      </c>
      <c r="D202" s="624">
        <f>ARBITRAGES!I203</f>
        <v>92500</v>
      </c>
      <c r="E202" s="624">
        <f>ARBITRAGES!J203</f>
        <v>487.54</v>
      </c>
      <c r="F202" s="623"/>
      <c r="G202" s="621">
        <f>'PV (%)'!B204</f>
        <v>45992</v>
      </c>
      <c r="H202" s="624">
        <f>'PV (%)'!E204</f>
        <v>51740.86324</v>
      </c>
      <c r="I202" s="624">
        <f>'PV (%)'!F204</f>
        <v>40064.55148</v>
      </c>
      <c r="J202" s="626">
        <f>'PV (%)'!G204</f>
        <v>47958.32158</v>
      </c>
      <c r="K202" s="623"/>
      <c r="L202" s="621">
        <f>Exposition!A203</f>
        <v>45977</v>
      </c>
      <c r="M202" s="625">
        <f>Exposition!B203</f>
        <v>0.8386602497</v>
      </c>
      <c r="N202" s="625">
        <f>Exposition!C203</f>
        <v>0.542194004</v>
      </c>
      <c r="O202" s="625">
        <f>Exposition!D203</f>
        <v>0.1409126951</v>
      </c>
      <c r="P202" s="625">
        <f>Exposition!E203</f>
        <v>0.00000004847815478</v>
      </c>
      <c r="Q202" s="625">
        <f>Exposition!F203</f>
        <v>0.04549116045</v>
      </c>
      <c r="R202" s="625">
        <f>Exposition!G203</f>
        <v>0.03835622473</v>
      </c>
      <c r="S202" s="625">
        <f>Exposition!H203</f>
        <v>0</v>
      </c>
      <c r="T202" s="625">
        <f>Exposition!I203</f>
        <v>0.02423091637</v>
      </c>
      <c r="U202" s="625">
        <f>Exposition!J203</f>
        <v>0.0153198865</v>
      </c>
      <c r="V202" s="625">
        <f>Exposition!K203</f>
        <v>0</v>
      </c>
      <c r="W202" s="625">
        <f>Exposition!L203</f>
        <v>0.005899888183</v>
      </c>
      <c r="X202" s="625">
        <f>Exposition!M203</f>
        <v>0</v>
      </c>
      <c r="Y202" s="625">
        <f>Exposition!N203</f>
        <v>0.02625535894</v>
      </c>
      <c r="Z202" s="625">
        <f>Exposition!O203</f>
        <v>0</v>
      </c>
      <c r="AA202" s="625">
        <f>Exposition!P203</f>
        <v>0.00000006638666208</v>
      </c>
      <c r="AB202" s="625">
        <f>Exposition!Q203</f>
        <v>0.000000000495569143</v>
      </c>
      <c r="AC202" s="625">
        <f>Exposition!R203</f>
        <v>0</v>
      </c>
      <c r="AD202" s="625">
        <f>Exposition!S203</f>
        <v>0</v>
      </c>
      <c r="AE202" s="625">
        <f>Exposition!T203</f>
        <v>0</v>
      </c>
      <c r="AF202" s="625">
        <f>Exposition!U203</f>
        <v>0.1613397503</v>
      </c>
      <c r="AG202" s="623"/>
      <c r="AH202" s="621">
        <f>PRIX!A203</f>
        <v>45977</v>
      </c>
      <c r="AI202" s="635">
        <f>PRIX!B203</f>
        <v>92000</v>
      </c>
      <c r="AJ202" s="635">
        <f>PRIX!C203</f>
        <v>3000</v>
      </c>
      <c r="AK202" s="635">
        <f>PRIX!D203</f>
        <v>1.75</v>
      </c>
      <c r="AL202" s="635">
        <f>PRIX!E203</f>
        <v>130</v>
      </c>
      <c r="AM202" s="635">
        <f>PRIX!F203</f>
        <v>310</v>
      </c>
      <c r="AN202" s="635">
        <f>PRIX!G203</f>
        <v>0.24</v>
      </c>
      <c r="AO202" s="635">
        <f>PRIX!H203</f>
        <v>13.5</v>
      </c>
      <c r="AP202" s="635">
        <f>PRIX!I203</f>
        <v>0.156</v>
      </c>
      <c r="AQ202" s="635">
        <f>PRIX!J203</f>
        <v>0.0000087</v>
      </c>
      <c r="AR202" s="635">
        <f>PRIX!K203</f>
        <v>2.33</v>
      </c>
      <c r="AS202" s="635">
        <f>PRIX!L203</f>
        <v>0.265</v>
      </c>
      <c r="AT202" s="635">
        <f>PRIX!M203</f>
        <v>170</v>
      </c>
      <c r="AU202" s="635">
        <f>PRIX!N203</f>
        <v>0.003</v>
      </c>
      <c r="AV202" s="635">
        <f>PRIX!O203</f>
        <v>2.28</v>
      </c>
      <c r="AW202" s="635">
        <f>PRIX!P203</f>
        <v>0.00086</v>
      </c>
      <c r="AX202" s="635">
        <f>PRIX!Q203</f>
        <v>0.0000048</v>
      </c>
      <c r="AY202" s="635">
        <f>PRIX!R203</f>
        <v>0.4</v>
      </c>
      <c r="AZ202" s="635">
        <f>PRIX!S203</f>
        <v>1.2</v>
      </c>
      <c r="BA202" s="623"/>
    </row>
    <row r="203">
      <c r="A203" s="621">
        <f>ARBITRAGES!E204</f>
        <v>45977</v>
      </c>
      <c r="B203" s="623" t="str">
        <f>IF(A203="","",IF(ARBITRAGES!F204="Invest","Achat","Vente"))</f>
        <v>Achat</v>
      </c>
      <c r="C203" s="623" t="str">
        <f>ARBITRAGES!H204</f>
        <v>ETH</v>
      </c>
      <c r="D203" s="624">
        <f>ARBITRAGES!I204</f>
        <v>2950</v>
      </c>
      <c r="E203" s="624">
        <f>ARBITRAGES!J204</f>
        <v>413</v>
      </c>
      <c r="F203" s="623"/>
      <c r="G203" s="621">
        <f>'PV (%)'!B205</f>
        <v>45992</v>
      </c>
      <c r="H203" s="624">
        <f>'PV (%)'!E205</f>
        <v>53525.03094</v>
      </c>
      <c r="I203" s="624">
        <f>'PV (%)'!F205</f>
        <v>41394.68662</v>
      </c>
      <c r="J203" s="626">
        <f>'PV (%)'!G205</f>
        <v>49246.0262</v>
      </c>
      <c r="K203" s="623"/>
      <c r="L203" s="621">
        <f>Exposition!A204</f>
        <v>45978</v>
      </c>
      <c r="M203" s="625">
        <f>Exposition!B204</f>
        <v>0.8366945495</v>
      </c>
      <c r="N203" s="625">
        <f>Exposition!C204</f>
        <v>0.544755477</v>
      </c>
      <c r="O203" s="625">
        <f>Exposition!D204</f>
        <v>0.1415784053</v>
      </c>
      <c r="P203" s="625">
        <f>Exposition!E204</f>
        <v>0.00000004870717886</v>
      </c>
      <c r="Q203" s="625">
        <f>Exposition!F204</f>
        <v>0.04570607314</v>
      </c>
      <c r="R203" s="625">
        <f>Exposition!G204</f>
        <v>0.03853743004</v>
      </c>
      <c r="S203" s="625">
        <f>Exposition!H204</f>
        <v>0</v>
      </c>
      <c r="T203" s="625">
        <f>Exposition!I204</f>
        <v>0.02434538985</v>
      </c>
      <c r="U203" s="625">
        <f>Exposition!J204</f>
        <v>0.01539226184</v>
      </c>
      <c r="V203" s="625">
        <f>Exposition!K204</f>
        <v>0</v>
      </c>
      <c r="W203" s="625">
        <f>Exposition!L204</f>
        <v>0</v>
      </c>
      <c r="X203" s="625">
        <f>Exposition!M204</f>
        <v>0</v>
      </c>
      <c r="Y203" s="625">
        <f>Exposition!N204</f>
        <v>0.02637939644</v>
      </c>
      <c r="Z203" s="625">
        <f>Exposition!O204</f>
        <v>0</v>
      </c>
      <c r="AA203" s="625">
        <f>Exposition!P204</f>
        <v>0.00000006670029085</v>
      </c>
      <c r="AB203" s="625">
        <f>Exposition!Q204</f>
        <v>0.0000000004979103473</v>
      </c>
      <c r="AC203" s="625">
        <f>Exposition!R204</f>
        <v>0</v>
      </c>
      <c r="AD203" s="625">
        <f>Exposition!S204</f>
        <v>0</v>
      </c>
      <c r="AE203" s="625">
        <f>Exposition!T204</f>
        <v>0</v>
      </c>
      <c r="AF203" s="625">
        <f>Exposition!U204</f>
        <v>0.1633054505</v>
      </c>
      <c r="AG203" s="623"/>
      <c r="AH203" s="621">
        <f>PRIX!A204</f>
        <v>45977</v>
      </c>
      <c r="AI203" s="635">
        <f>PRIX!B204</f>
        <v>92000</v>
      </c>
      <c r="AJ203" s="635">
        <f>PRIX!C204</f>
        <v>3000</v>
      </c>
      <c r="AK203" s="635">
        <f>PRIX!D204</f>
        <v>1.75</v>
      </c>
      <c r="AL203" s="635">
        <f>PRIX!E204</f>
        <v>130</v>
      </c>
      <c r="AM203" s="635">
        <f>PRIX!F204</f>
        <v>310</v>
      </c>
      <c r="AN203" s="635">
        <f>PRIX!G204</f>
        <v>0.24</v>
      </c>
      <c r="AO203" s="635">
        <f>PRIX!H204</f>
        <v>13.5</v>
      </c>
      <c r="AP203" s="635">
        <f>PRIX!I204</f>
        <v>0.156</v>
      </c>
      <c r="AQ203" s="635">
        <f>PRIX!J204</f>
        <v>0.0000087</v>
      </c>
      <c r="AR203" s="635">
        <f>PRIX!K204</f>
        <v>2.33</v>
      </c>
      <c r="AS203" s="635">
        <f>PRIX!L204</f>
        <v>0.265</v>
      </c>
      <c r="AT203" s="635">
        <f>PRIX!M204</f>
        <v>170</v>
      </c>
      <c r="AU203" s="635">
        <f>PRIX!N204</f>
        <v>0.003</v>
      </c>
      <c r="AV203" s="635">
        <f>PRIX!O204</f>
        <v>2.28</v>
      </c>
      <c r="AW203" s="635">
        <f>PRIX!P204</f>
        <v>0.00086</v>
      </c>
      <c r="AX203" s="635">
        <f>PRIX!Q204</f>
        <v>0.0000048</v>
      </c>
      <c r="AY203" s="635">
        <f>PRIX!R204</f>
        <v>0.4</v>
      </c>
      <c r="AZ203" s="635">
        <f>PRIX!S204</f>
        <v>1.2</v>
      </c>
      <c r="BA203" s="623"/>
    </row>
    <row r="204">
      <c r="A204" s="621">
        <f>ARBITRAGES!E205</f>
        <v>45978</v>
      </c>
      <c r="B204" s="623" t="str">
        <f>IF(A204="","",IF(ARBITRAGES!F205="Invest","Achat","Vente"))</f>
        <v>Vente</v>
      </c>
      <c r="C204" s="623" t="str">
        <f>ARBITRAGES!H205</f>
        <v>CAKE</v>
      </c>
      <c r="D204" s="624">
        <f>ARBITRAGES!I205</f>
        <v>2.305</v>
      </c>
      <c r="E204" s="624">
        <f>ARBITRAGES!J205</f>
        <v>60.1153498</v>
      </c>
      <c r="F204" s="623"/>
      <c r="G204" s="621">
        <f>'PV (%)'!B206</f>
        <v>45993</v>
      </c>
      <c r="H204" s="624">
        <f>'PV (%)'!E206</f>
        <v>53525.03094</v>
      </c>
      <c r="I204" s="624">
        <f>'PV (%)'!F206</f>
        <v>41394.68662</v>
      </c>
      <c r="J204" s="626">
        <f>'PV (%)'!G206</f>
        <v>49246.0262</v>
      </c>
      <c r="K204" s="623"/>
      <c r="L204" s="621">
        <f>Exposition!A205</f>
        <v>45978</v>
      </c>
      <c r="M204" s="625">
        <f>Exposition!B205</f>
        <v>0.8308310569</v>
      </c>
      <c r="N204" s="625">
        <f>Exposition!C205</f>
        <v>0.5384740333</v>
      </c>
      <c r="O204" s="625">
        <f>Exposition!D205</f>
        <v>0.1430558078</v>
      </c>
      <c r="P204" s="625">
        <f>Exposition!E205</f>
        <v>0.00000004840863859</v>
      </c>
      <c r="Q204" s="625">
        <f>Exposition!F205</f>
        <v>0.04195630645</v>
      </c>
      <c r="R204" s="625">
        <f>Exposition!G205</f>
        <v>0.04077226973</v>
      </c>
      <c r="S204" s="625">
        <f>Exposition!H205</f>
        <v>0</v>
      </c>
      <c r="T204" s="625">
        <f>Exposition!I205</f>
        <v>0.02428578542</v>
      </c>
      <c r="U204" s="625">
        <f>Exposition!J205</f>
        <v>0.01529791825</v>
      </c>
      <c r="V204" s="625">
        <f>Exposition!K205</f>
        <v>0</v>
      </c>
      <c r="W204" s="625">
        <f>Exposition!L205</f>
        <v>0</v>
      </c>
      <c r="X204" s="625">
        <f>Exposition!M205</f>
        <v>0</v>
      </c>
      <c r="Y204" s="625">
        <f>Exposition!N205</f>
        <v>0.02698881866</v>
      </c>
      <c r="Z204" s="625">
        <f>Exposition!O205</f>
        <v>0</v>
      </c>
      <c r="AA204" s="625">
        <f>Exposition!P205</f>
        <v>0.00000006832672993</v>
      </c>
      <c r="AB204" s="625">
        <f>Exposition!Q205</f>
        <v>0.0000000004603334995</v>
      </c>
      <c r="AC204" s="625">
        <f>Exposition!R205</f>
        <v>0</v>
      </c>
      <c r="AD204" s="625">
        <f>Exposition!S205</f>
        <v>0</v>
      </c>
      <c r="AE204" s="625">
        <f>Exposition!T205</f>
        <v>0</v>
      </c>
      <c r="AF204" s="625">
        <f>Exposition!U205</f>
        <v>0.1691689431</v>
      </c>
      <c r="AG204" s="623"/>
      <c r="AH204" s="621">
        <f>PRIX!A205</f>
        <v>45978</v>
      </c>
      <c r="AI204" s="635">
        <f>PRIX!B205</f>
        <v>92000</v>
      </c>
      <c r="AJ204" s="635">
        <f>PRIX!C205</f>
        <v>3000</v>
      </c>
      <c r="AK204" s="635">
        <f>PRIX!D205</f>
        <v>1.75</v>
      </c>
      <c r="AL204" s="635">
        <f>PRIX!E205</f>
        <v>130</v>
      </c>
      <c r="AM204" s="635">
        <f>PRIX!F205</f>
        <v>310</v>
      </c>
      <c r="AN204" s="635">
        <f>PRIX!G205</f>
        <v>0.24</v>
      </c>
      <c r="AO204" s="635">
        <f>PRIX!H205</f>
        <v>13.5</v>
      </c>
      <c r="AP204" s="635">
        <f>PRIX!I205</f>
        <v>0.156</v>
      </c>
      <c r="AQ204" s="635">
        <f>PRIX!J205</f>
        <v>0.0000087</v>
      </c>
      <c r="AR204" s="635">
        <f>PRIX!K205</f>
        <v>2.33</v>
      </c>
      <c r="AS204" s="635">
        <f>PRIX!L205</f>
        <v>0.265</v>
      </c>
      <c r="AT204" s="635">
        <f>PRIX!M205</f>
        <v>170</v>
      </c>
      <c r="AU204" s="635">
        <f>PRIX!N205</f>
        <v>0.003</v>
      </c>
      <c r="AV204" s="635">
        <f>PRIX!O205</f>
        <v>2.28</v>
      </c>
      <c r="AW204" s="635">
        <f>PRIX!P205</f>
        <v>0.00086</v>
      </c>
      <c r="AX204" s="635">
        <f>PRIX!Q205</f>
        <v>0.0000048</v>
      </c>
      <c r="AY204" s="635">
        <f>PRIX!R205</f>
        <v>0.4</v>
      </c>
      <c r="AZ204" s="635">
        <f>PRIX!S205</f>
        <v>1.2</v>
      </c>
      <c r="BA204" s="623"/>
    </row>
    <row r="205">
      <c r="A205" s="621">
        <f>ARBITRAGES!E206</f>
        <v>45978</v>
      </c>
      <c r="B205" s="623" t="str">
        <f>IF(A205="","",IF(ARBITRAGES!F206="Invest","Achat","Vente"))</f>
        <v>Vente</v>
      </c>
      <c r="C205" s="623" t="str">
        <f>ARBITRAGES!H206</f>
        <v>SOL</v>
      </c>
      <c r="D205" s="624">
        <f>ARBITRAGES!I206</f>
        <v>138</v>
      </c>
      <c r="E205" s="624">
        <f>ARBITRAGES!J206</f>
        <v>345</v>
      </c>
      <c r="F205" s="623"/>
      <c r="G205" s="621">
        <f>'PV (%)'!B207</f>
        <v>45993</v>
      </c>
      <c r="H205" s="624">
        <f>'PV (%)'!E207</f>
        <v>55309.19863</v>
      </c>
      <c r="I205" s="624">
        <f>'PV (%)'!F207</f>
        <v>43281.0504</v>
      </c>
      <c r="J205" s="626">
        <f>'PV (%)'!G207</f>
        <v>50830.33496</v>
      </c>
      <c r="K205" s="623"/>
      <c r="L205" s="621">
        <f>Exposition!A206</f>
        <v>45978</v>
      </c>
      <c r="M205" s="625">
        <f>Exposition!B206</f>
        <v>0.8279786112</v>
      </c>
      <c r="N205" s="625">
        <f>Exposition!C206</f>
        <v>0.5399449687</v>
      </c>
      <c r="O205" s="625">
        <f>Exposition!D206</f>
        <v>0.145447454</v>
      </c>
      <c r="P205" s="625">
        <f>Exposition!E206</f>
        <v>0.00000004901705791</v>
      </c>
      <c r="Q205" s="625">
        <f>Exposition!F206</f>
        <v>0.03588762516</v>
      </c>
      <c r="R205" s="625">
        <f>Exposition!G206</f>
        <v>0.04013791452</v>
      </c>
      <c r="S205" s="625">
        <f>Exposition!H206</f>
        <v>0</v>
      </c>
      <c r="T205" s="625">
        <f>Exposition!I206</f>
        <v>0.0241725986</v>
      </c>
      <c r="U205" s="625">
        <f>Exposition!J206</f>
        <v>0.01505990564</v>
      </c>
      <c r="V205" s="625">
        <f>Exposition!K206</f>
        <v>0</v>
      </c>
      <c r="W205" s="625">
        <f>Exposition!L206</f>
        <v>0</v>
      </c>
      <c r="X205" s="625">
        <f>Exposition!M206</f>
        <v>0</v>
      </c>
      <c r="Y205" s="625">
        <f>Exposition!N206</f>
        <v>0.02732802503</v>
      </c>
      <c r="Z205" s="625">
        <f>Exposition!O206</f>
        <v>0</v>
      </c>
      <c r="AA205" s="625">
        <f>Exposition!P206</f>
        <v>0.00000007012595253</v>
      </c>
      <c r="AB205" s="625">
        <f>Exposition!Q206</f>
        <v>0.0000000004531714025</v>
      </c>
      <c r="AC205" s="625">
        <f>Exposition!R206</f>
        <v>0</v>
      </c>
      <c r="AD205" s="625">
        <f>Exposition!S206</f>
        <v>0</v>
      </c>
      <c r="AE205" s="625">
        <f>Exposition!T206</f>
        <v>0</v>
      </c>
      <c r="AF205" s="625">
        <f>Exposition!U206</f>
        <v>0.1720213888</v>
      </c>
      <c r="AG205" s="623"/>
      <c r="AH205" s="621">
        <f>PRIX!A206</f>
        <v>45978</v>
      </c>
      <c r="AI205" s="635">
        <f>PRIX!B206</f>
        <v>91500</v>
      </c>
      <c r="AJ205" s="635">
        <f>PRIX!C206</f>
        <v>3050</v>
      </c>
      <c r="AK205" s="635">
        <f>PRIX!D206</f>
        <v>1.75</v>
      </c>
      <c r="AL205" s="635">
        <f>PRIX!E206</f>
        <v>140</v>
      </c>
      <c r="AM205" s="635">
        <f>PRIX!F206</f>
        <v>330</v>
      </c>
      <c r="AN205" s="635">
        <f>PRIX!G206</f>
        <v>0.25</v>
      </c>
      <c r="AO205" s="635">
        <f>PRIX!H206</f>
        <v>13.55</v>
      </c>
      <c r="AP205" s="635">
        <f>PRIX!I206</f>
        <v>0.156</v>
      </c>
      <c r="AQ205" s="635">
        <f>PRIX!J206</f>
        <v>0.0000087</v>
      </c>
      <c r="AR205" s="635">
        <f>PRIX!K206</f>
        <v>2.36</v>
      </c>
      <c r="AS205" s="635">
        <f>PRIX!L206</f>
        <v>0.27</v>
      </c>
      <c r="AT205" s="635">
        <f>PRIX!M206</f>
        <v>175</v>
      </c>
      <c r="AU205" s="635">
        <f>PRIX!N206</f>
        <v>0.0028</v>
      </c>
      <c r="AV205" s="635">
        <f>PRIX!O206</f>
        <v>2.35</v>
      </c>
      <c r="AW205" s="635">
        <f>PRIX!P206</f>
        <v>0.0008</v>
      </c>
      <c r="AX205" s="635">
        <f>PRIX!Q206</f>
        <v>0.0000048</v>
      </c>
      <c r="AY205" s="635">
        <f>PRIX!R206</f>
        <v>0.4</v>
      </c>
      <c r="AZ205" s="635">
        <f>PRIX!S206</f>
        <v>1.22</v>
      </c>
      <c r="BA205" s="623"/>
    </row>
    <row r="206">
      <c r="A206" s="621">
        <f>ARBITRAGES!E207</f>
        <v>45978</v>
      </c>
      <c r="B206" s="623" t="str">
        <f>IF(A206="","",IF(ARBITRAGES!F207="Invest","Achat","Vente"))</f>
        <v>Vente</v>
      </c>
      <c r="C206" s="623" t="str">
        <f>ARBITRAGES!H207</f>
        <v>SOL</v>
      </c>
      <c r="D206" s="624">
        <f>ARBITRAGES!I207</f>
        <v>140</v>
      </c>
      <c r="E206" s="624">
        <f>ARBITRAGES!J207</f>
        <v>280</v>
      </c>
      <c r="F206" s="623"/>
      <c r="G206" s="621">
        <f>'PV (%)'!B208</f>
        <v>45993</v>
      </c>
      <c r="H206" s="624">
        <f>'PV (%)'!E208</f>
        <v>55309.19863</v>
      </c>
      <c r="I206" s="624">
        <f>'PV (%)'!F208</f>
        <v>43281.0504</v>
      </c>
      <c r="J206" s="626">
        <f>'PV (%)'!G208</f>
        <v>50830.30496</v>
      </c>
      <c r="K206" s="623"/>
      <c r="L206" s="621">
        <f>Exposition!A207</f>
        <v>45979</v>
      </c>
      <c r="M206" s="625">
        <f>Exposition!B207</f>
        <v>0.8220852212</v>
      </c>
      <c r="N206" s="625">
        <f>Exposition!C207</f>
        <v>0.5390474948</v>
      </c>
      <c r="O206" s="625">
        <f>Exposition!D207</f>
        <v>0.1452056974</v>
      </c>
      <c r="P206" s="625">
        <f>Exposition!E207</f>
        <v>0.00000004893558381</v>
      </c>
      <c r="Q206" s="625">
        <f>Exposition!F207</f>
        <v>0.03582797426</v>
      </c>
      <c r="R206" s="625">
        <f>Exposition!G207</f>
        <v>0.03555404019</v>
      </c>
      <c r="S206" s="625">
        <f>Exposition!H207</f>
        <v>0</v>
      </c>
      <c r="T206" s="625">
        <f>Exposition!I207</f>
        <v>0.02413241993</v>
      </c>
      <c r="U206" s="625">
        <f>Exposition!J207</f>
        <v>0.0150348737</v>
      </c>
      <c r="V206" s="625">
        <f>Exposition!K207</f>
        <v>0</v>
      </c>
      <c r="W206" s="625">
        <f>Exposition!L207</f>
        <v>0</v>
      </c>
      <c r="X206" s="625">
        <f>Exposition!M207</f>
        <v>0</v>
      </c>
      <c r="Y206" s="625">
        <f>Exposition!N207</f>
        <v>0.02728260153</v>
      </c>
      <c r="Z206" s="625">
        <f>Exposition!O207</f>
        <v>0</v>
      </c>
      <c r="AA206" s="625">
        <f>Exposition!P207</f>
        <v>0.00000007000939211</v>
      </c>
      <c r="AB206" s="625">
        <f>Exposition!Q207</f>
        <v>0.00000000045241816</v>
      </c>
      <c r="AC206" s="625">
        <f>Exposition!R207</f>
        <v>0</v>
      </c>
      <c r="AD206" s="625">
        <f>Exposition!S207</f>
        <v>0</v>
      </c>
      <c r="AE206" s="625">
        <f>Exposition!T207</f>
        <v>0</v>
      </c>
      <c r="AF206" s="625">
        <f>Exposition!U207</f>
        <v>0.1779147788</v>
      </c>
      <c r="AG206" s="623"/>
      <c r="AH206" s="621">
        <f>PRIX!A207</f>
        <v>45978</v>
      </c>
      <c r="AI206" s="635">
        <f>PRIX!B207</f>
        <v>93200</v>
      </c>
      <c r="AJ206" s="635">
        <f>PRIX!C207</f>
        <v>3150</v>
      </c>
      <c r="AK206" s="635">
        <f>PRIX!D207</f>
        <v>1.8</v>
      </c>
      <c r="AL206" s="635">
        <f>PRIX!E207</f>
        <v>140</v>
      </c>
      <c r="AM206" s="635">
        <f>PRIX!F207</f>
        <v>330</v>
      </c>
      <c r="AN206" s="635">
        <f>PRIX!G207</f>
        <v>0.25</v>
      </c>
      <c r="AO206" s="635">
        <f>PRIX!H207</f>
        <v>13.7</v>
      </c>
      <c r="AP206" s="635">
        <f>PRIX!I207</f>
        <v>0.156</v>
      </c>
      <c r="AQ206" s="635">
        <f>PRIX!J207</f>
        <v>0.0000088</v>
      </c>
      <c r="AR206" s="635">
        <f>PRIX!K207</f>
        <v>2.38</v>
      </c>
      <c r="AS206" s="635">
        <f>PRIX!L207</f>
        <v>0.27</v>
      </c>
      <c r="AT206" s="635">
        <f>PRIX!M207</f>
        <v>180</v>
      </c>
      <c r="AU206" s="635">
        <f>PRIX!N207</f>
        <v>0.0029</v>
      </c>
      <c r="AV206" s="635">
        <f>PRIX!O207</f>
        <v>2.45</v>
      </c>
      <c r="AW206" s="635">
        <f>PRIX!P207</f>
        <v>0.0008</v>
      </c>
      <c r="AX206" s="635">
        <f>PRIX!Q207</f>
        <v>0.0000048</v>
      </c>
      <c r="AY206" s="635">
        <f>PRIX!R207</f>
        <v>0.41</v>
      </c>
      <c r="AZ206" s="635">
        <f>PRIX!S207</f>
        <v>1.22</v>
      </c>
      <c r="BA206" s="623"/>
    </row>
    <row r="207">
      <c r="A207" s="621">
        <f>ARBITRAGES!E208</f>
        <v>45979</v>
      </c>
      <c r="B207" s="623" t="str">
        <f>IF(A207="","",IF(ARBITRAGES!F208="Invest","Achat","Vente"))</f>
        <v>Vente</v>
      </c>
      <c r="C207" s="623" t="str">
        <f>ARBITRAGES!H208</f>
        <v>TAO</v>
      </c>
      <c r="D207" s="624">
        <f>ARBITRAGES!I208</f>
        <v>330</v>
      </c>
      <c r="E207" s="624">
        <f>ARBITRAGES!J208</f>
        <v>231</v>
      </c>
      <c r="F207" s="623"/>
      <c r="G207" s="621">
        <f>'PV (%)'!B209</f>
        <v>45994</v>
      </c>
      <c r="H207" s="624">
        <f>'PV (%)'!E209</f>
        <v>55309.19863</v>
      </c>
      <c r="I207" s="624">
        <f>'PV (%)'!F209</f>
        <v>43281.0504</v>
      </c>
      <c r="J207" s="626">
        <f>'PV (%)'!G209</f>
        <v>50831.64544</v>
      </c>
      <c r="K207" s="623"/>
      <c r="L207" s="621">
        <f>Exposition!A208</f>
        <v>45980</v>
      </c>
      <c r="M207" s="625">
        <f>Exposition!B208</f>
        <v>0.8164277821</v>
      </c>
      <c r="N207" s="625">
        <f>Exposition!C208</f>
        <v>0.5399589872</v>
      </c>
      <c r="O207" s="625">
        <f>Exposition!D208</f>
        <v>0.140176249</v>
      </c>
      <c r="P207" s="625">
        <f>Exposition!E208</f>
        <v>0.00000004641183321</v>
      </c>
      <c r="Q207" s="625">
        <f>Exposition!F208</f>
        <v>0.03549719542</v>
      </c>
      <c r="R207" s="625">
        <f>Exposition!G208</f>
        <v>0.03506156763</v>
      </c>
      <c r="S207" s="625">
        <f>Exposition!H208</f>
        <v>0</v>
      </c>
      <c r="T207" s="625">
        <f>Exposition!I208</f>
        <v>0.02443318764</v>
      </c>
      <c r="U207" s="625">
        <f>Exposition!J208</f>
        <v>0.01542491986</v>
      </c>
      <c r="V207" s="625">
        <f>Exposition!K208</f>
        <v>0</v>
      </c>
      <c r="W207" s="625">
        <f>Exposition!L208</f>
        <v>0</v>
      </c>
      <c r="X207" s="625">
        <f>Exposition!M208</f>
        <v>0</v>
      </c>
      <c r="Y207" s="625">
        <f>Exposition!N208</f>
        <v>0.0258755583</v>
      </c>
      <c r="Z207" s="625">
        <f>Exposition!O208</f>
        <v>0</v>
      </c>
      <c r="AA207" s="625">
        <f>Exposition!P208</f>
        <v>0.00000007012526731</v>
      </c>
      <c r="AB207" s="625">
        <f>Exposition!Q208</f>
        <v>0.0000000004465172416</v>
      </c>
      <c r="AC207" s="625">
        <f>Exposition!R208</f>
        <v>0</v>
      </c>
      <c r="AD207" s="625">
        <f>Exposition!S208</f>
        <v>0</v>
      </c>
      <c r="AE207" s="625">
        <f>Exposition!T208</f>
        <v>0</v>
      </c>
      <c r="AF207" s="625">
        <f>Exposition!U208</f>
        <v>0.1835722179</v>
      </c>
      <c r="AG207" s="623"/>
      <c r="AH207" s="621">
        <f>PRIX!A208</f>
        <v>45979</v>
      </c>
      <c r="AI207" s="635">
        <f>PRIX!B208</f>
        <v>93200</v>
      </c>
      <c r="AJ207" s="635">
        <f>PRIX!C208</f>
        <v>3150</v>
      </c>
      <c r="AK207" s="635">
        <f>PRIX!D208</f>
        <v>1.8</v>
      </c>
      <c r="AL207" s="635">
        <f>PRIX!E208</f>
        <v>140</v>
      </c>
      <c r="AM207" s="635">
        <f>PRIX!F208</f>
        <v>330</v>
      </c>
      <c r="AN207" s="635">
        <f>PRIX!G208</f>
        <v>0.25</v>
      </c>
      <c r="AO207" s="635">
        <f>PRIX!H208</f>
        <v>13.7</v>
      </c>
      <c r="AP207" s="635">
        <f>PRIX!I208</f>
        <v>0.156</v>
      </c>
      <c r="AQ207" s="635">
        <f>PRIX!J208</f>
        <v>0.0000088</v>
      </c>
      <c r="AR207" s="635">
        <f>PRIX!K208</f>
        <v>2.38</v>
      </c>
      <c r="AS207" s="635">
        <f>PRIX!L208</f>
        <v>0.27</v>
      </c>
      <c r="AT207" s="635">
        <f>PRIX!M208</f>
        <v>180</v>
      </c>
      <c r="AU207" s="635">
        <f>PRIX!N208</f>
        <v>0.0029</v>
      </c>
      <c r="AV207" s="635">
        <f>PRIX!O208</f>
        <v>2.45</v>
      </c>
      <c r="AW207" s="635">
        <f>PRIX!P208</f>
        <v>0.0008</v>
      </c>
      <c r="AX207" s="635">
        <f>PRIX!Q208</f>
        <v>0.0000048</v>
      </c>
      <c r="AY207" s="635">
        <f>PRIX!R208</f>
        <v>0.41</v>
      </c>
      <c r="AZ207" s="635">
        <f>PRIX!S208</f>
        <v>1.22</v>
      </c>
      <c r="BA207" s="623"/>
    </row>
    <row r="208">
      <c r="A208" s="621">
        <f>ARBITRAGES!E209</f>
        <v>45980</v>
      </c>
      <c r="B208" s="623" t="str">
        <f>IF(A208="","",IF(ARBITRAGES!F209="Invest","Achat","Vente"))</f>
        <v>Achat</v>
      </c>
      <c r="C208" s="623" t="str">
        <f>ARBITRAGES!H209</f>
        <v>BTC</v>
      </c>
      <c r="D208" s="624">
        <f>ARBITRAGES!I209</f>
        <v>88000</v>
      </c>
      <c r="E208" s="624">
        <f>ARBITRAGES!J209</f>
        <v>300</v>
      </c>
      <c r="F208" s="623"/>
      <c r="G208" s="621">
        <f>'PV (%)'!B210</f>
        <v>45994</v>
      </c>
      <c r="H208" s="624">
        <f>'PV (%)'!E210</f>
        <v>55309.19863</v>
      </c>
      <c r="I208" s="624">
        <f>'PV (%)'!F210</f>
        <v>43281.0504</v>
      </c>
      <c r="J208" s="626">
        <f>'PV (%)'!G210</f>
        <v>50831.64544</v>
      </c>
      <c r="K208" s="623"/>
      <c r="L208" s="621">
        <f>Exposition!A209</f>
        <v>45981</v>
      </c>
      <c r="M208" s="625">
        <f>Exposition!B209</f>
        <v>0.8226807802</v>
      </c>
      <c r="N208" s="625">
        <f>Exposition!C209</f>
        <v>0.5462020394</v>
      </c>
      <c r="O208" s="625">
        <f>Exposition!D209</f>
        <v>0.1401812918</v>
      </c>
      <c r="P208" s="625">
        <f>Exposition!E209</f>
        <v>0.00000004641350286</v>
      </c>
      <c r="Q208" s="625">
        <f>Exposition!F209</f>
        <v>0.03549847242</v>
      </c>
      <c r="R208" s="625">
        <f>Exposition!G209</f>
        <v>0.03506282896</v>
      </c>
      <c r="S208" s="625">
        <f>Exposition!H209</f>
        <v>0</v>
      </c>
      <c r="T208" s="625">
        <f>Exposition!I209</f>
        <v>0.02443406662</v>
      </c>
      <c r="U208" s="625">
        <f>Exposition!J209</f>
        <v>0.01542547477</v>
      </c>
      <c r="V208" s="625">
        <f>Exposition!K209</f>
        <v>0</v>
      </c>
      <c r="W208" s="625">
        <f>Exposition!L209</f>
        <v>0</v>
      </c>
      <c r="X208" s="625">
        <f>Exposition!M209</f>
        <v>0</v>
      </c>
      <c r="Y208" s="625">
        <f>Exposition!N209</f>
        <v>0.02587648916</v>
      </c>
      <c r="Z208" s="625">
        <f>Exposition!O209</f>
        <v>0</v>
      </c>
      <c r="AA208" s="625">
        <f>Exposition!P209</f>
        <v>0.00000007012779004</v>
      </c>
      <c r="AB208" s="625">
        <f>Exposition!Q209</f>
        <v>0.000000000446533305</v>
      </c>
      <c r="AC208" s="625">
        <f>Exposition!R209</f>
        <v>0</v>
      </c>
      <c r="AD208" s="625">
        <f>Exposition!S209</f>
        <v>0</v>
      </c>
      <c r="AE208" s="625">
        <f>Exposition!T209</f>
        <v>0</v>
      </c>
      <c r="AF208" s="625">
        <f>Exposition!U209</f>
        <v>0.1773192198</v>
      </c>
      <c r="AG208" s="623"/>
      <c r="AH208" s="621">
        <f>PRIX!A209</f>
        <v>45980</v>
      </c>
      <c r="AI208" s="635">
        <f>PRIX!B209</f>
        <v>86500</v>
      </c>
      <c r="AJ208" s="635">
        <f>PRIX!C209</f>
        <v>2850</v>
      </c>
      <c r="AK208" s="635">
        <f>PRIX!D209</f>
        <v>1.6</v>
      </c>
      <c r="AL208" s="635">
        <f>PRIX!E209</f>
        <v>130</v>
      </c>
      <c r="AM208" s="635">
        <f>PRIX!F209</f>
        <v>305</v>
      </c>
      <c r="AN208" s="635">
        <f>PRIX!G209</f>
        <v>0.23</v>
      </c>
      <c r="AO208" s="635">
        <f>PRIX!H209</f>
        <v>13</v>
      </c>
      <c r="AP208" s="635">
        <f>PRIX!I209</f>
        <v>0.15</v>
      </c>
      <c r="AQ208" s="635">
        <f>PRIX!J209</f>
        <v>0.0000082</v>
      </c>
      <c r="AR208" s="635">
        <f>PRIX!K209</f>
        <v>2.2</v>
      </c>
      <c r="AS208" s="635">
        <f>PRIX!L209</f>
        <v>0.25</v>
      </c>
      <c r="AT208" s="635">
        <f>PRIX!M209</f>
        <v>160</v>
      </c>
      <c r="AU208" s="635">
        <f>PRIX!N209</f>
        <v>0.0026</v>
      </c>
      <c r="AV208" s="635">
        <f>PRIX!O209</f>
        <v>2.3</v>
      </c>
      <c r="AW208" s="635">
        <f>PRIX!P209</f>
        <v>0.00074</v>
      </c>
      <c r="AX208" s="635">
        <f>PRIX!Q209</f>
        <v>0.0000045</v>
      </c>
      <c r="AY208" s="635">
        <f>PRIX!R209</f>
        <v>0.38</v>
      </c>
      <c r="AZ208" s="635">
        <f>PRIX!S209</f>
        <v>1.15</v>
      </c>
      <c r="BA208" s="623"/>
    </row>
    <row r="209">
      <c r="A209" s="621">
        <f>ARBITRAGES!E210</f>
        <v>45981</v>
      </c>
      <c r="B209" s="623" t="str">
        <f>IF(A209="","",IF(ARBITRAGES!F210="Invest","Achat","Vente"))</f>
        <v>Achat</v>
      </c>
      <c r="C209" s="623" t="str">
        <f>ARBITRAGES!H210</f>
        <v>BTC</v>
      </c>
      <c r="D209" s="624">
        <f>ARBITRAGES!I210</f>
        <v>87000</v>
      </c>
      <c r="E209" s="624">
        <f>ARBITRAGES!J210</f>
        <v>300</v>
      </c>
      <c r="F209" s="623"/>
      <c r="G209" s="621">
        <f>'PV (%)'!B211</f>
        <v>45995</v>
      </c>
      <c r="H209" s="624">
        <f>'PV (%)'!E211</f>
        <v>55309.19863</v>
      </c>
      <c r="I209" s="624">
        <f>'PV (%)'!F211</f>
        <v>43422.43727</v>
      </c>
      <c r="J209" s="626">
        <f>'PV (%)'!G211</f>
        <v>50951.29748</v>
      </c>
      <c r="K209" s="623"/>
      <c r="L209" s="621">
        <f>Exposition!A210</f>
        <v>45981</v>
      </c>
      <c r="M209" s="625">
        <f>Exposition!B210</f>
        <v>0.8279049287</v>
      </c>
      <c r="N209" s="625">
        <f>Exposition!C210</f>
        <v>0.5541598661</v>
      </c>
      <c r="O209" s="625">
        <f>Exposition!D210</f>
        <v>0.1420202673</v>
      </c>
      <c r="P209" s="625">
        <f>Exposition!E210</f>
        <v>0.00000004487068702</v>
      </c>
      <c r="Q209" s="625">
        <f>Exposition!F210</f>
        <v>0.03576161555</v>
      </c>
      <c r="R209" s="625">
        <f>Exposition!G210</f>
        <v>0.03200795845</v>
      </c>
      <c r="S209" s="625">
        <f>Exposition!H210</f>
        <v>0</v>
      </c>
      <c r="T209" s="625">
        <f>Exposition!I210</f>
        <v>0.02325844866</v>
      </c>
      <c r="U209" s="625">
        <f>Exposition!J210</f>
        <v>0.01484644292</v>
      </c>
      <c r="V209" s="625">
        <f>Exposition!K210</f>
        <v>0</v>
      </c>
      <c r="W209" s="625">
        <f>Exposition!L210</f>
        <v>0</v>
      </c>
      <c r="X209" s="625">
        <f>Exposition!M210</f>
        <v>0</v>
      </c>
      <c r="Y209" s="625">
        <f>Exposition!N210</f>
        <v>0.02585021529</v>
      </c>
      <c r="Z209" s="625">
        <f>Exposition!O210</f>
        <v>0</v>
      </c>
      <c r="AA209" s="625">
        <f>Exposition!P210</f>
        <v>0.00000006917228058</v>
      </c>
      <c r="AB209" s="625">
        <f>Exposition!Q210</f>
        <v>0.0000000004044665308</v>
      </c>
      <c r="AC209" s="625">
        <f>Exposition!R210</f>
        <v>0</v>
      </c>
      <c r="AD209" s="625">
        <f>Exposition!S210</f>
        <v>0</v>
      </c>
      <c r="AE209" s="625">
        <f>Exposition!T210</f>
        <v>0</v>
      </c>
      <c r="AF209" s="625">
        <f>Exposition!U210</f>
        <v>0.1720950713</v>
      </c>
      <c r="AG209" s="623"/>
      <c r="AH209" s="621">
        <f>PRIX!A210</f>
        <v>45981</v>
      </c>
      <c r="AI209" s="635">
        <f>PRIX!B210</f>
        <v>86500</v>
      </c>
      <c r="AJ209" s="635">
        <f>PRIX!C210</f>
        <v>2850</v>
      </c>
      <c r="AK209" s="635">
        <f>PRIX!D210</f>
        <v>1.6</v>
      </c>
      <c r="AL209" s="635">
        <f>PRIX!E210</f>
        <v>130</v>
      </c>
      <c r="AM209" s="635">
        <f>PRIX!F210</f>
        <v>305</v>
      </c>
      <c r="AN209" s="635">
        <f>PRIX!G210</f>
        <v>0.23</v>
      </c>
      <c r="AO209" s="635">
        <f>PRIX!H210</f>
        <v>13</v>
      </c>
      <c r="AP209" s="635">
        <f>PRIX!I210</f>
        <v>0.15</v>
      </c>
      <c r="AQ209" s="635">
        <f>PRIX!J210</f>
        <v>0.0000082</v>
      </c>
      <c r="AR209" s="635">
        <f>PRIX!K210</f>
        <v>2.2</v>
      </c>
      <c r="AS209" s="635">
        <f>PRIX!L210</f>
        <v>0.25</v>
      </c>
      <c r="AT209" s="635">
        <f>PRIX!M210</f>
        <v>160</v>
      </c>
      <c r="AU209" s="635">
        <f>PRIX!N210</f>
        <v>0.0026</v>
      </c>
      <c r="AV209" s="635">
        <f>PRIX!O210</f>
        <v>2.3</v>
      </c>
      <c r="AW209" s="635">
        <f>PRIX!P210</f>
        <v>0.00074</v>
      </c>
      <c r="AX209" s="635">
        <f>PRIX!Q210</f>
        <v>0.0000045</v>
      </c>
      <c r="AY209" s="635">
        <f>PRIX!R210</f>
        <v>0.38</v>
      </c>
      <c r="AZ209" s="635">
        <f>PRIX!S210</f>
        <v>1.15</v>
      </c>
      <c r="BA209" s="623"/>
    </row>
    <row r="210">
      <c r="A210" s="621">
        <f>ARBITRAGES!E211</f>
        <v>45981</v>
      </c>
      <c r="B210" s="623" t="str">
        <f>IF(A210="","",IF(ARBITRAGES!F211="Invest","Achat","Vente"))</f>
        <v>Achat</v>
      </c>
      <c r="C210" s="623" t="str">
        <f>ARBITRAGES!H211</f>
        <v>BTC</v>
      </c>
      <c r="D210" s="624">
        <f>ARBITRAGES!I211</f>
        <v>86000</v>
      </c>
      <c r="E210" s="624">
        <f>ARBITRAGES!J211</f>
        <v>500</v>
      </c>
      <c r="F210" s="623"/>
      <c r="G210" s="621">
        <f>'PV (%)'!B212</f>
        <v>46001</v>
      </c>
      <c r="H210" s="624">
        <f>'PV (%)'!E212</f>
        <v>55309.19863</v>
      </c>
      <c r="I210" s="624">
        <f>'PV (%)'!F212</f>
        <v>43856.02468</v>
      </c>
      <c r="J210" s="626">
        <f>'PV (%)'!G212</f>
        <v>51375.74074</v>
      </c>
      <c r="K210" s="623"/>
      <c r="L210" s="621">
        <f>Exposition!A211</f>
        <v>45981</v>
      </c>
      <c r="M210" s="625">
        <f>Exposition!B211</f>
        <v>0.8306017868</v>
      </c>
      <c r="N210" s="625">
        <f>Exposition!C211</f>
        <v>0.5541360199</v>
      </c>
      <c r="O210" s="625">
        <f>Exposition!D211</f>
        <v>0.142014156</v>
      </c>
      <c r="P210" s="625">
        <f>Exposition!E211</f>
        <v>0.00000004486875618</v>
      </c>
      <c r="Q210" s="625">
        <f>Exposition!F211</f>
        <v>0.0384925605</v>
      </c>
      <c r="R210" s="625">
        <f>Exposition!G211</f>
        <v>0.0320065811</v>
      </c>
      <c r="S210" s="625">
        <f>Exposition!H211</f>
        <v>0</v>
      </c>
      <c r="T210" s="625">
        <f>Exposition!I211</f>
        <v>0.02325744782</v>
      </c>
      <c r="U210" s="625">
        <f>Exposition!J211</f>
        <v>0.01484580406</v>
      </c>
      <c r="V210" s="625">
        <f>Exposition!K211</f>
        <v>0</v>
      </c>
      <c r="W210" s="625">
        <f>Exposition!L211</f>
        <v>0</v>
      </c>
      <c r="X210" s="625">
        <f>Exposition!M211</f>
        <v>0</v>
      </c>
      <c r="Y210" s="625">
        <f>Exposition!N211</f>
        <v>0.02584910292</v>
      </c>
      <c r="Z210" s="625">
        <f>Exposition!O211</f>
        <v>0</v>
      </c>
      <c r="AA210" s="625">
        <f>Exposition!P211</f>
        <v>0.00000006916930401</v>
      </c>
      <c r="AB210" s="625">
        <f>Exposition!Q211</f>
        <v>0.0000000004044491261</v>
      </c>
      <c r="AC210" s="625">
        <f>Exposition!R211</f>
        <v>0</v>
      </c>
      <c r="AD210" s="625">
        <f>Exposition!S211</f>
        <v>0</v>
      </c>
      <c r="AE210" s="625">
        <f>Exposition!T211</f>
        <v>0</v>
      </c>
      <c r="AF210" s="625">
        <f>Exposition!U211</f>
        <v>0.1693982132</v>
      </c>
      <c r="AG210" s="623"/>
      <c r="AH210" s="621">
        <f>PRIX!A211</f>
        <v>45981</v>
      </c>
      <c r="AI210" s="635">
        <f>PRIX!B211</f>
        <v>83500</v>
      </c>
      <c r="AJ210" s="635">
        <f>PRIX!C211</f>
        <v>2800</v>
      </c>
      <c r="AK210" s="635">
        <f>PRIX!D211</f>
        <v>1.5</v>
      </c>
      <c r="AL210" s="635">
        <f>PRIX!E211</f>
        <v>127</v>
      </c>
      <c r="AM210" s="635">
        <f>PRIX!F211</f>
        <v>270</v>
      </c>
      <c r="AN210" s="635">
        <f>PRIX!G211</f>
        <v>0.214</v>
      </c>
      <c r="AO210" s="635">
        <f>PRIX!H211</f>
        <v>12</v>
      </c>
      <c r="AP210" s="635">
        <f>PRIX!I211</f>
        <v>0.14</v>
      </c>
      <c r="AQ210" s="635">
        <f>PRIX!J211</f>
        <v>0.0000077</v>
      </c>
      <c r="AR210" s="635">
        <f>PRIX!K211</f>
        <v>2</v>
      </c>
      <c r="AS210" s="635">
        <f>PRIX!L211</f>
        <v>0.237</v>
      </c>
      <c r="AT210" s="635">
        <f>PRIX!M211</f>
        <v>155</v>
      </c>
      <c r="AU210" s="635">
        <f>PRIX!N211</f>
        <v>0.0024</v>
      </c>
      <c r="AV210" s="635">
        <f>PRIX!O211</f>
        <v>2.2</v>
      </c>
      <c r="AW210" s="635">
        <f>PRIX!P211</f>
        <v>0.00065</v>
      </c>
      <c r="AX210" s="635">
        <f>PRIX!Q211</f>
        <v>0.0000041</v>
      </c>
      <c r="AY210" s="635">
        <f>PRIX!R211</f>
        <v>0.334</v>
      </c>
      <c r="AZ210" s="635">
        <f>PRIX!S211</f>
        <v>1</v>
      </c>
      <c r="BA210" s="623"/>
    </row>
    <row r="211">
      <c r="A211" s="621">
        <f>ARBITRAGES!E212</f>
        <v>45981</v>
      </c>
      <c r="B211" s="623" t="str">
        <f>IF(A211="","",IF(ARBITRAGES!F212="Invest","Achat","Vente"))</f>
        <v>Achat</v>
      </c>
      <c r="C211" s="623" t="str">
        <f>ARBITRAGES!H212</f>
        <v>SOL</v>
      </c>
      <c r="D211" s="624">
        <f>ARBITRAGES!I212</f>
        <v>125</v>
      </c>
      <c r="E211" s="624">
        <f>ARBITRAGES!J212</f>
        <v>125</v>
      </c>
      <c r="F211" s="623"/>
      <c r="G211" s="621">
        <f>'PV (%)'!B213</f>
        <v>46026</v>
      </c>
      <c r="H211" s="624">
        <f>'PV (%)'!E213</f>
        <v>54417.11478</v>
      </c>
      <c r="I211" s="624">
        <f>'PV (%)'!F213</f>
        <v>42596.84048</v>
      </c>
      <c r="J211" s="626">
        <f>'PV (%)'!G213</f>
        <v>50259.36039</v>
      </c>
      <c r="K211" s="623"/>
      <c r="L211" s="621">
        <f>Exposition!A212</f>
        <v>45981</v>
      </c>
      <c r="M211" s="625">
        <f>Exposition!B212</f>
        <v>0.8364877356</v>
      </c>
      <c r="N211" s="625">
        <f>Exposition!C212</f>
        <v>0.5599698032</v>
      </c>
      <c r="O211" s="625">
        <f>Exposition!D212</f>
        <v>0.1420409522</v>
      </c>
      <c r="P211" s="625">
        <f>Exposition!E212</f>
        <v>0.00000004487722233</v>
      </c>
      <c r="Q211" s="625">
        <f>Exposition!F212</f>
        <v>0.03849982355</v>
      </c>
      <c r="R211" s="625">
        <f>Exposition!G212</f>
        <v>0.03201262033</v>
      </c>
      <c r="S211" s="625">
        <f>Exposition!H212</f>
        <v>0</v>
      </c>
      <c r="T211" s="625">
        <f>Exposition!I212</f>
        <v>0.0232618362</v>
      </c>
      <c r="U211" s="625">
        <f>Exposition!J212</f>
        <v>0.01484860527</v>
      </c>
      <c r="V211" s="625">
        <f>Exposition!K212</f>
        <v>0</v>
      </c>
      <c r="W211" s="625">
        <f>Exposition!L212</f>
        <v>0</v>
      </c>
      <c r="X211" s="625">
        <f>Exposition!M212</f>
        <v>0</v>
      </c>
      <c r="Y211" s="625">
        <f>Exposition!N212</f>
        <v>0.02585398032</v>
      </c>
      <c r="Z211" s="625">
        <f>Exposition!O212</f>
        <v>0</v>
      </c>
      <c r="AA211" s="625">
        <f>Exposition!P212</f>
        <v>0.00000006918235537</v>
      </c>
      <c r="AB211" s="625">
        <f>Exposition!Q212</f>
        <v>0.0000000004045254404</v>
      </c>
      <c r="AC211" s="625">
        <f>Exposition!R212</f>
        <v>0</v>
      </c>
      <c r="AD211" s="625">
        <f>Exposition!S212</f>
        <v>0</v>
      </c>
      <c r="AE211" s="625">
        <f>Exposition!T212</f>
        <v>0</v>
      </c>
      <c r="AF211" s="625">
        <f>Exposition!U212</f>
        <v>0.1635122644</v>
      </c>
      <c r="AG211" s="623"/>
      <c r="AH211" s="621">
        <f>PRIX!A212</f>
        <v>45981</v>
      </c>
      <c r="AI211" s="635">
        <f>PRIX!B212</f>
        <v>83500</v>
      </c>
      <c r="AJ211" s="635">
        <f>PRIX!C212</f>
        <v>2800</v>
      </c>
      <c r="AK211" s="635">
        <f>PRIX!D212</f>
        <v>1.5</v>
      </c>
      <c r="AL211" s="635">
        <f>PRIX!E212</f>
        <v>127</v>
      </c>
      <c r="AM211" s="635">
        <f>PRIX!F212</f>
        <v>270</v>
      </c>
      <c r="AN211" s="635">
        <f>PRIX!G212</f>
        <v>0.214</v>
      </c>
      <c r="AO211" s="635">
        <f>PRIX!H212</f>
        <v>12</v>
      </c>
      <c r="AP211" s="635">
        <f>PRIX!I212</f>
        <v>0.14</v>
      </c>
      <c r="AQ211" s="635">
        <f>PRIX!J212</f>
        <v>0.0000077</v>
      </c>
      <c r="AR211" s="635">
        <f>PRIX!K212</f>
        <v>2</v>
      </c>
      <c r="AS211" s="635">
        <f>PRIX!L212</f>
        <v>0.237</v>
      </c>
      <c r="AT211" s="635">
        <f>PRIX!M212</f>
        <v>155</v>
      </c>
      <c r="AU211" s="635">
        <f>PRIX!N212</f>
        <v>0.0024</v>
      </c>
      <c r="AV211" s="635">
        <f>PRIX!O212</f>
        <v>2.2</v>
      </c>
      <c r="AW211" s="635">
        <f>PRIX!P212</f>
        <v>0.00065</v>
      </c>
      <c r="AX211" s="635">
        <f>PRIX!Q212</f>
        <v>0.0000041</v>
      </c>
      <c r="AY211" s="635">
        <f>PRIX!R212</f>
        <v>0.334</v>
      </c>
      <c r="AZ211" s="635">
        <f>PRIX!S212</f>
        <v>1</v>
      </c>
      <c r="BA211" s="623"/>
    </row>
    <row r="212">
      <c r="A212" s="621">
        <f>ARBITRAGES!E213</f>
        <v>45981</v>
      </c>
      <c r="B212" s="623" t="str">
        <f>IF(A212="","",IF(ARBITRAGES!F213="Invest","Achat","Vente"))</f>
        <v>Achat</v>
      </c>
      <c r="C212" s="623" t="str">
        <f>ARBITRAGES!H213</f>
        <v>BTC</v>
      </c>
      <c r="D212" s="624">
        <f>ARBITRAGES!I213</f>
        <v>86250</v>
      </c>
      <c r="E212" s="624">
        <f>ARBITRAGES!J213</f>
        <v>275</v>
      </c>
      <c r="F212" s="623"/>
      <c r="G212" s="621">
        <f>'PV (%)'!B214</f>
        <v>46039</v>
      </c>
      <c r="H212" s="624">
        <f>'PV (%)'!E214</f>
        <v>54833.42058</v>
      </c>
      <c r="I212" s="624">
        <f>'PV (%)'!F214</f>
        <v>42041.16782</v>
      </c>
      <c r="J212" s="626">
        <f>'PV (%)'!G214</f>
        <v>50101.19299</v>
      </c>
      <c r="K212" s="623"/>
      <c r="L212" s="621">
        <f>Exposition!A213</f>
        <v>45981</v>
      </c>
      <c r="M212" s="625">
        <f>Exposition!B213</f>
        <v>0.8386397036</v>
      </c>
      <c r="N212" s="625">
        <f>Exposition!C213</f>
        <v>0.5621217713</v>
      </c>
      <c r="O212" s="625">
        <f>Exposition!D213</f>
        <v>0.1420409522</v>
      </c>
      <c r="P212" s="625">
        <f>Exposition!E213</f>
        <v>0.00000004487722233</v>
      </c>
      <c r="Q212" s="625">
        <f>Exposition!F213</f>
        <v>0.03849982355</v>
      </c>
      <c r="R212" s="625">
        <f>Exposition!G213</f>
        <v>0.03201262033</v>
      </c>
      <c r="S212" s="625">
        <f>Exposition!H213</f>
        <v>0</v>
      </c>
      <c r="T212" s="625">
        <f>Exposition!I213</f>
        <v>0.0232618362</v>
      </c>
      <c r="U212" s="625">
        <f>Exposition!J213</f>
        <v>0.01484860527</v>
      </c>
      <c r="V212" s="625">
        <f>Exposition!K213</f>
        <v>0</v>
      </c>
      <c r="W212" s="625">
        <f>Exposition!L213</f>
        <v>0</v>
      </c>
      <c r="X212" s="625">
        <f>Exposition!M213</f>
        <v>0</v>
      </c>
      <c r="Y212" s="625">
        <f>Exposition!N213</f>
        <v>0.02585398032</v>
      </c>
      <c r="Z212" s="625">
        <f>Exposition!O213</f>
        <v>0</v>
      </c>
      <c r="AA212" s="625">
        <f>Exposition!P213</f>
        <v>0.00000006918235537</v>
      </c>
      <c r="AB212" s="625">
        <f>Exposition!Q213</f>
        <v>0.0000000004045254404</v>
      </c>
      <c r="AC212" s="625">
        <f>Exposition!R213</f>
        <v>0</v>
      </c>
      <c r="AD212" s="625">
        <f>Exposition!S213</f>
        <v>0</v>
      </c>
      <c r="AE212" s="625">
        <f>Exposition!T213</f>
        <v>0</v>
      </c>
      <c r="AF212" s="625">
        <f>Exposition!U213</f>
        <v>0.1613602964</v>
      </c>
      <c r="AG212" s="623"/>
      <c r="AH212" s="621">
        <f>PRIX!A213</f>
        <v>45981</v>
      </c>
      <c r="AI212" s="635">
        <f>PRIX!B213</f>
        <v>83500</v>
      </c>
      <c r="AJ212" s="635">
        <f>PRIX!C213</f>
        <v>2800</v>
      </c>
      <c r="AK212" s="635">
        <f>PRIX!D213</f>
        <v>1.5</v>
      </c>
      <c r="AL212" s="635">
        <f>PRIX!E213</f>
        <v>127</v>
      </c>
      <c r="AM212" s="635">
        <f>PRIX!F213</f>
        <v>270</v>
      </c>
      <c r="AN212" s="635">
        <f>PRIX!G213</f>
        <v>0.214</v>
      </c>
      <c r="AO212" s="635">
        <f>PRIX!H213</f>
        <v>12</v>
      </c>
      <c r="AP212" s="635">
        <f>PRIX!I213</f>
        <v>0.14</v>
      </c>
      <c r="AQ212" s="635">
        <f>PRIX!J213</f>
        <v>0.0000077</v>
      </c>
      <c r="AR212" s="635">
        <f>PRIX!K213</f>
        <v>2</v>
      </c>
      <c r="AS212" s="635">
        <f>PRIX!L213</f>
        <v>0.237</v>
      </c>
      <c r="AT212" s="635">
        <f>PRIX!M213</f>
        <v>155</v>
      </c>
      <c r="AU212" s="635">
        <f>PRIX!N213</f>
        <v>0.0024</v>
      </c>
      <c r="AV212" s="635">
        <f>PRIX!O213</f>
        <v>2.2</v>
      </c>
      <c r="AW212" s="635">
        <f>PRIX!P213</f>
        <v>0.00065</v>
      </c>
      <c r="AX212" s="635">
        <f>PRIX!Q213</f>
        <v>0.0000041</v>
      </c>
      <c r="AY212" s="635">
        <f>PRIX!R213</f>
        <v>0.334</v>
      </c>
      <c r="AZ212" s="635">
        <f>PRIX!S213</f>
        <v>1</v>
      </c>
      <c r="BA212" s="623"/>
    </row>
    <row r="213">
      <c r="A213" s="633">
        <f>ARBITRAGES!E214</f>
        <v>45981</v>
      </c>
      <c r="B213" s="623" t="str">
        <f>IF(A213="","",IF(ARBITRAGES!F214="Invest","Achat","Vente"))</f>
        <v>Achat</v>
      </c>
      <c r="C213" s="623" t="str">
        <f>ARBITRAGES!H214</f>
        <v>BTC</v>
      </c>
      <c r="D213" s="624">
        <f>ARBITRAGES!I214</f>
        <v>83500</v>
      </c>
      <c r="E213" s="624">
        <f>ARBITRAGES!J214</f>
        <v>100</v>
      </c>
      <c r="F213" s="623"/>
      <c r="G213" s="621">
        <f>'PV (%)'!B215</f>
        <v>46045</v>
      </c>
      <c r="H213" s="624">
        <f>'PV (%)'!E215</f>
        <v>52930.30837</v>
      </c>
      <c r="I213" s="624">
        <f>'PV (%)'!F215</f>
        <v>40650.73051</v>
      </c>
      <c r="J213" s="626">
        <f>'PV (%)'!G215</f>
        <v>48792.21262</v>
      </c>
      <c r="K213" s="623"/>
      <c r="L213" s="621">
        <f>Exposition!A214</f>
        <v>45981</v>
      </c>
      <c r="M213" s="625">
        <f>Exposition!B214</f>
        <v>0.8440246788</v>
      </c>
      <c r="N213" s="625">
        <f>Exposition!C214</f>
        <v>0.5675157078</v>
      </c>
      <c r="O213" s="625">
        <f>Exposition!D214</f>
        <v>0.142036349</v>
      </c>
      <c r="P213" s="625">
        <f>Exposition!E214</f>
        <v>0.00000004487576795</v>
      </c>
      <c r="Q213" s="625">
        <f>Exposition!F214</f>
        <v>0.03849857584</v>
      </c>
      <c r="R213" s="625">
        <f>Exposition!G214</f>
        <v>0.03201158286</v>
      </c>
      <c r="S213" s="625">
        <f>Exposition!H214</f>
        <v>0</v>
      </c>
      <c r="T213" s="625">
        <f>Exposition!I214</f>
        <v>0.02326108233</v>
      </c>
      <c r="U213" s="625">
        <f>Exposition!J214</f>
        <v>0.01484812405</v>
      </c>
      <c r="V213" s="625">
        <f>Exposition!K214</f>
        <v>0</v>
      </c>
      <c r="W213" s="625">
        <f>Exposition!L214</f>
        <v>0</v>
      </c>
      <c r="X213" s="625">
        <f>Exposition!M214</f>
        <v>0</v>
      </c>
      <c r="Y213" s="625">
        <f>Exposition!N214</f>
        <v>0.02585314244</v>
      </c>
      <c r="Z213" s="625">
        <f>Exposition!O214</f>
        <v>0</v>
      </c>
      <c r="AA213" s="625">
        <f>Exposition!P214</f>
        <v>0.0000000691801133</v>
      </c>
      <c r="AB213" s="625">
        <f>Exposition!Q214</f>
        <v>0.0000000004045123305</v>
      </c>
      <c r="AC213" s="625">
        <f>Exposition!R214</f>
        <v>0</v>
      </c>
      <c r="AD213" s="625">
        <f>Exposition!S214</f>
        <v>0</v>
      </c>
      <c r="AE213" s="625">
        <f>Exposition!T214</f>
        <v>0</v>
      </c>
      <c r="AF213" s="625">
        <f>Exposition!U214</f>
        <v>0.1559753212</v>
      </c>
      <c r="AG213" s="623"/>
      <c r="AH213" s="621">
        <f>PRIX!A214</f>
        <v>45981</v>
      </c>
      <c r="AI213" s="635">
        <f>PRIX!B214</f>
        <v>83500</v>
      </c>
      <c r="AJ213" s="635">
        <f>PRIX!C214</f>
        <v>2800</v>
      </c>
      <c r="AK213" s="635">
        <f>PRIX!D214</f>
        <v>1.5</v>
      </c>
      <c r="AL213" s="635">
        <f>PRIX!E214</f>
        <v>127</v>
      </c>
      <c r="AM213" s="635">
        <f>PRIX!F214</f>
        <v>270</v>
      </c>
      <c r="AN213" s="635">
        <f>PRIX!G214</f>
        <v>0.214</v>
      </c>
      <c r="AO213" s="635">
        <f>PRIX!H214</f>
        <v>12</v>
      </c>
      <c r="AP213" s="635">
        <f>PRIX!I214</f>
        <v>0.14</v>
      </c>
      <c r="AQ213" s="635">
        <f>PRIX!J214</f>
        <v>0.0000077</v>
      </c>
      <c r="AR213" s="635">
        <f>PRIX!K214</f>
        <v>2</v>
      </c>
      <c r="AS213" s="635">
        <f>PRIX!L214</f>
        <v>0.237</v>
      </c>
      <c r="AT213" s="635">
        <f>PRIX!M214</f>
        <v>155</v>
      </c>
      <c r="AU213" s="635">
        <f>PRIX!N214</f>
        <v>0.0024</v>
      </c>
      <c r="AV213" s="635">
        <f>PRIX!O214</f>
        <v>2.2</v>
      </c>
      <c r="AW213" s="635">
        <f>PRIX!P214</f>
        <v>0.00065</v>
      </c>
      <c r="AX213" s="635">
        <f>PRIX!Q214</f>
        <v>0.0000041</v>
      </c>
      <c r="AY213" s="635">
        <f>PRIX!R214</f>
        <v>0.334</v>
      </c>
      <c r="AZ213" s="635">
        <f>PRIX!S214</f>
        <v>1</v>
      </c>
      <c r="BA213" s="623"/>
    </row>
    <row r="214">
      <c r="A214" s="621">
        <f>ARBITRAGES!E215</f>
        <v>45981</v>
      </c>
      <c r="B214" s="623" t="str">
        <f>IF(A214="","",IF(ARBITRAGES!F215="Invest","Achat","Vente"))</f>
        <v>Achat</v>
      </c>
      <c r="C214" s="623" t="str">
        <f>ARBITRAGES!H215</f>
        <v>BTC</v>
      </c>
      <c r="D214" s="624">
        <f>ARBITRAGES!I215</f>
        <v>83000</v>
      </c>
      <c r="E214" s="624">
        <f>ARBITRAGES!J215</f>
        <v>250</v>
      </c>
      <c r="F214" s="623"/>
      <c r="G214" s="621">
        <f>'PV (%)'!B216</f>
        <v>46046</v>
      </c>
      <c r="H214" s="624">
        <f>'PV (%)'!E216</f>
        <v>52930.30837</v>
      </c>
      <c r="I214" s="624">
        <f>'PV (%)'!F216</f>
        <v>40650.73051</v>
      </c>
      <c r="J214" s="626">
        <f>'PV (%)'!G216</f>
        <v>48800.56917</v>
      </c>
      <c r="K214" s="623"/>
      <c r="L214" s="621">
        <f>Exposition!A215</f>
        <v>45981</v>
      </c>
      <c r="M214" s="625">
        <f>Exposition!B215</f>
        <v>0.8472566944</v>
      </c>
      <c r="N214" s="625">
        <f>Exposition!C215</f>
        <v>0.5707552687</v>
      </c>
      <c r="O214" s="625">
        <f>Exposition!D215</f>
        <v>0.1420324731</v>
      </c>
      <c r="P214" s="625">
        <f>Exposition!E215</f>
        <v>0.00000004487454339</v>
      </c>
      <c r="Q214" s="625">
        <f>Exposition!F215</f>
        <v>0.0384975253</v>
      </c>
      <c r="R214" s="625">
        <f>Exposition!G215</f>
        <v>0.03201070934</v>
      </c>
      <c r="S214" s="625">
        <f>Exposition!H215</f>
        <v>0</v>
      </c>
      <c r="T214" s="625">
        <f>Exposition!I215</f>
        <v>0.02326044759</v>
      </c>
      <c r="U214" s="625">
        <f>Exposition!J215</f>
        <v>0.01484771888</v>
      </c>
      <c r="V214" s="625">
        <f>Exposition!K215</f>
        <v>0</v>
      </c>
      <c r="W214" s="625">
        <f>Exposition!L215</f>
        <v>0</v>
      </c>
      <c r="X214" s="625">
        <f>Exposition!M215</f>
        <v>0</v>
      </c>
      <c r="Y214" s="625">
        <f>Exposition!N215</f>
        <v>0.02585243696</v>
      </c>
      <c r="Z214" s="625">
        <f>Exposition!O215</f>
        <v>0</v>
      </c>
      <c r="AA214" s="625">
        <f>Exposition!P215</f>
        <v>0.00000006917822552</v>
      </c>
      <c r="AB214" s="625">
        <f>Exposition!Q215</f>
        <v>0.0000000004045012923</v>
      </c>
      <c r="AC214" s="625">
        <f>Exposition!R215</f>
        <v>0</v>
      </c>
      <c r="AD214" s="625">
        <f>Exposition!S215</f>
        <v>0</v>
      </c>
      <c r="AE214" s="625">
        <f>Exposition!T215</f>
        <v>0</v>
      </c>
      <c r="AF214" s="625">
        <f>Exposition!U215</f>
        <v>0.1527433056</v>
      </c>
      <c r="AG214" s="623"/>
      <c r="AH214" s="621">
        <f>PRIX!A215</f>
        <v>45981</v>
      </c>
      <c r="AI214" s="635">
        <f>PRIX!B215</f>
        <v>83500</v>
      </c>
      <c r="AJ214" s="635">
        <f>PRIX!C215</f>
        <v>2800</v>
      </c>
      <c r="AK214" s="635">
        <f>PRIX!D215</f>
        <v>1.5</v>
      </c>
      <c r="AL214" s="635">
        <f>PRIX!E215</f>
        <v>127</v>
      </c>
      <c r="AM214" s="635">
        <f>PRIX!F215</f>
        <v>270</v>
      </c>
      <c r="AN214" s="635">
        <f>PRIX!G215</f>
        <v>0.214</v>
      </c>
      <c r="AO214" s="635">
        <f>PRIX!H215</f>
        <v>12</v>
      </c>
      <c r="AP214" s="635">
        <f>PRIX!I215</f>
        <v>0.14</v>
      </c>
      <c r="AQ214" s="635">
        <f>PRIX!J215</f>
        <v>0.0000077</v>
      </c>
      <c r="AR214" s="635">
        <f>PRIX!K215</f>
        <v>2</v>
      </c>
      <c r="AS214" s="635">
        <f>PRIX!L215</f>
        <v>0.237</v>
      </c>
      <c r="AT214" s="635">
        <f>PRIX!M215</f>
        <v>155</v>
      </c>
      <c r="AU214" s="635">
        <f>PRIX!N215</f>
        <v>0.0024</v>
      </c>
      <c r="AV214" s="635">
        <f>PRIX!O215</f>
        <v>2.2</v>
      </c>
      <c r="AW214" s="635">
        <f>PRIX!P215</f>
        <v>0.00065</v>
      </c>
      <c r="AX214" s="635">
        <f>PRIX!Q215</f>
        <v>0.0000041</v>
      </c>
      <c r="AY214" s="635">
        <f>PRIX!R215</f>
        <v>0.334</v>
      </c>
      <c r="AZ214" s="635">
        <f>PRIX!S215</f>
        <v>1</v>
      </c>
      <c r="BA214" s="623"/>
    </row>
    <row r="215">
      <c r="A215" s="621">
        <f>ARBITRAGES!E216</f>
        <v>45981</v>
      </c>
      <c r="B215" s="623" t="str">
        <f>IF(A215="","",IF(ARBITRAGES!F216="Invest","Achat","Vente"))</f>
        <v>Achat</v>
      </c>
      <c r="C215" s="623" t="str">
        <f>ARBITRAGES!H216</f>
        <v>BTC</v>
      </c>
      <c r="D215" s="624">
        <f>ARBITRAGES!I216</f>
        <v>82800</v>
      </c>
      <c r="E215" s="624">
        <f>ARBITRAGES!J216</f>
        <v>150</v>
      </c>
      <c r="F215" s="623"/>
      <c r="G215" s="621">
        <f>'PV (%)'!B217</f>
        <v>46047</v>
      </c>
      <c r="H215" s="624">
        <f>'PV (%)'!E217</f>
        <v>52335.5858</v>
      </c>
      <c r="I215" s="624">
        <f>'PV (%)'!F217</f>
        <v>39945.56058</v>
      </c>
      <c r="J215" s="626">
        <f>'PV (%)'!G217</f>
        <v>48287.00358</v>
      </c>
      <c r="K215" s="623"/>
      <c r="L215" s="621">
        <f>Exposition!A216</f>
        <v>45982</v>
      </c>
      <c r="M215" s="625">
        <f>Exposition!B216</f>
        <v>0.8513352568</v>
      </c>
      <c r="N215" s="625">
        <f>Exposition!C216</f>
        <v>0.5735747216</v>
      </c>
      <c r="O215" s="625">
        <f>Exposition!D216</f>
        <v>0.1423395652</v>
      </c>
      <c r="P215" s="625">
        <f>Exposition!E216</f>
        <v>0.00000004518640992</v>
      </c>
      <c r="Q215" s="625">
        <f>Exposition!F216</f>
        <v>0.03800497372</v>
      </c>
      <c r="R215" s="625">
        <f>Exposition!G216</f>
        <v>0.03277156554</v>
      </c>
      <c r="S215" s="625">
        <f>Exposition!H216</f>
        <v>0</v>
      </c>
      <c r="T215" s="625">
        <f>Exposition!I216</f>
        <v>0.02353691594</v>
      </c>
      <c r="U215" s="625">
        <f>Exposition!J216</f>
        <v>0.0147624499</v>
      </c>
      <c r="V215" s="625">
        <f>Exposition!K216</f>
        <v>0</v>
      </c>
      <c r="W215" s="625">
        <f>Exposition!L216</f>
        <v>0</v>
      </c>
      <c r="X215" s="625">
        <f>Exposition!M216</f>
        <v>0</v>
      </c>
      <c r="Y215" s="625">
        <f>Exposition!N216</f>
        <v>0.02634495104</v>
      </c>
      <c r="Z215" s="625">
        <f>Exposition!O216</f>
        <v>0</v>
      </c>
      <c r="AA215" s="625">
        <f>Exposition!P216</f>
        <v>0.00000006829313372</v>
      </c>
      <c r="AB215" s="625">
        <f>Exposition!Q216</f>
        <v>0.0000000004300433341</v>
      </c>
      <c r="AC215" s="625">
        <f>Exposition!R216</f>
        <v>0</v>
      </c>
      <c r="AD215" s="625">
        <f>Exposition!S216</f>
        <v>0</v>
      </c>
      <c r="AE215" s="625">
        <f>Exposition!T216</f>
        <v>0</v>
      </c>
      <c r="AF215" s="625">
        <f>Exposition!U216</f>
        <v>0.1486647432</v>
      </c>
      <c r="AG215" s="623"/>
      <c r="AH215" s="621">
        <f>PRIX!A216</f>
        <v>45981</v>
      </c>
      <c r="AI215" s="635">
        <f>PRIX!B216</f>
        <v>83500</v>
      </c>
      <c r="AJ215" s="635">
        <f>PRIX!C216</f>
        <v>2800</v>
      </c>
      <c r="AK215" s="635">
        <f>PRIX!D216</f>
        <v>1.5</v>
      </c>
      <c r="AL215" s="635">
        <f>PRIX!E216</f>
        <v>127</v>
      </c>
      <c r="AM215" s="635">
        <f>PRIX!F216</f>
        <v>270</v>
      </c>
      <c r="AN215" s="635">
        <f>PRIX!G216</f>
        <v>0.214</v>
      </c>
      <c r="AO215" s="635">
        <f>PRIX!H216</f>
        <v>12</v>
      </c>
      <c r="AP215" s="635">
        <f>PRIX!I216</f>
        <v>0.14</v>
      </c>
      <c r="AQ215" s="635">
        <f>PRIX!J216</f>
        <v>0.0000077</v>
      </c>
      <c r="AR215" s="635">
        <f>PRIX!K216</f>
        <v>2</v>
      </c>
      <c r="AS215" s="635">
        <f>PRIX!L216</f>
        <v>0.237</v>
      </c>
      <c r="AT215" s="635">
        <f>PRIX!M216</f>
        <v>155</v>
      </c>
      <c r="AU215" s="635">
        <f>PRIX!N216</f>
        <v>0.0024</v>
      </c>
      <c r="AV215" s="635">
        <f>PRIX!O216</f>
        <v>2.2</v>
      </c>
      <c r="AW215" s="635">
        <f>PRIX!P216</f>
        <v>0.00065</v>
      </c>
      <c r="AX215" s="635">
        <f>PRIX!Q216</f>
        <v>0.0000041</v>
      </c>
      <c r="AY215" s="635">
        <f>PRIX!R216</f>
        <v>0.334</v>
      </c>
      <c r="AZ215" s="635">
        <f>PRIX!S216</f>
        <v>1</v>
      </c>
      <c r="BA215" s="623"/>
    </row>
    <row r="216">
      <c r="A216" s="621">
        <f>ARBITRAGES!E217</f>
        <v>45982</v>
      </c>
      <c r="B216" s="623" t="str">
        <f>IF(A216="","",IF(ARBITRAGES!F217="Invest","Achat","Vente"))</f>
        <v>Achat</v>
      </c>
      <c r="C216" s="623" t="str">
        <f>ARBITRAGES!H217</f>
        <v>ETH</v>
      </c>
      <c r="D216" s="624">
        <f>ARBITRAGES!I217</f>
        <v>2800</v>
      </c>
      <c r="E216" s="624">
        <f>ARBITRAGES!J217</f>
        <v>100</v>
      </c>
      <c r="F216" s="623"/>
      <c r="G216" s="621">
        <f>'PV (%)'!B218</f>
        <v>46048</v>
      </c>
      <c r="H216" s="624">
        <f>'PV (%)'!E218</f>
        <v>52335.5858</v>
      </c>
      <c r="I216" s="624">
        <f>'PV (%)'!F218</f>
        <v>39945.56058</v>
      </c>
      <c r="J216" s="626">
        <f>'PV (%)'!G218</f>
        <v>48288.14644</v>
      </c>
      <c r="K216" s="623"/>
      <c r="L216" s="621">
        <f>Exposition!A217</f>
        <v>45988</v>
      </c>
      <c r="M216" s="625">
        <f>Exposition!B217</f>
        <v>0.8595662037</v>
      </c>
      <c r="N216" s="625">
        <f>Exposition!C217</f>
        <v>0.5765984399</v>
      </c>
      <c r="O216" s="625">
        <f>Exposition!D217</f>
        <v>0.144402056</v>
      </c>
      <c r="P216" s="625">
        <f>Exposition!E217</f>
        <v>0.00000004501538866</v>
      </c>
      <c r="Q216" s="625">
        <f>Exposition!F217</f>
        <v>0.04008347552</v>
      </c>
      <c r="R216" s="625">
        <f>Exposition!G217</f>
        <v>0.03090448807</v>
      </c>
      <c r="S216" s="625">
        <f>Exposition!H217</f>
        <v>0</v>
      </c>
      <c r="T216" s="625">
        <f>Exposition!I217</f>
        <v>0.02368699106</v>
      </c>
      <c r="U216" s="625">
        <f>Exposition!J217</f>
        <v>0.01499103697</v>
      </c>
      <c r="V216" s="625">
        <f>Exposition!K217</f>
        <v>0</v>
      </c>
      <c r="W216" s="625">
        <f>Exposition!L217</f>
        <v>0</v>
      </c>
      <c r="X216" s="625">
        <f>Exposition!M217</f>
        <v>0</v>
      </c>
      <c r="Y216" s="625">
        <f>Exposition!N217</f>
        <v>0.02889958904</v>
      </c>
      <c r="Z216" s="625">
        <f>Exposition!O217</f>
        <v>0</v>
      </c>
      <c r="AA216" s="625">
        <f>Exposition!P217</f>
        <v>0.0000000817259304</v>
      </c>
      <c r="AB216" s="625">
        <f>Exposition!Q217</f>
        <v>0.0000000004369840228</v>
      </c>
      <c r="AC216" s="625">
        <f>Exposition!R217</f>
        <v>0</v>
      </c>
      <c r="AD216" s="625">
        <f>Exposition!S217</f>
        <v>0</v>
      </c>
      <c r="AE216" s="625">
        <f>Exposition!T217</f>
        <v>0</v>
      </c>
      <c r="AF216" s="625">
        <f>Exposition!U217</f>
        <v>0.1404337963</v>
      </c>
      <c r="AG216" s="623"/>
      <c r="AH216" s="621">
        <f>PRIX!A217</f>
        <v>45982</v>
      </c>
      <c r="AI216" s="635">
        <f>PRIX!B217</f>
        <v>85000</v>
      </c>
      <c r="AJ216" s="635">
        <f>PRIX!C217</f>
        <v>2800</v>
      </c>
      <c r="AK216" s="635">
        <f>PRIX!D217</f>
        <v>1.53</v>
      </c>
      <c r="AL216" s="635">
        <f>PRIX!E217</f>
        <v>127</v>
      </c>
      <c r="AM216" s="635">
        <f>PRIX!F217</f>
        <v>280</v>
      </c>
      <c r="AN216" s="635">
        <f>PRIX!G217</f>
        <v>0.217</v>
      </c>
      <c r="AO216" s="635">
        <f>PRIX!H217</f>
        <v>12.3</v>
      </c>
      <c r="AP216" s="635">
        <f>PRIX!I217</f>
        <v>0.141</v>
      </c>
      <c r="AQ216" s="635">
        <f>PRIX!J217</f>
        <v>0.000008</v>
      </c>
      <c r="AR216" s="635">
        <f>PRIX!K217</f>
        <v>2.1</v>
      </c>
      <c r="AS216" s="635">
        <f>PRIX!L217</f>
        <v>0.243</v>
      </c>
      <c r="AT216" s="635">
        <f>PRIX!M217</f>
        <v>160</v>
      </c>
      <c r="AU216" s="635">
        <f>PRIX!N217</f>
        <v>0.00255</v>
      </c>
      <c r="AV216" s="635">
        <f>PRIX!O217</f>
        <v>2.2</v>
      </c>
      <c r="AW216" s="635">
        <f>PRIX!P217</f>
        <v>0.0007</v>
      </c>
      <c r="AX216" s="635">
        <f>PRIX!Q217</f>
        <v>0.0000042</v>
      </c>
      <c r="AY216" s="635">
        <f>PRIX!R217</f>
        <v>0.333</v>
      </c>
      <c r="AZ216" s="635">
        <f>PRIX!S217</f>
        <v>1.03</v>
      </c>
      <c r="BA216" s="623"/>
    </row>
    <row r="217">
      <c r="A217" s="621">
        <f>ARBITRAGES!E218</f>
        <v>45988</v>
      </c>
      <c r="B217" s="623" t="str">
        <f>IF(A217="","",IF(ARBITRAGES!F218="Invest","Achat","Vente"))</f>
        <v>Vente</v>
      </c>
      <c r="C217" s="623" t="str">
        <f>ARBITRAGES!H218</f>
        <v>TAO</v>
      </c>
      <c r="D217" s="624">
        <f>ARBITRAGES!I218</f>
        <v>310</v>
      </c>
      <c r="E217" s="624">
        <f>ARBITRAGES!J218</f>
        <v>158.1148459</v>
      </c>
      <c r="F217" s="623"/>
      <c r="G217" s="621">
        <f>'PV (%)'!B219</f>
        <v>46053</v>
      </c>
      <c r="H217" s="624">
        <f>'PV (%)'!E219</f>
        <v>49361.97297</v>
      </c>
      <c r="I217" s="624">
        <f>'PV (%)'!F219</f>
        <v>37309.98967</v>
      </c>
      <c r="J217" s="626">
        <f>'PV (%)'!G219</f>
        <v>46066.89183</v>
      </c>
      <c r="K217" s="623"/>
      <c r="L217" s="621">
        <f>Exposition!A218</f>
        <v>45988</v>
      </c>
      <c r="M217" s="625">
        <f>Exposition!B218</f>
        <v>0.8559627173</v>
      </c>
      <c r="N217" s="625">
        <f>Exposition!C218</f>
        <v>0.5729860686</v>
      </c>
      <c r="O217" s="625">
        <f>Exposition!D218</f>
        <v>0.14440659</v>
      </c>
      <c r="P217" s="625">
        <f>Exposition!E218</f>
        <v>0.00000004501680208</v>
      </c>
      <c r="Q217" s="625">
        <f>Exposition!F218</f>
        <v>0.04008473409</v>
      </c>
      <c r="R217" s="625">
        <f>Exposition!G218</f>
        <v>0.03090545843</v>
      </c>
      <c r="S217" s="625">
        <f>Exposition!H218</f>
        <v>0</v>
      </c>
      <c r="T217" s="625">
        <f>Exposition!I218</f>
        <v>0.0236877348</v>
      </c>
      <c r="U217" s="625">
        <f>Exposition!J218</f>
        <v>0.01499150767</v>
      </c>
      <c r="V217" s="625">
        <f>Exposition!K218</f>
        <v>0</v>
      </c>
      <c r="W217" s="625">
        <f>Exposition!L218</f>
        <v>0</v>
      </c>
      <c r="X217" s="625">
        <f>Exposition!M218</f>
        <v>0</v>
      </c>
      <c r="Y217" s="625">
        <f>Exposition!N218</f>
        <v>0.02890049645</v>
      </c>
      <c r="Z217" s="625">
        <f>Exposition!O218</f>
        <v>0</v>
      </c>
      <c r="AA217" s="625">
        <f>Exposition!P218</f>
        <v>0.00000008172849649</v>
      </c>
      <c r="AB217" s="625">
        <f>Exposition!Q218</f>
        <v>0.0000000004369977436</v>
      </c>
      <c r="AC217" s="625">
        <f>Exposition!R218</f>
        <v>0</v>
      </c>
      <c r="AD217" s="625">
        <f>Exposition!S218</f>
        <v>0</v>
      </c>
      <c r="AE217" s="625">
        <f>Exposition!T218</f>
        <v>0</v>
      </c>
      <c r="AF217" s="625">
        <f>Exposition!U218</f>
        <v>0.1440372827</v>
      </c>
      <c r="AG217" s="623"/>
      <c r="AH217" s="621">
        <f>PRIX!A218</f>
        <v>45988</v>
      </c>
      <c r="AI217" s="635">
        <f>PRIX!B218</f>
        <v>92500</v>
      </c>
      <c r="AJ217" s="635">
        <f>PRIX!C218</f>
        <v>3075</v>
      </c>
      <c r="AK217" s="635">
        <f>PRIX!D218</f>
        <v>1.65</v>
      </c>
      <c r="AL217" s="635">
        <f>PRIX!E218</f>
        <v>145</v>
      </c>
      <c r="AM217" s="635">
        <f>PRIX!F218</f>
        <v>315</v>
      </c>
      <c r="AN217" s="635">
        <f>PRIX!G218</f>
        <v>0.185</v>
      </c>
      <c r="AO217" s="635">
        <f>PRIX!H218</f>
        <v>13.4</v>
      </c>
      <c r="AP217" s="635">
        <f>PRIX!I218</f>
        <v>0.155</v>
      </c>
      <c r="AQ217" s="635">
        <f>PRIX!J218</f>
        <v>0.000009</v>
      </c>
      <c r="AR217" s="635">
        <f>PRIX!K218</f>
        <v>2.5</v>
      </c>
      <c r="AS217" s="635">
        <f>PRIX!L218</f>
        <v>0.255</v>
      </c>
      <c r="AT217" s="635">
        <f>PRIX!M218</f>
        <v>190</v>
      </c>
      <c r="AU217" s="635">
        <f>PRIX!N218</f>
        <v>0.0029</v>
      </c>
      <c r="AV217" s="635">
        <f>PRIX!O218</f>
        <v>2.85</v>
      </c>
      <c r="AW217" s="635">
        <f>PRIX!P218</f>
        <v>0.00077</v>
      </c>
      <c r="AX217" s="635">
        <f>PRIX!Q218</f>
        <v>0.0000048</v>
      </c>
      <c r="AY217" s="635">
        <f>PRIX!R218</f>
        <v>0.39</v>
      </c>
      <c r="AZ217" s="635">
        <f>PRIX!S218</f>
        <v>1.2</v>
      </c>
      <c r="BA217" s="623"/>
    </row>
    <row r="218">
      <c r="A218" s="621">
        <f>ARBITRAGES!E219</f>
        <v>45988</v>
      </c>
      <c r="B218" s="623" t="str">
        <f>IF(A218="","",IF(ARBITRAGES!F219="Invest","Achat","Vente"))</f>
        <v>Vente</v>
      </c>
      <c r="C218" s="623" t="str">
        <f>ARBITRAGES!H219</f>
        <v>BTC</v>
      </c>
      <c r="D218" s="624">
        <f>ARBITRAGES!I219</f>
        <v>91700</v>
      </c>
      <c r="E218" s="624">
        <f>ARBITRAGES!J219</f>
        <v>183.4</v>
      </c>
      <c r="F218" s="623"/>
      <c r="G218" s="621">
        <f>'PV (%)'!B220</f>
        <v>46053</v>
      </c>
      <c r="H218" s="624">
        <f>'PV (%)'!E220</f>
        <v>49361.97297</v>
      </c>
      <c r="I218" s="624">
        <f>'PV (%)'!F220</f>
        <v>37309.98967</v>
      </c>
      <c r="J218" s="626">
        <f>'PV (%)'!G220</f>
        <v>46069.89183</v>
      </c>
      <c r="K218" s="623"/>
      <c r="L218" s="621">
        <f>Exposition!A219</f>
        <v>45988</v>
      </c>
      <c r="M218" s="625">
        <f>Exposition!B219</f>
        <v>0.8505420406</v>
      </c>
      <c r="N218" s="625">
        <f>Exposition!C219</f>
        <v>0.5675570619</v>
      </c>
      <c r="O218" s="625">
        <f>Exposition!D219</f>
        <v>0.1444108409</v>
      </c>
      <c r="P218" s="625">
        <f>Exposition!E219</f>
        <v>0.00000004501812725</v>
      </c>
      <c r="Q218" s="625">
        <f>Exposition!F219</f>
        <v>0.04008591407</v>
      </c>
      <c r="R218" s="625">
        <f>Exposition!G219</f>
        <v>0.0309063682</v>
      </c>
      <c r="S218" s="625">
        <f>Exposition!H219</f>
        <v>0</v>
      </c>
      <c r="T218" s="625">
        <f>Exposition!I219</f>
        <v>0.0236884321</v>
      </c>
      <c r="U218" s="625">
        <f>Exposition!J219</f>
        <v>0.01499194898</v>
      </c>
      <c r="V218" s="625">
        <f>Exposition!K219</f>
        <v>0</v>
      </c>
      <c r="W218" s="625">
        <f>Exposition!L219</f>
        <v>0</v>
      </c>
      <c r="X218" s="625">
        <f>Exposition!M219</f>
        <v>0</v>
      </c>
      <c r="Y218" s="625">
        <f>Exposition!N219</f>
        <v>0.0289013472</v>
      </c>
      <c r="Z218" s="625">
        <f>Exposition!O219</f>
        <v>0</v>
      </c>
      <c r="AA218" s="625">
        <f>Exposition!P219</f>
        <v>0.00000008173090235</v>
      </c>
      <c r="AB218" s="625">
        <f>Exposition!Q219</f>
        <v>0.0000000004370106075</v>
      </c>
      <c r="AC218" s="625">
        <f>Exposition!R219</f>
        <v>0</v>
      </c>
      <c r="AD218" s="625">
        <f>Exposition!S219</f>
        <v>0</v>
      </c>
      <c r="AE218" s="625">
        <f>Exposition!T219</f>
        <v>0</v>
      </c>
      <c r="AF218" s="625">
        <f>Exposition!U219</f>
        <v>0.1494579594</v>
      </c>
      <c r="AG218" s="623"/>
      <c r="AH218" s="621">
        <f>PRIX!A219</f>
        <v>45988</v>
      </c>
      <c r="AI218" s="635">
        <f>PRIX!B219</f>
        <v>92500</v>
      </c>
      <c r="AJ218" s="635">
        <f>PRIX!C219</f>
        <v>3075</v>
      </c>
      <c r="AK218" s="635">
        <f>PRIX!D219</f>
        <v>1.65</v>
      </c>
      <c r="AL218" s="635">
        <f>PRIX!E219</f>
        <v>145</v>
      </c>
      <c r="AM218" s="635">
        <f>PRIX!F219</f>
        <v>315</v>
      </c>
      <c r="AN218" s="635">
        <f>PRIX!G219</f>
        <v>0.185</v>
      </c>
      <c r="AO218" s="635">
        <f>PRIX!H219</f>
        <v>13.4</v>
      </c>
      <c r="AP218" s="635">
        <f>PRIX!I219</f>
        <v>0.155</v>
      </c>
      <c r="AQ218" s="635">
        <f>PRIX!J219</f>
        <v>0.000009</v>
      </c>
      <c r="AR218" s="635">
        <f>PRIX!K219</f>
        <v>2.5</v>
      </c>
      <c r="AS218" s="635">
        <f>PRIX!L219</f>
        <v>0.255</v>
      </c>
      <c r="AT218" s="635">
        <f>PRIX!M219</f>
        <v>190</v>
      </c>
      <c r="AU218" s="635">
        <f>PRIX!N219</f>
        <v>0.0029</v>
      </c>
      <c r="AV218" s="635">
        <f>PRIX!O219</f>
        <v>2.85</v>
      </c>
      <c r="AW218" s="635">
        <f>PRIX!P219</f>
        <v>0.00077</v>
      </c>
      <c r="AX218" s="635">
        <f>PRIX!Q219</f>
        <v>0.0000048</v>
      </c>
      <c r="AY218" s="635">
        <f>PRIX!R219</f>
        <v>0.39</v>
      </c>
      <c r="AZ218" s="635">
        <f>PRIX!S219</f>
        <v>1.2</v>
      </c>
      <c r="BA218" s="623"/>
    </row>
    <row r="219">
      <c r="A219" s="621">
        <f>ARBITRAGES!E220</f>
        <v>45988</v>
      </c>
      <c r="B219" s="623" t="str">
        <f>IF(A219="","",IF(ARBITRAGES!F220="Invest","Achat","Vente"))</f>
        <v>Vente</v>
      </c>
      <c r="C219" s="623" t="str">
        <f>ARBITRAGES!H220</f>
        <v>BTC</v>
      </c>
      <c r="D219" s="624">
        <f>ARBITRAGES!I220</f>
        <v>92000</v>
      </c>
      <c r="E219" s="624">
        <f>ARBITRAGES!J220</f>
        <v>276</v>
      </c>
      <c r="F219" s="623"/>
      <c r="G219" s="621">
        <f>'PV (%)'!B221</f>
        <v>46053</v>
      </c>
      <c r="H219" s="624">
        <f>'PV (%)'!E221</f>
        <v>49361.97297</v>
      </c>
      <c r="I219" s="624">
        <f>'PV (%)'!F221</f>
        <v>37309.98967</v>
      </c>
      <c r="J219" s="626">
        <f>'PV (%)'!G221</f>
        <v>46067.51836</v>
      </c>
      <c r="K219" s="623"/>
      <c r="L219" s="621">
        <f>Exposition!A220</f>
        <v>45989</v>
      </c>
      <c r="M219" s="625">
        <f>Exposition!B220</f>
        <v>0.8434901361</v>
      </c>
      <c r="N219" s="625">
        <f>Exposition!C220</f>
        <v>0.5675988331</v>
      </c>
      <c r="O219" s="625">
        <f>Exposition!D220</f>
        <v>0.1444214693</v>
      </c>
      <c r="P219" s="625">
        <f>Exposition!E220</f>
        <v>0.00000004502144051</v>
      </c>
      <c r="Q219" s="625">
        <f>Exposition!F220</f>
        <v>0.03297436143</v>
      </c>
      <c r="R219" s="625">
        <f>Exposition!G220</f>
        <v>0.03090864286</v>
      </c>
      <c r="S219" s="625">
        <f>Exposition!H220</f>
        <v>0</v>
      </c>
      <c r="T219" s="625">
        <f>Exposition!I220</f>
        <v>0.02369017553</v>
      </c>
      <c r="U219" s="625">
        <f>Exposition!J220</f>
        <v>0.01499305236</v>
      </c>
      <c r="V219" s="625">
        <f>Exposition!K220</f>
        <v>0</v>
      </c>
      <c r="W219" s="625">
        <f>Exposition!L220</f>
        <v>0</v>
      </c>
      <c r="X219" s="625">
        <f>Exposition!M220</f>
        <v>0</v>
      </c>
      <c r="Y219" s="625">
        <f>Exposition!N220</f>
        <v>0.02890347429</v>
      </c>
      <c r="Z219" s="625">
        <f>Exposition!O220</f>
        <v>0</v>
      </c>
      <c r="AA219" s="625">
        <f>Exposition!P220</f>
        <v>0.0000000817369176</v>
      </c>
      <c r="AB219" s="625">
        <f>Exposition!Q220</f>
        <v>0.0000000004370427708</v>
      </c>
      <c r="AC219" s="625">
        <f>Exposition!R220</f>
        <v>0</v>
      </c>
      <c r="AD219" s="625">
        <f>Exposition!S220</f>
        <v>0</v>
      </c>
      <c r="AE219" s="625">
        <f>Exposition!T220</f>
        <v>0</v>
      </c>
      <c r="AF219" s="625">
        <f>Exposition!U220</f>
        <v>0.1565098639</v>
      </c>
      <c r="AG219" s="623"/>
      <c r="AH219" s="621">
        <f>PRIX!A220</f>
        <v>45988</v>
      </c>
      <c r="AI219" s="635">
        <f>PRIX!B220</f>
        <v>92500</v>
      </c>
      <c r="AJ219" s="635">
        <f>PRIX!C220</f>
        <v>3075</v>
      </c>
      <c r="AK219" s="635">
        <f>PRIX!D220</f>
        <v>1.65</v>
      </c>
      <c r="AL219" s="635">
        <f>PRIX!E220</f>
        <v>145</v>
      </c>
      <c r="AM219" s="635">
        <f>PRIX!F220</f>
        <v>315</v>
      </c>
      <c r="AN219" s="635">
        <f>PRIX!G220</f>
        <v>0.185</v>
      </c>
      <c r="AO219" s="635">
        <f>PRIX!H220</f>
        <v>13.4</v>
      </c>
      <c r="AP219" s="635">
        <f>PRIX!I220</f>
        <v>0.155</v>
      </c>
      <c r="AQ219" s="635">
        <f>PRIX!J220</f>
        <v>0.000009</v>
      </c>
      <c r="AR219" s="635">
        <f>PRIX!K220</f>
        <v>2.5</v>
      </c>
      <c r="AS219" s="635">
        <f>PRIX!L220</f>
        <v>0.255</v>
      </c>
      <c r="AT219" s="635">
        <f>PRIX!M220</f>
        <v>190</v>
      </c>
      <c r="AU219" s="635">
        <f>PRIX!N220</f>
        <v>0.0029</v>
      </c>
      <c r="AV219" s="635">
        <f>PRIX!O220</f>
        <v>2.85</v>
      </c>
      <c r="AW219" s="635">
        <f>PRIX!P220</f>
        <v>0.00077</v>
      </c>
      <c r="AX219" s="635">
        <f>PRIX!Q220</f>
        <v>0.0000048</v>
      </c>
      <c r="AY219" s="635">
        <f>PRIX!R220</f>
        <v>0.39</v>
      </c>
      <c r="AZ219" s="635">
        <f>PRIX!S220</f>
        <v>1.2</v>
      </c>
      <c r="BA219" s="623"/>
    </row>
    <row r="220">
      <c r="A220" s="621">
        <f>ARBITRAGES!E221</f>
        <v>45989</v>
      </c>
      <c r="B220" s="623" t="str">
        <f>IF(A220="","",IF(ARBITRAGES!F221="Invest","Achat","Vente"))</f>
        <v>Vente</v>
      </c>
      <c r="C220" s="623" t="str">
        <f>ARBITRAGES!H221</f>
        <v>SOL</v>
      </c>
      <c r="D220" s="624">
        <f>ARBITRAGES!I221</f>
        <v>143.5</v>
      </c>
      <c r="E220" s="624">
        <f>ARBITRAGES!J221</f>
        <v>358.75</v>
      </c>
      <c r="F220" s="623"/>
      <c r="G220" s="621">
        <f>'PV (%)'!B222</f>
        <v>46053</v>
      </c>
      <c r="H220" s="624">
        <f>'PV (%)'!E222</f>
        <v>49361.97297</v>
      </c>
      <c r="I220" s="624">
        <f>'PV (%)'!F222</f>
        <v>37309.98967</v>
      </c>
      <c r="J220" s="626">
        <f>'PV (%)'!G222</f>
        <v>46171.79903</v>
      </c>
      <c r="K220" s="623"/>
      <c r="L220" s="621">
        <f>Exposition!A221</f>
        <v>45991</v>
      </c>
      <c r="M220" s="625">
        <f>Exposition!B221</f>
        <v>0.8376002781</v>
      </c>
      <c r="N220" s="625">
        <f>Exposition!C221</f>
        <v>0.5671591332</v>
      </c>
      <c r="O220" s="625">
        <f>Exposition!D221</f>
        <v>0.1422058345</v>
      </c>
      <c r="P220" s="625">
        <f>Exposition!E221</f>
        <v>0.00000004348231097</v>
      </c>
      <c r="Q220" s="625">
        <f>Exposition!F221</f>
        <v>0.03140781038</v>
      </c>
      <c r="R220" s="625">
        <f>Exposition!G221</f>
        <v>0.0286673793</v>
      </c>
      <c r="S220" s="625">
        <f>Exposition!H221</f>
        <v>0</v>
      </c>
      <c r="T220" s="625">
        <f>Exposition!I221</f>
        <v>0.02291443889</v>
      </c>
      <c r="U220" s="625">
        <f>Exposition!J221</f>
        <v>0.01777096146</v>
      </c>
      <c r="V220" s="625">
        <f>Exposition!K221</f>
        <v>0</v>
      </c>
      <c r="W220" s="625">
        <f>Exposition!L221</f>
        <v>0</v>
      </c>
      <c r="X220" s="625">
        <f>Exposition!M221</f>
        <v>0</v>
      </c>
      <c r="Y220" s="625">
        <f>Exposition!N221</f>
        <v>0.02747459417</v>
      </c>
      <c r="Z220" s="625">
        <f>Exposition!O221</f>
        <v>0</v>
      </c>
      <c r="AA220" s="625">
        <f>Exposition!P221</f>
        <v>0.00000008226651052</v>
      </c>
      <c r="AB220" s="625">
        <f>Exposition!Q221</f>
        <v>0.0000000003859216171</v>
      </c>
      <c r="AC220" s="625">
        <f>Exposition!R221</f>
        <v>0</v>
      </c>
      <c r="AD220" s="625">
        <f>Exposition!S221</f>
        <v>0</v>
      </c>
      <c r="AE220" s="625">
        <f>Exposition!T221</f>
        <v>0</v>
      </c>
      <c r="AF220" s="625">
        <f>Exposition!U221</f>
        <v>0.1623997219</v>
      </c>
      <c r="AG220" s="623"/>
      <c r="AH220" s="621">
        <f>PRIX!A221</f>
        <v>45989</v>
      </c>
      <c r="AI220" s="635">
        <f>PRIX!B221</f>
        <v>92500</v>
      </c>
      <c r="AJ220" s="635">
        <f>PRIX!C221</f>
        <v>3075</v>
      </c>
      <c r="AK220" s="635">
        <f>PRIX!D221</f>
        <v>1.65</v>
      </c>
      <c r="AL220" s="635">
        <f>PRIX!E221</f>
        <v>145</v>
      </c>
      <c r="AM220" s="635">
        <f>PRIX!F221</f>
        <v>315</v>
      </c>
      <c r="AN220" s="635">
        <f>PRIX!G221</f>
        <v>0.185</v>
      </c>
      <c r="AO220" s="635">
        <f>PRIX!H221</f>
        <v>13.4</v>
      </c>
      <c r="AP220" s="635">
        <f>PRIX!I221</f>
        <v>0.155</v>
      </c>
      <c r="AQ220" s="635">
        <f>PRIX!J221</f>
        <v>0.000009</v>
      </c>
      <c r="AR220" s="635">
        <f>PRIX!K221</f>
        <v>2.5</v>
      </c>
      <c r="AS220" s="635">
        <f>PRIX!L221</f>
        <v>0.255</v>
      </c>
      <c r="AT220" s="635">
        <f>PRIX!M221</f>
        <v>190</v>
      </c>
      <c r="AU220" s="635">
        <f>PRIX!N221</f>
        <v>0.0029</v>
      </c>
      <c r="AV220" s="635">
        <f>PRIX!O221</f>
        <v>2.85</v>
      </c>
      <c r="AW220" s="635">
        <f>PRIX!P221</f>
        <v>0.00077</v>
      </c>
      <c r="AX220" s="635">
        <f>PRIX!Q221</f>
        <v>0.0000048</v>
      </c>
      <c r="AY220" s="635">
        <f>PRIX!R221</f>
        <v>0.39</v>
      </c>
      <c r="AZ220" s="635">
        <f>PRIX!S221</f>
        <v>1.2</v>
      </c>
      <c r="BA220" s="623"/>
    </row>
    <row r="221">
      <c r="A221" s="621">
        <f>ARBITRAGES!E222</f>
        <v>45991</v>
      </c>
      <c r="B221" s="623" t="str">
        <f>IF(A221="","",IF(ARBITRAGES!F222="Invest","Achat","Vente"))</f>
        <v>Achat</v>
      </c>
      <c r="C221" s="623" t="str">
        <f>ARBITRAGES!H222</f>
        <v>DOGE</v>
      </c>
      <c r="D221" s="631">
        <f>ARBITRAGES!I222</f>
        <v>0.149</v>
      </c>
      <c r="E221" s="624">
        <f>ARBITRAGES!J222</f>
        <v>185.87</v>
      </c>
      <c r="F221" s="623"/>
      <c r="G221" s="621">
        <f>'PV (%)'!B223</f>
        <v>46053</v>
      </c>
      <c r="H221" s="624">
        <f>'PV (%)'!E223</f>
        <v>49361.97297</v>
      </c>
      <c r="I221" s="624">
        <f>'PV (%)'!F223</f>
        <v>37309.98967</v>
      </c>
      <c r="J221" s="626">
        <f>'PV (%)'!G223</f>
        <v>46182.13503</v>
      </c>
      <c r="K221" s="623"/>
      <c r="L221" s="621">
        <f>Exposition!A222</f>
        <v>45992</v>
      </c>
      <c r="M221" s="625">
        <f>Exposition!B222</f>
        <v>0.8277403511</v>
      </c>
      <c r="N221" s="625">
        <f>Exposition!C222</f>
        <v>0.5670822765</v>
      </c>
      <c r="O221" s="625">
        <f>Exposition!D222</f>
        <v>0.142186564</v>
      </c>
      <c r="P221" s="625">
        <f>Exposition!E222</f>
        <v>0.00000004347641861</v>
      </c>
      <c r="Q221" s="625">
        <f>Exposition!F222</f>
        <v>0.03140355425</v>
      </c>
      <c r="R221" s="625">
        <f>Exposition!G222</f>
        <v>0.02866349454</v>
      </c>
      <c r="S221" s="625">
        <f>Exposition!H222</f>
        <v>0</v>
      </c>
      <c r="T221" s="625">
        <f>Exposition!I222</f>
        <v>0.02291133372</v>
      </c>
      <c r="U221" s="625">
        <f>Exposition!J222</f>
        <v>0.01776855329</v>
      </c>
      <c r="V221" s="625">
        <f>Exposition!K222</f>
        <v>0</v>
      </c>
      <c r="W221" s="625">
        <f>Exposition!L222</f>
        <v>0</v>
      </c>
      <c r="X221" s="625">
        <f>Exposition!M222</f>
        <v>0</v>
      </c>
      <c r="Y221" s="625">
        <f>Exposition!N222</f>
        <v>0.01772444875</v>
      </c>
      <c r="Z221" s="625">
        <f>Exposition!O222</f>
        <v>0</v>
      </c>
      <c r="AA221" s="625">
        <f>Exposition!P222</f>
        <v>0.00000008225536244</v>
      </c>
      <c r="AB221" s="625">
        <f>Exposition!Q222</f>
        <v>0.0000000003858693202</v>
      </c>
      <c r="AC221" s="625">
        <f>Exposition!R222</f>
        <v>0</v>
      </c>
      <c r="AD221" s="625">
        <f>Exposition!S222</f>
        <v>0</v>
      </c>
      <c r="AE221" s="625">
        <f>Exposition!T222</f>
        <v>0</v>
      </c>
      <c r="AF221" s="625">
        <f>Exposition!U222</f>
        <v>0.1722596489</v>
      </c>
      <c r="AG221" s="623"/>
      <c r="AH221" s="621">
        <f>PRIX!A222</f>
        <v>45991</v>
      </c>
      <c r="AI221" s="635">
        <f>PRIX!B222</f>
        <v>87000</v>
      </c>
      <c r="AJ221" s="635">
        <f>PRIX!C222</f>
        <v>2850</v>
      </c>
      <c r="AK221" s="635">
        <f>PRIX!D222</f>
        <v>1.5</v>
      </c>
      <c r="AL221" s="635">
        <f>PRIX!E222</f>
        <v>130</v>
      </c>
      <c r="AM221" s="635">
        <f>PRIX!F222</f>
        <v>275</v>
      </c>
      <c r="AN221" s="635">
        <f>PRIX!G222</f>
        <v>0.17</v>
      </c>
      <c r="AO221" s="635">
        <f>PRIX!H222</f>
        <v>12.2</v>
      </c>
      <c r="AP221" s="635">
        <f>PRIX!I222</f>
        <v>0.138</v>
      </c>
      <c r="AQ221" s="635">
        <f>PRIX!J222</f>
        <v>0.000008</v>
      </c>
      <c r="AR221" s="635">
        <f>PRIX!K222</f>
        <v>2.28</v>
      </c>
      <c r="AS221" s="635">
        <f>PRIX!L222</f>
        <v>0.223</v>
      </c>
      <c r="AT221" s="635">
        <f>PRIX!M222</f>
        <v>170</v>
      </c>
      <c r="AU221" s="635">
        <f>PRIX!N222</f>
        <v>0.0026</v>
      </c>
      <c r="AV221" s="635">
        <f>PRIX!O222</f>
        <v>2.7</v>
      </c>
      <c r="AW221" s="635">
        <f>PRIX!P222</f>
        <v>0.00064</v>
      </c>
      <c r="AX221" s="635">
        <f>PRIX!Q222</f>
        <v>0.0000041</v>
      </c>
      <c r="AY221" s="635">
        <f>PRIX!R222</f>
        <v>0.34</v>
      </c>
      <c r="AZ221" s="635">
        <f>PRIX!S222</f>
        <v>1</v>
      </c>
      <c r="BA221" s="623"/>
    </row>
    <row r="222">
      <c r="A222" s="621">
        <f>ARBITRAGES!E223</f>
        <v>45992</v>
      </c>
      <c r="B222" s="623" t="str">
        <f>IF(A222="","",IF(ARBITRAGES!F223="Invest","Achat","Vente"))</f>
        <v>Vente</v>
      </c>
      <c r="C222" s="623" t="str">
        <f>ARBITRAGES!H223</f>
        <v>AAVE</v>
      </c>
      <c r="D222" s="624">
        <f>ARBITRAGES!I223</f>
        <v>168</v>
      </c>
      <c r="E222" s="624">
        <f>ARBITRAGES!J223</f>
        <v>462</v>
      </c>
      <c r="F222" s="623"/>
      <c r="G222" s="621">
        <f>'PV (%)'!B224</f>
        <v>46053</v>
      </c>
      <c r="H222" s="624">
        <f>'PV (%)'!E224</f>
        <v>49361.97297</v>
      </c>
      <c r="I222" s="624">
        <f>'PV (%)'!F224</f>
        <v>37309.98967</v>
      </c>
      <c r="J222" s="626">
        <f>'PV (%)'!G224</f>
        <v>46201.04503</v>
      </c>
      <c r="K222" s="623"/>
      <c r="L222" s="621">
        <f>Exposition!A223</f>
        <v>45992</v>
      </c>
      <c r="M222" s="625">
        <f>Exposition!B223</f>
        <v>0.8151930453</v>
      </c>
      <c r="N222" s="625">
        <f>Exposition!C223</f>
        <v>0.5672005262</v>
      </c>
      <c r="O222" s="625">
        <f>Exposition!D223</f>
        <v>0.1422162132</v>
      </c>
      <c r="P222" s="625">
        <f>Exposition!E223</f>
        <v>0.00000004348548445</v>
      </c>
      <c r="Q222" s="625">
        <f>Exposition!F223</f>
        <v>0.03141010262</v>
      </c>
      <c r="R222" s="625">
        <f>Exposition!G223</f>
        <v>0.02866947154</v>
      </c>
      <c r="S222" s="625">
        <f>Exposition!H223</f>
        <v>0</v>
      </c>
      <c r="T222" s="625">
        <f>Exposition!I223</f>
        <v>0.01019620252</v>
      </c>
      <c r="U222" s="625">
        <f>Exposition!J223</f>
        <v>0.01777225844</v>
      </c>
      <c r="V222" s="625">
        <f>Exposition!K223</f>
        <v>0</v>
      </c>
      <c r="W222" s="625">
        <f>Exposition!L223</f>
        <v>0</v>
      </c>
      <c r="X222" s="625">
        <f>Exposition!M223</f>
        <v>0</v>
      </c>
      <c r="Y222" s="625">
        <f>Exposition!N223</f>
        <v>0.01772814471</v>
      </c>
      <c r="Z222" s="625">
        <f>Exposition!O223</f>
        <v>0</v>
      </c>
      <c r="AA222" s="625">
        <f>Exposition!P223</f>
        <v>0.00000008227251458</v>
      </c>
      <c r="AB222" s="625">
        <f>Exposition!Q223</f>
        <v>0.0000000003859497828</v>
      </c>
      <c r="AC222" s="625">
        <f>Exposition!R223</f>
        <v>0</v>
      </c>
      <c r="AD222" s="625">
        <f>Exposition!S223</f>
        <v>0</v>
      </c>
      <c r="AE222" s="625">
        <f>Exposition!T223</f>
        <v>0</v>
      </c>
      <c r="AF222" s="625">
        <f>Exposition!U223</f>
        <v>0.1848069547</v>
      </c>
      <c r="AG222" s="623"/>
      <c r="AH222" s="621">
        <f>PRIX!A223</f>
        <v>45992</v>
      </c>
      <c r="AI222" s="635">
        <f>PRIX!B223</f>
        <v>87000</v>
      </c>
      <c r="AJ222" s="635">
        <f>PRIX!C223</f>
        <v>2850</v>
      </c>
      <c r="AK222" s="635">
        <f>PRIX!D223</f>
        <v>1.5</v>
      </c>
      <c r="AL222" s="635">
        <f>PRIX!E223</f>
        <v>130</v>
      </c>
      <c r="AM222" s="635">
        <f>PRIX!F223</f>
        <v>275</v>
      </c>
      <c r="AN222" s="635">
        <f>PRIX!G223</f>
        <v>0.17</v>
      </c>
      <c r="AO222" s="635">
        <f>PRIX!H223</f>
        <v>12.2</v>
      </c>
      <c r="AP222" s="635">
        <f>PRIX!I223</f>
        <v>0.138</v>
      </c>
      <c r="AQ222" s="635">
        <f>PRIX!J223</f>
        <v>0.000008</v>
      </c>
      <c r="AR222" s="635">
        <f>PRIX!K223</f>
        <v>2.28</v>
      </c>
      <c r="AS222" s="635">
        <f>PRIX!L223</f>
        <v>0.223</v>
      </c>
      <c r="AT222" s="635">
        <f>PRIX!M223</f>
        <v>170</v>
      </c>
      <c r="AU222" s="635">
        <f>PRIX!N223</f>
        <v>0.0026</v>
      </c>
      <c r="AV222" s="635">
        <f>PRIX!O223</f>
        <v>2.7</v>
      </c>
      <c r="AW222" s="635">
        <f>PRIX!P223</f>
        <v>0.00064</v>
      </c>
      <c r="AX222" s="635">
        <f>PRIX!Q223</f>
        <v>0.0000041</v>
      </c>
      <c r="AY222" s="635">
        <f>PRIX!R223</f>
        <v>0.34</v>
      </c>
      <c r="AZ222" s="635">
        <f>PRIX!S223</f>
        <v>1</v>
      </c>
      <c r="BA222" s="623"/>
    </row>
    <row r="223">
      <c r="A223" s="621">
        <f>ARBITRAGES!E224</f>
        <v>45992</v>
      </c>
      <c r="B223" s="623" t="str">
        <f>IF(A223="","",IF(ARBITRAGES!F224="Invest","Achat","Vente"))</f>
        <v>Vente</v>
      </c>
      <c r="C223" s="623" t="str">
        <f>ARBITRAGES!H224</f>
        <v>LINK</v>
      </c>
      <c r="D223" s="624">
        <f>ARBITRAGES!I224</f>
        <v>12</v>
      </c>
      <c r="E223" s="624">
        <f>ARBITRAGES!J224</f>
        <v>600</v>
      </c>
      <c r="F223" s="623"/>
      <c r="G223" s="621">
        <f>'PV (%)'!B225</f>
        <v>46053</v>
      </c>
      <c r="H223" s="624">
        <f>'PV (%)'!E225</f>
        <v>49361.97297</v>
      </c>
      <c r="I223" s="624">
        <f>'PV (%)'!F225</f>
        <v>37309.98967</v>
      </c>
      <c r="J223" s="626">
        <f>'PV (%)'!G225</f>
        <v>46201.04504</v>
      </c>
      <c r="K223" s="623"/>
      <c r="L223" s="621">
        <f>Exposition!A224</f>
        <v>45992</v>
      </c>
      <c r="M223" s="625">
        <f>Exposition!B224</f>
        <v>0.8049699719</v>
      </c>
      <c r="N223" s="625">
        <f>Exposition!C224</f>
        <v>0.5671768409</v>
      </c>
      <c r="O223" s="625">
        <f>Exposition!D224</f>
        <v>0.1422102744</v>
      </c>
      <c r="P223" s="625">
        <f>Exposition!E224</f>
        <v>0.00000004348366857</v>
      </c>
      <c r="Q223" s="625">
        <f>Exposition!F224</f>
        <v>0.03140879098</v>
      </c>
      <c r="R223" s="625">
        <f>Exposition!G224</f>
        <v>0.02866827435</v>
      </c>
      <c r="S223" s="625">
        <f>Exposition!H224</f>
        <v>0</v>
      </c>
      <c r="T223" s="625">
        <f>Exposition!I224</f>
        <v>0.000006744391502</v>
      </c>
      <c r="U223" s="625">
        <f>Exposition!J224</f>
        <v>0.0177715163</v>
      </c>
      <c r="V223" s="625">
        <f>Exposition!K224</f>
        <v>0</v>
      </c>
      <c r="W223" s="625">
        <f>Exposition!L224</f>
        <v>0</v>
      </c>
      <c r="X223" s="625">
        <f>Exposition!M224</f>
        <v>0</v>
      </c>
      <c r="Y223" s="625">
        <f>Exposition!N224</f>
        <v>0.01772740441</v>
      </c>
      <c r="Z223" s="625">
        <f>Exposition!O224</f>
        <v>0</v>
      </c>
      <c r="AA223" s="625">
        <f>Exposition!P224</f>
        <v>0.00000008226907902</v>
      </c>
      <c r="AB223" s="625">
        <f>Exposition!Q224</f>
        <v>0.0000000003859336662</v>
      </c>
      <c r="AC223" s="625">
        <f>Exposition!R224</f>
        <v>0</v>
      </c>
      <c r="AD223" s="625">
        <f>Exposition!S224</f>
        <v>0</v>
      </c>
      <c r="AE223" s="625">
        <f>Exposition!T224</f>
        <v>0</v>
      </c>
      <c r="AF223" s="625">
        <f>Exposition!U224</f>
        <v>0.1950300281</v>
      </c>
      <c r="AG223" s="623"/>
      <c r="AH223" s="621">
        <f>PRIX!A224</f>
        <v>45992</v>
      </c>
      <c r="AI223" s="635">
        <f>PRIX!B224</f>
        <v>87000</v>
      </c>
      <c r="AJ223" s="635">
        <f>PRIX!C224</f>
        <v>2850</v>
      </c>
      <c r="AK223" s="635">
        <f>PRIX!D224</f>
        <v>1.5</v>
      </c>
      <c r="AL223" s="635">
        <f>PRIX!E224</f>
        <v>130</v>
      </c>
      <c r="AM223" s="635">
        <f>PRIX!F224</f>
        <v>275</v>
      </c>
      <c r="AN223" s="635">
        <f>PRIX!G224</f>
        <v>0.17</v>
      </c>
      <c r="AO223" s="635">
        <f>PRIX!H224</f>
        <v>12.2</v>
      </c>
      <c r="AP223" s="635">
        <f>PRIX!I224</f>
        <v>0.138</v>
      </c>
      <c r="AQ223" s="635">
        <f>PRIX!J224</f>
        <v>0.000008</v>
      </c>
      <c r="AR223" s="635">
        <f>PRIX!K224</f>
        <v>2.28</v>
      </c>
      <c r="AS223" s="635">
        <f>PRIX!L224</f>
        <v>0.223</v>
      </c>
      <c r="AT223" s="635">
        <f>PRIX!M224</f>
        <v>170</v>
      </c>
      <c r="AU223" s="635">
        <f>PRIX!N224</f>
        <v>0.0026</v>
      </c>
      <c r="AV223" s="635">
        <f>PRIX!O224</f>
        <v>2.7</v>
      </c>
      <c r="AW223" s="635">
        <f>PRIX!P224</f>
        <v>0.00064</v>
      </c>
      <c r="AX223" s="635">
        <f>PRIX!Q224</f>
        <v>0.0000041</v>
      </c>
      <c r="AY223" s="635">
        <f>PRIX!R224</f>
        <v>0.34</v>
      </c>
      <c r="AZ223" s="635">
        <f>PRIX!S224</f>
        <v>1</v>
      </c>
      <c r="BA223" s="623"/>
    </row>
    <row r="224">
      <c r="A224" s="621">
        <f>ARBITRAGES!E225</f>
        <v>45992</v>
      </c>
      <c r="B224" s="623" t="str">
        <f>IF(A224="","",IF(ARBITRAGES!F225="Invest","Achat","Vente"))</f>
        <v>Vente</v>
      </c>
      <c r="C224" s="623" t="str">
        <f>ARBITRAGES!H225</f>
        <v>LINK</v>
      </c>
      <c r="D224" s="624">
        <f>ARBITRAGES!I225</f>
        <v>12.25</v>
      </c>
      <c r="E224" s="624">
        <f>ARBITRAGES!J225</f>
        <v>490.6515497</v>
      </c>
      <c r="F224" s="623"/>
      <c r="G224" s="621">
        <f>'PV (%)'!B226</f>
        <v>46054</v>
      </c>
      <c r="H224" s="624">
        <f>'PV (%)'!E226</f>
        <v>46685.72143</v>
      </c>
      <c r="I224" s="624">
        <f>'PV (%)'!F226</f>
        <v>34767.87027</v>
      </c>
      <c r="J224" s="626">
        <f>'PV (%)'!G226</f>
        <v>43898.21918</v>
      </c>
      <c r="K224" s="623"/>
      <c r="L224" s="621">
        <f>Exposition!A225</f>
        <v>45992</v>
      </c>
      <c r="M224" s="625">
        <f>Exposition!B225</f>
        <v>0.8058665407</v>
      </c>
      <c r="N224" s="625">
        <f>Exposition!C225</f>
        <v>0.5713924923</v>
      </c>
      <c r="O224" s="625">
        <f>Exposition!D225</f>
        <v>0.1423791902</v>
      </c>
      <c r="P224" s="625">
        <f>Exposition!E225</f>
        <v>0.0000000438993505</v>
      </c>
      <c r="Q224" s="625">
        <f>Exposition!F225</f>
        <v>0.02740187171</v>
      </c>
      <c r="R224" s="625">
        <f>Exposition!G225</f>
        <v>0.02842625667</v>
      </c>
      <c r="S224" s="625">
        <f>Exposition!H225</f>
        <v>0</v>
      </c>
      <c r="T224" s="625">
        <f>Exposition!I225</f>
        <v>0.00000694489103</v>
      </c>
      <c r="U224" s="625">
        <f>Exposition!J225</f>
        <v>0.01798028067</v>
      </c>
      <c r="V224" s="625">
        <f>Exposition!K225</f>
        <v>0</v>
      </c>
      <c r="W224" s="625">
        <f>Exposition!L225</f>
        <v>0</v>
      </c>
      <c r="X224" s="625">
        <f>Exposition!M225</f>
        <v>0</v>
      </c>
      <c r="Y224" s="625">
        <f>Exposition!N225</f>
        <v>0.01827938246</v>
      </c>
      <c r="Z224" s="625">
        <f>Exposition!O225</f>
        <v>0</v>
      </c>
      <c r="AA224" s="625">
        <f>Exposition!P225</f>
        <v>0.0000000774472787</v>
      </c>
      <c r="AB224" s="625">
        <f>Exposition!Q225</f>
        <v>0.0000000003993322522</v>
      </c>
      <c r="AC224" s="625">
        <f>Exposition!R225</f>
        <v>0</v>
      </c>
      <c r="AD224" s="625">
        <f>Exposition!S225</f>
        <v>0</v>
      </c>
      <c r="AE224" s="625">
        <f>Exposition!T225</f>
        <v>0</v>
      </c>
      <c r="AF224" s="625">
        <f>Exposition!U225</f>
        <v>0.1941334593</v>
      </c>
      <c r="AG224" s="623"/>
      <c r="AH224" s="621">
        <f>PRIX!A225</f>
        <v>45992</v>
      </c>
      <c r="AI224" s="635">
        <f>PRIX!B225</f>
        <v>87000</v>
      </c>
      <c r="AJ224" s="635">
        <f>PRIX!C225</f>
        <v>2850</v>
      </c>
      <c r="AK224" s="635">
        <f>PRIX!D225</f>
        <v>1.5</v>
      </c>
      <c r="AL224" s="635">
        <f>PRIX!E225</f>
        <v>130</v>
      </c>
      <c r="AM224" s="635">
        <f>PRIX!F225</f>
        <v>275</v>
      </c>
      <c r="AN224" s="635">
        <f>PRIX!G225</f>
        <v>0.17</v>
      </c>
      <c r="AO224" s="635">
        <f>PRIX!H225</f>
        <v>12.2</v>
      </c>
      <c r="AP224" s="635">
        <f>PRIX!I225</f>
        <v>0.138</v>
      </c>
      <c r="AQ224" s="635">
        <f>PRIX!J225</f>
        <v>0.000008</v>
      </c>
      <c r="AR224" s="635">
        <f>PRIX!K225</f>
        <v>2.28</v>
      </c>
      <c r="AS224" s="635">
        <f>PRIX!L225</f>
        <v>0.223</v>
      </c>
      <c r="AT224" s="635">
        <f>PRIX!M225</f>
        <v>170</v>
      </c>
      <c r="AU224" s="635">
        <f>PRIX!N225</f>
        <v>0.0026</v>
      </c>
      <c r="AV224" s="635">
        <f>PRIX!O225</f>
        <v>2.7</v>
      </c>
      <c r="AW224" s="635">
        <f>PRIX!P225</f>
        <v>0.00064</v>
      </c>
      <c r="AX224" s="635">
        <f>PRIX!Q225</f>
        <v>0.0000041</v>
      </c>
      <c r="AY224" s="635">
        <f>PRIX!R225</f>
        <v>0.34</v>
      </c>
      <c r="AZ224" s="635">
        <f>PRIX!S225</f>
        <v>1</v>
      </c>
      <c r="BA224" s="623"/>
    </row>
    <row r="225">
      <c r="A225" s="621">
        <f>ARBITRAGES!E226</f>
        <v>45992</v>
      </c>
      <c r="B225" s="623" t="str">
        <f>IF(A225="","",IF(ARBITRAGES!F226="Invest","Achat","Vente"))</f>
        <v>Vente</v>
      </c>
      <c r="C225" s="623" t="str">
        <f>ARBITRAGES!H226</f>
        <v>SOL</v>
      </c>
      <c r="D225" s="624">
        <f>ARBITRAGES!I226</f>
        <v>130</v>
      </c>
      <c r="E225" s="624">
        <f>ARBITRAGES!J226</f>
        <v>206.9886169</v>
      </c>
      <c r="F225" s="623"/>
      <c r="G225" s="621">
        <f>'PV (%)'!B227</f>
        <v>46054</v>
      </c>
      <c r="H225" s="624">
        <f>'PV (%)'!E227</f>
        <v>46685.72143</v>
      </c>
      <c r="I225" s="624">
        <f>'PV (%)'!F227</f>
        <v>34767.87027</v>
      </c>
      <c r="J225" s="626">
        <f>'PV (%)'!G227</f>
        <v>43900.66599</v>
      </c>
      <c r="K225" s="623"/>
      <c r="L225" s="621">
        <f>Exposition!A226</f>
        <v>45993</v>
      </c>
      <c r="M225" s="625">
        <f>Exposition!B226</f>
        <v>0.8003838648</v>
      </c>
      <c r="N225" s="625">
        <f>Exposition!C226</f>
        <v>0.5713924923</v>
      </c>
      <c r="O225" s="625">
        <f>Exposition!D226</f>
        <v>0.1423791902</v>
      </c>
      <c r="P225" s="625">
        <f>Exposition!E226</f>
        <v>0.0000000438993505</v>
      </c>
      <c r="Q225" s="625">
        <f>Exposition!F226</f>
        <v>0.02191919584</v>
      </c>
      <c r="R225" s="625">
        <f>Exposition!G226</f>
        <v>0.02842625667</v>
      </c>
      <c r="S225" s="625">
        <f>Exposition!H226</f>
        <v>0</v>
      </c>
      <c r="T225" s="625">
        <f>Exposition!I226</f>
        <v>0.00000694489103</v>
      </c>
      <c r="U225" s="625">
        <f>Exposition!J226</f>
        <v>0.01798028067</v>
      </c>
      <c r="V225" s="625">
        <f>Exposition!K226</f>
        <v>0</v>
      </c>
      <c r="W225" s="625">
        <f>Exposition!L226</f>
        <v>0</v>
      </c>
      <c r="X225" s="625">
        <f>Exposition!M226</f>
        <v>0</v>
      </c>
      <c r="Y225" s="625">
        <f>Exposition!N226</f>
        <v>0.01827938246</v>
      </c>
      <c r="Z225" s="625">
        <f>Exposition!O226</f>
        <v>0</v>
      </c>
      <c r="AA225" s="625">
        <f>Exposition!P226</f>
        <v>0.0000000774472787</v>
      </c>
      <c r="AB225" s="625">
        <f>Exposition!Q226</f>
        <v>0.0000000003993322522</v>
      </c>
      <c r="AC225" s="625">
        <f>Exposition!R226</f>
        <v>0</v>
      </c>
      <c r="AD225" s="625">
        <f>Exposition!S226</f>
        <v>0</v>
      </c>
      <c r="AE225" s="625">
        <f>Exposition!T226</f>
        <v>0</v>
      </c>
      <c r="AF225" s="625">
        <f>Exposition!U226</f>
        <v>0.1996161352</v>
      </c>
      <c r="AG225" s="623"/>
      <c r="AH225" s="621">
        <f>PRIX!A226</f>
        <v>45992</v>
      </c>
      <c r="AI225" s="635">
        <f>PRIX!B226</f>
        <v>90000</v>
      </c>
      <c r="AJ225" s="635">
        <f>PRIX!C226</f>
        <v>2930</v>
      </c>
      <c r="AK225" s="635">
        <f>PRIX!D226</f>
        <v>1.555</v>
      </c>
      <c r="AL225" s="635">
        <f>PRIX!E226</f>
        <v>135</v>
      </c>
      <c r="AM225" s="635">
        <f>PRIX!F226</f>
        <v>280</v>
      </c>
      <c r="AN225" s="635">
        <f>PRIX!G226</f>
        <v>0.155</v>
      </c>
      <c r="AO225" s="635">
        <f>PRIX!H226</f>
        <v>12.9</v>
      </c>
      <c r="AP225" s="635">
        <f>PRIX!I226</f>
        <v>0.14337</v>
      </c>
      <c r="AQ225" s="635">
        <f>PRIX!J226</f>
        <v>0.00000805</v>
      </c>
      <c r="AR225" s="635">
        <f>PRIX!K226</f>
        <v>2.36</v>
      </c>
      <c r="AS225" s="635">
        <f>PRIX!L226</f>
        <v>0.25</v>
      </c>
      <c r="AT225" s="635">
        <f>PRIX!M226</f>
        <v>180</v>
      </c>
      <c r="AU225" s="635">
        <f>PRIX!N226</f>
        <v>0.00251</v>
      </c>
      <c r="AV225" s="635">
        <f>PRIX!O226</f>
        <v>2.61</v>
      </c>
      <c r="AW225" s="635">
        <f>PRIX!P226</f>
        <v>0.00068</v>
      </c>
      <c r="AX225" s="635">
        <f>PRIX!Q226</f>
        <v>0.0000042</v>
      </c>
      <c r="AY225" s="635">
        <f>PRIX!R226</f>
        <v>0.353</v>
      </c>
      <c r="AZ225" s="635">
        <f>PRIX!S226</f>
        <v>1.11</v>
      </c>
      <c r="BA225" s="623"/>
    </row>
    <row r="226">
      <c r="A226" s="621">
        <f>ARBITRAGES!E227</f>
        <v>45993</v>
      </c>
      <c r="B226" s="623" t="str">
        <f>IF(A226="","",IF(ARBITRAGES!F227="Invest","Achat","Vente"))</f>
        <v>Vente</v>
      </c>
      <c r="C226" s="623" t="str">
        <f>ARBITRAGES!H227</f>
        <v>SOL</v>
      </c>
      <c r="D226" s="624">
        <f>ARBITRAGES!I227</f>
        <v>135</v>
      </c>
      <c r="E226" s="624">
        <f>ARBITRAGES!J227</f>
        <v>270</v>
      </c>
      <c r="F226" s="623"/>
      <c r="G226" s="621">
        <f>'PV (%)'!B228</f>
        <v>46054</v>
      </c>
      <c r="H226" s="624">
        <f>'PV (%)'!E228</f>
        <v>46685.72143</v>
      </c>
      <c r="I226" s="624">
        <f>'PV (%)'!F228</f>
        <v>34767.87027</v>
      </c>
      <c r="J226" s="626">
        <f>'PV (%)'!G228</f>
        <v>43915.66599</v>
      </c>
      <c r="K226" s="623"/>
      <c r="L226" s="621">
        <f>Exposition!A227</f>
        <v>45993</v>
      </c>
      <c r="M226" s="625">
        <f>Exposition!B227</f>
        <v>0.8009987258</v>
      </c>
      <c r="N226" s="625">
        <f>Exposition!C227</f>
        <v>0.5720357734</v>
      </c>
      <c r="O226" s="625">
        <f>Exposition!D227</f>
        <v>0.1459448627</v>
      </c>
      <c r="P226" s="625">
        <f>Exposition!E227</f>
        <v>0.00000004376187329</v>
      </c>
      <c r="Q226" s="625">
        <f>Exposition!F227</f>
        <v>0.02280904336</v>
      </c>
      <c r="R226" s="625">
        <f>Exposition!G227</f>
        <v>0.02852383134</v>
      </c>
      <c r="S226" s="625">
        <f>Exposition!H227</f>
        <v>0</v>
      </c>
      <c r="T226" s="625">
        <f>Exposition!I227</f>
        <v>0.000007562962516</v>
      </c>
      <c r="U226" s="625">
        <f>Exposition!J227</f>
        <v>0.01822542485</v>
      </c>
      <c r="V226" s="625">
        <f>Exposition!K227</f>
        <v>0</v>
      </c>
      <c r="W226" s="625">
        <f>Exposition!L227</f>
        <v>0</v>
      </c>
      <c r="X226" s="625">
        <f>Exposition!M227</f>
        <v>0</v>
      </c>
      <c r="Y226" s="625">
        <f>Exposition!N227</f>
        <v>0.01345210546</v>
      </c>
      <c r="Z226" s="625">
        <f>Exposition!O227</f>
        <v>0</v>
      </c>
      <c r="AA226" s="625">
        <f>Exposition!P227</f>
        <v>0.00000007762071509</v>
      </c>
      <c r="AB226" s="625">
        <f>Exposition!Q227</f>
        <v>0.0000000004096436163</v>
      </c>
      <c r="AC226" s="625">
        <f>Exposition!R227</f>
        <v>0</v>
      </c>
      <c r="AD226" s="625">
        <f>Exposition!S227</f>
        <v>0</v>
      </c>
      <c r="AE226" s="625">
        <f>Exposition!T227</f>
        <v>0</v>
      </c>
      <c r="AF226" s="625">
        <f>Exposition!U227</f>
        <v>0.1990012742</v>
      </c>
      <c r="AG226" s="623"/>
      <c r="AH226" s="621">
        <f>PRIX!A227</f>
        <v>45993</v>
      </c>
      <c r="AI226" s="635">
        <f>PRIX!B227</f>
        <v>90000</v>
      </c>
      <c r="AJ226" s="635">
        <f>PRIX!C227</f>
        <v>2930</v>
      </c>
      <c r="AK226" s="635">
        <f>PRIX!D227</f>
        <v>1.555</v>
      </c>
      <c r="AL226" s="635">
        <f>PRIX!E227</f>
        <v>135</v>
      </c>
      <c r="AM226" s="635">
        <f>PRIX!F227</f>
        <v>280</v>
      </c>
      <c r="AN226" s="635">
        <f>PRIX!G227</f>
        <v>0.155</v>
      </c>
      <c r="AO226" s="635">
        <f>PRIX!H227</f>
        <v>12.9</v>
      </c>
      <c r="AP226" s="635">
        <f>PRIX!I227</f>
        <v>0.14337</v>
      </c>
      <c r="AQ226" s="635">
        <f>PRIX!J227</f>
        <v>0.00000805</v>
      </c>
      <c r="AR226" s="635">
        <f>PRIX!K227</f>
        <v>2.36</v>
      </c>
      <c r="AS226" s="635">
        <f>PRIX!L227</f>
        <v>0.25</v>
      </c>
      <c r="AT226" s="635">
        <f>PRIX!M227</f>
        <v>180</v>
      </c>
      <c r="AU226" s="635">
        <f>PRIX!N227</f>
        <v>0.00251</v>
      </c>
      <c r="AV226" s="635">
        <f>PRIX!O227</f>
        <v>2.61</v>
      </c>
      <c r="AW226" s="635">
        <f>PRIX!P227</f>
        <v>0.00068</v>
      </c>
      <c r="AX226" s="635">
        <f>PRIX!Q227</f>
        <v>0.0000042</v>
      </c>
      <c r="AY226" s="635">
        <f>PRIX!R227</f>
        <v>0.353</v>
      </c>
      <c r="AZ226" s="635">
        <f>PRIX!S227</f>
        <v>1.11</v>
      </c>
      <c r="BA226" s="623"/>
    </row>
    <row r="227">
      <c r="A227" s="621">
        <f>ARBITRAGES!E228</f>
        <v>45993</v>
      </c>
      <c r="B227" s="623" t="str">
        <f>IF(A227="","",IF(ARBITRAGES!F228="Invest","Achat","Vente"))</f>
        <v>Vente</v>
      </c>
      <c r="C227" s="623" t="str">
        <f>ARBITRAGES!H228</f>
        <v>AAVE</v>
      </c>
      <c r="D227" s="624">
        <f>ARBITRAGES!I228</f>
        <v>190</v>
      </c>
      <c r="E227" s="624">
        <f>ARBITRAGES!J228</f>
        <v>285</v>
      </c>
      <c r="F227" s="623"/>
      <c r="G227" s="621">
        <f>'PV (%)'!B229</f>
        <v>46055</v>
      </c>
      <c r="H227" s="624">
        <f>'PV (%)'!E229</f>
        <v>45793.63758</v>
      </c>
      <c r="I227" s="624">
        <f>'PV (%)'!F229</f>
        <v>33723.62603</v>
      </c>
      <c r="J227" s="626">
        <f>'PV (%)'!G229</f>
        <v>43048.78345</v>
      </c>
      <c r="K227" s="623"/>
      <c r="L227" s="621">
        <f>Exposition!A228</f>
        <v>45993</v>
      </c>
      <c r="M227" s="625">
        <f>Exposition!B228</f>
        <v>0.7980476129</v>
      </c>
      <c r="N227" s="625">
        <f>Exposition!C228</f>
        <v>0.572036111</v>
      </c>
      <c r="O227" s="625">
        <f>Exposition!D228</f>
        <v>0.1459449488</v>
      </c>
      <c r="P227" s="625">
        <f>Exposition!E228</f>
        <v>0.00000004376189912</v>
      </c>
      <c r="Q227" s="625">
        <f>Exposition!F228</f>
        <v>0.02280905682</v>
      </c>
      <c r="R227" s="625">
        <f>Exposition!G228</f>
        <v>0.02852384818</v>
      </c>
      <c r="S227" s="625">
        <f>Exposition!H228</f>
        <v>0</v>
      </c>
      <c r="T227" s="625">
        <f>Exposition!I228</f>
        <v>0.00000756296698</v>
      </c>
      <c r="U227" s="625">
        <f>Exposition!J228</f>
        <v>0.01527384993</v>
      </c>
      <c r="V227" s="625">
        <f>Exposition!K228</f>
        <v>0</v>
      </c>
      <c r="W227" s="625">
        <f>Exposition!L228</f>
        <v>0</v>
      </c>
      <c r="X227" s="625">
        <f>Exposition!M228</f>
        <v>0</v>
      </c>
      <c r="Y227" s="625">
        <f>Exposition!N228</f>
        <v>0.0134521134</v>
      </c>
      <c r="Z227" s="625">
        <f>Exposition!O228</f>
        <v>0</v>
      </c>
      <c r="AA227" s="625">
        <f>Exposition!P228</f>
        <v>0.0000000776207609</v>
      </c>
      <c r="AB227" s="625">
        <f>Exposition!Q228</f>
        <v>0.0000000004096438581</v>
      </c>
      <c r="AC227" s="625">
        <f>Exposition!R228</f>
        <v>0</v>
      </c>
      <c r="AD227" s="625">
        <f>Exposition!S228</f>
        <v>0</v>
      </c>
      <c r="AE227" s="625">
        <f>Exposition!T228</f>
        <v>0</v>
      </c>
      <c r="AF227" s="625">
        <f>Exposition!U228</f>
        <v>0.2019523871</v>
      </c>
      <c r="AG227" s="623"/>
      <c r="AH227" s="621">
        <f>PRIX!A228</f>
        <v>45993</v>
      </c>
      <c r="AI227" s="635">
        <f>PRIX!B228</f>
        <v>93000</v>
      </c>
      <c r="AJ227" s="635">
        <f>PRIX!C228</f>
        <v>3100</v>
      </c>
      <c r="AK227" s="635">
        <f>PRIX!D228</f>
        <v>1.6</v>
      </c>
      <c r="AL227" s="635">
        <f>PRIX!E228</f>
        <v>145</v>
      </c>
      <c r="AM227" s="635">
        <f>PRIX!F228</f>
        <v>290</v>
      </c>
      <c r="AN227" s="635">
        <f>PRIX!G228</f>
        <v>0.168</v>
      </c>
      <c r="AO227" s="635">
        <f>PRIX!H228</f>
        <v>14.5</v>
      </c>
      <c r="AP227" s="635">
        <f>PRIX!I228</f>
        <v>0.15</v>
      </c>
      <c r="AQ227" s="635">
        <f>PRIX!J228</f>
        <v>0.0000088</v>
      </c>
      <c r="AR227" s="635">
        <f>PRIX!K228</f>
        <v>2.45</v>
      </c>
      <c r="AS227" s="635">
        <f>PRIX!L228</f>
        <v>0.255</v>
      </c>
      <c r="AT227" s="635">
        <f>PRIX!M228</f>
        <v>195</v>
      </c>
      <c r="AU227" s="635">
        <f>PRIX!N228</f>
        <v>0.0026</v>
      </c>
      <c r="AV227" s="635">
        <f>PRIX!O228</f>
        <v>2.7</v>
      </c>
      <c r="AW227" s="635">
        <f>PRIX!P228</f>
        <v>0.00072</v>
      </c>
      <c r="AX227" s="635">
        <f>PRIX!Q228</f>
        <v>0.0000048</v>
      </c>
      <c r="AY227" s="635">
        <f>PRIX!R228</f>
        <v>0.4</v>
      </c>
      <c r="AZ227" s="635">
        <f>PRIX!S228</f>
        <v>1.15</v>
      </c>
      <c r="BA227" s="623"/>
    </row>
    <row r="228">
      <c r="A228" s="621">
        <f>ARBITRAGES!E229</f>
        <v>45993</v>
      </c>
      <c r="B228" s="623" t="str">
        <f>IF(A228="","",IF(ARBITRAGES!F229="Invest","Achat","Vente"))</f>
        <v>Vente</v>
      </c>
      <c r="C228" s="623" t="str">
        <f>ARBITRAGES!H229</f>
        <v>DOGE</v>
      </c>
      <c r="D228" s="634">
        <f>ARBITRAGES!I229</f>
        <v>0.15</v>
      </c>
      <c r="E228" s="624">
        <f>ARBITRAGES!J229</f>
        <v>150</v>
      </c>
      <c r="F228" s="623"/>
      <c r="G228" s="621">
        <f>'PV (%)'!B230</f>
        <v>46055</v>
      </c>
      <c r="H228" s="624">
        <f>'PV (%)'!E230</f>
        <v>45793.63758</v>
      </c>
      <c r="I228" s="624">
        <f>'PV (%)'!F230</f>
        <v>33723.62603</v>
      </c>
      <c r="J228" s="626">
        <f>'PV (%)'!G230</f>
        <v>43055.9418</v>
      </c>
      <c r="K228" s="623"/>
      <c r="L228" s="621">
        <f>Exposition!A229</f>
        <v>45994</v>
      </c>
      <c r="M228" s="625">
        <f>Exposition!B229</f>
        <v>0.788216547</v>
      </c>
      <c r="N228" s="625">
        <f>Exposition!C229</f>
        <v>0.5622110052</v>
      </c>
      <c r="O228" s="625">
        <f>Exposition!D229</f>
        <v>0.1459411001</v>
      </c>
      <c r="P228" s="625">
        <f>Exposition!E229</f>
        <v>0.00000004376074508</v>
      </c>
      <c r="Q228" s="625">
        <f>Exposition!F229</f>
        <v>0.02280845532</v>
      </c>
      <c r="R228" s="625">
        <f>Exposition!G229</f>
        <v>0.02852309597</v>
      </c>
      <c r="S228" s="625">
        <f>Exposition!H229</f>
        <v>0</v>
      </c>
      <c r="T228" s="625">
        <f>Exposition!I229</f>
        <v>0.000007562767537</v>
      </c>
      <c r="U228" s="625">
        <f>Exposition!J229</f>
        <v>0.01527344714</v>
      </c>
      <c r="V228" s="625">
        <f>Exposition!K229</f>
        <v>0</v>
      </c>
      <c r="W228" s="625">
        <f>Exposition!L229</f>
        <v>0</v>
      </c>
      <c r="X228" s="625">
        <f>Exposition!M229</f>
        <v>0</v>
      </c>
      <c r="Y228" s="625">
        <f>Exposition!N229</f>
        <v>0.01345175865</v>
      </c>
      <c r="Z228" s="625">
        <f>Exposition!O229</f>
        <v>0</v>
      </c>
      <c r="AA228" s="625">
        <f>Exposition!P229</f>
        <v>0.00000007761871396</v>
      </c>
      <c r="AB228" s="625">
        <f>Exposition!Q229</f>
        <v>0.0000000004096330554</v>
      </c>
      <c r="AC228" s="625">
        <f>Exposition!R229</f>
        <v>0</v>
      </c>
      <c r="AD228" s="625">
        <f>Exposition!S229</f>
        <v>0</v>
      </c>
      <c r="AE228" s="625">
        <f>Exposition!T229</f>
        <v>0</v>
      </c>
      <c r="AF228" s="625">
        <f>Exposition!U229</f>
        <v>0.211783453</v>
      </c>
      <c r="AG228" s="623"/>
      <c r="AH228" s="621">
        <f>PRIX!A229</f>
        <v>45993</v>
      </c>
      <c r="AI228" s="635">
        <f>PRIX!B229</f>
        <v>93000</v>
      </c>
      <c r="AJ228" s="635">
        <f>PRIX!C229</f>
        <v>3100</v>
      </c>
      <c r="AK228" s="635">
        <f>PRIX!D229</f>
        <v>1.6</v>
      </c>
      <c r="AL228" s="635">
        <f>PRIX!E229</f>
        <v>145</v>
      </c>
      <c r="AM228" s="635">
        <f>PRIX!F229</f>
        <v>290</v>
      </c>
      <c r="AN228" s="635">
        <f>PRIX!G229</f>
        <v>0.168</v>
      </c>
      <c r="AO228" s="635">
        <f>PRIX!H229</f>
        <v>14.5</v>
      </c>
      <c r="AP228" s="635">
        <f>PRIX!I229</f>
        <v>0.15</v>
      </c>
      <c r="AQ228" s="635">
        <f>PRIX!J229</f>
        <v>0.0000088</v>
      </c>
      <c r="AR228" s="635">
        <f>PRIX!K229</f>
        <v>2.45</v>
      </c>
      <c r="AS228" s="635">
        <f>PRIX!L229</f>
        <v>0.255</v>
      </c>
      <c r="AT228" s="635">
        <f>PRIX!M229</f>
        <v>195</v>
      </c>
      <c r="AU228" s="635">
        <f>PRIX!N229</f>
        <v>0.0026</v>
      </c>
      <c r="AV228" s="635">
        <f>PRIX!O229</f>
        <v>2.7</v>
      </c>
      <c r="AW228" s="635">
        <f>PRIX!P229</f>
        <v>0.00072</v>
      </c>
      <c r="AX228" s="635">
        <f>PRIX!Q229</f>
        <v>0.0000048</v>
      </c>
      <c r="AY228" s="635">
        <f>PRIX!R229</f>
        <v>0.4</v>
      </c>
      <c r="AZ228" s="635">
        <f>PRIX!S229</f>
        <v>1.15</v>
      </c>
      <c r="BA228" s="623"/>
    </row>
    <row r="229">
      <c r="A229" s="621">
        <f>ARBITRAGES!E230</f>
        <v>45994</v>
      </c>
      <c r="B229" s="623" t="str">
        <f>IF(A229="","",IF(ARBITRAGES!F230="Invest","Achat","Vente"))</f>
        <v>Vente</v>
      </c>
      <c r="C229" s="623" t="str">
        <f>ARBITRAGES!H230</f>
        <v>BTC</v>
      </c>
      <c r="D229" s="624">
        <f>ARBITRAGES!I230</f>
        <v>93250</v>
      </c>
      <c r="E229" s="624">
        <f>ARBITRAGES!J230</f>
        <v>499.9999725</v>
      </c>
      <c r="F229" s="623"/>
      <c r="G229" s="621">
        <f>'PV (%)'!B231</f>
        <v>46055</v>
      </c>
      <c r="H229" s="624">
        <f>'PV (%)'!E231</f>
        <v>45793.63758</v>
      </c>
      <c r="I229" s="624">
        <f>'PV (%)'!F231</f>
        <v>33723.62603</v>
      </c>
      <c r="J229" s="626">
        <f>'PV (%)'!G231</f>
        <v>43055.9418</v>
      </c>
      <c r="K229" s="623"/>
      <c r="L229" s="621">
        <f>Exposition!A230</f>
        <v>45994</v>
      </c>
      <c r="M229" s="625">
        <f>Exposition!B230</f>
        <v>0.7825114395</v>
      </c>
      <c r="N229" s="625">
        <f>Exposition!C230</f>
        <v>0.5622110052</v>
      </c>
      <c r="O229" s="625">
        <f>Exposition!D230</f>
        <v>0.1459411001</v>
      </c>
      <c r="P229" s="625">
        <f>Exposition!E230</f>
        <v>0.00000004376074508</v>
      </c>
      <c r="Q229" s="625">
        <f>Exposition!F230</f>
        <v>0.02280845532</v>
      </c>
      <c r="R229" s="625">
        <f>Exposition!G230</f>
        <v>0.02281798851</v>
      </c>
      <c r="S229" s="625">
        <f>Exposition!H230</f>
        <v>0</v>
      </c>
      <c r="T229" s="625">
        <f>Exposition!I230</f>
        <v>0.000007562767537</v>
      </c>
      <c r="U229" s="625">
        <f>Exposition!J230</f>
        <v>0.01527344714</v>
      </c>
      <c r="V229" s="625">
        <f>Exposition!K230</f>
        <v>0</v>
      </c>
      <c r="W229" s="625">
        <f>Exposition!L230</f>
        <v>0</v>
      </c>
      <c r="X229" s="625">
        <f>Exposition!M230</f>
        <v>0</v>
      </c>
      <c r="Y229" s="625">
        <f>Exposition!N230</f>
        <v>0.01345175865</v>
      </c>
      <c r="Z229" s="625">
        <f>Exposition!O230</f>
        <v>0</v>
      </c>
      <c r="AA229" s="625">
        <f>Exposition!P230</f>
        <v>0.00000007761871396</v>
      </c>
      <c r="AB229" s="625">
        <f>Exposition!Q230</f>
        <v>0.0000000004096330554</v>
      </c>
      <c r="AC229" s="625">
        <f>Exposition!R230</f>
        <v>0</v>
      </c>
      <c r="AD229" s="625">
        <f>Exposition!S230</f>
        <v>0</v>
      </c>
      <c r="AE229" s="625">
        <f>Exposition!T230</f>
        <v>0</v>
      </c>
      <c r="AF229" s="625">
        <f>Exposition!U230</f>
        <v>0.2174885605</v>
      </c>
      <c r="AG229" s="623"/>
      <c r="AH229" s="621">
        <f>PRIX!A230</f>
        <v>45994</v>
      </c>
      <c r="AI229" s="635">
        <f>PRIX!B230</f>
        <v>93000</v>
      </c>
      <c r="AJ229" s="635">
        <f>PRIX!C230</f>
        <v>3100</v>
      </c>
      <c r="AK229" s="635">
        <f>PRIX!D230</f>
        <v>1.6</v>
      </c>
      <c r="AL229" s="635">
        <f>PRIX!E230</f>
        <v>145</v>
      </c>
      <c r="AM229" s="635">
        <f>PRIX!F230</f>
        <v>290</v>
      </c>
      <c r="AN229" s="635">
        <f>PRIX!G230</f>
        <v>0.168</v>
      </c>
      <c r="AO229" s="635">
        <f>PRIX!H230</f>
        <v>14.5</v>
      </c>
      <c r="AP229" s="635">
        <f>PRIX!I230</f>
        <v>0.15</v>
      </c>
      <c r="AQ229" s="635">
        <f>PRIX!J230</f>
        <v>0.0000088</v>
      </c>
      <c r="AR229" s="635">
        <f>PRIX!K230</f>
        <v>2.45</v>
      </c>
      <c r="AS229" s="635">
        <f>PRIX!L230</f>
        <v>0.255</v>
      </c>
      <c r="AT229" s="635">
        <f>PRIX!M230</f>
        <v>195</v>
      </c>
      <c r="AU229" s="635">
        <f>PRIX!N230</f>
        <v>0.0026</v>
      </c>
      <c r="AV229" s="635">
        <f>PRIX!O230</f>
        <v>2.7</v>
      </c>
      <c r="AW229" s="635">
        <f>PRIX!P230</f>
        <v>0.00072</v>
      </c>
      <c r="AX229" s="635">
        <f>PRIX!Q230</f>
        <v>0.0000048</v>
      </c>
      <c r="AY229" s="635">
        <f>PRIX!R230</f>
        <v>0.4</v>
      </c>
      <c r="AZ229" s="635">
        <f>PRIX!S230</f>
        <v>1.15</v>
      </c>
      <c r="BA229" s="623"/>
    </row>
    <row r="230">
      <c r="A230" s="621">
        <f>ARBITRAGES!E231</f>
        <v>45994</v>
      </c>
      <c r="B230" s="623" t="str">
        <f>IF(A230="","",IF(ARBITRAGES!F231="Invest","Achat","Vente"))</f>
        <v>Vente</v>
      </c>
      <c r="C230" s="623" t="str">
        <f>ARBITRAGES!H231</f>
        <v>TAO</v>
      </c>
      <c r="D230" s="624">
        <f>ARBITRAGES!I231</f>
        <v>290</v>
      </c>
      <c r="E230" s="624">
        <f>ARBITRAGES!J231</f>
        <v>290</v>
      </c>
      <c r="F230" s="623"/>
      <c r="G230" s="621">
        <f>'PV (%)'!B232</f>
        <v>46055</v>
      </c>
      <c r="H230" s="624">
        <f>'PV (%)'!E232</f>
        <v>45793.63758</v>
      </c>
      <c r="I230" s="624">
        <f>'PV (%)'!F232</f>
        <v>33723.62603</v>
      </c>
      <c r="J230" s="626">
        <f>'PV (%)'!G232</f>
        <v>43068.91995</v>
      </c>
      <c r="K230" s="623"/>
      <c r="L230" s="621">
        <f>Exposition!A231</f>
        <v>45995</v>
      </c>
      <c r="M230" s="625">
        <f>Exposition!B231</f>
        <v>0.7771871411</v>
      </c>
      <c r="N230" s="625">
        <f>Exposition!C231</f>
        <v>0.5608907308</v>
      </c>
      <c r="O230" s="625">
        <f>Exposition!D231</f>
        <v>0.1421116986</v>
      </c>
      <c r="P230" s="625">
        <f>Exposition!E231</f>
        <v>0.00000004365797905</v>
      </c>
      <c r="Q230" s="625">
        <f>Exposition!F231</f>
        <v>0.02275489284</v>
      </c>
      <c r="R230" s="625">
        <f>Exposition!G231</f>
        <v>0.02276440363</v>
      </c>
      <c r="S230" s="625">
        <f>Exposition!H231</f>
        <v>0</v>
      </c>
      <c r="T230" s="625">
        <f>Exposition!I231</f>
        <v>0.000007545007429</v>
      </c>
      <c r="U230" s="625">
        <f>Exposition!J231</f>
        <v>0.01523757957</v>
      </c>
      <c r="V230" s="625">
        <f>Exposition!K231</f>
        <v>0</v>
      </c>
      <c r="W230" s="625">
        <f>Exposition!L231</f>
        <v>0</v>
      </c>
      <c r="X230" s="625">
        <f>Exposition!M231</f>
        <v>0</v>
      </c>
      <c r="Y230" s="625">
        <f>Exposition!N231</f>
        <v>0.01342016907</v>
      </c>
      <c r="Z230" s="625">
        <f>Exposition!O231</f>
        <v>0</v>
      </c>
      <c r="AA230" s="625">
        <f>Exposition!P231</f>
        <v>0.00000007743643721</v>
      </c>
      <c r="AB230" s="625">
        <f>Exposition!Q231</f>
        <v>0.0000000004086710891</v>
      </c>
      <c r="AC230" s="625">
        <f>Exposition!R231</f>
        <v>0</v>
      </c>
      <c r="AD230" s="625">
        <f>Exposition!S231</f>
        <v>0</v>
      </c>
      <c r="AE230" s="625">
        <f>Exposition!T231</f>
        <v>0</v>
      </c>
      <c r="AF230" s="625">
        <f>Exposition!U231</f>
        <v>0.2228128589</v>
      </c>
      <c r="AG230" s="623"/>
      <c r="AH230" s="621">
        <f>PRIX!A231</f>
        <v>45994</v>
      </c>
      <c r="AI230" s="635">
        <f>PRIX!B231</f>
        <v>93000</v>
      </c>
      <c r="AJ230" s="635">
        <f>PRIX!C231</f>
        <v>3100</v>
      </c>
      <c r="AK230" s="635">
        <f>PRIX!D231</f>
        <v>1.6</v>
      </c>
      <c r="AL230" s="635">
        <f>PRIX!E231</f>
        <v>145</v>
      </c>
      <c r="AM230" s="635">
        <f>PRIX!F231</f>
        <v>290</v>
      </c>
      <c r="AN230" s="635">
        <f>PRIX!G231</f>
        <v>0.168</v>
      </c>
      <c r="AO230" s="635">
        <f>PRIX!H231</f>
        <v>14.5</v>
      </c>
      <c r="AP230" s="635">
        <f>PRIX!I231</f>
        <v>0.15</v>
      </c>
      <c r="AQ230" s="635">
        <f>PRIX!J231</f>
        <v>0.0000088</v>
      </c>
      <c r="AR230" s="635">
        <f>PRIX!K231</f>
        <v>2.45</v>
      </c>
      <c r="AS230" s="635">
        <f>PRIX!L231</f>
        <v>0.255</v>
      </c>
      <c r="AT230" s="635">
        <f>PRIX!M231</f>
        <v>195</v>
      </c>
      <c r="AU230" s="635">
        <f>PRIX!N231</f>
        <v>0.0026</v>
      </c>
      <c r="AV230" s="635">
        <f>PRIX!O231</f>
        <v>2.7</v>
      </c>
      <c r="AW230" s="635">
        <f>PRIX!P231</f>
        <v>0.00072</v>
      </c>
      <c r="AX230" s="635">
        <f>PRIX!Q231</f>
        <v>0.0000048</v>
      </c>
      <c r="AY230" s="635">
        <f>PRIX!R231</f>
        <v>0.4</v>
      </c>
      <c r="AZ230" s="635">
        <f>PRIX!S231</f>
        <v>1.15</v>
      </c>
      <c r="BA230" s="623"/>
    </row>
    <row r="231">
      <c r="A231" s="621">
        <f>ARBITRAGES!E232</f>
        <v>45995</v>
      </c>
      <c r="B231" s="623" t="str">
        <f>IF(A231="","",IF(ARBITRAGES!F232="Invest","Achat","Vente"))</f>
        <v>Vente</v>
      </c>
      <c r="C231" s="623" t="str">
        <f>ARBITRAGES!H232</f>
        <v>ETH</v>
      </c>
      <c r="D231" s="624">
        <f>ARBITRAGES!I232</f>
        <v>3150</v>
      </c>
      <c r="E231" s="624">
        <f>ARBITRAGES!J232</f>
        <v>297.302859</v>
      </c>
      <c r="F231" s="623"/>
      <c r="G231" s="621">
        <f>'PV (%)'!B233</f>
        <v>46055</v>
      </c>
      <c r="H231" s="624">
        <f>'PV (%)'!E233</f>
        <v>45793.63758</v>
      </c>
      <c r="I231" s="624">
        <f>'PV (%)'!F233</f>
        <v>33723.62603</v>
      </c>
      <c r="J231" s="626">
        <f>'PV (%)'!G233</f>
        <v>43079.83995</v>
      </c>
      <c r="K231" s="623"/>
      <c r="L231" s="621">
        <f>Exposition!A232</f>
        <v>46001</v>
      </c>
      <c r="M231" s="625">
        <f>Exposition!B232</f>
        <v>0.7724709721</v>
      </c>
      <c r="N231" s="625">
        <f>Exposition!C232</f>
        <v>0.5562569038</v>
      </c>
      <c r="O231" s="625">
        <f>Exposition!D232</f>
        <v>0.1426030454</v>
      </c>
      <c r="P231" s="625">
        <f>Exposition!E232</f>
        <v>0.00000004465033697</v>
      </c>
      <c r="Q231" s="625">
        <f>Exposition!F232</f>
        <v>0.02178873311</v>
      </c>
      <c r="R231" s="625">
        <f>Exposition!G232</f>
        <v>0.02335482866</v>
      </c>
      <c r="S231" s="625">
        <f>Exposition!H232</f>
        <v>0</v>
      </c>
      <c r="T231" s="625">
        <f>Exposition!I232</f>
        <v>0.000007327860026</v>
      </c>
      <c r="U231" s="625">
        <f>Exposition!J232</f>
        <v>0.01480945967</v>
      </c>
      <c r="V231" s="625">
        <f>Exposition!K232</f>
        <v>0</v>
      </c>
      <c r="W231" s="625">
        <f>Exposition!L232</f>
        <v>0</v>
      </c>
      <c r="X231" s="625">
        <f>Exposition!M232</f>
        <v>0</v>
      </c>
      <c r="Y231" s="625">
        <f>Exposition!N232</f>
        <v>0.01365056171</v>
      </c>
      <c r="Z231" s="625">
        <f>Exposition!O232</f>
        <v>0</v>
      </c>
      <c r="AA231" s="625">
        <f>Exposition!P232</f>
        <v>0.00000006684156542</v>
      </c>
      <c r="AB231" s="625">
        <f>Exposition!Q232</f>
        <v>0.000000000422182117</v>
      </c>
      <c r="AC231" s="625">
        <f>Exposition!R232</f>
        <v>0</v>
      </c>
      <c r="AD231" s="625">
        <f>Exposition!S232</f>
        <v>0</v>
      </c>
      <c r="AE231" s="625">
        <f>Exposition!T232</f>
        <v>0</v>
      </c>
      <c r="AF231" s="625">
        <f>Exposition!U232</f>
        <v>0.2275290279</v>
      </c>
      <c r="AG231" s="623"/>
      <c r="AH231" s="621">
        <f>PRIX!A232</f>
        <v>45995</v>
      </c>
      <c r="AI231" s="635">
        <f>PRIX!B232</f>
        <v>93000</v>
      </c>
      <c r="AJ231" s="635">
        <f>PRIX!C232</f>
        <v>3150</v>
      </c>
      <c r="AK231" s="635">
        <f>PRIX!D232</f>
        <v>1.6</v>
      </c>
      <c r="AL231" s="635">
        <f>PRIX!E232</f>
        <v>145</v>
      </c>
      <c r="AM231" s="635">
        <f>PRIX!F232</f>
        <v>290</v>
      </c>
      <c r="AN231" s="635">
        <f>PRIX!G232</f>
        <v>0.168</v>
      </c>
      <c r="AO231" s="635">
        <f>PRIX!H232</f>
        <v>14.5</v>
      </c>
      <c r="AP231" s="635">
        <f>PRIX!I232</f>
        <v>0.15</v>
      </c>
      <c r="AQ231" s="635">
        <f>PRIX!J232</f>
        <v>0.0000088</v>
      </c>
      <c r="AR231" s="635">
        <f>PRIX!K232</f>
        <v>2.45</v>
      </c>
      <c r="AS231" s="635">
        <f>PRIX!L232</f>
        <v>0.255</v>
      </c>
      <c r="AT231" s="635">
        <f>PRIX!M232</f>
        <v>195</v>
      </c>
      <c r="AU231" s="635">
        <f>PRIX!N232</f>
        <v>0.0026</v>
      </c>
      <c r="AV231" s="635">
        <f>PRIX!O232</f>
        <v>2.7</v>
      </c>
      <c r="AW231" s="635">
        <f>PRIX!P232</f>
        <v>0.00072</v>
      </c>
      <c r="AX231" s="635">
        <f>PRIX!Q232</f>
        <v>0.0000048</v>
      </c>
      <c r="AY231" s="635">
        <f>PRIX!R232</f>
        <v>0.4</v>
      </c>
      <c r="AZ231" s="635">
        <f>PRIX!S232</f>
        <v>1.15</v>
      </c>
      <c r="BA231" s="623"/>
    </row>
    <row r="232">
      <c r="A232" s="621">
        <f>ARBITRAGES!E233</f>
        <v>46001</v>
      </c>
      <c r="B232" s="623" t="str">
        <f>IF(A232="","",IF(ARBITRAGES!F233="Invest","Achat","Vente"))</f>
        <v>Vente</v>
      </c>
      <c r="C232" s="623" t="str">
        <f>ARBITRAGES!H233</f>
        <v>ETH</v>
      </c>
      <c r="D232" s="624">
        <f>ARBITRAGES!I233</f>
        <v>3350</v>
      </c>
      <c r="E232" s="624">
        <f>ARBITRAGES!J233</f>
        <v>336.868094</v>
      </c>
      <c r="F232" s="623"/>
      <c r="G232" s="621">
        <f>'PV (%)'!B234</f>
        <v>46056</v>
      </c>
      <c r="H232" s="624">
        <f>'PV (%)'!E234</f>
        <v>45496.2763</v>
      </c>
      <c r="I232" s="624">
        <f>'PV (%)'!F234</f>
        <v>33760.41241</v>
      </c>
      <c r="J232" s="626">
        <f>'PV (%)'!G234</f>
        <v>43061.41388</v>
      </c>
      <c r="K232" s="623"/>
      <c r="L232" s="621">
        <f>Exposition!A233</f>
        <v>46026</v>
      </c>
      <c r="M232" s="625">
        <f>Exposition!B233</f>
        <v>0.761447972</v>
      </c>
      <c r="N232" s="625">
        <f>Exposition!C233</f>
        <v>0.5534724875</v>
      </c>
      <c r="O232" s="625">
        <f>Exposition!D233</f>
        <v>0.1378911075</v>
      </c>
      <c r="P232" s="625">
        <f>Exposition!E233</f>
        <v>0.00000005117450662</v>
      </c>
      <c r="Q232" s="625">
        <f>Exposition!F233</f>
        <v>0.02147725884</v>
      </c>
      <c r="R232" s="625">
        <f>Exposition!G233</f>
        <v>0.02148623563</v>
      </c>
      <c r="S232" s="625">
        <f>Exposition!H233</f>
        <v>0</v>
      </c>
      <c r="T232" s="625">
        <f>Exposition!I233</f>
        <v>0.000007068622003</v>
      </c>
      <c r="U232" s="625">
        <f>Exposition!J233</f>
        <v>0.01560183393</v>
      </c>
      <c r="V232" s="625">
        <f>Exposition!K233</f>
        <v>0</v>
      </c>
      <c r="W232" s="625">
        <f>Exposition!L233</f>
        <v>0</v>
      </c>
      <c r="X232" s="625">
        <f>Exposition!M233</f>
        <v>0</v>
      </c>
      <c r="Y232" s="625">
        <f>Exposition!N233</f>
        <v>0.01151186294</v>
      </c>
      <c r="Z232" s="625">
        <f>Exposition!O233</f>
        <v>0</v>
      </c>
      <c r="AA232" s="625">
        <f>Exposition!P233</f>
        <v>0.00000006541877501</v>
      </c>
      <c r="AB232" s="625">
        <f>Exposition!Q233</f>
        <v>0.0000000004603304422</v>
      </c>
      <c r="AC232" s="625">
        <f>Exposition!R233</f>
        <v>0</v>
      </c>
      <c r="AD232" s="625">
        <f>Exposition!S233</f>
        <v>0</v>
      </c>
      <c r="AE232" s="625">
        <f>Exposition!T233</f>
        <v>0</v>
      </c>
      <c r="AF232" s="625">
        <f>Exposition!U233</f>
        <v>0.238552028</v>
      </c>
      <c r="AG232" s="623"/>
      <c r="AH232" s="621">
        <f>PRIX!A233</f>
        <v>46001</v>
      </c>
      <c r="AI232" s="635">
        <f>PRIX!B233</f>
        <v>93000</v>
      </c>
      <c r="AJ232" s="635">
        <f>PRIX!C233</f>
        <v>3330</v>
      </c>
      <c r="AK232" s="635">
        <f>PRIX!D233</f>
        <v>1.65</v>
      </c>
      <c r="AL232" s="635">
        <f>PRIX!E233</f>
        <v>140</v>
      </c>
      <c r="AM232" s="635">
        <f>PRIX!F233</f>
        <v>300</v>
      </c>
      <c r="AN232" s="635">
        <f>PRIX!G233</f>
        <v>0.175</v>
      </c>
      <c r="AO232" s="635">
        <f>PRIX!H233</f>
        <v>14.2</v>
      </c>
      <c r="AP232" s="635">
        <f>PRIX!I233</f>
        <v>0.147</v>
      </c>
      <c r="AQ232" s="635">
        <f>PRIX!J233</f>
        <v>0.0000086</v>
      </c>
      <c r="AR232" s="635">
        <f>PRIX!K233</f>
        <v>2.35</v>
      </c>
      <c r="AS232" s="635">
        <f>PRIX!L233</f>
        <v>0.23</v>
      </c>
      <c r="AT232" s="635">
        <f>PRIX!M233</f>
        <v>200</v>
      </c>
      <c r="AU232" s="635">
        <f>PRIX!N233</f>
        <v>0.00272</v>
      </c>
      <c r="AV232" s="635">
        <f>PRIX!O233</f>
        <v>2.35</v>
      </c>
      <c r="AW232" s="635">
        <f>PRIX!P233</f>
        <v>0.00075</v>
      </c>
      <c r="AX232" s="635">
        <f>PRIX!Q233</f>
        <v>0.0000047</v>
      </c>
      <c r="AY232" s="635">
        <f>PRIX!R233</f>
        <v>0.42</v>
      </c>
      <c r="AZ232" s="635">
        <f>PRIX!S233</f>
        <v>1.18</v>
      </c>
      <c r="BA232" s="623"/>
    </row>
    <row r="233">
      <c r="A233" s="621">
        <f>ARBITRAGES!E234</f>
        <v>46026</v>
      </c>
      <c r="B233" s="623" t="str">
        <f>IF(A233="","",IF(ARBITRAGES!F234="Invest","Achat","Vente"))</f>
        <v>Vente</v>
      </c>
      <c r="C233" s="623" t="str">
        <f>ARBITRAGES!H234</f>
        <v>BTC</v>
      </c>
      <c r="D233" s="624">
        <f>ARBITRAGES!I234</f>
        <v>91500</v>
      </c>
      <c r="E233" s="624">
        <f>ARBITRAGES!J234</f>
        <v>300</v>
      </c>
      <c r="F233" s="623"/>
      <c r="G233" s="621">
        <f>'PV (%)'!B235</f>
        <v>46057</v>
      </c>
      <c r="H233" s="624">
        <f>'PV (%)'!E235</f>
        <v>41630.57962</v>
      </c>
      <c r="I233" s="624">
        <f>'PV (%)'!F235</f>
        <v>30831.53785</v>
      </c>
      <c r="J233" s="626">
        <f>'PV (%)'!G235</f>
        <v>39996.4808</v>
      </c>
      <c r="K233" s="623"/>
      <c r="L233" s="621">
        <f>Exposition!A234</f>
        <v>46039</v>
      </c>
      <c r="M233" s="625">
        <f>Exposition!B234</f>
        <v>0.7540870627</v>
      </c>
      <c r="N233" s="625">
        <f>Exposition!C234</f>
        <v>0.5594673603</v>
      </c>
      <c r="O233" s="625">
        <f>Exposition!D234</f>
        <v>0.1301958694</v>
      </c>
      <c r="P233" s="625">
        <f>Exposition!E234</f>
        <v>0.0000000443987567</v>
      </c>
      <c r="Q233" s="625">
        <f>Exposition!F234</f>
        <v>0.02074709642</v>
      </c>
      <c r="R233" s="625">
        <f>Exposition!G234</f>
        <v>0.01955831986</v>
      </c>
      <c r="S233" s="625">
        <f>Exposition!H234</f>
        <v>0</v>
      </c>
      <c r="T233" s="625">
        <f>Exposition!I234</f>
        <v>0.000006614680366</v>
      </c>
      <c r="U233" s="625">
        <f>Exposition!J234</f>
        <v>0.01291343917</v>
      </c>
      <c r="V233" s="625">
        <f>Exposition!K234</f>
        <v>0</v>
      </c>
      <c r="W233" s="625">
        <f>Exposition!L234</f>
        <v>0</v>
      </c>
      <c r="X233" s="625">
        <f>Exposition!M234</f>
        <v>0</v>
      </c>
      <c r="Y233" s="625">
        <f>Exposition!N234</f>
        <v>0.0111982598</v>
      </c>
      <c r="Z233" s="625">
        <f>Exposition!O234</f>
        <v>0</v>
      </c>
      <c r="AA233" s="625">
        <f>Exposition!P234</f>
        <v>0.00000005833359946</v>
      </c>
      <c r="AB233" s="625">
        <f>Exposition!Q234</f>
        <v>0.0000000003463377648</v>
      </c>
      <c r="AC233" s="625">
        <f>Exposition!R234</f>
        <v>0</v>
      </c>
      <c r="AD233" s="625">
        <f>Exposition!S234</f>
        <v>0</v>
      </c>
      <c r="AE233" s="625">
        <f>Exposition!T234</f>
        <v>0</v>
      </c>
      <c r="AF233" s="625">
        <f>Exposition!U234</f>
        <v>0.2459129373</v>
      </c>
      <c r="AG233" s="623"/>
      <c r="AH233" s="621">
        <f>PRIX!A234</f>
        <v>46026</v>
      </c>
      <c r="AI233" s="635">
        <f>PRIX!B234</f>
        <v>91500</v>
      </c>
      <c r="AJ233" s="635">
        <f>PRIX!C234</f>
        <v>3150</v>
      </c>
      <c r="AK233" s="635">
        <f>PRIX!D234</f>
        <v>1.85</v>
      </c>
      <c r="AL233" s="635">
        <f>PRIX!E234</f>
        <v>135</v>
      </c>
      <c r="AM233" s="635">
        <f>PRIX!F234</f>
        <v>270</v>
      </c>
      <c r="AN233" s="635">
        <f>PRIX!G234</f>
        <v>0.144</v>
      </c>
      <c r="AO233" s="635">
        <f>PRIX!H234</f>
        <v>13.4</v>
      </c>
      <c r="AP233" s="635">
        <f>PRIX!I234</f>
        <v>0.1515</v>
      </c>
      <c r="AQ233" s="635">
        <f>PRIX!J234</f>
        <v>0.000009</v>
      </c>
      <c r="AR233" s="635">
        <f>PRIX!K234</f>
        <v>2</v>
      </c>
      <c r="AS233" s="635">
        <f>PRIX!L234</f>
        <v>0.22</v>
      </c>
      <c r="AT233" s="635">
        <f>PRIX!M234</f>
        <v>165</v>
      </c>
      <c r="AU233" s="635">
        <f>PRIX!N234</f>
        <v>0.0028</v>
      </c>
      <c r="AV233" s="635">
        <f>PRIX!O234</f>
        <v>2.25</v>
      </c>
      <c r="AW233" s="635">
        <f>PRIX!P234</f>
        <v>0.0008</v>
      </c>
      <c r="AX233" s="635">
        <f>PRIX!Q234</f>
        <v>0.0000075</v>
      </c>
      <c r="AY233" s="635">
        <f>PRIX!R234</f>
        <v>0.4</v>
      </c>
      <c r="AZ233" s="635">
        <f>PRIX!S234</f>
        <v>1.15</v>
      </c>
      <c r="BA233" s="623"/>
    </row>
    <row r="234">
      <c r="A234" s="621">
        <f>ARBITRAGES!E235</f>
        <v>46039</v>
      </c>
      <c r="B234" s="623" t="str">
        <f>IF(A234="","",IF(ARBITRAGES!F235="Invest","Achat","Vente"))</f>
        <v>Vente</v>
      </c>
      <c r="C234" s="623" t="str">
        <f>ARBITRAGES!H235</f>
        <v>ETH</v>
      </c>
      <c r="D234" s="624">
        <f>ARBITRAGES!I235</f>
        <v>3310</v>
      </c>
      <c r="E234" s="624">
        <f>ARBITRAGES!J235</f>
        <v>331.0591828</v>
      </c>
      <c r="F234" s="623"/>
      <c r="G234" s="621">
        <f>'PV (%)'!B236</f>
        <v>46058</v>
      </c>
      <c r="H234" s="624">
        <f>'PV (%)'!E236</f>
        <v>38062.24422</v>
      </c>
      <c r="I234" s="624">
        <f>'PV (%)'!F236</f>
        <v>28121.99086</v>
      </c>
      <c r="J234" s="626">
        <f>'PV (%)'!G236</f>
        <v>37166.50621</v>
      </c>
      <c r="K234" s="623"/>
      <c r="L234" s="621">
        <f>Exposition!A235</f>
        <v>46045</v>
      </c>
      <c r="M234" s="625">
        <f>Exposition!B235</f>
        <v>0.7410850861</v>
      </c>
      <c r="N234" s="625">
        <f>Exposition!C235</f>
        <v>0.5545381057</v>
      </c>
      <c r="O234" s="625">
        <f>Exposition!D235</f>
        <v>0.1276511635</v>
      </c>
      <c r="P234" s="625">
        <f>Exposition!E235</f>
        <v>0.00000004373778246</v>
      </c>
      <c r="Q234" s="625">
        <f>Exposition!F235</f>
        <v>0.02130369224</v>
      </c>
      <c r="R234" s="625">
        <f>Exposition!G235</f>
        <v>0.01967316599</v>
      </c>
      <c r="S234" s="625">
        <f>Exposition!H235</f>
        <v>0</v>
      </c>
      <c r="T234" s="625">
        <f>Exposition!I235</f>
        <v>0.000006601956863</v>
      </c>
      <c r="U234" s="625">
        <f>Exposition!J235</f>
        <v>0.006772903826</v>
      </c>
      <c r="V234" s="625">
        <f>Exposition!K235</f>
        <v>0</v>
      </c>
      <c r="W234" s="625">
        <f>Exposition!L235</f>
        <v>0</v>
      </c>
      <c r="X234" s="625">
        <f>Exposition!M235</f>
        <v>0</v>
      </c>
      <c r="Y234" s="625">
        <f>Exposition!N235</f>
        <v>0.01113934895</v>
      </c>
      <c r="Z234" s="625">
        <f>Exposition!O235</f>
        <v>0</v>
      </c>
      <c r="AA234" s="625">
        <f>Exposition!P235</f>
        <v>0.00000005989855281</v>
      </c>
      <c r="AB234" s="625">
        <f>Exposition!Q235</f>
        <v>0.0000000003437748865</v>
      </c>
      <c r="AC234" s="625">
        <f>Exposition!R235</f>
        <v>0</v>
      </c>
      <c r="AD234" s="625">
        <f>Exposition!S235</f>
        <v>0</v>
      </c>
      <c r="AE234" s="625">
        <f>Exposition!T235</f>
        <v>0</v>
      </c>
      <c r="AF234" s="625">
        <f>Exposition!U235</f>
        <v>0.2589149139</v>
      </c>
      <c r="AG234" s="623"/>
      <c r="AH234" s="621">
        <f>PRIX!A235</f>
        <v>46039</v>
      </c>
      <c r="AI234" s="635">
        <f>PRIX!B235</f>
        <v>92200</v>
      </c>
      <c r="AJ234" s="635">
        <f>PRIX!C235</f>
        <v>3100</v>
      </c>
      <c r="AK234" s="635">
        <f>PRIX!D235</f>
        <v>1.6</v>
      </c>
      <c r="AL234" s="635">
        <f>PRIX!E235</f>
        <v>130</v>
      </c>
      <c r="AM234" s="635">
        <f>PRIX!F235</f>
        <v>245</v>
      </c>
      <c r="AN234" s="635">
        <f>PRIX!G235</f>
        <v>0.147</v>
      </c>
      <c r="AO234" s="635">
        <f>PRIX!H235</f>
        <v>12.5</v>
      </c>
      <c r="AP234" s="635">
        <f>PRIX!I235</f>
        <v>0.125</v>
      </c>
      <c r="AQ234" s="635">
        <f>PRIX!J235</f>
        <v>0.0000078</v>
      </c>
      <c r="AR234" s="635">
        <f>PRIX!K235</f>
        <v>1.95</v>
      </c>
      <c r="AS234" s="635">
        <f>PRIX!L235</f>
        <v>0.2</v>
      </c>
      <c r="AT234" s="635">
        <f>PRIX!M235</f>
        <v>160</v>
      </c>
      <c r="AU234" s="635">
        <f>PRIX!N235</f>
        <v>0.00244</v>
      </c>
      <c r="AV234" s="635">
        <f>PRIX!O235</f>
        <v>2</v>
      </c>
      <c r="AW234" s="635">
        <f>PRIX!P235</f>
        <v>0.0006</v>
      </c>
      <c r="AX234" s="635">
        <f>PRIX!Q235</f>
        <v>0.0000051</v>
      </c>
      <c r="AY234" s="635">
        <f>PRIX!R235</f>
        <v>0.34</v>
      </c>
      <c r="AZ234" s="635">
        <f>PRIX!S235</f>
        <v>1</v>
      </c>
      <c r="BA234" s="623"/>
    </row>
    <row r="235">
      <c r="A235" s="621">
        <f>ARBITRAGES!E236</f>
        <v>46045</v>
      </c>
      <c r="B235" s="623" t="str">
        <f>IF(A235="","",IF(ARBITRAGES!F236="Invest","Achat","Vente"))</f>
        <v>Vente</v>
      </c>
      <c r="C235" s="623" t="str">
        <f>ARBITRAGES!H236</f>
        <v>DOGE</v>
      </c>
      <c r="D235" s="624">
        <f>ARBITRAGES!I236</f>
        <v>0.125</v>
      </c>
      <c r="E235" s="624">
        <f>ARBITRAGES!J236</f>
        <v>312.5</v>
      </c>
      <c r="F235" s="623"/>
      <c r="G235" s="621">
        <f>'PV (%)'!B237</f>
        <v>46058</v>
      </c>
      <c r="H235" s="624">
        <f>'PV (%)'!E237</f>
        <v>38062.24422</v>
      </c>
      <c r="I235" s="624">
        <f>'PV (%)'!F237</f>
        <v>28121.99086</v>
      </c>
      <c r="J235" s="626">
        <f>'PV (%)'!G237</f>
        <v>37161.35354</v>
      </c>
      <c r="K235" s="623"/>
      <c r="L235" s="621">
        <f>Exposition!A236</f>
        <v>46046</v>
      </c>
      <c r="M235" s="625">
        <f>Exposition!B236</f>
        <v>0.7206378604</v>
      </c>
      <c r="N235" s="625">
        <f>Exposition!C236</f>
        <v>0.5341228241</v>
      </c>
      <c r="O235" s="625">
        <f>Exposition!D236</f>
        <v>0.1276293046</v>
      </c>
      <c r="P235" s="625">
        <f>Exposition!E236</f>
        <v>0.00000004373029286</v>
      </c>
      <c r="Q235" s="625">
        <f>Exposition!F236</f>
        <v>0.02130004423</v>
      </c>
      <c r="R235" s="625">
        <f>Exposition!G236</f>
        <v>0.01966979718</v>
      </c>
      <c r="S235" s="625">
        <f>Exposition!H236</f>
        <v>0</v>
      </c>
      <c r="T235" s="625">
        <f>Exposition!I236</f>
        <v>0.000006600826353</v>
      </c>
      <c r="U235" s="625">
        <f>Exposition!J236</f>
        <v>0.006771744043</v>
      </c>
      <c r="V235" s="625">
        <f>Exposition!K236</f>
        <v>0</v>
      </c>
      <c r="W235" s="625">
        <f>Exposition!L236</f>
        <v>0</v>
      </c>
      <c r="X235" s="625">
        <f>Exposition!M236</f>
        <v>0</v>
      </c>
      <c r="Y235" s="625">
        <f>Exposition!N236</f>
        <v>0.01113744146</v>
      </c>
      <c r="Z235" s="625">
        <f>Exposition!O236</f>
        <v>0</v>
      </c>
      <c r="AA235" s="625">
        <f>Exposition!P236</f>
        <v>0.00000005988829586</v>
      </c>
      <c r="AB235" s="625">
        <f>Exposition!Q236</f>
        <v>0.0000000003437160189</v>
      </c>
      <c r="AC235" s="625">
        <f>Exposition!R236</f>
        <v>0</v>
      </c>
      <c r="AD235" s="625">
        <f>Exposition!S236</f>
        <v>0</v>
      </c>
      <c r="AE235" s="625">
        <f>Exposition!T236</f>
        <v>0</v>
      </c>
      <c r="AF235" s="625">
        <f>Exposition!U236</f>
        <v>0.2793621396</v>
      </c>
      <c r="AG235" s="623"/>
      <c r="AH235" s="621">
        <f>PRIX!A236</f>
        <v>46045</v>
      </c>
      <c r="AI235" s="635">
        <f>PRIX!B236</f>
        <v>89000</v>
      </c>
      <c r="AJ235" s="635">
        <f>PRIX!C236</f>
        <v>2960</v>
      </c>
      <c r="AK235" s="635">
        <f>PRIX!D236</f>
        <v>1.535</v>
      </c>
      <c r="AL235" s="635">
        <f>PRIX!E236</f>
        <v>130</v>
      </c>
      <c r="AM235" s="635">
        <f>PRIX!F236</f>
        <v>240</v>
      </c>
      <c r="AN235" s="635">
        <f>PRIX!G236</f>
        <v>0.153</v>
      </c>
      <c r="AO235" s="635">
        <f>PRIX!H236</f>
        <v>12.15</v>
      </c>
      <c r="AP235" s="635">
        <f>PRIX!I236</f>
        <v>0.1235</v>
      </c>
      <c r="AQ235" s="635">
        <f>PRIX!J236</f>
        <v>0.0000078</v>
      </c>
      <c r="AR235" s="635">
        <f>PRIX!K236</f>
        <v>1.95</v>
      </c>
      <c r="AS235" s="635">
        <f>PRIX!L236</f>
        <v>0.196</v>
      </c>
      <c r="AT235" s="635">
        <f>PRIX!M236</f>
        <v>155</v>
      </c>
      <c r="AU235" s="635">
        <f>PRIX!N236</f>
        <v>0.00247</v>
      </c>
      <c r="AV235" s="635">
        <f>PRIX!O236</f>
        <v>2</v>
      </c>
      <c r="AW235" s="635">
        <f>PRIX!P236</f>
        <v>0.00058</v>
      </c>
      <c r="AX235" s="635">
        <f>PRIX!Q236</f>
        <v>0.000005</v>
      </c>
      <c r="AY235" s="635">
        <f>PRIX!R236</f>
        <v>0.333</v>
      </c>
      <c r="AZ235" s="635">
        <f>PRIX!S236</f>
        <v>1</v>
      </c>
      <c r="BA235" s="623"/>
    </row>
    <row r="236">
      <c r="A236" s="621">
        <f>ARBITRAGES!E237</f>
        <v>46046</v>
      </c>
      <c r="B236" s="623" t="str">
        <f>IF(A236="","",IF(ARBITRAGES!F237="Invest","Achat","Vente"))</f>
        <v>Vente</v>
      </c>
      <c r="C236" s="623" t="str">
        <f>ARBITRAGES!H237</f>
        <v>BTC</v>
      </c>
      <c r="D236" s="624">
        <f>ARBITRAGES!I237</f>
        <v>89750</v>
      </c>
      <c r="E236" s="624">
        <f>ARBITRAGES!J237</f>
        <v>999.999885</v>
      </c>
      <c r="F236" s="623"/>
      <c r="G236" s="621">
        <f>'PV (%)'!B238</f>
        <v>46059</v>
      </c>
      <c r="H236" s="624">
        <f>'PV (%)'!E238</f>
        <v>35385.99267</v>
      </c>
      <c r="I236" s="624">
        <f>'PV (%)'!F238</f>
        <v>26828.54037</v>
      </c>
      <c r="J236" s="626">
        <f>'PV (%)'!G238</f>
        <v>35761.94124</v>
      </c>
      <c r="K236" s="623"/>
      <c r="L236" s="621">
        <f>Exposition!A237</f>
        <v>46047</v>
      </c>
      <c r="M236" s="625">
        <f>Exposition!B237</f>
        <v>0.7238018426</v>
      </c>
      <c r="N236" s="625">
        <f>Exposition!C237</f>
        <v>0.5337383798</v>
      </c>
      <c r="O236" s="625">
        <f>Exposition!D237</f>
        <v>0.1263721344</v>
      </c>
      <c r="P236" s="625">
        <f>Exposition!E237</f>
        <v>0.00000004318768211</v>
      </c>
      <c r="Q236" s="625">
        <f>Exposition!F237</f>
        <v>0.02069863932</v>
      </c>
      <c r="R236" s="625">
        <f>Exposition!G237</f>
        <v>0.01913353657</v>
      </c>
      <c r="S236" s="625">
        <f>Exposition!H237</f>
        <v>0</v>
      </c>
      <c r="T236" s="625">
        <f>Exposition!I237</f>
        <v>0.00611578319</v>
      </c>
      <c r="U236" s="625">
        <f>Exposition!J237</f>
        <v>0.006705228434</v>
      </c>
      <c r="V236" s="625">
        <f>Exposition!K237</f>
        <v>0</v>
      </c>
      <c r="W236" s="625">
        <f>Exposition!L237</f>
        <v>0</v>
      </c>
      <c r="X236" s="625">
        <f>Exposition!M237</f>
        <v>0</v>
      </c>
      <c r="Y236" s="625">
        <f>Exposition!N237</f>
        <v>0.01103803979</v>
      </c>
      <c r="Z236" s="625">
        <f>Exposition!O237</f>
        <v>0</v>
      </c>
      <c r="AA236" s="625">
        <f>Exposition!P237</f>
        <v>0.00000005749898673</v>
      </c>
      <c r="AB236" s="625">
        <f>Exposition!Q237</f>
        <v>0.0000000003353933422</v>
      </c>
      <c r="AC236" s="625">
        <f>Exposition!R237</f>
        <v>0</v>
      </c>
      <c r="AD236" s="625">
        <f>Exposition!S237</f>
        <v>0</v>
      </c>
      <c r="AE236" s="625">
        <f>Exposition!T237</f>
        <v>0</v>
      </c>
      <c r="AF236" s="625">
        <f>Exposition!U237</f>
        <v>0.2761981574</v>
      </c>
      <c r="AG236" s="623"/>
      <c r="AH236" s="621">
        <f>PRIX!A237</f>
        <v>46046</v>
      </c>
      <c r="AI236" s="635">
        <f>PRIX!B237</f>
        <v>89000</v>
      </c>
      <c r="AJ236" s="635">
        <f>PRIX!C237</f>
        <v>2960</v>
      </c>
      <c r="AK236" s="635">
        <f>PRIX!D237</f>
        <v>1.535</v>
      </c>
      <c r="AL236" s="635">
        <f>PRIX!E237</f>
        <v>130</v>
      </c>
      <c r="AM236" s="635">
        <f>PRIX!F237</f>
        <v>240</v>
      </c>
      <c r="AN236" s="635">
        <f>PRIX!G237</f>
        <v>0.153</v>
      </c>
      <c r="AO236" s="635">
        <f>PRIX!H237</f>
        <v>12.15</v>
      </c>
      <c r="AP236" s="635">
        <f>PRIX!I237</f>
        <v>0.1235</v>
      </c>
      <c r="AQ236" s="635">
        <f>PRIX!J237</f>
        <v>0.0000078</v>
      </c>
      <c r="AR236" s="635">
        <f>PRIX!K237</f>
        <v>1.95</v>
      </c>
      <c r="AS236" s="635">
        <f>PRIX!L237</f>
        <v>0.196</v>
      </c>
      <c r="AT236" s="635">
        <f>PRIX!M237</f>
        <v>155</v>
      </c>
      <c r="AU236" s="635">
        <f>PRIX!N237</f>
        <v>0.00247</v>
      </c>
      <c r="AV236" s="635">
        <f>PRIX!O237</f>
        <v>2</v>
      </c>
      <c r="AW236" s="635">
        <f>PRIX!P237</f>
        <v>0.00058</v>
      </c>
      <c r="AX236" s="635">
        <f>PRIX!Q237</f>
        <v>0.000005</v>
      </c>
      <c r="AY236" s="635">
        <f>PRIX!R237</f>
        <v>0.333</v>
      </c>
      <c r="AZ236" s="635">
        <f>PRIX!S237</f>
        <v>1</v>
      </c>
      <c r="BA236" s="623"/>
    </row>
    <row r="237">
      <c r="A237" s="621">
        <f>ARBITRAGES!E238</f>
        <v>46047</v>
      </c>
      <c r="B237" s="623" t="str">
        <f>IF(A237="","",IF(ARBITRAGES!F238="Invest","Achat","Vente"))</f>
        <v>Achat</v>
      </c>
      <c r="C237" s="623" t="str">
        <f>ARBITRAGES!H238</f>
        <v>LINK</v>
      </c>
      <c r="D237" s="624">
        <f>ARBITRAGES!I238</f>
        <v>11.85</v>
      </c>
      <c r="E237" s="624">
        <f>ARBITRAGES!J238</f>
        <v>296.25</v>
      </c>
      <c r="F237" s="623"/>
      <c r="G237" s="621">
        <f>'PV (%)'!B239</f>
        <v>46060</v>
      </c>
      <c r="H237" s="624">
        <f>'PV (%)'!E239</f>
        <v>39846.41192</v>
      </c>
      <c r="I237" s="624">
        <f>'PV (%)'!F239</f>
        <v>29339.58906</v>
      </c>
      <c r="J237" s="626">
        <f>'PV (%)'!G239</f>
        <v>38537.78225</v>
      </c>
      <c r="K237" s="623"/>
      <c r="L237" s="621">
        <f>Exposition!A238</f>
        <v>46048</v>
      </c>
      <c r="M237" s="625">
        <f>Exposition!B238</f>
        <v>0.7279501827</v>
      </c>
      <c r="N237" s="625">
        <f>Exposition!C238</f>
        <v>0.5378912182</v>
      </c>
      <c r="O237" s="625">
        <f>Exposition!D238</f>
        <v>0.1263691435</v>
      </c>
      <c r="P237" s="625">
        <f>Exposition!E238</f>
        <v>0.00000004318665997</v>
      </c>
      <c r="Q237" s="625">
        <f>Exposition!F238</f>
        <v>0.02069814943</v>
      </c>
      <c r="R237" s="625">
        <f>Exposition!G238</f>
        <v>0.01913308373</v>
      </c>
      <c r="S237" s="625">
        <f>Exposition!H238</f>
        <v>0</v>
      </c>
      <c r="T237" s="625">
        <f>Exposition!I238</f>
        <v>0.006115638445</v>
      </c>
      <c r="U237" s="625">
        <f>Exposition!J238</f>
        <v>0.006705069739</v>
      </c>
      <c r="V237" s="625">
        <f>Exposition!K238</f>
        <v>0</v>
      </c>
      <c r="W237" s="625">
        <f>Exposition!L238</f>
        <v>0</v>
      </c>
      <c r="X237" s="625">
        <f>Exposition!M238</f>
        <v>0</v>
      </c>
      <c r="Y237" s="625">
        <f>Exposition!N238</f>
        <v>0.01103777854</v>
      </c>
      <c r="Z237" s="625">
        <f>Exposition!O238</f>
        <v>0</v>
      </c>
      <c r="AA237" s="625">
        <f>Exposition!P238</f>
        <v>0.00000005749762587</v>
      </c>
      <c r="AB237" s="625">
        <f>Exposition!Q238</f>
        <v>0.0000000003353854043</v>
      </c>
      <c r="AC237" s="625">
        <f>Exposition!R238</f>
        <v>0</v>
      </c>
      <c r="AD237" s="625">
        <f>Exposition!S238</f>
        <v>0</v>
      </c>
      <c r="AE237" s="625">
        <f>Exposition!T238</f>
        <v>0</v>
      </c>
      <c r="AF237" s="625">
        <f>Exposition!U238</f>
        <v>0.2720498173</v>
      </c>
      <c r="AG237" s="623"/>
      <c r="AH237" s="621">
        <f>PRIX!A238</f>
        <v>46047</v>
      </c>
      <c r="AI237" s="635">
        <f>PRIX!B238</f>
        <v>88000</v>
      </c>
      <c r="AJ237" s="635">
        <f>PRIX!C238</f>
        <v>2900</v>
      </c>
      <c r="AK237" s="635">
        <f>PRIX!D238</f>
        <v>1.5</v>
      </c>
      <c r="AL237" s="635">
        <f>PRIX!E238</f>
        <v>125</v>
      </c>
      <c r="AM237" s="635">
        <f>PRIX!F238</f>
        <v>231</v>
      </c>
      <c r="AN237" s="635">
        <f>PRIX!G238</f>
        <v>0.145</v>
      </c>
      <c r="AO237" s="635">
        <f>PRIX!H238</f>
        <v>11.8</v>
      </c>
      <c r="AP237" s="635">
        <f>PRIX!I238</f>
        <v>0.121</v>
      </c>
      <c r="AQ237" s="635">
        <f>PRIX!J238</f>
        <v>0.00000765</v>
      </c>
      <c r="AR237" s="635">
        <f>PRIX!K238</f>
        <v>1.9</v>
      </c>
      <c r="AS237" s="635">
        <f>PRIX!L238</f>
        <v>0.19</v>
      </c>
      <c r="AT237" s="635">
        <f>PRIX!M238</f>
        <v>152</v>
      </c>
      <c r="AU237" s="635">
        <f>PRIX!N238</f>
        <v>0.0024</v>
      </c>
      <c r="AV237" s="635">
        <f>PRIX!O238</f>
        <v>1.9</v>
      </c>
      <c r="AW237" s="635">
        <f>PRIX!P238</f>
        <v>0.00056</v>
      </c>
      <c r="AX237" s="635">
        <f>PRIX!Q238</f>
        <v>0.0000048</v>
      </c>
      <c r="AY237" s="635">
        <f>PRIX!R238</f>
        <v>0.325</v>
      </c>
      <c r="AZ237" s="635">
        <f>PRIX!S238</f>
        <v>0.96</v>
      </c>
      <c r="BA237" s="623"/>
    </row>
    <row r="238">
      <c r="A238" s="621">
        <f>ARBITRAGES!E239</f>
        <v>46048</v>
      </c>
      <c r="B238" s="623" t="str">
        <f>IF(A238="","",IF(ARBITRAGES!F239="Invest","Achat","Vente"))</f>
        <v>Achat</v>
      </c>
      <c r="C238" s="623" t="str">
        <f>ARBITRAGES!H239</f>
        <v>BTC</v>
      </c>
      <c r="D238" s="624">
        <f>ARBITRAGES!I239</f>
        <v>87500</v>
      </c>
      <c r="E238" s="624">
        <f>ARBITRAGES!J239</f>
        <v>200</v>
      </c>
      <c r="F238" s="623"/>
      <c r="G238" s="621">
        <f>'PV (%)'!B240</f>
        <v>46060</v>
      </c>
      <c r="H238" s="624">
        <f>'PV (%)'!E240</f>
        <v>39846.41192</v>
      </c>
      <c r="I238" s="624">
        <f>'PV (%)'!F240</f>
        <v>29339.58906</v>
      </c>
      <c r="J238" s="626">
        <f>'PV (%)'!G240</f>
        <v>38562.88211</v>
      </c>
      <c r="K238" s="623"/>
      <c r="L238" s="621">
        <f>Exposition!A239</f>
        <v>46053</v>
      </c>
      <c r="M238" s="625">
        <f>Exposition!B239</f>
        <v>0.7387053709</v>
      </c>
      <c r="N238" s="625">
        <f>Exposition!C239</f>
        <v>0.5556645242</v>
      </c>
      <c r="O238" s="625">
        <f>Exposition!D239</f>
        <v>0.1219567745</v>
      </c>
      <c r="P238" s="625">
        <f>Exposition!E239</f>
        <v>0.00000004225109977</v>
      </c>
      <c r="Q238" s="625">
        <f>Exposition!F239</f>
        <v>0.02030761825</v>
      </c>
      <c r="R238" s="625">
        <f>Exposition!G239</f>
        <v>0.01823240297</v>
      </c>
      <c r="S238" s="625">
        <f>Exposition!H239</f>
        <v>0</v>
      </c>
      <c r="T238" s="625">
        <f>Exposition!I239</f>
        <v>0.005704278461</v>
      </c>
      <c r="U238" s="625">
        <f>Exposition!J239</f>
        <v>0.006563689019</v>
      </c>
      <c r="V238" s="625">
        <f>Exposition!K239</f>
        <v>0</v>
      </c>
      <c r="W238" s="625">
        <f>Exposition!L239</f>
        <v>0</v>
      </c>
      <c r="X238" s="625">
        <f>Exposition!M239</f>
        <v>0</v>
      </c>
      <c r="Y238" s="625">
        <f>Exposition!N239</f>
        <v>0.01027598546</v>
      </c>
      <c r="Z238" s="625">
        <f>Exposition!O239</f>
        <v>0</v>
      </c>
      <c r="AA238" s="625">
        <f>Exposition!P239</f>
        <v>0.00000005551188623</v>
      </c>
      <c r="AB238" s="625">
        <f>Exposition!Q239</f>
        <v>0.0000000003390014184</v>
      </c>
      <c r="AC238" s="625">
        <f>Exposition!R239</f>
        <v>0</v>
      </c>
      <c r="AD238" s="625">
        <f>Exposition!S239</f>
        <v>0</v>
      </c>
      <c r="AE238" s="625">
        <f>Exposition!T239</f>
        <v>0</v>
      </c>
      <c r="AF238" s="625">
        <f>Exposition!U239</f>
        <v>0.2612946291</v>
      </c>
      <c r="AG238" s="623"/>
      <c r="AH238" s="621">
        <f>PRIX!A239</f>
        <v>46048</v>
      </c>
      <c r="AI238" s="635">
        <f>PRIX!B239</f>
        <v>88000</v>
      </c>
      <c r="AJ238" s="635">
        <f>PRIX!C239</f>
        <v>2900</v>
      </c>
      <c r="AK238" s="635">
        <f>PRIX!D239</f>
        <v>1.5</v>
      </c>
      <c r="AL238" s="635">
        <f>PRIX!E239</f>
        <v>125</v>
      </c>
      <c r="AM238" s="635">
        <f>PRIX!F239</f>
        <v>231</v>
      </c>
      <c r="AN238" s="635">
        <f>PRIX!G239</f>
        <v>0.145</v>
      </c>
      <c r="AO238" s="635">
        <f>PRIX!H239</f>
        <v>11.8</v>
      </c>
      <c r="AP238" s="635">
        <f>PRIX!I239</f>
        <v>0.121</v>
      </c>
      <c r="AQ238" s="635">
        <f>PRIX!J239</f>
        <v>0.00000765</v>
      </c>
      <c r="AR238" s="635">
        <f>PRIX!K239</f>
        <v>1.9</v>
      </c>
      <c r="AS238" s="635">
        <f>PRIX!L239</f>
        <v>0.19</v>
      </c>
      <c r="AT238" s="635">
        <f>PRIX!M239</f>
        <v>152</v>
      </c>
      <c r="AU238" s="635">
        <f>PRIX!N239</f>
        <v>0.0024</v>
      </c>
      <c r="AV238" s="635">
        <f>PRIX!O239</f>
        <v>1.9</v>
      </c>
      <c r="AW238" s="635">
        <f>PRIX!P239</f>
        <v>0.00056</v>
      </c>
      <c r="AX238" s="635">
        <f>PRIX!Q239</f>
        <v>0.0000048</v>
      </c>
      <c r="AY238" s="635">
        <f>PRIX!R239</f>
        <v>0.325</v>
      </c>
      <c r="AZ238" s="635">
        <f>PRIX!S239</f>
        <v>0.96</v>
      </c>
      <c r="BA238" s="623"/>
    </row>
    <row r="239">
      <c r="A239" s="621">
        <f>ARBITRAGES!E240</f>
        <v>46053</v>
      </c>
      <c r="B239" s="623" t="str">
        <f>IF(A239="","",IF(ARBITRAGES!F240="Invest","Achat","Vente"))</f>
        <v>Achat</v>
      </c>
      <c r="C239" s="623" t="str">
        <f>ARBITRAGES!H240</f>
        <v>BTC</v>
      </c>
      <c r="D239" s="624">
        <f>ARBITRAGES!I240</f>
        <v>83000</v>
      </c>
      <c r="E239" s="624">
        <f>ARBITRAGES!J240</f>
        <v>1099.75</v>
      </c>
      <c r="F239" s="623"/>
      <c r="G239" s="621">
        <f>'PV (%)'!B241</f>
        <v>46061</v>
      </c>
      <c r="H239" s="624">
        <f>'PV (%)'!E241</f>
        <v>41035.85705</v>
      </c>
      <c r="I239" s="624">
        <f>'PV (%)'!F241</f>
        <v>30329.38859</v>
      </c>
      <c r="J239" s="626">
        <f>'PV (%)'!G241</f>
        <v>39554.08661</v>
      </c>
      <c r="K239" s="623"/>
      <c r="L239" s="621">
        <f>Exposition!A240</f>
        <v>46053</v>
      </c>
      <c r="M239" s="625">
        <f>Exposition!B240</f>
        <v>0.7494669304</v>
      </c>
      <c r="N239" s="625">
        <f>Exposition!C240</f>
        <v>0.566438003</v>
      </c>
      <c r="O239" s="625">
        <f>Exposition!D240</f>
        <v>0.1219488328</v>
      </c>
      <c r="P239" s="625">
        <f>Exposition!E240</f>
        <v>0.00000004224834845</v>
      </c>
      <c r="Q239" s="625">
        <f>Exposition!F240</f>
        <v>0.02030629585</v>
      </c>
      <c r="R239" s="625">
        <f>Exposition!G240</f>
        <v>0.0182312157</v>
      </c>
      <c r="S239" s="625">
        <f>Exposition!H240</f>
        <v>0</v>
      </c>
      <c r="T239" s="625">
        <f>Exposition!I240</f>
        <v>0.005703907007</v>
      </c>
      <c r="U239" s="625">
        <f>Exposition!J240</f>
        <v>0.006563261602</v>
      </c>
      <c r="V239" s="625">
        <f>Exposition!K240</f>
        <v>0</v>
      </c>
      <c r="W239" s="625">
        <f>Exposition!L240</f>
        <v>0</v>
      </c>
      <c r="X239" s="625">
        <f>Exposition!M240</f>
        <v>0</v>
      </c>
      <c r="Y239" s="625">
        <f>Exposition!N240</f>
        <v>0.0102753163</v>
      </c>
      <c r="Z239" s="625">
        <f>Exposition!O240</f>
        <v>0</v>
      </c>
      <c r="AA239" s="625">
        <f>Exposition!P240</f>
        <v>0.00000005550827138</v>
      </c>
      <c r="AB239" s="625">
        <f>Exposition!Q240</f>
        <v>0.0000000003389793432</v>
      </c>
      <c r="AC239" s="625">
        <f>Exposition!R240</f>
        <v>0</v>
      </c>
      <c r="AD239" s="625">
        <f>Exposition!S240</f>
        <v>0</v>
      </c>
      <c r="AE239" s="625">
        <f>Exposition!T240</f>
        <v>0</v>
      </c>
      <c r="AF239" s="625">
        <f>Exposition!U240</f>
        <v>0.2505330696</v>
      </c>
      <c r="AG239" s="623"/>
      <c r="AH239" s="621">
        <f>PRIX!A240</f>
        <v>46053</v>
      </c>
      <c r="AI239" s="635">
        <f>PRIX!B240</f>
        <v>83000</v>
      </c>
      <c r="AJ239" s="635">
        <f>PRIX!C240</f>
        <v>2670</v>
      </c>
      <c r="AK239" s="635">
        <f>PRIX!D240</f>
        <v>1.4</v>
      </c>
      <c r="AL239" s="635">
        <f>PRIX!E240</f>
        <v>117</v>
      </c>
      <c r="AM239" s="635">
        <f>PRIX!F240</f>
        <v>210</v>
      </c>
      <c r="AN239" s="635">
        <f>PRIX!G240</f>
        <v>0.122</v>
      </c>
      <c r="AO239" s="635">
        <f>PRIX!H240</f>
        <v>10.5</v>
      </c>
      <c r="AP239" s="635">
        <f>PRIX!I240</f>
        <v>0.113</v>
      </c>
      <c r="AQ239" s="635">
        <f>PRIX!J240</f>
        <v>0.000007</v>
      </c>
      <c r="AR239" s="635">
        <f>PRIX!K240</f>
        <v>1.65</v>
      </c>
      <c r="AS239" s="635">
        <f>PRIX!L240</f>
        <v>0.2</v>
      </c>
      <c r="AT239" s="635">
        <f>PRIX!M240</f>
        <v>135</v>
      </c>
      <c r="AU239" s="635">
        <f>PRIX!N240</f>
        <v>0.00215</v>
      </c>
      <c r="AV239" s="635">
        <f>PRIX!O240</f>
        <v>1.75</v>
      </c>
      <c r="AW239" s="635">
        <f>PRIX!P240</f>
        <v>0.00054</v>
      </c>
      <c r="AX239" s="635">
        <f>PRIX!Q240</f>
        <v>0.0000044</v>
      </c>
      <c r="AY239" s="635">
        <f>PRIX!R240</f>
        <v>0.28</v>
      </c>
      <c r="AZ239" s="635">
        <f>PRIX!S240</f>
        <v>0.9</v>
      </c>
      <c r="BA239" s="623"/>
    </row>
    <row r="240">
      <c r="A240" s="621">
        <f>ARBITRAGES!E241</f>
        <v>46053</v>
      </c>
      <c r="B240" s="623" t="str">
        <f>IF(A240="","",IF(ARBITRAGES!F241="Invest","Achat","Vente"))</f>
        <v>Achat</v>
      </c>
      <c r="C240" s="623" t="str">
        <f>ARBITRAGES!H241</f>
        <v>BTC</v>
      </c>
      <c r="D240" s="624">
        <f>ARBITRAGES!I241</f>
        <v>82500</v>
      </c>
      <c r="E240" s="624">
        <f>ARBITRAGES!J241</f>
        <v>495</v>
      </c>
      <c r="F240" s="623"/>
      <c r="G240" s="621">
        <f>'PV (%)'!B242</f>
        <v>46061</v>
      </c>
      <c r="H240" s="624">
        <f>'PV (%)'!E242</f>
        <v>41035.85705</v>
      </c>
      <c r="I240" s="624">
        <f>'PV (%)'!F242</f>
        <v>30329.38859</v>
      </c>
      <c r="J240" s="626">
        <f>'PV (%)'!G242</f>
        <v>39557.52645</v>
      </c>
      <c r="K240" s="623"/>
      <c r="L240" s="621">
        <f>Exposition!A241</f>
        <v>46053</v>
      </c>
      <c r="M240" s="625">
        <f>Exposition!B241</f>
        <v>0.742941842</v>
      </c>
      <c r="N240" s="625">
        <f>Exposition!C241</f>
        <v>0.5664671868</v>
      </c>
      <c r="O240" s="625">
        <f>Exposition!D241</f>
        <v>0.1219551158</v>
      </c>
      <c r="P240" s="625">
        <f>Exposition!E241</f>
        <v>0.00000004225052515</v>
      </c>
      <c r="Q240" s="625">
        <f>Exposition!F241</f>
        <v>0.02030734206</v>
      </c>
      <c r="R240" s="625">
        <f>Exposition!G241</f>
        <v>0.018232155</v>
      </c>
      <c r="S240" s="625">
        <f>Exposition!H241</f>
        <v>0</v>
      </c>
      <c r="T240" s="625">
        <f>Exposition!I241</f>
        <v>0.005704200881</v>
      </c>
      <c r="U240" s="625">
        <f>Exposition!J241</f>
        <v>-0.0000001024441559</v>
      </c>
      <c r="V240" s="625">
        <f>Exposition!K241</f>
        <v>0</v>
      </c>
      <c r="W240" s="625">
        <f>Exposition!L241</f>
        <v>0</v>
      </c>
      <c r="X240" s="625">
        <f>Exposition!M241</f>
        <v>0</v>
      </c>
      <c r="Y240" s="625">
        <f>Exposition!N241</f>
        <v>0.0102758457</v>
      </c>
      <c r="Z240" s="625">
        <f>Exposition!O241</f>
        <v>0</v>
      </c>
      <c r="AA240" s="625">
        <f>Exposition!P241</f>
        <v>0.00000005551113126</v>
      </c>
      <c r="AB240" s="625">
        <f>Exposition!Q241</f>
        <v>0.0000000003389968079</v>
      </c>
      <c r="AC240" s="625">
        <f>Exposition!R241</f>
        <v>0</v>
      </c>
      <c r="AD240" s="625">
        <f>Exposition!S241</f>
        <v>0</v>
      </c>
      <c r="AE240" s="625">
        <f>Exposition!T241</f>
        <v>0</v>
      </c>
      <c r="AF240" s="625">
        <f>Exposition!U241</f>
        <v>0.257058158</v>
      </c>
      <c r="AG240" s="623"/>
      <c r="AH240" s="621">
        <f>PRIX!A241</f>
        <v>46053</v>
      </c>
      <c r="AI240" s="635">
        <f>PRIX!B241</f>
        <v>83000</v>
      </c>
      <c r="AJ240" s="635">
        <f>PRIX!C241</f>
        <v>2670</v>
      </c>
      <c r="AK240" s="635">
        <f>PRIX!D241</f>
        <v>1.4</v>
      </c>
      <c r="AL240" s="635">
        <f>PRIX!E241</f>
        <v>117</v>
      </c>
      <c r="AM240" s="635">
        <f>PRIX!F241</f>
        <v>210</v>
      </c>
      <c r="AN240" s="635">
        <f>PRIX!G241</f>
        <v>0.122</v>
      </c>
      <c r="AO240" s="635">
        <f>PRIX!H241</f>
        <v>10.5</v>
      </c>
      <c r="AP240" s="635">
        <f>PRIX!I241</f>
        <v>0.113</v>
      </c>
      <c r="AQ240" s="635">
        <f>PRIX!J241</f>
        <v>0.000007</v>
      </c>
      <c r="AR240" s="635">
        <f>PRIX!K241</f>
        <v>1.65</v>
      </c>
      <c r="AS240" s="635">
        <f>PRIX!L241</f>
        <v>0.2</v>
      </c>
      <c r="AT240" s="635">
        <f>PRIX!M241</f>
        <v>135</v>
      </c>
      <c r="AU240" s="635">
        <f>PRIX!N241</f>
        <v>0.00215</v>
      </c>
      <c r="AV240" s="635">
        <f>PRIX!O241</f>
        <v>1.75</v>
      </c>
      <c r="AW240" s="635">
        <f>PRIX!P241</f>
        <v>0.00054</v>
      </c>
      <c r="AX240" s="635">
        <f>PRIX!Q241</f>
        <v>0.0000044</v>
      </c>
      <c r="AY240" s="635">
        <f>PRIX!R241</f>
        <v>0.28</v>
      </c>
      <c r="AZ240" s="635">
        <f>PRIX!S241</f>
        <v>0.9</v>
      </c>
      <c r="BA240" s="623"/>
    </row>
    <row r="241">
      <c r="A241" s="621">
        <f>ARBITRAGES!E242</f>
        <v>46053</v>
      </c>
      <c r="B241" s="623" t="str">
        <f>IF(A241="","",IF(ARBITRAGES!F242="Invest","Achat","Vente"))</f>
        <v>Vente</v>
      </c>
      <c r="C241" s="623" t="str">
        <f>ARBITRAGES!H242</f>
        <v>DOGE</v>
      </c>
      <c r="D241" s="624">
        <f>ARBITRAGES!I242</f>
        <v>0.112</v>
      </c>
      <c r="E241" s="624">
        <f>ARBITRAGES!J242</f>
        <v>300</v>
      </c>
      <c r="F241" s="623"/>
      <c r="G241" s="621">
        <f>'PV (%)'!B243</f>
        <v>46062</v>
      </c>
      <c r="H241" s="624">
        <f>'PV (%)'!E243</f>
        <v>41035.85705</v>
      </c>
      <c r="I241" s="624">
        <f>'PV (%)'!F243</f>
        <v>30037.30932</v>
      </c>
      <c r="J241" s="626">
        <f>'PV (%)'!G243</f>
        <v>39497.21829</v>
      </c>
      <c r="K241" s="623"/>
      <c r="L241" s="621">
        <f>Exposition!A242</f>
        <v>46053</v>
      </c>
      <c r="M241" s="625">
        <f>Exposition!B242</f>
        <v>0.7753472411</v>
      </c>
      <c r="N241" s="625">
        <f>Exposition!C242</f>
        <v>0.5992711603</v>
      </c>
      <c r="O241" s="625">
        <f>Exposition!D242</f>
        <v>0.1216796758</v>
      </c>
      <c r="P241" s="625">
        <f>Exposition!E242</f>
        <v>0.00000004215510082</v>
      </c>
      <c r="Q241" s="625">
        <f>Exposition!F242</f>
        <v>0.0202614772</v>
      </c>
      <c r="R241" s="625">
        <f>Exposition!G242</f>
        <v>0.01819097703</v>
      </c>
      <c r="S241" s="625">
        <f>Exposition!H242</f>
        <v>0</v>
      </c>
      <c r="T241" s="625">
        <f>Exposition!I242</f>
        <v>0.005691317739</v>
      </c>
      <c r="U241" s="625">
        <f>Exposition!J242</f>
        <v>-0.0000001022127821</v>
      </c>
      <c r="V241" s="625">
        <f>Exposition!K242</f>
        <v>0</v>
      </c>
      <c r="W241" s="625">
        <f>Exposition!L242</f>
        <v>0</v>
      </c>
      <c r="X241" s="625">
        <f>Exposition!M242</f>
        <v>0</v>
      </c>
      <c r="Y241" s="625">
        <f>Exposition!N242</f>
        <v>0.01025263733</v>
      </c>
      <c r="Z241" s="625">
        <f>Exposition!O242</f>
        <v>0</v>
      </c>
      <c r="AA241" s="625">
        <f>Exposition!P242</f>
        <v>0.00000005538575737</v>
      </c>
      <c r="AB241" s="625">
        <f>Exposition!Q242</f>
        <v>0.0000000003382311715</v>
      </c>
      <c r="AC241" s="625">
        <f>Exposition!R242</f>
        <v>0</v>
      </c>
      <c r="AD241" s="625">
        <f>Exposition!S242</f>
        <v>0</v>
      </c>
      <c r="AE241" s="625">
        <f>Exposition!T242</f>
        <v>0</v>
      </c>
      <c r="AF241" s="625">
        <f>Exposition!U242</f>
        <v>0.2246527589</v>
      </c>
      <c r="AG241" s="623"/>
      <c r="AH241" s="621">
        <f>PRIX!A242</f>
        <v>46053</v>
      </c>
      <c r="AI241" s="635">
        <f>PRIX!B242</f>
        <v>83000</v>
      </c>
      <c r="AJ241" s="635">
        <f>PRIX!C242</f>
        <v>2670</v>
      </c>
      <c r="AK241" s="635">
        <f>PRIX!D242</f>
        <v>1.4</v>
      </c>
      <c r="AL241" s="635">
        <f>PRIX!E242</f>
        <v>117</v>
      </c>
      <c r="AM241" s="635">
        <f>PRIX!F242</f>
        <v>210</v>
      </c>
      <c r="AN241" s="635">
        <f>PRIX!G242</f>
        <v>0.122</v>
      </c>
      <c r="AO241" s="635">
        <f>PRIX!H242</f>
        <v>10.5</v>
      </c>
      <c r="AP241" s="635">
        <f>PRIX!I242</f>
        <v>0.113</v>
      </c>
      <c r="AQ241" s="635">
        <f>PRIX!J242</f>
        <v>0.000007</v>
      </c>
      <c r="AR241" s="635">
        <f>PRIX!K242</f>
        <v>1.65</v>
      </c>
      <c r="AS241" s="635">
        <f>PRIX!L242</f>
        <v>0.2</v>
      </c>
      <c r="AT241" s="635">
        <f>PRIX!M242</f>
        <v>135</v>
      </c>
      <c r="AU241" s="635">
        <f>PRIX!N242</f>
        <v>0.00215</v>
      </c>
      <c r="AV241" s="635">
        <f>PRIX!O242</f>
        <v>1.75</v>
      </c>
      <c r="AW241" s="635">
        <f>PRIX!P242</f>
        <v>0.00054</v>
      </c>
      <c r="AX241" s="635">
        <f>PRIX!Q242</f>
        <v>0.0000044</v>
      </c>
      <c r="AY241" s="635">
        <f>PRIX!R242</f>
        <v>0.28</v>
      </c>
      <c r="AZ241" s="635">
        <f>PRIX!S242</f>
        <v>0.9</v>
      </c>
      <c r="BA241" s="623"/>
    </row>
    <row r="242">
      <c r="A242" s="621">
        <f>ARBITRAGES!E243</f>
        <v>46053</v>
      </c>
      <c r="B242" s="623" t="str">
        <f>IF(A242="","",IF(ARBITRAGES!F243="Invest","Achat","Vente"))</f>
        <v>Achat</v>
      </c>
      <c r="C242" s="623" t="str">
        <f>ARBITRAGES!H243</f>
        <v>BTC</v>
      </c>
      <c r="D242" s="624">
        <f>ARBITRAGES!I243</f>
        <v>77500</v>
      </c>
      <c r="E242" s="624">
        <f>ARBITRAGES!J243</f>
        <v>1469.40938</v>
      </c>
      <c r="F242" s="623"/>
      <c r="G242" s="621">
        <f>'PV (%)'!B244</f>
        <v>46063</v>
      </c>
      <c r="H242" s="624">
        <f>'PV (%)'!E244</f>
        <v>39251.68935</v>
      </c>
      <c r="I242" s="624">
        <f>'PV (%)'!F244</f>
        <v>28663.30101</v>
      </c>
      <c r="J242" s="626">
        <f>'PV (%)'!G244</f>
        <v>38119.99257</v>
      </c>
      <c r="K242" s="623"/>
      <c r="L242" s="621">
        <f>Exposition!A243</f>
        <v>46053</v>
      </c>
      <c r="M242" s="625">
        <f>Exposition!B243</f>
        <v>0.7797281995</v>
      </c>
      <c r="N242" s="625">
        <f>Exposition!C243</f>
        <v>0.5991370377</v>
      </c>
      <c r="O242" s="625">
        <f>Exposition!D243</f>
        <v>0.1216524428</v>
      </c>
      <c r="P242" s="625">
        <f>Exposition!E243</f>
        <v>0.00000004214566611</v>
      </c>
      <c r="Q242" s="625">
        <f>Exposition!F243</f>
        <v>0.02025694249</v>
      </c>
      <c r="R242" s="625">
        <f>Exposition!G243</f>
        <v>0.02274139415</v>
      </c>
      <c r="S242" s="625">
        <f>Exposition!H243</f>
        <v>0</v>
      </c>
      <c r="T242" s="625">
        <f>Exposition!I243</f>
        <v>0.005690043968</v>
      </c>
      <c r="U242" s="625">
        <f>Exposition!J243</f>
        <v>-0.0000001021899059</v>
      </c>
      <c r="V242" s="625">
        <f>Exposition!K243</f>
        <v>0</v>
      </c>
      <c r="W242" s="625">
        <f>Exposition!L243</f>
        <v>0</v>
      </c>
      <c r="X242" s="625">
        <f>Exposition!M243</f>
        <v>0</v>
      </c>
      <c r="Y242" s="625">
        <f>Exposition!N243</f>
        <v>0.0102503427</v>
      </c>
      <c r="Z242" s="625">
        <f>Exposition!O243</f>
        <v>0</v>
      </c>
      <c r="AA242" s="625">
        <f>Exposition!P243</f>
        <v>0.00000005537336152</v>
      </c>
      <c r="AB242" s="625">
        <f>Exposition!Q243</f>
        <v>0.0000000003381554721</v>
      </c>
      <c r="AC242" s="625">
        <f>Exposition!R243</f>
        <v>0</v>
      </c>
      <c r="AD242" s="625">
        <f>Exposition!S243</f>
        <v>0</v>
      </c>
      <c r="AE242" s="625">
        <f>Exposition!T243</f>
        <v>0</v>
      </c>
      <c r="AF242" s="625">
        <f>Exposition!U243</f>
        <v>0.2202718005</v>
      </c>
      <c r="AG242" s="623"/>
      <c r="AH242" s="621">
        <f>PRIX!A243</f>
        <v>46053</v>
      </c>
      <c r="AI242" s="635">
        <f>PRIX!B243</f>
        <v>83000</v>
      </c>
      <c r="AJ242" s="635">
        <f>PRIX!C243</f>
        <v>2670</v>
      </c>
      <c r="AK242" s="635">
        <f>PRIX!D243</f>
        <v>1.4</v>
      </c>
      <c r="AL242" s="635">
        <f>PRIX!E243</f>
        <v>117</v>
      </c>
      <c r="AM242" s="635">
        <f>PRIX!F243</f>
        <v>210</v>
      </c>
      <c r="AN242" s="635">
        <f>PRIX!G243</f>
        <v>0.122</v>
      </c>
      <c r="AO242" s="635">
        <f>PRIX!H243</f>
        <v>10.5</v>
      </c>
      <c r="AP242" s="635">
        <f>PRIX!I243</f>
        <v>0.113</v>
      </c>
      <c r="AQ242" s="635">
        <f>PRIX!J243</f>
        <v>0.000007</v>
      </c>
      <c r="AR242" s="635">
        <f>PRIX!K243</f>
        <v>1.65</v>
      </c>
      <c r="AS242" s="635">
        <f>PRIX!L243</f>
        <v>0.2</v>
      </c>
      <c r="AT242" s="635">
        <f>PRIX!M243</f>
        <v>135</v>
      </c>
      <c r="AU242" s="635">
        <f>PRIX!N243</f>
        <v>0.00215</v>
      </c>
      <c r="AV242" s="635">
        <f>PRIX!O243</f>
        <v>1.75</v>
      </c>
      <c r="AW242" s="635">
        <f>PRIX!P243</f>
        <v>0.00054</v>
      </c>
      <c r="AX242" s="635">
        <f>PRIX!Q243</f>
        <v>0.0000044</v>
      </c>
      <c r="AY242" s="635">
        <f>PRIX!R243</f>
        <v>0.28</v>
      </c>
      <c r="AZ242" s="635">
        <f>PRIX!S243</f>
        <v>0.9</v>
      </c>
      <c r="BA242" s="623"/>
    </row>
    <row r="243">
      <c r="A243" s="621">
        <f>ARBITRAGES!E244</f>
        <v>46053</v>
      </c>
      <c r="B243" s="623" t="str">
        <f>IF(A243="","",IF(ARBITRAGES!F244="Invest","Achat","Vente"))</f>
        <v>Achat</v>
      </c>
      <c r="C243" s="623" t="str">
        <f>ARBITRAGES!H244</f>
        <v>TAO</v>
      </c>
      <c r="D243" s="624">
        <f>ARBITRAGES!I244</f>
        <v>200</v>
      </c>
      <c r="E243" s="624">
        <f>ARBITRAGES!J244</f>
        <v>200</v>
      </c>
      <c r="F243" s="623"/>
      <c r="G243" s="621">
        <f>'PV (%)'!B245</f>
        <v>46064</v>
      </c>
      <c r="H243" s="624">
        <f>'PV (%)'!E245</f>
        <v>39667.99515</v>
      </c>
      <c r="I243" s="624">
        <f>'PV (%)'!F245</f>
        <v>28998.80416</v>
      </c>
      <c r="J243" s="626">
        <f>'PV (%)'!G245</f>
        <v>38487.88514</v>
      </c>
      <c r="K243" s="623"/>
      <c r="L243" s="621">
        <f>Exposition!A244</f>
        <v>46053</v>
      </c>
      <c r="M243" s="625">
        <f>Exposition!B244</f>
        <v>0.785056333</v>
      </c>
      <c r="N243" s="625">
        <f>Exposition!C244</f>
        <v>0.5988918121</v>
      </c>
      <c r="O243" s="625">
        <f>Exposition!D244</f>
        <v>0.1216026506</v>
      </c>
      <c r="P243" s="625">
        <f>Exposition!E244</f>
        <v>0.00000004212841597</v>
      </c>
      <c r="Q243" s="625">
        <f>Exposition!F244</f>
        <v>0.02589592622</v>
      </c>
      <c r="R243" s="625">
        <f>Exposition!G244</f>
        <v>0.02273208614</v>
      </c>
      <c r="S243" s="625">
        <f>Exposition!H244</f>
        <v>0</v>
      </c>
      <c r="T243" s="625">
        <f>Exposition!I244</f>
        <v>0.005687715043</v>
      </c>
      <c r="U243" s="625">
        <f>Exposition!J244</f>
        <v>-0.0000001021480798</v>
      </c>
      <c r="V243" s="625">
        <f>Exposition!K244</f>
        <v>0</v>
      </c>
      <c r="W243" s="625">
        <f>Exposition!L244</f>
        <v>0</v>
      </c>
      <c r="X243" s="625">
        <f>Exposition!M244</f>
        <v>0</v>
      </c>
      <c r="Y243" s="625">
        <f>Exposition!N244</f>
        <v>0.01024614725</v>
      </c>
      <c r="Z243" s="625">
        <f>Exposition!O244</f>
        <v>0</v>
      </c>
      <c r="AA243" s="625">
        <f>Exposition!P244</f>
        <v>0.00000005535069731</v>
      </c>
      <c r="AB243" s="625">
        <f>Exposition!Q244</f>
        <v>0.0000000003380170657</v>
      </c>
      <c r="AC243" s="625">
        <f>Exposition!R244</f>
        <v>0</v>
      </c>
      <c r="AD243" s="625">
        <f>Exposition!S244</f>
        <v>0</v>
      </c>
      <c r="AE243" s="625">
        <f>Exposition!T244</f>
        <v>0</v>
      </c>
      <c r="AF243" s="625">
        <f>Exposition!U244</f>
        <v>0.214943667</v>
      </c>
      <c r="AG243" s="623"/>
      <c r="AH243" s="621">
        <f>PRIX!A244</f>
        <v>46053</v>
      </c>
      <c r="AI243" s="635">
        <f>PRIX!B244</f>
        <v>83000</v>
      </c>
      <c r="AJ243" s="635">
        <f>PRIX!C244</f>
        <v>2670</v>
      </c>
      <c r="AK243" s="635">
        <f>PRIX!D244</f>
        <v>1.4</v>
      </c>
      <c r="AL243" s="635">
        <f>PRIX!E244</f>
        <v>117</v>
      </c>
      <c r="AM243" s="635">
        <f>PRIX!F244</f>
        <v>210</v>
      </c>
      <c r="AN243" s="635">
        <f>PRIX!G244</f>
        <v>0.122</v>
      </c>
      <c r="AO243" s="635">
        <f>PRIX!H244</f>
        <v>10.5</v>
      </c>
      <c r="AP243" s="635">
        <f>PRIX!I244</f>
        <v>0.113</v>
      </c>
      <c r="AQ243" s="635">
        <f>PRIX!J244</f>
        <v>0.000007</v>
      </c>
      <c r="AR243" s="635">
        <f>PRIX!K244</f>
        <v>1.65</v>
      </c>
      <c r="AS243" s="635">
        <f>PRIX!L244</f>
        <v>0.2</v>
      </c>
      <c r="AT243" s="635">
        <f>PRIX!M244</f>
        <v>135</v>
      </c>
      <c r="AU243" s="635">
        <f>PRIX!N244</f>
        <v>0.00215</v>
      </c>
      <c r="AV243" s="635">
        <f>PRIX!O244</f>
        <v>1.75</v>
      </c>
      <c r="AW243" s="635">
        <f>PRIX!P244</f>
        <v>0.00054</v>
      </c>
      <c r="AX243" s="635">
        <f>PRIX!Q244</f>
        <v>0.0000044</v>
      </c>
      <c r="AY243" s="635">
        <f>PRIX!R244</f>
        <v>0.28</v>
      </c>
      <c r="AZ243" s="635">
        <f>PRIX!S244</f>
        <v>0.9</v>
      </c>
      <c r="BA243" s="623"/>
    </row>
    <row r="244">
      <c r="A244" s="621">
        <f>ARBITRAGES!E245</f>
        <v>46053</v>
      </c>
      <c r="B244" s="623" t="str">
        <f>IF(A244="","",IF(ARBITRAGES!F245="Invest","Achat","Vente"))</f>
        <v>Achat</v>
      </c>
      <c r="C244" s="623" t="str">
        <f>ARBITRAGES!H245</f>
        <v>SOL</v>
      </c>
      <c r="D244" s="624">
        <f>ARBITRAGES!I245</f>
        <v>110</v>
      </c>
      <c r="E244" s="624">
        <f>ARBITRAGES!J245</f>
        <v>242</v>
      </c>
      <c r="F244" s="623"/>
      <c r="G244" s="621">
        <f>'PV (%)'!B246</f>
        <v>46065</v>
      </c>
      <c r="H244" s="624">
        <f>'PV (%)'!E246</f>
        <v>40143.7732</v>
      </c>
      <c r="I244" s="624">
        <f>'PV (%)'!F246</f>
        <v>29736.89687</v>
      </c>
      <c r="J244" s="626">
        <f>'PV (%)'!G246</f>
        <v>38787.84142</v>
      </c>
      <c r="K244" s="623"/>
      <c r="L244" s="621">
        <f>Exposition!A245</f>
        <v>46053</v>
      </c>
      <c r="M244" s="625">
        <f>Exposition!B245</f>
        <v>0.7850563352</v>
      </c>
      <c r="N244" s="625">
        <f>Exposition!C245</f>
        <v>0.5988918143</v>
      </c>
      <c r="O244" s="625">
        <f>Exposition!D245</f>
        <v>0.1216026506</v>
      </c>
      <c r="P244" s="625">
        <f>Exposition!E245</f>
        <v>0.00000004212841596</v>
      </c>
      <c r="Q244" s="625">
        <f>Exposition!F245</f>
        <v>0.02589592622</v>
      </c>
      <c r="R244" s="625">
        <f>Exposition!G245</f>
        <v>0.02273208614</v>
      </c>
      <c r="S244" s="625">
        <f>Exposition!H245</f>
        <v>0</v>
      </c>
      <c r="T244" s="625">
        <f>Exposition!I245</f>
        <v>0.005687715043</v>
      </c>
      <c r="U244" s="625">
        <f>Exposition!J245</f>
        <v>-0.0000001021480798</v>
      </c>
      <c r="V244" s="625">
        <f>Exposition!K245</f>
        <v>0</v>
      </c>
      <c r="W244" s="625">
        <f>Exposition!L245</f>
        <v>0</v>
      </c>
      <c r="X244" s="625">
        <f>Exposition!M245</f>
        <v>0</v>
      </c>
      <c r="Y244" s="625">
        <f>Exposition!N245</f>
        <v>0.01024614725</v>
      </c>
      <c r="Z244" s="625">
        <f>Exposition!O245</f>
        <v>0</v>
      </c>
      <c r="AA244" s="625">
        <f>Exposition!P245</f>
        <v>0.0000000553506973</v>
      </c>
      <c r="AB244" s="625">
        <f>Exposition!Q245</f>
        <v>0.0000000003380170657</v>
      </c>
      <c r="AC244" s="625">
        <f>Exposition!R245</f>
        <v>0</v>
      </c>
      <c r="AD244" s="625">
        <f>Exposition!S245</f>
        <v>0</v>
      </c>
      <c r="AE244" s="625">
        <f>Exposition!T245</f>
        <v>0</v>
      </c>
      <c r="AF244" s="625">
        <f>Exposition!U245</f>
        <v>0.2149436648</v>
      </c>
      <c r="AG244" s="623"/>
      <c r="AH244" s="621">
        <f>PRIX!A245</f>
        <v>46053</v>
      </c>
      <c r="AI244" s="635">
        <f>PRIX!B245</f>
        <v>83000</v>
      </c>
      <c r="AJ244" s="635">
        <f>PRIX!C245</f>
        <v>2670</v>
      </c>
      <c r="AK244" s="635">
        <f>PRIX!D245</f>
        <v>1.4</v>
      </c>
      <c r="AL244" s="635">
        <f>PRIX!E245</f>
        <v>117</v>
      </c>
      <c r="AM244" s="635">
        <f>PRIX!F245</f>
        <v>210</v>
      </c>
      <c r="AN244" s="635">
        <f>PRIX!G245</f>
        <v>0.122</v>
      </c>
      <c r="AO244" s="635">
        <f>PRIX!H245</f>
        <v>10.5</v>
      </c>
      <c r="AP244" s="635">
        <f>PRIX!I245</f>
        <v>0.113</v>
      </c>
      <c r="AQ244" s="635">
        <f>PRIX!J245</f>
        <v>0.000007</v>
      </c>
      <c r="AR244" s="635">
        <f>PRIX!K245</f>
        <v>1.65</v>
      </c>
      <c r="AS244" s="635">
        <f>PRIX!L245</f>
        <v>0.2</v>
      </c>
      <c r="AT244" s="635">
        <f>PRIX!M245</f>
        <v>135</v>
      </c>
      <c r="AU244" s="635">
        <f>PRIX!N245</f>
        <v>0.00215</v>
      </c>
      <c r="AV244" s="635">
        <f>PRIX!O245</f>
        <v>1.75</v>
      </c>
      <c r="AW244" s="635">
        <f>PRIX!P245</f>
        <v>0.00054</v>
      </c>
      <c r="AX244" s="635">
        <f>PRIX!Q245</f>
        <v>0.0000044</v>
      </c>
      <c r="AY244" s="635">
        <f>PRIX!R245</f>
        <v>0.28</v>
      </c>
      <c r="AZ244" s="635">
        <f>PRIX!S245</f>
        <v>0.9</v>
      </c>
      <c r="BA244" s="623"/>
    </row>
    <row r="245">
      <c r="A245" s="621">
        <f>ARBITRAGES!E246</f>
        <v>46053</v>
      </c>
      <c r="B245" s="623" t="str">
        <f>IF(A245="","",IF(ARBITRAGES!F246="Invest","Achat","Vente"))</f>
        <v>Achat</v>
      </c>
      <c r="C245" s="623" t="str">
        <f>ARBITRAGES!H246</f>
        <v>BTC</v>
      </c>
      <c r="D245" s="624">
        <f>ARBITRAGES!I246</f>
        <v>77500</v>
      </c>
      <c r="E245" s="624">
        <f>ARBITRAGES!J246</f>
        <v>0.0001</v>
      </c>
      <c r="F245" s="623"/>
      <c r="G245" s="621">
        <f>'PV (%)'!B247</f>
        <v>46066</v>
      </c>
      <c r="H245" s="624">
        <f>'PV (%)'!E247</f>
        <v>40143.7732</v>
      </c>
      <c r="I245" s="624">
        <f>'PV (%)'!F247</f>
        <v>29736.89687</v>
      </c>
      <c r="J245" s="626">
        <f>'PV (%)'!G247</f>
        <v>38821.35275</v>
      </c>
      <c r="K245" s="623"/>
      <c r="L245" s="621">
        <f>Exposition!A246</f>
        <v>46054</v>
      </c>
      <c r="M245" s="625">
        <f>Exposition!B246</f>
        <v>0.7825510439</v>
      </c>
      <c r="N245" s="625">
        <f>Exposition!C246</f>
        <v>0.6050764357</v>
      </c>
      <c r="O245" s="625">
        <f>Exposition!D246</f>
        <v>0.1150397471</v>
      </c>
      <c r="P245" s="625">
        <f>Exposition!E246</f>
        <v>0.0000000430715895</v>
      </c>
      <c r="Q245" s="625">
        <f>Exposition!F246</f>
        <v>0.02445906115</v>
      </c>
      <c r="R245" s="625">
        <f>Exposition!G246</f>
        <v>0.02221567464</v>
      </c>
      <c r="S245" s="625">
        <f>Exposition!H246</f>
        <v>0</v>
      </c>
      <c r="T245" s="625">
        <f>Exposition!I246</f>
        <v>0.005615515857</v>
      </c>
      <c r="U245" s="625">
        <f>Exposition!J246</f>
        <v>-0.00000009989550787</v>
      </c>
      <c r="V245" s="625">
        <f>Exposition!K246</f>
        <v>0</v>
      </c>
      <c r="W245" s="625">
        <f>Exposition!L246</f>
        <v>0</v>
      </c>
      <c r="X245" s="625">
        <f>Exposition!M246</f>
        <v>0</v>
      </c>
      <c r="Y245" s="625">
        <f>Exposition!N246</f>
        <v>0.01014461202</v>
      </c>
      <c r="Z245" s="625">
        <f>Exposition!O246</f>
        <v>0</v>
      </c>
      <c r="AA245" s="625">
        <f>Exposition!P246</f>
        <v>0.00000005392683833</v>
      </c>
      <c r="AB245" s="625">
        <f>Exposition!Q246</f>
        <v>0.0000000003162212139</v>
      </c>
      <c r="AC245" s="625">
        <f>Exposition!R246</f>
        <v>0</v>
      </c>
      <c r="AD245" s="625">
        <f>Exposition!S246</f>
        <v>0</v>
      </c>
      <c r="AE245" s="625">
        <f>Exposition!T246</f>
        <v>0</v>
      </c>
      <c r="AF245" s="625">
        <f>Exposition!U246</f>
        <v>0.2174489561</v>
      </c>
      <c r="AG245" s="623"/>
      <c r="AH245" s="621">
        <f>PRIX!A246</f>
        <v>46053</v>
      </c>
      <c r="AI245" s="635">
        <f>PRIX!B246</f>
        <v>83000</v>
      </c>
      <c r="AJ245" s="635">
        <f>PRIX!C246</f>
        <v>2670</v>
      </c>
      <c r="AK245" s="635">
        <f>PRIX!D246</f>
        <v>1.4</v>
      </c>
      <c r="AL245" s="635">
        <f>PRIX!E246</f>
        <v>117</v>
      </c>
      <c r="AM245" s="635">
        <f>PRIX!F246</f>
        <v>210</v>
      </c>
      <c r="AN245" s="635">
        <f>PRIX!G246</f>
        <v>0.122</v>
      </c>
      <c r="AO245" s="635">
        <f>PRIX!H246</f>
        <v>10.5</v>
      </c>
      <c r="AP245" s="635">
        <f>PRIX!I246</f>
        <v>0.113</v>
      </c>
      <c r="AQ245" s="635">
        <f>PRIX!J246</f>
        <v>0.000007</v>
      </c>
      <c r="AR245" s="635">
        <f>PRIX!K246</f>
        <v>1.65</v>
      </c>
      <c r="AS245" s="635">
        <f>PRIX!L246</f>
        <v>0.2</v>
      </c>
      <c r="AT245" s="635">
        <f>PRIX!M246</f>
        <v>135</v>
      </c>
      <c r="AU245" s="635">
        <f>PRIX!N246</f>
        <v>0.00215</v>
      </c>
      <c r="AV245" s="635">
        <f>PRIX!O246</f>
        <v>1.75</v>
      </c>
      <c r="AW245" s="635">
        <f>PRIX!P246</f>
        <v>0.00054</v>
      </c>
      <c r="AX245" s="635">
        <f>PRIX!Q246</f>
        <v>0.0000044</v>
      </c>
      <c r="AY245" s="635">
        <f>PRIX!R246</f>
        <v>0.28</v>
      </c>
      <c r="AZ245" s="635">
        <f>PRIX!S246</f>
        <v>0.9</v>
      </c>
      <c r="BA245" s="623"/>
    </row>
    <row r="246">
      <c r="A246" s="621">
        <f>ARBITRAGES!E247</f>
        <v>46054</v>
      </c>
      <c r="B246" s="623" t="str">
        <f>IF(A246="","",IF(ARBITRAGES!F247="Invest","Achat","Vente"))</f>
        <v>Achat</v>
      </c>
      <c r="C246" s="623" t="str">
        <f>ARBITRAGES!H247</f>
        <v>BTC</v>
      </c>
      <c r="D246" s="624">
        <f>ARBITRAGES!I247</f>
        <v>77000</v>
      </c>
      <c r="E246" s="624">
        <f>ARBITRAGES!J247</f>
        <v>385</v>
      </c>
      <c r="F246" s="623"/>
      <c r="G246" s="623" t="str">
        <f>'PV (%)'!B248</f>
        <v/>
      </c>
      <c r="H246" s="624" t="str">
        <f>'PV (%)'!E248</f>
        <v/>
      </c>
      <c r="I246" s="624" t="str">
        <f>'PV (%)'!F248</f>
        <v/>
      </c>
      <c r="J246" s="623" t="str">
        <f>'PV (%)'!G248</f>
        <v/>
      </c>
      <c r="K246" s="623"/>
      <c r="L246" s="621">
        <f>Exposition!A247</f>
        <v>46054</v>
      </c>
      <c r="M246" s="625">
        <f>Exposition!B247</f>
        <v>0.7851827137</v>
      </c>
      <c r="N246" s="625">
        <f>Exposition!C247</f>
        <v>0.6050427117</v>
      </c>
      <c r="O246" s="625">
        <f>Exposition!D247</f>
        <v>0.1177086207</v>
      </c>
      <c r="P246" s="625">
        <f>Exposition!E247</f>
        <v>0.0000000430691889</v>
      </c>
      <c r="Q246" s="625">
        <f>Exposition!F247</f>
        <v>0.02445769793</v>
      </c>
      <c r="R246" s="625">
        <f>Exposition!G247</f>
        <v>0.02221443644</v>
      </c>
      <c r="S246" s="625">
        <f>Exposition!H247</f>
        <v>0</v>
      </c>
      <c r="T246" s="625">
        <f>Exposition!I247</f>
        <v>0.005615202875</v>
      </c>
      <c r="U246" s="625">
        <f>Exposition!J247</f>
        <v>-0.00000009988994018</v>
      </c>
      <c r="V246" s="625">
        <f>Exposition!K247</f>
        <v>0</v>
      </c>
      <c r="W246" s="625">
        <f>Exposition!L247</f>
        <v>0</v>
      </c>
      <c r="X246" s="625">
        <f>Exposition!M247</f>
        <v>0</v>
      </c>
      <c r="Y246" s="625">
        <f>Exposition!N247</f>
        <v>0.01014404661</v>
      </c>
      <c r="Z246" s="625">
        <f>Exposition!O247</f>
        <v>0</v>
      </c>
      <c r="AA246" s="625">
        <f>Exposition!P247</f>
        <v>0.00000005392383271</v>
      </c>
      <c r="AB246" s="625">
        <f>Exposition!Q247</f>
        <v>0.0000000003162035892</v>
      </c>
      <c r="AC246" s="625">
        <f>Exposition!R247</f>
        <v>0</v>
      </c>
      <c r="AD246" s="625">
        <f>Exposition!S247</f>
        <v>0</v>
      </c>
      <c r="AE246" s="625">
        <f>Exposition!T247</f>
        <v>0</v>
      </c>
      <c r="AF246" s="625">
        <f>Exposition!U247</f>
        <v>0.2148172863</v>
      </c>
      <c r="AG246" s="623"/>
      <c r="AH246" s="621">
        <f>PRIX!A247</f>
        <v>46054</v>
      </c>
      <c r="AI246" s="635">
        <f>PRIX!B247</f>
        <v>78500</v>
      </c>
      <c r="AJ246" s="635">
        <f>PRIX!C247</f>
        <v>2400</v>
      </c>
      <c r="AK246" s="635">
        <f>PRIX!D247</f>
        <v>1.36</v>
      </c>
      <c r="AL246" s="635">
        <f>PRIX!E247</f>
        <v>105</v>
      </c>
      <c r="AM246" s="635">
        <f>PRIX!F247</f>
        <v>195</v>
      </c>
      <c r="AN246" s="635">
        <f>PRIX!G247</f>
        <v>0.11</v>
      </c>
      <c r="AO246" s="635">
        <f>PRIX!H247</f>
        <v>9.85</v>
      </c>
      <c r="AP246" s="635">
        <f>PRIX!I247</f>
        <v>0.105</v>
      </c>
      <c r="AQ246" s="635">
        <f>PRIX!J247</f>
        <v>0.0000068</v>
      </c>
      <c r="AR246" s="635">
        <f>PRIX!K247</f>
        <v>1.54</v>
      </c>
      <c r="AS246" s="635">
        <f>PRIX!L247</f>
        <v>0.177</v>
      </c>
      <c r="AT246" s="635">
        <f>PRIX!M247</f>
        <v>127</v>
      </c>
      <c r="AU246" s="635">
        <f>PRIX!N247</f>
        <v>0.002</v>
      </c>
      <c r="AV246" s="635">
        <f>PRIX!O247</f>
        <v>1.62</v>
      </c>
      <c r="AW246" s="635">
        <f>PRIX!P247</f>
        <v>0.00048</v>
      </c>
      <c r="AX246" s="635">
        <f>PRIX!Q247</f>
        <v>0.0000043</v>
      </c>
      <c r="AY246" s="635">
        <f>PRIX!R247</f>
        <v>0.258</v>
      </c>
      <c r="AZ246" s="635">
        <f>PRIX!S247</f>
        <v>0.73</v>
      </c>
      <c r="BA246" s="623"/>
    </row>
    <row r="247">
      <c r="A247" s="621">
        <f>ARBITRAGES!E248</f>
        <v>46054</v>
      </c>
      <c r="B247" s="623" t="str">
        <f>IF(A247="","",IF(ARBITRAGES!F248="Invest","Achat","Vente"))</f>
        <v>Achat</v>
      </c>
      <c r="C247" s="623" t="str">
        <f>ARBITRAGES!H248</f>
        <v>ETH</v>
      </c>
      <c r="D247" s="624">
        <f>ARBITRAGES!I248</f>
        <v>2350</v>
      </c>
      <c r="E247" s="624">
        <f>ARBITRAGES!J248</f>
        <v>115</v>
      </c>
      <c r="F247" s="623"/>
      <c r="G247" s="623" t="str">
        <f>'PV (%)'!B249</f>
        <v/>
      </c>
      <c r="H247" s="624" t="str">
        <f>'PV (%)'!E249</f>
        <v/>
      </c>
      <c r="I247" s="624" t="str">
        <f>'PV (%)'!F249</f>
        <v/>
      </c>
      <c r="J247" s="623" t="str">
        <f>'PV (%)'!G249</f>
        <v/>
      </c>
      <c r="K247" s="623"/>
      <c r="L247" s="621">
        <f>Exposition!A248</f>
        <v>46054</v>
      </c>
      <c r="M247" s="625">
        <f>Exposition!B248</f>
        <v>0.7931120539</v>
      </c>
      <c r="N247" s="625">
        <f>Exposition!C248</f>
        <v>0.604836051</v>
      </c>
      <c r="O247" s="625">
        <f>Exposition!D248</f>
        <v>0.125865946</v>
      </c>
      <c r="P247" s="625">
        <f>Exposition!E248</f>
        <v>0.00000004305447803</v>
      </c>
      <c r="Q247" s="625">
        <f>Exposition!F248</f>
        <v>0.02444934406</v>
      </c>
      <c r="R247" s="625">
        <f>Exposition!G248</f>
        <v>0.0222068488</v>
      </c>
      <c r="S247" s="625">
        <f>Exposition!H248</f>
        <v>0</v>
      </c>
      <c r="T247" s="625">
        <f>Exposition!I248</f>
        <v>0.005613284925</v>
      </c>
      <c r="U247" s="625">
        <f>Exposition!J248</f>
        <v>-0.0000000998558214</v>
      </c>
      <c r="V247" s="625">
        <f>Exposition!K248</f>
        <v>0</v>
      </c>
      <c r="W247" s="625">
        <f>Exposition!L248</f>
        <v>0</v>
      </c>
      <c r="X247" s="625">
        <f>Exposition!M248</f>
        <v>0</v>
      </c>
      <c r="Y247" s="625">
        <f>Exposition!N248</f>
        <v>0.01014058177</v>
      </c>
      <c r="Z247" s="625">
        <f>Exposition!O248</f>
        <v>0</v>
      </c>
      <c r="AA247" s="625">
        <f>Exposition!P248</f>
        <v>0.00000005390541428</v>
      </c>
      <c r="AB247" s="625">
        <f>Exposition!Q248</f>
        <v>0.0000000003160955855</v>
      </c>
      <c r="AC247" s="625">
        <f>Exposition!R248</f>
        <v>0</v>
      </c>
      <c r="AD247" s="625">
        <f>Exposition!S248</f>
        <v>0</v>
      </c>
      <c r="AE247" s="625">
        <f>Exposition!T248</f>
        <v>0</v>
      </c>
      <c r="AF247" s="625">
        <f>Exposition!U248</f>
        <v>0.2068879461</v>
      </c>
      <c r="AG247" s="623"/>
      <c r="AH247" s="621">
        <f>PRIX!A248</f>
        <v>46054</v>
      </c>
      <c r="AI247" s="635">
        <f>PRIX!B248</f>
        <v>78500</v>
      </c>
      <c r="AJ247" s="635">
        <f>PRIX!C248</f>
        <v>2400</v>
      </c>
      <c r="AK247" s="635">
        <f>PRIX!D248</f>
        <v>1.36</v>
      </c>
      <c r="AL247" s="635">
        <f>PRIX!E248</f>
        <v>105</v>
      </c>
      <c r="AM247" s="635">
        <f>PRIX!F248</f>
        <v>195</v>
      </c>
      <c r="AN247" s="635">
        <f>PRIX!G248</f>
        <v>0.11</v>
      </c>
      <c r="AO247" s="635">
        <f>PRIX!H248</f>
        <v>9.85</v>
      </c>
      <c r="AP247" s="635">
        <f>PRIX!I248</f>
        <v>0.105</v>
      </c>
      <c r="AQ247" s="635">
        <f>PRIX!J248</f>
        <v>0.0000068</v>
      </c>
      <c r="AR247" s="635">
        <f>PRIX!K248</f>
        <v>1.54</v>
      </c>
      <c r="AS247" s="635">
        <f>PRIX!L248</f>
        <v>0.177</v>
      </c>
      <c r="AT247" s="635">
        <f>PRIX!M248</f>
        <v>127</v>
      </c>
      <c r="AU247" s="635">
        <f>PRIX!N248</f>
        <v>0.002</v>
      </c>
      <c r="AV247" s="635">
        <f>PRIX!O248</f>
        <v>1.62</v>
      </c>
      <c r="AW247" s="635">
        <f>PRIX!P248</f>
        <v>0.00048</v>
      </c>
      <c r="AX247" s="635">
        <f>PRIX!Q248</f>
        <v>0.0000043</v>
      </c>
      <c r="AY247" s="635">
        <f>PRIX!R248</f>
        <v>0.258</v>
      </c>
      <c r="AZ247" s="635">
        <f>PRIX!S248</f>
        <v>0.73</v>
      </c>
      <c r="BA247" s="623"/>
    </row>
    <row r="248">
      <c r="A248" s="621">
        <f>ARBITRAGES!E249</f>
        <v>46054</v>
      </c>
      <c r="B248" s="623" t="str">
        <f>IF(A248="","",IF(ARBITRAGES!F249="Invest","Achat","Vente"))</f>
        <v>Achat</v>
      </c>
      <c r="C248" s="623" t="str">
        <f>ARBITRAGES!H249</f>
        <v>ETH</v>
      </c>
      <c r="D248" s="624">
        <f>ARBITRAGES!I249</f>
        <v>2300</v>
      </c>
      <c r="E248" s="624">
        <f>ARBITRAGES!J249</f>
        <v>345</v>
      </c>
      <c r="F248" s="623"/>
      <c r="G248" s="623" t="str">
        <f>'PV (%)'!B250</f>
        <v/>
      </c>
      <c r="H248" s="624" t="str">
        <f>'PV (%)'!E250</f>
        <v/>
      </c>
      <c r="I248" s="624" t="str">
        <f>'PV (%)'!F250</f>
        <v/>
      </c>
      <c r="J248" s="623" t="str">
        <f>'PV (%)'!G250</f>
        <v/>
      </c>
      <c r="K248" s="623"/>
      <c r="L248" s="621">
        <f>Exposition!A249</f>
        <v>46055</v>
      </c>
      <c r="M248" s="625">
        <f>Exposition!B249</f>
        <v>0.7943816009</v>
      </c>
      <c r="N248" s="625">
        <f>Exposition!C249</f>
        <v>0.6124161005</v>
      </c>
      <c r="O248" s="625">
        <f>Exposition!D249</f>
        <v>0.1203755019</v>
      </c>
      <c r="P248" s="625">
        <f>Exposition!E249</f>
        <v>0.00000004295261916</v>
      </c>
      <c r="Q248" s="625">
        <f>Exposition!F249</f>
        <v>0.0237539864</v>
      </c>
      <c r="R248" s="625">
        <f>Exposition!G249</f>
        <v>0.02207316021</v>
      </c>
      <c r="S248" s="625">
        <f>Exposition!H249</f>
        <v>0</v>
      </c>
      <c r="T248" s="625">
        <f>Exposition!I249</f>
        <v>0.005580982748</v>
      </c>
      <c r="U248" s="625">
        <f>Exposition!J249</f>
        <v>-0.0000001018666394</v>
      </c>
      <c r="V248" s="625">
        <f>Exposition!K249</f>
        <v>0</v>
      </c>
      <c r="W248" s="625">
        <f>Exposition!L249</f>
        <v>0</v>
      </c>
      <c r="X248" s="625">
        <f>Exposition!M249</f>
        <v>0</v>
      </c>
      <c r="Y248" s="625">
        <f>Exposition!N249</f>
        <v>0.01018187483</v>
      </c>
      <c r="Z248" s="625">
        <f>Exposition!O249</f>
        <v>0</v>
      </c>
      <c r="AA248" s="625">
        <f>Exposition!P249</f>
        <v>0.0000000529542184</v>
      </c>
      <c r="AB248" s="625">
        <f>Exposition!Q249</f>
        <v>0.0000000003090250002</v>
      </c>
      <c r="AC248" s="625">
        <f>Exposition!R249</f>
        <v>0</v>
      </c>
      <c r="AD248" s="625">
        <f>Exposition!S249</f>
        <v>0</v>
      </c>
      <c r="AE248" s="625">
        <f>Exposition!T249</f>
        <v>0</v>
      </c>
      <c r="AF248" s="625">
        <f>Exposition!U249</f>
        <v>0.2056183991</v>
      </c>
      <c r="AG248" s="623"/>
      <c r="AH248" s="621">
        <f>PRIX!A249</f>
        <v>46054</v>
      </c>
      <c r="AI248" s="635">
        <f>PRIX!B249</f>
        <v>78500</v>
      </c>
      <c r="AJ248" s="635">
        <f>PRIX!C249</f>
        <v>2400</v>
      </c>
      <c r="AK248" s="635">
        <f>PRIX!D249</f>
        <v>1.36</v>
      </c>
      <c r="AL248" s="635">
        <f>PRIX!E249</f>
        <v>105</v>
      </c>
      <c r="AM248" s="635">
        <f>PRIX!F249</f>
        <v>195</v>
      </c>
      <c r="AN248" s="635">
        <f>PRIX!G249</f>
        <v>0.11</v>
      </c>
      <c r="AO248" s="635">
        <f>PRIX!H249</f>
        <v>9.85</v>
      </c>
      <c r="AP248" s="635">
        <f>PRIX!I249</f>
        <v>0.105</v>
      </c>
      <c r="AQ248" s="635">
        <f>PRIX!J249</f>
        <v>0.0000068</v>
      </c>
      <c r="AR248" s="635">
        <f>PRIX!K249</f>
        <v>1.54</v>
      </c>
      <c r="AS248" s="635">
        <f>PRIX!L249</f>
        <v>0.177</v>
      </c>
      <c r="AT248" s="635">
        <f>PRIX!M249</f>
        <v>127</v>
      </c>
      <c r="AU248" s="635">
        <f>PRIX!N249</f>
        <v>0.002</v>
      </c>
      <c r="AV248" s="635">
        <f>PRIX!O249</f>
        <v>1.62</v>
      </c>
      <c r="AW248" s="635">
        <f>PRIX!P249</f>
        <v>0.00048</v>
      </c>
      <c r="AX248" s="635">
        <f>PRIX!Q249</f>
        <v>0.0000043</v>
      </c>
      <c r="AY248" s="635">
        <f>PRIX!R249</f>
        <v>0.258</v>
      </c>
      <c r="AZ248" s="635">
        <f>PRIX!S249</f>
        <v>0.73</v>
      </c>
      <c r="BA248" s="623"/>
    </row>
    <row r="249">
      <c r="A249" s="621">
        <f>ARBITRAGES!E250</f>
        <v>46055</v>
      </c>
      <c r="B249" s="623" t="str">
        <f>IF(A249="","",IF(ARBITRAGES!F250="Invest","Achat","Vente"))</f>
        <v>Achat</v>
      </c>
      <c r="C249" s="623" t="str">
        <f>ARBITRAGES!H250</f>
        <v>BTC</v>
      </c>
      <c r="D249" s="624">
        <f>ARBITRAGES!I250</f>
        <v>76000</v>
      </c>
      <c r="E249" s="624">
        <f>ARBITRAGES!J250</f>
        <v>304</v>
      </c>
      <c r="F249" s="623"/>
      <c r="G249" s="623" t="str">
        <f>'PV (%)'!B251</f>
        <v/>
      </c>
      <c r="H249" s="624" t="str">
        <f>'PV (%)'!E251</f>
        <v/>
      </c>
      <c r="I249" s="624" t="str">
        <f>'PV (%)'!F251</f>
        <v/>
      </c>
      <c r="J249" s="623" t="str">
        <f>'PV (%)'!G251</f>
        <v/>
      </c>
      <c r="K249" s="623"/>
      <c r="L249" s="621">
        <f>Exposition!A250</f>
        <v>46055</v>
      </c>
      <c r="M249" s="625">
        <f>Exposition!B250</f>
        <v>0.7874481072</v>
      </c>
      <c r="N249" s="625">
        <f>Exposition!C250</f>
        <v>0.612314282</v>
      </c>
      <c r="O249" s="625">
        <f>Exposition!D250</f>
        <v>0.1135540664</v>
      </c>
      <c r="P249" s="625">
        <f>Exposition!E250</f>
        <v>0.00000004294547799</v>
      </c>
      <c r="Q249" s="625">
        <f>Exposition!F250</f>
        <v>0.02375003713</v>
      </c>
      <c r="R249" s="625">
        <f>Exposition!G250</f>
        <v>0.02206949039</v>
      </c>
      <c r="S249" s="625">
        <f>Exposition!H250</f>
        <v>0</v>
      </c>
      <c r="T249" s="625">
        <f>Exposition!I250</f>
        <v>0.005580054871</v>
      </c>
      <c r="U249" s="625">
        <f>Exposition!J250</f>
        <v>-0.0000001018497033</v>
      </c>
      <c r="V249" s="625">
        <f>Exposition!K250</f>
        <v>0</v>
      </c>
      <c r="W249" s="625">
        <f>Exposition!L250</f>
        <v>0</v>
      </c>
      <c r="X249" s="625">
        <f>Exposition!M250</f>
        <v>0</v>
      </c>
      <c r="Y249" s="625">
        <f>Exposition!N250</f>
        <v>0.01018018202</v>
      </c>
      <c r="Z249" s="625">
        <f>Exposition!O250</f>
        <v>0</v>
      </c>
      <c r="AA249" s="625">
        <f>Exposition!P250</f>
        <v>0.00000005294541439</v>
      </c>
      <c r="AB249" s="625">
        <f>Exposition!Q250</f>
        <v>0.0000000003089736226</v>
      </c>
      <c r="AC249" s="625">
        <f>Exposition!R250</f>
        <v>0</v>
      </c>
      <c r="AD249" s="625">
        <f>Exposition!S250</f>
        <v>0</v>
      </c>
      <c r="AE249" s="625">
        <f>Exposition!T250</f>
        <v>0</v>
      </c>
      <c r="AF249" s="625">
        <f>Exposition!U250</f>
        <v>0.2125518928</v>
      </c>
      <c r="AG249" s="623"/>
      <c r="AH249" s="621">
        <f>PRIX!A250</f>
        <v>46055</v>
      </c>
      <c r="AI249" s="635">
        <f>PRIX!B250</f>
        <v>77000</v>
      </c>
      <c r="AJ249" s="635">
        <f>PRIX!C250</f>
        <v>2250</v>
      </c>
      <c r="AK249" s="635">
        <f>PRIX!D250</f>
        <v>1.33</v>
      </c>
      <c r="AL249" s="635">
        <f>PRIX!E250</f>
        <v>100</v>
      </c>
      <c r="AM249" s="635">
        <f>PRIX!F250</f>
        <v>190</v>
      </c>
      <c r="AN249" s="635">
        <f>PRIX!G250</f>
        <v>0.106</v>
      </c>
      <c r="AO249" s="635">
        <f>PRIX!H250</f>
        <v>9.6</v>
      </c>
      <c r="AP249" s="635">
        <f>PRIX!I250</f>
        <v>0.105</v>
      </c>
      <c r="AQ249" s="635">
        <f>PRIX!J250</f>
        <v>0.0000066</v>
      </c>
      <c r="AR249" s="635">
        <f>PRIX!K250</f>
        <v>1.5</v>
      </c>
      <c r="AS249" s="635">
        <f>PRIX!L250</f>
        <v>0.186</v>
      </c>
      <c r="AT249" s="635">
        <f>PRIX!M250</f>
        <v>125</v>
      </c>
      <c r="AU249" s="635">
        <f>PRIX!N250</f>
        <v>0.002</v>
      </c>
      <c r="AV249" s="635">
        <f>PRIX!O250</f>
        <v>1.56</v>
      </c>
      <c r="AW249" s="635">
        <f>PRIX!P250</f>
        <v>0.00046</v>
      </c>
      <c r="AX249" s="635">
        <f>PRIX!Q250</f>
        <v>0.000004</v>
      </c>
      <c r="AY249" s="635">
        <f>PRIX!R250</f>
        <v>0.245</v>
      </c>
      <c r="AZ249" s="635">
        <f>PRIX!S250</f>
        <v>0.71</v>
      </c>
      <c r="BA249" s="623"/>
    </row>
    <row r="250">
      <c r="A250" s="621">
        <f>ARBITRAGES!E251</f>
        <v>46055</v>
      </c>
      <c r="B250" s="623" t="str">
        <f>IF(A250="","",IF(ARBITRAGES!F251="Invest","Achat","Vente"))</f>
        <v>Vente</v>
      </c>
      <c r="C250" s="623" t="str">
        <f>ARBITRAGES!H251</f>
        <v>ETH</v>
      </c>
      <c r="D250" s="624">
        <f>ARBITRAGES!I251</f>
        <v>2305</v>
      </c>
      <c r="E250" s="624">
        <f>ARBITRAGES!J251</f>
        <v>299.9999912</v>
      </c>
      <c r="F250" s="623"/>
      <c r="G250" s="623" t="str">
        <f>'PV (%)'!B252</f>
        <v/>
      </c>
      <c r="H250" s="624" t="str">
        <f>'PV (%)'!E252</f>
        <v/>
      </c>
      <c r="I250" s="624" t="str">
        <f>'PV (%)'!F252</f>
        <v/>
      </c>
      <c r="J250" s="623" t="str">
        <f>'PV (%)'!G252</f>
        <v/>
      </c>
      <c r="K250" s="623"/>
      <c r="L250" s="621">
        <f>Exposition!A251</f>
        <v>46055</v>
      </c>
      <c r="M250" s="625">
        <f>Exposition!B251</f>
        <v>0.7928132204</v>
      </c>
      <c r="N250" s="625">
        <f>Exposition!C251</f>
        <v>0.6176793952</v>
      </c>
      <c r="O250" s="625">
        <f>Exposition!D251</f>
        <v>0.1135540664</v>
      </c>
      <c r="P250" s="625">
        <f>Exposition!E251</f>
        <v>0.00000004294547799</v>
      </c>
      <c r="Q250" s="625">
        <f>Exposition!F251</f>
        <v>0.02375003713</v>
      </c>
      <c r="R250" s="625">
        <f>Exposition!G251</f>
        <v>0.02206949039</v>
      </c>
      <c r="S250" s="625">
        <f>Exposition!H251</f>
        <v>0</v>
      </c>
      <c r="T250" s="625">
        <f>Exposition!I251</f>
        <v>0.005580054871</v>
      </c>
      <c r="U250" s="625">
        <f>Exposition!J251</f>
        <v>-0.0000001018497033</v>
      </c>
      <c r="V250" s="625">
        <f>Exposition!K251</f>
        <v>0</v>
      </c>
      <c r="W250" s="625">
        <f>Exposition!L251</f>
        <v>0</v>
      </c>
      <c r="X250" s="625">
        <f>Exposition!M251</f>
        <v>0</v>
      </c>
      <c r="Y250" s="625">
        <f>Exposition!N251</f>
        <v>0.01018018202</v>
      </c>
      <c r="Z250" s="625">
        <f>Exposition!O251</f>
        <v>0</v>
      </c>
      <c r="AA250" s="625">
        <f>Exposition!P251</f>
        <v>0.00000005294541439</v>
      </c>
      <c r="AB250" s="625">
        <f>Exposition!Q251</f>
        <v>0.0000000003089736226</v>
      </c>
      <c r="AC250" s="625">
        <f>Exposition!R251</f>
        <v>0</v>
      </c>
      <c r="AD250" s="625">
        <f>Exposition!S251</f>
        <v>0</v>
      </c>
      <c r="AE250" s="625">
        <f>Exposition!T251</f>
        <v>0</v>
      </c>
      <c r="AF250" s="625">
        <f>Exposition!U251</f>
        <v>0.2071867796</v>
      </c>
      <c r="AG250" s="623"/>
      <c r="AH250" s="621">
        <f>PRIX!A251</f>
        <v>46055</v>
      </c>
      <c r="AI250" s="635">
        <f>PRIX!B251</f>
        <v>77000</v>
      </c>
      <c r="AJ250" s="635">
        <f>PRIX!C251</f>
        <v>2250</v>
      </c>
      <c r="AK250" s="635">
        <f>PRIX!D251</f>
        <v>1.33</v>
      </c>
      <c r="AL250" s="635">
        <f>PRIX!E251</f>
        <v>100</v>
      </c>
      <c r="AM250" s="635">
        <f>PRIX!F251</f>
        <v>190</v>
      </c>
      <c r="AN250" s="635">
        <f>PRIX!G251</f>
        <v>0.106</v>
      </c>
      <c r="AO250" s="635">
        <f>PRIX!H251</f>
        <v>9.6</v>
      </c>
      <c r="AP250" s="635">
        <f>PRIX!I251</f>
        <v>0.105</v>
      </c>
      <c r="AQ250" s="635">
        <f>PRIX!J251</f>
        <v>0.0000066</v>
      </c>
      <c r="AR250" s="635">
        <f>PRIX!K251</f>
        <v>1.5</v>
      </c>
      <c r="AS250" s="635">
        <f>PRIX!L251</f>
        <v>0.186</v>
      </c>
      <c r="AT250" s="635">
        <f>PRIX!M251</f>
        <v>125</v>
      </c>
      <c r="AU250" s="635">
        <f>PRIX!N251</f>
        <v>0.002</v>
      </c>
      <c r="AV250" s="635">
        <f>PRIX!O251</f>
        <v>1.56</v>
      </c>
      <c r="AW250" s="635">
        <f>PRIX!P251</f>
        <v>0.00046</v>
      </c>
      <c r="AX250" s="635">
        <f>PRIX!Q251</f>
        <v>0.000004</v>
      </c>
      <c r="AY250" s="635">
        <f>PRIX!R251</f>
        <v>0.245</v>
      </c>
      <c r="AZ250" s="635">
        <f>PRIX!S251</f>
        <v>0.71</v>
      </c>
      <c r="BA250" s="623"/>
    </row>
    <row r="251">
      <c r="A251" s="621">
        <f>ARBITRAGES!E252</f>
        <v>46055</v>
      </c>
      <c r="B251" s="623" t="str">
        <f>IF(A251="","",IF(ARBITRAGES!F252="Invest","Achat","Vente"))</f>
        <v>Achat</v>
      </c>
      <c r="C251" s="623" t="str">
        <f>ARBITRAGES!H252</f>
        <v>BTC</v>
      </c>
      <c r="D251" s="624">
        <f>ARBITRAGES!I252</f>
        <v>77000</v>
      </c>
      <c r="E251" s="624">
        <f>ARBITRAGES!J252</f>
        <v>231</v>
      </c>
      <c r="F251" s="623"/>
      <c r="G251" s="623" t="str">
        <f>'PV (%)'!B253</f>
        <v/>
      </c>
      <c r="H251" s="624" t="str">
        <f>'PV (%)'!E253</f>
        <v/>
      </c>
      <c r="I251" s="624" t="str">
        <f>'PV (%)'!F253</f>
        <v/>
      </c>
      <c r="J251" s="623" t="str">
        <f>'PV (%)'!G253</f>
        <v/>
      </c>
      <c r="K251" s="623"/>
      <c r="L251" s="621">
        <f>Exposition!A252</f>
        <v>46055</v>
      </c>
      <c r="M251" s="625">
        <f>Exposition!B252</f>
        <v>0.7986803027</v>
      </c>
      <c r="N251" s="625">
        <f>Exposition!C252</f>
        <v>0.6235992514</v>
      </c>
      <c r="O251" s="625">
        <f>Exposition!D252</f>
        <v>0.1135198487</v>
      </c>
      <c r="P251" s="625">
        <f>Exposition!E252</f>
        <v>0.00000004293253704</v>
      </c>
      <c r="Q251" s="625">
        <f>Exposition!F252</f>
        <v>0.02374288043</v>
      </c>
      <c r="R251" s="625">
        <f>Exposition!G252</f>
        <v>0.0220628401</v>
      </c>
      <c r="S251" s="625">
        <f>Exposition!H252</f>
        <v>0</v>
      </c>
      <c r="T251" s="625">
        <f>Exposition!I252</f>
        <v>0.005578373409</v>
      </c>
      <c r="U251" s="625">
        <f>Exposition!J252</f>
        <v>-0.0000001018190125</v>
      </c>
      <c r="V251" s="625">
        <f>Exposition!K252</f>
        <v>0</v>
      </c>
      <c r="W251" s="625">
        <f>Exposition!L252</f>
        <v>0</v>
      </c>
      <c r="X251" s="625">
        <f>Exposition!M252</f>
        <v>0</v>
      </c>
      <c r="Y251" s="625">
        <f>Exposition!N252</f>
        <v>0.01017711438</v>
      </c>
      <c r="Z251" s="625">
        <f>Exposition!O252</f>
        <v>0</v>
      </c>
      <c r="AA251" s="625">
        <f>Exposition!P252</f>
        <v>0.00000005292946012</v>
      </c>
      <c r="AB251" s="625">
        <f>Exposition!Q252</f>
        <v>0.0000000003088805183</v>
      </c>
      <c r="AC251" s="625">
        <f>Exposition!R252</f>
        <v>0</v>
      </c>
      <c r="AD251" s="625">
        <f>Exposition!S252</f>
        <v>0</v>
      </c>
      <c r="AE251" s="625">
        <f>Exposition!T252</f>
        <v>0</v>
      </c>
      <c r="AF251" s="625">
        <f>Exposition!U252</f>
        <v>0.2013196973</v>
      </c>
      <c r="AG251" s="623"/>
      <c r="AH251" s="621">
        <f>PRIX!A252</f>
        <v>46055</v>
      </c>
      <c r="AI251" s="635">
        <f>PRIX!B252</f>
        <v>77000</v>
      </c>
      <c r="AJ251" s="635">
        <f>PRIX!C252</f>
        <v>2250</v>
      </c>
      <c r="AK251" s="635">
        <f>PRIX!D252</f>
        <v>1.33</v>
      </c>
      <c r="AL251" s="635">
        <f>PRIX!E252</f>
        <v>100</v>
      </c>
      <c r="AM251" s="635">
        <f>PRIX!F252</f>
        <v>190</v>
      </c>
      <c r="AN251" s="635">
        <f>PRIX!G252</f>
        <v>0.106</v>
      </c>
      <c r="AO251" s="635">
        <f>PRIX!H252</f>
        <v>9.6</v>
      </c>
      <c r="AP251" s="635">
        <f>PRIX!I252</f>
        <v>0.105</v>
      </c>
      <c r="AQ251" s="635">
        <f>PRIX!J252</f>
        <v>0.0000066</v>
      </c>
      <c r="AR251" s="635">
        <f>PRIX!K252</f>
        <v>1.5</v>
      </c>
      <c r="AS251" s="635">
        <f>PRIX!L252</f>
        <v>0.186</v>
      </c>
      <c r="AT251" s="635">
        <f>PRIX!M252</f>
        <v>125</v>
      </c>
      <c r="AU251" s="635">
        <f>PRIX!N252</f>
        <v>0.002</v>
      </c>
      <c r="AV251" s="635">
        <f>PRIX!O252</f>
        <v>1.56</v>
      </c>
      <c r="AW251" s="635">
        <f>PRIX!P252</f>
        <v>0.00046</v>
      </c>
      <c r="AX251" s="635">
        <f>PRIX!Q252</f>
        <v>0.000004</v>
      </c>
      <c r="AY251" s="635">
        <f>PRIX!R252</f>
        <v>0.245</v>
      </c>
      <c r="AZ251" s="635">
        <f>PRIX!S252</f>
        <v>0.71</v>
      </c>
      <c r="BA251" s="623"/>
    </row>
    <row r="252">
      <c r="A252" s="621">
        <f>ARBITRAGES!E253</f>
        <v>46055</v>
      </c>
      <c r="B252" s="623" t="str">
        <f>IF(A252="","",IF(ARBITRAGES!F253="Invest","Achat","Vente"))</f>
        <v>Achat</v>
      </c>
      <c r="C252" s="623" t="str">
        <f>ARBITRAGES!H253</f>
        <v>BTC</v>
      </c>
      <c r="D252" s="624">
        <f>ARBITRAGES!I253</f>
        <v>73200</v>
      </c>
      <c r="E252" s="624">
        <f>ARBITRAGES!J253</f>
        <v>250</v>
      </c>
      <c r="F252" s="623"/>
      <c r="G252" s="623" t="str">
        <f>'PV (%)'!B254</f>
        <v/>
      </c>
      <c r="H252" s="624" t="str">
        <f>'PV (%)'!E254</f>
        <v/>
      </c>
      <c r="I252" s="624" t="str">
        <f>'PV (%)'!F254</f>
        <v/>
      </c>
      <c r="J252" s="623" t="str">
        <f>'PV (%)'!G254</f>
        <v/>
      </c>
      <c r="K252" s="623"/>
      <c r="L252" s="621">
        <f>Exposition!A253</f>
        <v>46055</v>
      </c>
      <c r="M252" s="625">
        <f>Exposition!B253</f>
        <v>0.8034825121</v>
      </c>
      <c r="N252" s="625">
        <f>Exposition!C253</f>
        <v>0.6284458408</v>
      </c>
      <c r="O252" s="625">
        <f>Exposition!D253</f>
        <v>0.1134910733</v>
      </c>
      <c r="P252" s="625">
        <f>Exposition!E253</f>
        <v>0.00000004292165438</v>
      </c>
      <c r="Q252" s="625">
        <f>Exposition!F253</f>
        <v>0.02373686202</v>
      </c>
      <c r="R252" s="625">
        <f>Exposition!G253</f>
        <v>0.02205724755</v>
      </c>
      <c r="S252" s="625">
        <f>Exposition!H253</f>
        <v>0</v>
      </c>
      <c r="T252" s="625">
        <f>Exposition!I253</f>
        <v>0.005576959387</v>
      </c>
      <c r="U252" s="625">
        <f>Exposition!J253</f>
        <v>-0.0000001017932031</v>
      </c>
      <c r="V252" s="625">
        <f>Exposition!K253</f>
        <v>0</v>
      </c>
      <c r="W252" s="625">
        <f>Exposition!L253</f>
        <v>0</v>
      </c>
      <c r="X252" s="625">
        <f>Exposition!M253</f>
        <v>0</v>
      </c>
      <c r="Y252" s="625">
        <f>Exposition!N253</f>
        <v>0.01017453466</v>
      </c>
      <c r="Z252" s="625">
        <f>Exposition!O253</f>
        <v>0</v>
      </c>
      <c r="AA252" s="625">
        <f>Exposition!P253</f>
        <v>0.00000005291604341</v>
      </c>
      <c r="AB252" s="625">
        <f>Exposition!Q253</f>
        <v>0.0000000003088022224</v>
      </c>
      <c r="AC252" s="625">
        <f>Exposition!R253</f>
        <v>0</v>
      </c>
      <c r="AD252" s="625">
        <f>Exposition!S253</f>
        <v>0</v>
      </c>
      <c r="AE252" s="625">
        <f>Exposition!T253</f>
        <v>0</v>
      </c>
      <c r="AF252" s="625">
        <f>Exposition!U253</f>
        <v>0.1965174879</v>
      </c>
      <c r="AG252" s="623"/>
      <c r="AH252" s="621">
        <f>PRIX!A253</f>
        <v>46055</v>
      </c>
      <c r="AI252" s="635">
        <f>PRIX!B253</f>
        <v>77000</v>
      </c>
      <c r="AJ252" s="635">
        <f>PRIX!C253</f>
        <v>2250</v>
      </c>
      <c r="AK252" s="635">
        <f>PRIX!D253</f>
        <v>1.33</v>
      </c>
      <c r="AL252" s="635">
        <f>PRIX!E253</f>
        <v>100</v>
      </c>
      <c r="AM252" s="635">
        <f>PRIX!F253</f>
        <v>190</v>
      </c>
      <c r="AN252" s="635">
        <f>PRIX!G253</f>
        <v>0.106</v>
      </c>
      <c r="AO252" s="635">
        <f>PRIX!H253</f>
        <v>9.6</v>
      </c>
      <c r="AP252" s="635">
        <f>PRIX!I253</f>
        <v>0.105</v>
      </c>
      <c r="AQ252" s="635">
        <f>PRIX!J253</f>
        <v>0.0000066</v>
      </c>
      <c r="AR252" s="635">
        <f>PRIX!K253</f>
        <v>1.5</v>
      </c>
      <c r="AS252" s="635">
        <f>PRIX!L253</f>
        <v>0.186</v>
      </c>
      <c r="AT252" s="635">
        <f>PRIX!M253</f>
        <v>125</v>
      </c>
      <c r="AU252" s="635">
        <f>PRIX!N253</f>
        <v>0.002</v>
      </c>
      <c r="AV252" s="635">
        <f>PRIX!O253</f>
        <v>1.56</v>
      </c>
      <c r="AW252" s="635">
        <f>PRIX!P253</f>
        <v>0.00046</v>
      </c>
      <c r="AX252" s="635">
        <f>PRIX!Q253</f>
        <v>0.000004</v>
      </c>
      <c r="AY252" s="635">
        <f>PRIX!R253</f>
        <v>0.245</v>
      </c>
      <c r="AZ252" s="635">
        <f>PRIX!S253</f>
        <v>0.71</v>
      </c>
      <c r="BA252" s="623"/>
    </row>
    <row r="253">
      <c r="A253" s="621">
        <f>ARBITRAGES!E254</f>
        <v>46055</v>
      </c>
      <c r="B253" s="623" t="str">
        <f>IF(A253="","",IF(ARBITRAGES!F254="Invest","Achat","Vente"))</f>
        <v>Achat</v>
      </c>
      <c r="C253" s="623" t="str">
        <f>ARBITRAGES!H254</f>
        <v>BTC</v>
      </c>
      <c r="D253" s="624">
        <f>ARBITRAGES!I254</f>
        <v>73100</v>
      </c>
      <c r="E253" s="624">
        <f>ARBITRAGES!J254</f>
        <v>204.68</v>
      </c>
      <c r="F253" s="623"/>
      <c r="G253" s="623" t="str">
        <f>'PV (%)'!B255</f>
        <v/>
      </c>
      <c r="H253" s="624" t="str">
        <f>'PV (%)'!E255</f>
        <v/>
      </c>
      <c r="I253" s="624" t="str">
        <f>'PV (%)'!F255</f>
        <v/>
      </c>
      <c r="J253" s="623" t="str">
        <f>'PV (%)'!G255</f>
        <v/>
      </c>
      <c r="K253" s="623"/>
      <c r="L253" s="621">
        <f>Exposition!A254</f>
        <v>46056</v>
      </c>
      <c r="M253" s="625">
        <f>Exposition!B254</f>
        <v>0.8184861754</v>
      </c>
      <c r="N253" s="625">
        <f>Exposition!C254</f>
        <v>0.6404433297</v>
      </c>
      <c r="O253" s="625">
        <f>Exposition!D254</f>
        <v>0.1160627394</v>
      </c>
      <c r="P253" s="625">
        <f>Exposition!E254</f>
        <v>0.00000004520002173</v>
      </c>
      <c r="Q253" s="625">
        <f>Exposition!F254</f>
        <v>0.02327207869</v>
      </c>
      <c r="R253" s="625">
        <f>Exposition!G254</f>
        <v>0.02264738815</v>
      </c>
      <c r="S253" s="625">
        <f>Exposition!H254</f>
        <v>0</v>
      </c>
      <c r="T253" s="625">
        <f>Exposition!I254</f>
        <v>0.005637463965</v>
      </c>
      <c r="U253" s="625">
        <f>Exposition!J254</f>
        <v>-0.0000001047463824</v>
      </c>
      <c r="V253" s="625">
        <f>Exposition!K254</f>
        <v>0</v>
      </c>
      <c r="W253" s="625">
        <f>Exposition!L254</f>
        <v>0</v>
      </c>
      <c r="X253" s="625">
        <f>Exposition!M254</f>
        <v>0</v>
      </c>
      <c r="Y253" s="625">
        <f>Exposition!N254</f>
        <v>0.01042318168</v>
      </c>
      <c r="Z253" s="625">
        <f>Exposition!O254</f>
        <v>0</v>
      </c>
      <c r="AA253" s="625">
        <f>Exposition!P254</f>
        <v>0.0000000529386863</v>
      </c>
      <c r="AB253" s="625">
        <f>Exposition!Q254</f>
        <v>0.0000000003223662882</v>
      </c>
      <c r="AC253" s="625">
        <f>Exposition!R254</f>
        <v>0</v>
      </c>
      <c r="AD253" s="625">
        <f>Exposition!S254</f>
        <v>0</v>
      </c>
      <c r="AE253" s="625">
        <f>Exposition!T254</f>
        <v>0</v>
      </c>
      <c r="AF253" s="625">
        <f>Exposition!U254</f>
        <v>0.1815138246</v>
      </c>
      <c r="AG253" s="623"/>
      <c r="AH253" s="621">
        <f>PRIX!A254</f>
        <v>46055</v>
      </c>
      <c r="AI253" s="635">
        <f>PRIX!B254</f>
        <v>77000</v>
      </c>
      <c r="AJ253" s="635">
        <f>PRIX!C254</f>
        <v>2250</v>
      </c>
      <c r="AK253" s="635">
        <f>PRIX!D254</f>
        <v>1.33</v>
      </c>
      <c r="AL253" s="635">
        <f>PRIX!E254</f>
        <v>100</v>
      </c>
      <c r="AM253" s="635">
        <f>PRIX!F254</f>
        <v>190</v>
      </c>
      <c r="AN253" s="635">
        <f>PRIX!G254</f>
        <v>0.106</v>
      </c>
      <c r="AO253" s="635">
        <f>PRIX!H254</f>
        <v>9.6</v>
      </c>
      <c r="AP253" s="635">
        <f>PRIX!I254</f>
        <v>0.105</v>
      </c>
      <c r="AQ253" s="635">
        <f>PRIX!J254</f>
        <v>0.0000066</v>
      </c>
      <c r="AR253" s="635">
        <f>PRIX!K254</f>
        <v>1.5</v>
      </c>
      <c r="AS253" s="635">
        <f>PRIX!L254</f>
        <v>0.186</v>
      </c>
      <c r="AT253" s="635">
        <f>PRIX!M254</f>
        <v>125</v>
      </c>
      <c r="AU253" s="635">
        <f>PRIX!N254</f>
        <v>0.002</v>
      </c>
      <c r="AV253" s="635">
        <f>PRIX!O254</f>
        <v>1.56</v>
      </c>
      <c r="AW253" s="635">
        <f>PRIX!P254</f>
        <v>0.00046</v>
      </c>
      <c r="AX253" s="635">
        <f>PRIX!Q254</f>
        <v>0.000004</v>
      </c>
      <c r="AY253" s="635">
        <f>PRIX!R254</f>
        <v>0.245</v>
      </c>
      <c r="AZ253" s="635">
        <f>PRIX!S254</f>
        <v>0.71</v>
      </c>
      <c r="BA253" s="623"/>
    </row>
    <row r="254">
      <c r="A254" s="621">
        <f>ARBITRAGES!E255</f>
        <v>46056</v>
      </c>
      <c r="B254" s="623" t="str">
        <f>IF(A254="","",IF(ARBITRAGES!F255="Invest","Achat","Vente"))</f>
        <v>Achat</v>
      </c>
      <c r="C254" s="623" t="str">
        <f>ARBITRAGES!H255</f>
        <v>BTC</v>
      </c>
      <c r="D254" s="624">
        <f>ARBITRAGES!I255</f>
        <v>73000</v>
      </c>
      <c r="E254" s="624">
        <f>ARBITRAGES!J255</f>
        <v>649.7</v>
      </c>
      <c r="F254" s="623"/>
      <c r="G254" s="623" t="str">
        <f>'PV (%)'!B256</f>
        <v/>
      </c>
      <c r="H254" s="624" t="str">
        <f>'PV (%)'!E256</f>
        <v/>
      </c>
      <c r="I254" s="624" t="str">
        <f>'PV (%)'!F256</f>
        <v/>
      </c>
      <c r="J254" s="623" t="str">
        <f>'PV (%)'!G256</f>
        <v/>
      </c>
      <c r="K254" s="623"/>
      <c r="L254" s="621">
        <f>Exposition!A255</f>
        <v>46057</v>
      </c>
      <c r="M254" s="625">
        <f>Exposition!B255</f>
        <v>0.8124774536</v>
      </c>
      <c r="N254" s="625">
        <f>Exposition!C255</f>
        <v>0.6388845327</v>
      </c>
      <c r="O254" s="625">
        <f>Exposition!D255</f>
        <v>0.1124609716</v>
      </c>
      <c r="P254" s="625">
        <f>Exposition!E255</f>
        <v>0.00000004796850676</v>
      </c>
      <c r="Q254" s="625">
        <f>Exposition!F255</f>
        <v>0.02275441175</v>
      </c>
      <c r="R254" s="625">
        <f>Exposition!G255</f>
        <v>0.02250725452</v>
      </c>
      <c r="S254" s="625">
        <f>Exposition!H255</f>
        <v>0</v>
      </c>
      <c r="T254" s="625">
        <f>Exposition!I255</f>
        <v>0.005525088682</v>
      </c>
      <c r="U254" s="625">
        <f>Exposition!J255</f>
        <v>-0.0000001023311508</v>
      </c>
      <c r="V254" s="625">
        <f>Exposition!K255</f>
        <v>0</v>
      </c>
      <c r="W254" s="625">
        <f>Exposition!L255</f>
        <v>0</v>
      </c>
      <c r="X254" s="625">
        <f>Exposition!M255</f>
        <v>0</v>
      </c>
      <c r="Y254" s="625">
        <f>Exposition!N255</f>
        <v>0.01034519903</v>
      </c>
      <c r="Z254" s="625">
        <f>Exposition!O255</f>
        <v>0</v>
      </c>
      <c r="AA254" s="625">
        <f>Exposition!P255</f>
        <v>0.00000004932292628</v>
      </c>
      <c r="AB254" s="625">
        <f>Exposition!Q255</f>
        <v>0.0000000003253774116</v>
      </c>
      <c r="AC254" s="625">
        <f>Exposition!R255</f>
        <v>0</v>
      </c>
      <c r="AD254" s="625">
        <f>Exposition!S255</f>
        <v>0</v>
      </c>
      <c r="AE254" s="625">
        <f>Exposition!T255</f>
        <v>0</v>
      </c>
      <c r="AF254" s="625">
        <f>Exposition!U255</f>
        <v>0.1875225464</v>
      </c>
      <c r="AG254" s="623"/>
      <c r="AH254" s="621">
        <f>PRIX!A255</f>
        <v>46056</v>
      </c>
      <c r="AI254" s="635">
        <f>PRIX!B255</f>
        <v>76500</v>
      </c>
      <c r="AJ254" s="635">
        <f>PRIX!C255</f>
        <v>2300</v>
      </c>
      <c r="AK254" s="635">
        <f>PRIX!D255</f>
        <v>1.4</v>
      </c>
      <c r="AL254" s="635">
        <f>PRIX!E255</f>
        <v>98</v>
      </c>
      <c r="AM254" s="635">
        <f>PRIX!F255</f>
        <v>195</v>
      </c>
      <c r="AN254" s="635">
        <f>PRIX!G255</f>
        <v>0.1</v>
      </c>
      <c r="AO254" s="635">
        <f>PRIX!H255</f>
        <v>9.7</v>
      </c>
      <c r="AP254" s="635">
        <f>PRIX!I255</f>
        <v>0.108</v>
      </c>
      <c r="AQ254" s="635">
        <f>PRIX!J255</f>
        <v>0.0000068</v>
      </c>
      <c r="AR254" s="635">
        <f>PRIX!K255</f>
        <v>1.6</v>
      </c>
      <c r="AS254" s="635">
        <f>PRIX!L255</f>
        <v>0.19</v>
      </c>
      <c r="AT254" s="635">
        <f>PRIX!M255</f>
        <v>128</v>
      </c>
      <c r="AU254" s="635">
        <f>PRIX!N255</f>
        <v>0.002</v>
      </c>
      <c r="AV254" s="635">
        <f>PRIX!O255</f>
        <v>1.56</v>
      </c>
      <c r="AW254" s="635">
        <f>PRIX!P255</f>
        <v>0.00048</v>
      </c>
      <c r="AX254" s="635">
        <f>PRIX!Q255</f>
        <v>0.00000425</v>
      </c>
      <c r="AY254" s="635">
        <f>PRIX!R255</f>
        <v>0.25</v>
      </c>
      <c r="AZ254" s="635">
        <f>PRIX!S255</f>
        <v>0.68</v>
      </c>
      <c r="BA254" s="623"/>
    </row>
    <row r="255">
      <c r="A255" s="621">
        <f>ARBITRAGES!E256</f>
        <v>46057</v>
      </c>
      <c r="B255" s="623" t="str">
        <f>IF(A255="","",IF(ARBITRAGES!F256="Invest","Achat","Vente"))</f>
        <v>Achat</v>
      </c>
      <c r="C255" s="623" t="str">
        <f>ARBITRAGES!H256</f>
        <v>BTC</v>
      </c>
      <c r="D255" s="624">
        <f>ARBITRAGES!I256</f>
        <v>70000</v>
      </c>
      <c r="E255" s="624">
        <f>ARBITRAGES!J256</f>
        <v>318</v>
      </c>
      <c r="F255" s="623"/>
      <c r="G255" s="623" t="str">
        <f>'PV (%)'!B257</f>
        <v/>
      </c>
      <c r="H255" s="624" t="str">
        <f>'PV (%)'!E257</f>
        <v/>
      </c>
      <c r="I255" s="624" t="str">
        <f>'PV (%)'!F257</f>
        <v/>
      </c>
      <c r="J255" s="623" t="str">
        <f>'PV (%)'!G257</f>
        <v/>
      </c>
      <c r="K255" s="623"/>
      <c r="L255" s="621">
        <f>Exposition!A256</f>
        <v>46058</v>
      </c>
      <c r="M255" s="625">
        <f>Exposition!B256</f>
        <v>0.7921450598</v>
      </c>
      <c r="N255" s="625">
        <f>Exposition!C256</f>
        <v>0.6285999623</v>
      </c>
      <c r="O255" s="625">
        <f>Exposition!D256</f>
        <v>0.1093309534</v>
      </c>
      <c r="P255" s="625">
        <f>Exposition!E256</f>
        <v>0.00000004862845906</v>
      </c>
      <c r="Q255" s="625">
        <f>Exposition!F256</f>
        <v>0.02201079027</v>
      </c>
      <c r="R255" s="625">
        <f>Exposition!G256</f>
        <v>0.02220260865</v>
      </c>
      <c r="S255" s="625">
        <f>Exposition!H256</f>
        <v>0</v>
      </c>
      <c r="T255" s="625">
        <f>Exposition!I256</f>
        <v>0</v>
      </c>
      <c r="U255" s="625">
        <f>Exposition!J256</f>
        <v>-0.0000001011333363</v>
      </c>
      <c r="V255" s="625">
        <f>Exposition!K256</f>
        <v>0</v>
      </c>
      <c r="W255" s="625">
        <f>Exposition!L256</f>
        <v>0</v>
      </c>
      <c r="X255" s="625">
        <f>Exposition!M256</f>
        <v>0</v>
      </c>
      <c r="Y255" s="625">
        <f>Exposition!N256</f>
        <v>0.01000075415</v>
      </c>
      <c r="Z255" s="625">
        <f>Exposition!O256</f>
        <v>0</v>
      </c>
      <c r="AA255" s="625">
        <f>Exposition!P256</f>
        <v>0.00000004324917169</v>
      </c>
      <c r="AB255" s="625">
        <f>Exposition!Q256</f>
        <v>0.0000000002645597953</v>
      </c>
      <c r="AC255" s="625">
        <f>Exposition!R256</f>
        <v>0</v>
      </c>
      <c r="AD255" s="625">
        <f>Exposition!S256</f>
        <v>0</v>
      </c>
      <c r="AE255" s="625">
        <f>Exposition!T256</f>
        <v>0</v>
      </c>
      <c r="AF255" s="625">
        <f>Exposition!U256</f>
        <v>0.2078549402</v>
      </c>
      <c r="AG255" s="623"/>
      <c r="AH255" s="621">
        <f>PRIX!A256</f>
        <v>46057</v>
      </c>
      <c r="AI255" s="635">
        <f>PRIX!B256</f>
        <v>70000</v>
      </c>
      <c r="AJ255" s="635">
        <f>PRIX!C256</f>
        <v>2070</v>
      </c>
      <c r="AK255" s="635">
        <f>PRIX!D256</f>
        <v>1.38</v>
      </c>
      <c r="AL255" s="635">
        <f>PRIX!E256</f>
        <v>89</v>
      </c>
      <c r="AM255" s="635">
        <f>PRIX!F256</f>
        <v>180</v>
      </c>
      <c r="AN255" s="635">
        <f>PRIX!G256</f>
        <v>0.095</v>
      </c>
      <c r="AO255" s="635">
        <f>PRIX!H256</f>
        <v>8.83</v>
      </c>
      <c r="AP255" s="635">
        <f>PRIX!I256</f>
        <v>0.098</v>
      </c>
      <c r="AQ255" s="635">
        <f>PRIX!J256</f>
        <v>0.0000062</v>
      </c>
      <c r="AR255" s="635">
        <f>PRIX!K256</f>
        <v>1.45</v>
      </c>
      <c r="AS255" s="635">
        <f>PRIX!L256</f>
        <v>0.182</v>
      </c>
      <c r="AT255" s="635">
        <f>PRIX!M256</f>
        <v>118</v>
      </c>
      <c r="AU255" s="635">
        <f>PRIX!N256</f>
        <v>0.0017</v>
      </c>
      <c r="AV255" s="635">
        <f>PRIX!O256</f>
        <v>1.35</v>
      </c>
      <c r="AW255" s="635">
        <f>PRIX!P256</f>
        <v>0.00045</v>
      </c>
      <c r="AX255" s="635">
        <f>PRIX!Q256</f>
        <v>0.000004</v>
      </c>
      <c r="AY255" s="635">
        <f>PRIX!R256</f>
        <v>0.235</v>
      </c>
      <c r="AZ255" s="635">
        <f>PRIX!S256</f>
        <v>0.64</v>
      </c>
      <c r="BA255" s="623"/>
    </row>
    <row r="256">
      <c r="A256" s="621">
        <f>ARBITRAGES!E257</f>
        <v>46058</v>
      </c>
      <c r="B256" s="623" t="str">
        <f>IF(A256="","",IF(ARBITRAGES!F257="Invest","Achat","Vente"))</f>
        <v>Vente</v>
      </c>
      <c r="C256" s="623" t="str">
        <f>ARBITRAGES!H257</f>
        <v>LINK</v>
      </c>
      <c r="D256" s="624">
        <f>ARBITRAGES!I257</f>
        <v>9</v>
      </c>
      <c r="E256" s="624">
        <f>ARBITRAGES!J257</f>
        <v>225</v>
      </c>
      <c r="F256" s="623"/>
      <c r="G256" s="623" t="str">
        <f>'PV (%)'!B258</f>
        <v/>
      </c>
      <c r="H256" s="624" t="str">
        <f>'PV (%)'!E258</f>
        <v/>
      </c>
      <c r="I256" s="624" t="str">
        <f>'PV (%)'!F258</f>
        <v/>
      </c>
      <c r="J256" s="623" t="str">
        <f>'PV (%)'!G258</f>
        <v/>
      </c>
      <c r="K256" s="623"/>
      <c r="L256" s="621">
        <f>Exposition!A257</f>
        <v>46058</v>
      </c>
      <c r="M256" s="625">
        <f>Exposition!B257</f>
        <v>0.7981709165</v>
      </c>
      <c r="N256" s="625">
        <f>Exposition!C257</f>
        <v>0.6346031424</v>
      </c>
      <c r="O256" s="625">
        <f>Exposition!D257</f>
        <v>0.1093461128</v>
      </c>
      <c r="P256" s="625">
        <f>Exposition!E257</f>
        <v>0.00000004863520173</v>
      </c>
      <c r="Q256" s="625">
        <f>Exposition!F257</f>
        <v>0.02201384221</v>
      </c>
      <c r="R256" s="625">
        <f>Exposition!G257</f>
        <v>0.02220568719</v>
      </c>
      <c r="S256" s="625">
        <f>Exposition!H257</f>
        <v>0</v>
      </c>
      <c r="T256" s="625">
        <f>Exposition!I257</f>
        <v>0</v>
      </c>
      <c r="U256" s="625">
        <f>Exposition!J257</f>
        <v>-0.0000001011473591</v>
      </c>
      <c r="V256" s="625">
        <f>Exposition!K257</f>
        <v>0</v>
      </c>
      <c r="W256" s="625">
        <f>Exposition!L257</f>
        <v>0</v>
      </c>
      <c r="X256" s="625">
        <f>Exposition!M257</f>
        <v>0</v>
      </c>
      <c r="Y256" s="625">
        <f>Exposition!N257</f>
        <v>0.01000214082</v>
      </c>
      <c r="Z256" s="625">
        <f>Exposition!O257</f>
        <v>0</v>
      </c>
      <c r="AA256" s="625">
        <f>Exposition!P257</f>
        <v>0.00000004325516848</v>
      </c>
      <c r="AB256" s="625">
        <f>Exposition!Q257</f>
        <v>0.0000000002645964783</v>
      </c>
      <c r="AC256" s="625">
        <f>Exposition!R257</f>
        <v>0</v>
      </c>
      <c r="AD256" s="625">
        <f>Exposition!S257</f>
        <v>0</v>
      </c>
      <c r="AE256" s="625">
        <f>Exposition!T257</f>
        <v>0</v>
      </c>
      <c r="AF256" s="625">
        <f>Exposition!U257</f>
        <v>0.2018290835</v>
      </c>
      <c r="AG256" s="623"/>
      <c r="AH256" s="621">
        <f>PRIX!A257</f>
        <v>46058</v>
      </c>
      <c r="AI256" s="635">
        <f>PRIX!B257</f>
        <v>64000</v>
      </c>
      <c r="AJ256" s="635">
        <f>PRIX!C257</f>
        <v>1870</v>
      </c>
      <c r="AK256" s="635">
        <f>PRIX!D257</f>
        <v>1.3</v>
      </c>
      <c r="AL256" s="635">
        <f>PRIX!E257</f>
        <v>80</v>
      </c>
      <c r="AM256" s="635">
        <f>PRIX!F257</f>
        <v>165</v>
      </c>
      <c r="AN256" s="635">
        <f>PRIX!G257</f>
        <v>0.09</v>
      </c>
      <c r="AO256" s="635">
        <f>PRIX!H257</f>
        <v>8.1</v>
      </c>
      <c r="AP256" s="635">
        <f>PRIX!I257</f>
        <v>0.09</v>
      </c>
      <c r="AQ256" s="635">
        <f>PRIX!J257</f>
        <v>0.0000056</v>
      </c>
      <c r="AR256" s="635">
        <f>PRIX!K257</f>
        <v>1.3</v>
      </c>
      <c r="AS256" s="635">
        <f>PRIX!L257</f>
        <v>0.158</v>
      </c>
      <c r="AT256" s="635">
        <f>PRIX!M257</f>
        <v>106</v>
      </c>
      <c r="AU256" s="635">
        <f>PRIX!N257</f>
        <v>0.0016</v>
      </c>
      <c r="AV256" s="635">
        <f>PRIX!O257</f>
        <v>1.1</v>
      </c>
      <c r="AW256" s="635">
        <f>PRIX!P257</f>
        <v>0.00034</v>
      </c>
      <c r="AX256" s="635">
        <f>PRIX!Q257</f>
        <v>0.00000355</v>
      </c>
      <c r="AY256" s="635">
        <f>PRIX!R257</f>
        <v>0.21</v>
      </c>
      <c r="AZ256" s="635">
        <f>PRIX!S257</f>
        <v>0.57</v>
      </c>
      <c r="BA256" s="623"/>
    </row>
    <row r="257">
      <c r="A257" s="621">
        <f>ARBITRAGES!E258</f>
        <v>46058</v>
      </c>
      <c r="B257" s="623" t="str">
        <f>IF(A257="","",IF(ARBITRAGES!F258="Invest","Achat","Vente"))</f>
        <v>Achat</v>
      </c>
      <c r="C257" s="623" t="str">
        <f>ARBITRAGES!H258</f>
        <v>BTC</v>
      </c>
      <c r="D257" s="624">
        <f>ARBITRAGES!I258</f>
        <v>65500</v>
      </c>
      <c r="E257" s="624">
        <f>ARBITRAGES!J258</f>
        <v>225</v>
      </c>
      <c r="F257" s="623"/>
      <c r="G257" s="623" t="str">
        <f>'PV (%)'!B259</f>
        <v/>
      </c>
      <c r="H257" s="624" t="str">
        <f>'PV (%)'!E259</f>
        <v/>
      </c>
      <c r="I257" s="624" t="str">
        <f>'PV (%)'!F259</f>
        <v/>
      </c>
      <c r="J257" s="623" t="str">
        <f>'PV (%)'!G259</f>
        <v/>
      </c>
      <c r="K257" s="623"/>
      <c r="L257" s="621">
        <f>Exposition!A258</f>
        <v>46059</v>
      </c>
      <c r="M257" s="625">
        <f>Exposition!B258</f>
        <v>0.8042544201</v>
      </c>
      <c r="N257" s="625">
        <f>Exposition!C258</f>
        <v>0.6419558414</v>
      </c>
      <c r="O257" s="625">
        <f>Exposition!D258</f>
        <v>0.1093716304</v>
      </c>
      <c r="P257" s="625">
        <f>Exposition!E258</f>
        <v>0.00000004859457867</v>
      </c>
      <c r="Q257" s="625">
        <f>Exposition!F258</f>
        <v>0.02144556855</v>
      </c>
      <c r="R257" s="625">
        <f>Exposition!G258</f>
        <v>0.02167616311</v>
      </c>
      <c r="S257" s="625">
        <f>Exposition!H258</f>
        <v>0</v>
      </c>
      <c r="T257" s="625">
        <f>Exposition!I258</f>
        <v>0</v>
      </c>
      <c r="U257" s="625">
        <f>Exposition!J258</f>
        <v>-0.0000001016018767</v>
      </c>
      <c r="V257" s="625">
        <f>Exposition!K258</f>
        <v>0</v>
      </c>
      <c r="W257" s="625">
        <f>Exposition!L258</f>
        <v>0</v>
      </c>
      <c r="X257" s="625">
        <f>Exposition!M258</f>
        <v>0</v>
      </c>
      <c r="Y257" s="625">
        <f>Exposition!N258</f>
        <v>0.009805224422</v>
      </c>
      <c r="Z257" s="625">
        <f>Exposition!O258</f>
        <v>0</v>
      </c>
      <c r="AA257" s="625">
        <f>Exposition!P258</f>
        <v>0.00000004494780072</v>
      </c>
      <c r="AB257" s="625">
        <f>Exposition!Q258</f>
        <v>0.0000000002749504902</v>
      </c>
      <c r="AC257" s="625">
        <f>Exposition!R258</f>
        <v>0</v>
      </c>
      <c r="AD257" s="625">
        <f>Exposition!S258</f>
        <v>0</v>
      </c>
      <c r="AE257" s="625">
        <f>Exposition!T258</f>
        <v>0</v>
      </c>
      <c r="AF257" s="625">
        <f>Exposition!U258</f>
        <v>0.1957455799</v>
      </c>
      <c r="AG257" s="623"/>
      <c r="AH257" s="621">
        <f>PRIX!A258</f>
        <v>46058</v>
      </c>
      <c r="AI257" s="635">
        <f>PRIX!B258</f>
        <v>64000</v>
      </c>
      <c r="AJ257" s="635">
        <f>PRIX!C258</f>
        <v>1870</v>
      </c>
      <c r="AK257" s="635">
        <f>PRIX!D258</f>
        <v>1.3</v>
      </c>
      <c r="AL257" s="635">
        <f>PRIX!E258</f>
        <v>80</v>
      </c>
      <c r="AM257" s="635">
        <f>PRIX!F258</f>
        <v>165</v>
      </c>
      <c r="AN257" s="635">
        <f>PRIX!G258</f>
        <v>0.09</v>
      </c>
      <c r="AO257" s="635">
        <f>PRIX!H258</f>
        <v>8.1</v>
      </c>
      <c r="AP257" s="635">
        <f>PRIX!I258</f>
        <v>0.09</v>
      </c>
      <c r="AQ257" s="635">
        <f>PRIX!J258</f>
        <v>0.0000056</v>
      </c>
      <c r="AR257" s="635">
        <f>PRIX!K258</f>
        <v>1.3</v>
      </c>
      <c r="AS257" s="635">
        <f>PRIX!L258</f>
        <v>0.158</v>
      </c>
      <c r="AT257" s="635">
        <f>PRIX!M258</f>
        <v>106</v>
      </c>
      <c r="AU257" s="635">
        <f>PRIX!N258</f>
        <v>0.0016</v>
      </c>
      <c r="AV257" s="635">
        <f>PRIX!O258</f>
        <v>1.1</v>
      </c>
      <c r="AW257" s="635">
        <f>PRIX!P258</f>
        <v>0.00034</v>
      </c>
      <c r="AX257" s="635">
        <f>PRIX!Q258</f>
        <v>0.00000355</v>
      </c>
      <c r="AY257" s="635">
        <f>PRIX!R258</f>
        <v>0.21</v>
      </c>
      <c r="AZ257" s="635">
        <f>PRIX!S258</f>
        <v>0.57</v>
      </c>
      <c r="BA257" s="623"/>
    </row>
    <row r="258">
      <c r="A258" s="621">
        <f>ARBITRAGES!E259</f>
        <v>46059</v>
      </c>
      <c r="B258" s="623" t="str">
        <f>IF(A258="","",IF(ARBITRAGES!F259="Invest","Achat","Vente"))</f>
        <v>Achat</v>
      </c>
      <c r="C258" s="623" t="str">
        <f>ARBITRAGES!H259</f>
        <v>BTC</v>
      </c>
      <c r="D258" s="624">
        <f>ARBITRAGES!I259</f>
        <v>63500</v>
      </c>
      <c r="E258" s="624">
        <f>ARBITRAGES!J259</f>
        <v>500</v>
      </c>
      <c r="F258" s="623"/>
      <c r="G258" s="623" t="str">
        <f>'PV (%)'!B260</f>
        <v/>
      </c>
      <c r="H258" s="624" t="str">
        <f>'PV (%)'!E260</f>
        <v/>
      </c>
      <c r="I258" s="624" t="str">
        <f>'PV (%)'!F260</f>
        <v/>
      </c>
      <c r="J258" s="623" t="str">
        <f>'PV (%)'!G260</f>
        <v/>
      </c>
      <c r="K258" s="623"/>
      <c r="L258" s="621">
        <f>Exposition!A259</f>
        <v>46060</v>
      </c>
      <c r="M258" s="625">
        <f>Exposition!B259</f>
        <v>0.8083479629</v>
      </c>
      <c r="N258" s="625">
        <f>Exposition!C259</f>
        <v>0.6543114037</v>
      </c>
      <c r="O258" s="625">
        <f>Exposition!D259</f>
        <v>0.1099515002</v>
      </c>
      <c r="P258" s="625">
        <f>Exposition!E259</f>
        <v>0.0000000468981301</v>
      </c>
      <c r="Q258" s="625">
        <f>Exposition!F259</f>
        <v>0.0220236228</v>
      </c>
      <c r="R258" s="625">
        <f>Exposition!G259</f>
        <v>0.02206144731</v>
      </c>
      <c r="S258" s="625">
        <f>Exposition!H259</f>
        <v>0</v>
      </c>
      <c r="T258" s="625">
        <f>Exposition!I259</f>
        <v>0</v>
      </c>
      <c r="U258" s="625">
        <f>Exposition!J259</f>
        <v>-0.0000001018696227</v>
      </c>
      <c r="V258" s="625">
        <f>Exposition!K259</f>
        <v>0</v>
      </c>
      <c r="W258" s="625">
        <f>Exposition!L259</f>
        <v>0</v>
      </c>
      <c r="X258" s="625">
        <f>Exposition!M259</f>
        <v>0</v>
      </c>
      <c r="Y258" s="625">
        <f>Exposition!N259</f>
        <v>0</v>
      </c>
      <c r="Z258" s="625">
        <f>Exposition!O259</f>
        <v>0</v>
      </c>
      <c r="AA258" s="625">
        <f>Exposition!P259</f>
        <v>0.00000004360617252</v>
      </c>
      <c r="AB258" s="625">
        <f>Exposition!Q259</f>
        <v>0.0000000003076761304</v>
      </c>
      <c r="AC258" s="625">
        <f>Exposition!R259</f>
        <v>0</v>
      </c>
      <c r="AD258" s="625">
        <f>Exposition!S259</f>
        <v>0</v>
      </c>
      <c r="AE258" s="625">
        <f>Exposition!T259</f>
        <v>0</v>
      </c>
      <c r="AF258" s="625">
        <f>Exposition!U259</f>
        <v>0.1916520371</v>
      </c>
      <c r="AG258" s="623"/>
      <c r="AH258" s="621">
        <f>PRIX!A259</f>
        <v>46059</v>
      </c>
      <c r="AI258" s="635">
        <f>PRIX!B259</f>
        <v>61000</v>
      </c>
      <c r="AJ258" s="635">
        <f>PRIX!C259</f>
        <v>1800</v>
      </c>
      <c r="AK258" s="635">
        <f>PRIX!D259</f>
        <v>1.25</v>
      </c>
      <c r="AL258" s="635">
        <f>PRIX!E259</f>
        <v>75</v>
      </c>
      <c r="AM258" s="635">
        <f>PRIX!F259</f>
        <v>155</v>
      </c>
      <c r="AN258" s="635">
        <f>PRIX!G259</f>
        <v>0.085</v>
      </c>
      <c r="AO258" s="635">
        <f>PRIX!H259</f>
        <v>7.8</v>
      </c>
      <c r="AP258" s="635">
        <f>PRIX!I259</f>
        <v>0.087</v>
      </c>
      <c r="AQ258" s="635">
        <f>PRIX!J259</f>
        <v>0.0000054</v>
      </c>
      <c r="AR258" s="635">
        <f>PRIX!K259</f>
        <v>1.25</v>
      </c>
      <c r="AS258" s="635">
        <f>PRIX!L259</f>
        <v>0.155</v>
      </c>
      <c r="AT258" s="635">
        <f>PRIX!M259</f>
        <v>100</v>
      </c>
      <c r="AU258" s="635">
        <f>PRIX!N259</f>
        <v>0.0015</v>
      </c>
      <c r="AV258" s="635">
        <f>PRIX!O259</f>
        <v>1.1</v>
      </c>
      <c r="AW258" s="635">
        <f>PRIX!P259</f>
        <v>0.00034</v>
      </c>
      <c r="AX258" s="635">
        <f>PRIX!Q259</f>
        <v>0.0000034</v>
      </c>
      <c r="AY258" s="635">
        <f>PRIX!R259</f>
        <v>0.2</v>
      </c>
      <c r="AZ258" s="635">
        <f>PRIX!S259</f>
        <v>0.55</v>
      </c>
      <c r="BA258" s="623"/>
    </row>
    <row r="259">
      <c r="A259" s="621">
        <f>ARBITRAGES!E260</f>
        <v>46060</v>
      </c>
      <c r="B259" s="623" t="str">
        <f>IF(A259="","",IF(ARBITRAGES!F260="Invest","Achat","Vente"))</f>
        <v>Vente</v>
      </c>
      <c r="C259" s="623" t="str">
        <f>ARBITRAGES!H260</f>
        <v>AAVE</v>
      </c>
      <c r="D259" s="624">
        <f>ARBITRAGES!I260</f>
        <v>110</v>
      </c>
      <c r="E259" s="624">
        <f>ARBITRAGES!J260</f>
        <v>385.6025459</v>
      </c>
      <c r="F259" s="623"/>
      <c r="G259" s="623" t="str">
        <f>'PV (%)'!B261</f>
        <v/>
      </c>
      <c r="H259" s="624" t="str">
        <f>'PV (%)'!E261</f>
        <v/>
      </c>
      <c r="I259" s="624" t="str">
        <f>'PV (%)'!F261</f>
        <v/>
      </c>
      <c r="J259" s="623" t="str">
        <f>'PV (%)'!G261</f>
        <v/>
      </c>
      <c r="K259" s="623"/>
      <c r="L259" s="621">
        <f>Exposition!A260</f>
        <v>46060</v>
      </c>
      <c r="M259" s="625">
        <f>Exposition!B260</f>
        <v>0.7857747365</v>
      </c>
      <c r="N259" s="625">
        <f>Exposition!C260</f>
        <v>0.6538855247</v>
      </c>
      <c r="O259" s="625">
        <f>Exposition!D260</f>
        <v>0.1098799348</v>
      </c>
      <c r="P259" s="625">
        <f>Exposition!E260</f>
        <v>0.00000004686760499</v>
      </c>
      <c r="Q259" s="625">
        <f>Exposition!F260</f>
        <v>0.02200928804</v>
      </c>
      <c r="R259" s="625">
        <f>Exposition!G260</f>
        <v>0</v>
      </c>
      <c r="S259" s="625">
        <f>Exposition!H260</f>
        <v>0</v>
      </c>
      <c r="T259" s="625">
        <f>Exposition!I260</f>
        <v>0</v>
      </c>
      <c r="U259" s="625">
        <f>Exposition!J260</f>
        <v>-0.0000001018033177</v>
      </c>
      <c r="V259" s="625">
        <f>Exposition!K260</f>
        <v>0</v>
      </c>
      <c r="W259" s="625">
        <f>Exposition!L260</f>
        <v>0</v>
      </c>
      <c r="X259" s="625">
        <f>Exposition!M260</f>
        <v>0</v>
      </c>
      <c r="Y259" s="625">
        <f>Exposition!N260</f>
        <v>0</v>
      </c>
      <c r="Z259" s="625">
        <f>Exposition!O260</f>
        <v>0</v>
      </c>
      <c r="AA259" s="625">
        <f>Exposition!P260</f>
        <v>0.00000004357779008</v>
      </c>
      <c r="AB259" s="625">
        <f>Exposition!Q260</f>
        <v>0.0000000003074758697</v>
      </c>
      <c r="AC259" s="625">
        <f>Exposition!R260</f>
        <v>0</v>
      </c>
      <c r="AD259" s="625">
        <f>Exposition!S260</f>
        <v>0</v>
      </c>
      <c r="AE259" s="625">
        <f>Exposition!T260</f>
        <v>0</v>
      </c>
      <c r="AF259" s="625">
        <f>Exposition!U260</f>
        <v>0.2142252635</v>
      </c>
      <c r="AG259" s="623"/>
      <c r="AH259" s="621">
        <f>PRIX!A260</f>
        <v>46060</v>
      </c>
      <c r="AI259" s="635">
        <f>PRIX!B260</f>
        <v>67000</v>
      </c>
      <c r="AJ259" s="635">
        <f>PRIX!C260</f>
        <v>1950</v>
      </c>
      <c r="AK259" s="635">
        <f>PRIX!D260</f>
        <v>1.3</v>
      </c>
      <c r="AL259" s="635">
        <f>PRIX!E260</f>
        <v>83</v>
      </c>
      <c r="AM259" s="635">
        <f>PRIX!F260</f>
        <v>170</v>
      </c>
      <c r="AN259" s="635">
        <f>PRIX!G260</f>
        <v>0.092</v>
      </c>
      <c r="AO259" s="635">
        <f>PRIX!H260</f>
        <v>8.4</v>
      </c>
      <c r="AP259" s="635">
        <f>PRIX!I260</f>
        <v>0.094</v>
      </c>
      <c r="AQ259" s="635">
        <f>PRIX!J260</f>
        <v>0.000006</v>
      </c>
      <c r="AR259" s="635">
        <f>PRIX!K260</f>
        <v>1.33</v>
      </c>
      <c r="AS259" s="635">
        <f>PRIX!L260</f>
        <v>0.16</v>
      </c>
      <c r="AT259" s="635">
        <f>PRIX!M260</f>
        <v>107</v>
      </c>
      <c r="AU259" s="635">
        <f>PRIX!N260</f>
        <v>0.0017</v>
      </c>
      <c r="AV259" s="635">
        <f>PRIX!O260</f>
        <v>1.15</v>
      </c>
      <c r="AW259" s="635">
        <f>PRIX!P260</f>
        <v>0.00041</v>
      </c>
      <c r="AX259" s="635">
        <f>PRIX!Q260</f>
        <v>0.0000037</v>
      </c>
      <c r="AY259" s="635">
        <f>PRIX!R260</f>
        <v>0.22</v>
      </c>
      <c r="AZ259" s="635">
        <f>PRIX!S260</f>
        <v>0.58</v>
      </c>
      <c r="BA259" s="623"/>
    </row>
    <row r="260">
      <c r="A260" s="621">
        <f>ARBITRAGES!E261</f>
        <v>46060</v>
      </c>
      <c r="B260" s="623" t="str">
        <f>IF(A260="","",IF(ARBITRAGES!F261="Invest","Achat","Vente"))</f>
        <v>Vente</v>
      </c>
      <c r="C260" s="623" t="str">
        <f>ARBITRAGES!H261</f>
        <v>TAO</v>
      </c>
      <c r="D260" s="624">
        <f>ARBITRAGES!I261</f>
        <v>175</v>
      </c>
      <c r="E260" s="624">
        <f>ARBITRAGES!J261</f>
        <v>875.2991083</v>
      </c>
      <c r="F260" s="623"/>
      <c r="G260" s="623" t="str">
        <f>'PV (%)'!B262</f>
        <v/>
      </c>
      <c r="H260" s="624" t="str">
        <f>'PV (%)'!E262</f>
        <v/>
      </c>
      <c r="I260" s="624" t="str">
        <f>'PV (%)'!F262</f>
        <v/>
      </c>
      <c r="J260" s="623" t="str">
        <f>'PV (%)'!G262</f>
        <v/>
      </c>
      <c r="K260" s="623"/>
      <c r="L260" s="621">
        <f>Exposition!A261</f>
        <v>46061</v>
      </c>
      <c r="M260" s="625">
        <f>Exposition!B261</f>
        <v>0.7691493882</v>
      </c>
      <c r="N260" s="625">
        <f>Exposition!C261</f>
        <v>0.6565293348</v>
      </c>
      <c r="O260" s="625">
        <f>Exposition!D261</f>
        <v>0.1126200633</v>
      </c>
      <c r="P260" s="625">
        <f>Exposition!E261</f>
        <v>0.00000004674758437</v>
      </c>
      <c r="Q260" s="625">
        <f>Exposition!F261</f>
        <v>0</v>
      </c>
      <c r="R260" s="625">
        <f>Exposition!G261</f>
        <v>0</v>
      </c>
      <c r="S260" s="625">
        <f>Exposition!H261</f>
        <v>0</v>
      </c>
      <c r="T260" s="625">
        <f>Exposition!I261</f>
        <v>0</v>
      </c>
      <c r="U260" s="625">
        <f>Exposition!J261</f>
        <v>-0.0000001013639289</v>
      </c>
      <c r="V260" s="625">
        <f>Exposition!K261</f>
        <v>0</v>
      </c>
      <c r="W260" s="625">
        <f>Exposition!L261</f>
        <v>0</v>
      </c>
      <c r="X260" s="625">
        <f>Exposition!M261</f>
        <v>0</v>
      </c>
      <c r="Y260" s="625">
        <f>Exposition!N261</f>
        <v>0</v>
      </c>
      <c r="Z260" s="625">
        <f>Exposition!O261</f>
        <v>0</v>
      </c>
      <c r="AA260" s="625">
        <f>Exposition!P261</f>
        <v>0.00000004433296038</v>
      </c>
      <c r="AB260" s="625">
        <f>Exposition!Q261</f>
        <v>0.0000000003070821671</v>
      </c>
      <c r="AC260" s="625">
        <f>Exposition!R261</f>
        <v>0</v>
      </c>
      <c r="AD260" s="625">
        <f>Exposition!S261</f>
        <v>0</v>
      </c>
      <c r="AE260" s="625">
        <f>Exposition!T261</f>
        <v>0</v>
      </c>
      <c r="AF260" s="625">
        <f>Exposition!U261</f>
        <v>0.2308506118</v>
      </c>
      <c r="AG260" s="623"/>
      <c r="AH260" s="621">
        <f>PRIX!A261</f>
        <v>46060</v>
      </c>
      <c r="AI260" s="635">
        <f>PRIX!B261</f>
        <v>67000</v>
      </c>
      <c r="AJ260" s="635">
        <f>PRIX!C261</f>
        <v>1950</v>
      </c>
      <c r="AK260" s="635">
        <f>PRIX!D261</f>
        <v>1.3</v>
      </c>
      <c r="AL260" s="635">
        <f>PRIX!E261</f>
        <v>83</v>
      </c>
      <c r="AM260" s="635">
        <f>PRIX!F261</f>
        <v>170</v>
      </c>
      <c r="AN260" s="635">
        <f>PRIX!G261</f>
        <v>0.092</v>
      </c>
      <c r="AO260" s="635">
        <f>PRIX!H261</f>
        <v>8.4</v>
      </c>
      <c r="AP260" s="635">
        <f>PRIX!I261</f>
        <v>0.094</v>
      </c>
      <c r="AQ260" s="635">
        <f>PRIX!J261</f>
        <v>0.000006</v>
      </c>
      <c r="AR260" s="635">
        <f>PRIX!K261</f>
        <v>1.33</v>
      </c>
      <c r="AS260" s="635">
        <f>PRIX!L261</f>
        <v>0.16</v>
      </c>
      <c r="AT260" s="635">
        <f>PRIX!M261</f>
        <v>107</v>
      </c>
      <c r="AU260" s="635">
        <f>PRIX!N261</f>
        <v>0.0017</v>
      </c>
      <c r="AV260" s="635">
        <f>PRIX!O261</f>
        <v>1.15</v>
      </c>
      <c r="AW260" s="635">
        <f>PRIX!P261</f>
        <v>0.00041</v>
      </c>
      <c r="AX260" s="635">
        <f>PRIX!Q261</f>
        <v>0.0000037</v>
      </c>
      <c r="AY260" s="635">
        <f>PRIX!R261</f>
        <v>0.22</v>
      </c>
      <c r="AZ260" s="635">
        <f>PRIX!S261</f>
        <v>0.58</v>
      </c>
      <c r="BA260" s="623"/>
    </row>
    <row r="261">
      <c r="A261" s="621">
        <f>ARBITRAGES!E262</f>
        <v>46061</v>
      </c>
      <c r="B261" s="623" t="str">
        <f>IF(A261="","",IF(ARBITRAGES!F262="Invest","Achat","Vente"))</f>
        <v>Vente</v>
      </c>
      <c r="C261" s="623" t="str">
        <f>ARBITRAGES!H262</f>
        <v>SOL</v>
      </c>
      <c r="D261" s="624">
        <f>ARBITRAGES!I262</f>
        <v>85</v>
      </c>
      <c r="E261" s="624">
        <f>ARBITRAGES!J262</f>
        <v>869.9415117</v>
      </c>
      <c r="F261" s="623"/>
      <c r="G261" s="623" t="str">
        <f>'PV (%)'!B263</f>
        <v/>
      </c>
      <c r="H261" s="624" t="str">
        <f>'PV (%)'!E263</f>
        <v/>
      </c>
      <c r="I261" s="624" t="str">
        <f>'PV (%)'!F263</f>
        <v/>
      </c>
      <c r="J261" s="623" t="str">
        <f>'PV (%)'!G263</f>
        <v/>
      </c>
      <c r="K261" s="623"/>
      <c r="L261" s="621">
        <f>Exposition!A262</f>
        <v>46061</v>
      </c>
      <c r="M261" s="625">
        <f>Exposition!B262</f>
        <v>0.7655172327</v>
      </c>
      <c r="N261" s="625">
        <f>Exposition!C262</f>
        <v>0.6564722445</v>
      </c>
      <c r="O261" s="625">
        <f>Exposition!D262</f>
        <v>0.1090449982</v>
      </c>
      <c r="P261" s="625">
        <f>Exposition!E262</f>
        <v>0.0000000467435193</v>
      </c>
      <c r="Q261" s="625">
        <f>Exposition!F262</f>
        <v>0</v>
      </c>
      <c r="R261" s="625">
        <f>Exposition!G262</f>
        <v>0</v>
      </c>
      <c r="S261" s="625">
        <f>Exposition!H262</f>
        <v>0</v>
      </c>
      <c r="T261" s="625">
        <f>Exposition!I262</f>
        <v>0</v>
      </c>
      <c r="U261" s="625">
        <f>Exposition!J262</f>
        <v>-0.0000001013551145</v>
      </c>
      <c r="V261" s="625">
        <f>Exposition!K262</f>
        <v>0</v>
      </c>
      <c r="W261" s="625">
        <f>Exposition!L262</f>
        <v>0</v>
      </c>
      <c r="X261" s="625">
        <f>Exposition!M262</f>
        <v>0</v>
      </c>
      <c r="Y261" s="625">
        <f>Exposition!N262</f>
        <v>0</v>
      </c>
      <c r="Z261" s="625">
        <f>Exposition!O262</f>
        <v>0</v>
      </c>
      <c r="AA261" s="625">
        <f>Exposition!P262</f>
        <v>0.00000004432910528</v>
      </c>
      <c r="AB261" s="625">
        <f>Exposition!Q262</f>
        <v>0.0000000003070554639</v>
      </c>
      <c r="AC261" s="625">
        <f>Exposition!R262</f>
        <v>0</v>
      </c>
      <c r="AD261" s="625">
        <f>Exposition!S262</f>
        <v>0</v>
      </c>
      <c r="AE261" s="625">
        <f>Exposition!T262</f>
        <v>0</v>
      </c>
      <c r="AF261" s="625">
        <f>Exposition!U262</f>
        <v>0.2344827673</v>
      </c>
      <c r="AG261" s="623"/>
      <c r="AH261" s="621">
        <f>PRIX!A262</f>
        <v>46061</v>
      </c>
      <c r="AI261" s="635">
        <f>PRIX!B262</f>
        <v>69000</v>
      </c>
      <c r="AJ261" s="635">
        <f>PRIX!C262</f>
        <v>2050</v>
      </c>
      <c r="AK261" s="635">
        <f>PRIX!D262</f>
        <v>1.33</v>
      </c>
      <c r="AL261" s="635">
        <f>PRIX!E262</f>
        <v>86</v>
      </c>
      <c r="AM261" s="635">
        <f>PRIX!F262</f>
        <v>170</v>
      </c>
      <c r="AN261" s="635">
        <f>PRIX!G262</f>
        <v>0.097</v>
      </c>
      <c r="AO261" s="635">
        <f>PRIX!H262</f>
        <v>8.8</v>
      </c>
      <c r="AP261" s="635">
        <f>PRIX!I262</f>
        <v>0.096</v>
      </c>
      <c r="AQ261" s="635">
        <f>PRIX!J262</f>
        <v>0.0000062</v>
      </c>
      <c r="AR261" s="635">
        <f>PRIX!K262</f>
        <v>1.35</v>
      </c>
      <c r="AS261" s="635">
        <f>PRIX!L262</f>
        <v>0.161</v>
      </c>
      <c r="AT261" s="635">
        <f>PRIX!M262</f>
        <v>115</v>
      </c>
      <c r="AU261" s="635">
        <f>PRIX!N262</f>
        <v>0.0017</v>
      </c>
      <c r="AV261" s="635">
        <f>PRIX!O262</f>
        <v>1.2</v>
      </c>
      <c r="AW261" s="635">
        <f>PRIX!P262</f>
        <v>0.00042</v>
      </c>
      <c r="AX261" s="635">
        <f>PRIX!Q262</f>
        <v>0.0000038</v>
      </c>
      <c r="AY261" s="635">
        <f>PRIX!R262</f>
        <v>0.23</v>
      </c>
      <c r="AZ261" s="635">
        <f>PRIX!S262</f>
        <v>0.599</v>
      </c>
      <c r="BA261" s="623"/>
    </row>
    <row r="262">
      <c r="A262" s="621">
        <f>ARBITRAGES!E263</f>
        <v>46061</v>
      </c>
      <c r="B262" s="623" t="str">
        <f>IF(A262="","",IF(ARBITRAGES!F263="Invest","Achat","Vente"))</f>
        <v>Vente</v>
      </c>
      <c r="C262" s="623" t="str">
        <f>ARBITRAGES!H263</f>
        <v>ETH</v>
      </c>
      <c r="D262" s="624">
        <f>ARBITRAGES!I263</f>
        <v>2100</v>
      </c>
      <c r="E262" s="624">
        <f>ARBITRAGES!J263</f>
        <v>144.473175</v>
      </c>
      <c r="F262" s="623"/>
      <c r="G262" s="623" t="str">
        <f>'PV (%)'!B264</f>
        <v/>
      </c>
      <c r="H262" s="624" t="str">
        <f>'PV (%)'!E264</f>
        <v/>
      </c>
      <c r="I262" s="624" t="str">
        <f>'PV (%)'!F264</f>
        <v/>
      </c>
      <c r="J262" s="623" t="str">
        <f>'PV (%)'!G264</f>
        <v/>
      </c>
      <c r="K262" s="623"/>
      <c r="L262" s="621">
        <f>Exposition!A263</f>
        <v>46062</v>
      </c>
      <c r="M262" s="625">
        <f>Exposition!B263</f>
        <v>0.7626273792</v>
      </c>
      <c r="N262" s="625">
        <f>Exposition!C263</f>
        <v>0.6550141059</v>
      </c>
      <c r="O262" s="625">
        <f>Exposition!D263</f>
        <v>0.1076132816</v>
      </c>
      <c r="P262" s="625">
        <f>Exposition!E263</f>
        <v>0.00000004716688348</v>
      </c>
      <c r="Q262" s="625">
        <f>Exposition!F263</f>
        <v>0</v>
      </c>
      <c r="R262" s="625">
        <f>Exposition!G263</f>
        <v>0</v>
      </c>
      <c r="S262" s="625">
        <f>Exposition!H263</f>
        <v>0</v>
      </c>
      <c r="T262" s="625">
        <f>Exposition!I263</f>
        <v>0</v>
      </c>
      <c r="U262" s="625">
        <f>Exposition!J263</f>
        <v>-0.00000009823195026</v>
      </c>
      <c r="V262" s="625">
        <f>Exposition!K263</f>
        <v>0</v>
      </c>
      <c r="W262" s="625">
        <f>Exposition!L263</f>
        <v>0</v>
      </c>
      <c r="X262" s="625">
        <f>Exposition!M263</f>
        <v>0</v>
      </c>
      <c r="Y262" s="625">
        <f>Exposition!N263</f>
        <v>0</v>
      </c>
      <c r="Z262" s="625">
        <f>Exposition!O263</f>
        <v>0</v>
      </c>
      <c r="AA262" s="625">
        <f>Exposition!P263</f>
        <v>0.00000004254692493</v>
      </c>
      <c r="AB262" s="625">
        <f>Exposition!Q263</f>
        <v>0.0000000002928802912</v>
      </c>
      <c r="AC262" s="625">
        <f>Exposition!R263</f>
        <v>0</v>
      </c>
      <c r="AD262" s="625">
        <f>Exposition!S263</f>
        <v>0</v>
      </c>
      <c r="AE262" s="625">
        <f>Exposition!T263</f>
        <v>0</v>
      </c>
      <c r="AF262" s="625">
        <f>Exposition!U263</f>
        <v>0.2373726208</v>
      </c>
      <c r="AG262" s="623"/>
      <c r="AH262" s="621">
        <f>PRIX!A263</f>
        <v>46061</v>
      </c>
      <c r="AI262" s="635">
        <f>PRIX!B263</f>
        <v>69000</v>
      </c>
      <c r="AJ262" s="635">
        <f>PRIX!C263</f>
        <v>2050</v>
      </c>
      <c r="AK262" s="635">
        <f>PRIX!D263</f>
        <v>1.33</v>
      </c>
      <c r="AL262" s="635">
        <f>PRIX!E263</f>
        <v>86</v>
      </c>
      <c r="AM262" s="635">
        <f>PRIX!F263</f>
        <v>170</v>
      </c>
      <c r="AN262" s="635">
        <f>PRIX!G263</f>
        <v>0.097</v>
      </c>
      <c r="AO262" s="635">
        <f>PRIX!H263</f>
        <v>8.8</v>
      </c>
      <c r="AP262" s="635">
        <f>PRIX!I263</f>
        <v>0.096</v>
      </c>
      <c r="AQ262" s="635">
        <f>PRIX!J263</f>
        <v>0.0000062</v>
      </c>
      <c r="AR262" s="635">
        <f>PRIX!K263</f>
        <v>1.35</v>
      </c>
      <c r="AS262" s="635">
        <f>PRIX!L263</f>
        <v>0.161</v>
      </c>
      <c r="AT262" s="635">
        <f>PRIX!M263</f>
        <v>115</v>
      </c>
      <c r="AU262" s="635">
        <f>PRIX!N263</f>
        <v>0.0017</v>
      </c>
      <c r="AV262" s="635">
        <f>PRIX!O263</f>
        <v>1.2</v>
      </c>
      <c r="AW262" s="635">
        <f>PRIX!P263</f>
        <v>0.00042</v>
      </c>
      <c r="AX262" s="635">
        <f>PRIX!Q263</f>
        <v>0.0000038</v>
      </c>
      <c r="AY262" s="635">
        <f>PRIX!R263</f>
        <v>0.23</v>
      </c>
      <c r="AZ262" s="635">
        <f>PRIX!S263</f>
        <v>0.599</v>
      </c>
      <c r="BA262" s="623"/>
    </row>
    <row r="263">
      <c r="A263" s="621">
        <f>ARBITRAGES!E264</f>
        <v>46062</v>
      </c>
      <c r="B263" s="623" t="str">
        <f>IF(A263="","",IF(ARBITRAGES!F264="Invest","Achat","Vente"))</f>
        <v>Vente</v>
      </c>
      <c r="C263" s="623" t="str">
        <f>ARBITRAGES!H264</f>
        <v>BTC</v>
      </c>
      <c r="D263" s="624">
        <f>ARBITRAGES!I264</f>
        <v>71000</v>
      </c>
      <c r="E263" s="624">
        <f>ARBITRAGES!J264</f>
        <v>99.99995</v>
      </c>
      <c r="F263" s="623"/>
      <c r="G263" s="623" t="str">
        <f>'PV (%)'!B265</f>
        <v/>
      </c>
      <c r="H263" s="624" t="str">
        <f>'PV (%)'!E265</f>
        <v/>
      </c>
      <c r="I263" s="624" t="str">
        <f>'PV (%)'!F265</f>
        <v/>
      </c>
      <c r="J263" s="623" t="str">
        <f>'PV (%)'!G265</f>
        <v/>
      </c>
      <c r="K263" s="623"/>
      <c r="L263" s="621">
        <f>Exposition!A264</f>
        <v>46063</v>
      </c>
      <c r="M263" s="625">
        <f>Exposition!B264</f>
        <v>0.7592980061</v>
      </c>
      <c r="N263" s="625">
        <f>Exposition!C264</f>
        <v>0.6491711342</v>
      </c>
      <c r="O263" s="625">
        <f>Exposition!D264</f>
        <v>0.1048773752</v>
      </c>
      <c r="P263" s="625">
        <f>Exposition!E264</f>
        <v>0.00000004741212692</v>
      </c>
      <c r="Q263" s="625">
        <f>Exposition!F264</f>
        <v>0</v>
      </c>
      <c r="R263" s="625">
        <f>Exposition!G264</f>
        <v>0</v>
      </c>
      <c r="S263" s="625">
        <f>Exposition!H264</f>
        <v>0</v>
      </c>
      <c r="T263" s="625">
        <f>Exposition!I264</f>
        <v>0</v>
      </c>
      <c r="U263" s="625">
        <f>Exposition!J264</f>
        <v>0.005249406854</v>
      </c>
      <c r="V263" s="625">
        <f>Exposition!K264</f>
        <v>0</v>
      </c>
      <c r="W263" s="625">
        <f>Exposition!L264</f>
        <v>0</v>
      </c>
      <c r="X263" s="625">
        <f>Exposition!M264</f>
        <v>0</v>
      </c>
      <c r="Y263" s="625">
        <f>Exposition!N264</f>
        <v>0</v>
      </c>
      <c r="Z263" s="625">
        <f>Exposition!O264</f>
        <v>0</v>
      </c>
      <c r="AA263" s="625">
        <f>Exposition!P264</f>
        <v>0.00000004216739039</v>
      </c>
      <c r="AB263" s="625">
        <f>Exposition!Q264</f>
        <v>0.0000000002731155075</v>
      </c>
      <c r="AC263" s="625">
        <f>Exposition!R264</f>
        <v>0</v>
      </c>
      <c r="AD263" s="625">
        <f>Exposition!S264</f>
        <v>0</v>
      </c>
      <c r="AE263" s="625">
        <f>Exposition!T264</f>
        <v>0</v>
      </c>
      <c r="AF263" s="625">
        <f>Exposition!U264</f>
        <v>0.2407019939</v>
      </c>
      <c r="AG263" s="623"/>
      <c r="AH263" s="621">
        <f>PRIX!A264</f>
        <v>46062</v>
      </c>
      <c r="AI263" s="635">
        <f>PRIX!B264</f>
        <v>69000</v>
      </c>
      <c r="AJ263" s="635">
        <f>PRIX!C264</f>
        <v>2020</v>
      </c>
      <c r="AK263" s="635">
        <f>PRIX!D264</f>
        <v>1.34</v>
      </c>
      <c r="AL263" s="635">
        <f>PRIX!E264</f>
        <v>83</v>
      </c>
      <c r="AM263" s="635">
        <f>PRIX!F264</f>
        <v>155</v>
      </c>
      <c r="AN263" s="635">
        <f>PRIX!G264</f>
        <v>0.095</v>
      </c>
      <c r="AO263" s="635">
        <f>PRIX!H264</f>
        <v>8.55</v>
      </c>
      <c r="AP263" s="635">
        <f>PRIX!I264</f>
        <v>0.0929</v>
      </c>
      <c r="AQ263" s="635">
        <f>PRIX!J264</f>
        <v>0.000006</v>
      </c>
      <c r="AR263" s="635">
        <f>PRIX!K264</f>
        <v>1.3</v>
      </c>
      <c r="AS263" s="635">
        <f>PRIX!L264</f>
        <v>0.153</v>
      </c>
      <c r="AT263" s="635">
        <f>PRIX!M264</f>
        <v>110</v>
      </c>
      <c r="AU263" s="635">
        <f>PRIX!N264</f>
        <v>0.00165</v>
      </c>
      <c r="AV263" s="635">
        <f>PRIX!O264</f>
        <v>1.15</v>
      </c>
      <c r="AW263" s="635">
        <f>PRIX!P264</f>
        <v>0.0004</v>
      </c>
      <c r="AX263" s="635">
        <f>PRIX!Q264</f>
        <v>0.00000365</v>
      </c>
      <c r="AY263" s="635">
        <f>PRIX!R264</f>
        <v>0.22</v>
      </c>
      <c r="AZ263" s="635">
        <f>PRIX!S264</f>
        <v>0.575</v>
      </c>
      <c r="BA263" s="623"/>
    </row>
    <row r="264">
      <c r="A264" s="621">
        <f>ARBITRAGES!E265</f>
        <v>46063</v>
      </c>
      <c r="B264" s="623" t="str">
        <f>IF(A264="","",IF(ARBITRAGES!F265="Invest","Achat","Vente"))</f>
        <v>Achat</v>
      </c>
      <c r="C264" s="623" t="str">
        <f>ARBITRAGES!H265</f>
        <v>DOGE</v>
      </c>
      <c r="D264" s="624">
        <f>ARBITRAGES!I265</f>
        <v>0.09</v>
      </c>
      <c r="E264" s="624">
        <f>ARBITRAGES!J265</f>
        <v>200</v>
      </c>
      <c r="F264" s="623"/>
      <c r="G264" s="623" t="str">
        <f>'PV (%)'!B266</f>
        <v/>
      </c>
      <c r="H264" s="624" t="str">
        <f>'PV (%)'!E266</f>
        <v/>
      </c>
      <c r="I264" s="624" t="str">
        <f>'PV (%)'!F266</f>
        <v/>
      </c>
      <c r="J264" s="623" t="str">
        <f>'PV (%)'!G266</f>
        <v/>
      </c>
      <c r="K264" s="623"/>
      <c r="L264" s="621">
        <f>Exposition!A265</f>
        <v>46064</v>
      </c>
      <c r="M264" s="625">
        <f>Exposition!B265</f>
        <v>0.7563936933</v>
      </c>
      <c r="N264" s="625">
        <f>Exposition!C265</f>
        <v>0.6497852643</v>
      </c>
      <c r="O264" s="625">
        <f>Exposition!D265</f>
        <v>0.1066084378</v>
      </c>
      <c r="P264" s="625">
        <f>Exposition!E265</f>
        <v>0.00000004695893056</v>
      </c>
      <c r="Q264" s="625">
        <f>Exposition!F265</f>
        <v>0</v>
      </c>
      <c r="R264" s="625">
        <f>Exposition!G265</f>
        <v>0</v>
      </c>
      <c r="S264" s="625">
        <f>Exposition!H265</f>
        <v>0</v>
      </c>
      <c r="T264" s="625">
        <f>Exposition!I265</f>
        <v>0</v>
      </c>
      <c r="U264" s="625">
        <f>Exposition!J265</f>
        <v>-0.00000009770679788</v>
      </c>
      <c r="V264" s="625">
        <f>Exposition!K265</f>
        <v>0</v>
      </c>
      <c r="W264" s="625">
        <f>Exposition!L265</f>
        <v>0</v>
      </c>
      <c r="X264" s="625">
        <f>Exposition!M265</f>
        <v>0</v>
      </c>
      <c r="Y264" s="625">
        <f>Exposition!N265</f>
        <v>0</v>
      </c>
      <c r="Z264" s="625">
        <f>Exposition!O265</f>
        <v>0</v>
      </c>
      <c r="AA264" s="625">
        <f>Exposition!P265</f>
        <v>0.00000004176432668</v>
      </c>
      <c r="AB264" s="625">
        <f>Exposition!Q265</f>
        <v>0.0000000002705048895</v>
      </c>
      <c r="AC264" s="625">
        <f>Exposition!R265</f>
        <v>0</v>
      </c>
      <c r="AD264" s="625">
        <f>Exposition!S265</f>
        <v>0</v>
      </c>
      <c r="AE264" s="625">
        <f>Exposition!T265</f>
        <v>0</v>
      </c>
      <c r="AF264" s="625">
        <f>Exposition!U265</f>
        <v>0.2436063067</v>
      </c>
      <c r="AG264" s="623"/>
      <c r="AH264" s="621">
        <f>PRIX!A265</f>
        <v>46063</v>
      </c>
      <c r="AI264" s="635">
        <f>PRIX!B265</f>
        <v>66000</v>
      </c>
      <c r="AJ264" s="635">
        <f>PRIX!C265</f>
        <v>1900</v>
      </c>
      <c r="AK264" s="635">
        <f>PRIX!D265</f>
        <v>1.3</v>
      </c>
      <c r="AL264" s="635">
        <f>PRIX!E265</f>
        <v>80</v>
      </c>
      <c r="AM264" s="635">
        <f>PRIX!F265</f>
        <v>145</v>
      </c>
      <c r="AN264" s="635">
        <f>PRIX!G265</f>
        <v>0.096</v>
      </c>
      <c r="AO264" s="635">
        <f>PRIX!H265</f>
        <v>8.25</v>
      </c>
      <c r="AP264" s="635">
        <f>PRIX!I265</f>
        <v>0.09005</v>
      </c>
      <c r="AQ264" s="635">
        <f>PRIX!J265</f>
        <v>0.0000058</v>
      </c>
      <c r="AR264" s="635">
        <f>PRIX!K265</f>
        <v>1.275</v>
      </c>
      <c r="AS264" s="635">
        <f>PRIX!L265</f>
        <v>0.135</v>
      </c>
      <c r="AT264" s="635">
        <f>PRIX!M265</f>
        <v>105</v>
      </c>
      <c r="AU264" s="635">
        <f>PRIX!N265</f>
        <v>0.00155</v>
      </c>
      <c r="AV264" s="635">
        <f>PRIX!O265</f>
        <v>1.1</v>
      </c>
      <c r="AW264" s="635">
        <f>PRIX!P265</f>
        <v>0.00036</v>
      </c>
      <c r="AX264" s="635">
        <f>PRIX!Q265</f>
        <v>0.0000035</v>
      </c>
      <c r="AY264" s="635">
        <f>PRIX!R265</f>
        <v>0.2</v>
      </c>
      <c r="AZ264" s="635">
        <f>PRIX!S265</f>
        <v>0.55</v>
      </c>
      <c r="BA264" s="623"/>
    </row>
    <row r="265">
      <c r="A265" s="621">
        <f>ARBITRAGES!E266</f>
        <v>46064</v>
      </c>
      <c r="B265" s="623" t="str">
        <f>IF(A265="","",IF(ARBITRAGES!F266="Invest","Achat","Vente"))</f>
        <v>Vente</v>
      </c>
      <c r="C265" s="623" t="str">
        <f>ARBITRAGES!H266</f>
        <v>DOGE</v>
      </c>
      <c r="D265" s="624">
        <f>ARBITRAGES!I266</f>
        <v>0.09015</v>
      </c>
      <c r="E265" s="624">
        <f>ARBITRAGES!J266</f>
        <v>200.333333</v>
      </c>
      <c r="F265" s="623"/>
      <c r="G265" s="623" t="str">
        <f>'PV (%)'!B267</f>
        <v/>
      </c>
      <c r="H265" s="624" t="str">
        <f>'PV (%)'!E267</f>
        <v/>
      </c>
      <c r="I265" s="624" t="str">
        <f>'PV (%)'!F267</f>
        <v/>
      </c>
      <c r="J265" s="623" t="str">
        <f>'PV (%)'!G267</f>
        <v/>
      </c>
      <c r="K265" s="623"/>
      <c r="L265" s="621">
        <f>Exposition!A266</f>
        <v>46065</v>
      </c>
      <c r="M265" s="625">
        <f>Exposition!B266</f>
        <v>0.7495763828</v>
      </c>
      <c r="N265" s="625">
        <f>Exposition!C266</f>
        <v>0.6437923857</v>
      </c>
      <c r="O265" s="625">
        <f>Exposition!D266</f>
        <v>0.1057840075</v>
      </c>
      <c r="P265" s="625">
        <f>Exposition!E266</f>
        <v>0.00000005161379279</v>
      </c>
      <c r="Q265" s="625">
        <f>Exposition!F266</f>
        <v>0</v>
      </c>
      <c r="R265" s="625">
        <f>Exposition!G266</f>
        <v>0</v>
      </c>
      <c r="S265" s="625">
        <f>Exposition!H266</f>
        <v>0</v>
      </c>
      <c r="T265" s="625">
        <f>Exposition!I266</f>
        <v>0</v>
      </c>
      <c r="U265" s="625">
        <f>Exposition!J266</f>
        <v>-0.0000001075560856</v>
      </c>
      <c r="V265" s="625">
        <f>Exposition!K266</f>
        <v>0</v>
      </c>
      <c r="W265" s="625">
        <f>Exposition!L266</f>
        <v>0</v>
      </c>
      <c r="X265" s="625">
        <f>Exposition!M266</f>
        <v>0</v>
      </c>
      <c r="Y265" s="625">
        <f>Exposition!N266</f>
        <v>0</v>
      </c>
      <c r="Z265" s="625">
        <f>Exposition!O266</f>
        <v>0</v>
      </c>
      <c r="AA265" s="625">
        <f>Exposition!P266</f>
        <v>0.00000004520874816</v>
      </c>
      <c r="AB265" s="625">
        <f>Exposition!Q266</f>
        <v>0.0000000003206044239</v>
      </c>
      <c r="AC265" s="625">
        <f>Exposition!R266</f>
        <v>0</v>
      </c>
      <c r="AD265" s="625">
        <f>Exposition!S266</f>
        <v>0</v>
      </c>
      <c r="AE265" s="625">
        <f>Exposition!T266</f>
        <v>0</v>
      </c>
      <c r="AF265" s="625">
        <f>Exposition!U266</f>
        <v>0.2504236172</v>
      </c>
      <c r="AG265" s="623"/>
      <c r="AH265" s="621">
        <f>PRIX!A266</f>
        <v>46064</v>
      </c>
      <c r="AI265" s="635">
        <f>PRIX!B266</f>
        <v>66700</v>
      </c>
      <c r="AJ265" s="635">
        <f>PRIX!C266</f>
        <v>1950</v>
      </c>
      <c r="AK265" s="635">
        <f>PRIX!D266</f>
        <v>1.3</v>
      </c>
      <c r="AL265" s="635">
        <f>PRIX!E266</f>
        <v>80</v>
      </c>
      <c r="AM265" s="635">
        <f>PRIX!F266</f>
        <v>145</v>
      </c>
      <c r="AN265" s="635">
        <f>PRIX!G266</f>
        <v>0.096</v>
      </c>
      <c r="AO265" s="635">
        <f>PRIX!H266</f>
        <v>8.25</v>
      </c>
      <c r="AP265" s="635">
        <f>PRIX!I266</f>
        <v>0.09005</v>
      </c>
      <c r="AQ265" s="635">
        <f>PRIX!J266</f>
        <v>0.0000058</v>
      </c>
      <c r="AR265" s="635">
        <f>PRIX!K266</f>
        <v>1.275</v>
      </c>
      <c r="AS265" s="635">
        <f>PRIX!L266</f>
        <v>0.135</v>
      </c>
      <c r="AT265" s="635">
        <f>PRIX!M266</f>
        <v>105</v>
      </c>
      <c r="AU265" s="635">
        <f>PRIX!N266</f>
        <v>0.00155</v>
      </c>
      <c r="AV265" s="635">
        <f>PRIX!O266</f>
        <v>1.1</v>
      </c>
      <c r="AW265" s="635">
        <f>PRIX!P266</f>
        <v>0.00036</v>
      </c>
      <c r="AX265" s="635">
        <f>PRIX!Q266</f>
        <v>0.0000035</v>
      </c>
      <c r="AY265" s="635">
        <f>PRIX!R266</f>
        <v>0.2</v>
      </c>
      <c r="AZ265" s="635">
        <f>PRIX!S266</f>
        <v>0.55</v>
      </c>
      <c r="BA265" s="623"/>
    </row>
    <row r="266">
      <c r="A266" s="621">
        <f>ARBITRAGES!E267</f>
        <v>46065</v>
      </c>
      <c r="B266" s="623" t="str">
        <f>IF(A266="","",IF(ARBITRAGES!F267="Invest","Achat","Vente"))</f>
        <v>Vente</v>
      </c>
      <c r="C266" s="623" t="str">
        <f>ARBITRAGES!H267</f>
        <v>BTC</v>
      </c>
      <c r="D266" s="624">
        <f>ARBITRAGES!I267</f>
        <v>67500</v>
      </c>
      <c r="E266" s="624">
        <f>ARBITRAGES!J267</f>
        <v>337.5</v>
      </c>
      <c r="F266" s="623"/>
      <c r="G266" s="623" t="str">
        <f>'PV (%)'!B268</f>
        <v/>
      </c>
      <c r="H266" s="624" t="str">
        <f>'PV (%)'!E268</f>
        <v/>
      </c>
      <c r="I266" s="624" t="str">
        <f>'PV (%)'!F268</f>
        <v/>
      </c>
      <c r="J266" s="623" t="str">
        <f>'PV (%)'!G268</f>
        <v/>
      </c>
      <c r="K266" s="623"/>
      <c r="L266" s="621">
        <f>Exposition!A267</f>
        <v>46066</v>
      </c>
      <c r="M266" s="625">
        <f>Exposition!B267</f>
        <v>0.7338476644</v>
      </c>
      <c r="N266" s="625">
        <f>Exposition!C267</f>
        <v>0.643236652</v>
      </c>
      <c r="O266" s="625">
        <f>Exposition!D267</f>
        <v>0.09061102285</v>
      </c>
      <c r="P266" s="625">
        <f>Exposition!E267</f>
        <v>0.00000005156923879</v>
      </c>
      <c r="Q266" s="625">
        <f>Exposition!F267</f>
        <v>0</v>
      </c>
      <c r="R266" s="625">
        <f>Exposition!G267</f>
        <v>0</v>
      </c>
      <c r="S266" s="625">
        <f>Exposition!H267</f>
        <v>0</v>
      </c>
      <c r="T266" s="625">
        <f>Exposition!I267</f>
        <v>0</v>
      </c>
      <c r="U266" s="625">
        <f>Exposition!J267</f>
        <v>-0.0000001074632411</v>
      </c>
      <c r="V266" s="625">
        <f>Exposition!K267</f>
        <v>0</v>
      </c>
      <c r="W266" s="625">
        <f>Exposition!L267</f>
        <v>0</v>
      </c>
      <c r="X266" s="625">
        <f>Exposition!M267</f>
        <v>0</v>
      </c>
      <c r="Y266" s="625">
        <f>Exposition!N267</f>
        <v>0</v>
      </c>
      <c r="Z266" s="625">
        <f>Exposition!O267</f>
        <v>0</v>
      </c>
      <c r="AA266" s="625">
        <f>Exposition!P267</f>
        <v>0.00000004516972311</v>
      </c>
      <c r="AB266" s="625">
        <f>Exposition!Q267</f>
        <v>0.0000000003203276721</v>
      </c>
      <c r="AC266" s="625">
        <f>Exposition!R267</f>
        <v>0</v>
      </c>
      <c r="AD266" s="625">
        <f>Exposition!S267</f>
        <v>0</v>
      </c>
      <c r="AE266" s="625">
        <f>Exposition!T267</f>
        <v>0</v>
      </c>
      <c r="AF266" s="625">
        <f>Exposition!U267</f>
        <v>0.2661523356</v>
      </c>
      <c r="AG266" s="623"/>
      <c r="AH266" s="621">
        <f>PRIX!A267</f>
        <v>46065</v>
      </c>
      <c r="AI266" s="635">
        <f>PRIX!B267</f>
        <v>67500</v>
      </c>
      <c r="AJ266" s="635">
        <f>PRIX!C267</f>
        <v>1950</v>
      </c>
      <c r="AK266" s="635">
        <f>PRIX!D267</f>
        <v>1.44</v>
      </c>
      <c r="AL266" s="635">
        <f>PRIX!E267</f>
        <v>83</v>
      </c>
      <c r="AM266" s="635">
        <f>PRIX!F267</f>
        <v>190</v>
      </c>
      <c r="AN266" s="635">
        <f>PRIX!G267</f>
        <v>0.096</v>
      </c>
      <c r="AO266" s="635">
        <f>PRIX!H267</f>
        <v>8.7</v>
      </c>
      <c r="AP266" s="635">
        <f>PRIX!I267</f>
        <v>0.0999</v>
      </c>
      <c r="AQ266" s="635">
        <f>PRIX!J267</f>
        <v>0.0000065</v>
      </c>
      <c r="AR266" s="635">
        <f>PRIX!K267</f>
        <v>1.3</v>
      </c>
      <c r="AS266" s="635">
        <f>PRIX!L267</f>
        <v>0.157</v>
      </c>
      <c r="AT266" s="635">
        <f>PRIX!M267</f>
        <v>125</v>
      </c>
      <c r="AU266" s="635">
        <f>PRIX!N267</f>
        <v>0.00165</v>
      </c>
      <c r="AV266" s="635">
        <f>PRIX!O267</f>
        <v>1.2</v>
      </c>
      <c r="AW266" s="635">
        <f>PRIX!P267</f>
        <v>0.00043</v>
      </c>
      <c r="AX266" s="635">
        <f>PRIX!Q267</f>
        <v>0.0000044</v>
      </c>
      <c r="AY266" s="635">
        <f>PRIX!R267</f>
        <v>0.23</v>
      </c>
      <c r="AZ266" s="635">
        <f>PRIX!S267</f>
        <v>0.6</v>
      </c>
      <c r="BA266" s="623"/>
    </row>
    <row r="267">
      <c r="A267" s="621">
        <f>ARBITRAGES!E268</f>
        <v>46066</v>
      </c>
      <c r="B267" s="623" t="str">
        <f>IF(A267="","",IF(ARBITRAGES!F268="Invest","Achat","Vente"))</f>
        <v>Vente</v>
      </c>
      <c r="C267" s="623" t="str">
        <f>ARBITRAGES!H268</f>
        <v>ETH</v>
      </c>
      <c r="D267" s="624">
        <f>ARBITRAGES!I268</f>
        <v>1995</v>
      </c>
      <c r="E267" s="624">
        <f>ARBITRAGES!J268</f>
        <v>599.0021546</v>
      </c>
      <c r="F267" s="623"/>
      <c r="G267" s="623" t="str">
        <f>'PV (%)'!B269</f>
        <v/>
      </c>
      <c r="H267" s="624" t="str">
        <f>'PV (%)'!E269</f>
        <v/>
      </c>
      <c r="I267" s="624" t="str">
        <f>'PV (%)'!F269</f>
        <v/>
      </c>
      <c r="J267" s="623" t="str">
        <f>'PV (%)'!G269</f>
        <v/>
      </c>
      <c r="K267" s="623"/>
      <c r="L267" s="621" t="str">
        <f>Exposition!A268</f>
        <v/>
      </c>
      <c r="M267" s="625" t="str">
        <f>Exposition!B268</f>
        <v/>
      </c>
      <c r="N267" s="625" t="str">
        <f>Exposition!C268</f>
        <v/>
      </c>
      <c r="O267" s="625" t="str">
        <f>Exposition!D268</f>
        <v/>
      </c>
      <c r="P267" s="625" t="str">
        <f>Exposition!E268</f>
        <v/>
      </c>
      <c r="Q267" s="625" t="str">
        <f>Exposition!F268</f>
        <v/>
      </c>
      <c r="R267" s="625" t="str">
        <f>Exposition!G268</f>
        <v/>
      </c>
      <c r="S267" s="625" t="str">
        <f>Exposition!H268</f>
        <v/>
      </c>
      <c r="T267" s="625" t="str">
        <f>Exposition!I268</f>
        <v/>
      </c>
      <c r="U267" s="625" t="str">
        <f>Exposition!J268</f>
        <v/>
      </c>
      <c r="V267" s="625" t="str">
        <f>Exposition!K268</f>
        <v/>
      </c>
      <c r="W267" s="625" t="str">
        <f>Exposition!L268</f>
        <v/>
      </c>
      <c r="X267" s="625" t="str">
        <f>Exposition!M268</f>
        <v/>
      </c>
      <c r="Y267" s="625" t="str">
        <f>Exposition!N268</f>
        <v/>
      </c>
      <c r="Z267" s="625" t="str">
        <f>Exposition!O268</f>
        <v/>
      </c>
      <c r="AA267" s="625" t="str">
        <f>Exposition!P268</f>
        <v/>
      </c>
      <c r="AB267" s="625" t="str">
        <f>Exposition!Q268</f>
        <v/>
      </c>
      <c r="AC267" s="625" t="str">
        <f>Exposition!R268</f>
        <v/>
      </c>
      <c r="AD267" s="625" t="str">
        <f>Exposition!S268</f>
        <v/>
      </c>
      <c r="AE267" s="625" t="str">
        <f>Exposition!T268</f>
        <v/>
      </c>
      <c r="AF267" s="625" t="str">
        <f>Exposition!U268</f>
        <v/>
      </c>
      <c r="AG267" s="623"/>
      <c r="AH267" s="621">
        <f>PRIX!A268</f>
        <v>46066</v>
      </c>
      <c r="AI267" s="635">
        <f>PRIX!B268</f>
        <v>67500</v>
      </c>
      <c r="AJ267" s="635">
        <f>PRIX!C268</f>
        <v>1950</v>
      </c>
      <c r="AK267" s="635">
        <f>PRIX!D268</f>
        <v>1.44</v>
      </c>
      <c r="AL267" s="635">
        <f>PRIX!E268</f>
        <v>83</v>
      </c>
      <c r="AM267" s="635">
        <f>PRIX!F268</f>
        <v>190</v>
      </c>
      <c r="AN267" s="635">
        <f>PRIX!G268</f>
        <v>0.096</v>
      </c>
      <c r="AO267" s="635">
        <f>PRIX!H268</f>
        <v>8.7</v>
      </c>
      <c r="AP267" s="635">
        <f>PRIX!I268</f>
        <v>0.0999</v>
      </c>
      <c r="AQ267" s="635">
        <f>PRIX!J268</f>
        <v>0.0000065</v>
      </c>
      <c r="AR267" s="635">
        <f>PRIX!K268</f>
        <v>1.3</v>
      </c>
      <c r="AS267" s="635">
        <f>PRIX!L268</f>
        <v>0.157</v>
      </c>
      <c r="AT267" s="635">
        <f>PRIX!M268</f>
        <v>125</v>
      </c>
      <c r="AU267" s="635">
        <f>PRIX!N268</f>
        <v>0.00165</v>
      </c>
      <c r="AV267" s="635">
        <f>PRIX!O268</f>
        <v>1.2</v>
      </c>
      <c r="AW267" s="635">
        <f>PRIX!P268</f>
        <v>0.00043</v>
      </c>
      <c r="AX267" s="635">
        <f>PRIX!Q268</f>
        <v>0.0000044</v>
      </c>
      <c r="AY267" s="635">
        <f>PRIX!R268</f>
        <v>0.23</v>
      </c>
      <c r="AZ267" s="635">
        <f>PRIX!S268</f>
        <v>0.6</v>
      </c>
      <c r="BA267" s="623"/>
    </row>
    <row r="268">
      <c r="A268" s="621" t="str">
        <f>ARBITRAGES!E269</f>
        <v/>
      </c>
      <c r="B268" s="623" t="str">
        <f>IF(A268="","",IF(ARBITRAGES!F269="Invest","Achat","Vente"))</f>
        <v/>
      </c>
      <c r="C268" s="623" t="str">
        <f>ARBITRAGES!H269</f>
        <v/>
      </c>
      <c r="D268" s="624" t="str">
        <f>ARBITRAGES!I269</f>
        <v/>
      </c>
      <c r="E268" s="624" t="str">
        <f>ARBITRAGES!J269</f>
        <v/>
      </c>
      <c r="F268" s="623"/>
      <c r="G268" s="623" t="str">
        <f>'PV (%)'!B270</f>
        <v/>
      </c>
      <c r="H268" s="624" t="str">
        <f>'PV (%)'!E270</f>
        <v/>
      </c>
      <c r="I268" s="624" t="str">
        <f>'PV (%)'!F270</f>
        <v/>
      </c>
      <c r="J268" s="623" t="str">
        <f>'PV (%)'!G270</f>
        <v/>
      </c>
      <c r="K268" s="623"/>
      <c r="L268" s="621" t="str">
        <f>Exposition!A269</f>
        <v/>
      </c>
      <c r="M268" s="625" t="str">
        <f>Exposition!B269</f>
        <v/>
      </c>
      <c r="N268" s="625" t="str">
        <f>Exposition!C269</f>
        <v/>
      </c>
      <c r="O268" s="625" t="str">
        <f>Exposition!D269</f>
        <v/>
      </c>
      <c r="P268" s="625" t="str">
        <f>Exposition!E269</f>
        <v/>
      </c>
      <c r="Q268" s="625" t="str">
        <f>Exposition!F269</f>
        <v/>
      </c>
      <c r="R268" s="625" t="str">
        <f>Exposition!G269</f>
        <v/>
      </c>
      <c r="S268" s="625" t="str">
        <f>Exposition!H269</f>
        <v/>
      </c>
      <c r="T268" s="625" t="str">
        <f>Exposition!I269</f>
        <v/>
      </c>
      <c r="U268" s="625" t="str">
        <f>Exposition!J269</f>
        <v/>
      </c>
      <c r="V268" s="625" t="str">
        <f>Exposition!K269</f>
        <v/>
      </c>
      <c r="W268" s="625" t="str">
        <f>Exposition!L269</f>
        <v/>
      </c>
      <c r="X268" s="625" t="str">
        <f>Exposition!M269</f>
        <v/>
      </c>
      <c r="Y268" s="625" t="str">
        <f>Exposition!N269</f>
        <v/>
      </c>
      <c r="Z268" s="625" t="str">
        <f>Exposition!O269</f>
        <v/>
      </c>
      <c r="AA268" s="625" t="str">
        <f>Exposition!P269</f>
        <v/>
      </c>
      <c r="AB268" s="625" t="str">
        <f>Exposition!Q269</f>
        <v/>
      </c>
      <c r="AC268" s="625" t="str">
        <f>Exposition!R269</f>
        <v/>
      </c>
      <c r="AD268" s="625" t="str">
        <f>Exposition!S269</f>
        <v/>
      </c>
      <c r="AE268" s="625" t="str">
        <f>Exposition!T269</f>
        <v/>
      </c>
      <c r="AF268" s="625" t="str">
        <f>Exposition!U269</f>
        <v/>
      </c>
      <c r="AG268" s="623"/>
      <c r="AH268" s="621" t="str">
        <f>PRIX!A269</f>
        <v/>
      </c>
      <c r="AI268" s="626" t="str">
        <f>PRIX!B269</f>
        <v/>
      </c>
      <c r="AJ268" s="626" t="str">
        <f>PRIX!C269</f>
        <v/>
      </c>
      <c r="AK268" s="627" t="str">
        <f>PRIX!D269</f>
        <v/>
      </c>
      <c r="AL268" s="626" t="str">
        <f>PRIX!E269</f>
        <v/>
      </c>
      <c r="AM268" s="626" t="str">
        <f>PRIX!F269</f>
        <v/>
      </c>
      <c r="AN268" s="627" t="str">
        <f>PRIX!G269</f>
        <v/>
      </c>
      <c r="AO268" s="627" t="str">
        <f>PRIX!H269</f>
        <v/>
      </c>
      <c r="AP268" s="631" t="str">
        <f>PRIX!I269</f>
        <v/>
      </c>
      <c r="AQ268" s="628" t="str">
        <f>PRIX!J269</f>
        <v/>
      </c>
      <c r="AR268" s="631" t="str">
        <f>PRIX!K269</f>
        <v/>
      </c>
      <c r="AS268" s="631" t="str">
        <f>PRIX!L269</f>
        <v/>
      </c>
      <c r="AT268" s="631" t="str">
        <f>PRIX!M269</f>
        <v/>
      </c>
      <c r="AU268" s="629" t="str">
        <f>PRIX!N269</f>
        <v/>
      </c>
      <c r="AV268" s="631" t="str">
        <f>PRIX!O269</f>
        <v/>
      </c>
      <c r="AW268" s="631" t="str">
        <f>PRIX!P269</f>
        <v/>
      </c>
      <c r="AX268" s="630" t="str">
        <f>PRIX!Q269</f>
        <v/>
      </c>
      <c r="AY268" s="631" t="str">
        <f>PRIX!R269</f>
        <v/>
      </c>
      <c r="AZ268" s="631" t="str">
        <f>PRIX!S269</f>
        <v/>
      </c>
      <c r="BA268" s="623"/>
    </row>
    <row r="269">
      <c r="A269" s="621" t="str">
        <f>ARBITRAGES!E270</f>
        <v/>
      </c>
      <c r="B269" s="623" t="str">
        <f>IF(A269="","",IF(ARBITRAGES!F270="Invest","Achat","Vente"))</f>
        <v/>
      </c>
      <c r="C269" s="623" t="str">
        <f>ARBITRAGES!H270</f>
        <v/>
      </c>
      <c r="D269" s="624" t="str">
        <f>ARBITRAGES!I270</f>
        <v/>
      </c>
      <c r="E269" s="624" t="str">
        <f>ARBITRAGES!J270</f>
        <v/>
      </c>
      <c r="F269" s="623"/>
      <c r="G269" s="623" t="str">
        <f>'PV (%)'!B271</f>
        <v/>
      </c>
      <c r="H269" s="624" t="str">
        <f>'PV (%)'!E271</f>
        <v/>
      </c>
      <c r="I269" s="624" t="str">
        <f>'PV (%)'!F271</f>
        <v/>
      </c>
      <c r="J269" s="623" t="str">
        <f>'PV (%)'!G271</f>
        <v/>
      </c>
      <c r="K269" s="623"/>
      <c r="L269" s="621" t="str">
        <f>Exposition!A270</f>
        <v/>
      </c>
      <c r="M269" s="625" t="str">
        <f>Exposition!B270</f>
        <v/>
      </c>
      <c r="N269" s="625" t="str">
        <f>Exposition!C270</f>
        <v/>
      </c>
      <c r="O269" s="625" t="str">
        <f>Exposition!D270</f>
        <v/>
      </c>
      <c r="P269" s="625" t="str">
        <f>Exposition!E270</f>
        <v/>
      </c>
      <c r="Q269" s="625" t="str">
        <f>Exposition!F270</f>
        <v/>
      </c>
      <c r="R269" s="625" t="str">
        <f>Exposition!G270</f>
        <v/>
      </c>
      <c r="S269" s="625" t="str">
        <f>Exposition!H270</f>
        <v/>
      </c>
      <c r="T269" s="625" t="str">
        <f>Exposition!I270</f>
        <v/>
      </c>
      <c r="U269" s="625" t="str">
        <f>Exposition!J270</f>
        <v/>
      </c>
      <c r="V269" s="625" t="str">
        <f>Exposition!K270</f>
        <v/>
      </c>
      <c r="W269" s="625" t="str">
        <f>Exposition!L270</f>
        <v/>
      </c>
      <c r="X269" s="625" t="str">
        <f>Exposition!M270</f>
        <v/>
      </c>
      <c r="Y269" s="625" t="str">
        <f>Exposition!N270</f>
        <v/>
      </c>
      <c r="Z269" s="625" t="str">
        <f>Exposition!O270</f>
        <v/>
      </c>
      <c r="AA269" s="625" t="str">
        <f>Exposition!P270</f>
        <v/>
      </c>
      <c r="AB269" s="625" t="str">
        <f>Exposition!Q270</f>
        <v/>
      </c>
      <c r="AC269" s="625" t="str">
        <f>Exposition!R270</f>
        <v/>
      </c>
      <c r="AD269" s="625" t="str">
        <f>Exposition!S270</f>
        <v/>
      </c>
      <c r="AE269" s="625" t="str">
        <f>Exposition!T270</f>
        <v/>
      </c>
      <c r="AF269" s="625" t="str">
        <f>Exposition!U270</f>
        <v/>
      </c>
      <c r="AG269" s="623"/>
      <c r="AH269" s="621" t="str">
        <f>PRIX!A270</f>
        <v/>
      </c>
      <c r="AI269" s="626" t="str">
        <f>PRIX!B270</f>
        <v/>
      </c>
      <c r="AJ269" s="626" t="str">
        <f>PRIX!C270</f>
        <v/>
      </c>
      <c r="AK269" s="627" t="str">
        <f>PRIX!D270</f>
        <v/>
      </c>
      <c r="AL269" s="626" t="str">
        <f>PRIX!E270</f>
        <v/>
      </c>
      <c r="AM269" s="626" t="str">
        <f>PRIX!F270</f>
        <v/>
      </c>
      <c r="AN269" s="627" t="str">
        <f>PRIX!G270</f>
        <v/>
      </c>
      <c r="AO269" s="627" t="str">
        <f>PRIX!H270</f>
        <v/>
      </c>
      <c r="AP269" s="631" t="str">
        <f>PRIX!I270</f>
        <v/>
      </c>
      <c r="AQ269" s="628" t="str">
        <f>PRIX!J270</f>
        <v/>
      </c>
      <c r="AR269" s="631" t="str">
        <f>PRIX!K270</f>
        <v/>
      </c>
      <c r="AS269" s="631" t="str">
        <f>PRIX!L270</f>
        <v/>
      </c>
      <c r="AT269" s="631" t="str">
        <f>PRIX!M270</f>
        <v/>
      </c>
      <c r="AU269" s="629" t="str">
        <f>PRIX!N270</f>
        <v/>
      </c>
      <c r="AV269" s="631" t="str">
        <f>PRIX!O270</f>
        <v/>
      </c>
      <c r="AW269" s="631" t="str">
        <f>PRIX!P270</f>
        <v/>
      </c>
      <c r="AX269" s="630" t="str">
        <f>PRIX!Q270</f>
        <v/>
      </c>
      <c r="AY269" s="631" t="str">
        <f>PRIX!R270</f>
        <v/>
      </c>
      <c r="AZ269" s="631" t="str">
        <f>PRIX!S270</f>
        <v/>
      </c>
      <c r="BA269" s="623"/>
    </row>
    <row r="270">
      <c r="A270" s="621" t="str">
        <f>ARBITRAGES!E271</f>
        <v/>
      </c>
      <c r="B270" s="623" t="str">
        <f>IF(A270="","",IF(ARBITRAGES!F271="Invest","Achat","Vente"))</f>
        <v/>
      </c>
      <c r="C270" s="623" t="str">
        <f>ARBITRAGES!H271</f>
        <v/>
      </c>
      <c r="D270" s="624" t="str">
        <f>ARBITRAGES!I271</f>
        <v/>
      </c>
      <c r="E270" s="624" t="str">
        <f>ARBITRAGES!J271</f>
        <v/>
      </c>
      <c r="F270" s="623"/>
      <c r="G270" s="623" t="str">
        <f>'PV (%)'!B272</f>
        <v/>
      </c>
      <c r="H270" s="624" t="str">
        <f>'PV (%)'!E272</f>
        <v/>
      </c>
      <c r="I270" s="624" t="str">
        <f>'PV (%)'!F272</f>
        <v/>
      </c>
      <c r="J270" s="623" t="str">
        <f>'PV (%)'!G272</f>
        <v/>
      </c>
      <c r="K270" s="623"/>
      <c r="L270" s="621" t="str">
        <f>Exposition!A271</f>
        <v/>
      </c>
      <c r="M270" s="625" t="str">
        <f>Exposition!B271</f>
        <v/>
      </c>
      <c r="N270" s="625" t="str">
        <f>Exposition!C271</f>
        <v/>
      </c>
      <c r="O270" s="625" t="str">
        <f>Exposition!D271</f>
        <v/>
      </c>
      <c r="P270" s="625" t="str">
        <f>Exposition!E271</f>
        <v/>
      </c>
      <c r="Q270" s="625" t="str">
        <f>Exposition!F271</f>
        <v/>
      </c>
      <c r="R270" s="625" t="str">
        <f>Exposition!G271</f>
        <v/>
      </c>
      <c r="S270" s="625" t="str">
        <f>Exposition!H271</f>
        <v/>
      </c>
      <c r="T270" s="625" t="str">
        <f>Exposition!I271</f>
        <v/>
      </c>
      <c r="U270" s="625" t="str">
        <f>Exposition!J271</f>
        <v/>
      </c>
      <c r="V270" s="625" t="str">
        <f>Exposition!K271</f>
        <v/>
      </c>
      <c r="W270" s="625" t="str">
        <f>Exposition!L271</f>
        <v/>
      </c>
      <c r="X270" s="625" t="str">
        <f>Exposition!M271</f>
        <v/>
      </c>
      <c r="Y270" s="625" t="str">
        <f>Exposition!N271</f>
        <v/>
      </c>
      <c r="Z270" s="625" t="str">
        <f>Exposition!O271</f>
        <v/>
      </c>
      <c r="AA270" s="625" t="str">
        <f>Exposition!P271</f>
        <v/>
      </c>
      <c r="AB270" s="625" t="str">
        <f>Exposition!Q271</f>
        <v/>
      </c>
      <c r="AC270" s="625" t="str">
        <f>Exposition!R271</f>
        <v/>
      </c>
      <c r="AD270" s="625" t="str">
        <f>Exposition!S271</f>
        <v/>
      </c>
      <c r="AE270" s="625" t="str">
        <f>Exposition!T271</f>
        <v/>
      </c>
      <c r="AF270" s="625" t="str">
        <f>Exposition!U271</f>
        <v/>
      </c>
      <c r="AG270" s="623"/>
      <c r="AH270" s="621" t="str">
        <f>PRIX!A271</f>
        <v/>
      </c>
      <c r="AI270" s="626" t="str">
        <f>PRIX!B271</f>
        <v/>
      </c>
      <c r="AJ270" s="626" t="str">
        <f>PRIX!C271</f>
        <v/>
      </c>
      <c r="AK270" s="627" t="str">
        <f>PRIX!D271</f>
        <v/>
      </c>
      <c r="AL270" s="626" t="str">
        <f>PRIX!E271</f>
        <v/>
      </c>
      <c r="AM270" s="626" t="str">
        <f>PRIX!F271</f>
        <v/>
      </c>
      <c r="AN270" s="627" t="str">
        <f>PRIX!G271</f>
        <v/>
      </c>
      <c r="AO270" s="627" t="str">
        <f>PRIX!H271</f>
        <v/>
      </c>
      <c r="AP270" s="631" t="str">
        <f>PRIX!I271</f>
        <v/>
      </c>
      <c r="AQ270" s="628" t="str">
        <f>PRIX!J271</f>
        <v/>
      </c>
      <c r="AR270" s="631" t="str">
        <f>PRIX!K271</f>
        <v/>
      </c>
      <c r="AS270" s="631" t="str">
        <f>PRIX!L271</f>
        <v/>
      </c>
      <c r="AT270" s="631" t="str">
        <f>PRIX!M271</f>
        <v/>
      </c>
      <c r="AU270" s="629" t="str">
        <f>PRIX!N271</f>
        <v/>
      </c>
      <c r="AV270" s="631" t="str">
        <f>PRIX!O271</f>
        <v/>
      </c>
      <c r="AW270" s="631" t="str">
        <f>PRIX!P271</f>
        <v/>
      </c>
      <c r="AX270" s="630" t="str">
        <f>PRIX!Q271</f>
        <v/>
      </c>
      <c r="AY270" s="631" t="str">
        <f>PRIX!R271</f>
        <v/>
      </c>
      <c r="AZ270" s="631" t="str">
        <f>PRIX!S271</f>
        <v/>
      </c>
      <c r="BA270" s="623"/>
    </row>
    <row r="271">
      <c r="A271" s="621" t="str">
        <f>ARBITRAGES!E272</f>
        <v/>
      </c>
      <c r="B271" s="623" t="str">
        <f>IF(A271="","",IF(ARBITRAGES!F272="Invest","Achat","Vente"))</f>
        <v/>
      </c>
      <c r="C271" s="623" t="str">
        <f>ARBITRAGES!H272</f>
        <v/>
      </c>
      <c r="D271" s="624" t="str">
        <f>ARBITRAGES!I272</f>
        <v/>
      </c>
      <c r="E271" s="624" t="str">
        <f>ARBITRAGES!J272</f>
        <v/>
      </c>
      <c r="F271" s="623"/>
      <c r="G271" s="623" t="str">
        <f>'PV (%)'!B273</f>
        <v/>
      </c>
      <c r="H271" s="624" t="str">
        <f>'PV (%)'!E273</f>
        <v/>
      </c>
      <c r="I271" s="624" t="str">
        <f>'PV (%)'!F273</f>
        <v/>
      </c>
      <c r="J271" s="623" t="str">
        <f>'PV (%)'!G273</f>
        <v/>
      </c>
      <c r="K271" s="623"/>
      <c r="L271" s="621" t="str">
        <f>Exposition!A272</f>
        <v/>
      </c>
      <c r="M271" s="625" t="str">
        <f>Exposition!B272</f>
        <v/>
      </c>
      <c r="N271" s="625" t="str">
        <f>Exposition!C272</f>
        <v/>
      </c>
      <c r="O271" s="625" t="str">
        <f>Exposition!D272</f>
        <v/>
      </c>
      <c r="P271" s="625" t="str">
        <f>Exposition!E272</f>
        <v/>
      </c>
      <c r="Q271" s="625" t="str">
        <f>Exposition!F272</f>
        <v/>
      </c>
      <c r="R271" s="625" t="str">
        <f>Exposition!G272</f>
        <v/>
      </c>
      <c r="S271" s="625" t="str">
        <f>Exposition!H272</f>
        <v/>
      </c>
      <c r="T271" s="625" t="str">
        <f>Exposition!I272</f>
        <v/>
      </c>
      <c r="U271" s="625" t="str">
        <f>Exposition!J272</f>
        <v/>
      </c>
      <c r="V271" s="625" t="str">
        <f>Exposition!K272</f>
        <v/>
      </c>
      <c r="W271" s="625" t="str">
        <f>Exposition!L272</f>
        <v/>
      </c>
      <c r="X271" s="625" t="str">
        <f>Exposition!M272</f>
        <v/>
      </c>
      <c r="Y271" s="625" t="str">
        <f>Exposition!N272</f>
        <v/>
      </c>
      <c r="Z271" s="625" t="str">
        <f>Exposition!O272</f>
        <v/>
      </c>
      <c r="AA271" s="625" t="str">
        <f>Exposition!P272</f>
        <v/>
      </c>
      <c r="AB271" s="625" t="str">
        <f>Exposition!Q272</f>
        <v/>
      </c>
      <c r="AC271" s="625" t="str">
        <f>Exposition!R272</f>
        <v/>
      </c>
      <c r="AD271" s="625" t="str">
        <f>Exposition!S272</f>
        <v/>
      </c>
      <c r="AE271" s="625" t="str">
        <f>Exposition!T272</f>
        <v/>
      </c>
      <c r="AF271" s="625" t="str">
        <f>Exposition!U272</f>
        <v/>
      </c>
      <c r="AG271" s="623"/>
      <c r="AH271" s="621" t="str">
        <f>PRIX!A272</f>
        <v/>
      </c>
      <c r="AI271" s="626" t="str">
        <f>PRIX!B272</f>
        <v/>
      </c>
      <c r="AJ271" s="626" t="str">
        <f>PRIX!C272</f>
        <v/>
      </c>
      <c r="AK271" s="627" t="str">
        <f>PRIX!D272</f>
        <v/>
      </c>
      <c r="AL271" s="626" t="str">
        <f>PRIX!E272</f>
        <v/>
      </c>
      <c r="AM271" s="626" t="str">
        <f>PRIX!F272</f>
        <v/>
      </c>
      <c r="AN271" s="627" t="str">
        <f>PRIX!G272</f>
        <v/>
      </c>
      <c r="AO271" s="627" t="str">
        <f>PRIX!H272</f>
        <v/>
      </c>
      <c r="AP271" s="631" t="str">
        <f>PRIX!I272</f>
        <v/>
      </c>
      <c r="AQ271" s="628" t="str">
        <f>PRIX!J272</f>
        <v/>
      </c>
      <c r="AR271" s="631" t="str">
        <f>PRIX!K272</f>
        <v/>
      </c>
      <c r="AS271" s="631" t="str">
        <f>PRIX!L272</f>
        <v/>
      </c>
      <c r="AT271" s="631" t="str">
        <f>PRIX!M272</f>
        <v/>
      </c>
      <c r="AU271" s="629" t="str">
        <f>PRIX!N272</f>
        <v/>
      </c>
      <c r="AV271" s="631" t="str">
        <f>PRIX!O272</f>
        <v/>
      </c>
      <c r="AW271" s="631" t="str">
        <f>PRIX!P272</f>
        <v/>
      </c>
      <c r="AX271" s="630" t="str">
        <f>PRIX!Q272</f>
        <v/>
      </c>
      <c r="AY271" s="631" t="str">
        <f>PRIX!R272</f>
        <v/>
      </c>
      <c r="AZ271" s="631" t="str">
        <f>PRIX!S272</f>
        <v/>
      </c>
      <c r="BA271" s="623"/>
    </row>
    <row r="272">
      <c r="A272" s="621" t="str">
        <f>ARBITRAGES!E273</f>
        <v/>
      </c>
      <c r="B272" s="623" t="str">
        <f>IF(A272="","",IF(ARBITRAGES!F273="Invest","Achat","Vente"))</f>
        <v/>
      </c>
      <c r="C272" s="623" t="str">
        <f>ARBITRAGES!H273</f>
        <v/>
      </c>
      <c r="D272" s="624" t="str">
        <f>ARBITRAGES!I273</f>
        <v/>
      </c>
      <c r="E272" s="624" t="str">
        <f>ARBITRAGES!J273</f>
        <v/>
      </c>
      <c r="F272" s="623"/>
      <c r="G272" s="623" t="str">
        <f>'PV (%)'!B274</f>
        <v/>
      </c>
      <c r="H272" s="624" t="str">
        <f>'PV (%)'!E274</f>
        <v/>
      </c>
      <c r="I272" s="624" t="str">
        <f>'PV (%)'!F274</f>
        <v/>
      </c>
      <c r="J272" s="623" t="str">
        <f>'PV (%)'!G274</f>
        <v/>
      </c>
      <c r="K272" s="623"/>
      <c r="L272" s="621" t="str">
        <f>Exposition!A273</f>
        <v/>
      </c>
      <c r="M272" s="625" t="str">
        <f>Exposition!B273</f>
        <v/>
      </c>
      <c r="N272" s="625" t="str">
        <f>Exposition!C273</f>
        <v/>
      </c>
      <c r="O272" s="625" t="str">
        <f>Exposition!D273</f>
        <v/>
      </c>
      <c r="P272" s="625" t="str">
        <f>Exposition!E273</f>
        <v/>
      </c>
      <c r="Q272" s="625" t="str">
        <f>Exposition!F273</f>
        <v/>
      </c>
      <c r="R272" s="625" t="str">
        <f>Exposition!G273</f>
        <v/>
      </c>
      <c r="S272" s="625" t="str">
        <f>Exposition!H273</f>
        <v/>
      </c>
      <c r="T272" s="625" t="str">
        <f>Exposition!I273</f>
        <v/>
      </c>
      <c r="U272" s="625" t="str">
        <f>Exposition!J273</f>
        <v/>
      </c>
      <c r="V272" s="625" t="str">
        <f>Exposition!K273</f>
        <v/>
      </c>
      <c r="W272" s="625" t="str">
        <f>Exposition!L273</f>
        <v/>
      </c>
      <c r="X272" s="625" t="str">
        <f>Exposition!M273</f>
        <v/>
      </c>
      <c r="Y272" s="625" t="str">
        <f>Exposition!N273</f>
        <v/>
      </c>
      <c r="Z272" s="625" t="str">
        <f>Exposition!O273</f>
        <v/>
      </c>
      <c r="AA272" s="625" t="str">
        <f>Exposition!P273</f>
        <v/>
      </c>
      <c r="AB272" s="625" t="str">
        <f>Exposition!Q273</f>
        <v/>
      </c>
      <c r="AC272" s="625" t="str">
        <f>Exposition!R273</f>
        <v/>
      </c>
      <c r="AD272" s="625" t="str">
        <f>Exposition!S273</f>
        <v/>
      </c>
      <c r="AE272" s="625" t="str">
        <f>Exposition!T273</f>
        <v/>
      </c>
      <c r="AF272" s="625" t="str">
        <f>Exposition!U273</f>
        <v/>
      </c>
      <c r="AG272" s="623"/>
      <c r="AH272" s="621" t="str">
        <f>PRIX!A273</f>
        <v/>
      </c>
      <c r="AI272" s="626" t="str">
        <f>PRIX!B273</f>
        <v/>
      </c>
      <c r="AJ272" s="626" t="str">
        <f>PRIX!C273</f>
        <v/>
      </c>
      <c r="AK272" s="627" t="str">
        <f>PRIX!D273</f>
        <v/>
      </c>
      <c r="AL272" s="626" t="str">
        <f>PRIX!E273</f>
        <v/>
      </c>
      <c r="AM272" s="626" t="str">
        <f>PRIX!F273</f>
        <v/>
      </c>
      <c r="AN272" s="627" t="str">
        <f>PRIX!G273</f>
        <v/>
      </c>
      <c r="AO272" s="627" t="str">
        <f>PRIX!H273</f>
        <v/>
      </c>
      <c r="AP272" s="631" t="str">
        <f>PRIX!I273</f>
        <v/>
      </c>
      <c r="AQ272" s="628" t="str">
        <f>PRIX!J273</f>
        <v/>
      </c>
      <c r="AR272" s="631" t="str">
        <f>PRIX!K273</f>
        <v/>
      </c>
      <c r="AS272" s="631" t="str">
        <f>PRIX!L273</f>
        <v/>
      </c>
      <c r="AT272" s="631" t="str">
        <f>PRIX!M273</f>
        <v/>
      </c>
      <c r="AU272" s="629" t="str">
        <f>PRIX!N273</f>
        <v/>
      </c>
      <c r="AV272" s="631" t="str">
        <f>PRIX!O273</f>
        <v/>
      </c>
      <c r="AW272" s="631" t="str">
        <f>PRIX!P273</f>
        <v/>
      </c>
      <c r="AX272" s="630" t="str">
        <f>PRIX!Q273</f>
        <v/>
      </c>
      <c r="AY272" s="631" t="str">
        <f>PRIX!R273</f>
        <v/>
      </c>
      <c r="AZ272" s="631" t="str">
        <f>PRIX!S273</f>
        <v/>
      </c>
      <c r="BA272" s="623"/>
    </row>
    <row r="273">
      <c r="A273" s="621" t="str">
        <f>ARBITRAGES!E274</f>
        <v/>
      </c>
      <c r="B273" s="623" t="str">
        <f>IF(A273="","",IF(ARBITRAGES!F274="Invest","Achat","Vente"))</f>
        <v/>
      </c>
      <c r="C273" s="623" t="str">
        <f>ARBITRAGES!H274</f>
        <v/>
      </c>
      <c r="D273" s="624" t="str">
        <f>ARBITRAGES!I274</f>
        <v/>
      </c>
      <c r="E273" s="624" t="str">
        <f>ARBITRAGES!J274</f>
        <v/>
      </c>
      <c r="F273" s="623"/>
      <c r="G273" s="623" t="str">
        <f>'PV (%)'!B275</f>
        <v/>
      </c>
      <c r="H273" s="624" t="str">
        <f>'PV (%)'!E275</f>
        <v/>
      </c>
      <c r="I273" s="624" t="str">
        <f>'PV (%)'!F275</f>
        <v/>
      </c>
      <c r="J273" s="623" t="str">
        <f>'PV (%)'!G275</f>
        <v/>
      </c>
      <c r="K273" s="623"/>
      <c r="L273" s="621" t="str">
        <f>Exposition!A274</f>
        <v/>
      </c>
      <c r="M273" s="625" t="str">
        <f>Exposition!B274</f>
        <v/>
      </c>
      <c r="N273" s="625" t="str">
        <f>Exposition!C274</f>
        <v/>
      </c>
      <c r="O273" s="625" t="str">
        <f>Exposition!D274</f>
        <v/>
      </c>
      <c r="P273" s="625" t="str">
        <f>Exposition!E274</f>
        <v/>
      </c>
      <c r="Q273" s="625" t="str">
        <f>Exposition!F274</f>
        <v/>
      </c>
      <c r="R273" s="625" t="str">
        <f>Exposition!G274</f>
        <v/>
      </c>
      <c r="S273" s="625" t="str">
        <f>Exposition!H274</f>
        <v/>
      </c>
      <c r="T273" s="625" t="str">
        <f>Exposition!I274</f>
        <v/>
      </c>
      <c r="U273" s="625" t="str">
        <f>Exposition!J274</f>
        <v/>
      </c>
      <c r="V273" s="625" t="str">
        <f>Exposition!K274</f>
        <v/>
      </c>
      <c r="W273" s="625" t="str">
        <f>Exposition!L274</f>
        <v/>
      </c>
      <c r="X273" s="625" t="str">
        <f>Exposition!M274</f>
        <v/>
      </c>
      <c r="Y273" s="625" t="str">
        <f>Exposition!N274</f>
        <v/>
      </c>
      <c r="Z273" s="625" t="str">
        <f>Exposition!O274</f>
        <v/>
      </c>
      <c r="AA273" s="625" t="str">
        <f>Exposition!P274</f>
        <v/>
      </c>
      <c r="AB273" s="625" t="str">
        <f>Exposition!Q274</f>
        <v/>
      </c>
      <c r="AC273" s="625" t="str">
        <f>Exposition!R274</f>
        <v/>
      </c>
      <c r="AD273" s="625" t="str">
        <f>Exposition!S274</f>
        <v/>
      </c>
      <c r="AE273" s="625" t="str">
        <f>Exposition!T274</f>
        <v/>
      </c>
      <c r="AF273" s="625" t="str">
        <f>Exposition!U274</f>
        <v/>
      </c>
      <c r="AG273" s="623"/>
      <c r="AH273" s="621" t="str">
        <f>PRIX!A274</f>
        <v/>
      </c>
      <c r="AI273" s="626" t="str">
        <f>PRIX!B274</f>
        <v/>
      </c>
      <c r="AJ273" s="626" t="str">
        <f>PRIX!C274</f>
        <v/>
      </c>
      <c r="AK273" s="627" t="str">
        <f>PRIX!D274</f>
        <v/>
      </c>
      <c r="AL273" s="626" t="str">
        <f>PRIX!E274</f>
        <v/>
      </c>
      <c r="AM273" s="626" t="str">
        <f>PRIX!F274</f>
        <v/>
      </c>
      <c r="AN273" s="627" t="str">
        <f>PRIX!G274</f>
        <v/>
      </c>
      <c r="AO273" s="627" t="str">
        <f>PRIX!H274</f>
        <v/>
      </c>
      <c r="AP273" s="631" t="str">
        <f>PRIX!I274</f>
        <v/>
      </c>
      <c r="AQ273" s="628" t="str">
        <f>PRIX!J274</f>
        <v/>
      </c>
      <c r="AR273" s="631" t="str">
        <f>PRIX!K274</f>
        <v/>
      </c>
      <c r="AS273" s="631" t="str">
        <f>PRIX!L274</f>
        <v/>
      </c>
      <c r="AT273" s="631" t="str">
        <f>PRIX!M274</f>
        <v/>
      </c>
      <c r="AU273" s="629" t="str">
        <f>PRIX!N274</f>
        <v/>
      </c>
      <c r="AV273" s="631" t="str">
        <f>PRIX!O274</f>
        <v/>
      </c>
      <c r="AW273" s="631" t="str">
        <f>PRIX!P274</f>
        <v/>
      </c>
      <c r="AX273" s="630" t="str">
        <f>PRIX!Q274</f>
        <v/>
      </c>
      <c r="AY273" s="631" t="str">
        <f>PRIX!R274</f>
        <v/>
      </c>
      <c r="AZ273" s="631" t="str">
        <f>PRIX!S274</f>
        <v/>
      </c>
      <c r="BA273" s="623"/>
    </row>
    <row r="274">
      <c r="A274" s="621" t="str">
        <f>ARBITRAGES!E275</f>
        <v/>
      </c>
      <c r="B274" s="623" t="str">
        <f>IF(A274="","",IF(ARBITRAGES!F275="Invest","Achat","Vente"))</f>
        <v/>
      </c>
      <c r="C274" s="623" t="str">
        <f>ARBITRAGES!H275</f>
        <v/>
      </c>
      <c r="D274" s="624" t="str">
        <f>ARBITRAGES!I275</f>
        <v/>
      </c>
      <c r="E274" s="624" t="str">
        <f>ARBITRAGES!J275</f>
        <v/>
      </c>
      <c r="F274" s="623"/>
      <c r="G274" s="623" t="str">
        <f>'PV (%)'!B276</f>
        <v/>
      </c>
      <c r="H274" s="624" t="str">
        <f>'PV (%)'!E276</f>
        <v/>
      </c>
      <c r="I274" s="624" t="str">
        <f>'PV (%)'!F276</f>
        <v/>
      </c>
      <c r="J274" s="623" t="str">
        <f>'PV (%)'!G276</f>
        <v/>
      </c>
      <c r="K274" s="623"/>
      <c r="L274" s="621" t="str">
        <f>Exposition!A275</f>
        <v/>
      </c>
      <c r="M274" s="625" t="str">
        <f>Exposition!B275</f>
        <v/>
      </c>
      <c r="N274" s="625" t="str">
        <f>Exposition!C275</f>
        <v/>
      </c>
      <c r="O274" s="625" t="str">
        <f>Exposition!D275</f>
        <v/>
      </c>
      <c r="P274" s="625" t="str">
        <f>Exposition!E275</f>
        <v/>
      </c>
      <c r="Q274" s="625" t="str">
        <f>Exposition!F275</f>
        <v/>
      </c>
      <c r="R274" s="625" t="str">
        <f>Exposition!G275</f>
        <v/>
      </c>
      <c r="S274" s="625" t="str">
        <f>Exposition!H275</f>
        <v/>
      </c>
      <c r="T274" s="625" t="str">
        <f>Exposition!I275</f>
        <v/>
      </c>
      <c r="U274" s="625" t="str">
        <f>Exposition!J275</f>
        <v/>
      </c>
      <c r="V274" s="625" t="str">
        <f>Exposition!K275</f>
        <v/>
      </c>
      <c r="W274" s="625" t="str">
        <f>Exposition!L275</f>
        <v/>
      </c>
      <c r="X274" s="625" t="str">
        <f>Exposition!M275</f>
        <v/>
      </c>
      <c r="Y274" s="625" t="str">
        <f>Exposition!N275</f>
        <v/>
      </c>
      <c r="Z274" s="625" t="str">
        <f>Exposition!O275</f>
        <v/>
      </c>
      <c r="AA274" s="625" t="str">
        <f>Exposition!P275</f>
        <v/>
      </c>
      <c r="AB274" s="625" t="str">
        <f>Exposition!Q275</f>
        <v/>
      </c>
      <c r="AC274" s="625" t="str">
        <f>Exposition!R275</f>
        <v/>
      </c>
      <c r="AD274" s="625" t="str">
        <f>Exposition!S275</f>
        <v/>
      </c>
      <c r="AE274" s="625" t="str">
        <f>Exposition!T275</f>
        <v/>
      </c>
      <c r="AF274" s="625" t="str">
        <f>Exposition!U275</f>
        <v/>
      </c>
      <c r="AG274" s="623"/>
      <c r="AH274" s="621" t="str">
        <f>PRIX!A275</f>
        <v/>
      </c>
      <c r="AI274" s="626" t="str">
        <f>PRIX!B275</f>
        <v/>
      </c>
      <c r="AJ274" s="626" t="str">
        <f>PRIX!C275</f>
        <v/>
      </c>
      <c r="AK274" s="627" t="str">
        <f>PRIX!D275</f>
        <v/>
      </c>
      <c r="AL274" s="626" t="str">
        <f>PRIX!E275</f>
        <v/>
      </c>
      <c r="AM274" s="626" t="str">
        <f>PRIX!F275</f>
        <v/>
      </c>
      <c r="AN274" s="627" t="str">
        <f>PRIX!G275</f>
        <v/>
      </c>
      <c r="AO274" s="627" t="str">
        <f>PRIX!H275</f>
        <v/>
      </c>
      <c r="AP274" s="631" t="str">
        <f>PRIX!I275</f>
        <v/>
      </c>
      <c r="AQ274" s="628" t="str">
        <f>PRIX!J275</f>
        <v/>
      </c>
      <c r="AR274" s="631" t="str">
        <f>PRIX!K275</f>
        <v/>
      </c>
      <c r="AS274" s="631" t="str">
        <f>PRIX!L275</f>
        <v/>
      </c>
      <c r="AT274" s="631" t="str">
        <f>PRIX!M275</f>
        <v/>
      </c>
      <c r="AU274" s="629" t="str">
        <f>PRIX!N275</f>
        <v/>
      </c>
      <c r="AV274" s="631" t="str">
        <f>PRIX!O275</f>
        <v/>
      </c>
      <c r="AW274" s="631" t="str">
        <f>PRIX!P275</f>
        <v/>
      </c>
      <c r="AX274" s="630" t="str">
        <f>PRIX!Q275</f>
        <v/>
      </c>
      <c r="AY274" s="631" t="str">
        <f>PRIX!R275</f>
        <v/>
      </c>
      <c r="AZ274" s="631" t="str">
        <f>PRIX!S275</f>
        <v/>
      </c>
      <c r="BA274" s="623"/>
    </row>
    <row r="275">
      <c r="A275" s="621" t="str">
        <f>ARBITRAGES!E276</f>
        <v/>
      </c>
      <c r="B275" s="623" t="str">
        <f>IF(A275="","",IF(ARBITRAGES!F276="Invest","Achat","Vente"))</f>
        <v/>
      </c>
      <c r="C275" s="623" t="str">
        <f>ARBITRAGES!H276</f>
        <v/>
      </c>
      <c r="D275" s="624" t="str">
        <f>ARBITRAGES!I276</f>
        <v/>
      </c>
      <c r="E275" s="624" t="str">
        <f>ARBITRAGES!J276</f>
        <v/>
      </c>
      <c r="F275" s="623"/>
      <c r="G275" s="623" t="str">
        <f>'PV (%)'!B277</f>
        <v/>
      </c>
      <c r="H275" s="624" t="str">
        <f>'PV (%)'!E277</f>
        <v/>
      </c>
      <c r="I275" s="624" t="str">
        <f>'PV (%)'!F277</f>
        <v/>
      </c>
      <c r="J275" s="623" t="str">
        <f>'PV (%)'!G277</f>
        <v/>
      </c>
      <c r="K275" s="623"/>
      <c r="L275" s="621" t="str">
        <f>Exposition!A276</f>
        <v/>
      </c>
      <c r="M275" s="625" t="str">
        <f>Exposition!B276</f>
        <v/>
      </c>
      <c r="N275" s="625" t="str">
        <f>Exposition!C276</f>
        <v/>
      </c>
      <c r="O275" s="625" t="str">
        <f>Exposition!D276</f>
        <v/>
      </c>
      <c r="P275" s="625" t="str">
        <f>Exposition!E276</f>
        <v/>
      </c>
      <c r="Q275" s="625" t="str">
        <f>Exposition!F276</f>
        <v/>
      </c>
      <c r="R275" s="625" t="str">
        <f>Exposition!G276</f>
        <v/>
      </c>
      <c r="S275" s="625" t="str">
        <f>Exposition!H276</f>
        <v/>
      </c>
      <c r="T275" s="625" t="str">
        <f>Exposition!I276</f>
        <v/>
      </c>
      <c r="U275" s="625" t="str">
        <f>Exposition!J276</f>
        <v/>
      </c>
      <c r="V275" s="625" t="str">
        <f>Exposition!K276</f>
        <v/>
      </c>
      <c r="W275" s="625" t="str">
        <f>Exposition!L276</f>
        <v/>
      </c>
      <c r="X275" s="625" t="str">
        <f>Exposition!M276</f>
        <v/>
      </c>
      <c r="Y275" s="625" t="str">
        <f>Exposition!N276</f>
        <v/>
      </c>
      <c r="Z275" s="625" t="str">
        <f>Exposition!O276</f>
        <v/>
      </c>
      <c r="AA275" s="625" t="str">
        <f>Exposition!P276</f>
        <v/>
      </c>
      <c r="AB275" s="625" t="str">
        <f>Exposition!Q276</f>
        <v/>
      </c>
      <c r="AC275" s="625" t="str">
        <f>Exposition!R276</f>
        <v/>
      </c>
      <c r="AD275" s="625" t="str">
        <f>Exposition!S276</f>
        <v/>
      </c>
      <c r="AE275" s="625" t="str">
        <f>Exposition!T276</f>
        <v/>
      </c>
      <c r="AF275" s="625" t="str">
        <f>Exposition!U276</f>
        <v/>
      </c>
      <c r="AG275" s="623"/>
      <c r="AH275" s="621" t="str">
        <f>PRIX!A276</f>
        <v/>
      </c>
      <c r="AI275" s="626" t="str">
        <f>PRIX!B276</f>
        <v/>
      </c>
      <c r="AJ275" s="626" t="str">
        <f>PRIX!C276</f>
        <v/>
      </c>
      <c r="AK275" s="627" t="str">
        <f>PRIX!D276</f>
        <v/>
      </c>
      <c r="AL275" s="626" t="str">
        <f>PRIX!E276</f>
        <v/>
      </c>
      <c r="AM275" s="626" t="str">
        <f>PRIX!F276</f>
        <v/>
      </c>
      <c r="AN275" s="627" t="str">
        <f>PRIX!G276</f>
        <v/>
      </c>
      <c r="AO275" s="627" t="str">
        <f>PRIX!H276</f>
        <v/>
      </c>
      <c r="AP275" s="631" t="str">
        <f>PRIX!I276</f>
        <v/>
      </c>
      <c r="AQ275" s="628" t="str">
        <f>PRIX!J276</f>
        <v/>
      </c>
      <c r="AR275" s="631" t="str">
        <f>PRIX!K276</f>
        <v/>
      </c>
      <c r="AS275" s="631" t="str">
        <f>PRIX!L276</f>
        <v/>
      </c>
      <c r="AT275" s="631" t="str">
        <f>PRIX!M276</f>
        <v/>
      </c>
      <c r="AU275" s="629" t="str">
        <f>PRIX!N276</f>
        <v/>
      </c>
      <c r="AV275" s="631" t="str">
        <f>PRIX!O276</f>
        <v/>
      </c>
      <c r="AW275" s="631" t="str">
        <f>PRIX!P276</f>
        <v/>
      </c>
      <c r="AX275" s="630" t="str">
        <f>PRIX!Q276</f>
        <v/>
      </c>
      <c r="AY275" s="631" t="str">
        <f>PRIX!R276</f>
        <v/>
      </c>
      <c r="AZ275" s="631" t="str">
        <f>PRIX!S276</f>
        <v/>
      </c>
      <c r="BA275" s="623"/>
    </row>
    <row r="276">
      <c r="A276" s="621" t="str">
        <f>ARBITRAGES!E277</f>
        <v/>
      </c>
      <c r="B276" s="623" t="str">
        <f>IF(A276="","",IF(ARBITRAGES!F277="Invest","Achat","Vente"))</f>
        <v/>
      </c>
      <c r="C276" s="623" t="str">
        <f>ARBITRAGES!H277</f>
        <v/>
      </c>
      <c r="D276" s="624" t="str">
        <f>ARBITRAGES!I277</f>
        <v/>
      </c>
      <c r="E276" s="624" t="str">
        <f>ARBITRAGES!J277</f>
        <v/>
      </c>
      <c r="F276" s="623"/>
      <c r="G276" s="623" t="str">
        <f>'PV (%)'!B278</f>
        <v/>
      </c>
      <c r="H276" s="624" t="str">
        <f>'PV (%)'!E278</f>
        <v/>
      </c>
      <c r="I276" s="624" t="str">
        <f>'PV (%)'!F278</f>
        <v/>
      </c>
      <c r="J276" s="623" t="str">
        <f>'PV (%)'!G278</f>
        <v/>
      </c>
      <c r="K276" s="623"/>
      <c r="L276" s="621" t="str">
        <f>Exposition!A277</f>
        <v/>
      </c>
      <c r="M276" s="625" t="str">
        <f>Exposition!B277</f>
        <v/>
      </c>
      <c r="N276" s="625" t="str">
        <f>Exposition!C277</f>
        <v/>
      </c>
      <c r="O276" s="625" t="str">
        <f>Exposition!D277</f>
        <v/>
      </c>
      <c r="P276" s="625" t="str">
        <f>Exposition!E277</f>
        <v/>
      </c>
      <c r="Q276" s="625" t="str">
        <f>Exposition!F277</f>
        <v/>
      </c>
      <c r="R276" s="625" t="str">
        <f>Exposition!G277</f>
        <v/>
      </c>
      <c r="S276" s="625" t="str">
        <f>Exposition!H277</f>
        <v/>
      </c>
      <c r="T276" s="625" t="str">
        <f>Exposition!I277</f>
        <v/>
      </c>
      <c r="U276" s="625" t="str">
        <f>Exposition!J277</f>
        <v/>
      </c>
      <c r="V276" s="625" t="str">
        <f>Exposition!K277</f>
        <v/>
      </c>
      <c r="W276" s="625" t="str">
        <f>Exposition!L277</f>
        <v/>
      </c>
      <c r="X276" s="625" t="str">
        <f>Exposition!M277</f>
        <v/>
      </c>
      <c r="Y276" s="625" t="str">
        <f>Exposition!N277</f>
        <v/>
      </c>
      <c r="Z276" s="625" t="str">
        <f>Exposition!O277</f>
        <v/>
      </c>
      <c r="AA276" s="625" t="str">
        <f>Exposition!P277</f>
        <v/>
      </c>
      <c r="AB276" s="625" t="str">
        <f>Exposition!Q277</f>
        <v/>
      </c>
      <c r="AC276" s="625" t="str">
        <f>Exposition!R277</f>
        <v/>
      </c>
      <c r="AD276" s="625" t="str">
        <f>Exposition!S277</f>
        <v/>
      </c>
      <c r="AE276" s="625" t="str">
        <f>Exposition!T277</f>
        <v/>
      </c>
      <c r="AF276" s="625" t="str">
        <f>Exposition!U277</f>
        <v/>
      </c>
      <c r="AG276" s="623"/>
      <c r="AH276" s="621" t="str">
        <f>PRIX!A277</f>
        <v/>
      </c>
      <c r="AI276" s="626" t="str">
        <f>PRIX!B277</f>
        <v/>
      </c>
      <c r="AJ276" s="626" t="str">
        <f>PRIX!C277</f>
        <v/>
      </c>
      <c r="AK276" s="627" t="str">
        <f>PRIX!D277</f>
        <v/>
      </c>
      <c r="AL276" s="626" t="str">
        <f>PRIX!E277</f>
        <v/>
      </c>
      <c r="AM276" s="626" t="str">
        <f>PRIX!F277</f>
        <v/>
      </c>
      <c r="AN276" s="627" t="str">
        <f>PRIX!G277</f>
        <v/>
      </c>
      <c r="AO276" s="627" t="str">
        <f>PRIX!H277</f>
        <v/>
      </c>
      <c r="AP276" s="631" t="str">
        <f>PRIX!I277</f>
        <v/>
      </c>
      <c r="AQ276" s="628" t="str">
        <f>PRIX!J277</f>
        <v/>
      </c>
      <c r="AR276" s="631" t="str">
        <f>PRIX!K277</f>
        <v/>
      </c>
      <c r="AS276" s="631" t="str">
        <f>PRIX!L277</f>
        <v/>
      </c>
      <c r="AT276" s="631" t="str">
        <f>PRIX!M277</f>
        <v/>
      </c>
      <c r="AU276" s="629" t="str">
        <f>PRIX!N277</f>
        <v/>
      </c>
      <c r="AV276" s="631" t="str">
        <f>PRIX!O277</f>
        <v/>
      </c>
      <c r="AW276" s="631" t="str">
        <f>PRIX!P277</f>
        <v/>
      </c>
      <c r="AX276" s="630" t="str">
        <f>PRIX!Q277</f>
        <v/>
      </c>
      <c r="AY276" s="631" t="str">
        <f>PRIX!R277</f>
        <v/>
      </c>
      <c r="AZ276" s="631" t="str">
        <f>PRIX!S277</f>
        <v/>
      </c>
      <c r="BA276" s="623"/>
    </row>
    <row r="277">
      <c r="A277" s="621" t="str">
        <f>ARBITRAGES!E278</f>
        <v/>
      </c>
      <c r="B277" s="623" t="str">
        <f>IF(A277="","",IF(ARBITRAGES!F278="Invest","Achat","Vente"))</f>
        <v/>
      </c>
      <c r="C277" s="623" t="str">
        <f>ARBITRAGES!H278</f>
        <v/>
      </c>
      <c r="D277" s="624" t="str">
        <f>ARBITRAGES!I278</f>
        <v/>
      </c>
      <c r="E277" s="624" t="str">
        <f>ARBITRAGES!J278</f>
        <v/>
      </c>
      <c r="F277" s="623"/>
      <c r="G277" s="623" t="str">
        <f>'PV (%)'!B279</f>
        <v/>
      </c>
      <c r="H277" s="624" t="str">
        <f>'PV (%)'!E279</f>
        <v/>
      </c>
      <c r="I277" s="624" t="str">
        <f>'PV (%)'!F279</f>
        <v/>
      </c>
      <c r="J277" s="623" t="str">
        <f>'PV (%)'!G279</f>
        <v/>
      </c>
      <c r="K277" s="623"/>
      <c r="L277" s="621" t="str">
        <f>Exposition!A278</f>
        <v/>
      </c>
      <c r="M277" s="625" t="str">
        <f>Exposition!B278</f>
        <v/>
      </c>
      <c r="N277" s="625" t="str">
        <f>Exposition!C278</f>
        <v/>
      </c>
      <c r="O277" s="625" t="str">
        <f>Exposition!D278</f>
        <v/>
      </c>
      <c r="P277" s="625" t="str">
        <f>Exposition!E278</f>
        <v/>
      </c>
      <c r="Q277" s="625" t="str">
        <f>Exposition!F278</f>
        <v/>
      </c>
      <c r="R277" s="625" t="str">
        <f>Exposition!G278</f>
        <v/>
      </c>
      <c r="S277" s="625" t="str">
        <f>Exposition!H278</f>
        <v/>
      </c>
      <c r="T277" s="625" t="str">
        <f>Exposition!I278</f>
        <v/>
      </c>
      <c r="U277" s="625" t="str">
        <f>Exposition!J278</f>
        <v/>
      </c>
      <c r="V277" s="625" t="str">
        <f>Exposition!K278</f>
        <v/>
      </c>
      <c r="W277" s="625" t="str">
        <f>Exposition!L278</f>
        <v/>
      </c>
      <c r="X277" s="625" t="str">
        <f>Exposition!M278</f>
        <v/>
      </c>
      <c r="Y277" s="625" t="str">
        <f>Exposition!N278</f>
        <v/>
      </c>
      <c r="Z277" s="625" t="str">
        <f>Exposition!O278</f>
        <v/>
      </c>
      <c r="AA277" s="625" t="str">
        <f>Exposition!P278</f>
        <v/>
      </c>
      <c r="AB277" s="625" t="str">
        <f>Exposition!Q278</f>
        <v/>
      </c>
      <c r="AC277" s="625" t="str">
        <f>Exposition!R278</f>
        <v/>
      </c>
      <c r="AD277" s="625" t="str">
        <f>Exposition!S278</f>
        <v/>
      </c>
      <c r="AE277" s="625" t="str">
        <f>Exposition!T278</f>
        <v/>
      </c>
      <c r="AF277" s="625" t="str">
        <f>Exposition!U278</f>
        <v/>
      </c>
      <c r="AG277" s="623"/>
      <c r="AH277" s="621" t="str">
        <f>PRIX!A278</f>
        <v/>
      </c>
      <c r="AI277" s="626" t="str">
        <f>PRIX!B278</f>
        <v/>
      </c>
      <c r="AJ277" s="626" t="str">
        <f>PRIX!C278</f>
        <v/>
      </c>
      <c r="AK277" s="627" t="str">
        <f>PRIX!D278</f>
        <v/>
      </c>
      <c r="AL277" s="626" t="str">
        <f>PRIX!E278</f>
        <v/>
      </c>
      <c r="AM277" s="626" t="str">
        <f>PRIX!F278</f>
        <v/>
      </c>
      <c r="AN277" s="627" t="str">
        <f>PRIX!G278</f>
        <v/>
      </c>
      <c r="AO277" s="627" t="str">
        <f>PRIX!H278</f>
        <v/>
      </c>
      <c r="AP277" s="631" t="str">
        <f>PRIX!I278</f>
        <v/>
      </c>
      <c r="AQ277" s="628" t="str">
        <f>PRIX!J278</f>
        <v/>
      </c>
      <c r="AR277" s="631" t="str">
        <f>PRIX!K278</f>
        <v/>
      </c>
      <c r="AS277" s="631" t="str">
        <f>PRIX!L278</f>
        <v/>
      </c>
      <c r="AT277" s="631" t="str">
        <f>PRIX!M278</f>
        <v/>
      </c>
      <c r="AU277" s="629" t="str">
        <f>PRIX!N278</f>
        <v/>
      </c>
      <c r="AV277" s="631" t="str">
        <f>PRIX!O278</f>
        <v/>
      </c>
      <c r="AW277" s="631" t="str">
        <f>PRIX!P278</f>
        <v/>
      </c>
      <c r="AX277" s="630" t="str">
        <f>PRIX!Q278</f>
        <v/>
      </c>
      <c r="AY277" s="631" t="str">
        <f>PRIX!R278</f>
        <v/>
      </c>
      <c r="AZ277" s="631" t="str">
        <f>PRIX!S278</f>
        <v/>
      </c>
      <c r="BA277" s="623"/>
    </row>
    <row r="278">
      <c r="A278" s="621" t="str">
        <f>ARBITRAGES!E279</f>
        <v/>
      </c>
      <c r="B278" s="623" t="str">
        <f>IF(A278="","",IF(ARBITRAGES!F279="Invest","Achat","Vente"))</f>
        <v/>
      </c>
      <c r="C278" s="623" t="str">
        <f>ARBITRAGES!H279</f>
        <v/>
      </c>
      <c r="D278" s="624" t="str">
        <f>ARBITRAGES!I279</f>
        <v/>
      </c>
      <c r="E278" s="624" t="str">
        <f>ARBITRAGES!J279</f>
        <v/>
      </c>
      <c r="F278" s="623"/>
      <c r="G278" s="623" t="str">
        <f>'PV (%)'!B280</f>
        <v/>
      </c>
      <c r="H278" s="624" t="str">
        <f>'PV (%)'!E280</f>
        <v/>
      </c>
      <c r="I278" s="624" t="str">
        <f>'PV (%)'!F280</f>
        <v/>
      </c>
      <c r="J278" s="623" t="str">
        <f>'PV (%)'!G280</f>
        <v/>
      </c>
      <c r="K278" s="623"/>
      <c r="L278" s="621" t="str">
        <f>Exposition!A279</f>
        <v/>
      </c>
      <c r="M278" s="625" t="str">
        <f>Exposition!B279</f>
        <v/>
      </c>
      <c r="N278" s="625" t="str">
        <f>Exposition!C279</f>
        <v/>
      </c>
      <c r="O278" s="625" t="str">
        <f>Exposition!D279</f>
        <v/>
      </c>
      <c r="P278" s="625" t="str">
        <f>Exposition!E279</f>
        <v/>
      </c>
      <c r="Q278" s="625" t="str">
        <f>Exposition!F279</f>
        <v/>
      </c>
      <c r="R278" s="625" t="str">
        <f>Exposition!G279</f>
        <v/>
      </c>
      <c r="S278" s="625" t="str">
        <f>Exposition!H279</f>
        <v/>
      </c>
      <c r="T278" s="625" t="str">
        <f>Exposition!I279</f>
        <v/>
      </c>
      <c r="U278" s="625" t="str">
        <f>Exposition!J279</f>
        <v/>
      </c>
      <c r="V278" s="625" t="str">
        <f>Exposition!K279</f>
        <v/>
      </c>
      <c r="W278" s="625" t="str">
        <f>Exposition!L279</f>
        <v/>
      </c>
      <c r="X278" s="625" t="str">
        <f>Exposition!M279</f>
        <v/>
      </c>
      <c r="Y278" s="625" t="str">
        <f>Exposition!N279</f>
        <v/>
      </c>
      <c r="Z278" s="625" t="str">
        <f>Exposition!O279</f>
        <v/>
      </c>
      <c r="AA278" s="625" t="str">
        <f>Exposition!P279</f>
        <v/>
      </c>
      <c r="AB278" s="625" t="str">
        <f>Exposition!Q279</f>
        <v/>
      </c>
      <c r="AC278" s="625" t="str">
        <f>Exposition!R279</f>
        <v/>
      </c>
      <c r="AD278" s="625" t="str">
        <f>Exposition!S279</f>
        <v/>
      </c>
      <c r="AE278" s="625" t="str">
        <f>Exposition!T279</f>
        <v/>
      </c>
      <c r="AF278" s="625" t="str">
        <f>Exposition!U279</f>
        <v/>
      </c>
      <c r="AG278" s="623"/>
      <c r="AH278" s="621" t="str">
        <f>PRIX!A279</f>
        <v/>
      </c>
      <c r="AI278" s="626" t="str">
        <f>PRIX!B279</f>
        <v/>
      </c>
      <c r="AJ278" s="626" t="str">
        <f>PRIX!C279</f>
        <v/>
      </c>
      <c r="AK278" s="627" t="str">
        <f>PRIX!D279</f>
        <v/>
      </c>
      <c r="AL278" s="626" t="str">
        <f>PRIX!E279</f>
        <v/>
      </c>
      <c r="AM278" s="626" t="str">
        <f>PRIX!F279</f>
        <v/>
      </c>
      <c r="AN278" s="627" t="str">
        <f>PRIX!G279</f>
        <v/>
      </c>
      <c r="AO278" s="627" t="str">
        <f>PRIX!H279</f>
        <v/>
      </c>
      <c r="AP278" s="631" t="str">
        <f>PRIX!I279</f>
        <v/>
      </c>
      <c r="AQ278" s="628" t="str">
        <f>PRIX!J279</f>
        <v/>
      </c>
      <c r="AR278" s="631" t="str">
        <f>PRIX!K279</f>
        <v/>
      </c>
      <c r="AS278" s="631" t="str">
        <f>PRIX!L279</f>
        <v/>
      </c>
      <c r="AT278" s="631" t="str">
        <f>PRIX!M279</f>
        <v/>
      </c>
      <c r="AU278" s="629" t="str">
        <f>PRIX!N279</f>
        <v/>
      </c>
      <c r="AV278" s="631" t="str">
        <f>PRIX!O279</f>
        <v/>
      </c>
      <c r="AW278" s="631" t="str">
        <f>PRIX!P279</f>
        <v/>
      </c>
      <c r="AX278" s="630" t="str">
        <f>PRIX!Q279</f>
        <v/>
      </c>
      <c r="AY278" s="631" t="str">
        <f>PRIX!R279</f>
        <v/>
      </c>
      <c r="AZ278" s="631" t="str">
        <f>PRIX!S279</f>
        <v/>
      </c>
      <c r="BA278" s="623"/>
    </row>
    <row r="279">
      <c r="A279" s="621" t="str">
        <f>ARBITRAGES!E280</f>
        <v/>
      </c>
      <c r="B279" s="623" t="str">
        <f>IF(A279="","",IF(ARBITRAGES!F280="Invest","Achat","Vente"))</f>
        <v/>
      </c>
      <c r="C279" s="623" t="str">
        <f>ARBITRAGES!H280</f>
        <v/>
      </c>
      <c r="D279" s="624" t="str">
        <f>ARBITRAGES!I280</f>
        <v/>
      </c>
      <c r="E279" s="624" t="str">
        <f>ARBITRAGES!J280</f>
        <v/>
      </c>
      <c r="F279" s="623"/>
      <c r="G279" s="623" t="str">
        <f>'PV (%)'!B281</f>
        <v/>
      </c>
      <c r="H279" s="624" t="str">
        <f>'PV (%)'!E281</f>
        <v/>
      </c>
      <c r="I279" s="624" t="str">
        <f>'PV (%)'!F281</f>
        <v/>
      </c>
      <c r="J279" s="623" t="str">
        <f>'PV (%)'!G281</f>
        <v/>
      </c>
      <c r="K279" s="623"/>
      <c r="L279" s="621" t="str">
        <f>Exposition!A280</f>
        <v/>
      </c>
      <c r="M279" s="625" t="str">
        <f>Exposition!B280</f>
        <v/>
      </c>
      <c r="N279" s="625" t="str">
        <f>Exposition!C280</f>
        <v/>
      </c>
      <c r="O279" s="625" t="str">
        <f>Exposition!D280</f>
        <v/>
      </c>
      <c r="P279" s="625" t="str">
        <f>Exposition!E280</f>
        <v/>
      </c>
      <c r="Q279" s="625" t="str">
        <f>Exposition!F280</f>
        <v/>
      </c>
      <c r="R279" s="625" t="str">
        <f>Exposition!G280</f>
        <v/>
      </c>
      <c r="S279" s="625" t="str">
        <f>Exposition!H280</f>
        <v/>
      </c>
      <c r="T279" s="625" t="str">
        <f>Exposition!I280</f>
        <v/>
      </c>
      <c r="U279" s="625" t="str">
        <f>Exposition!J280</f>
        <v/>
      </c>
      <c r="V279" s="625" t="str">
        <f>Exposition!K280</f>
        <v/>
      </c>
      <c r="W279" s="625" t="str">
        <f>Exposition!L280</f>
        <v/>
      </c>
      <c r="X279" s="625" t="str">
        <f>Exposition!M280</f>
        <v/>
      </c>
      <c r="Y279" s="625" t="str">
        <f>Exposition!N280</f>
        <v/>
      </c>
      <c r="Z279" s="625" t="str">
        <f>Exposition!O280</f>
        <v/>
      </c>
      <c r="AA279" s="625" t="str">
        <f>Exposition!P280</f>
        <v/>
      </c>
      <c r="AB279" s="625" t="str">
        <f>Exposition!Q280</f>
        <v/>
      </c>
      <c r="AC279" s="625" t="str">
        <f>Exposition!R280</f>
        <v/>
      </c>
      <c r="AD279" s="625" t="str">
        <f>Exposition!S280</f>
        <v/>
      </c>
      <c r="AE279" s="625" t="str">
        <f>Exposition!T280</f>
        <v/>
      </c>
      <c r="AF279" s="625" t="str">
        <f>Exposition!U280</f>
        <v/>
      </c>
      <c r="AG279" s="623"/>
      <c r="AH279" s="621" t="str">
        <f>PRIX!A280</f>
        <v/>
      </c>
      <c r="AI279" s="626" t="str">
        <f>PRIX!B280</f>
        <v/>
      </c>
      <c r="AJ279" s="626" t="str">
        <f>PRIX!C280</f>
        <v/>
      </c>
      <c r="AK279" s="627" t="str">
        <f>PRIX!D280</f>
        <v/>
      </c>
      <c r="AL279" s="626" t="str">
        <f>PRIX!E280</f>
        <v/>
      </c>
      <c r="AM279" s="626" t="str">
        <f>PRIX!F280</f>
        <v/>
      </c>
      <c r="AN279" s="627" t="str">
        <f>PRIX!G280</f>
        <v/>
      </c>
      <c r="AO279" s="627" t="str">
        <f>PRIX!H280</f>
        <v/>
      </c>
      <c r="AP279" s="631" t="str">
        <f>PRIX!I280</f>
        <v/>
      </c>
      <c r="AQ279" s="628" t="str">
        <f>PRIX!J280</f>
        <v/>
      </c>
      <c r="AR279" s="631" t="str">
        <f>PRIX!K280</f>
        <v/>
      </c>
      <c r="AS279" s="631" t="str">
        <f>PRIX!L280</f>
        <v/>
      </c>
      <c r="AT279" s="631" t="str">
        <f>PRIX!M280</f>
        <v/>
      </c>
      <c r="AU279" s="629" t="str">
        <f>PRIX!N280</f>
        <v/>
      </c>
      <c r="AV279" s="631" t="str">
        <f>PRIX!O280</f>
        <v/>
      </c>
      <c r="AW279" s="631" t="str">
        <f>PRIX!P280</f>
        <v/>
      </c>
      <c r="AX279" s="630" t="str">
        <f>PRIX!Q280</f>
        <v/>
      </c>
      <c r="AY279" s="631" t="str">
        <f>PRIX!R280</f>
        <v/>
      </c>
      <c r="AZ279" s="631" t="str">
        <f>PRIX!S280</f>
        <v/>
      </c>
      <c r="BA279" s="623"/>
    </row>
    <row r="280">
      <c r="A280" s="621" t="str">
        <f>ARBITRAGES!E281</f>
        <v/>
      </c>
      <c r="B280" s="623" t="str">
        <f>IF(A280="","",IF(ARBITRAGES!F281="Invest","Achat","Vente"))</f>
        <v/>
      </c>
      <c r="C280" s="623" t="str">
        <f>ARBITRAGES!H281</f>
        <v/>
      </c>
      <c r="D280" s="624" t="str">
        <f>ARBITRAGES!I281</f>
        <v/>
      </c>
      <c r="E280" s="624" t="str">
        <f>ARBITRAGES!J281</f>
        <v/>
      </c>
      <c r="F280" s="623"/>
      <c r="G280" s="623" t="str">
        <f>'PV (%)'!B282</f>
        <v/>
      </c>
      <c r="H280" s="624" t="str">
        <f>'PV (%)'!E282</f>
        <v/>
      </c>
      <c r="I280" s="624" t="str">
        <f>'PV (%)'!F282</f>
        <v/>
      </c>
      <c r="J280" s="623" t="str">
        <f>'PV (%)'!G282</f>
        <v/>
      </c>
      <c r="K280" s="623"/>
      <c r="L280" s="621" t="str">
        <f>Exposition!A281</f>
        <v/>
      </c>
      <c r="M280" s="625" t="str">
        <f>Exposition!B281</f>
        <v/>
      </c>
      <c r="N280" s="625" t="str">
        <f>Exposition!C281</f>
        <v/>
      </c>
      <c r="O280" s="625" t="str">
        <f>Exposition!D281</f>
        <v/>
      </c>
      <c r="P280" s="625" t="str">
        <f>Exposition!E281</f>
        <v/>
      </c>
      <c r="Q280" s="625" t="str">
        <f>Exposition!F281</f>
        <v/>
      </c>
      <c r="R280" s="625" t="str">
        <f>Exposition!G281</f>
        <v/>
      </c>
      <c r="S280" s="625" t="str">
        <f>Exposition!H281</f>
        <v/>
      </c>
      <c r="T280" s="625" t="str">
        <f>Exposition!I281</f>
        <v/>
      </c>
      <c r="U280" s="625" t="str">
        <f>Exposition!J281</f>
        <v/>
      </c>
      <c r="V280" s="625" t="str">
        <f>Exposition!K281</f>
        <v/>
      </c>
      <c r="W280" s="625" t="str">
        <f>Exposition!L281</f>
        <v/>
      </c>
      <c r="X280" s="625" t="str">
        <f>Exposition!M281</f>
        <v/>
      </c>
      <c r="Y280" s="625" t="str">
        <f>Exposition!N281</f>
        <v/>
      </c>
      <c r="Z280" s="625" t="str">
        <f>Exposition!O281</f>
        <v/>
      </c>
      <c r="AA280" s="625" t="str">
        <f>Exposition!P281</f>
        <v/>
      </c>
      <c r="AB280" s="625" t="str">
        <f>Exposition!Q281</f>
        <v/>
      </c>
      <c r="AC280" s="625" t="str">
        <f>Exposition!R281</f>
        <v/>
      </c>
      <c r="AD280" s="625" t="str">
        <f>Exposition!S281</f>
        <v/>
      </c>
      <c r="AE280" s="625" t="str">
        <f>Exposition!T281</f>
        <v/>
      </c>
      <c r="AF280" s="625" t="str">
        <f>Exposition!U281</f>
        <v/>
      </c>
      <c r="AG280" s="623"/>
      <c r="AH280" s="621" t="str">
        <f>PRIX!A281</f>
        <v/>
      </c>
      <c r="AI280" s="626" t="str">
        <f>PRIX!B281</f>
        <v/>
      </c>
      <c r="AJ280" s="626" t="str">
        <f>PRIX!C281</f>
        <v/>
      </c>
      <c r="AK280" s="627" t="str">
        <f>PRIX!D281</f>
        <v/>
      </c>
      <c r="AL280" s="626" t="str">
        <f>PRIX!E281</f>
        <v/>
      </c>
      <c r="AM280" s="626" t="str">
        <f>PRIX!F281</f>
        <v/>
      </c>
      <c r="AN280" s="627" t="str">
        <f>PRIX!G281</f>
        <v/>
      </c>
      <c r="AO280" s="627" t="str">
        <f>PRIX!H281</f>
        <v/>
      </c>
      <c r="AP280" s="631" t="str">
        <f>PRIX!I281</f>
        <v/>
      </c>
      <c r="AQ280" s="628" t="str">
        <f>PRIX!J281</f>
        <v/>
      </c>
      <c r="AR280" s="631" t="str">
        <f>PRIX!K281</f>
        <v/>
      </c>
      <c r="AS280" s="631" t="str">
        <f>PRIX!L281</f>
        <v/>
      </c>
      <c r="AT280" s="631" t="str">
        <f>PRIX!M281</f>
        <v/>
      </c>
      <c r="AU280" s="629" t="str">
        <f>PRIX!N281</f>
        <v/>
      </c>
      <c r="AV280" s="631" t="str">
        <f>PRIX!O281</f>
        <v/>
      </c>
      <c r="AW280" s="631" t="str">
        <f>PRIX!P281</f>
        <v/>
      </c>
      <c r="AX280" s="630" t="str">
        <f>PRIX!Q281</f>
        <v/>
      </c>
      <c r="AY280" s="631" t="str">
        <f>PRIX!R281</f>
        <v/>
      </c>
      <c r="AZ280" s="631" t="str">
        <f>PRIX!S281</f>
        <v/>
      </c>
      <c r="BA280" s="623"/>
    </row>
    <row r="281">
      <c r="A281" s="621" t="str">
        <f>ARBITRAGES!E282</f>
        <v/>
      </c>
      <c r="B281" s="623" t="str">
        <f>IF(A281="","",IF(ARBITRAGES!F282="Invest","Achat","Vente"))</f>
        <v/>
      </c>
      <c r="C281" s="623" t="str">
        <f>ARBITRAGES!H282</f>
        <v/>
      </c>
      <c r="D281" s="624" t="str">
        <f>ARBITRAGES!I282</f>
        <v/>
      </c>
      <c r="E281" s="624" t="str">
        <f>ARBITRAGES!J282</f>
        <v/>
      </c>
      <c r="F281" s="623"/>
      <c r="G281" s="623" t="str">
        <f>'PV (%)'!B283</f>
        <v/>
      </c>
      <c r="H281" s="624" t="str">
        <f>'PV (%)'!E283</f>
        <v/>
      </c>
      <c r="I281" s="624" t="str">
        <f>'PV (%)'!F283</f>
        <v/>
      </c>
      <c r="J281" s="623" t="str">
        <f>'PV (%)'!G283</f>
        <v/>
      </c>
      <c r="K281" s="623"/>
      <c r="L281" s="621" t="str">
        <f>Exposition!A282</f>
        <v/>
      </c>
      <c r="M281" s="625" t="str">
        <f>Exposition!B282</f>
        <v/>
      </c>
      <c r="N281" s="625" t="str">
        <f>Exposition!C282</f>
        <v/>
      </c>
      <c r="O281" s="625" t="str">
        <f>Exposition!D282</f>
        <v/>
      </c>
      <c r="P281" s="625" t="str">
        <f>Exposition!E282</f>
        <v/>
      </c>
      <c r="Q281" s="625" t="str">
        <f>Exposition!F282</f>
        <v/>
      </c>
      <c r="R281" s="625" t="str">
        <f>Exposition!G282</f>
        <v/>
      </c>
      <c r="S281" s="625" t="str">
        <f>Exposition!H282</f>
        <v/>
      </c>
      <c r="T281" s="625" t="str">
        <f>Exposition!I282</f>
        <v/>
      </c>
      <c r="U281" s="625" t="str">
        <f>Exposition!J282</f>
        <v/>
      </c>
      <c r="V281" s="625" t="str">
        <f>Exposition!K282</f>
        <v/>
      </c>
      <c r="W281" s="625" t="str">
        <f>Exposition!L282</f>
        <v/>
      </c>
      <c r="X281" s="625" t="str">
        <f>Exposition!M282</f>
        <v/>
      </c>
      <c r="Y281" s="625" t="str">
        <f>Exposition!N282</f>
        <v/>
      </c>
      <c r="Z281" s="625" t="str">
        <f>Exposition!O282</f>
        <v/>
      </c>
      <c r="AA281" s="625" t="str">
        <f>Exposition!P282</f>
        <v/>
      </c>
      <c r="AB281" s="625" t="str">
        <f>Exposition!Q282</f>
        <v/>
      </c>
      <c r="AC281" s="625" t="str">
        <f>Exposition!R282</f>
        <v/>
      </c>
      <c r="AD281" s="625" t="str">
        <f>Exposition!S282</f>
        <v/>
      </c>
      <c r="AE281" s="625" t="str">
        <f>Exposition!T282</f>
        <v/>
      </c>
      <c r="AF281" s="625" t="str">
        <f>Exposition!U282</f>
        <v/>
      </c>
      <c r="AG281" s="623"/>
      <c r="AH281" s="621" t="str">
        <f>PRIX!A282</f>
        <v/>
      </c>
      <c r="AI281" s="626" t="str">
        <f>PRIX!B282</f>
        <v/>
      </c>
      <c r="AJ281" s="626" t="str">
        <f>PRIX!C282</f>
        <v/>
      </c>
      <c r="AK281" s="627" t="str">
        <f>PRIX!D282</f>
        <v/>
      </c>
      <c r="AL281" s="626" t="str">
        <f>PRIX!E282</f>
        <v/>
      </c>
      <c r="AM281" s="626" t="str">
        <f>PRIX!F282</f>
        <v/>
      </c>
      <c r="AN281" s="627" t="str">
        <f>PRIX!G282</f>
        <v/>
      </c>
      <c r="AO281" s="627" t="str">
        <f>PRIX!H282</f>
        <v/>
      </c>
      <c r="AP281" s="631" t="str">
        <f>PRIX!I282</f>
        <v/>
      </c>
      <c r="AQ281" s="628" t="str">
        <f>PRIX!J282</f>
        <v/>
      </c>
      <c r="AR281" s="631" t="str">
        <f>PRIX!K282</f>
        <v/>
      </c>
      <c r="AS281" s="631" t="str">
        <f>PRIX!L282</f>
        <v/>
      </c>
      <c r="AT281" s="631" t="str">
        <f>PRIX!M282</f>
        <v/>
      </c>
      <c r="AU281" s="629" t="str">
        <f>PRIX!N282</f>
        <v/>
      </c>
      <c r="AV281" s="631" t="str">
        <f>PRIX!O282</f>
        <v/>
      </c>
      <c r="AW281" s="631" t="str">
        <f>PRIX!P282</f>
        <v/>
      </c>
      <c r="AX281" s="630" t="str">
        <f>PRIX!Q282</f>
        <v/>
      </c>
      <c r="AY281" s="631" t="str">
        <f>PRIX!R282</f>
        <v/>
      </c>
      <c r="AZ281" s="631" t="str">
        <f>PRIX!S282</f>
        <v/>
      </c>
      <c r="BA281" s="623"/>
    </row>
    <row r="282">
      <c r="A282" s="621" t="str">
        <f>ARBITRAGES!E283</f>
        <v/>
      </c>
      <c r="B282" s="623" t="str">
        <f>IF(A282="","",IF(ARBITRAGES!F283="Invest","Achat","Vente"))</f>
        <v/>
      </c>
      <c r="C282" s="623" t="str">
        <f>ARBITRAGES!H283</f>
        <v/>
      </c>
      <c r="D282" s="624" t="str">
        <f>ARBITRAGES!I283</f>
        <v/>
      </c>
      <c r="E282" s="624" t="str">
        <f>ARBITRAGES!J283</f>
        <v/>
      </c>
      <c r="F282" s="623"/>
      <c r="G282" s="623" t="str">
        <f>'PV (%)'!B284</f>
        <v/>
      </c>
      <c r="H282" s="624" t="str">
        <f>'PV (%)'!E284</f>
        <v/>
      </c>
      <c r="I282" s="624" t="str">
        <f>'PV (%)'!F284</f>
        <v/>
      </c>
      <c r="J282" s="623" t="str">
        <f>'PV (%)'!G284</f>
        <v/>
      </c>
      <c r="K282" s="623"/>
      <c r="L282" s="621" t="str">
        <f>Exposition!A283</f>
        <v/>
      </c>
      <c r="M282" s="625" t="str">
        <f>Exposition!B283</f>
        <v/>
      </c>
      <c r="N282" s="625" t="str">
        <f>Exposition!C283</f>
        <v/>
      </c>
      <c r="O282" s="625" t="str">
        <f>Exposition!D283</f>
        <v/>
      </c>
      <c r="P282" s="625" t="str">
        <f>Exposition!E283</f>
        <v/>
      </c>
      <c r="Q282" s="625" t="str">
        <f>Exposition!F283</f>
        <v/>
      </c>
      <c r="R282" s="625" t="str">
        <f>Exposition!G283</f>
        <v/>
      </c>
      <c r="S282" s="625" t="str">
        <f>Exposition!H283</f>
        <v/>
      </c>
      <c r="T282" s="625" t="str">
        <f>Exposition!I283</f>
        <v/>
      </c>
      <c r="U282" s="625" t="str">
        <f>Exposition!J283</f>
        <v/>
      </c>
      <c r="V282" s="625" t="str">
        <f>Exposition!K283</f>
        <v/>
      </c>
      <c r="W282" s="625" t="str">
        <f>Exposition!L283</f>
        <v/>
      </c>
      <c r="X282" s="625" t="str">
        <f>Exposition!M283</f>
        <v/>
      </c>
      <c r="Y282" s="625" t="str">
        <f>Exposition!N283</f>
        <v/>
      </c>
      <c r="Z282" s="625" t="str">
        <f>Exposition!O283</f>
        <v/>
      </c>
      <c r="AA282" s="625" t="str">
        <f>Exposition!P283</f>
        <v/>
      </c>
      <c r="AB282" s="625" t="str">
        <f>Exposition!Q283</f>
        <v/>
      </c>
      <c r="AC282" s="625" t="str">
        <f>Exposition!R283</f>
        <v/>
      </c>
      <c r="AD282" s="625" t="str">
        <f>Exposition!S283</f>
        <v/>
      </c>
      <c r="AE282" s="625" t="str">
        <f>Exposition!T283</f>
        <v/>
      </c>
      <c r="AF282" s="625" t="str">
        <f>Exposition!U283</f>
        <v/>
      </c>
      <c r="AG282" s="623"/>
      <c r="AH282" s="621" t="str">
        <f>PRIX!A283</f>
        <v/>
      </c>
      <c r="AI282" s="626" t="str">
        <f>PRIX!B283</f>
        <v/>
      </c>
      <c r="AJ282" s="626" t="str">
        <f>PRIX!C283</f>
        <v/>
      </c>
      <c r="AK282" s="627" t="str">
        <f>PRIX!D283</f>
        <v/>
      </c>
      <c r="AL282" s="626" t="str">
        <f>PRIX!E283</f>
        <v/>
      </c>
      <c r="AM282" s="626" t="str">
        <f>PRIX!F283</f>
        <v/>
      </c>
      <c r="AN282" s="627" t="str">
        <f>PRIX!G283</f>
        <v/>
      </c>
      <c r="AO282" s="627" t="str">
        <f>PRIX!H283</f>
        <v/>
      </c>
      <c r="AP282" s="631" t="str">
        <f>PRIX!I283</f>
        <v/>
      </c>
      <c r="AQ282" s="628" t="str">
        <f>PRIX!J283</f>
        <v/>
      </c>
      <c r="AR282" s="631" t="str">
        <f>PRIX!K283</f>
        <v/>
      </c>
      <c r="AS282" s="631" t="str">
        <f>PRIX!L283</f>
        <v/>
      </c>
      <c r="AT282" s="631" t="str">
        <f>PRIX!M283</f>
        <v/>
      </c>
      <c r="AU282" s="629" t="str">
        <f>PRIX!N283</f>
        <v/>
      </c>
      <c r="AV282" s="631" t="str">
        <f>PRIX!O283</f>
        <v/>
      </c>
      <c r="AW282" s="631" t="str">
        <f>PRIX!P283</f>
        <v/>
      </c>
      <c r="AX282" s="630" t="str">
        <f>PRIX!Q283</f>
        <v/>
      </c>
      <c r="AY282" s="631" t="str">
        <f>PRIX!R283</f>
        <v/>
      </c>
      <c r="AZ282" s="631" t="str">
        <f>PRIX!S283</f>
        <v/>
      </c>
      <c r="BA282" s="623"/>
    </row>
    <row r="283">
      <c r="A283" s="621" t="str">
        <f>ARBITRAGES!E284</f>
        <v/>
      </c>
      <c r="B283" s="623" t="str">
        <f>IF(A283="","",IF(ARBITRAGES!F284="Invest","Achat","Vente"))</f>
        <v/>
      </c>
      <c r="C283" s="623" t="str">
        <f>ARBITRAGES!H284</f>
        <v/>
      </c>
      <c r="D283" s="624" t="str">
        <f>ARBITRAGES!I284</f>
        <v/>
      </c>
      <c r="E283" s="624" t="str">
        <f>ARBITRAGES!J284</f>
        <v/>
      </c>
      <c r="F283" s="623"/>
      <c r="G283" s="623" t="str">
        <f>'PV (%)'!B285</f>
        <v/>
      </c>
      <c r="H283" s="624" t="str">
        <f>'PV (%)'!E285</f>
        <v/>
      </c>
      <c r="I283" s="624" t="str">
        <f>'PV (%)'!F285</f>
        <v/>
      </c>
      <c r="J283" s="623" t="str">
        <f>'PV (%)'!G285</f>
        <v/>
      </c>
      <c r="K283" s="623"/>
      <c r="L283" s="621" t="str">
        <f>Exposition!A284</f>
        <v/>
      </c>
      <c r="M283" s="625" t="str">
        <f>Exposition!B284</f>
        <v/>
      </c>
      <c r="N283" s="625" t="str">
        <f>Exposition!C284</f>
        <v/>
      </c>
      <c r="O283" s="625" t="str">
        <f>Exposition!D284</f>
        <v/>
      </c>
      <c r="P283" s="625" t="str">
        <f>Exposition!E284</f>
        <v/>
      </c>
      <c r="Q283" s="625" t="str">
        <f>Exposition!F284</f>
        <v/>
      </c>
      <c r="R283" s="625" t="str">
        <f>Exposition!G284</f>
        <v/>
      </c>
      <c r="S283" s="625" t="str">
        <f>Exposition!H284</f>
        <v/>
      </c>
      <c r="T283" s="625" t="str">
        <f>Exposition!I284</f>
        <v/>
      </c>
      <c r="U283" s="625" t="str">
        <f>Exposition!J284</f>
        <v/>
      </c>
      <c r="V283" s="625" t="str">
        <f>Exposition!K284</f>
        <v/>
      </c>
      <c r="W283" s="625" t="str">
        <f>Exposition!L284</f>
        <v/>
      </c>
      <c r="X283" s="625" t="str">
        <f>Exposition!M284</f>
        <v/>
      </c>
      <c r="Y283" s="625" t="str">
        <f>Exposition!N284</f>
        <v/>
      </c>
      <c r="Z283" s="625" t="str">
        <f>Exposition!O284</f>
        <v/>
      </c>
      <c r="AA283" s="625" t="str">
        <f>Exposition!P284</f>
        <v/>
      </c>
      <c r="AB283" s="625" t="str">
        <f>Exposition!Q284</f>
        <v/>
      </c>
      <c r="AC283" s="625" t="str">
        <f>Exposition!R284</f>
        <v/>
      </c>
      <c r="AD283" s="625" t="str">
        <f>Exposition!S284</f>
        <v/>
      </c>
      <c r="AE283" s="625" t="str">
        <f>Exposition!T284</f>
        <v/>
      </c>
      <c r="AF283" s="625" t="str">
        <f>Exposition!U284</f>
        <v/>
      </c>
      <c r="AG283" s="623"/>
      <c r="AH283" s="621" t="str">
        <f>PRIX!A284</f>
        <v/>
      </c>
      <c r="AI283" s="626" t="str">
        <f>PRIX!B284</f>
        <v/>
      </c>
      <c r="AJ283" s="626" t="str">
        <f>PRIX!C284</f>
        <v/>
      </c>
      <c r="AK283" s="627" t="str">
        <f>PRIX!D284</f>
        <v/>
      </c>
      <c r="AL283" s="626" t="str">
        <f>PRIX!E284</f>
        <v/>
      </c>
      <c r="AM283" s="626" t="str">
        <f>PRIX!F284</f>
        <v/>
      </c>
      <c r="AN283" s="627" t="str">
        <f>PRIX!G284</f>
        <v/>
      </c>
      <c r="AO283" s="627" t="str">
        <f>PRIX!H284</f>
        <v/>
      </c>
      <c r="AP283" s="631" t="str">
        <f>PRIX!I284</f>
        <v/>
      </c>
      <c r="AQ283" s="628" t="str">
        <f>PRIX!J284</f>
        <v/>
      </c>
      <c r="AR283" s="631" t="str">
        <f>PRIX!K284</f>
        <v/>
      </c>
      <c r="AS283" s="631" t="str">
        <f>PRIX!L284</f>
        <v/>
      </c>
      <c r="AT283" s="631" t="str">
        <f>PRIX!M284</f>
        <v/>
      </c>
      <c r="AU283" s="629" t="str">
        <f>PRIX!N284</f>
        <v/>
      </c>
      <c r="AV283" s="631" t="str">
        <f>PRIX!O284</f>
        <v/>
      </c>
      <c r="AW283" s="631" t="str">
        <f>PRIX!P284</f>
        <v/>
      </c>
      <c r="AX283" s="630" t="str">
        <f>PRIX!Q284</f>
        <v/>
      </c>
      <c r="AY283" s="631" t="str">
        <f>PRIX!R284</f>
        <v/>
      </c>
      <c r="AZ283" s="631" t="str">
        <f>PRIX!S284</f>
        <v/>
      </c>
      <c r="BA283" s="623"/>
    </row>
    <row r="284">
      <c r="A284" s="621" t="str">
        <f>ARBITRAGES!E285</f>
        <v/>
      </c>
      <c r="B284" s="623" t="str">
        <f>IF(A284="","",IF(ARBITRAGES!F285="Invest","Achat","Vente"))</f>
        <v/>
      </c>
      <c r="C284" s="623" t="str">
        <f>ARBITRAGES!H285</f>
        <v/>
      </c>
      <c r="D284" s="624" t="str">
        <f>ARBITRAGES!I285</f>
        <v/>
      </c>
      <c r="E284" s="624" t="str">
        <f>ARBITRAGES!J285</f>
        <v/>
      </c>
      <c r="F284" s="623"/>
      <c r="G284" s="623" t="str">
        <f>'PV (%)'!B286</f>
        <v/>
      </c>
      <c r="H284" s="624" t="str">
        <f>'PV (%)'!E286</f>
        <v/>
      </c>
      <c r="I284" s="624" t="str">
        <f>'PV (%)'!F286</f>
        <v/>
      </c>
      <c r="J284" s="623" t="str">
        <f>'PV (%)'!G286</f>
        <v/>
      </c>
      <c r="K284" s="623"/>
      <c r="L284" s="621" t="str">
        <f>Exposition!A285</f>
        <v/>
      </c>
      <c r="M284" s="625" t="str">
        <f>Exposition!B285</f>
        <v/>
      </c>
      <c r="N284" s="625" t="str">
        <f>Exposition!C285</f>
        <v/>
      </c>
      <c r="O284" s="625" t="str">
        <f>Exposition!D285</f>
        <v/>
      </c>
      <c r="P284" s="625" t="str">
        <f>Exposition!E285</f>
        <v/>
      </c>
      <c r="Q284" s="625" t="str">
        <f>Exposition!F285</f>
        <v/>
      </c>
      <c r="R284" s="625" t="str">
        <f>Exposition!G285</f>
        <v/>
      </c>
      <c r="S284" s="625" t="str">
        <f>Exposition!H285</f>
        <v/>
      </c>
      <c r="T284" s="625" t="str">
        <f>Exposition!I285</f>
        <v/>
      </c>
      <c r="U284" s="625" t="str">
        <f>Exposition!J285</f>
        <v/>
      </c>
      <c r="V284" s="625" t="str">
        <f>Exposition!K285</f>
        <v/>
      </c>
      <c r="W284" s="625" t="str">
        <f>Exposition!L285</f>
        <v/>
      </c>
      <c r="X284" s="625" t="str">
        <f>Exposition!M285</f>
        <v/>
      </c>
      <c r="Y284" s="625" t="str">
        <f>Exposition!N285</f>
        <v/>
      </c>
      <c r="Z284" s="625" t="str">
        <f>Exposition!O285</f>
        <v/>
      </c>
      <c r="AA284" s="625" t="str">
        <f>Exposition!P285</f>
        <v/>
      </c>
      <c r="AB284" s="625" t="str">
        <f>Exposition!Q285</f>
        <v/>
      </c>
      <c r="AC284" s="625" t="str">
        <f>Exposition!R285</f>
        <v/>
      </c>
      <c r="AD284" s="625" t="str">
        <f>Exposition!S285</f>
        <v/>
      </c>
      <c r="AE284" s="625" t="str">
        <f>Exposition!T285</f>
        <v/>
      </c>
      <c r="AF284" s="625" t="str">
        <f>Exposition!U285</f>
        <v/>
      </c>
      <c r="AG284" s="623"/>
      <c r="AH284" s="621" t="str">
        <f>PRIX!A285</f>
        <v/>
      </c>
      <c r="AI284" s="626" t="str">
        <f>PRIX!B285</f>
        <v/>
      </c>
      <c r="AJ284" s="626" t="str">
        <f>PRIX!C285</f>
        <v/>
      </c>
      <c r="AK284" s="627" t="str">
        <f>PRIX!D285</f>
        <v/>
      </c>
      <c r="AL284" s="626" t="str">
        <f>PRIX!E285</f>
        <v/>
      </c>
      <c r="AM284" s="626" t="str">
        <f>PRIX!F285</f>
        <v/>
      </c>
      <c r="AN284" s="627" t="str">
        <f>PRIX!G285</f>
        <v/>
      </c>
      <c r="AO284" s="627" t="str">
        <f>PRIX!H285</f>
        <v/>
      </c>
      <c r="AP284" s="631" t="str">
        <f>PRIX!I285</f>
        <v/>
      </c>
      <c r="AQ284" s="628" t="str">
        <f>PRIX!J285</f>
        <v/>
      </c>
      <c r="AR284" s="631" t="str">
        <f>PRIX!K285</f>
        <v/>
      </c>
      <c r="AS284" s="631" t="str">
        <f>PRIX!L285</f>
        <v/>
      </c>
      <c r="AT284" s="631" t="str">
        <f>PRIX!M285</f>
        <v/>
      </c>
      <c r="AU284" s="629" t="str">
        <f>PRIX!N285</f>
        <v/>
      </c>
      <c r="AV284" s="631" t="str">
        <f>PRIX!O285</f>
        <v/>
      </c>
      <c r="AW284" s="631" t="str">
        <f>PRIX!P285</f>
        <v/>
      </c>
      <c r="AX284" s="630" t="str">
        <f>PRIX!Q285</f>
        <v/>
      </c>
      <c r="AY284" s="631" t="str">
        <f>PRIX!R285</f>
        <v/>
      </c>
      <c r="AZ284" s="631" t="str">
        <f>PRIX!S285</f>
        <v/>
      </c>
      <c r="BA284" s="623"/>
    </row>
    <row r="285">
      <c r="A285" s="621" t="str">
        <f>ARBITRAGES!E286</f>
        <v/>
      </c>
      <c r="B285" s="623" t="str">
        <f>IF(A285="","",IF(ARBITRAGES!F286="Invest","Achat","Vente"))</f>
        <v/>
      </c>
      <c r="C285" s="623" t="str">
        <f>ARBITRAGES!H286</f>
        <v/>
      </c>
      <c r="D285" s="624" t="str">
        <f>ARBITRAGES!I286</f>
        <v/>
      </c>
      <c r="E285" s="624" t="str">
        <f>ARBITRAGES!J286</f>
        <v/>
      </c>
      <c r="F285" s="623"/>
      <c r="G285" s="623" t="str">
        <f>'PV (%)'!B287</f>
        <v/>
      </c>
      <c r="H285" s="624" t="str">
        <f>'PV (%)'!E287</f>
        <v/>
      </c>
      <c r="I285" s="624" t="str">
        <f>'PV (%)'!F287</f>
        <v/>
      </c>
      <c r="J285" s="623" t="str">
        <f>'PV (%)'!G287</f>
        <v/>
      </c>
      <c r="K285" s="623"/>
      <c r="L285" s="621" t="str">
        <f>Exposition!A286</f>
        <v/>
      </c>
      <c r="M285" s="625" t="str">
        <f>Exposition!B286</f>
        <v/>
      </c>
      <c r="N285" s="625" t="str">
        <f>Exposition!C286</f>
        <v/>
      </c>
      <c r="O285" s="625" t="str">
        <f>Exposition!D286</f>
        <v/>
      </c>
      <c r="P285" s="625" t="str">
        <f>Exposition!E286</f>
        <v/>
      </c>
      <c r="Q285" s="625" t="str">
        <f>Exposition!F286</f>
        <v/>
      </c>
      <c r="R285" s="625" t="str">
        <f>Exposition!G286</f>
        <v/>
      </c>
      <c r="S285" s="625" t="str">
        <f>Exposition!H286</f>
        <v/>
      </c>
      <c r="T285" s="625" t="str">
        <f>Exposition!I286</f>
        <v/>
      </c>
      <c r="U285" s="625" t="str">
        <f>Exposition!J286</f>
        <v/>
      </c>
      <c r="V285" s="625" t="str">
        <f>Exposition!K286</f>
        <v/>
      </c>
      <c r="W285" s="625" t="str">
        <f>Exposition!L286</f>
        <v/>
      </c>
      <c r="X285" s="625" t="str">
        <f>Exposition!M286</f>
        <v/>
      </c>
      <c r="Y285" s="625" t="str">
        <f>Exposition!N286</f>
        <v/>
      </c>
      <c r="Z285" s="625" t="str">
        <f>Exposition!O286</f>
        <v/>
      </c>
      <c r="AA285" s="625" t="str">
        <f>Exposition!P286</f>
        <v/>
      </c>
      <c r="AB285" s="625" t="str">
        <f>Exposition!Q286</f>
        <v/>
      </c>
      <c r="AC285" s="625" t="str">
        <f>Exposition!R286</f>
        <v/>
      </c>
      <c r="AD285" s="625" t="str">
        <f>Exposition!S286</f>
        <v/>
      </c>
      <c r="AE285" s="625" t="str">
        <f>Exposition!T286</f>
        <v/>
      </c>
      <c r="AF285" s="625" t="str">
        <f>Exposition!U286</f>
        <v/>
      </c>
      <c r="AG285" s="623"/>
      <c r="AH285" s="621" t="str">
        <f>PRIX!A286</f>
        <v/>
      </c>
      <c r="AI285" s="626" t="str">
        <f>PRIX!B286</f>
        <v/>
      </c>
      <c r="AJ285" s="626" t="str">
        <f>PRIX!C286</f>
        <v/>
      </c>
      <c r="AK285" s="627" t="str">
        <f>PRIX!D286</f>
        <v/>
      </c>
      <c r="AL285" s="626" t="str">
        <f>PRIX!E286</f>
        <v/>
      </c>
      <c r="AM285" s="626" t="str">
        <f>PRIX!F286</f>
        <v/>
      </c>
      <c r="AN285" s="627" t="str">
        <f>PRIX!G286</f>
        <v/>
      </c>
      <c r="AO285" s="627" t="str">
        <f>PRIX!H286</f>
        <v/>
      </c>
      <c r="AP285" s="631" t="str">
        <f>PRIX!I286</f>
        <v/>
      </c>
      <c r="AQ285" s="628" t="str">
        <f>PRIX!J286</f>
        <v/>
      </c>
      <c r="AR285" s="631" t="str">
        <f>PRIX!K286</f>
        <v/>
      </c>
      <c r="AS285" s="631" t="str">
        <f>PRIX!L286</f>
        <v/>
      </c>
      <c r="AT285" s="631" t="str">
        <f>PRIX!M286</f>
        <v/>
      </c>
      <c r="AU285" s="629" t="str">
        <f>PRIX!N286</f>
        <v/>
      </c>
      <c r="AV285" s="631" t="str">
        <f>PRIX!O286</f>
        <v/>
      </c>
      <c r="AW285" s="631" t="str">
        <f>PRIX!P286</f>
        <v/>
      </c>
      <c r="AX285" s="630" t="str">
        <f>PRIX!Q286</f>
        <v/>
      </c>
      <c r="AY285" s="631" t="str">
        <f>PRIX!R286</f>
        <v/>
      </c>
      <c r="AZ285" s="631" t="str">
        <f>PRIX!S286</f>
        <v/>
      </c>
      <c r="BA285" s="623"/>
    </row>
    <row r="286">
      <c r="A286" s="621" t="str">
        <f>ARBITRAGES!E287</f>
        <v/>
      </c>
      <c r="B286" s="623" t="str">
        <f>IF(A286="","",IF(ARBITRAGES!F287="Invest","Achat","Vente"))</f>
        <v/>
      </c>
      <c r="C286" s="623" t="str">
        <f>ARBITRAGES!H287</f>
        <v/>
      </c>
      <c r="D286" s="624" t="str">
        <f>ARBITRAGES!I287</f>
        <v/>
      </c>
      <c r="E286" s="624" t="str">
        <f>ARBITRAGES!J287</f>
        <v/>
      </c>
      <c r="F286" s="623"/>
      <c r="G286" s="623" t="str">
        <f>'PV (%)'!B288</f>
        <v/>
      </c>
      <c r="H286" s="624" t="str">
        <f>'PV (%)'!E288</f>
        <v/>
      </c>
      <c r="I286" s="624" t="str">
        <f>'PV (%)'!F288</f>
        <v/>
      </c>
      <c r="J286" s="623" t="str">
        <f>'PV (%)'!G288</f>
        <v/>
      </c>
      <c r="K286" s="623"/>
      <c r="L286" s="621" t="str">
        <f>Exposition!A287</f>
        <v/>
      </c>
      <c r="M286" s="625" t="str">
        <f>Exposition!B287</f>
        <v/>
      </c>
      <c r="N286" s="625" t="str">
        <f>Exposition!C287</f>
        <v/>
      </c>
      <c r="O286" s="625" t="str">
        <f>Exposition!D287</f>
        <v/>
      </c>
      <c r="P286" s="625" t="str">
        <f>Exposition!E287</f>
        <v/>
      </c>
      <c r="Q286" s="625" t="str">
        <f>Exposition!F287</f>
        <v/>
      </c>
      <c r="R286" s="625" t="str">
        <f>Exposition!G287</f>
        <v/>
      </c>
      <c r="S286" s="625" t="str">
        <f>Exposition!H287</f>
        <v/>
      </c>
      <c r="T286" s="625" t="str">
        <f>Exposition!I287</f>
        <v/>
      </c>
      <c r="U286" s="625" t="str">
        <f>Exposition!J287</f>
        <v/>
      </c>
      <c r="V286" s="625" t="str">
        <f>Exposition!K287</f>
        <v/>
      </c>
      <c r="W286" s="625" t="str">
        <f>Exposition!L287</f>
        <v/>
      </c>
      <c r="X286" s="625" t="str">
        <f>Exposition!M287</f>
        <v/>
      </c>
      <c r="Y286" s="625" t="str">
        <f>Exposition!N287</f>
        <v/>
      </c>
      <c r="Z286" s="625" t="str">
        <f>Exposition!O287</f>
        <v/>
      </c>
      <c r="AA286" s="625" t="str">
        <f>Exposition!P287</f>
        <v/>
      </c>
      <c r="AB286" s="625" t="str">
        <f>Exposition!Q287</f>
        <v/>
      </c>
      <c r="AC286" s="625" t="str">
        <f>Exposition!R287</f>
        <v/>
      </c>
      <c r="AD286" s="625" t="str">
        <f>Exposition!S287</f>
        <v/>
      </c>
      <c r="AE286" s="625" t="str">
        <f>Exposition!T287</f>
        <v/>
      </c>
      <c r="AF286" s="625" t="str">
        <f>Exposition!U287</f>
        <v/>
      </c>
      <c r="AG286" s="623"/>
      <c r="AH286" s="621" t="str">
        <f>PRIX!A287</f>
        <v/>
      </c>
      <c r="AI286" s="626" t="str">
        <f>PRIX!B287</f>
        <v/>
      </c>
      <c r="AJ286" s="626" t="str">
        <f>PRIX!C287</f>
        <v/>
      </c>
      <c r="AK286" s="627" t="str">
        <f>PRIX!D287</f>
        <v/>
      </c>
      <c r="AL286" s="626" t="str">
        <f>PRIX!E287</f>
        <v/>
      </c>
      <c r="AM286" s="626" t="str">
        <f>PRIX!F287</f>
        <v/>
      </c>
      <c r="AN286" s="627" t="str">
        <f>PRIX!G287</f>
        <v/>
      </c>
      <c r="AO286" s="627" t="str">
        <f>PRIX!H287</f>
        <v/>
      </c>
      <c r="AP286" s="631" t="str">
        <f>PRIX!I287</f>
        <v/>
      </c>
      <c r="AQ286" s="628" t="str">
        <f>PRIX!J287</f>
        <v/>
      </c>
      <c r="AR286" s="631" t="str">
        <f>PRIX!K287</f>
        <v/>
      </c>
      <c r="AS286" s="631" t="str">
        <f>PRIX!L287</f>
        <v/>
      </c>
      <c r="AT286" s="631" t="str">
        <f>PRIX!M287</f>
        <v/>
      </c>
      <c r="AU286" s="629" t="str">
        <f>PRIX!N287</f>
        <v/>
      </c>
      <c r="AV286" s="631" t="str">
        <f>PRIX!O287</f>
        <v/>
      </c>
      <c r="AW286" s="631" t="str">
        <f>PRIX!P287</f>
        <v/>
      </c>
      <c r="AX286" s="630" t="str">
        <f>PRIX!Q287</f>
        <v/>
      </c>
      <c r="AY286" s="631" t="str">
        <f>PRIX!R287</f>
        <v/>
      </c>
      <c r="AZ286" s="631" t="str">
        <f>PRIX!S287</f>
        <v/>
      </c>
      <c r="BA286" s="623"/>
    </row>
    <row r="287">
      <c r="A287" s="621" t="str">
        <f>ARBITRAGES!E288</f>
        <v/>
      </c>
      <c r="B287" s="623" t="str">
        <f>IF(A287="","",IF(ARBITRAGES!F288="Invest","Achat","Vente"))</f>
        <v/>
      </c>
      <c r="C287" s="623" t="str">
        <f>ARBITRAGES!H288</f>
        <v/>
      </c>
      <c r="D287" s="624" t="str">
        <f>ARBITRAGES!I288</f>
        <v/>
      </c>
      <c r="E287" s="624" t="str">
        <f>ARBITRAGES!J288</f>
        <v/>
      </c>
      <c r="F287" s="623"/>
      <c r="G287" s="623" t="str">
        <f>'PV (%)'!B289</f>
        <v/>
      </c>
      <c r="H287" s="624" t="str">
        <f>'PV (%)'!E289</f>
        <v/>
      </c>
      <c r="I287" s="624" t="str">
        <f>'PV (%)'!F289</f>
        <v/>
      </c>
      <c r="J287" s="623" t="str">
        <f>'PV (%)'!G289</f>
        <v/>
      </c>
      <c r="K287" s="623"/>
      <c r="L287" s="621" t="str">
        <f>Exposition!A288</f>
        <v/>
      </c>
      <c r="M287" s="625" t="str">
        <f>Exposition!B288</f>
        <v/>
      </c>
      <c r="N287" s="625" t="str">
        <f>Exposition!C288</f>
        <v/>
      </c>
      <c r="O287" s="625" t="str">
        <f>Exposition!D288</f>
        <v/>
      </c>
      <c r="P287" s="625" t="str">
        <f>Exposition!E288</f>
        <v/>
      </c>
      <c r="Q287" s="625" t="str">
        <f>Exposition!F288</f>
        <v/>
      </c>
      <c r="R287" s="625" t="str">
        <f>Exposition!G288</f>
        <v/>
      </c>
      <c r="S287" s="625" t="str">
        <f>Exposition!H288</f>
        <v/>
      </c>
      <c r="T287" s="625" t="str">
        <f>Exposition!I288</f>
        <v/>
      </c>
      <c r="U287" s="625" t="str">
        <f>Exposition!J288</f>
        <v/>
      </c>
      <c r="V287" s="625" t="str">
        <f>Exposition!K288</f>
        <v/>
      </c>
      <c r="W287" s="625" t="str">
        <f>Exposition!L288</f>
        <v/>
      </c>
      <c r="X287" s="625" t="str">
        <f>Exposition!M288</f>
        <v/>
      </c>
      <c r="Y287" s="625" t="str">
        <f>Exposition!N288</f>
        <v/>
      </c>
      <c r="Z287" s="625" t="str">
        <f>Exposition!O288</f>
        <v/>
      </c>
      <c r="AA287" s="625" t="str">
        <f>Exposition!P288</f>
        <v/>
      </c>
      <c r="AB287" s="625" t="str">
        <f>Exposition!Q288</f>
        <v/>
      </c>
      <c r="AC287" s="625" t="str">
        <f>Exposition!R288</f>
        <v/>
      </c>
      <c r="AD287" s="625" t="str">
        <f>Exposition!S288</f>
        <v/>
      </c>
      <c r="AE287" s="625" t="str">
        <f>Exposition!T288</f>
        <v/>
      </c>
      <c r="AF287" s="625" t="str">
        <f>Exposition!U288</f>
        <v/>
      </c>
      <c r="AG287" s="623"/>
      <c r="AH287" s="621" t="str">
        <f>PRIX!A288</f>
        <v/>
      </c>
      <c r="AI287" s="626" t="str">
        <f>PRIX!B288</f>
        <v/>
      </c>
      <c r="AJ287" s="626" t="str">
        <f>PRIX!C288</f>
        <v/>
      </c>
      <c r="AK287" s="627" t="str">
        <f>PRIX!D288</f>
        <v/>
      </c>
      <c r="AL287" s="626" t="str">
        <f>PRIX!E288</f>
        <v/>
      </c>
      <c r="AM287" s="626" t="str">
        <f>PRIX!F288</f>
        <v/>
      </c>
      <c r="AN287" s="627" t="str">
        <f>PRIX!G288</f>
        <v/>
      </c>
      <c r="AO287" s="627" t="str">
        <f>PRIX!H288</f>
        <v/>
      </c>
      <c r="AP287" s="631" t="str">
        <f>PRIX!I288</f>
        <v/>
      </c>
      <c r="AQ287" s="628" t="str">
        <f>PRIX!J288</f>
        <v/>
      </c>
      <c r="AR287" s="631" t="str">
        <f>PRIX!K288</f>
        <v/>
      </c>
      <c r="AS287" s="631" t="str">
        <f>PRIX!L288</f>
        <v/>
      </c>
      <c r="AT287" s="631" t="str">
        <f>PRIX!M288</f>
        <v/>
      </c>
      <c r="AU287" s="629" t="str">
        <f>PRIX!N288</f>
        <v/>
      </c>
      <c r="AV287" s="631" t="str">
        <f>PRIX!O288</f>
        <v/>
      </c>
      <c r="AW287" s="631" t="str">
        <f>PRIX!P288</f>
        <v/>
      </c>
      <c r="AX287" s="630" t="str">
        <f>PRIX!Q288</f>
        <v/>
      </c>
      <c r="AY287" s="631" t="str">
        <f>PRIX!R288</f>
        <v/>
      </c>
      <c r="AZ287" s="631" t="str">
        <f>PRIX!S288</f>
        <v/>
      </c>
      <c r="BA287" s="623"/>
    </row>
    <row r="288">
      <c r="A288" s="621" t="str">
        <f>ARBITRAGES!E289</f>
        <v/>
      </c>
      <c r="B288" s="623" t="str">
        <f>IF(A288="","",IF(ARBITRAGES!F289="Invest","Achat","Vente"))</f>
        <v/>
      </c>
      <c r="C288" s="623" t="str">
        <f>ARBITRAGES!H289</f>
        <v/>
      </c>
      <c r="D288" s="624" t="str">
        <f>ARBITRAGES!I289</f>
        <v/>
      </c>
      <c r="E288" s="624" t="str">
        <f>ARBITRAGES!J289</f>
        <v/>
      </c>
      <c r="F288" s="623"/>
      <c r="G288" s="623" t="str">
        <f>'PV (%)'!B290</f>
        <v/>
      </c>
      <c r="H288" s="624" t="str">
        <f>'PV (%)'!E290</f>
        <v/>
      </c>
      <c r="I288" s="624" t="str">
        <f>'PV (%)'!F290</f>
        <v/>
      </c>
      <c r="J288" s="623" t="str">
        <f>'PV (%)'!G290</f>
        <v/>
      </c>
      <c r="K288" s="623"/>
      <c r="L288" s="621" t="str">
        <f>Exposition!A289</f>
        <v/>
      </c>
      <c r="M288" s="625" t="str">
        <f>Exposition!B289</f>
        <v/>
      </c>
      <c r="N288" s="625" t="str">
        <f>Exposition!C289</f>
        <v/>
      </c>
      <c r="O288" s="625" t="str">
        <f>Exposition!D289</f>
        <v/>
      </c>
      <c r="P288" s="625" t="str">
        <f>Exposition!E289</f>
        <v/>
      </c>
      <c r="Q288" s="625" t="str">
        <f>Exposition!F289</f>
        <v/>
      </c>
      <c r="R288" s="625" t="str">
        <f>Exposition!G289</f>
        <v/>
      </c>
      <c r="S288" s="625" t="str">
        <f>Exposition!H289</f>
        <v/>
      </c>
      <c r="T288" s="625" t="str">
        <f>Exposition!I289</f>
        <v/>
      </c>
      <c r="U288" s="625" t="str">
        <f>Exposition!J289</f>
        <v/>
      </c>
      <c r="V288" s="625" t="str">
        <f>Exposition!K289</f>
        <v/>
      </c>
      <c r="W288" s="625" t="str">
        <f>Exposition!L289</f>
        <v/>
      </c>
      <c r="X288" s="625" t="str">
        <f>Exposition!M289</f>
        <v/>
      </c>
      <c r="Y288" s="625" t="str">
        <f>Exposition!N289</f>
        <v/>
      </c>
      <c r="Z288" s="625" t="str">
        <f>Exposition!O289</f>
        <v/>
      </c>
      <c r="AA288" s="625" t="str">
        <f>Exposition!P289</f>
        <v/>
      </c>
      <c r="AB288" s="625" t="str">
        <f>Exposition!Q289</f>
        <v/>
      </c>
      <c r="AC288" s="625" t="str">
        <f>Exposition!R289</f>
        <v/>
      </c>
      <c r="AD288" s="625" t="str">
        <f>Exposition!S289</f>
        <v/>
      </c>
      <c r="AE288" s="625" t="str">
        <f>Exposition!T289</f>
        <v/>
      </c>
      <c r="AF288" s="625" t="str">
        <f>Exposition!U289</f>
        <v/>
      </c>
      <c r="AG288" s="623"/>
      <c r="AH288" s="621" t="str">
        <f>PRIX!A289</f>
        <v/>
      </c>
      <c r="AI288" s="626" t="str">
        <f>PRIX!B289</f>
        <v/>
      </c>
      <c r="AJ288" s="626" t="str">
        <f>PRIX!C289</f>
        <v/>
      </c>
      <c r="AK288" s="627" t="str">
        <f>PRIX!D289</f>
        <v/>
      </c>
      <c r="AL288" s="626" t="str">
        <f>PRIX!E289</f>
        <v/>
      </c>
      <c r="AM288" s="626" t="str">
        <f>PRIX!F289</f>
        <v/>
      </c>
      <c r="AN288" s="627" t="str">
        <f>PRIX!G289</f>
        <v/>
      </c>
      <c r="AO288" s="627" t="str">
        <f>PRIX!H289</f>
        <v/>
      </c>
      <c r="AP288" s="631" t="str">
        <f>PRIX!I289</f>
        <v/>
      </c>
      <c r="AQ288" s="628" t="str">
        <f>PRIX!J289</f>
        <v/>
      </c>
      <c r="AR288" s="631" t="str">
        <f>PRIX!K289</f>
        <v/>
      </c>
      <c r="AS288" s="631" t="str">
        <f>PRIX!L289</f>
        <v/>
      </c>
      <c r="AT288" s="631" t="str">
        <f>PRIX!M289</f>
        <v/>
      </c>
      <c r="AU288" s="629" t="str">
        <f>PRIX!N289</f>
        <v/>
      </c>
      <c r="AV288" s="631" t="str">
        <f>PRIX!O289</f>
        <v/>
      </c>
      <c r="AW288" s="631" t="str">
        <f>PRIX!P289</f>
        <v/>
      </c>
      <c r="AX288" s="630" t="str">
        <f>PRIX!Q289</f>
        <v/>
      </c>
      <c r="AY288" s="631" t="str">
        <f>PRIX!R289</f>
        <v/>
      </c>
      <c r="AZ288" s="631" t="str">
        <f>PRIX!S289</f>
        <v/>
      </c>
      <c r="BA288" s="623"/>
    </row>
    <row r="289">
      <c r="A289" s="621" t="str">
        <f>ARBITRAGES!E290</f>
        <v/>
      </c>
      <c r="B289" s="623" t="str">
        <f>IF(A289="","",IF(ARBITRAGES!F290="Invest","Achat","Vente"))</f>
        <v/>
      </c>
      <c r="C289" s="623" t="str">
        <f>ARBITRAGES!H290</f>
        <v/>
      </c>
      <c r="D289" s="624" t="str">
        <f>ARBITRAGES!I290</f>
        <v/>
      </c>
      <c r="E289" s="624" t="str">
        <f>ARBITRAGES!J290</f>
        <v/>
      </c>
      <c r="F289" s="623"/>
      <c r="G289" s="623" t="str">
        <f>'PV (%)'!B291</f>
        <v/>
      </c>
      <c r="H289" s="624" t="str">
        <f>'PV (%)'!E291</f>
        <v/>
      </c>
      <c r="I289" s="624" t="str">
        <f>'PV (%)'!F291</f>
        <v/>
      </c>
      <c r="J289" s="623" t="str">
        <f>'PV (%)'!G291</f>
        <v/>
      </c>
      <c r="K289" s="623"/>
      <c r="L289" s="621" t="str">
        <f>Exposition!A290</f>
        <v/>
      </c>
      <c r="M289" s="625" t="str">
        <f>Exposition!B290</f>
        <v/>
      </c>
      <c r="N289" s="625" t="str">
        <f>Exposition!C290</f>
        <v/>
      </c>
      <c r="O289" s="625" t="str">
        <f>Exposition!D290</f>
        <v/>
      </c>
      <c r="P289" s="625" t="str">
        <f>Exposition!E290</f>
        <v/>
      </c>
      <c r="Q289" s="625" t="str">
        <f>Exposition!F290</f>
        <v/>
      </c>
      <c r="R289" s="625" t="str">
        <f>Exposition!G290</f>
        <v/>
      </c>
      <c r="S289" s="625" t="str">
        <f>Exposition!H290</f>
        <v/>
      </c>
      <c r="T289" s="625" t="str">
        <f>Exposition!I290</f>
        <v/>
      </c>
      <c r="U289" s="625" t="str">
        <f>Exposition!J290</f>
        <v/>
      </c>
      <c r="V289" s="625" t="str">
        <f>Exposition!K290</f>
        <v/>
      </c>
      <c r="W289" s="625" t="str">
        <f>Exposition!L290</f>
        <v/>
      </c>
      <c r="X289" s="625" t="str">
        <f>Exposition!M290</f>
        <v/>
      </c>
      <c r="Y289" s="625" t="str">
        <f>Exposition!N290</f>
        <v/>
      </c>
      <c r="Z289" s="625" t="str">
        <f>Exposition!O290</f>
        <v/>
      </c>
      <c r="AA289" s="625" t="str">
        <f>Exposition!P290</f>
        <v/>
      </c>
      <c r="AB289" s="625" t="str">
        <f>Exposition!Q290</f>
        <v/>
      </c>
      <c r="AC289" s="625" t="str">
        <f>Exposition!R290</f>
        <v/>
      </c>
      <c r="AD289" s="625" t="str">
        <f>Exposition!S290</f>
        <v/>
      </c>
      <c r="AE289" s="625" t="str">
        <f>Exposition!T290</f>
        <v/>
      </c>
      <c r="AF289" s="625" t="str">
        <f>Exposition!U290</f>
        <v/>
      </c>
      <c r="AG289" s="623"/>
      <c r="AH289" s="621" t="str">
        <f>PRIX!A290</f>
        <v/>
      </c>
      <c r="AI289" s="626" t="str">
        <f>PRIX!B290</f>
        <v/>
      </c>
      <c r="AJ289" s="626" t="str">
        <f>PRIX!C290</f>
        <v/>
      </c>
      <c r="AK289" s="627" t="str">
        <f>PRIX!D290</f>
        <v/>
      </c>
      <c r="AL289" s="626" t="str">
        <f>PRIX!E290</f>
        <v/>
      </c>
      <c r="AM289" s="626" t="str">
        <f>PRIX!F290</f>
        <v/>
      </c>
      <c r="AN289" s="627" t="str">
        <f>PRIX!G290</f>
        <v/>
      </c>
      <c r="AO289" s="627" t="str">
        <f>PRIX!H290</f>
        <v/>
      </c>
      <c r="AP289" s="631" t="str">
        <f>PRIX!I290</f>
        <v/>
      </c>
      <c r="AQ289" s="628" t="str">
        <f>PRIX!J290</f>
        <v/>
      </c>
      <c r="AR289" s="631" t="str">
        <f>PRIX!K290</f>
        <v/>
      </c>
      <c r="AS289" s="631" t="str">
        <f>PRIX!L290</f>
        <v/>
      </c>
      <c r="AT289" s="631" t="str">
        <f>PRIX!M290</f>
        <v/>
      </c>
      <c r="AU289" s="629" t="str">
        <f>PRIX!N290</f>
        <v/>
      </c>
      <c r="AV289" s="631" t="str">
        <f>PRIX!O290</f>
        <v/>
      </c>
      <c r="AW289" s="631" t="str">
        <f>PRIX!P290</f>
        <v/>
      </c>
      <c r="AX289" s="630" t="str">
        <f>PRIX!Q290</f>
        <v/>
      </c>
      <c r="AY289" s="631" t="str">
        <f>PRIX!R290</f>
        <v/>
      </c>
      <c r="AZ289" s="631" t="str">
        <f>PRIX!S290</f>
        <v/>
      </c>
      <c r="BA289" s="623"/>
    </row>
    <row r="290">
      <c r="A290" s="621" t="str">
        <f>ARBITRAGES!E291</f>
        <v/>
      </c>
      <c r="B290" s="623" t="str">
        <f>IF(A290="","",IF(ARBITRAGES!F291="Invest","Achat","Vente"))</f>
        <v/>
      </c>
      <c r="C290" s="623" t="str">
        <f>ARBITRAGES!H291</f>
        <v/>
      </c>
      <c r="D290" s="624" t="str">
        <f>ARBITRAGES!I291</f>
        <v/>
      </c>
      <c r="E290" s="624" t="str">
        <f>ARBITRAGES!J291</f>
        <v/>
      </c>
      <c r="F290" s="623"/>
      <c r="G290" s="623" t="str">
        <f>'PV (%)'!B292</f>
        <v/>
      </c>
      <c r="H290" s="624" t="str">
        <f>'PV (%)'!E292</f>
        <v/>
      </c>
      <c r="I290" s="624" t="str">
        <f>'PV (%)'!F292</f>
        <v/>
      </c>
      <c r="J290" s="623" t="str">
        <f>'PV (%)'!G292</f>
        <v/>
      </c>
      <c r="K290" s="623"/>
      <c r="L290" s="621" t="str">
        <f>Exposition!A291</f>
        <v/>
      </c>
      <c r="M290" s="625" t="str">
        <f>Exposition!B291</f>
        <v/>
      </c>
      <c r="N290" s="625" t="str">
        <f>Exposition!C291</f>
        <v/>
      </c>
      <c r="O290" s="625" t="str">
        <f>Exposition!D291</f>
        <v/>
      </c>
      <c r="P290" s="625" t="str">
        <f>Exposition!E291</f>
        <v/>
      </c>
      <c r="Q290" s="625" t="str">
        <f>Exposition!F291</f>
        <v/>
      </c>
      <c r="R290" s="625" t="str">
        <f>Exposition!G291</f>
        <v/>
      </c>
      <c r="S290" s="625" t="str">
        <f>Exposition!H291</f>
        <v/>
      </c>
      <c r="T290" s="625" t="str">
        <f>Exposition!I291</f>
        <v/>
      </c>
      <c r="U290" s="625" t="str">
        <f>Exposition!J291</f>
        <v/>
      </c>
      <c r="V290" s="625" t="str">
        <f>Exposition!K291</f>
        <v/>
      </c>
      <c r="W290" s="625" t="str">
        <f>Exposition!L291</f>
        <v/>
      </c>
      <c r="X290" s="625" t="str">
        <f>Exposition!M291</f>
        <v/>
      </c>
      <c r="Y290" s="625" t="str">
        <f>Exposition!N291</f>
        <v/>
      </c>
      <c r="Z290" s="625" t="str">
        <f>Exposition!O291</f>
        <v/>
      </c>
      <c r="AA290" s="625" t="str">
        <f>Exposition!P291</f>
        <v/>
      </c>
      <c r="AB290" s="625" t="str">
        <f>Exposition!Q291</f>
        <v/>
      </c>
      <c r="AC290" s="625" t="str">
        <f>Exposition!R291</f>
        <v/>
      </c>
      <c r="AD290" s="625" t="str">
        <f>Exposition!S291</f>
        <v/>
      </c>
      <c r="AE290" s="625" t="str">
        <f>Exposition!T291</f>
        <v/>
      </c>
      <c r="AF290" s="625" t="str">
        <f>Exposition!U291</f>
        <v/>
      </c>
      <c r="AG290" s="623"/>
      <c r="AH290" s="621" t="str">
        <f>PRIX!A291</f>
        <v/>
      </c>
      <c r="AI290" s="626" t="str">
        <f>PRIX!B291</f>
        <v/>
      </c>
      <c r="AJ290" s="626" t="str">
        <f>PRIX!C291</f>
        <v/>
      </c>
      <c r="AK290" s="627" t="str">
        <f>PRIX!D291</f>
        <v/>
      </c>
      <c r="AL290" s="626" t="str">
        <f>PRIX!E291</f>
        <v/>
      </c>
      <c r="AM290" s="626" t="str">
        <f>PRIX!F291</f>
        <v/>
      </c>
      <c r="AN290" s="627" t="str">
        <f>PRIX!G291</f>
        <v/>
      </c>
      <c r="AO290" s="627" t="str">
        <f>PRIX!H291</f>
        <v/>
      </c>
      <c r="AP290" s="631" t="str">
        <f>PRIX!I291</f>
        <v/>
      </c>
      <c r="AQ290" s="628" t="str">
        <f>PRIX!J291</f>
        <v/>
      </c>
      <c r="AR290" s="631" t="str">
        <f>PRIX!K291</f>
        <v/>
      </c>
      <c r="AS290" s="631" t="str">
        <f>PRIX!L291</f>
        <v/>
      </c>
      <c r="AT290" s="631" t="str">
        <f>PRIX!M291</f>
        <v/>
      </c>
      <c r="AU290" s="629" t="str">
        <f>PRIX!N291</f>
        <v/>
      </c>
      <c r="AV290" s="631" t="str">
        <f>PRIX!O291</f>
        <v/>
      </c>
      <c r="AW290" s="631" t="str">
        <f>PRIX!P291</f>
        <v/>
      </c>
      <c r="AX290" s="630" t="str">
        <f>PRIX!Q291</f>
        <v/>
      </c>
      <c r="AY290" s="631" t="str">
        <f>PRIX!R291</f>
        <v/>
      </c>
      <c r="AZ290" s="631" t="str">
        <f>PRIX!S291</f>
        <v/>
      </c>
      <c r="BA290" s="623"/>
    </row>
    <row r="291">
      <c r="A291" s="621" t="str">
        <f>ARBITRAGES!E292</f>
        <v/>
      </c>
      <c r="B291" s="623" t="str">
        <f>IF(A291="","",IF(ARBITRAGES!F292="Invest","Achat","Vente"))</f>
        <v/>
      </c>
      <c r="C291" s="623" t="str">
        <f>ARBITRAGES!H292</f>
        <v/>
      </c>
      <c r="D291" s="624" t="str">
        <f>ARBITRAGES!I292</f>
        <v/>
      </c>
      <c r="E291" s="624" t="str">
        <f>ARBITRAGES!J292</f>
        <v/>
      </c>
      <c r="F291" s="623"/>
      <c r="G291" s="623" t="str">
        <f>'PV (%)'!B293</f>
        <v/>
      </c>
      <c r="H291" s="624" t="str">
        <f>'PV (%)'!E293</f>
        <v/>
      </c>
      <c r="I291" s="624" t="str">
        <f>'PV (%)'!F293</f>
        <v/>
      </c>
      <c r="J291" s="623" t="str">
        <f>'PV (%)'!G293</f>
        <v/>
      </c>
      <c r="K291" s="623"/>
      <c r="L291" s="621" t="str">
        <f>Exposition!A292</f>
        <v/>
      </c>
      <c r="M291" s="625" t="str">
        <f>Exposition!B292</f>
        <v/>
      </c>
      <c r="N291" s="625" t="str">
        <f>Exposition!C292</f>
        <v/>
      </c>
      <c r="O291" s="625" t="str">
        <f>Exposition!D292</f>
        <v/>
      </c>
      <c r="P291" s="625" t="str">
        <f>Exposition!E292</f>
        <v/>
      </c>
      <c r="Q291" s="625" t="str">
        <f>Exposition!F292</f>
        <v/>
      </c>
      <c r="R291" s="625" t="str">
        <f>Exposition!G292</f>
        <v/>
      </c>
      <c r="S291" s="625" t="str">
        <f>Exposition!H292</f>
        <v/>
      </c>
      <c r="T291" s="625" t="str">
        <f>Exposition!I292</f>
        <v/>
      </c>
      <c r="U291" s="625" t="str">
        <f>Exposition!J292</f>
        <v/>
      </c>
      <c r="V291" s="625" t="str">
        <f>Exposition!K292</f>
        <v/>
      </c>
      <c r="W291" s="625" t="str">
        <f>Exposition!L292</f>
        <v/>
      </c>
      <c r="X291" s="625" t="str">
        <f>Exposition!M292</f>
        <v/>
      </c>
      <c r="Y291" s="625" t="str">
        <f>Exposition!N292</f>
        <v/>
      </c>
      <c r="Z291" s="625" t="str">
        <f>Exposition!O292</f>
        <v/>
      </c>
      <c r="AA291" s="625" t="str">
        <f>Exposition!P292</f>
        <v/>
      </c>
      <c r="AB291" s="625" t="str">
        <f>Exposition!Q292</f>
        <v/>
      </c>
      <c r="AC291" s="625" t="str">
        <f>Exposition!R292</f>
        <v/>
      </c>
      <c r="AD291" s="625" t="str">
        <f>Exposition!S292</f>
        <v/>
      </c>
      <c r="AE291" s="625" t="str">
        <f>Exposition!T292</f>
        <v/>
      </c>
      <c r="AF291" s="625" t="str">
        <f>Exposition!U292</f>
        <v/>
      </c>
      <c r="AG291" s="623"/>
      <c r="AH291" s="621" t="str">
        <f>PRIX!A292</f>
        <v/>
      </c>
      <c r="AI291" s="626" t="str">
        <f>PRIX!B292</f>
        <v/>
      </c>
      <c r="AJ291" s="626" t="str">
        <f>PRIX!C292</f>
        <v/>
      </c>
      <c r="AK291" s="627" t="str">
        <f>PRIX!D292</f>
        <v/>
      </c>
      <c r="AL291" s="626" t="str">
        <f>PRIX!E292</f>
        <v/>
      </c>
      <c r="AM291" s="626" t="str">
        <f>PRIX!F292</f>
        <v/>
      </c>
      <c r="AN291" s="627" t="str">
        <f>PRIX!G292</f>
        <v/>
      </c>
      <c r="AO291" s="627" t="str">
        <f>PRIX!H292</f>
        <v/>
      </c>
      <c r="AP291" s="631" t="str">
        <f>PRIX!I292</f>
        <v/>
      </c>
      <c r="AQ291" s="628" t="str">
        <f>PRIX!J292</f>
        <v/>
      </c>
      <c r="AR291" s="631" t="str">
        <f>PRIX!K292</f>
        <v/>
      </c>
      <c r="AS291" s="631" t="str">
        <f>PRIX!L292</f>
        <v/>
      </c>
      <c r="AT291" s="631" t="str">
        <f>PRIX!M292</f>
        <v/>
      </c>
      <c r="AU291" s="629" t="str">
        <f>PRIX!N292</f>
        <v/>
      </c>
      <c r="AV291" s="631" t="str">
        <f>PRIX!O292</f>
        <v/>
      </c>
      <c r="AW291" s="631" t="str">
        <f>PRIX!P292</f>
        <v/>
      </c>
      <c r="AX291" s="630" t="str">
        <f>PRIX!Q292</f>
        <v/>
      </c>
      <c r="AY291" s="631" t="str">
        <f>PRIX!R292</f>
        <v/>
      </c>
      <c r="AZ291" s="631" t="str">
        <f>PRIX!S292</f>
        <v/>
      </c>
      <c r="BA291" s="623"/>
    </row>
    <row r="292">
      <c r="A292" s="621" t="str">
        <f>ARBITRAGES!E293</f>
        <v/>
      </c>
      <c r="B292" s="623" t="str">
        <f>IF(A292="","",IF(ARBITRAGES!F293="Invest","Achat","Vente"))</f>
        <v/>
      </c>
      <c r="C292" s="623" t="str">
        <f>ARBITRAGES!H293</f>
        <v/>
      </c>
      <c r="D292" s="624" t="str">
        <f>ARBITRAGES!I293</f>
        <v/>
      </c>
      <c r="E292" s="624" t="str">
        <f>ARBITRAGES!J293</f>
        <v/>
      </c>
      <c r="F292" s="623"/>
      <c r="G292" s="623" t="str">
        <f>'PV (%)'!B294</f>
        <v/>
      </c>
      <c r="H292" s="624" t="str">
        <f>'PV (%)'!E294</f>
        <v/>
      </c>
      <c r="I292" s="624" t="str">
        <f>'PV (%)'!F294</f>
        <v/>
      </c>
      <c r="J292" s="623" t="str">
        <f>'PV (%)'!G294</f>
        <v/>
      </c>
      <c r="K292" s="623"/>
      <c r="L292" s="621" t="str">
        <f>Exposition!A293</f>
        <v/>
      </c>
      <c r="M292" s="625" t="str">
        <f>Exposition!B293</f>
        <v/>
      </c>
      <c r="N292" s="625" t="str">
        <f>Exposition!C293</f>
        <v/>
      </c>
      <c r="O292" s="625" t="str">
        <f>Exposition!D293</f>
        <v/>
      </c>
      <c r="P292" s="625" t="str">
        <f>Exposition!E293</f>
        <v/>
      </c>
      <c r="Q292" s="625" t="str">
        <f>Exposition!F293</f>
        <v/>
      </c>
      <c r="R292" s="625" t="str">
        <f>Exposition!G293</f>
        <v/>
      </c>
      <c r="S292" s="625" t="str">
        <f>Exposition!H293</f>
        <v/>
      </c>
      <c r="T292" s="625" t="str">
        <f>Exposition!I293</f>
        <v/>
      </c>
      <c r="U292" s="625" t="str">
        <f>Exposition!J293</f>
        <v/>
      </c>
      <c r="V292" s="625" t="str">
        <f>Exposition!K293</f>
        <v/>
      </c>
      <c r="W292" s="625" t="str">
        <f>Exposition!L293</f>
        <v/>
      </c>
      <c r="X292" s="625" t="str">
        <f>Exposition!M293</f>
        <v/>
      </c>
      <c r="Y292" s="625" t="str">
        <f>Exposition!N293</f>
        <v/>
      </c>
      <c r="Z292" s="625" t="str">
        <f>Exposition!O293</f>
        <v/>
      </c>
      <c r="AA292" s="625" t="str">
        <f>Exposition!P293</f>
        <v/>
      </c>
      <c r="AB292" s="625" t="str">
        <f>Exposition!Q293</f>
        <v/>
      </c>
      <c r="AC292" s="625" t="str">
        <f>Exposition!R293</f>
        <v/>
      </c>
      <c r="AD292" s="625" t="str">
        <f>Exposition!S293</f>
        <v/>
      </c>
      <c r="AE292" s="625" t="str">
        <f>Exposition!T293</f>
        <v/>
      </c>
      <c r="AF292" s="625" t="str">
        <f>Exposition!U293</f>
        <v/>
      </c>
      <c r="AG292" s="623"/>
      <c r="AH292" s="621" t="str">
        <f>PRIX!A293</f>
        <v/>
      </c>
      <c r="AI292" s="626" t="str">
        <f>PRIX!B293</f>
        <v/>
      </c>
      <c r="AJ292" s="626" t="str">
        <f>PRIX!C293</f>
        <v/>
      </c>
      <c r="AK292" s="627" t="str">
        <f>PRIX!D293</f>
        <v/>
      </c>
      <c r="AL292" s="626" t="str">
        <f>PRIX!E293</f>
        <v/>
      </c>
      <c r="AM292" s="626" t="str">
        <f>PRIX!F293</f>
        <v/>
      </c>
      <c r="AN292" s="627" t="str">
        <f>PRIX!G293</f>
        <v/>
      </c>
      <c r="AO292" s="627" t="str">
        <f>PRIX!H293</f>
        <v/>
      </c>
      <c r="AP292" s="631" t="str">
        <f>PRIX!I293</f>
        <v/>
      </c>
      <c r="AQ292" s="628" t="str">
        <f>PRIX!J293</f>
        <v/>
      </c>
      <c r="AR292" s="631" t="str">
        <f>PRIX!K293</f>
        <v/>
      </c>
      <c r="AS292" s="631" t="str">
        <f>PRIX!L293</f>
        <v/>
      </c>
      <c r="AT292" s="631" t="str">
        <f>PRIX!M293</f>
        <v/>
      </c>
      <c r="AU292" s="629" t="str">
        <f>PRIX!N293</f>
        <v/>
      </c>
      <c r="AV292" s="631" t="str">
        <f>PRIX!O293</f>
        <v/>
      </c>
      <c r="AW292" s="631" t="str">
        <f>PRIX!P293</f>
        <v/>
      </c>
      <c r="AX292" s="630" t="str">
        <f>PRIX!Q293</f>
        <v/>
      </c>
      <c r="AY292" s="631" t="str">
        <f>PRIX!R293</f>
        <v/>
      </c>
      <c r="AZ292" s="631" t="str">
        <f>PRIX!S293</f>
        <v/>
      </c>
      <c r="BA292" s="623"/>
    </row>
    <row r="293">
      <c r="A293" s="621" t="str">
        <f>ARBITRAGES!E294</f>
        <v/>
      </c>
      <c r="B293" s="623" t="str">
        <f>IF(A293="","",IF(ARBITRAGES!F294="Invest","Achat","Vente"))</f>
        <v/>
      </c>
      <c r="C293" s="623" t="str">
        <f>ARBITRAGES!H294</f>
        <v/>
      </c>
      <c r="D293" s="624" t="str">
        <f>ARBITRAGES!I294</f>
        <v/>
      </c>
      <c r="E293" s="624" t="str">
        <f>ARBITRAGES!J294</f>
        <v/>
      </c>
      <c r="F293" s="623"/>
      <c r="G293" s="623" t="str">
        <f>'PV (%)'!B295</f>
        <v/>
      </c>
      <c r="H293" s="624" t="str">
        <f>'PV (%)'!E295</f>
        <v/>
      </c>
      <c r="I293" s="624" t="str">
        <f>'PV (%)'!F295</f>
        <v/>
      </c>
      <c r="J293" s="623" t="str">
        <f>'PV (%)'!G295</f>
        <v/>
      </c>
      <c r="K293" s="623"/>
      <c r="L293" s="621" t="str">
        <f>Exposition!A294</f>
        <v/>
      </c>
      <c r="M293" s="625" t="str">
        <f>Exposition!B294</f>
        <v/>
      </c>
      <c r="N293" s="625" t="str">
        <f>Exposition!C294</f>
        <v/>
      </c>
      <c r="O293" s="625" t="str">
        <f>Exposition!D294</f>
        <v/>
      </c>
      <c r="P293" s="625" t="str">
        <f>Exposition!E294</f>
        <v/>
      </c>
      <c r="Q293" s="625" t="str">
        <f>Exposition!F294</f>
        <v/>
      </c>
      <c r="R293" s="625" t="str">
        <f>Exposition!G294</f>
        <v/>
      </c>
      <c r="S293" s="625" t="str">
        <f>Exposition!H294</f>
        <v/>
      </c>
      <c r="T293" s="625" t="str">
        <f>Exposition!I294</f>
        <v/>
      </c>
      <c r="U293" s="625" t="str">
        <f>Exposition!J294</f>
        <v/>
      </c>
      <c r="V293" s="625" t="str">
        <f>Exposition!K294</f>
        <v/>
      </c>
      <c r="W293" s="625" t="str">
        <f>Exposition!L294</f>
        <v/>
      </c>
      <c r="X293" s="625" t="str">
        <f>Exposition!M294</f>
        <v/>
      </c>
      <c r="Y293" s="625" t="str">
        <f>Exposition!N294</f>
        <v/>
      </c>
      <c r="Z293" s="625" t="str">
        <f>Exposition!O294</f>
        <v/>
      </c>
      <c r="AA293" s="625" t="str">
        <f>Exposition!P294</f>
        <v/>
      </c>
      <c r="AB293" s="625" t="str">
        <f>Exposition!Q294</f>
        <v/>
      </c>
      <c r="AC293" s="625" t="str">
        <f>Exposition!R294</f>
        <v/>
      </c>
      <c r="AD293" s="625" t="str">
        <f>Exposition!S294</f>
        <v/>
      </c>
      <c r="AE293" s="625" t="str">
        <f>Exposition!T294</f>
        <v/>
      </c>
      <c r="AF293" s="625" t="str">
        <f>Exposition!U294</f>
        <v/>
      </c>
      <c r="AG293" s="623"/>
      <c r="AH293" s="621" t="str">
        <f>PRIX!A294</f>
        <v/>
      </c>
      <c r="AI293" s="626" t="str">
        <f>PRIX!B294</f>
        <v/>
      </c>
      <c r="AJ293" s="626" t="str">
        <f>PRIX!C294</f>
        <v/>
      </c>
      <c r="AK293" s="627" t="str">
        <f>PRIX!D294</f>
        <v/>
      </c>
      <c r="AL293" s="626" t="str">
        <f>PRIX!E294</f>
        <v/>
      </c>
      <c r="AM293" s="626" t="str">
        <f>PRIX!F294</f>
        <v/>
      </c>
      <c r="AN293" s="627" t="str">
        <f>PRIX!G294</f>
        <v/>
      </c>
      <c r="AO293" s="627" t="str">
        <f>PRIX!H294</f>
        <v/>
      </c>
      <c r="AP293" s="631" t="str">
        <f>PRIX!I294</f>
        <v/>
      </c>
      <c r="AQ293" s="628" t="str">
        <f>PRIX!J294</f>
        <v/>
      </c>
      <c r="AR293" s="631" t="str">
        <f>PRIX!K294</f>
        <v/>
      </c>
      <c r="AS293" s="631" t="str">
        <f>PRIX!L294</f>
        <v/>
      </c>
      <c r="AT293" s="631" t="str">
        <f>PRIX!M294</f>
        <v/>
      </c>
      <c r="AU293" s="629" t="str">
        <f>PRIX!N294</f>
        <v/>
      </c>
      <c r="AV293" s="631" t="str">
        <f>PRIX!O294</f>
        <v/>
      </c>
      <c r="AW293" s="631" t="str">
        <f>PRIX!P294</f>
        <v/>
      </c>
      <c r="AX293" s="630" t="str">
        <f>PRIX!Q294</f>
        <v/>
      </c>
      <c r="AY293" s="631" t="str">
        <f>PRIX!R294</f>
        <v/>
      </c>
      <c r="AZ293" s="631" t="str">
        <f>PRIX!S294</f>
        <v/>
      </c>
      <c r="BA293" s="623"/>
    </row>
    <row r="294">
      <c r="A294" s="621" t="str">
        <f>ARBITRAGES!E295</f>
        <v/>
      </c>
      <c r="B294" s="623" t="str">
        <f>IF(A294="","",IF(ARBITRAGES!F295="Invest","Achat","Vente"))</f>
        <v/>
      </c>
      <c r="C294" s="623" t="str">
        <f>ARBITRAGES!H295</f>
        <v/>
      </c>
      <c r="D294" s="624" t="str">
        <f>ARBITRAGES!I295</f>
        <v/>
      </c>
      <c r="E294" s="624" t="str">
        <f>ARBITRAGES!J295</f>
        <v/>
      </c>
      <c r="F294" s="623"/>
      <c r="G294" s="623" t="str">
        <f>'PV (%)'!B296</f>
        <v/>
      </c>
      <c r="H294" s="624" t="str">
        <f>'PV (%)'!E296</f>
        <v/>
      </c>
      <c r="I294" s="624" t="str">
        <f>'PV (%)'!F296</f>
        <v/>
      </c>
      <c r="J294" s="623" t="str">
        <f>'PV (%)'!G296</f>
        <v/>
      </c>
      <c r="K294" s="623"/>
      <c r="L294" s="621" t="str">
        <f>Exposition!A295</f>
        <v/>
      </c>
      <c r="M294" s="625" t="str">
        <f>Exposition!B295</f>
        <v/>
      </c>
      <c r="N294" s="625" t="str">
        <f>Exposition!C295</f>
        <v/>
      </c>
      <c r="O294" s="625" t="str">
        <f>Exposition!D295</f>
        <v/>
      </c>
      <c r="P294" s="625" t="str">
        <f>Exposition!E295</f>
        <v/>
      </c>
      <c r="Q294" s="625" t="str">
        <f>Exposition!F295</f>
        <v/>
      </c>
      <c r="R294" s="625" t="str">
        <f>Exposition!G295</f>
        <v/>
      </c>
      <c r="S294" s="625" t="str">
        <f>Exposition!H295</f>
        <v/>
      </c>
      <c r="T294" s="625" t="str">
        <f>Exposition!I295</f>
        <v/>
      </c>
      <c r="U294" s="625" t="str">
        <f>Exposition!J295</f>
        <v/>
      </c>
      <c r="V294" s="625" t="str">
        <f>Exposition!K295</f>
        <v/>
      </c>
      <c r="W294" s="625" t="str">
        <f>Exposition!L295</f>
        <v/>
      </c>
      <c r="X294" s="625" t="str">
        <f>Exposition!M295</f>
        <v/>
      </c>
      <c r="Y294" s="625" t="str">
        <f>Exposition!N295</f>
        <v/>
      </c>
      <c r="Z294" s="625" t="str">
        <f>Exposition!O295</f>
        <v/>
      </c>
      <c r="AA294" s="625" t="str">
        <f>Exposition!P295</f>
        <v/>
      </c>
      <c r="AB294" s="625" t="str">
        <f>Exposition!Q295</f>
        <v/>
      </c>
      <c r="AC294" s="625" t="str">
        <f>Exposition!R295</f>
        <v/>
      </c>
      <c r="AD294" s="625" t="str">
        <f>Exposition!S295</f>
        <v/>
      </c>
      <c r="AE294" s="625" t="str">
        <f>Exposition!T295</f>
        <v/>
      </c>
      <c r="AF294" s="625" t="str">
        <f>Exposition!U295</f>
        <v/>
      </c>
      <c r="AG294" s="623"/>
      <c r="AH294" s="621" t="str">
        <f>PRIX!A295</f>
        <v/>
      </c>
      <c r="AI294" s="626" t="str">
        <f>PRIX!B295</f>
        <v/>
      </c>
      <c r="AJ294" s="626" t="str">
        <f>PRIX!C295</f>
        <v/>
      </c>
      <c r="AK294" s="627" t="str">
        <f>PRIX!D295</f>
        <v/>
      </c>
      <c r="AL294" s="626" t="str">
        <f>PRIX!E295</f>
        <v/>
      </c>
      <c r="AM294" s="626" t="str">
        <f>PRIX!F295</f>
        <v/>
      </c>
      <c r="AN294" s="627" t="str">
        <f>PRIX!G295</f>
        <v/>
      </c>
      <c r="AO294" s="627" t="str">
        <f>PRIX!H295</f>
        <v/>
      </c>
      <c r="AP294" s="631" t="str">
        <f>PRIX!I295</f>
        <v/>
      </c>
      <c r="AQ294" s="628" t="str">
        <f>PRIX!J295</f>
        <v/>
      </c>
      <c r="AR294" s="631" t="str">
        <f>PRIX!K295</f>
        <v/>
      </c>
      <c r="AS294" s="631" t="str">
        <f>PRIX!L295</f>
        <v/>
      </c>
      <c r="AT294" s="631" t="str">
        <f>PRIX!M295</f>
        <v/>
      </c>
      <c r="AU294" s="629" t="str">
        <f>PRIX!N295</f>
        <v/>
      </c>
      <c r="AV294" s="631" t="str">
        <f>PRIX!O295</f>
        <v/>
      </c>
      <c r="AW294" s="631" t="str">
        <f>PRIX!P295</f>
        <v/>
      </c>
      <c r="AX294" s="630" t="str">
        <f>PRIX!Q295</f>
        <v/>
      </c>
      <c r="AY294" s="631" t="str">
        <f>PRIX!R295</f>
        <v/>
      </c>
      <c r="AZ294" s="631" t="str">
        <f>PRIX!S295</f>
        <v/>
      </c>
      <c r="BA294" s="623"/>
    </row>
    <row r="295">
      <c r="A295" s="621" t="str">
        <f>ARBITRAGES!E296</f>
        <v/>
      </c>
      <c r="B295" s="623" t="str">
        <f>IF(A295="","",IF(ARBITRAGES!F296="Invest","Achat","Vente"))</f>
        <v/>
      </c>
      <c r="C295" s="623" t="str">
        <f>ARBITRAGES!H296</f>
        <v/>
      </c>
      <c r="D295" s="624" t="str">
        <f>ARBITRAGES!I296</f>
        <v/>
      </c>
      <c r="E295" s="624" t="str">
        <f>ARBITRAGES!J296</f>
        <v/>
      </c>
      <c r="F295" s="623"/>
      <c r="G295" s="623" t="str">
        <f>'PV (%)'!B297</f>
        <v/>
      </c>
      <c r="H295" s="624" t="str">
        <f>'PV (%)'!E297</f>
        <v/>
      </c>
      <c r="I295" s="624" t="str">
        <f>'PV (%)'!F297</f>
        <v/>
      </c>
      <c r="J295" s="623" t="str">
        <f>'PV (%)'!G297</f>
        <v/>
      </c>
      <c r="K295" s="623"/>
      <c r="L295" s="621" t="str">
        <f>Exposition!A296</f>
        <v/>
      </c>
      <c r="M295" s="625" t="str">
        <f>Exposition!B296</f>
        <v/>
      </c>
      <c r="N295" s="625" t="str">
        <f>Exposition!C296</f>
        <v/>
      </c>
      <c r="O295" s="625" t="str">
        <f>Exposition!D296</f>
        <v/>
      </c>
      <c r="P295" s="625" t="str">
        <f>Exposition!E296</f>
        <v/>
      </c>
      <c r="Q295" s="625" t="str">
        <f>Exposition!F296</f>
        <v/>
      </c>
      <c r="R295" s="625" t="str">
        <f>Exposition!G296</f>
        <v/>
      </c>
      <c r="S295" s="625" t="str">
        <f>Exposition!H296</f>
        <v/>
      </c>
      <c r="T295" s="625" t="str">
        <f>Exposition!I296</f>
        <v/>
      </c>
      <c r="U295" s="625" t="str">
        <f>Exposition!J296</f>
        <v/>
      </c>
      <c r="V295" s="625" t="str">
        <f>Exposition!K296</f>
        <v/>
      </c>
      <c r="W295" s="625" t="str">
        <f>Exposition!L296</f>
        <v/>
      </c>
      <c r="X295" s="625" t="str">
        <f>Exposition!M296</f>
        <v/>
      </c>
      <c r="Y295" s="625" t="str">
        <f>Exposition!N296</f>
        <v/>
      </c>
      <c r="Z295" s="625" t="str">
        <f>Exposition!O296</f>
        <v/>
      </c>
      <c r="AA295" s="625" t="str">
        <f>Exposition!P296</f>
        <v/>
      </c>
      <c r="AB295" s="625" t="str">
        <f>Exposition!Q296</f>
        <v/>
      </c>
      <c r="AC295" s="625" t="str">
        <f>Exposition!R296</f>
        <v/>
      </c>
      <c r="AD295" s="625" t="str">
        <f>Exposition!S296</f>
        <v/>
      </c>
      <c r="AE295" s="625" t="str">
        <f>Exposition!T296</f>
        <v/>
      </c>
      <c r="AF295" s="625" t="str">
        <f>Exposition!U296</f>
        <v/>
      </c>
      <c r="AG295" s="623"/>
      <c r="AH295" s="621" t="str">
        <f>PRIX!A296</f>
        <v/>
      </c>
      <c r="AI295" s="626" t="str">
        <f>PRIX!B296</f>
        <v/>
      </c>
      <c r="AJ295" s="626" t="str">
        <f>PRIX!C296</f>
        <v/>
      </c>
      <c r="AK295" s="627" t="str">
        <f>PRIX!D296</f>
        <v/>
      </c>
      <c r="AL295" s="626" t="str">
        <f>PRIX!E296</f>
        <v/>
      </c>
      <c r="AM295" s="626" t="str">
        <f>PRIX!F296</f>
        <v/>
      </c>
      <c r="AN295" s="627" t="str">
        <f>PRIX!G296</f>
        <v/>
      </c>
      <c r="AO295" s="627" t="str">
        <f>PRIX!H296</f>
        <v/>
      </c>
      <c r="AP295" s="631" t="str">
        <f>PRIX!I296</f>
        <v/>
      </c>
      <c r="AQ295" s="628" t="str">
        <f>PRIX!J296</f>
        <v/>
      </c>
      <c r="AR295" s="631" t="str">
        <f>PRIX!K296</f>
        <v/>
      </c>
      <c r="AS295" s="631" t="str">
        <f>PRIX!L296</f>
        <v/>
      </c>
      <c r="AT295" s="631" t="str">
        <f>PRIX!M296</f>
        <v/>
      </c>
      <c r="AU295" s="629" t="str">
        <f>PRIX!N296</f>
        <v/>
      </c>
      <c r="AV295" s="631" t="str">
        <f>PRIX!O296</f>
        <v/>
      </c>
      <c r="AW295" s="631" t="str">
        <f>PRIX!P296</f>
        <v/>
      </c>
      <c r="AX295" s="630" t="str">
        <f>PRIX!Q296</f>
        <v/>
      </c>
      <c r="AY295" s="631" t="str">
        <f>PRIX!R296</f>
        <v/>
      </c>
      <c r="AZ295" s="631" t="str">
        <f>PRIX!S296</f>
        <v/>
      </c>
      <c r="BA295" s="623"/>
    </row>
    <row r="296">
      <c r="A296" s="621" t="str">
        <f>ARBITRAGES!E297</f>
        <v/>
      </c>
      <c r="B296" s="623" t="str">
        <f>IF(A296="","",IF(ARBITRAGES!F297="Invest","Achat","Vente"))</f>
        <v/>
      </c>
      <c r="C296" s="623" t="str">
        <f>ARBITRAGES!H297</f>
        <v/>
      </c>
      <c r="D296" s="624" t="str">
        <f>ARBITRAGES!I297</f>
        <v/>
      </c>
      <c r="E296" s="624" t="str">
        <f>ARBITRAGES!J297</f>
        <v/>
      </c>
      <c r="F296" s="623"/>
      <c r="G296" s="623" t="str">
        <f>'PV (%)'!B298</f>
        <v/>
      </c>
      <c r="H296" s="624" t="str">
        <f>'PV (%)'!E298</f>
        <v/>
      </c>
      <c r="I296" s="624" t="str">
        <f>'PV (%)'!F298</f>
        <v/>
      </c>
      <c r="J296" s="623" t="str">
        <f>'PV (%)'!G298</f>
        <v/>
      </c>
      <c r="K296" s="623"/>
      <c r="L296" s="621" t="str">
        <f>Exposition!A297</f>
        <v/>
      </c>
      <c r="M296" s="625" t="str">
        <f>Exposition!B297</f>
        <v/>
      </c>
      <c r="N296" s="625" t="str">
        <f>Exposition!C297</f>
        <v/>
      </c>
      <c r="O296" s="625" t="str">
        <f>Exposition!D297</f>
        <v/>
      </c>
      <c r="P296" s="625" t="str">
        <f>Exposition!E297</f>
        <v/>
      </c>
      <c r="Q296" s="625" t="str">
        <f>Exposition!F297</f>
        <v/>
      </c>
      <c r="R296" s="625" t="str">
        <f>Exposition!G297</f>
        <v/>
      </c>
      <c r="S296" s="625" t="str">
        <f>Exposition!H297</f>
        <v/>
      </c>
      <c r="T296" s="625" t="str">
        <f>Exposition!I297</f>
        <v/>
      </c>
      <c r="U296" s="625" t="str">
        <f>Exposition!J297</f>
        <v/>
      </c>
      <c r="V296" s="625" t="str">
        <f>Exposition!K297</f>
        <v/>
      </c>
      <c r="W296" s="625" t="str">
        <f>Exposition!L297</f>
        <v/>
      </c>
      <c r="X296" s="625" t="str">
        <f>Exposition!M297</f>
        <v/>
      </c>
      <c r="Y296" s="625" t="str">
        <f>Exposition!N297</f>
        <v/>
      </c>
      <c r="Z296" s="625" t="str">
        <f>Exposition!O297</f>
        <v/>
      </c>
      <c r="AA296" s="625" t="str">
        <f>Exposition!P297</f>
        <v/>
      </c>
      <c r="AB296" s="625" t="str">
        <f>Exposition!Q297</f>
        <v/>
      </c>
      <c r="AC296" s="625" t="str">
        <f>Exposition!R297</f>
        <v/>
      </c>
      <c r="AD296" s="625" t="str">
        <f>Exposition!S297</f>
        <v/>
      </c>
      <c r="AE296" s="625" t="str">
        <f>Exposition!T297</f>
        <v/>
      </c>
      <c r="AF296" s="625" t="str">
        <f>Exposition!U297</f>
        <v/>
      </c>
      <c r="AG296" s="623"/>
      <c r="AH296" s="621" t="str">
        <f>PRIX!A297</f>
        <v/>
      </c>
      <c r="AI296" s="626" t="str">
        <f>PRIX!B297</f>
        <v/>
      </c>
      <c r="AJ296" s="626" t="str">
        <f>PRIX!C297</f>
        <v/>
      </c>
      <c r="AK296" s="627" t="str">
        <f>PRIX!D297</f>
        <v/>
      </c>
      <c r="AL296" s="626" t="str">
        <f>PRIX!E297</f>
        <v/>
      </c>
      <c r="AM296" s="626" t="str">
        <f>PRIX!F297</f>
        <v/>
      </c>
      <c r="AN296" s="627" t="str">
        <f>PRIX!G297</f>
        <v/>
      </c>
      <c r="AO296" s="627" t="str">
        <f>PRIX!H297</f>
        <v/>
      </c>
      <c r="AP296" s="631" t="str">
        <f>PRIX!I297</f>
        <v/>
      </c>
      <c r="AQ296" s="628" t="str">
        <f>PRIX!J297</f>
        <v/>
      </c>
      <c r="AR296" s="631" t="str">
        <f>PRIX!K297</f>
        <v/>
      </c>
      <c r="AS296" s="631" t="str">
        <f>PRIX!L297</f>
        <v/>
      </c>
      <c r="AT296" s="631" t="str">
        <f>PRIX!M297</f>
        <v/>
      </c>
      <c r="AU296" s="629" t="str">
        <f>PRIX!N297</f>
        <v/>
      </c>
      <c r="AV296" s="631" t="str">
        <f>PRIX!O297</f>
        <v/>
      </c>
      <c r="AW296" s="631" t="str">
        <f>PRIX!P297</f>
        <v/>
      </c>
      <c r="AX296" s="630" t="str">
        <f>PRIX!Q297</f>
        <v/>
      </c>
      <c r="AY296" s="631" t="str">
        <f>PRIX!R297</f>
        <v/>
      </c>
      <c r="AZ296" s="631" t="str">
        <f>PRIX!S297</f>
        <v/>
      </c>
      <c r="BA296" s="623"/>
    </row>
    <row r="297">
      <c r="A297" s="621" t="str">
        <f>ARBITRAGES!E298</f>
        <v/>
      </c>
      <c r="B297" s="623" t="str">
        <f>IF(A297="","",IF(ARBITRAGES!F298="Invest","Achat","Vente"))</f>
        <v/>
      </c>
      <c r="C297" s="623" t="str">
        <f>ARBITRAGES!H298</f>
        <v/>
      </c>
      <c r="D297" s="624" t="str">
        <f>ARBITRAGES!I298</f>
        <v/>
      </c>
      <c r="E297" s="624" t="str">
        <f>ARBITRAGES!J298</f>
        <v/>
      </c>
      <c r="F297" s="623"/>
      <c r="G297" s="623" t="str">
        <f>'PV (%)'!B299</f>
        <v/>
      </c>
      <c r="H297" s="624" t="str">
        <f>'PV (%)'!E299</f>
        <v/>
      </c>
      <c r="I297" s="624" t="str">
        <f>'PV (%)'!F299</f>
        <v/>
      </c>
      <c r="J297" s="623" t="str">
        <f>'PV (%)'!G299</f>
        <v/>
      </c>
      <c r="K297" s="623"/>
      <c r="L297" s="621" t="str">
        <f>Exposition!A298</f>
        <v/>
      </c>
      <c r="M297" s="625" t="str">
        <f>Exposition!B298</f>
        <v/>
      </c>
      <c r="N297" s="625" t="str">
        <f>Exposition!C298</f>
        <v/>
      </c>
      <c r="O297" s="625" t="str">
        <f>Exposition!D298</f>
        <v/>
      </c>
      <c r="P297" s="625" t="str">
        <f>Exposition!E298</f>
        <v/>
      </c>
      <c r="Q297" s="625" t="str">
        <f>Exposition!F298</f>
        <v/>
      </c>
      <c r="R297" s="625" t="str">
        <f>Exposition!G298</f>
        <v/>
      </c>
      <c r="S297" s="625" t="str">
        <f>Exposition!H298</f>
        <v/>
      </c>
      <c r="T297" s="625" t="str">
        <f>Exposition!I298</f>
        <v/>
      </c>
      <c r="U297" s="625" t="str">
        <f>Exposition!J298</f>
        <v/>
      </c>
      <c r="V297" s="625" t="str">
        <f>Exposition!K298</f>
        <v/>
      </c>
      <c r="W297" s="625" t="str">
        <f>Exposition!L298</f>
        <v/>
      </c>
      <c r="X297" s="625" t="str">
        <f>Exposition!M298</f>
        <v/>
      </c>
      <c r="Y297" s="625" t="str">
        <f>Exposition!N298</f>
        <v/>
      </c>
      <c r="Z297" s="625" t="str">
        <f>Exposition!O298</f>
        <v/>
      </c>
      <c r="AA297" s="625" t="str">
        <f>Exposition!P298</f>
        <v/>
      </c>
      <c r="AB297" s="625" t="str">
        <f>Exposition!Q298</f>
        <v/>
      </c>
      <c r="AC297" s="625" t="str">
        <f>Exposition!R298</f>
        <v/>
      </c>
      <c r="AD297" s="625" t="str">
        <f>Exposition!S298</f>
        <v/>
      </c>
      <c r="AE297" s="625" t="str">
        <f>Exposition!T298</f>
        <v/>
      </c>
      <c r="AF297" s="625" t="str">
        <f>Exposition!U298</f>
        <v/>
      </c>
      <c r="AG297" s="623"/>
      <c r="AH297" s="621" t="str">
        <f>PRIX!A298</f>
        <v/>
      </c>
      <c r="AI297" s="626" t="str">
        <f>PRIX!B298</f>
        <v/>
      </c>
      <c r="AJ297" s="626" t="str">
        <f>PRIX!C298</f>
        <v/>
      </c>
      <c r="AK297" s="627" t="str">
        <f>PRIX!D298</f>
        <v/>
      </c>
      <c r="AL297" s="626" t="str">
        <f>PRIX!E298</f>
        <v/>
      </c>
      <c r="AM297" s="626" t="str">
        <f>PRIX!F298</f>
        <v/>
      </c>
      <c r="AN297" s="627" t="str">
        <f>PRIX!G298</f>
        <v/>
      </c>
      <c r="AO297" s="627" t="str">
        <f>PRIX!H298</f>
        <v/>
      </c>
      <c r="AP297" s="631" t="str">
        <f>PRIX!I298</f>
        <v/>
      </c>
      <c r="AQ297" s="628" t="str">
        <f>PRIX!J298</f>
        <v/>
      </c>
      <c r="AR297" s="631" t="str">
        <f>PRIX!K298</f>
        <v/>
      </c>
      <c r="AS297" s="631" t="str">
        <f>PRIX!L298</f>
        <v/>
      </c>
      <c r="AT297" s="631" t="str">
        <f>PRIX!M298</f>
        <v/>
      </c>
      <c r="AU297" s="629" t="str">
        <f>PRIX!N298</f>
        <v/>
      </c>
      <c r="AV297" s="631" t="str">
        <f>PRIX!O298</f>
        <v/>
      </c>
      <c r="AW297" s="631" t="str">
        <f>PRIX!P298</f>
        <v/>
      </c>
      <c r="AX297" s="630" t="str">
        <f>PRIX!Q298</f>
        <v/>
      </c>
      <c r="AY297" s="631" t="str">
        <f>PRIX!R298</f>
        <v/>
      </c>
      <c r="AZ297" s="631" t="str">
        <f>PRIX!S298</f>
        <v/>
      </c>
      <c r="BA297" s="623"/>
    </row>
    <row r="298">
      <c r="A298" s="621" t="str">
        <f>ARBITRAGES!E299</f>
        <v/>
      </c>
      <c r="B298" s="623" t="str">
        <f>IF(A298="","",IF(ARBITRAGES!F299="Invest","Achat","Vente"))</f>
        <v/>
      </c>
      <c r="C298" s="623" t="str">
        <f>ARBITRAGES!H299</f>
        <v/>
      </c>
      <c r="D298" s="624" t="str">
        <f>ARBITRAGES!I299</f>
        <v/>
      </c>
      <c r="E298" s="624" t="str">
        <f>ARBITRAGES!J299</f>
        <v/>
      </c>
      <c r="F298" s="623"/>
      <c r="G298" s="623" t="str">
        <f>'PV (%)'!B300</f>
        <v/>
      </c>
      <c r="H298" s="624" t="str">
        <f>'PV (%)'!E300</f>
        <v/>
      </c>
      <c r="I298" s="624" t="str">
        <f>'PV (%)'!F300</f>
        <v/>
      </c>
      <c r="J298" s="623" t="str">
        <f>'PV (%)'!G300</f>
        <v/>
      </c>
      <c r="K298" s="623"/>
      <c r="L298" s="621" t="str">
        <f>Exposition!A299</f>
        <v/>
      </c>
      <c r="M298" s="625" t="str">
        <f>Exposition!B299</f>
        <v/>
      </c>
      <c r="N298" s="625" t="str">
        <f>Exposition!C299</f>
        <v/>
      </c>
      <c r="O298" s="625" t="str">
        <f>Exposition!D299</f>
        <v/>
      </c>
      <c r="P298" s="625" t="str">
        <f>Exposition!E299</f>
        <v/>
      </c>
      <c r="Q298" s="625" t="str">
        <f>Exposition!F299</f>
        <v/>
      </c>
      <c r="R298" s="625" t="str">
        <f>Exposition!G299</f>
        <v/>
      </c>
      <c r="S298" s="625" t="str">
        <f>Exposition!H299</f>
        <v/>
      </c>
      <c r="T298" s="625" t="str">
        <f>Exposition!I299</f>
        <v/>
      </c>
      <c r="U298" s="625" t="str">
        <f>Exposition!J299</f>
        <v/>
      </c>
      <c r="V298" s="625" t="str">
        <f>Exposition!K299</f>
        <v/>
      </c>
      <c r="W298" s="625" t="str">
        <f>Exposition!L299</f>
        <v/>
      </c>
      <c r="X298" s="625" t="str">
        <f>Exposition!M299</f>
        <v/>
      </c>
      <c r="Y298" s="625" t="str">
        <f>Exposition!N299</f>
        <v/>
      </c>
      <c r="Z298" s="625" t="str">
        <f>Exposition!O299</f>
        <v/>
      </c>
      <c r="AA298" s="625" t="str">
        <f>Exposition!P299</f>
        <v/>
      </c>
      <c r="AB298" s="625" t="str">
        <f>Exposition!Q299</f>
        <v/>
      </c>
      <c r="AC298" s="625" t="str">
        <f>Exposition!R299</f>
        <v/>
      </c>
      <c r="AD298" s="625" t="str">
        <f>Exposition!S299</f>
        <v/>
      </c>
      <c r="AE298" s="625" t="str">
        <f>Exposition!T299</f>
        <v/>
      </c>
      <c r="AF298" s="625" t="str">
        <f>Exposition!U299</f>
        <v/>
      </c>
      <c r="AG298" s="623"/>
      <c r="AH298" s="621" t="str">
        <f>PRIX!A299</f>
        <v/>
      </c>
      <c r="AI298" s="626" t="str">
        <f>PRIX!B299</f>
        <v/>
      </c>
      <c r="AJ298" s="626" t="str">
        <f>PRIX!C299</f>
        <v/>
      </c>
      <c r="AK298" s="627" t="str">
        <f>PRIX!D299</f>
        <v/>
      </c>
      <c r="AL298" s="626" t="str">
        <f>PRIX!E299</f>
        <v/>
      </c>
      <c r="AM298" s="626" t="str">
        <f>PRIX!F299</f>
        <v/>
      </c>
      <c r="AN298" s="627" t="str">
        <f>PRIX!G299</f>
        <v/>
      </c>
      <c r="AO298" s="627" t="str">
        <f>PRIX!H299</f>
        <v/>
      </c>
      <c r="AP298" s="631" t="str">
        <f>PRIX!I299</f>
        <v/>
      </c>
      <c r="AQ298" s="628" t="str">
        <f>PRIX!J299</f>
        <v/>
      </c>
      <c r="AR298" s="631" t="str">
        <f>PRIX!K299</f>
        <v/>
      </c>
      <c r="AS298" s="631" t="str">
        <f>PRIX!L299</f>
        <v/>
      </c>
      <c r="AT298" s="631" t="str">
        <f>PRIX!M299</f>
        <v/>
      </c>
      <c r="AU298" s="629" t="str">
        <f>PRIX!N299</f>
        <v/>
      </c>
      <c r="AV298" s="631" t="str">
        <f>PRIX!O299</f>
        <v/>
      </c>
      <c r="AW298" s="631" t="str">
        <f>PRIX!P299</f>
        <v/>
      </c>
      <c r="AX298" s="630" t="str">
        <f>PRIX!Q299</f>
        <v/>
      </c>
      <c r="AY298" s="631" t="str">
        <f>PRIX!R299</f>
        <v/>
      </c>
      <c r="AZ298" s="631" t="str">
        <f>PRIX!S299</f>
        <v/>
      </c>
      <c r="BA298" s="623"/>
    </row>
    <row r="299">
      <c r="A299" s="621" t="str">
        <f>ARBITRAGES!E300</f>
        <v/>
      </c>
      <c r="B299" s="623" t="str">
        <f>IF(A299="","",IF(ARBITRAGES!F300="Invest","Achat","Vente"))</f>
        <v/>
      </c>
      <c r="C299" s="623" t="str">
        <f>ARBITRAGES!H300</f>
        <v/>
      </c>
      <c r="D299" s="624" t="str">
        <f>ARBITRAGES!I300</f>
        <v/>
      </c>
      <c r="E299" s="624" t="str">
        <f>ARBITRAGES!J300</f>
        <v/>
      </c>
      <c r="F299" s="623"/>
      <c r="G299" s="623" t="str">
        <f>'PV (%)'!B301</f>
        <v/>
      </c>
      <c r="H299" s="624" t="str">
        <f>'PV (%)'!E301</f>
        <v/>
      </c>
      <c r="I299" s="624" t="str">
        <f>'PV (%)'!F301</f>
        <v/>
      </c>
      <c r="J299" s="623" t="str">
        <f>'PV (%)'!G301</f>
        <v/>
      </c>
      <c r="K299" s="623"/>
      <c r="L299" s="621" t="str">
        <f>Exposition!A300</f>
        <v/>
      </c>
      <c r="M299" s="625" t="str">
        <f>Exposition!B300</f>
        <v/>
      </c>
      <c r="N299" s="625" t="str">
        <f>Exposition!C300</f>
        <v/>
      </c>
      <c r="O299" s="625" t="str">
        <f>Exposition!D300</f>
        <v/>
      </c>
      <c r="P299" s="625" t="str">
        <f>Exposition!E300</f>
        <v/>
      </c>
      <c r="Q299" s="625" t="str">
        <f>Exposition!F300</f>
        <v/>
      </c>
      <c r="R299" s="625" t="str">
        <f>Exposition!G300</f>
        <v/>
      </c>
      <c r="S299" s="625" t="str">
        <f>Exposition!H300</f>
        <v/>
      </c>
      <c r="T299" s="625" t="str">
        <f>Exposition!I300</f>
        <v/>
      </c>
      <c r="U299" s="625" t="str">
        <f>Exposition!J300</f>
        <v/>
      </c>
      <c r="V299" s="625" t="str">
        <f>Exposition!K300</f>
        <v/>
      </c>
      <c r="W299" s="625" t="str">
        <f>Exposition!L300</f>
        <v/>
      </c>
      <c r="X299" s="625" t="str">
        <f>Exposition!M300</f>
        <v/>
      </c>
      <c r="Y299" s="625" t="str">
        <f>Exposition!N300</f>
        <v/>
      </c>
      <c r="Z299" s="625" t="str">
        <f>Exposition!O300</f>
        <v/>
      </c>
      <c r="AA299" s="625" t="str">
        <f>Exposition!P300</f>
        <v/>
      </c>
      <c r="AB299" s="625" t="str">
        <f>Exposition!Q300</f>
        <v/>
      </c>
      <c r="AC299" s="625" t="str">
        <f>Exposition!R300</f>
        <v/>
      </c>
      <c r="AD299" s="625" t="str">
        <f>Exposition!S300</f>
        <v/>
      </c>
      <c r="AE299" s="625" t="str">
        <f>Exposition!T300</f>
        <v/>
      </c>
      <c r="AF299" s="625" t="str">
        <f>Exposition!U300</f>
        <v/>
      </c>
      <c r="AG299" s="623"/>
      <c r="AH299" s="621" t="str">
        <f>PRIX!A300</f>
        <v/>
      </c>
      <c r="AI299" s="626" t="str">
        <f>PRIX!B300</f>
        <v/>
      </c>
      <c r="AJ299" s="626" t="str">
        <f>PRIX!C300</f>
        <v/>
      </c>
      <c r="AK299" s="627" t="str">
        <f>PRIX!D300</f>
        <v/>
      </c>
      <c r="AL299" s="626" t="str">
        <f>PRIX!E300</f>
        <v/>
      </c>
      <c r="AM299" s="626" t="str">
        <f>PRIX!F300</f>
        <v/>
      </c>
      <c r="AN299" s="627" t="str">
        <f>PRIX!G300</f>
        <v/>
      </c>
      <c r="AO299" s="627" t="str">
        <f>PRIX!H300</f>
        <v/>
      </c>
      <c r="AP299" s="631" t="str">
        <f>PRIX!I300</f>
        <v/>
      </c>
      <c r="AQ299" s="628" t="str">
        <f>PRIX!J300</f>
        <v/>
      </c>
      <c r="AR299" s="631" t="str">
        <f>PRIX!K300</f>
        <v/>
      </c>
      <c r="AS299" s="631" t="str">
        <f>PRIX!L300</f>
        <v/>
      </c>
      <c r="AT299" s="631" t="str">
        <f>PRIX!M300</f>
        <v/>
      </c>
      <c r="AU299" s="629" t="str">
        <f>PRIX!N300</f>
        <v/>
      </c>
      <c r="AV299" s="631" t="str">
        <f>PRIX!O300</f>
        <v/>
      </c>
      <c r="AW299" s="631" t="str">
        <f>PRIX!P300</f>
        <v/>
      </c>
      <c r="AX299" s="630" t="str">
        <f>PRIX!Q300</f>
        <v/>
      </c>
      <c r="AY299" s="631" t="str">
        <f>PRIX!R300</f>
        <v/>
      </c>
      <c r="AZ299" s="631" t="str">
        <f>PRIX!S300</f>
        <v/>
      </c>
      <c r="BA299" s="623"/>
    </row>
    <row r="300">
      <c r="A300" s="621" t="str">
        <f>ARBITRAGES!E301</f>
        <v/>
      </c>
      <c r="B300" s="623" t="str">
        <f>IF(A300="","",IF(ARBITRAGES!F301="Invest","Achat","Vente"))</f>
        <v/>
      </c>
      <c r="C300" s="623" t="str">
        <f>ARBITRAGES!H301</f>
        <v/>
      </c>
      <c r="D300" s="624" t="str">
        <f>ARBITRAGES!I301</f>
        <v/>
      </c>
      <c r="E300" s="624" t="str">
        <f>ARBITRAGES!J301</f>
        <v/>
      </c>
      <c r="F300" s="623"/>
      <c r="G300" s="623" t="str">
        <f>'PV (%)'!B302</f>
        <v/>
      </c>
      <c r="H300" s="624" t="str">
        <f>'PV (%)'!E302</f>
        <v/>
      </c>
      <c r="I300" s="624" t="str">
        <f>'PV (%)'!F302</f>
        <v/>
      </c>
      <c r="J300" s="623" t="str">
        <f>'PV (%)'!G302</f>
        <v/>
      </c>
      <c r="K300" s="623"/>
      <c r="L300" s="621" t="str">
        <f>Exposition!A301</f>
        <v/>
      </c>
      <c r="M300" s="625" t="str">
        <f>Exposition!B301</f>
        <v/>
      </c>
      <c r="N300" s="625" t="str">
        <f>Exposition!C301</f>
        <v/>
      </c>
      <c r="O300" s="625" t="str">
        <f>Exposition!D301</f>
        <v/>
      </c>
      <c r="P300" s="625" t="str">
        <f>Exposition!E301</f>
        <v/>
      </c>
      <c r="Q300" s="625" t="str">
        <f>Exposition!F301</f>
        <v/>
      </c>
      <c r="R300" s="625" t="str">
        <f>Exposition!G301</f>
        <v/>
      </c>
      <c r="S300" s="625" t="str">
        <f>Exposition!H301</f>
        <v/>
      </c>
      <c r="T300" s="625" t="str">
        <f>Exposition!I301</f>
        <v/>
      </c>
      <c r="U300" s="625" t="str">
        <f>Exposition!J301</f>
        <v/>
      </c>
      <c r="V300" s="625" t="str">
        <f>Exposition!K301</f>
        <v/>
      </c>
      <c r="W300" s="625" t="str">
        <f>Exposition!L301</f>
        <v/>
      </c>
      <c r="X300" s="625" t="str">
        <f>Exposition!M301</f>
        <v/>
      </c>
      <c r="Y300" s="625" t="str">
        <f>Exposition!N301</f>
        <v/>
      </c>
      <c r="Z300" s="625" t="str">
        <f>Exposition!O301</f>
        <v/>
      </c>
      <c r="AA300" s="625" t="str">
        <f>Exposition!P301</f>
        <v/>
      </c>
      <c r="AB300" s="625" t="str">
        <f>Exposition!Q301</f>
        <v/>
      </c>
      <c r="AC300" s="625" t="str">
        <f>Exposition!R301</f>
        <v/>
      </c>
      <c r="AD300" s="625" t="str">
        <f>Exposition!S301</f>
        <v/>
      </c>
      <c r="AE300" s="625" t="str">
        <f>Exposition!T301</f>
        <v/>
      </c>
      <c r="AF300" s="625" t="str">
        <f>Exposition!U301</f>
        <v/>
      </c>
      <c r="AG300" s="623"/>
      <c r="AH300" s="621" t="str">
        <f>PRIX!A301</f>
        <v/>
      </c>
      <c r="AI300" s="626" t="str">
        <f>PRIX!B301</f>
        <v/>
      </c>
      <c r="AJ300" s="626" t="str">
        <f>PRIX!C301</f>
        <v/>
      </c>
      <c r="AK300" s="627" t="str">
        <f>PRIX!D301</f>
        <v/>
      </c>
      <c r="AL300" s="626" t="str">
        <f>PRIX!E301</f>
        <v/>
      </c>
      <c r="AM300" s="626" t="str">
        <f>PRIX!F301</f>
        <v/>
      </c>
      <c r="AN300" s="627" t="str">
        <f>PRIX!G301</f>
        <v/>
      </c>
      <c r="AO300" s="627" t="str">
        <f>PRIX!H301</f>
        <v/>
      </c>
      <c r="AP300" s="631" t="str">
        <f>PRIX!I301</f>
        <v/>
      </c>
      <c r="AQ300" s="628" t="str">
        <f>PRIX!J301</f>
        <v/>
      </c>
      <c r="AR300" s="631" t="str">
        <f>PRIX!K301</f>
        <v/>
      </c>
      <c r="AS300" s="631" t="str">
        <f>PRIX!L301</f>
        <v/>
      </c>
      <c r="AT300" s="631" t="str">
        <f>PRIX!M301</f>
        <v/>
      </c>
      <c r="AU300" s="629" t="str">
        <f>PRIX!N301</f>
        <v/>
      </c>
      <c r="AV300" s="631" t="str">
        <f>PRIX!O301</f>
        <v/>
      </c>
      <c r="AW300" s="631" t="str">
        <f>PRIX!P301</f>
        <v/>
      </c>
      <c r="AX300" s="630" t="str">
        <f>PRIX!Q301</f>
        <v/>
      </c>
      <c r="AY300" s="631" t="str">
        <f>PRIX!R301</f>
        <v/>
      </c>
      <c r="AZ300" s="631" t="str">
        <f>PRIX!S301</f>
        <v/>
      </c>
      <c r="BA300" s="623"/>
    </row>
    <row r="301">
      <c r="A301" s="621" t="str">
        <f>ARBITRAGES!E302</f>
        <v/>
      </c>
      <c r="B301" s="623" t="str">
        <f>IF(A301="","",IF(ARBITRAGES!F302="Invest","Achat","Vente"))</f>
        <v/>
      </c>
      <c r="C301" s="623" t="str">
        <f>ARBITRAGES!H302</f>
        <v/>
      </c>
      <c r="D301" s="624" t="str">
        <f>ARBITRAGES!I302</f>
        <v/>
      </c>
      <c r="E301" s="624" t="str">
        <f>ARBITRAGES!J302</f>
        <v/>
      </c>
      <c r="F301" s="623"/>
      <c r="G301" s="623" t="str">
        <f>'PV (%)'!B303</f>
        <v/>
      </c>
      <c r="H301" s="624" t="str">
        <f>'PV (%)'!E303</f>
        <v/>
      </c>
      <c r="I301" s="624" t="str">
        <f>'PV (%)'!F303</f>
        <v/>
      </c>
      <c r="J301" s="623" t="str">
        <f>'PV (%)'!G303</f>
        <v/>
      </c>
      <c r="K301" s="623"/>
      <c r="L301" s="621" t="str">
        <f>Exposition!A302</f>
        <v/>
      </c>
      <c r="M301" s="625" t="str">
        <f>Exposition!B302</f>
        <v/>
      </c>
      <c r="N301" s="625" t="str">
        <f>Exposition!C302</f>
        <v/>
      </c>
      <c r="O301" s="625" t="str">
        <f>Exposition!D302</f>
        <v/>
      </c>
      <c r="P301" s="625" t="str">
        <f>Exposition!E302</f>
        <v/>
      </c>
      <c r="Q301" s="625" t="str">
        <f>Exposition!F302</f>
        <v/>
      </c>
      <c r="R301" s="625" t="str">
        <f>Exposition!G302</f>
        <v/>
      </c>
      <c r="S301" s="625" t="str">
        <f>Exposition!H302</f>
        <v/>
      </c>
      <c r="T301" s="625" t="str">
        <f>Exposition!I302</f>
        <v/>
      </c>
      <c r="U301" s="625" t="str">
        <f>Exposition!J302</f>
        <v/>
      </c>
      <c r="V301" s="625" t="str">
        <f>Exposition!K302</f>
        <v/>
      </c>
      <c r="W301" s="625" t="str">
        <f>Exposition!L302</f>
        <v/>
      </c>
      <c r="X301" s="625" t="str">
        <f>Exposition!M302</f>
        <v/>
      </c>
      <c r="Y301" s="625" t="str">
        <f>Exposition!N302</f>
        <v/>
      </c>
      <c r="Z301" s="625" t="str">
        <f>Exposition!O302</f>
        <v/>
      </c>
      <c r="AA301" s="625" t="str">
        <f>Exposition!P302</f>
        <v/>
      </c>
      <c r="AB301" s="625" t="str">
        <f>Exposition!Q302</f>
        <v/>
      </c>
      <c r="AC301" s="625" t="str">
        <f>Exposition!R302</f>
        <v/>
      </c>
      <c r="AD301" s="625" t="str">
        <f>Exposition!S302</f>
        <v/>
      </c>
      <c r="AE301" s="625" t="str">
        <f>Exposition!T302</f>
        <v/>
      </c>
      <c r="AF301" s="625" t="str">
        <f>Exposition!U302</f>
        <v/>
      </c>
      <c r="AG301" s="623"/>
      <c r="AH301" s="621" t="str">
        <f>PRIX!A302</f>
        <v/>
      </c>
      <c r="AI301" s="626" t="str">
        <f>PRIX!B302</f>
        <v/>
      </c>
      <c r="AJ301" s="626" t="str">
        <f>PRIX!C302</f>
        <v/>
      </c>
      <c r="AK301" s="627" t="str">
        <f>PRIX!D302</f>
        <v/>
      </c>
      <c r="AL301" s="626" t="str">
        <f>PRIX!E302</f>
        <v/>
      </c>
      <c r="AM301" s="626" t="str">
        <f>PRIX!F302</f>
        <v/>
      </c>
      <c r="AN301" s="627" t="str">
        <f>PRIX!G302</f>
        <v/>
      </c>
      <c r="AO301" s="627" t="str">
        <f>PRIX!H302</f>
        <v/>
      </c>
      <c r="AP301" s="631" t="str">
        <f>PRIX!I302</f>
        <v/>
      </c>
      <c r="AQ301" s="628" t="str">
        <f>PRIX!J302</f>
        <v/>
      </c>
      <c r="AR301" s="631" t="str">
        <f>PRIX!K302</f>
        <v/>
      </c>
      <c r="AS301" s="631" t="str">
        <f>PRIX!L302</f>
        <v/>
      </c>
      <c r="AT301" s="631" t="str">
        <f>PRIX!M302</f>
        <v/>
      </c>
      <c r="AU301" s="629" t="str">
        <f>PRIX!N302</f>
        <v/>
      </c>
      <c r="AV301" s="631" t="str">
        <f>PRIX!O302</f>
        <v/>
      </c>
      <c r="AW301" s="631" t="str">
        <f>PRIX!P302</f>
        <v/>
      </c>
      <c r="AX301" s="630" t="str">
        <f>PRIX!Q302</f>
        <v/>
      </c>
      <c r="AY301" s="631" t="str">
        <f>PRIX!R302</f>
        <v/>
      </c>
      <c r="AZ301" s="631" t="str">
        <f>PRIX!S302</f>
        <v/>
      </c>
      <c r="BA301" s="623"/>
    </row>
    <row r="302">
      <c r="A302" s="621" t="str">
        <f>ARBITRAGES!E303</f>
        <v/>
      </c>
      <c r="B302" s="623" t="str">
        <f>IF(A302="","",IF(ARBITRAGES!F303="Invest","Achat","Vente"))</f>
        <v/>
      </c>
      <c r="C302" s="623" t="str">
        <f>ARBITRAGES!H303</f>
        <v/>
      </c>
      <c r="D302" s="624" t="str">
        <f>ARBITRAGES!I303</f>
        <v/>
      </c>
      <c r="E302" s="624" t="str">
        <f>ARBITRAGES!J303</f>
        <v/>
      </c>
      <c r="F302" s="623"/>
      <c r="G302" s="623" t="str">
        <f>'PV (%)'!B304</f>
        <v/>
      </c>
      <c r="H302" s="624" t="str">
        <f>'PV (%)'!E304</f>
        <v/>
      </c>
      <c r="I302" s="624" t="str">
        <f>'PV (%)'!F304</f>
        <v/>
      </c>
      <c r="J302" s="623" t="str">
        <f>'PV (%)'!G304</f>
        <v/>
      </c>
      <c r="K302" s="623"/>
      <c r="L302" s="621" t="str">
        <f>Exposition!A303</f>
        <v/>
      </c>
      <c r="M302" s="625" t="str">
        <f>Exposition!B303</f>
        <v/>
      </c>
      <c r="N302" s="625" t="str">
        <f>Exposition!C303</f>
        <v/>
      </c>
      <c r="O302" s="625" t="str">
        <f>Exposition!D303</f>
        <v/>
      </c>
      <c r="P302" s="625" t="str">
        <f>Exposition!E303</f>
        <v/>
      </c>
      <c r="Q302" s="625" t="str">
        <f>Exposition!F303</f>
        <v/>
      </c>
      <c r="R302" s="625" t="str">
        <f>Exposition!G303</f>
        <v/>
      </c>
      <c r="S302" s="625" t="str">
        <f>Exposition!H303</f>
        <v/>
      </c>
      <c r="T302" s="625" t="str">
        <f>Exposition!I303</f>
        <v/>
      </c>
      <c r="U302" s="625" t="str">
        <f>Exposition!J303</f>
        <v/>
      </c>
      <c r="V302" s="625" t="str">
        <f>Exposition!K303</f>
        <v/>
      </c>
      <c r="W302" s="625" t="str">
        <f>Exposition!L303</f>
        <v/>
      </c>
      <c r="X302" s="625" t="str">
        <f>Exposition!M303</f>
        <v/>
      </c>
      <c r="Y302" s="625" t="str">
        <f>Exposition!N303</f>
        <v/>
      </c>
      <c r="Z302" s="625" t="str">
        <f>Exposition!O303</f>
        <v/>
      </c>
      <c r="AA302" s="625" t="str">
        <f>Exposition!P303</f>
        <v/>
      </c>
      <c r="AB302" s="625" t="str">
        <f>Exposition!Q303</f>
        <v/>
      </c>
      <c r="AC302" s="625" t="str">
        <f>Exposition!R303</f>
        <v/>
      </c>
      <c r="AD302" s="625" t="str">
        <f>Exposition!S303</f>
        <v/>
      </c>
      <c r="AE302" s="625" t="str">
        <f>Exposition!T303</f>
        <v/>
      </c>
      <c r="AF302" s="625" t="str">
        <f>Exposition!U303</f>
        <v/>
      </c>
      <c r="AG302" s="623"/>
      <c r="AH302" s="621" t="str">
        <f>PRIX!A303</f>
        <v/>
      </c>
      <c r="AI302" s="626" t="str">
        <f>PRIX!B303</f>
        <v/>
      </c>
      <c r="AJ302" s="626" t="str">
        <f>PRIX!C303</f>
        <v/>
      </c>
      <c r="AK302" s="627" t="str">
        <f>PRIX!D303</f>
        <v/>
      </c>
      <c r="AL302" s="626" t="str">
        <f>PRIX!E303</f>
        <v/>
      </c>
      <c r="AM302" s="626" t="str">
        <f>PRIX!F303</f>
        <v/>
      </c>
      <c r="AN302" s="627" t="str">
        <f>PRIX!G303</f>
        <v/>
      </c>
      <c r="AO302" s="627" t="str">
        <f>PRIX!H303</f>
        <v/>
      </c>
      <c r="AP302" s="631" t="str">
        <f>PRIX!I303</f>
        <v/>
      </c>
      <c r="AQ302" s="628" t="str">
        <f>PRIX!J303</f>
        <v/>
      </c>
      <c r="AR302" s="631" t="str">
        <f>PRIX!K303</f>
        <v/>
      </c>
      <c r="AS302" s="631" t="str">
        <f>PRIX!L303</f>
        <v/>
      </c>
      <c r="AT302" s="631" t="str">
        <f>PRIX!M303</f>
        <v/>
      </c>
      <c r="AU302" s="629" t="str">
        <f>PRIX!N303</f>
        <v/>
      </c>
      <c r="AV302" s="631" t="str">
        <f>PRIX!O303</f>
        <v/>
      </c>
      <c r="AW302" s="631" t="str">
        <f>PRIX!P303</f>
        <v/>
      </c>
      <c r="AX302" s="630" t="str">
        <f>PRIX!Q303</f>
        <v/>
      </c>
      <c r="AY302" s="631" t="str">
        <f>PRIX!R303</f>
        <v/>
      </c>
      <c r="AZ302" s="631" t="str">
        <f>PRIX!S303</f>
        <v/>
      </c>
      <c r="BA302" s="623"/>
    </row>
    <row r="303">
      <c r="A303" s="621" t="str">
        <f>ARBITRAGES!E304</f>
        <v/>
      </c>
      <c r="B303" s="623" t="str">
        <f>IF(A303="","",IF(ARBITRAGES!F304="Invest","Achat","Vente"))</f>
        <v/>
      </c>
      <c r="C303" s="623" t="str">
        <f>ARBITRAGES!H304</f>
        <v/>
      </c>
      <c r="D303" s="624" t="str">
        <f>ARBITRAGES!I304</f>
        <v/>
      </c>
      <c r="E303" s="624" t="str">
        <f>ARBITRAGES!J304</f>
        <v/>
      </c>
      <c r="F303" s="623"/>
      <c r="G303" s="623" t="str">
        <f>'PV (%)'!B305</f>
        <v/>
      </c>
      <c r="H303" s="624" t="str">
        <f>'PV (%)'!E305</f>
        <v/>
      </c>
      <c r="I303" s="624" t="str">
        <f>'PV (%)'!F305</f>
        <v/>
      </c>
      <c r="J303" s="623" t="str">
        <f>'PV (%)'!G305</f>
        <v/>
      </c>
      <c r="K303" s="623"/>
      <c r="L303" s="621" t="str">
        <f>Exposition!A304</f>
        <v/>
      </c>
      <c r="M303" s="625" t="str">
        <f>Exposition!B304</f>
        <v/>
      </c>
      <c r="N303" s="625" t="str">
        <f>Exposition!C304</f>
        <v/>
      </c>
      <c r="O303" s="625" t="str">
        <f>Exposition!D304</f>
        <v/>
      </c>
      <c r="P303" s="625" t="str">
        <f>Exposition!E304</f>
        <v/>
      </c>
      <c r="Q303" s="625" t="str">
        <f>Exposition!F304</f>
        <v/>
      </c>
      <c r="R303" s="625" t="str">
        <f>Exposition!G304</f>
        <v/>
      </c>
      <c r="S303" s="625" t="str">
        <f>Exposition!H304</f>
        <v/>
      </c>
      <c r="T303" s="625" t="str">
        <f>Exposition!I304</f>
        <v/>
      </c>
      <c r="U303" s="625" t="str">
        <f>Exposition!J304</f>
        <v/>
      </c>
      <c r="V303" s="625" t="str">
        <f>Exposition!K304</f>
        <v/>
      </c>
      <c r="W303" s="625" t="str">
        <f>Exposition!L304</f>
        <v/>
      </c>
      <c r="X303" s="625" t="str">
        <f>Exposition!M304</f>
        <v/>
      </c>
      <c r="Y303" s="625" t="str">
        <f>Exposition!N304</f>
        <v/>
      </c>
      <c r="Z303" s="625" t="str">
        <f>Exposition!O304</f>
        <v/>
      </c>
      <c r="AA303" s="625" t="str">
        <f>Exposition!P304</f>
        <v/>
      </c>
      <c r="AB303" s="625" t="str">
        <f>Exposition!Q304</f>
        <v/>
      </c>
      <c r="AC303" s="625" t="str">
        <f>Exposition!R304</f>
        <v/>
      </c>
      <c r="AD303" s="625" t="str">
        <f>Exposition!S304</f>
        <v/>
      </c>
      <c r="AE303" s="625" t="str">
        <f>Exposition!T304</f>
        <v/>
      </c>
      <c r="AF303" s="625" t="str">
        <f>Exposition!U304</f>
        <v/>
      </c>
      <c r="AG303" s="623"/>
      <c r="AH303" s="621" t="str">
        <f>PRIX!A304</f>
        <v/>
      </c>
      <c r="AI303" s="626" t="str">
        <f>PRIX!B304</f>
        <v/>
      </c>
      <c r="AJ303" s="626" t="str">
        <f>PRIX!C304</f>
        <v/>
      </c>
      <c r="AK303" s="627" t="str">
        <f>PRIX!D304</f>
        <v/>
      </c>
      <c r="AL303" s="626" t="str">
        <f>PRIX!E304</f>
        <v/>
      </c>
      <c r="AM303" s="626" t="str">
        <f>PRIX!F304</f>
        <v/>
      </c>
      <c r="AN303" s="627" t="str">
        <f>PRIX!G304</f>
        <v/>
      </c>
      <c r="AO303" s="627" t="str">
        <f>PRIX!H304</f>
        <v/>
      </c>
      <c r="AP303" s="631" t="str">
        <f>PRIX!I304</f>
        <v/>
      </c>
      <c r="AQ303" s="628" t="str">
        <f>PRIX!J304</f>
        <v/>
      </c>
      <c r="AR303" s="631" t="str">
        <f>PRIX!K304</f>
        <v/>
      </c>
      <c r="AS303" s="631" t="str">
        <f>PRIX!L304</f>
        <v/>
      </c>
      <c r="AT303" s="631" t="str">
        <f>PRIX!M304</f>
        <v/>
      </c>
      <c r="AU303" s="629" t="str">
        <f>PRIX!N304</f>
        <v/>
      </c>
      <c r="AV303" s="631" t="str">
        <f>PRIX!O304</f>
        <v/>
      </c>
      <c r="AW303" s="631" t="str">
        <f>PRIX!P304</f>
        <v/>
      </c>
      <c r="AX303" s="630" t="str">
        <f>PRIX!Q304</f>
        <v/>
      </c>
      <c r="AY303" s="631" t="str">
        <f>PRIX!R304</f>
        <v/>
      </c>
      <c r="AZ303" s="631" t="str">
        <f>PRIX!S304</f>
        <v/>
      </c>
      <c r="BA303" s="623"/>
    </row>
    <row r="304">
      <c r="A304" s="621" t="str">
        <f>ARBITRAGES!E305</f>
        <v/>
      </c>
      <c r="B304" s="623" t="str">
        <f>IF(A304="","",IF(ARBITRAGES!F305="Invest","Achat","Vente"))</f>
        <v/>
      </c>
      <c r="C304" s="623" t="str">
        <f>ARBITRAGES!H305</f>
        <v/>
      </c>
      <c r="D304" s="624" t="str">
        <f>ARBITRAGES!I305</f>
        <v/>
      </c>
      <c r="E304" s="624" t="str">
        <f>ARBITRAGES!J305</f>
        <v/>
      </c>
      <c r="F304" s="623"/>
      <c r="G304" s="623" t="str">
        <f>'PV (%)'!B306</f>
        <v/>
      </c>
      <c r="H304" s="624" t="str">
        <f>'PV (%)'!E306</f>
        <v/>
      </c>
      <c r="I304" s="624" t="str">
        <f>'PV (%)'!F306</f>
        <v/>
      </c>
      <c r="J304" s="623" t="str">
        <f>'PV (%)'!G306</f>
        <v/>
      </c>
      <c r="K304" s="623"/>
      <c r="L304" s="621" t="str">
        <f>Exposition!A305</f>
        <v/>
      </c>
      <c r="M304" s="625" t="str">
        <f>Exposition!B305</f>
        <v/>
      </c>
      <c r="N304" s="625" t="str">
        <f>Exposition!C305</f>
        <v/>
      </c>
      <c r="O304" s="625" t="str">
        <f>Exposition!D305</f>
        <v/>
      </c>
      <c r="P304" s="625" t="str">
        <f>Exposition!E305</f>
        <v/>
      </c>
      <c r="Q304" s="625" t="str">
        <f>Exposition!F305</f>
        <v/>
      </c>
      <c r="R304" s="625" t="str">
        <f>Exposition!G305</f>
        <v/>
      </c>
      <c r="S304" s="625" t="str">
        <f>Exposition!H305</f>
        <v/>
      </c>
      <c r="T304" s="625" t="str">
        <f>Exposition!I305</f>
        <v/>
      </c>
      <c r="U304" s="625" t="str">
        <f>Exposition!J305</f>
        <v/>
      </c>
      <c r="V304" s="625" t="str">
        <f>Exposition!K305</f>
        <v/>
      </c>
      <c r="W304" s="625" t="str">
        <f>Exposition!L305</f>
        <v/>
      </c>
      <c r="X304" s="625" t="str">
        <f>Exposition!M305</f>
        <v/>
      </c>
      <c r="Y304" s="625" t="str">
        <f>Exposition!N305</f>
        <v/>
      </c>
      <c r="Z304" s="625" t="str">
        <f>Exposition!O305</f>
        <v/>
      </c>
      <c r="AA304" s="625" t="str">
        <f>Exposition!P305</f>
        <v/>
      </c>
      <c r="AB304" s="625" t="str">
        <f>Exposition!Q305</f>
        <v/>
      </c>
      <c r="AC304" s="625" t="str">
        <f>Exposition!R305</f>
        <v/>
      </c>
      <c r="AD304" s="625" t="str">
        <f>Exposition!S305</f>
        <v/>
      </c>
      <c r="AE304" s="625" t="str">
        <f>Exposition!T305</f>
        <v/>
      </c>
      <c r="AF304" s="625" t="str">
        <f>Exposition!U305</f>
        <v/>
      </c>
      <c r="AG304" s="623"/>
      <c r="AH304" s="621" t="str">
        <f>PRIX!A305</f>
        <v/>
      </c>
      <c r="AI304" s="626" t="str">
        <f>PRIX!B305</f>
        <v/>
      </c>
      <c r="AJ304" s="626" t="str">
        <f>PRIX!C305</f>
        <v/>
      </c>
      <c r="AK304" s="627" t="str">
        <f>PRIX!D305</f>
        <v/>
      </c>
      <c r="AL304" s="626" t="str">
        <f>PRIX!E305</f>
        <v/>
      </c>
      <c r="AM304" s="626" t="str">
        <f>PRIX!F305</f>
        <v/>
      </c>
      <c r="AN304" s="627" t="str">
        <f>PRIX!G305</f>
        <v/>
      </c>
      <c r="AO304" s="627" t="str">
        <f>PRIX!H305</f>
        <v/>
      </c>
      <c r="AP304" s="631" t="str">
        <f>PRIX!I305</f>
        <v/>
      </c>
      <c r="AQ304" s="628" t="str">
        <f>PRIX!J305</f>
        <v/>
      </c>
      <c r="AR304" s="631" t="str">
        <f>PRIX!K305</f>
        <v/>
      </c>
      <c r="AS304" s="631" t="str">
        <f>PRIX!L305</f>
        <v/>
      </c>
      <c r="AT304" s="631" t="str">
        <f>PRIX!M305</f>
        <v/>
      </c>
      <c r="AU304" s="629" t="str">
        <f>PRIX!N305</f>
        <v/>
      </c>
      <c r="AV304" s="631" t="str">
        <f>PRIX!O305</f>
        <v/>
      </c>
      <c r="AW304" s="631" t="str">
        <f>PRIX!P305</f>
        <v/>
      </c>
      <c r="AX304" s="630" t="str">
        <f>PRIX!Q305</f>
        <v/>
      </c>
      <c r="AY304" s="631" t="str">
        <f>PRIX!R305</f>
        <v/>
      </c>
      <c r="AZ304" s="631" t="str">
        <f>PRIX!S305</f>
        <v/>
      </c>
      <c r="BA304" s="623"/>
    </row>
    <row r="305">
      <c r="A305" s="621" t="str">
        <f>ARBITRAGES!E306</f>
        <v/>
      </c>
      <c r="B305" s="623" t="str">
        <f>IF(A305="","",IF(ARBITRAGES!F306="Invest","Achat","Vente"))</f>
        <v/>
      </c>
      <c r="C305" s="623" t="str">
        <f>ARBITRAGES!H306</f>
        <v/>
      </c>
      <c r="D305" s="624" t="str">
        <f>ARBITRAGES!I306</f>
        <v/>
      </c>
      <c r="E305" s="624" t="str">
        <f>ARBITRAGES!J306</f>
        <v/>
      </c>
      <c r="F305" s="623"/>
      <c r="G305" s="623" t="str">
        <f>'PV (%)'!B307</f>
        <v/>
      </c>
      <c r="H305" s="624" t="str">
        <f>'PV (%)'!E307</f>
        <v/>
      </c>
      <c r="I305" s="624" t="str">
        <f>'PV (%)'!F307</f>
        <v/>
      </c>
      <c r="J305" s="623" t="str">
        <f>'PV (%)'!G307</f>
        <v/>
      </c>
      <c r="K305" s="623"/>
      <c r="L305" s="621" t="str">
        <f>Exposition!A306</f>
        <v/>
      </c>
      <c r="M305" s="625" t="str">
        <f>Exposition!B306</f>
        <v/>
      </c>
      <c r="N305" s="625" t="str">
        <f>Exposition!C306</f>
        <v/>
      </c>
      <c r="O305" s="625" t="str">
        <f>Exposition!D306</f>
        <v/>
      </c>
      <c r="P305" s="625" t="str">
        <f>Exposition!E306</f>
        <v/>
      </c>
      <c r="Q305" s="625" t="str">
        <f>Exposition!F306</f>
        <v/>
      </c>
      <c r="R305" s="625" t="str">
        <f>Exposition!G306</f>
        <v/>
      </c>
      <c r="S305" s="625" t="str">
        <f>Exposition!H306</f>
        <v/>
      </c>
      <c r="T305" s="625" t="str">
        <f>Exposition!I306</f>
        <v/>
      </c>
      <c r="U305" s="625" t="str">
        <f>Exposition!J306</f>
        <v/>
      </c>
      <c r="V305" s="625" t="str">
        <f>Exposition!K306</f>
        <v/>
      </c>
      <c r="W305" s="625" t="str">
        <f>Exposition!L306</f>
        <v/>
      </c>
      <c r="X305" s="625" t="str">
        <f>Exposition!M306</f>
        <v/>
      </c>
      <c r="Y305" s="625" t="str">
        <f>Exposition!N306</f>
        <v/>
      </c>
      <c r="Z305" s="625" t="str">
        <f>Exposition!O306</f>
        <v/>
      </c>
      <c r="AA305" s="625" t="str">
        <f>Exposition!P306</f>
        <v/>
      </c>
      <c r="AB305" s="625" t="str">
        <f>Exposition!Q306</f>
        <v/>
      </c>
      <c r="AC305" s="625" t="str">
        <f>Exposition!R306</f>
        <v/>
      </c>
      <c r="AD305" s="625" t="str">
        <f>Exposition!S306</f>
        <v/>
      </c>
      <c r="AE305" s="625" t="str">
        <f>Exposition!T306</f>
        <v/>
      </c>
      <c r="AF305" s="625" t="str">
        <f>Exposition!U306</f>
        <v/>
      </c>
      <c r="AG305" s="623"/>
      <c r="AH305" s="621" t="str">
        <f>PRIX!A306</f>
        <v/>
      </c>
      <c r="AI305" s="626" t="str">
        <f>PRIX!B306</f>
        <v/>
      </c>
      <c r="AJ305" s="626" t="str">
        <f>PRIX!C306</f>
        <v/>
      </c>
      <c r="AK305" s="627" t="str">
        <f>PRIX!D306</f>
        <v/>
      </c>
      <c r="AL305" s="626" t="str">
        <f>PRIX!E306</f>
        <v/>
      </c>
      <c r="AM305" s="626" t="str">
        <f>PRIX!F306</f>
        <v/>
      </c>
      <c r="AN305" s="627" t="str">
        <f>PRIX!G306</f>
        <v/>
      </c>
      <c r="AO305" s="627" t="str">
        <f>PRIX!H306</f>
        <v/>
      </c>
      <c r="AP305" s="631" t="str">
        <f>PRIX!I306</f>
        <v/>
      </c>
      <c r="AQ305" s="628" t="str">
        <f>PRIX!J306</f>
        <v/>
      </c>
      <c r="AR305" s="631" t="str">
        <f>PRIX!K306</f>
        <v/>
      </c>
      <c r="AS305" s="631" t="str">
        <f>PRIX!L306</f>
        <v/>
      </c>
      <c r="AT305" s="631" t="str">
        <f>PRIX!M306</f>
        <v/>
      </c>
      <c r="AU305" s="629" t="str">
        <f>PRIX!N306</f>
        <v/>
      </c>
      <c r="AV305" s="631" t="str">
        <f>PRIX!O306</f>
        <v/>
      </c>
      <c r="AW305" s="631" t="str">
        <f>PRIX!P306</f>
        <v/>
      </c>
      <c r="AX305" s="630" t="str">
        <f>PRIX!Q306</f>
        <v/>
      </c>
      <c r="AY305" s="631" t="str">
        <f>PRIX!R306</f>
        <v/>
      </c>
      <c r="AZ305" s="631" t="str">
        <f>PRIX!S306</f>
        <v/>
      </c>
      <c r="BA305" s="623"/>
    </row>
    <row r="306">
      <c r="A306" s="621" t="str">
        <f>ARBITRAGES!E307</f>
        <v/>
      </c>
      <c r="B306" s="623" t="str">
        <f>IF(A306="","",IF(ARBITRAGES!F307="Invest","Achat","Vente"))</f>
        <v/>
      </c>
      <c r="C306" s="623" t="str">
        <f>ARBITRAGES!H307</f>
        <v/>
      </c>
      <c r="D306" s="624" t="str">
        <f>ARBITRAGES!I307</f>
        <v/>
      </c>
      <c r="E306" s="624" t="str">
        <f>ARBITRAGES!J307</f>
        <v/>
      </c>
      <c r="F306" s="623"/>
      <c r="G306" s="623" t="str">
        <f>'PV (%)'!B308</f>
        <v/>
      </c>
      <c r="H306" s="624" t="str">
        <f>'PV (%)'!E308</f>
        <v/>
      </c>
      <c r="I306" s="624" t="str">
        <f>'PV (%)'!F308</f>
        <v/>
      </c>
      <c r="J306" s="623" t="str">
        <f>'PV (%)'!G308</f>
        <v/>
      </c>
      <c r="K306" s="623"/>
      <c r="L306" s="621" t="str">
        <f>Exposition!A307</f>
        <v/>
      </c>
      <c r="M306" s="625" t="str">
        <f>Exposition!B307</f>
        <v/>
      </c>
      <c r="N306" s="625" t="str">
        <f>Exposition!C307</f>
        <v/>
      </c>
      <c r="O306" s="625" t="str">
        <f>Exposition!D307</f>
        <v/>
      </c>
      <c r="P306" s="625" t="str">
        <f>Exposition!E307</f>
        <v/>
      </c>
      <c r="Q306" s="625" t="str">
        <f>Exposition!F307</f>
        <v/>
      </c>
      <c r="R306" s="625" t="str">
        <f>Exposition!G307</f>
        <v/>
      </c>
      <c r="S306" s="625" t="str">
        <f>Exposition!H307</f>
        <v/>
      </c>
      <c r="T306" s="625" t="str">
        <f>Exposition!I307</f>
        <v/>
      </c>
      <c r="U306" s="625" t="str">
        <f>Exposition!J307</f>
        <v/>
      </c>
      <c r="V306" s="625" t="str">
        <f>Exposition!K307</f>
        <v/>
      </c>
      <c r="W306" s="625" t="str">
        <f>Exposition!L307</f>
        <v/>
      </c>
      <c r="X306" s="625" t="str">
        <f>Exposition!M307</f>
        <v/>
      </c>
      <c r="Y306" s="625" t="str">
        <f>Exposition!N307</f>
        <v/>
      </c>
      <c r="Z306" s="625" t="str">
        <f>Exposition!O307</f>
        <v/>
      </c>
      <c r="AA306" s="625" t="str">
        <f>Exposition!P307</f>
        <v/>
      </c>
      <c r="AB306" s="625" t="str">
        <f>Exposition!Q307</f>
        <v/>
      </c>
      <c r="AC306" s="625" t="str">
        <f>Exposition!R307</f>
        <v/>
      </c>
      <c r="AD306" s="625" t="str">
        <f>Exposition!S307</f>
        <v/>
      </c>
      <c r="AE306" s="625" t="str">
        <f>Exposition!T307</f>
        <v/>
      </c>
      <c r="AF306" s="625" t="str">
        <f>Exposition!U307</f>
        <v/>
      </c>
      <c r="AG306" s="623"/>
      <c r="AH306" s="621" t="str">
        <f>PRIX!A307</f>
        <v/>
      </c>
      <c r="AI306" s="626" t="str">
        <f>PRIX!B307</f>
        <v/>
      </c>
      <c r="AJ306" s="626" t="str">
        <f>PRIX!C307</f>
        <v/>
      </c>
      <c r="AK306" s="627" t="str">
        <f>PRIX!D307</f>
        <v/>
      </c>
      <c r="AL306" s="626" t="str">
        <f>PRIX!E307</f>
        <v/>
      </c>
      <c r="AM306" s="626" t="str">
        <f>PRIX!F307</f>
        <v/>
      </c>
      <c r="AN306" s="627" t="str">
        <f>PRIX!G307</f>
        <v/>
      </c>
      <c r="AO306" s="627" t="str">
        <f>PRIX!H307</f>
        <v/>
      </c>
      <c r="AP306" s="631" t="str">
        <f>PRIX!I307</f>
        <v/>
      </c>
      <c r="AQ306" s="628" t="str">
        <f>PRIX!J307</f>
        <v/>
      </c>
      <c r="AR306" s="631" t="str">
        <f>PRIX!K307</f>
        <v/>
      </c>
      <c r="AS306" s="631" t="str">
        <f>PRIX!L307</f>
        <v/>
      </c>
      <c r="AT306" s="631" t="str">
        <f>PRIX!M307</f>
        <v/>
      </c>
      <c r="AU306" s="629" t="str">
        <f>PRIX!N307</f>
        <v/>
      </c>
      <c r="AV306" s="631" t="str">
        <f>PRIX!O307</f>
        <v/>
      </c>
      <c r="AW306" s="631" t="str">
        <f>PRIX!P307</f>
        <v/>
      </c>
      <c r="AX306" s="630" t="str">
        <f>PRIX!Q307</f>
        <v/>
      </c>
      <c r="AY306" s="631" t="str">
        <f>PRIX!R307</f>
        <v/>
      </c>
      <c r="AZ306" s="631" t="str">
        <f>PRIX!S307</f>
        <v/>
      </c>
      <c r="BA306" s="623"/>
    </row>
    <row r="307">
      <c r="A307" s="621" t="str">
        <f>ARBITRAGES!E308</f>
        <v/>
      </c>
      <c r="B307" s="623" t="str">
        <f>IF(A307="","",IF(ARBITRAGES!F308="Invest","Achat","Vente"))</f>
        <v/>
      </c>
      <c r="C307" s="623" t="str">
        <f>ARBITRAGES!H308</f>
        <v/>
      </c>
      <c r="D307" s="624" t="str">
        <f>ARBITRAGES!I308</f>
        <v/>
      </c>
      <c r="E307" s="624" t="str">
        <f>ARBITRAGES!J308</f>
        <v/>
      </c>
      <c r="F307" s="623"/>
      <c r="G307" s="623" t="str">
        <f>'PV (%)'!B309</f>
        <v/>
      </c>
      <c r="H307" s="624" t="str">
        <f>'PV (%)'!E309</f>
        <v/>
      </c>
      <c r="I307" s="624" t="str">
        <f>'PV (%)'!F309</f>
        <v/>
      </c>
      <c r="J307" s="623" t="str">
        <f>'PV (%)'!G309</f>
        <v/>
      </c>
      <c r="K307" s="623"/>
      <c r="L307" s="621" t="str">
        <f>Exposition!A308</f>
        <v/>
      </c>
      <c r="M307" s="625" t="str">
        <f>Exposition!B308</f>
        <v/>
      </c>
      <c r="N307" s="625" t="str">
        <f>Exposition!C308</f>
        <v/>
      </c>
      <c r="O307" s="625" t="str">
        <f>Exposition!D308</f>
        <v/>
      </c>
      <c r="P307" s="625" t="str">
        <f>Exposition!E308</f>
        <v/>
      </c>
      <c r="Q307" s="625" t="str">
        <f>Exposition!F308</f>
        <v/>
      </c>
      <c r="R307" s="625" t="str">
        <f>Exposition!G308</f>
        <v/>
      </c>
      <c r="S307" s="625" t="str">
        <f>Exposition!H308</f>
        <v/>
      </c>
      <c r="T307" s="625" t="str">
        <f>Exposition!I308</f>
        <v/>
      </c>
      <c r="U307" s="625" t="str">
        <f>Exposition!J308</f>
        <v/>
      </c>
      <c r="V307" s="625" t="str">
        <f>Exposition!K308</f>
        <v/>
      </c>
      <c r="W307" s="625" t="str">
        <f>Exposition!L308</f>
        <v/>
      </c>
      <c r="X307" s="625" t="str">
        <f>Exposition!M308</f>
        <v/>
      </c>
      <c r="Y307" s="625" t="str">
        <f>Exposition!N308</f>
        <v/>
      </c>
      <c r="Z307" s="625" t="str">
        <f>Exposition!O308</f>
        <v/>
      </c>
      <c r="AA307" s="625" t="str">
        <f>Exposition!P308</f>
        <v/>
      </c>
      <c r="AB307" s="625" t="str">
        <f>Exposition!Q308</f>
        <v/>
      </c>
      <c r="AC307" s="625" t="str">
        <f>Exposition!R308</f>
        <v/>
      </c>
      <c r="AD307" s="625" t="str">
        <f>Exposition!S308</f>
        <v/>
      </c>
      <c r="AE307" s="625" t="str">
        <f>Exposition!T308</f>
        <v/>
      </c>
      <c r="AF307" s="625" t="str">
        <f>Exposition!U308</f>
        <v/>
      </c>
      <c r="AG307" s="623"/>
      <c r="AH307" s="621" t="str">
        <f>PRIX!A308</f>
        <v/>
      </c>
      <c r="AI307" s="626" t="str">
        <f>PRIX!B308</f>
        <v/>
      </c>
      <c r="AJ307" s="626" t="str">
        <f>PRIX!C308</f>
        <v/>
      </c>
      <c r="AK307" s="627" t="str">
        <f>PRIX!D308</f>
        <v/>
      </c>
      <c r="AL307" s="626" t="str">
        <f>PRIX!E308</f>
        <v/>
      </c>
      <c r="AM307" s="626" t="str">
        <f>PRIX!F308</f>
        <v/>
      </c>
      <c r="AN307" s="627" t="str">
        <f>PRIX!G308</f>
        <v/>
      </c>
      <c r="AO307" s="627" t="str">
        <f>PRIX!H308</f>
        <v/>
      </c>
      <c r="AP307" s="631" t="str">
        <f>PRIX!I308</f>
        <v/>
      </c>
      <c r="AQ307" s="628" t="str">
        <f>PRIX!J308</f>
        <v/>
      </c>
      <c r="AR307" s="631" t="str">
        <f>PRIX!K308</f>
        <v/>
      </c>
      <c r="AS307" s="631" t="str">
        <f>PRIX!L308</f>
        <v/>
      </c>
      <c r="AT307" s="631" t="str">
        <f>PRIX!M308</f>
        <v/>
      </c>
      <c r="AU307" s="629" t="str">
        <f>PRIX!N308</f>
        <v/>
      </c>
      <c r="AV307" s="631" t="str">
        <f>PRIX!O308</f>
        <v/>
      </c>
      <c r="AW307" s="631" t="str">
        <f>PRIX!P308</f>
        <v/>
      </c>
      <c r="AX307" s="630" t="str">
        <f>PRIX!Q308</f>
        <v/>
      </c>
      <c r="AY307" s="631" t="str">
        <f>PRIX!R308</f>
        <v/>
      </c>
      <c r="AZ307" s="631" t="str">
        <f>PRIX!S308</f>
        <v/>
      </c>
      <c r="BA307" s="623"/>
    </row>
    <row r="308">
      <c r="A308" s="621" t="str">
        <f>ARBITRAGES!E309</f>
        <v/>
      </c>
      <c r="B308" s="623" t="str">
        <f>IF(A308="","",IF(ARBITRAGES!F309="Invest","Achat","Vente"))</f>
        <v/>
      </c>
      <c r="C308" s="623" t="str">
        <f>ARBITRAGES!H309</f>
        <v/>
      </c>
      <c r="D308" s="624" t="str">
        <f>ARBITRAGES!I309</f>
        <v/>
      </c>
      <c r="E308" s="624" t="str">
        <f>ARBITRAGES!J309</f>
        <v/>
      </c>
      <c r="F308" s="623"/>
      <c r="G308" s="623" t="str">
        <f>'PV (%)'!B310</f>
        <v/>
      </c>
      <c r="H308" s="624" t="str">
        <f>'PV (%)'!E310</f>
        <v/>
      </c>
      <c r="I308" s="624" t="str">
        <f>'PV (%)'!F310</f>
        <v/>
      </c>
      <c r="J308" s="623" t="str">
        <f>'PV (%)'!G310</f>
        <v/>
      </c>
      <c r="K308" s="623"/>
      <c r="L308" s="621" t="str">
        <f>Exposition!A309</f>
        <v/>
      </c>
      <c r="M308" s="625" t="str">
        <f>Exposition!B309</f>
        <v/>
      </c>
      <c r="N308" s="625" t="str">
        <f>Exposition!C309</f>
        <v/>
      </c>
      <c r="O308" s="625" t="str">
        <f>Exposition!D309</f>
        <v/>
      </c>
      <c r="P308" s="625" t="str">
        <f>Exposition!E309</f>
        <v/>
      </c>
      <c r="Q308" s="625" t="str">
        <f>Exposition!F309</f>
        <v/>
      </c>
      <c r="R308" s="625" t="str">
        <f>Exposition!G309</f>
        <v/>
      </c>
      <c r="S308" s="625" t="str">
        <f>Exposition!H309</f>
        <v/>
      </c>
      <c r="T308" s="625" t="str">
        <f>Exposition!I309</f>
        <v/>
      </c>
      <c r="U308" s="625" t="str">
        <f>Exposition!J309</f>
        <v/>
      </c>
      <c r="V308" s="625" t="str">
        <f>Exposition!K309</f>
        <v/>
      </c>
      <c r="W308" s="625" t="str">
        <f>Exposition!L309</f>
        <v/>
      </c>
      <c r="X308" s="625" t="str">
        <f>Exposition!M309</f>
        <v/>
      </c>
      <c r="Y308" s="625" t="str">
        <f>Exposition!N309</f>
        <v/>
      </c>
      <c r="Z308" s="625" t="str">
        <f>Exposition!O309</f>
        <v/>
      </c>
      <c r="AA308" s="625" t="str">
        <f>Exposition!P309</f>
        <v/>
      </c>
      <c r="AB308" s="625" t="str">
        <f>Exposition!Q309</f>
        <v/>
      </c>
      <c r="AC308" s="625" t="str">
        <f>Exposition!R309</f>
        <v/>
      </c>
      <c r="AD308" s="625" t="str">
        <f>Exposition!S309</f>
        <v/>
      </c>
      <c r="AE308" s="625" t="str">
        <f>Exposition!T309</f>
        <v/>
      </c>
      <c r="AF308" s="625" t="str">
        <f>Exposition!U309</f>
        <v/>
      </c>
      <c r="AG308" s="623"/>
      <c r="AH308" s="621" t="str">
        <f>PRIX!A309</f>
        <v/>
      </c>
      <c r="AI308" s="626" t="str">
        <f>PRIX!B309</f>
        <v/>
      </c>
      <c r="AJ308" s="626" t="str">
        <f>PRIX!C309</f>
        <v/>
      </c>
      <c r="AK308" s="627" t="str">
        <f>PRIX!D309</f>
        <v/>
      </c>
      <c r="AL308" s="626" t="str">
        <f>PRIX!E309</f>
        <v/>
      </c>
      <c r="AM308" s="626" t="str">
        <f>PRIX!F309</f>
        <v/>
      </c>
      <c r="AN308" s="627" t="str">
        <f>PRIX!G309</f>
        <v/>
      </c>
      <c r="AO308" s="627" t="str">
        <f>PRIX!H309</f>
        <v/>
      </c>
      <c r="AP308" s="631" t="str">
        <f>PRIX!I309</f>
        <v/>
      </c>
      <c r="AQ308" s="628" t="str">
        <f>PRIX!J309</f>
        <v/>
      </c>
      <c r="AR308" s="631" t="str">
        <f>PRIX!K309</f>
        <v/>
      </c>
      <c r="AS308" s="631" t="str">
        <f>PRIX!L309</f>
        <v/>
      </c>
      <c r="AT308" s="631" t="str">
        <f>PRIX!M309</f>
        <v/>
      </c>
      <c r="AU308" s="629" t="str">
        <f>PRIX!N309</f>
        <v/>
      </c>
      <c r="AV308" s="631" t="str">
        <f>PRIX!O309</f>
        <v/>
      </c>
      <c r="AW308" s="631" t="str">
        <f>PRIX!P309</f>
        <v/>
      </c>
      <c r="AX308" s="630" t="str">
        <f>PRIX!Q309</f>
        <v/>
      </c>
      <c r="AY308" s="631" t="str">
        <f>PRIX!R309</f>
        <v/>
      </c>
      <c r="AZ308" s="631" t="str">
        <f>PRIX!S309</f>
        <v/>
      </c>
      <c r="BA308" s="623"/>
    </row>
    <row r="309">
      <c r="A309" s="621" t="str">
        <f>ARBITRAGES!E310</f>
        <v/>
      </c>
      <c r="B309" s="623" t="str">
        <f>IF(A309="","",IF(ARBITRAGES!F310="Invest","Achat","Vente"))</f>
        <v/>
      </c>
      <c r="C309" s="623" t="str">
        <f>ARBITRAGES!H310</f>
        <v/>
      </c>
      <c r="D309" s="624" t="str">
        <f>ARBITRAGES!I310</f>
        <v/>
      </c>
      <c r="E309" s="624" t="str">
        <f>ARBITRAGES!J310</f>
        <v/>
      </c>
      <c r="F309" s="623"/>
      <c r="G309" s="623" t="str">
        <f>'PV (%)'!B311</f>
        <v/>
      </c>
      <c r="H309" s="624" t="str">
        <f>'PV (%)'!E311</f>
        <v/>
      </c>
      <c r="I309" s="624" t="str">
        <f>'PV (%)'!F311</f>
        <v/>
      </c>
      <c r="J309" s="623" t="str">
        <f>'PV (%)'!G311</f>
        <v/>
      </c>
      <c r="K309" s="623"/>
      <c r="L309" s="621" t="str">
        <f>Exposition!A310</f>
        <v/>
      </c>
      <c r="M309" s="625" t="str">
        <f>Exposition!B310</f>
        <v/>
      </c>
      <c r="N309" s="625" t="str">
        <f>Exposition!C310</f>
        <v/>
      </c>
      <c r="O309" s="625" t="str">
        <f>Exposition!D310</f>
        <v/>
      </c>
      <c r="P309" s="625" t="str">
        <f>Exposition!E310</f>
        <v/>
      </c>
      <c r="Q309" s="625" t="str">
        <f>Exposition!F310</f>
        <v/>
      </c>
      <c r="R309" s="625" t="str">
        <f>Exposition!G310</f>
        <v/>
      </c>
      <c r="S309" s="625" t="str">
        <f>Exposition!H310</f>
        <v/>
      </c>
      <c r="T309" s="625" t="str">
        <f>Exposition!I310</f>
        <v/>
      </c>
      <c r="U309" s="625" t="str">
        <f>Exposition!J310</f>
        <v/>
      </c>
      <c r="V309" s="625" t="str">
        <f>Exposition!K310</f>
        <v/>
      </c>
      <c r="W309" s="625" t="str">
        <f>Exposition!L310</f>
        <v/>
      </c>
      <c r="X309" s="625" t="str">
        <f>Exposition!M310</f>
        <v/>
      </c>
      <c r="Y309" s="625" t="str">
        <f>Exposition!N310</f>
        <v/>
      </c>
      <c r="Z309" s="625" t="str">
        <f>Exposition!O310</f>
        <v/>
      </c>
      <c r="AA309" s="625" t="str">
        <f>Exposition!P310</f>
        <v/>
      </c>
      <c r="AB309" s="625" t="str">
        <f>Exposition!Q310</f>
        <v/>
      </c>
      <c r="AC309" s="625" t="str">
        <f>Exposition!R310</f>
        <v/>
      </c>
      <c r="AD309" s="625" t="str">
        <f>Exposition!S310</f>
        <v/>
      </c>
      <c r="AE309" s="625" t="str">
        <f>Exposition!T310</f>
        <v/>
      </c>
      <c r="AF309" s="625" t="str">
        <f>Exposition!U310</f>
        <v/>
      </c>
      <c r="AG309" s="623"/>
      <c r="AH309" s="621" t="str">
        <f>PRIX!A310</f>
        <v/>
      </c>
      <c r="AI309" s="626" t="str">
        <f>PRIX!B310</f>
        <v/>
      </c>
      <c r="AJ309" s="626" t="str">
        <f>PRIX!C310</f>
        <v/>
      </c>
      <c r="AK309" s="627" t="str">
        <f>PRIX!D310</f>
        <v/>
      </c>
      <c r="AL309" s="626" t="str">
        <f>PRIX!E310</f>
        <v/>
      </c>
      <c r="AM309" s="626" t="str">
        <f>PRIX!F310</f>
        <v/>
      </c>
      <c r="AN309" s="627" t="str">
        <f>PRIX!G310</f>
        <v/>
      </c>
      <c r="AO309" s="627" t="str">
        <f>PRIX!H310</f>
        <v/>
      </c>
      <c r="AP309" s="631" t="str">
        <f>PRIX!I310</f>
        <v/>
      </c>
      <c r="AQ309" s="628" t="str">
        <f>PRIX!J310</f>
        <v/>
      </c>
      <c r="AR309" s="631" t="str">
        <f>PRIX!K310</f>
        <v/>
      </c>
      <c r="AS309" s="631" t="str">
        <f>PRIX!L310</f>
        <v/>
      </c>
      <c r="AT309" s="631" t="str">
        <f>PRIX!M310</f>
        <v/>
      </c>
      <c r="AU309" s="629" t="str">
        <f>PRIX!N310</f>
        <v/>
      </c>
      <c r="AV309" s="631" t="str">
        <f>PRIX!O310</f>
        <v/>
      </c>
      <c r="AW309" s="631" t="str">
        <f>PRIX!P310</f>
        <v/>
      </c>
      <c r="AX309" s="630" t="str">
        <f>PRIX!Q310</f>
        <v/>
      </c>
      <c r="AY309" s="631" t="str">
        <f>PRIX!R310</f>
        <v/>
      </c>
      <c r="AZ309" s="631" t="str">
        <f>PRIX!S310</f>
        <v/>
      </c>
      <c r="BA309" s="623"/>
    </row>
    <row r="310">
      <c r="A310" s="621" t="str">
        <f>ARBITRAGES!E311</f>
        <v/>
      </c>
      <c r="B310" s="623" t="str">
        <f>IF(A310="","",IF(ARBITRAGES!F311="Invest","Achat","Vente"))</f>
        <v/>
      </c>
      <c r="C310" s="623" t="str">
        <f>ARBITRAGES!H311</f>
        <v/>
      </c>
      <c r="D310" s="624" t="str">
        <f>ARBITRAGES!I311</f>
        <v/>
      </c>
      <c r="E310" s="624" t="str">
        <f>ARBITRAGES!J311</f>
        <v/>
      </c>
      <c r="F310" s="623"/>
      <c r="G310" s="623" t="str">
        <f>'PV (%)'!B312</f>
        <v/>
      </c>
      <c r="H310" s="624" t="str">
        <f>'PV (%)'!E312</f>
        <v/>
      </c>
      <c r="I310" s="624" t="str">
        <f>'PV (%)'!F312</f>
        <v/>
      </c>
      <c r="J310" s="623" t="str">
        <f>'PV (%)'!G312</f>
        <v/>
      </c>
      <c r="K310" s="623"/>
      <c r="L310" s="621" t="str">
        <f>Exposition!A311</f>
        <v/>
      </c>
      <c r="M310" s="625" t="str">
        <f>Exposition!B311</f>
        <v/>
      </c>
      <c r="N310" s="625" t="str">
        <f>Exposition!C311</f>
        <v/>
      </c>
      <c r="O310" s="625" t="str">
        <f>Exposition!D311</f>
        <v/>
      </c>
      <c r="P310" s="625" t="str">
        <f>Exposition!E311</f>
        <v/>
      </c>
      <c r="Q310" s="625" t="str">
        <f>Exposition!F311</f>
        <v/>
      </c>
      <c r="R310" s="625" t="str">
        <f>Exposition!G311</f>
        <v/>
      </c>
      <c r="S310" s="625" t="str">
        <f>Exposition!H311</f>
        <v/>
      </c>
      <c r="T310" s="625" t="str">
        <f>Exposition!I311</f>
        <v/>
      </c>
      <c r="U310" s="625" t="str">
        <f>Exposition!J311</f>
        <v/>
      </c>
      <c r="V310" s="625" t="str">
        <f>Exposition!K311</f>
        <v/>
      </c>
      <c r="W310" s="625" t="str">
        <f>Exposition!L311</f>
        <v/>
      </c>
      <c r="X310" s="625" t="str">
        <f>Exposition!M311</f>
        <v/>
      </c>
      <c r="Y310" s="625" t="str">
        <f>Exposition!N311</f>
        <v/>
      </c>
      <c r="Z310" s="625" t="str">
        <f>Exposition!O311</f>
        <v/>
      </c>
      <c r="AA310" s="625" t="str">
        <f>Exposition!P311</f>
        <v/>
      </c>
      <c r="AB310" s="625" t="str">
        <f>Exposition!Q311</f>
        <v/>
      </c>
      <c r="AC310" s="625" t="str">
        <f>Exposition!R311</f>
        <v/>
      </c>
      <c r="AD310" s="625" t="str">
        <f>Exposition!S311</f>
        <v/>
      </c>
      <c r="AE310" s="625" t="str">
        <f>Exposition!T311</f>
        <v/>
      </c>
      <c r="AF310" s="625" t="str">
        <f>Exposition!U311</f>
        <v/>
      </c>
      <c r="AG310" s="623"/>
      <c r="AH310" s="621" t="str">
        <f>PRIX!A311</f>
        <v/>
      </c>
      <c r="AI310" s="626" t="str">
        <f>PRIX!B311</f>
        <v/>
      </c>
      <c r="AJ310" s="626" t="str">
        <f>PRIX!C311</f>
        <v/>
      </c>
      <c r="AK310" s="627" t="str">
        <f>PRIX!D311</f>
        <v/>
      </c>
      <c r="AL310" s="626" t="str">
        <f>PRIX!E311</f>
        <v/>
      </c>
      <c r="AM310" s="626" t="str">
        <f>PRIX!F311</f>
        <v/>
      </c>
      <c r="AN310" s="627" t="str">
        <f>PRIX!G311</f>
        <v/>
      </c>
      <c r="AO310" s="627" t="str">
        <f>PRIX!H311</f>
        <v/>
      </c>
      <c r="AP310" s="631" t="str">
        <f>PRIX!I311</f>
        <v/>
      </c>
      <c r="AQ310" s="628" t="str">
        <f>PRIX!J311</f>
        <v/>
      </c>
      <c r="AR310" s="631" t="str">
        <f>PRIX!K311</f>
        <v/>
      </c>
      <c r="AS310" s="631" t="str">
        <f>PRIX!L311</f>
        <v/>
      </c>
      <c r="AT310" s="631" t="str">
        <f>PRIX!M311</f>
        <v/>
      </c>
      <c r="AU310" s="629" t="str">
        <f>PRIX!N311</f>
        <v/>
      </c>
      <c r="AV310" s="631" t="str">
        <f>PRIX!O311</f>
        <v/>
      </c>
      <c r="AW310" s="631" t="str">
        <f>PRIX!P311</f>
        <v/>
      </c>
      <c r="AX310" s="630" t="str">
        <f>PRIX!Q311</f>
        <v/>
      </c>
      <c r="AY310" s="631" t="str">
        <f>PRIX!R311</f>
        <v/>
      </c>
      <c r="AZ310" s="631" t="str">
        <f>PRIX!S311</f>
        <v/>
      </c>
      <c r="BA310" s="623"/>
    </row>
    <row r="311">
      <c r="A311" s="621" t="str">
        <f>ARBITRAGES!E312</f>
        <v/>
      </c>
      <c r="B311" s="623" t="str">
        <f>IF(A311="","",IF(ARBITRAGES!F312="Invest","Achat","Vente"))</f>
        <v/>
      </c>
      <c r="C311" s="623" t="str">
        <f>ARBITRAGES!H312</f>
        <v/>
      </c>
      <c r="D311" s="624" t="str">
        <f>ARBITRAGES!I312</f>
        <v/>
      </c>
      <c r="E311" s="624" t="str">
        <f>ARBITRAGES!J312</f>
        <v/>
      </c>
      <c r="F311" s="623"/>
      <c r="G311" s="623" t="str">
        <f>'PV (%)'!B313</f>
        <v/>
      </c>
      <c r="H311" s="624" t="str">
        <f>'PV (%)'!E313</f>
        <v/>
      </c>
      <c r="I311" s="624" t="str">
        <f>'PV (%)'!F313</f>
        <v/>
      </c>
      <c r="J311" s="623" t="str">
        <f>'PV (%)'!G313</f>
        <v/>
      </c>
      <c r="K311" s="623"/>
      <c r="L311" s="621" t="str">
        <f>Exposition!A312</f>
        <v/>
      </c>
      <c r="M311" s="625" t="str">
        <f>Exposition!B312</f>
        <v/>
      </c>
      <c r="N311" s="625" t="str">
        <f>Exposition!C312</f>
        <v/>
      </c>
      <c r="O311" s="625" t="str">
        <f>Exposition!D312</f>
        <v/>
      </c>
      <c r="P311" s="625" t="str">
        <f>Exposition!E312</f>
        <v/>
      </c>
      <c r="Q311" s="625" t="str">
        <f>Exposition!F312</f>
        <v/>
      </c>
      <c r="R311" s="625" t="str">
        <f>Exposition!G312</f>
        <v/>
      </c>
      <c r="S311" s="625" t="str">
        <f>Exposition!H312</f>
        <v/>
      </c>
      <c r="T311" s="625" t="str">
        <f>Exposition!I312</f>
        <v/>
      </c>
      <c r="U311" s="625" t="str">
        <f>Exposition!J312</f>
        <v/>
      </c>
      <c r="V311" s="625" t="str">
        <f>Exposition!K312</f>
        <v/>
      </c>
      <c r="W311" s="625" t="str">
        <f>Exposition!L312</f>
        <v/>
      </c>
      <c r="X311" s="625" t="str">
        <f>Exposition!M312</f>
        <v/>
      </c>
      <c r="Y311" s="625" t="str">
        <f>Exposition!N312</f>
        <v/>
      </c>
      <c r="Z311" s="625" t="str">
        <f>Exposition!O312</f>
        <v/>
      </c>
      <c r="AA311" s="625" t="str">
        <f>Exposition!P312</f>
        <v/>
      </c>
      <c r="AB311" s="625" t="str">
        <f>Exposition!Q312</f>
        <v/>
      </c>
      <c r="AC311" s="625" t="str">
        <f>Exposition!R312</f>
        <v/>
      </c>
      <c r="AD311" s="625" t="str">
        <f>Exposition!S312</f>
        <v/>
      </c>
      <c r="AE311" s="625" t="str">
        <f>Exposition!T312</f>
        <v/>
      </c>
      <c r="AF311" s="625" t="str">
        <f>Exposition!U312</f>
        <v/>
      </c>
      <c r="AG311" s="623"/>
      <c r="AH311" s="621" t="str">
        <f>PRIX!A312</f>
        <v/>
      </c>
      <c r="AI311" s="626" t="str">
        <f>PRIX!B312</f>
        <v/>
      </c>
      <c r="AJ311" s="626" t="str">
        <f>PRIX!C312</f>
        <v/>
      </c>
      <c r="AK311" s="627" t="str">
        <f>PRIX!D312</f>
        <v/>
      </c>
      <c r="AL311" s="626" t="str">
        <f>PRIX!E312</f>
        <v/>
      </c>
      <c r="AM311" s="626" t="str">
        <f>PRIX!F312</f>
        <v/>
      </c>
      <c r="AN311" s="627" t="str">
        <f>PRIX!G312</f>
        <v/>
      </c>
      <c r="AO311" s="627" t="str">
        <f>PRIX!H312</f>
        <v/>
      </c>
      <c r="AP311" s="631" t="str">
        <f>PRIX!I312</f>
        <v/>
      </c>
      <c r="AQ311" s="628" t="str">
        <f>PRIX!J312</f>
        <v/>
      </c>
      <c r="AR311" s="631" t="str">
        <f>PRIX!K312</f>
        <v/>
      </c>
      <c r="AS311" s="631" t="str">
        <f>PRIX!L312</f>
        <v/>
      </c>
      <c r="AT311" s="631" t="str">
        <f>PRIX!M312</f>
        <v/>
      </c>
      <c r="AU311" s="629" t="str">
        <f>PRIX!N312</f>
        <v/>
      </c>
      <c r="AV311" s="631" t="str">
        <f>PRIX!O312</f>
        <v/>
      </c>
      <c r="AW311" s="631" t="str">
        <f>PRIX!P312</f>
        <v/>
      </c>
      <c r="AX311" s="630" t="str">
        <f>PRIX!Q312</f>
        <v/>
      </c>
      <c r="AY311" s="631" t="str">
        <f>PRIX!R312</f>
        <v/>
      </c>
      <c r="AZ311" s="631" t="str">
        <f>PRIX!S312</f>
        <v/>
      </c>
      <c r="BA311" s="623"/>
    </row>
    <row r="312">
      <c r="A312" s="621" t="str">
        <f>ARBITRAGES!E313</f>
        <v/>
      </c>
      <c r="B312" s="623" t="str">
        <f>IF(A312="","",IF(ARBITRAGES!F313="Invest","Achat","Vente"))</f>
        <v/>
      </c>
      <c r="C312" s="623" t="str">
        <f>ARBITRAGES!H313</f>
        <v/>
      </c>
      <c r="D312" s="624" t="str">
        <f>ARBITRAGES!I313</f>
        <v/>
      </c>
      <c r="E312" s="624" t="str">
        <f>ARBITRAGES!J313</f>
        <v/>
      </c>
      <c r="F312" s="623"/>
      <c r="G312" s="623" t="str">
        <f>'PV (%)'!B314</f>
        <v/>
      </c>
      <c r="H312" s="624" t="str">
        <f>'PV (%)'!E314</f>
        <v/>
      </c>
      <c r="I312" s="624" t="str">
        <f>'PV (%)'!F314</f>
        <v/>
      </c>
      <c r="J312" s="623" t="str">
        <f>'PV (%)'!G314</f>
        <v/>
      </c>
      <c r="K312" s="623"/>
      <c r="L312" s="621" t="str">
        <f>Exposition!A313</f>
        <v/>
      </c>
      <c r="M312" s="625" t="str">
        <f>Exposition!B313</f>
        <v/>
      </c>
      <c r="N312" s="625" t="str">
        <f>Exposition!C313</f>
        <v/>
      </c>
      <c r="O312" s="625" t="str">
        <f>Exposition!D313</f>
        <v/>
      </c>
      <c r="P312" s="625" t="str">
        <f>Exposition!E313</f>
        <v/>
      </c>
      <c r="Q312" s="625" t="str">
        <f>Exposition!F313</f>
        <v/>
      </c>
      <c r="R312" s="625" t="str">
        <f>Exposition!G313</f>
        <v/>
      </c>
      <c r="S312" s="625" t="str">
        <f>Exposition!H313</f>
        <v/>
      </c>
      <c r="T312" s="625" t="str">
        <f>Exposition!I313</f>
        <v/>
      </c>
      <c r="U312" s="625" t="str">
        <f>Exposition!J313</f>
        <v/>
      </c>
      <c r="V312" s="625" t="str">
        <f>Exposition!K313</f>
        <v/>
      </c>
      <c r="W312" s="625" t="str">
        <f>Exposition!L313</f>
        <v/>
      </c>
      <c r="X312" s="625" t="str">
        <f>Exposition!M313</f>
        <v/>
      </c>
      <c r="Y312" s="625" t="str">
        <f>Exposition!N313</f>
        <v/>
      </c>
      <c r="Z312" s="625" t="str">
        <f>Exposition!O313</f>
        <v/>
      </c>
      <c r="AA312" s="625" t="str">
        <f>Exposition!P313</f>
        <v/>
      </c>
      <c r="AB312" s="625" t="str">
        <f>Exposition!Q313</f>
        <v/>
      </c>
      <c r="AC312" s="625" t="str">
        <f>Exposition!R313</f>
        <v/>
      </c>
      <c r="AD312" s="625" t="str">
        <f>Exposition!S313</f>
        <v/>
      </c>
      <c r="AE312" s="625" t="str">
        <f>Exposition!T313</f>
        <v/>
      </c>
      <c r="AF312" s="625" t="str">
        <f>Exposition!U313</f>
        <v/>
      </c>
      <c r="AG312" s="623"/>
      <c r="AH312" s="621" t="str">
        <f>PRIX!A313</f>
        <v/>
      </c>
      <c r="AI312" s="626" t="str">
        <f>PRIX!B313</f>
        <v/>
      </c>
      <c r="AJ312" s="626" t="str">
        <f>PRIX!C313</f>
        <v/>
      </c>
      <c r="AK312" s="627" t="str">
        <f>PRIX!D313</f>
        <v/>
      </c>
      <c r="AL312" s="626" t="str">
        <f>PRIX!E313</f>
        <v/>
      </c>
      <c r="AM312" s="626" t="str">
        <f>PRIX!F313</f>
        <v/>
      </c>
      <c r="AN312" s="627" t="str">
        <f>PRIX!G313</f>
        <v/>
      </c>
      <c r="AO312" s="627" t="str">
        <f>PRIX!H313</f>
        <v/>
      </c>
      <c r="AP312" s="631" t="str">
        <f>PRIX!I313</f>
        <v/>
      </c>
      <c r="AQ312" s="628" t="str">
        <f>PRIX!J313</f>
        <v/>
      </c>
      <c r="AR312" s="631" t="str">
        <f>PRIX!K313</f>
        <v/>
      </c>
      <c r="AS312" s="631" t="str">
        <f>PRIX!L313</f>
        <v/>
      </c>
      <c r="AT312" s="631" t="str">
        <f>PRIX!M313</f>
        <v/>
      </c>
      <c r="AU312" s="629" t="str">
        <f>PRIX!N313</f>
        <v/>
      </c>
      <c r="AV312" s="631" t="str">
        <f>PRIX!O313</f>
        <v/>
      </c>
      <c r="AW312" s="631" t="str">
        <f>PRIX!P313</f>
        <v/>
      </c>
      <c r="AX312" s="630" t="str">
        <f>PRIX!Q313</f>
        <v/>
      </c>
      <c r="AY312" s="631" t="str">
        <f>PRIX!R313</f>
        <v/>
      </c>
      <c r="AZ312" s="631" t="str">
        <f>PRIX!S313</f>
        <v/>
      </c>
      <c r="BA312" s="623"/>
    </row>
    <row r="313">
      <c r="A313" s="621" t="str">
        <f>ARBITRAGES!E314</f>
        <v/>
      </c>
      <c r="B313" s="623" t="str">
        <f>IF(A313="","",IF(ARBITRAGES!F314="Invest","Achat","Vente"))</f>
        <v/>
      </c>
      <c r="C313" s="623" t="str">
        <f>ARBITRAGES!H314</f>
        <v/>
      </c>
      <c r="D313" s="624" t="str">
        <f>ARBITRAGES!I314</f>
        <v/>
      </c>
      <c r="E313" s="624" t="str">
        <f>ARBITRAGES!J314</f>
        <v/>
      </c>
      <c r="F313" s="623"/>
      <c r="G313" s="623" t="str">
        <f>'PV (%)'!B315</f>
        <v/>
      </c>
      <c r="H313" s="624" t="str">
        <f>'PV (%)'!E315</f>
        <v/>
      </c>
      <c r="I313" s="624" t="str">
        <f>'PV (%)'!F315</f>
        <v/>
      </c>
      <c r="J313" s="623" t="str">
        <f>'PV (%)'!G315</f>
        <v/>
      </c>
      <c r="K313" s="623"/>
      <c r="L313" s="621" t="str">
        <f>Exposition!A314</f>
        <v/>
      </c>
      <c r="M313" s="625" t="str">
        <f>Exposition!B314</f>
        <v/>
      </c>
      <c r="N313" s="625" t="str">
        <f>Exposition!C314</f>
        <v/>
      </c>
      <c r="O313" s="625" t="str">
        <f>Exposition!D314</f>
        <v/>
      </c>
      <c r="P313" s="625" t="str">
        <f>Exposition!E314</f>
        <v/>
      </c>
      <c r="Q313" s="625" t="str">
        <f>Exposition!F314</f>
        <v/>
      </c>
      <c r="R313" s="625" t="str">
        <f>Exposition!G314</f>
        <v/>
      </c>
      <c r="S313" s="625" t="str">
        <f>Exposition!H314</f>
        <v/>
      </c>
      <c r="T313" s="625" t="str">
        <f>Exposition!I314</f>
        <v/>
      </c>
      <c r="U313" s="625" t="str">
        <f>Exposition!J314</f>
        <v/>
      </c>
      <c r="V313" s="625" t="str">
        <f>Exposition!K314</f>
        <v/>
      </c>
      <c r="W313" s="625" t="str">
        <f>Exposition!L314</f>
        <v/>
      </c>
      <c r="X313" s="625" t="str">
        <f>Exposition!M314</f>
        <v/>
      </c>
      <c r="Y313" s="625" t="str">
        <f>Exposition!N314</f>
        <v/>
      </c>
      <c r="Z313" s="625" t="str">
        <f>Exposition!O314</f>
        <v/>
      </c>
      <c r="AA313" s="625" t="str">
        <f>Exposition!P314</f>
        <v/>
      </c>
      <c r="AB313" s="625" t="str">
        <f>Exposition!Q314</f>
        <v/>
      </c>
      <c r="AC313" s="625" t="str">
        <f>Exposition!R314</f>
        <v/>
      </c>
      <c r="AD313" s="625" t="str">
        <f>Exposition!S314</f>
        <v/>
      </c>
      <c r="AE313" s="625" t="str">
        <f>Exposition!T314</f>
        <v/>
      </c>
      <c r="AF313" s="625" t="str">
        <f>Exposition!U314</f>
        <v/>
      </c>
      <c r="AG313" s="623"/>
      <c r="AH313" s="621" t="str">
        <f>PRIX!A314</f>
        <v/>
      </c>
      <c r="AI313" s="626" t="str">
        <f>PRIX!B314</f>
        <v/>
      </c>
      <c r="AJ313" s="626" t="str">
        <f>PRIX!C314</f>
        <v/>
      </c>
      <c r="AK313" s="627" t="str">
        <f>PRIX!D314</f>
        <v/>
      </c>
      <c r="AL313" s="626" t="str">
        <f>PRIX!E314</f>
        <v/>
      </c>
      <c r="AM313" s="626" t="str">
        <f>PRIX!F314</f>
        <v/>
      </c>
      <c r="AN313" s="627" t="str">
        <f>PRIX!G314</f>
        <v/>
      </c>
      <c r="AO313" s="627" t="str">
        <f>PRIX!H314</f>
        <v/>
      </c>
      <c r="AP313" s="631" t="str">
        <f>PRIX!I314</f>
        <v/>
      </c>
      <c r="AQ313" s="628" t="str">
        <f>PRIX!J314</f>
        <v/>
      </c>
      <c r="AR313" s="631" t="str">
        <f>PRIX!K314</f>
        <v/>
      </c>
      <c r="AS313" s="631" t="str">
        <f>PRIX!L314</f>
        <v/>
      </c>
      <c r="AT313" s="631" t="str">
        <f>PRIX!M314</f>
        <v/>
      </c>
      <c r="AU313" s="629" t="str">
        <f>PRIX!N314</f>
        <v/>
      </c>
      <c r="AV313" s="631" t="str">
        <f>PRIX!O314</f>
        <v/>
      </c>
      <c r="AW313" s="631" t="str">
        <f>PRIX!P314</f>
        <v/>
      </c>
      <c r="AX313" s="630" t="str">
        <f>PRIX!Q314</f>
        <v/>
      </c>
      <c r="AY313" s="631" t="str">
        <f>PRIX!R314</f>
        <v/>
      </c>
      <c r="AZ313" s="631" t="str">
        <f>PRIX!S314</f>
        <v/>
      </c>
      <c r="BA313" s="623"/>
    </row>
    <row r="314">
      <c r="A314" s="621" t="str">
        <f>ARBITRAGES!E315</f>
        <v/>
      </c>
      <c r="B314" s="623" t="str">
        <f>IF(A314="","",IF(ARBITRAGES!F315="Invest","Achat","Vente"))</f>
        <v/>
      </c>
      <c r="C314" s="623" t="str">
        <f>ARBITRAGES!H315</f>
        <v/>
      </c>
      <c r="D314" s="624" t="str">
        <f>ARBITRAGES!I315</f>
        <v/>
      </c>
      <c r="E314" s="624" t="str">
        <f>ARBITRAGES!J315</f>
        <v/>
      </c>
      <c r="F314" s="623"/>
      <c r="G314" s="623" t="str">
        <f>'PV (%)'!B316</f>
        <v/>
      </c>
      <c r="H314" s="624" t="str">
        <f>'PV (%)'!E316</f>
        <v/>
      </c>
      <c r="I314" s="624" t="str">
        <f>'PV (%)'!F316</f>
        <v/>
      </c>
      <c r="J314" s="623" t="str">
        <f>'PV (%)'!G316</f>
        <v/>
      </c>
      <c r="K314" s="623"/>
      <c r="L314" s="621" t="str">
        <f>Exposition!A315</f>
        <v/>
      </c>
      <c r="M314" s="625" t="str">
        <f>Exposition!B315</f>
        <v/>
      </c>
      <c r="N314" s="625" t="str">
        <f>Exposition!C315</f>
        <v/>
      </c>
      <c r="O314" s="625" t="str">
        <f>Exposition!D315</f>
        <v/>
      </c>
      <c r="P314" s="625" t="str">
        <f>Exposition!E315</f>
        <v/>
      </c>
      <c r="Q314" s="625" t="str">
        <f>Exposition!F315</f>
        <v/>
      </c>
      <c r="R314" s="625" t="str">
        <f>Exposition!G315</f>
        <v/>
      </c>
      <c r="S314" s="625" t="str">
        <f>Exposition!H315</f>
        <v/>
      </c>
      <c r="T314" s="625" t="str">
        <f>Exposition!I315</f>
        <v/>
      </c>
      <c r="U314" s="625" t="str">
        <f>Exposition!J315</f>
        <v/>
      </c>
      <c r="V314" s="625" t="str">
        <f>Exposition!K315</f>
        <v/>
      </c>
      <c r="W314" s="625" t="str">
        <f>Exposition!L315</f>
        <v/>
      </c>
      <c r="X314" s="625" t="str">
        <f>Exposition!M315</f>
        <v/>
      </c>
      <c r="Y314" s="625" t="str">
        <f>Exposition!N315</f>
        <v/>
      </c>
      <c r="Z314" s="625" t="str">
        <f>Exposition!O315</f>
        <v/>
      </c>
      <c r="AA314" s="625" t="str">
        <f>Exposition!P315</f>
        <v/>
      </c>
      <c r="AB314" s="625" t="str">
        <f>Exposition!Q315</f>
        <v/>
      </c>
      <c r="AC314" s="625" t="str">
        <f>Exposition!R315</f>
        <v/>
      </c>
      <c r="AD314" s="625" t="str">
        <f>Exposition!S315</f>
        <v/>
      </c>
      <c r="AE314" s="625" t="str">
        <f>Exposition!T315</f>
        <v/>
      </c>
      <c r="AF314" s="625" t="str">
        <f>Exposition!U315</f>
        <v/>
      </c>
      <c r="AG314" s="623"/>
      <c r="AH314" s="621" t="str">
        <f>PRIX!A315</f>
        <v/>
      </c>
      <c r="AI314" s="626" t="str">
        <f>PRIX!B315</f>
        <v/>
      </c>
      <c r="AJ314" s="626" t="str">
        <f>PRIX!C315</f>
        <v/>
      </c>
      <c r="AK314" s="627" t="str">
        <f>PRIX!D315</f>
        <v/>
      </c>
      <c r="AL314" s="626" t="str">
        <f>PRIX!E315</f>
        <v/>
      </c>
      <c r="AM314" s="626" t="str">
        <f>PRIX!F315</f>
        <v/>
      </c>
      <c r="AN314" s="627" t="str">
        <f>PRIX!G315</f>
        <v/>
      </c>
      <c r="AO314" s="627" t="str">
        <f>PRIX!H315</f>
        <v/>
      </c>
      <c r="AP314" s="631" t="str">
        <f>PRIX!I315</f>
        <v/>
      </c>
      <c r="AQ314" s="628" t="str">
        <f>PRIX!J315</f>
        <v/>
      </c>
      <c r="AR314" s="631" t="str">
        <f>PRIX!K315</f>
        <v/>
      </c>
      <c r="AS314" s="631" t="str">
        <f>PRIX!L315</f>
        <v/>
      </c>
      <c r="AT314" s="631" t="str">
        <f>PRIX!M315</f>
        <v/>
      </c>
      <c r="AU314" s="629" t="str">
        <f>PRIX!N315</f>
        <v/>
      </c>
      <c r="AV314" s="631" t="str">
        <f>PRIX!O315</f>
        <v/>
      </c>
      <c r="AW314" s="631" t="str">
        <f>PRIX!P315</f>
        <v/>
      </c>
      <c r="AX314" s="630" t="str">
        <f>PRIX!Q315</f>
        <v/>
      </c>
      <c r="AY314" s="631" t="str">
        <f>PRIX!R315</f>
        <v/>
      </c>
      <c r="AZ314" s="631" t="str">
        <f>PRIX!S315</f>
        <v/>
      </c>
      <c r="BA314" s="623"/>
    </row>
    <row r="315">
      <c r="A315" s="621" t="str">
        <f>ARBITRAGES!E316</f>
        <v/>
      </c>
      <c r="B315" s="623" t="str">
        <f>IF(A315="","",IF(ARBITRAGES!F316="Invest","Achat","Vente"))</f>
        <v/>
      </c>
      <c r="C315" s="623" t="str">
        <f>ARBITRAGES!H316</f>
        <v/>
      </c>
      <c r="D315" s="624" t="str">
        <f>ARBITRAGES!I316</f>
        <v/>
      </c>
      <c r="E315" s="624" t="str">
        <f>ARBITRAGES!J316</f>
        <v/>
      </c>
      <c r="F315" s="623"/>
      <c r="G315" s="623" t="str">
        <f>'PV (%)'!B317</f>
        <v/>
      </c>
      <c r="H315" s="624" t="str">
        <f>'PV (%)'!E317</f>
        <v/>
      </c>
      <c r="I315" s="624" t="str">
        <f>'PV (%)'!F317</f>
        <v/>
      </c>
      <c r="J315" s="623" t="str">
        <f>'PV (%)'!G317</f>
        <v/>
      </c>
      <c r="K315" s="623"/>
      <c r="L315" s="621" t="str">
        <f>Exposition!A316</f>
        <v/>
      </c>
      <c r="M315" s="625" t="str">
        <f>Exposition!B316</f>
        <v/>
      </c>
      <c r="N315" s="625" t="str">
        <f>Exposition!C316</f>
        <v/>
      </c>
      <c r="O315" s="625" t="str">
        <f>Exposition!D316</f>
        <v/>
      </c>
      <c r="P315" s="625" t="str">
        <f>Exposition!E316</f>
        <v/>
      </c>
      <c r="Q315" s="625" t="str">
        <f>Exposition!F316</f>
        <v/>
      </c>
      <c r="R315" s="625" t="str">
        <f>Exposition!G316</f>
        <v/>
      </c>
      <c r="S315" s="625" t="str">
        <f>Exposition!H316</f>
        <v/>
      </c>
      <c r="T315" s="625" t="str">
        <f>Exposition!I316</f>
        <v/>
      </c>
      <c r="U315" s="625" t="str">
        <f>Exposition!J316</f>
        <v/>
      </c>
      <c r="V315" s="625" t="str">
        <f>Exposition!K316</f>
        <v/>
      </c>
      <c r="W315" s="625" t="str">
        <f>Exposition!L316</f>
        <v/>
      </c>
      <c r="X315" s="625" t="str">
        <f>Exposition!M316</f>
        <v/>
      </c>
      <c r="Y315" s="625" t="str">
        <f>Exposition!N316</f>
        <v/>
      </c>
      <c r="Z315" s="625" t="str">
        <f>Exposition!O316</f>
        <v/>
      </c>
      <c r="AA315" s="625" t="str">
        <f>Exposition!P316</f>
        <v/>
      </c>
      <c r="AB315" s="625" t="str">
        <f>Exposition!Q316</f>
        <v/>
      </c>
      <c r="AC315" s="625" t="str">
        <f>Exposition!R316</f>
        <v/>
      </c>
      <c r="AD315" s="625" t="str">
        <f>Exposition!S316</f>
        <v/>
      </c>
      <c r="AE315" s="625" t="str">
        <f>Exposition!T316</f>
        <v/>
      </c>
      <c r="AF315" s="625" t="str">
        <f>Exposition!U316</f>
        <v/>
      </c>
      <c r="AG315" s="623"/>
      <c r="AH315" s="621" t="str">
        <f>PRIX!A316</f>
        <v/>
      </c>
      <c r="AI315" s="626" t="str">
        <f>PRIX!B316</f>
        <v/>
      </c>
      <c r="AJ315" s="626" t="str">
        <f>PRIX!C316</f>
        <v/>
      </c>
      <c r="AK315" s="627" t="str">
        <f>PRIX!D316</f>
        <v/>
      </c>
      <c r="AL315" s="626" t="str">
        <f>PRIX!E316</f>
        <v/>
      </c>
      <c r="AM315" s="626" t="str">
        <f>PRIX!F316</f>
        <v/>
      </c>
      <c r="AN315" s="627" t="str">
        <f>PRIX!G316</f>
        <v/>
      </c>
      <c r="AO315" s="627" t="str">
        <f>PRIX!H316</f>
        <v/>
      </c>
      <c r="AP315" s="631" t="str">
        <f>PRIX!I316</f>
        <v/>
      </c>
      <c r="AQ315" s="628" t="str">
        <f>PRIX!J316</f>
        <v/>
      </c>
      <c r="AR315" s="631" t="str">
        <f>PRIX!K316</f>
        <v/>
      </c>
      <c r="AS315" s="631" t="str">
        <f>PRIX!L316</f>
        <v/>
      </c>
      <c r="AT315" s="631" t="str">
        <f>PRIX!M316</f>
        <v/>
      </c>
      <c r="AU315" s="629" t="str">
        <f>PRIX!N316</f>
        <v/>
      </c>
      <c r="AV315" s="631" t="str">
        <f>PRIX!O316</f>
        <v/>
      </c>
      <c r="AW315" s="631" t="str">
        <f>PRIX!P316</f>
        <v/>
      </c>
      <c r="AX315" s="630" t="str">
        <f>PRIX!Q316</f>
        <v/>
      </c>
      <c r="AY315" s="631" t="str">
        <f>PRIX!R316</f>
        <v/>
      </c>
      <c r="AZ315" s="631" t="str">
        <f>PRIX!S316</f>
        <v/>
      </c>
      <c r="BA315" s="623"/>
    </row>
    <row r="316">
      <c r="A316" s="621" t="str">
        <f>ARBITRAGES!E317</f>
        <v/>
      </c>
      <c r="B316" s="623" t="str">
        <f>IF(A316="","",IF(ARBITRAGES!F317="Invest","Achat","Vente"))</f>
        <v/>
      </c>
      <c r="C316" s="623" t="str">
        <f>ARBITRAGES!H317</f>
        <v/>
      </c>
      <c r="D316" s="624" t="str">
        <f>ARBITRAGES!I317</f>
        <v/>
      </c>
      <c r="E316" s="624" t="str">
        <f>ARBITRAGES!J317</f>
        <v/>
      </c>
      <c r="F316" s="623"/>
      <c r="G316" s="623" t="str">
        <f>'PV (%)'!B318</f>
        <v/>
      </c>
      <c r="H316" s="624" t="str">
        <f>'PV (%)'!E318</f>
        <v/>
      </c>
      <c r="I316" s="624" t="str">
        <f>'PV (%)'!F318</f>
        <v/>
      </c>
      <c r="J316" s="623" t="str">
        <f>'PV (%)'!G318</f>
        <v/>
      </c>
      <c r="K316" s="623"/>
      <c r="L316" s="621" t="str">
        <f>Exposition!A317</f>
        <v/>
      </c>
      <c r="M316" s="625" t="str">
        <f>Exposition!B317</f>
        <v/>
      </c>
      <c r="N316" s="625" t="str">
        <f>Exposition!C317</f>
        <v/>
      </c>
      <c r="O316" s="625" t="str">
        <f>Exposition!D317</f>
        <v/>
      </c>
      <c r="P316" s="625" t="str">
        <f>Exposition!E317</f>
        <v/>
      </c>
      <c r="Q316" s="625" t="str">
        <f>Exposition!F317</f>
        <v/>
      </c>
      <c r="R316" s="625" t="str">
        <f>Exposition!G317</f>
        <v/>
      </c>
      <c r="S316" s="625" t="str">
        <f>Exposition!H317</f>
        <v/>
      </c>
      <c r="T316" s="625" t="str">
        <f>Exposition!I317</f>
        <v/>
      </c>
      <c r="U316" s="625" t="str">
        <f>Exposition!J317</f>
        <v/>
      </c>
      <c r="V316" s="625" t="str">
        <f>Exposition!K317</f>
        <v/>
      </c>
      <c r="W316" s="625" t="str">
        <f>Exposition!L317</f>
        <v/>
      </c>
      <c r="X316" s="625" t="str">
        <f>Exposition!M317</f>
        <v/>
      </c>
      <c r="Y316" s="625" t="str">
        <f>Exposition!N317</f>
        <v/>
      </c>
      <c r="Z316" s="625" t="str">
        <f>Exposition!O317</f>
        <v/>
      </c>
      <c r="AA316" s="625" t="str">
        <f>Exposition!P317</f>
        <v/>
      </c>
      <c r="AB316" s="625" t="str">
        <f>Exposition!Q317</f>
        <v/>
      </c>
      <c r="AC316" s="625" t="str">
        <f>Exposition!R317</f>
        <v/>
      </c>
      <c r="AD316" s="625" t="str">
        <f>Exposition!S317</f>
        <v/>
      </c>
      <c r="AE316" s="625" t="str">
        <f>Exposition!T317</f>
        <v/>
      </c>
      <c r="AF316" s="625" t="str">
        <f>Exposition!U317</f>
        <v/>
      </c>
      <c r="AG316" s="623"/>
      <c r="AH316" s="621" t="str">
        <f>PRIX!A317</f>
        <v/>
      </c>
      <c r="AI316" s="626" t="str">
        <f>PRIX!B317</f>
        <v/>
      </c>
      <c r="AJ316" s="626" t="str">
        <f>PRIX!C317</f>
        <v/>
      </c>
      <c r="AK316" s="627" t="str">
        <f>PRIX!D317</f>
        <v/>
      </c>
      <c r="AL316" s="626" t="str">
        <f>PRIX!E317</f>
        <v/>
      </c>
      <c r="AM316" s="626" t="str">
        <f>PRIX!F317</f>
        <v/>
      </c>
      <c r="AN316" s="627" t="str">
        <f>PRIX!G317</f>
        <v/>
      </c>
      <c r="AO316" s="627" t="str">
        <f>PRIX!H317</f>
        <v/>
      </c>
      <c r="AP316" s="631" t="str">
        <f>PRIX!I317</f>
        <v/>
      </c>
      <c r="AQ316" s="628" t="str">
        <f>PRIX!J317</f>
        <v/>
      </c>
      <c r="AR316" s="631" t="str">
        <f>PRIX!K317</f>
        <v/>
      </c>
      <c r="AS316" s="631" t="str">
        <f>PRIX!L317</f>
        <v/>
      </c>
      <c r="AT316" s="631" t="str">
        <f>PRIX!M317</f>
        <v/>
      </c>
      <c r="AU316" s="629" t="str">
        <f>PRIX!N317</f>
        <v/>
      </c>
      <c r="AV316" s="631" t="str">
        <f>PRIX!O317</f>
        <v/>
      </c>
      <c r="AW316" s="631" t="str">
        <f>PRIX!P317</f>
        <v/>
      </c>
      <c r="AX316" s="630" t="str">
        <f>PRIX!Q317</f>
        <v/>
      </c>
      <c r="AY316" s="631" t="str">
        <f>PRIX!R317</f>
        <v/>
      </c>
      <c r="AZ316" s="631" t="str">
        <f>PRIX!S317</f>
        <v/>
      </c>
      <c r="BA316" s="623"/>
    </row>
    <row r="317">
      <c r="A317" s="621" t="str">
        <f>ARBITRAGES!E318</f>
        <v/>
      </c>
      <c r="B317" s="623" t="str">
        <f>IF(A317="","",IF(ARBITRAGES!F318="Invest","Achat","Vente"))</f>
        <v/>
      </c>
      <c r="C317" s="623" t="str">
        <f>ARBITRAGES!H318</f>
        <v/>
      </c>
      <c r="D317" s="624" t="str">
        <f>ARBITRAGES!I318</f>
        <v/>
      </c>
      <c r="E317" s="624" t="str">
        <f>ARBITRAGES!J318</f>
        <v/>
      </c>
      <c r="F317" s="623"/>
      <c r="G317" s="623" t="str">
        <f>'PV (%)'!B319</f>
        <v/>
      </c>
      <c r="H317" s="624" t="str">
        <f>'PV (%)'!E319</f>
        <v/>
      </c>
      <c r="I317" s="624" t="str">
        <f>'PV (%)'!F319</f>
        <v/>
      </c>
      <c r="J317" s="623" t="str">
        <f>'PV (%)'!G319</f>
        <v/>
      </c>
      <c r="K317" s="623"/>
      <c r="L317" s="621" t="str">
        <f>Exposition!A318</f>
        <v/>
      </c>
      <c r="M317" s="625" t="str">
        <f>Exposition!B318</f>
        <v/>
      </c>
      <c r="N317" s="625" t="str">
        <f>Exposition!C318</f>
        <v/>
      </c>
      <c r="O317" s="625" t="str">
        <f>Exposition!D318</f>
        <v/>
      </c>
      <c r="P317" s="625" t="str">
        <f>Exposition!E318</f>
        <v/>
      </c>
      <c r="Q317" s="625" t="str">
        <f>Exposition!F318</f>
        <v/>
      </c>
      <c r="R317" s="625" t="str">
        <f>Exposition!G318</f>
        <v/>
      </c>
      <c r="S317" s="625" t="str">
        <f>Exposition!H318</f>
        <v/>
      </c>
      <c r="T317" s="625" t="str">
        <f>Exposition!I318</f>
        <v/>
      </c>
      <c r="U317" s="625" t="str">
        <f>Exposition!J318</f>
        <v/>
      </c>
      <c r="V317" s="625" t="str">
        <f>Exposition!K318</f>
        <v/>
      </c>
      <c r="W317" s="625" t="str">
        <f>Exposition!L318</f>
        <v/>
      </c>
      <c r="X317" s="625" t="str">
        <f>Exposition!M318</f>
        <v/>
      </c>
      <c r="Y317" s="625" t="str">
        <f>Exposition!N318</f>
        <v/>
      </c>
      <c r="Z317" s="625" t="str">
        <f>Exposition!O318</f>
        <v/>
      </c>
      <c r="AA317" s="625" t="str">
        <f>Exposition!P318</f>
        <v/>
      </c>
      <c r="AB317" s="625" t="str">
        <f>Exposition!Q318</f>
        <v/>
      </c>
      <c r="AC317" s="625" t="str">
        <f>Exposition!R318</f>
        <v/>
      </c>
      <c r="AD317" s="625" t="str">
        <f>Exposition!S318</f>
        <v/>
      </c>
      <c r="AE317" s="625" t="str">
        <f>Exposition!T318</f>
        <v/>
      </c>
      <c r="AF317" s="625" t="str">
        <f>Exposition!U318</f>
        <v/>
      </c>
      <c r="AG317" s="623"/>
      <c r="AH317" s="621" t="str">
        <f>PRIX!A318</f>
        <v/>
      </c>
      <c r="AI317" s="626" t="str">
        <f>PRIX!B318</f>
        <v/>
      </c>
      <c r="AJ317" s="626" t="str">
        <f>PRIX!C318</f>
        <v/>
      </c>
      <c r="AK317" s="627" t="str">
        <f>PRIX!D318</f>
        <v/>
      </c>
      <c r="AL317" s="626" t="str">
        <f>PRIX!E318</f>
        <v/>
      </c>
      <c r="AM317" s="626" t="str">
        <f>PRIX!F318</f>
        <v/>
      </c>
      <c r="AN317" s="627" t="str">
        <f>PRIX!G318</f>
        <v/>
      </c>
      <c r="AO317" s="627" t="str">
        <f>PRIX!H318</f>
        <v/>
      </c>
      <c r="AP317" s="631" t="str">
        <f>PRIX!I318</f>
        <v/>
      </c>
      <c r="AQ317" s="628" t="str">
        <f>PRIX!J318</f>
        <v/>
      </c>
      <c r="AR317" s="631" t="str">
        <f>PRIX!K318</f>
        <v/>
      </c>
      <c r="AS317" s="631" t="str">
        <f>PRIX!L318</f>
        <v/>
      </c>
      <c r="AT317" s="631" t="str">
        <f>PRIX!M318</f>
        <v/>
      </c>
      <c r="AU317" s="629" t="str">
        <f>PRIX!N318</f>
        <v/>
      </c>
      <c r="AV317" s="631" t="str">
        <f>PRIX!O318</f>
        <v/>
      </c>
      <c r="AW317" s="631" t="str">
        <f>PRIX!P318</f>
        <v/>
      </c>
      <c r="AX317" s="630" t="str">
        <f>PRIX!Q318</f>
        <v/>
      </c>
      <c r="AY317" s="631" t="str">
        <f>PRIX!R318</f>
        <v/>
      </c>
      <c r="AZ317" s="631" t="str">
        <f>PRIX!S318</f>
        <v/>
      </c>
      <c r="BA317" s="623"/>
    </row>
    <row r="318">
      <c r="A318" s="621" t="str">
        <f>ARBITRAGES!E319</f>
        <v/>
      </c>
      <c r="B318" s="623" t="str">
        <f>IF(A318="","",IF(ARBITRAGES!F319="Invest","Achat","Vente"))</f>
        <v/>
      </c>
      <c r="C318" s="623" t="str">
        <f>ARBITRAGES!H319</f>
        <v/>
      </c>
      <c r="D318" s="624" t="str">
        <f>ARBITRAGES!I319</f>
        <v/>
      </c>
      <c r="E318" s="624" t="str">
        <f>ARBITRAGES!J319</f>
        <v/>
      </c>
      <c r="F318" s="623"/>
      <c r="G318" s="623" t="str">
        <f>'PV (%)'!B320</f>
        <v/>
      </c>
      <c r="H318" s="624" t="str">
        <f>'PV (%)'!E320</f>
        <v/>
      </c>
      <c r="I318" s="624" t="str">
        <f>'PV (%)'!F320</f>
        <v/>
      </c>
      <c r="J318" s="623" t="str">
        <f>'PV (%)'!G320</f>
        <v/>
      </c>
      <c r="K318" s="623"/>
      <c r="L318" s="621" t="str">
        <f>Exposition!A319</f>
        <v/>
      </c>
      <c r="M318" s="625" t="str">
        <f>Exposition!B319</f>
        <v/>
      </c>
      <c r="N318" s="625" t="str">
        <f>Exposition!C319</f>
        <v/>
      </c>
      <c r="O318" s="625" t="str">
        <f>Exposition!D319</f>
        <v/>
      </c>
      <c r="P318" s="625" t="str">
        <f>Exposition!E319</f>
        <v/>
      </c>
      <c r="Q318" s="625" t="str">
        <f>Exposition!F319</f>
        <v/>
      </c>
      <c r="R318" s="625" t="str">
        <f>Exposition!G319</f>
        <v/>
      </c>
      <c r="S318" s="625" t="str">
        <f>Exposition!H319</f>
        <v/>
      </c>
      <c r="T318" s="625" t="str">
        <f>Exposition!I319</f>
        <v/>
      </c>
      <c r="U318" s="625" t="str">
        <f>Exposition!J319</f>
        <v/>
      </c>
      <c r="V318" s="625" t="str">
        <f>Exposition!K319</f>
        <v/>
      </c>
      <c r="W318" s="625" t="str">
        <f>Exposition!L319</f>
        <v/>
      </c>
      <c r="X318" s="625" t="str">
        <f>Exposition!M319</f>
        <v/>
      </c>
      <c r="Y318" s="625" t="str">
        <f>Exposition!N319</f>
        <v/>
      </c>
      <c r="Z318" s="625" t="str">
        <f>Exposition!O319</f>
        <v/>
      </c>
      <c r="AA318" s="625" t="str">
        <f>Exposition!P319</f>
        <v/>
      </c>
      <c r="AB318" s="625" t="str">
        <f>Exposition!Q319</f>
        <v/>
      </c>
      <c r="AC318" s="625" t="str">
        <f>Exposition!R319</f>
        <v/>
      </c>
      <c r="AD318" s="625" t="str">
        <f>Exposition!S319</f>
        <v/>
      </c>
      <c r="AE318" s="625" t="str">
        <f>Exposition!T319</f>
        <v/>
      </c>
      <c r="AF318" s="625" t="str">
        <f>Exposition!U319</f>
        <v/>
      </c>
      <c r="AG318" s="623"/>
      <c r="AH318" s="621" t="str">
        <f>PRIX!A319</f>
        <v/>
      </c>
      <c r="AI318" s="626" t="str">
        <f>PRIX!B319</f>
        <v/>
      </c>
      <c r="AJ318" s="626" t="str">
        <f>PRIX!C319</f>
        <v/>
      </c>
      <c r="AK318" s="627" t="str">
        <f>PRIX!D319</f>
        <v/>
      </c>
      <c r="AL318" s="626" t="str">
        <f>PRIX!E319</f>
        <v/>
      </c>
      <c r="AM318" s="626" t="str">
        <f>PRIX!F319</f>
        <v/>
      </c>
      <c r="AN318" s="627" t="str">
        <f>PRIX!G319</f>
        <v/>
      </c>
      <c r="AO318" s="627" t="str">
        <f>PRIX!H319</f>
        <v/>
      </c>
      <c r="AP318" s="631" t="str">
        <f>PRIX!I319</f>
        <v/>
      </c>
      <c r="AQ318" s="628" t="str">
        <f>PRIX!J319</f>
        <v/>
      </c>
      <c r="AR318" s="631" t="str">
        <f>PRIX!K319</f>
        <v/>
      </c>
      <c r="AS318" s="631" t="str">
        <f>PRIX!L319</f>
        <v/>
      </c>
      <c r="AT318" s="631" t="str">
        <f>PRIX!M319</f>
        <v/>
      </c>
      <c r="AU318" s="629" t="str">
        <f>PRIX!N319</f>
        <v/>
      </c>
      <c r="AV318" s="631" t="str">
        <f>PRIX!O319</f>
        <v/>
      </c>
      <c r="AW318" s="631" t="str">
        <f>PRIX!P319</f>
        <v/>
      </c>
      <c r="AX318" s="630" t="str">
        <f>PRIX!Q319</f>
        <v/>
      </c>
      <c r="AY318" s="631" t="str">
        <f>PRIX!R319</f>
        <v/>
      </c>
      <c r="AZ318" s="631" t="str">
        <f>PRIX!S319</f>
        <v/>
      </c>
      <c r="BA318" s="623"/>
    </row>
    <row r="319">
      <c r="A319" s="621" t="str">
        <f>ARBITRAGES!E320</f>
        <v/>
      </c>
      <c r="B319" s="623" t="str">
        <f>IF(A319="","",IF(ARBITRAGES!F320="Invest","Achat","Vente"))</f>
        <v/>
      </c>
      <c r="C319" s="623" t="str">
        <f>ARBITRAGES!H320</f>
        <v/>
      </c>
      <c r="D319" s="624" t="str">
        <f>ARBITRAGES!I320</f>
        <v/>
      </c>
      <c r="E319" s="624" t="str">
        <f>ARBITRAGES!J320</f>
        <v/>
      </c>
      <c r="F319" s="623"/>
      <c r="G319" s="623" t="str">
        <f>'PV (%)'!B321</f>
        <v/>
      </c>
      <c r="H319" s="624" t="str">
        <f>'PV (%)'!E321</f>
        <v/>
      </c>
      <c r="I319" s="624" t="str">
        <f>'PV (%)'!F321</f>
        <v/>
      </c>
      <c r="J319" s="623" t="str">
        <f>'PV (%)'!G321</f>
        <v/>
      </c>
      <c r="K319" s="623"/>
      <c r="L319" s="621" t="str">
        <f>Exposition!A320</f>
        <v/>
      </c>
      <c r="M319" s="625" t="str">
        <f>Exposition!B320</f>
        <v/>
      </c>
      <c r="N319" s="625" t="str">
        <f>Exposition!C320</f>
        <v/>
      </c>
      <c r="O319" s="625" t="str">
        <f>Exposition!D320</f>
        <v/>
      </c>
      <c r="P319" s="625" t="str">
        <f>Exposition!E320</f>
        <v/>
      </c>
      <c r="Q319" s="625" t="str">
        <f>Exposition!F320</f>
        <v/>
      </c>
      <c r="R319" s="625" t="str">
        <f>Exposition!G320</f>
        <v/>
      </c>
      <c r="S319" s="625" t="str">
        <f>Exposition!H320</f>
        <v/>
      </c>
      <c r="T319" s="625" t="str">
        <f>Exposition!I320</f>
        <v/>
      </c>
      <c r="U319" s="625" t="str">
        <f>Exposition!J320</f>
        <v/>
      </c>
      <c r="V319" s="625" t="str">
        <f>Exposition!K320</f>
        <v/>
      </c>
      <c r="W319" s="625" t="str">
        <f>Exposition!L320</f>
        <v/>
      </c>
      <c r="X319" s="625" t="str">
        <f>Exposition!M320</f>
        <v/>
      </c>
      <c r="Y319" s="625" t="str">
        <f>Exposition!N320</f>
        <v/>
      </c>
      <c r="Z319" s="625" t="str">
        <f>Exposition!O320</f>
        <v/>
      </c>
      <c r="AA319" s="625" t="str">
        <f>Exposition!P320</f>
        <v/>
      </c>
      <c r="AB319" s="625" t="str">
        <f>Exposition!Q320</f>
        <v/>
      </c>
      <c r="AC319" s="625" t="str">
        <f>Exposition!R320</f>
        <v/>
      </c>
      <c r="AD319" s="625" t="str">
        <f>Exposition!S320</f>
        <v/>
      </c>
      <c r="AE319" s="625" t="str">
        <f>Exposition!T320</f>
        <v/>
      </c>
      <c r="AF319" s="625" t="str">
        <f>Exposition!U320</f>
        <v/>
      </c>
      <c r="AG319" s="623"/>
      <c r="AH319" s="621" t="str">
        <f>PRIX!A320</f>
        <v/>
      </c>
      <c r="AI319" s="626" t="str">
        <f>PRIX!B320</f>
        <v/>
      </c>
      <c r="AJ319" s="626" t="str">
        <f>PRIX!C320</f>
        <v/>
      </c>
      <c r="AK319" s="627" t="str">
        <f>PRIX!D320</f>
        <v/>
      </c>
      <c r="AL319" s="626" t="str">
        <f>PRIX!E320</f>
        <v/>
      </c>
      <c r="AM319" s="626" t="str">
        <f>PRIX!F320</f>
        <v/>
      </c>
      <c r="AN319" s="627" t="str">
        <f>PRIX!G320</f>
        <v/>
      </c>
      <c r="AO319" s="627" t="str">
        <f>PRIX!H320</f>
        <v/>
      </c>
      <c r="AP319" s="631" t="str">
        <f>PRIX!I320</f>
        <v/>
      </c>
      <c r="AQ319" s="628" t="str">
        <f>PRIX!J320</f>
        <v/>
      </c>
      <c r="AR319" s="631" t="str">
        <f>PRIX!K320</f>
        <v/>
      </c>
      <c r="AS319" s="631" t="str">
        <f>PRIX!L320</f>
        <v/>
      </c>
      <c r="AT319" s="631" t="str">
        <f>PRIX!M320</f>
        <v/>
      </c>
      <c r="AU319" s="629" t="str">
        <f>PRIX!N320</f>
        <v/>
      </c>
      <c r="AV319" s="631" t="str">
        <f>PRIX!O320</f>
        <v/>
      </c>
      <c r="AW319" s="631" t="str">
        <f>PRIX!P320</f>
        <v/>
      </c>
      <c r="AX319" s="630" t="str">
        <f>PRIX!Q320</f>
        <v/>
      </c>
      <c r="AY319" s="631" t="str">
        <f>PRIX!R320</f>
        <v/>
      </c>
      <c r="AZ319" s="631" t="str">
        <f>PRIX!S320</f>
        <v/>
      </c>
      <c r="BA319" s="623"/>
    </row>
    <row r="320">
      <c r="A320" s="621" t="str">
        <f>ARBITRAGES!E321</f>
        <v/>
      </c>
      <c r="B320" s="623" t="str">
        <f>IF(A320="","",IF(ARBITRAGES!F321="Invest","Achat","Vente"))</f>
        <v/>
      </c>
      <c r="C320" s="623" t="str">
        <f>ARBITRAGES!H321</f>
        <v/>
      </c>
      <c r="D320" s="624" t="str">
        <f>ARBITRAGES!I321</f>
        <v/>
      </c>
      <c r="E320" s="624" t="str">
        <f>ARBITRAGES!J321</f>
        <v/>
      </c>
      <c r="F320" s="623"/>
      <c r="G320" s="623" t="str">
        <f>'PV (%)'!B322</f>
        <v/>
      </c>
      <c r="H320" s="624" t="str">
        <f>'PV (%)'!E322</f>
        <v/>
      </c>
      <c r="I320" s="624" t="str">
        <f>'PV (%)'!F322</f>
        <v/>
      </c>
      <c r="J320" s="623" t="str">
        <f>'PV (%)'!G322</f>
        <v/>
      </c>
      <c r="K320" s="623"/>
      <c r="L320" s="623" t="str">
        <f>Exposition!A321</f>
        <v/>
      </c>
      <c r="M320" s="625" t="str">
        <f>Exposition!B321</f>
        <v/>
      </c>
      <c r="N320" s="625" t="str">
        <f>Exposition!C321</f>
        <v/>
      </c>
      <c r="O320" s="625" t="str">
        <f>Exposition!D321</f>
        <v/>
      </c>
      <c r="P320" s="625" t="str">
        <f>Exposition!E321</f>
        <v/>
      </c>
      <c r="Q320" s="625" t="str">
        <f>Exposition!F321</f>
        <v/>
      </c>
      <c r="R320" s="625" t="str">
        <f>Exposition!G321</f>
        <v/>
      </c>
      <c r="S320" s="625" t="str">
        <f>Exposition!H321</f>
        <v/>
      </c>
      <c r="T320" s="625" t="str">
        <f>Exposition!I321</f>
        <v/>
      </c>
      <c r="U320" s="625" t="str">
        <f>Exposition!J321</f>
        <v/>
      </c>
      <c r="V320" s="625" t="str">
        <f>Exposition!K321</f>
        <v/>
      </c>
      <c r="W320" s="625" t="str">
        <f>Exposition!L321</f>
        <v/>
      </c>
      <c r="X320" s="625" t="str">
        <f>Exposition!M321</f>
        <v/>
      </c>
      <c r="Y320" s="625" t="str">
        <f>Exposition!N321</f>
        <v/>
      </c>
      <c r="Z320" s="625" t="str">
        <f>Exposition!O321</f>
        <v/>
      </c>
      <c r="AA320" s="625" t="str">
        <f>Exposition!P321</f>
        <v/>
      </c>
      <c r="AB320" s="625" t="str">
        <f>Exposition!Q321</f>
        <v/>
      </c>
      <c r="AC320" s="625" t="str">
        <f>Exposition!R321</f>
        <v/>
      </c>
      <c r="AD320" s="625" t="str">
        <f>Exposition!S321</f>
        <v/>
      </c>
      <c r="AE320" s="625" t="str">
        <f>Exposition!T321</f>
        <v/>
      </c>
      <c r="AF320" s="625" t="str">
        <f>Exposition!U321</f>
        <v/>
      </c>
      <c r="AG320" s="623"/>
      <c r="AH320" s="621" t="str">
        <f>PRIX!A321</f>
        <v/>
      </c>
      <c r="AI320" s="626" t="str">
        <f>PRIX!B321</f>
        <v/>
      </c>
      <c r="AJ320" s="626" t="str">
        <f>PRIX!C321</f>
        <v/>
      </c>
      <c r="AK320" s="627" t="str">
        <f>PRIX!D321</f>
        <v/>
      </c>
      <c r="AL320" s="626" t="str">
        <f>PRIX!E321</f>
        <v/>
      </c>
      <c r="AM320" s="626" t="str">
        <f>PRIX!F321</f>
        <v/>
      </c>
      <c r="AN320" s="627" t="str">
        <f>PRIX!G321</f>
        <v/>
      </c>
      <c r="AO320" s="627" t="str">
        <f>PRIX!H321</f>
        <v/>
      </c>
      <c r="AP320" s="631" t="str">
        <f>PRIX!I321</f>
        <v/>
      </c>
      <c r="AQ320" s="628" t="str">
        <f>PRIX!J321</f>
        <v/>
      </c>
      <c r="AR320" s="631" t="str">
        <f>PRIX!K321</f>
        <v/>
      </c>
      <c r="AS320" s="631" t="str">
        <f>PRIX!L321</f>
        <v/>
      </c>
      <c r="AT320" s="631" t="str">
        <f>PRIX!M321</f>
        <v/>
      </c>
      <c r="AU320" s="629" t="str">
        <f>PRIX!N321</f>
        <v/>
      </c>
      <c r="AV320" s="631" t="str">
        <f>PRIX!O321</f>
        <v/>
      </c>
      <c r="AW320" s="631" t="str">
        <f>PRIX!P321</f>
        <v/>
      </c>
      <c r="AX320" s="630" t="str">
        <f>PRIX!Q321</f>
        <v/>
      </c>
      <c r="AY320" s="631" t="str">
        <f>PRIX!R321</f>
        <v/>
      </c>
      <c r="AZ320" s="631" t="str">
        <f>PRIX!S321</f>
        <v/>
      </c>
      <c r="BA320" s="623"/>
    </row>
    <row r="321">
      <c r="A321" s="621" t="str">
        <f>ARBITRAGES!E322</f>
        <v/>
      </c>
      <c r="B321" s="623" t="str">
        <f>IF(A321="","",IF(ARBITRAGES!F322="Invest","Achat","Vente"))</f>
        <v/>
      </c>
      <c r="C321" s="623" t="str">
        <f>ARBITRAGES!H322</f>
        <v/>
      </c>
      <c r="D321" s="624" t="str">
        <f>ARBITRAGES!I322</f>
        <v/>
      </c>
      <c r="E321" s="624" t="str">
        <f>ARBITRAGES!J322</f>
        <v/>
      </c>
      <c r="F321" s="623"/>
      <c r="G321" s="623" t="str">
        <f>'PV (%)'!B323</f>
        <v/>
      </c>
      <c r="H321" s="624" t="str">
        <f>'PV (%)'!E323</f>
        <v/>
      </c>
      <c r="I321" s="624" t="str">
        <f>'PV (%)'!F323</f>
        <v/>
      </c>
      <c r="J321" s="623" t="str">
        <f>'PV (%)'!G323</f>
        <v/>
      </c>
      <c r="K321" s="623"/>
      <c r="L321" s="623" t="str">
        <f>Exposition!A322</f>
        <v/>
      </c>
      <c r="M321" s="625" t="str">
        <f>Exposition!B322</f>
        <v/>
      </c>
      <c r="N321" s="625" t="str">
        <f>Exposition!C322</f>
        <v/>
      </c>
      <c r="O321" s="625" t="str">
        <f>Exposition!D322</f>
        <v/>
      </c>
      <c r="P321" s="625" t="str">
        <f>Exposition!E322</f>
        <v/>
      </c>
      <c r="Q321" s="625" t="str">
        <f>Exposition!F322</f>
        <v/>
      </c>
      <c r="R321" s="625" t="str">
        <f>Exposition!G322</f>
        <v/>
      </c>
      <c r="S321" s="625" t="str">
        <f>Exposition!H322</f>
        <v/>
      </c>
      <c r="T321" s="625" t="str">
        <f>Exposition!I322</f>
        <v/>
      </c>
      <c r="U321" s="625" t="str">
        <f>Exposition!J322</f>
        <v/>
      </c>
      <c r="V321" s="625" t="str">
        <f>Exposition!K322</f>
        <v/>
      </c>
      <c r="W321" s="625" t="str">
        <f>Exposition!L322</f>
        <v/>
      </c>
      <c r="X321" s="625" t="str">
        <f>Exposition!M322</f>
        <v/>
      </c>
      <c r="Y321" s="625" t="str">
        <f>Exposition!N322</f>
        <v/>
      </c>
      <c r="Z321" s="625" t="str">
        <f>Exposition!O322</f>
        <v/>
      </c>
      <c r="AA321" s="625" t="str">
        <f>Exposition!P322</f>
        <v/>
      </c>
      <c r="AB321" s="625" t="str">
        <f>Exposition!Q322</f>
        <v/>
      </c>
      <c r="AC321" s="625" t="str">
        <f>Exposition!R322</f>
        <v/>
      </c>
      <c r="AD321" s="625" t="str">
        <f>Exposition!S322</f>
        <v/>
      </c>
      <c r="AE321" s="625" t="str">
        <f>Exposition!T322</f>
        <v/>
      </c>
      <c r="AF321" s="625" t="str">
        <f>Exposition!U322</f>
        <v/>
      </c>
      <c r="AG321" s="623"/>
      <c r="AH321" s="621" t="str">
        <f>PRIX!A322</f>
        <v/>
      </c>
      <c r="AI321" s="626" t="str">
        <f>PRIX!B322</f>
        <v/>
      </c>
      <c r="AJ321" s="626" t="str">
        <f>PRIX!C322</f>
        <v/>
      </c>
      <c r="AK321" s="627" t="str">
        <f>PRIX!D322</f>
        <v/>
      </c>
      <c r="AL321" s="626" t="str">
        <f>PRIX!E322</f>
        <v/>
      </c>
      <c r="AM321" s="626" t="str">
        <f>PRIX!F322</f>
        <v/>
      </c>
      <c r="AN321" s="627" t="str">
        <f>PRIX!G322</f>
        <v/>
      </c>
      <c r="AO321" s="627" t="str">
        <f>PRIX!H322</f>
        <v/>
      </c>
      <c r="AP321" s="631" t="str">
        <f>PRIX!I322</f>
        <v/>
      </c>
      <c r="AQ321" s="628" t="str">
        <f>PRIX!J322</f>
        <v/>
      </c>
      <c r="AR321" s="631" t="str">
        <f>PRIX!K322</f>
        <v/>
      </c>
      <c r="AS321" s="631" t="str">
        <f>PRIX!L322</f>
        <v/>
      </c>
      <c r="AT321" s="631" t="str">
        <f>PRIX!M322</f>
        <v/>
      </c>
      <c r="AU321" s="629" t="str">
        <f>PRIX!N322</f>
        <v/>
      </c>
      <c r="AV321" s="631" t="str">
        <f>PRIX!O322</f>
        <v/>
      </c>
      <c r="AW321" s="631" t="str">
        <f>PRIX!P322</f>
        <v/>
      </c>
      <c r="AX321" s="630" t="str">
        <f>PRIX!Q322</f>
        <v/>
      </c>
      <c r="AY321" s="631" t="str">
        <f>PRIX!R322</f>
        <v/>
      </c>
      <c r="AZ321" s="631" t="str">
        <f>PRIX!S322</f>
        <v/>
      </c>
      <c r="BA321" s="623"/>
    </row>
    <row r="322">
      <c r="A322" s="621" t="str">
        <f>ARBITRAGES!E323</f>
        <v/>
      </c>
      <c r="B322" s="623" t="str">
        <f>IF(A322="","",IF(ARBITRAGES!F323="Invest","Achat","Vente"))</f>
        <v/>
      </c>
      <c r="C322" s="623" t="str">
        <f>ARBITRAGES!H323</f>
        <v/>
      </c>
      <c r="D322" s="624" t="str">
        <f>ARBITRAGES!I323</f>
        <v/>
      </c>
      <c r="E322" s="624" t="str">
        <f>ARBITRAGES!J323</f>
        <v/>
      </c>
      <c r="F322" s="623"/>
      <c r="G322" s="623" t="str">
        <f>'PV (%)'!B324</f>
        <v/>
      </c>
      <c r="H322" s="624" t="str">
        <f>'PV (%)'!E324</f>
        <v/>
      </c>
      <c r="I322" s="624" t="str">
        <f>'PV (%)'!F324</f>
        <v/>
      </c>
      <c r="J322" s="623" t="str">
        <f>'PV (%)'!G324</f>
        <v/>
      </c>
      <c r="K322" s="623"/>
      <c r="L322" s="623" t="str">
        <f>Exposition!A323</f>
        <v/>
      </c>
      <c r="M322" s="625" t="str">
        <f>Exposition!B323</f>
        <v/>
      </c>
      <c r="N322" s="625" t="str">
        <f>Exposition!C323</f>
        <v/>
      </c>
      <c r="O322" s="625" t="str">
        <f>Exposition!D323</f>
        <v/>
      </c>
      <c r="P322" s="625" t="str">
        <f>Exposition!E323</f>
        <v/>
      </c>
      <c r="Q322" s="625" t="str">
        <f>Exposition!F323</f>
        <v/>
      </c>
      <c r="R322" s="625" t="str">
        <f>Exposition!G323</f>
        <v/>
      </c>
      <c r="S322" s="625" t="str">
        <f>Exposition!H323</f>
        <v/>
      </c>
      <c r="T322" s="625" t="str">
        <f>Exposition!I323</f>
        <v/>
      </c>
      <c r="U322" s="625" t="str">
        <f>Exposition!J323</f>
        <v/>
      </c>
      <c r="V322" s="625" t="str">
        <f>Exposition!K323</f>
        <v/>
      </c>
      <c r="W322" s="625" t="str">
        <f>Exposition!L323</f>
        <v/>
      </c>
      <c r="X322" s="625" t="str">
        <f>Exposition!M323</f>
        <v/>
      </c>
      <c r="Y322" s="625" t="str">
        <f>Exposition!N323</f>
        <v/>
      </c>
      <c r="Z322" s="625" t="str">
        <f>Exposition!O323</f>
        <v/>
      </c>
      <c r="AA322" s="625" t="str">
        <f>Exposition!P323</f>
        <v/>
      </c>
      <c r="AB322" s="625" t="str">
        <f>Exposition!Q323</f>
        <v/>
      </c>
      <c r="AC322" s="625" t="str">
        <f>Exposition!R323</f>
        <v/>
      </c>
      <c r="AD322" s="625" t="str">
        <f>Exposition!S323</f>
        <v/>
      </c>
      <c r="AE322" s="625" t="str">
        <f>Exposition!T323</f>
        <v/>
      </c>
      <c r="AF322" s="625" t="str">
        <f>Exposition!U323</f>
        <v/>
      </c>
      <c r="AG322" s="623"/>
      <c r="AH322" s="621" t="str">
        <f>PRIX!A323</f>
        <v/>
      </c>
      <c r="AI322" s="626" t="str">
        <f>PRIX!B323</f>
        <v/>
      </c>
      <c r="AJ322" s="626" t="str">
        <f>PRIX!C323</f>
        <v/>
      </c>
      <c r="AK322" s="627" t="str">
        <f>PRIX!D323</f>
        <v/>
      </c>
      <c r="AL322" s="626" t="str">
        <f>PRIX!E323</f>
        <v/>
      </c>
      <c r="AM322" s="626" t="str">
        <f>PRIX!F323</f>
        <v/>
      </c>
      <c r="AN322" s="627" t="str">
        <f>PRIX!G323</f>
        <v/>
      </c>
      <c r="AO322" s="627" t="str">
        <f>PRIX!H323</f>
        <v/>
      </c>
      <c r="AP322" s="631" t="str">
        <f>PRIX!I323</f>
        <v/>
      </c>
      <c r="AQ322" s="628" t="str">
        <f>PRIX!J323</f>
        <v/>
      </c>
      <c r="AR322" s="631" t="str">
        <f>PRIX!K323</f>
        <v/>
      </c>
      <c r="AS322" s="631" t="str">
        <f>PRIX!L323</f>
        <v/>
      </c>
      <c r="AT322" s="631" t="str">
        <f>PRIX!M323</f>
        <v/>
      </c>
      <c r="AU322" s="629" t="str">
        <f>PRIX!N323</f>
        <v/>
      </c>
      <c r="AV322" s="631" t="str">
        <f>PRIX!O323</f>
        <v/>
      </c>
      <c r="AW322" s="631" t="str">
        <f>PRIX!P323</f>
        <v/>
      </c>
      <c r="AX322" s="630" t="str">
        <f>PRIX!Q323</f>
        <v/>
      </c>
      <c r="AY322" s="631" t="str">
        <f>PRIX!R323</f>
        <v/>
      </c>
      <c r="AZ322" s="631" t="str">
        <f>PRIX!S323</f>
        <v/>
      </c>
      <c r="BA322" s="623"/>
    </row>
    <row r="323">
      <c r="A323" s="621" t="str">
        <f>ARBITRAGES!E324</f>
        <v/>
      </c>
      <c r="B323" s="623" t="str">
        <f>IF(A323="","",IF(ARBITRAGES!F324="Invest","Achat","Vente"))</f>
        <v/>
      </c>
      <c r="C323" s="623" t="str">
        <f>ARBITRAGES!H324</f>
        <v/>
      </c>
      <c r="D323" s="624" t="str">
        <f>ARBITRAGES!I324</f>
        <v/>
      </c>
      <c r="E323" s="624" t="str">
        <f>ARBITRAGES!J324</f>
        <v/>
      </c>
      <c r="F323" s="623"/>
      <c r="G323" s="623" t="str">
        <f>'PV (%)'!B325</f>
        <v/>
      </c>
      <c r="H323" s="624" t="str">
        <f>'PV (%)'!E325</f>
        <v/>
      </c>
      <c r="I323" s="624" t="str">
        <f>'PV (%)'!F325</f>
        <v/>
      </c>
      <c r="J323" s="623" t="str">
        <f>'PV (%)'!G325</f>
        <v/>
      </c>
      <c r="K323" s="623"/>
      <c r="L323" s="623" t="str">
        <f>Exposition!A324</f>
        <v/>
      </c>
      <c r="M323" s="625" t="str">
        <f>Exposition!B324</f>
        <v/>
      </c>
      <c r="N323" s="625" t="str">
        <f>Exposition!C324</f>
        <v/>
      </c>
      <c r="O323" s="625" t="str">
        <f>Exposition!D324</f>
        <v/>
      </c>
      <c r="P323" s="625" t="str">
        <f>Exposition!E324</f>
        <v/>
      </c>
      <c r="Q323" s="625" t="str">
        <f>Exposition!F324</f>
        <v/>
      </c>
      <c r="R323" s="625" t="str">
        <f>Exposition!G324</f>
        <v/>
      </c>
      <c r="S323" s="625" t="str">
        <f>Exposition!H324</f>
        <v/>
      </c>
      <c r="T323" s="625" t="str">
        <f>Exposition!I324</f>
        <v/>
      </c>
      <c r="U323" s="625" t="str">
        <f>Exposition!J324</f>
        <v/>
      </c>
      <c r="V323" s="625" t="str">
        <f>Exposition!K324</f>
        <v/>
      </c>
      <c r="W323" s="625" t="str">
        <f>Exposition!L324</f>
        <v/>
      </c>
      <c r="X323" s="625" t="str">
        <f>Exposition!M324</f>
        <v/>
      </c>
      <c r="Y323" s="625" t="str">
        <f>Exposition!N324</f>
        <v/>
      </c>
      <c r="Z323" s="625" t="str">
        <f>Exposition!O324</f>
        <v/>
      </c>
      <c r="AA323" s="625" t="str">
        <f>Exposition!P324</f>
        <v/>
      </c>
      <c r="AB323" s="625" t="str">
        <f>Exposition!Q324</f>
        <v/>
      </c>
      <c r="AC323" s="625" t="str">
        <f>Exposition!R324</f>
        <v/>
      </c>
      <c r="AD323" s="625" t="str">
        <f>Exposition!S324</f>
        <v/>
      </c>
      <c r="AE323" s="625" t="str">
        <f>Exposition!T324</f>
        <v/>
      </c>
      <c r="AF323" s="625" t="str">
        <f>Exposition!U324</f>
        <v/>
      </c>
      <c r="AG323" s="623"/>
      <c r="AH323" s="621" t="str">
        <f>PRIX!A324</f>
        <v/>
      </c>
      <c r="AI323" s="626" t="str">
        <f>PRIX!B324</f>
        <v/>
      </c>
      <c r="AJ323" s="626" t="str">
        <f>PRIX!C324</f>
        <v/>
      </c>
      <c r="AK323" s="627" t="str">
        <f>PRIX!D324</f>
        <v/>
      </c>
      <c r="AL323" s="626" t="str">
        <f>PRIX!E324</f>
        <v/>
      </c>
      <c r="AM323" s="626" t="str">
        <f>PRIX!F324</f>
        <v/>
      </c>
      <c r="AN323" s="627" t="str">
        <f>PRIX!G324</f>
        <v/>
      </c>
      <c r="AO323" s="627" t="str">
        <f>PRIX!H324</f>
        <v/>
      </c>
      <c r="AP323" s="631" t="str">
        <f>PRIX!I324</f>
        <v/>
      </c>
      <c r="AQ323" s="628" t="str">
        <f>PRIX!J324</f>
        <v/>
      </c>
      <c r="AR323" s="631" t="str">
        <f>PRIX!K324</f>
        <v/>
      </c>
      <c r="AS323" s="631" t="str">
        <f>PRIX!L324</f>
        <v/>
      </c>
      <c r="AT323" s="631" t="str">
        <f>PRIX!M324</f>
        <v/>
      </c>
      <c r="AU323" s="629" t="str">
        <f>PRIX!N324</f>
        <v/>
      </c>
      <c r="AV323" s="631" t="str">
        <f>PRIX!O324</f>
        <v/>
      </c>
      <c r="AW323" s="631" t="str">
        <f>PRIX!P324</f>
        <v/>
      </c>
      <c r="AX323" s="630" t="str">
        <f>PRIX!Q324</f>
        <v/>
      </c>
      <c r="AY323" s="631" t="str">
        <f>PRIX!R324</f>
        <v/>
      </c>
      <c r="AZ323" s="631" t="str">
        <f>PRIX!S324</f>
        <v/>
      </c>
      <c r="BA323" s="623"/>
    </row>
    <row r="324">
      <c r="A324" s="621" t="str">
        <f>ARBITRAGES!E325</f>
        <v/>
      </c>
      <c r="B324" s="623" t="str">
        <f>IF(A324="","",IF(ARBITRAGES!F325="Invest","Achat","Vente"))</f>
        <v/>
      </c>
      <c r="C324" s="623" t="str">
        <f>ARBITRAGES!H325</f>
        <v/>
      </c>
      <c r="D324" s="624" t="str">
        <f>ARBITRAGES!I325</f>
        <v/>
      </c>
      <c r="E324" s="624" t="str">
        <f>ARBITRAGES!J325</f>
        <v/>
      </c>
      <c r="F324" s="623"/>
      <c r="G324" s="623" t="str">
        <f>'PV (%)'!B326</f>
        <v/>
      </c>
      <c r="H324" s="624" t="str">
        <f>'PV (%)'!E326</f>
        <v/>
      </c>
      <c r="I324" s="624" t="str">
        <f>'PV (%)'!F326</f>
        <v/>
      </c>
      <c r="J324" s="623" t="str">
        <f>'PV (%)'!G326</f>
        <v/>
      </c>
      <c r="K324" s="623"/>
      <c r="L324" s="621" t="str">
        <f>Exposition!A325</f>
        <v/>
      </c>
      <c r="M324" s="625" t="str">
        <f>Exposition!B325</f>
        <v/>
      </c>
      <c r="N324" s="625" t="str">
        <f>Exposition!C325</f>
        <v/>
      </c>
      <c r="O324" s="625" t="str">
        <f>Exposition!D325</f>
        <v/>
      </c>
      <c r="P324" s="625" t="str">
        <f>Exposition!E325</f>
        <v/>
      </c>
      <c r="Q324" s="625" t="str">
        <f>Exposition!F325</f>
        <v/>
      </c>
      <c r="R324" s="625" t="str">
        <f>Exposition!G325</f>
        <v/>
      </c>
      <c r="S324" s="625" t="str">
        <f>Exposition!H325</f>
        <v/>
      </c>
      <c r="T324" s="625" t="str">
        <f>Exposition!I325</f>
        <v/>
      </c>
      <c r="U324" s="625" t="str">
        <f>Exposition!J325</f>
        <v/>
      </c>
      <c r="V324" s="625" t="str">
        <f>Exposition!K325</f>
        <v/>
      </c>
      <c r="W324" s="625" t="str">
        <f>Exposition!L325</f>
        <v/>
      </c>
      <c r="X324" s="625" t="str">
        <f>Exposition!M325</f>
        <v/>
      </c>
      <c r="Y324" s="625" t="str">
        <f>Exposition!N325</f>
        <v/>
      </c>
      <c r="Z324" s="625" t="str">
        <f>Exposition!O325</f>
        <v/>
      </c>
      <c r="AA324" s="625" t="str">
        <f>Exposition!P325</f>
        <v/>
      </c>
      <c r="AB324" s="625" t="str">
        <f>Exposition!Q325</f>
        <v/>
      </c>
      <c r="AC324" s="625" t="str">
        <f>Exposition!R325</f>
        <v/>
      </c>
      <c r="AD324" s="625" t="str">
        <f>Exposition!S325</f>
        <v/>
      </c>
      <c r="AE324" s="625" t="str">
        <f>Exposition!T325</f>
        <v/>
      </c>
      <c r="AF324" s="625" t="str">
        <f>Exposition!U325</f>
        <v/>
      </c>
      <c r="AG324" s="623"/>
      <c r="AH324" s="621" t="str">
        <f>PRIX!A325</f>
        <v/>
      </c>
      <c r="AI324" s="626" t="str">
        <f>PRIX!B325</f>
        <v/>
      </c>
      <c r="AJ324" s="626" t="str">
        <f>PRIX!C325</f>
        <v/>
      </c>
      <c r="AK324" s="627" t="str">
        <f>PRIX!D325</f>
        <v/>
      </c>
      <c r="AL324" s="626" t="str">
        <f>PRIX!E325</f>
        <v/>
      </c>
      <c r="AM324" s="626" t="str">
        <f>PRIX!F325</f>
        <v/>
      </c>
      <c r="AN324" s="627" t="str">
        <f>PRIX!G325</f>
        <v/>
      </c>
      <c r="AO324" s="627" t="str">
        <f>PRIX!H325</f>
        <v/>
      </c>
      <c r="AP324" s="631" t="str">
        <f>PRIX!I325</f>
        <v/>
      </c>
      <c r="AQ324" s="628" t="str">
        <f>PRIX!J325</f>
        <v/>
      </c>
      <c r="AR324" s="631" t="str">
        <f>PRIX!K325</f>
        <v/>
      </c>
      <c r="AS324" s="631" t="str">
        <f>PRIX!L325</f>
        <v/>
      </c>
      <c r="AT324" s="631" t="str">
        <f>PRIX!M325</f>
        <v/>
      </c>
      <c r="AU324" s="629" t="str">
        <f>PRIX!N325</f>
        <v/>
      </c>
      <c r="AV324" s="631" t="str">
        <f>PRIX!O325</f>
        <v/>
      </c>
      <c r="AW324" s="631" t="str">
        <f>PRIX!P325</f>
        <v/>
      </c>
      <c r="AX324" s="630" t="str">
        <f>PRIX!Q325</f>
        <v/>
      </c>
      <c r="AY324" s="631" t="str">
        <f>PRIX!R325</f>
        <v/>
      </c>
      <c r="AZ324" s="631" t="str">
        <f>PRIX!S325</f>
        <v/>
      </c>
      <c r="BA324" s="623"/>
    </row>
    <row r="325">
      <c r="A325" s="621" t="str">
        <f>ARBITRAGES!E326</f>
        <v/>
      </c>
      <c r="B325" s="623" t="str">
        <f>IF(A325="","",IF(ARBITRAGES!F326="Invest","Achat","Vente"))</f>
        <v/>
      </c>
      <c r="C325" s="623" t="str">
        <f>ARBITRAGES!H326</f>
        <v/>
      </c>
      <c r="D325" s="624" t="str">
        <f>ARBITRAGES!I326</f>
        <v/>
      </c>
      <c r="E325" s="624" t="str">
        <f>ARBITRAGES!J326</f>
        <v/>
      </c>
      <c r="F325" s="623"/>
      <c r="G325" s="623" t="str">
        <f>'PV (%)'!B327</f>
        <v/>
      </c>
      <c r="H325" s="624" t="str">
        <f>'PV (%)'!E327</f>
        <v/>
      </c>
      <c r="I325" s="624" t="str">
        <f>'PV (%)'!F327</f>
        <v/>
      </c>
      <c r="J325" s="623" t="str">
        <f>'PV (%)'!G327</f>
        <v/>
      </c>
      <c r="K325" s="623"/>
      <c r="L325" s="621" t="str">
        <f>Exposition!A326</f>
        <v/>
      </c>
      <c r="M325" s="625" t="str">
        <f>Exposition!B326</f>
        <v/>
      </c>
      <c r="N325" s="625" t="str">
        <f>Exposition!C326</f>
        <v/>
      </c>
      <c r="O325" s="625" t="str">
        <f>Exposition!D326</f>
        <v/>
      </c>
      <c r="P325" s="625" t="str">
        <f>Exposition!E326</f>
        <v/>
      </c>
      <c r="Q325" s="625" t="str">
        <f>Exposition!F326</f>
        <v/>
      </c>
      <c r="R325" s="625" t="str">
        <f>Exposition!G326</f>
        <v/>
      </c>
      <c r="S325" s="625" t="str">
        <f>Exposition!H326</f>
        <v/>
      </c>
      <c r="T325" s="625" t="str">
        <f>Exposition!I326</f>
        <v/>
      </c>
      <c r="U325" s="625" t="str">
        <f>Exposition!J326</f>
        <v/>
      </c>
      <c r="V325" s="625" t="str">
        <f>Exposition!K326</f>
        <v/>
      </c>
      <c r="W325" s="625" t="str">
        <f>Exposition!L326</f>
        <v/>
      </c>
      <c r="X325" s="625" t="str">
        <f>Exposition!M326</f>
        <v/>
      </c>
      <c r="Y325" s="625" t="str">
        <f>Exposition!N326</f>
        <v/>
      </c>
      <c r="Z325" s="625" t="str">
        <f>Exposition!O326</f>
        <v/>
      </c>
      <c r="AA325" s="625" t="str">
        <f>Exposition!P326</f>
        <v/>
      </c>
      <c r="AB325" s="625" t="str">
        <f>Exposition!Q326</f>
        <v/>
      </c>
      <c r="AC325" s="625" t="str">
        <f>Exposition!R326</f>
        <v/>
      </c>
      <c r="AD325" s="625" t="str">
        <f>Exposition!S326</f>
        <v/>
      </c>
      <c r="AE325" s="625" t="str">
        <f>Exposition!T326</f>
        <v/>
      </c>
      <c r="AF325" s="625" t="str">
        <f>Exposition!U326</f>
        <v/>
      </c>
      <c r="AG325" s="623"/>
      <c r="AH325" s="621" t="str">
        <f>PRIX!A326</f>
        <v/>
      </c>
      <c r="AI325" s="626" t="str">
        <f>PRIX!B326</f>
        <v/>
      </c>
      <c r="AJ325" s="626" t="str">
        <f>PRIX!C326</f>
        <v/>
      </c>
      <c r="AK325" s="627" t="str">
        <f>PRIX!D326</f>
        <v/>
      </c>
      <c r="AL325" s="626" t="str">
        <f>PRIX!E326</f>
        <v/>
      </c>
      <c r="AM325" s="626" t="str">
        <f>PRIX!F326</f>
        <v/>
      </c>
      <c r="AN325" s="627" t="str">
        <f>PRIX!G326</f>
        <v/>
      </c>
      <c r="AO325" s="627" t="str">
        <f>PRIX!H326</f>
        <v/>
      </c>
      <c r="AP325" s="631" t="str">
        <f>PRIX!I326</f>
        <v/>
      </c>
      <c r="AQ325" s="628" t="str">
        <f>PRIX!J326</f>
        <v/>
      </c>
      <c r="AR325" s="631" t="str">
        <f>PRIX!K326</f>
        <v/>
      </c>
      <c r="AS325" s="631" t="str">
        <f>PRIX!L326</f>
        <v/>
      </c>
      <c r="AT325" s="631" t="str">
        <f>PRIX!M326</f>
        <v/>
      </c>
      <c r="AU325" s="629" t="str">
        <f>PRIX!N326</f>
        <v/>
      </c>
      <c r="AV325" s="631" t="str">
        <f>PRIX!O326</f>
        <v/>
      </c>
      <c r="AW325" s="631" t="str">
        <f>PRIX!P326</f>
        <v/>
      </c>
      <c r="AX325" s="630" t="str">
        <f>PRIX!Q326</f>
        <v/>
      </c>
      <c r="AY325" s="631" t="str">
        <f>PRIX!R326</f>
        <v/>
      </c>
      <c r="AZ325" s="631" t="str">
        <f>PRIX!S326</f>
        <v/>
      </c>
      <c r="BA325" s="623"/>
    </row>
    <row r="326">
      <c r="A326" s="621" t="str">
        <f>ARBITRAGES!E327</f>
        <v/>
      </c>
      <c r="B326" s="623" t="str">
        <f>IF(A326="","",IF(ARBITRAGES!F327="Invest","Achat","Vente"))</f>
        <v/>
      </c>
      <c r="C326" s="623" t="str">
        <f>ARBITRAGES!H327</f>
        <v/>
      </c>
      <c r="D326" s="624" t="str">
        <f>ARBITRAGES!I327</f>
        <v/>
      </c>
      <c r="E326" s="624" t="str">
        <f>ARBITRAGES!J327</f>
        <v/>
      </c>
      <c r="F326" s="623"/>
      <c r="G326" s="623" t="str">
        <f>'PV (%)'!B328</f>
        <v/>
      </c>
      <c r="H326" s="624" t="str">
        <f>'PV (%)'!E328</f>
        <v/>
      </c>
      <c r="I326" s="624" t="str">
        <f>'PV (%)'!F328</f>
        <v/>
      </c>
      <c r="J326" s="623" t="str">
        <f>'PV (%)'!G328</f>
        <v/>
      </c>
      <c r="K326" s="623"/>
      <c r="L326" s="621" t="str">
        <f>Exposition!A327</f>
        <v/>
      </c>
      <c r="M326" s="625" t="str">
        <f>Exposition!B327</f>
        <v/>
      </c>
      <c r="N326" s="625" t="str">
        <f>Exposition!C327</f>
        <v/>
      </c>
      <c r="O326" s="625" t="str">
        <f>Exposition!D327</f>
        <v/>
      </c>
      <c r="P326" s="625" t="str">
        <f>Exposition!E327</f>
        <v/>
      </c>
      <c r="Q326" s="625" t="str">
        <f>Exposition!F327</f>
        <v/>
      </c>
      <c r="R326" s="625" t="str">
        <f>Exposition!G327</f>
        <v/>
      </c>
      <c r="S326" s="625" t="str">
        <f>Exposition!H327</f>
        <v/>
      </c>
      <c r="T326" s="625" t="str">
        <f>Exposition!I327</f>
        <v/>
      </c>
      <c r="U326" s="625" t="str">
        <f>Exposition!J327</f>
        <v/>
      </c>
      <c r="V326" s="625" t="str">
        <f>Exposition!K327</f>
        <v/>
      </c>
      <c r="W326" s="625" t="str">
        <f>Exposition!L327</f>
        <v/>
      </c>
      <c r="X326" s="625" t="str">
        <f>Exposition!M327</f>
        <v/>
      </c>
      <c r="Y326" s="625" t="str">
        <f>Exposition!N327</f>
        <v/>
      </c>
      <c r="Z326" s="625" t="str">
        <f>Exposition!O327</f>
        <v/>
      </c>
      <c r="AA326" s="625" t="str">
        <f>Exposition!P327</f>
        <v/>
      </c>
      <c r="AB326" s="625" t="str">
        <f>Exposition!Q327</f>
        <v/>
      </c>
      <c r="AC326" s="625" t="str">
        <f>Exposition!R327</f>
        <v/>
      </c>
      <c r="AD326" s="625" t="str">
        <f>Exposition!S327</f>
        <v/>
      </c>
      <c r="AE326" s="625" t="str">
        <f>Exposition!T327</f>
        <v/>
      </c>
      <c r="AF326" s="625" t="str">
        <f>Exposition!U327</f>
        <v/>
      </c>
      <c r="AG326" s="623"/>
      <c r="AH326" s="621" t="str">
        <f>PRIX!A327</f>
        <v/>
      </c>
      <c r="AI326" s="626" t="str">
        <f>PRIX!B327</f>
        <v/>
      </c>
      <c r="AJ326" s="626" t="str">
        <f>PRIX!C327</f>
        <v/>
      </c>
      <c r="AK326" s="627" t="str">
        <f>PRIX!D327</f>
        <v/>
      </c>
      <c r="AL326" s="626" t="str">
        <f>PRIX!E327</f>
        <v/>
      </c>
      <c r="AM326" s="626" t="str">
        <f>PRIX!F327</f>
        <v/>
      </c>
      <c r="AN326" s="627" t="str">
        <f>PRIX!G327</f>
        <v/>
      </c>
      <c r="AO326" s="627" t="str">
        <f>PRIX!H327</f>
        <v/>
      </c>
      <c r="AP326" s="631" t="str">
        <f>PRIX!I327</f>
        <v/>
      </c>
      <c r="AQ326" s="628" t="str">
        <f>PRIX!J327</f>
        <v/>
      </c>
      <c r="AR326" s="631" t="str">
        <f>PRIX!K327</f>
        <v/>
      </c>
      <c r="AS326" s="631" t="str">
        <f>PRIX!L327</f>
        <v/>
      </c>
      <c r="AT326" s="631" t="str">
        <f>PRIX!M327</f>
        <v/>
      </c>
      <c r="AU326" s="629" t="str">
        <f>PRIX!N327</f>
        <v/>
      </c>
      <c r="AV326" s="631" t="str">
        <f>PRIX!O327</f>
        <v/>
      </c>
      <c r="AW326" s="631" t="str">
        <f>PRIX!P327</f>
        <v/>
      </c>
      <c r="AX326" s="630" t="str">
        <f>PRIX!Q327</f>
        <v/>
      </c>
      <c r="AY326" s="631" t="str">
        <f>PRIX!R327</f>
        <v/>
      </c>
      <c r="AZ326" s="631" t="str">
        <f>PRIX!S327</f>
        <v/>
      </c>
      <c r="BA326" s="623"/>
    </row>
    <row r="327">
      <c r="A327" s="621" t="str">
        <f>ARBITRAGES!E328</f>
        <v/>
      </c>
      <c r="B327" s="623" t="str">
        <f>IF(A327="","",IF(ARBITRAGES!F328="Invest","Achat","Vente"))</f>
        <v/>
      </c>
      <c r="C327" s="623" t="str">
        <f>ARBITRAGES!H328</f>
        <v/>
      </c>
      <c r="D327" s="624" t="str">
        <f>ARBITRAGES!I328</f>
        <v/>
      </c>
      <c r="E327" s="624" t="str">
        <f>ARBITRAGES!J328</f>
        <v/>
      </c>
      <c r="F327" s="623"/>
      <c r="G327" s="623" t="str">
        <f>'PV (%)'!B329</f>
        <v/>
      </c>
      <c r="H327" s="624" t="str">
        <f>'PV (%)'!E329</f>
        <v/>
      </c>
      <c r="I327" s="624" t="str">
        <f>'PV (%)'!F329</f>
        <v/>
      </c>
      <c r="J327" s="623" t="str">
        <f>'PV (%)'!G329</f>
        <v/>
      </c>
      <c r="K327" s="623"/>
      <c r="L327" s="621" t="str">
        <f>Exposition!A328</f>
        <v/>
      </c>
      <c r="M327" s="625" t="str">
        <f>Exposition!B328</f>
        <v/>
      </c>
      <c r="N327" s="625" t="str">
        <f>Exposition!C328</f>
        <v/>
      </c>
      <c r="O327" s="625" t="str">
        <f>Exposition!D328</f>
        <v/>
      </c>
      <c r="P327" s="625" t="str">
        <f>Exposition!E328</f>
        <v/>
      </c>
      <c r="Q327" s="625" t="str">
        <f>Exposition!F328</f>
        <v/>
      </c>
      <c r="R327" s="625" t="str">
        <f>Exposition!G328</f>
        <v/>
      </c>
      <c r="S327" s="625" t="str">
        <f>Exposition!H328</f>
        <v/>
      </c>
      <c r="T327" s="625" t="str">
        <f>Exposition!I328</f>
        <v/>
      </c>
      <c r="U327" s="625" t="str">
        <f>Exposition!J328</f>
        <v/>
      </c>
      <c r="V327" s="625" t="str">
        <f>Exposition!K328</f>
        <v/>
      </c>
      <c r="W327" s="625" t="str">
        <f>Exposition!L328</f>
        <v/>
      </c>
      <c r="X327" s="625" t="str">
        <f>Exposition!M328</f>
        <v/>
      </c>
      <c r="Y327" s="625" t="str">
        <f>Exposition!N328</f>
        <v/>
      </c>
      <c r="Z327" s="625" t="str">
        <f>Exposition!O328</f>
        <v/>
      </c>
      <c r="AA327" s="625" t="str">
        <f>Exposition!P328</f>
        <v/>
      </c>
      <c r="AB327" s="625" t="str">
        <f>Exposition!Q328</f>
        <v/>
      </c>
      <c r="AC327" s="625" t="str">
        <f>Exposition!R328</f>
        <v/>
      </c>
      <c r="AD327" s="625" t="str">
        <f>Exposition!S328</f>
        <v/>
      </c>
      <c r="AE327" s="625" t="str">
        <f>Exposition!T328</f>
        <v/>
      </c>
      <c r="AF327" s="625" t="str">
        <f>Exposition!U328</f>
        <v/>
      </c>
      <c r="AG327" s="623"/>
      <c r="AH327" s="621" t="str">
        <f>PRIX!A328</f>
        <v/>
      </c>
      <c r="AI327" s="626" t="str">
        <f>PRIX!B328</f>
        <v/>
      </c>
      <c r="AJ327" s="626" t="str">
        <f>PRIX!C328</f>
        <v/>
      </c>
      <c r="AK327" s="627" t="str">
        <f>PRIX!D328</f>
        <v/>
      </c>
      <c r="AL327" s="626" t="str">
        <f>PRIX!E328</f>
        <v/>
      </c>
      <c r="AM327" s="626" t="str">
        <f>PRIX!F328</f>
        <v/>
      </c>
      <c r="AN327" s="627" t="str">
        <f>PRIX!G328</f>
        <v/>
      </c>
      <c r="AO327" s="627" t="str">
        <f>PRIX!H328</f>
        <v/>
      </c>
      <c r="AP327" s="631" t="str">
        <f>PRIX!I328</f>
        <v/>
      </c>
      <c r="AQ327" s="628" t="str">
        <f>PRIX!J328</f>
        <v/>
      </c>
      <c r="AR327" s="631" t="str">
        <f>PRIX!K328</f>
        <v/>
      </c>
      <c r="AS327" s="631" t="str">
        <f>PRIX!L328</f>
        <v/>
      </c>
      <c r="AT327" s="631" t="str">
        <f>PRIX!M328</f>
        <v/>
      </c>
      <c r="AU327" s="629" t="str">
        <f>PRIX!N328</f>
        <v/>
      </c>
      <c r="AV327" s="631" t="str">
        <f>PRIX!O328</f>
        <v/>
      </c>
      <c r="AW327" s="631" t="str">
        <f>PRIX!P328</f>
        <v/>
      </c>
      <c r="AX327" s="630" t="str">
        <f>PRIX!Q328</f>
        <v/>
      </c>
      <c r="AY327" s="631" t="str">
        <f>PRIX!R328</f>
        <v/>
      </c>
      <c r="AZ327" s="631" t="str">
        <f>PRIX!S328</f>
        <v/>
      </c>
      <c r="BA327" s="623"/>
    </row>
    <row r="328">
      <c r="A328" s="621" t="str">
        <f>ARBITRAGES!E329</f>
        <v/>
      </c>
      <c r="B328" s="623" t="str">
        <f>IF(A328="","",IF(ARBITRAGES!F329="Invest","Achat","Vente"))</f>
        <v/>
      </c>
      <c r="C328" s="623" t="str">
        <f>ARBITRAGES!H329</f>
        <v/>
      </c>
      <c r="D328" s="624" t="str">
        <f>ARBITRAGES!I329</f>
        <v/>
      </c>
      <c r="E328" s="624" t="str">
        <f>ARBITRAGES!J329</f>
        <v/>
      </c>
      <c r="F328" s="623"/>
      <c r="G328" s="623" t="str">
        <f>'PV (%)'!B330</f>
        <v/>
      </c>
      <c r="H328" s="624" t="str">
        <f>'PV (%)'!E330</f>
        <v/>
      </c>
      <c r="I328" s="624" t="str">
        <f>'PV (%)'!F330</f>
        <v/>
      </c>
      <c r="J328" s="623" t="str">
        <f>'PV (%)'!G330</f>
        <v/>
      </c>
      <c r="K328" s="623"/>
      <c r="L328" s="621" t="str">
        <f>Exposition!A329</f>
        <v/>
      </c>
      <c r="M328" s="625" t="str">
        <f>Exposition!B329</f>
        <v/>
      </c>
      <c r="N328" s="625" t="str">
        <f>Exposition!C329</f>
        <v/>
      </c>
      <c r="O328" s="625" t="str">
        <f>Exposition!D329</f>
        <v/>
      </c>
      <c r="P328" s="625" t="str">
        <f>Exposition!E329</f>
        <v/>
      </c>
      <c r="Q328" s="625" t="str">
        <f>Exposition!F329</f>
        <v/>
      </c>
      <c r="R328" s="625" t="str">
        <f>Exposition!G329</f>
        <v/>
      </c>
      <c r="S328" s="625" t="str">
        <f>Exposition!H329</f>
        <v/>
      </c>
      <c r="T328" s="625" t="str">
        <f>Exposition!I329</f>
        <v/>
      </c>
      <c r="U328" s="625" t="str">
        <f>Exposition!J329</f>
        <v/>
      </c>
      <c r="V328" s="625" t="str">
        <f>Exposition!K329</f>
        <v/>
      </c>
      <c r="W328" s="625" t="str">
        <f>Exposition!L329</f>
        <v/>
      </c>
      <c r="X328" s="625" t="str">
        <f>Exposition!M329</f>
        <v/>
      </c>
      <c r="Y328" s="625" t="str">
        <f>Exposition!N329</f>
        <v/>
      </c>
      <c r="Z328" s="625" t="str">
        <f>Exposition!O329</f>
        <v/>
      </c>
      <c r="AA328" s="625" t="str">
        <f>Exposition!P329</f>
        <v/>
      </c>
      <c r="AB328" s="625" t="str">
        <f>Exposition!Q329</f>
        <v/>
      </c>
      <c r="AC328" s="625" t="str">
        <f>Exposition!R329</f>
        <v/>
      </c>
      <c r="AD328" s="625" t="str">
        <f>Exposition!S329</f>
        <v/>
      </c>
      <c r="AE328" s="625" t="str">
        <f>Exposition!T329</f>
        <v/>
      </c>
      <c r="AF328" s="625" t="str">
        <f>Exposition!U329</f>
        <v/>
      </c>
      <c r="AG328" s="623"/>
      <c r="AH328" s="621" t="str">
        <f>PRIX!A329</f>
        <v/>
      </c>
      <c r="AI328" s="626" t="str">
        <f>PRIX!B329</f>
        <v/>
      </c>
      <c r="AJ328" s="626" t="str">
        <f>PRIX!C329</f>
        <v/>
      </c>
      <c r="AK328" s="627" t="str">
        <f>PRIX!D329</f>
        <v/>
      </c>
      <c r="AL328" s="626" t="str">
        <f>PRIX!E329</f>
        <v/>
      </c>
      <c r="AM328" s="626" t="str">
        <f>PRIX!F329</f>
        <v/>
      </c>
      <c r="AN328" s="627" t="str">
        <f>PRIX!G329</f>
        <v/>
      </c>
      <c r="AO328" s="627" t="str">
        <f>PRIX!H329</f>
        <v/>
      </c>
      <c r="AP328" s="631" t="str">
        <f>PRIX!I329</f>
        <v/>
      </c>
      <c r="AQ328" s="628" t="str">
        <f>PRIX!J329</f>
        <v/>
      </c>
      <c r="AR328" s="631" t="str">
        <f>PRIX!K329</f>
        <v/>
      </c>
      <c r="AS328" s="631" t="str">
        <f>PRIX!L329</f>
        <v/>
      </c>
      <c r="AT328" s="631" t="str">
        <f>PRIX!M329</f>
        <v/>
      </c>
      <c r="AU328" s="629" t="str">
        <f>PRIX!N329</f>
        <v/>
      </c>
      <c r="AV328" s="631" t="str">
        <f>PRIX!O329</f>
        <v/>
      </c>
      <c r="AW328" s="631" t="str">
        <f>PRIX!P329</f>
        <v/>
      </c>
      <c r="AX328" s="630" t="str">
        <f>PRIX!Q329</f>
        <v/>
      </c>
      <c r="AY328" s="631" t="str">
        <f>PRIX!R329</f>
        <v/>
      </c>
      <c r="AZ328" s="631" t="str">
        <f>PRIX!S329</f>
        <v/>
      </c>
      <c r="BA328" s="623"/>
    </row>
    <row r="329">
      <c r="A329" s="621" t="str">
        <f>ARBITRAGES!E330</f>
        <v/>
      </c>
      <c r="B329" s="623" t="str">
        <f>IF(A329="","",IF(ARBITRAGES!F330="Invest","Achat","Vente"))</f>
        <v/>
      </c>
      <c r="C329" s="623" t="str">
        <f>ARBITRAGES!H330</f>
        <v/>
      </c>
      <c r="D329" s="624" t="str">
        <f>ARBITRAGES!I330</f>
        <v/>
      </c>
      <c r="E329" s="624" t="str">
        <f>ARBITRAGES!J330</f>
        <v/>
      </c>
      <c r="F329" s="623"/>
      <c r="G329" s="623" t="str">
        <f>'PV (%)'!B331</f>
        <v/>
      </c>
      <c r="H329" s="624" t="str">
        <f>'PV (%)'!E331</f>
        <v/>
      </c>
      <c r="I329" s="624" t="str">
        <f>'PV (%)'!F331</f>
        <v/>
      </c>
      <c r="J329" s="623" t="str">
        <f>'PV (%)'!G331</f>
        <v/>
      </c>
      <c r="K329" s="623"/>
      <c r="L329" s="621" t="str">
        <f>Exposition!A330</f>
        <v/>
      </c>
      <c r="M329" s="625" t="str">
        <f>Exposition!B330</f>
        <v/>
      </c>
      <c r="N329" s="625" t="str">
        <f>Exposition!C330</f>
        <v/>
      </c>
      <c r="O329" s="625" t="str">
        <f>Exposition!D330</f>
        <v/>
      </c>
      <c r="P329" s="625" t="str">
        <f>Exposition!E330</f>
        <v/>
      </c>
      <c r="Q329" s="625" t="str">
        <f>Exposition!F330</f>
        <v/>
      </c>
      <c r="R329" s="625" t="str">
        <f>Exposition!G330</f>
        <v/>
      </c>
      <c r="S329" s="625" t="str">
        <f>Exposition!H330</f>
        <v/>
      </c>
      <c r="T329" s="625" t="str">
        <f>Exposition!I330</f>
        <v/>
      </c>
      <c r="U329" s="625" t="str">
        <f>Exposition!J330</f>
        <v/>
      </c>
      <c r="V329" s="625" t="str">
        <f>Exposition!K330</f>
        <v/>
      </c>
      <c r="W329" s="625" t="str">
        <f>Exposition!L330</f>
        <v/>
      </c>
      <c r="X329" s="625" t="str">
        <f>Exposition!M330</f>
        <v/>
      </c>
      <c r="Y329" s="625" t="str">
        <f>Exposition!N330</f>
        <v/>
      </c>
      <c r="Z329" s="625" t="str">
        <f>Exposition!O330</f>
        <v/>
      </c>
      <c r="AA329" s="625" t="str">
        <f>Exposition!P330</f>
        <v/>
      </c>
      <c r="AB329" s="625" t="str">
        <f>Exposition!Q330</f>
        <v/>
      </c>
      <c r="AC329" s="625" t="str">
        <f>Exposition!R330</f>
        <v/>
      </c>
      <c r="AD329" s="625" t="str">
        <f>Exposition!S330</f>
        <v/>
      </c>
      <c r="AE329" s="625" t="str">
        <f>Exposition!T330</f>
        <v/>
      </c>
      <c r="AF329" s="625" t="str">
        <f>Exposition!U330</f>
        <v/>
      </c>
      <c r="AG329" s="623"/>
      <c r="AH329" s="621" t="str">
        <f>PRIX!A330</f>
        <v/>
      </c>
      <c r="AI329" s="626" t="str">
        <f>PRIX!B330</f>
        <v/>
      </c>
      <c r="AJ329" s="626" t="str">
        <f>PRIX!C330</f>
        <v/>
      </c>
      <c r="AK329" s="627" t="str">
        <f>PRIX!D330</f>
        <v/>
      </c>
      <c r="AL329" s="626" t="str">
        <f>PRIX!E330</f>
        <v/>
      </c>
      <c r="AM329" s="626" t="str">
        <f>PRIX!F330</f>
        <v/>
      </c>
      <c r="AN329" s="627" t="str">
        <f>PRIX!G330</f>
        <v/>
      </c>
      <c r="AO329" s="627" t="str">
        <f>PRIX!H330</f>
        <v/>
      </c>
      <c r="AP329" s="631" t="str">
        <f>PRIX!I330</f>
        <v/>
      </c>
      <c r="AQ329" s="628" t="str">
        <f>PRIX!J330</f>
        <v/>
      </c>
      <c r="AR329" s="631" t="str">
        <f>PRIX!K330</f>
        <v/>
      </c>
      <c r="AS329" s="631" t="str">
        <f>PRIX!L330</f>
        <v/>
      </c>
      <c r="AT329" s="631" t="str">
        <f>PRIX!M330</f>
        <v/>
      </c>
      <c r="AU329" s="629" t="str">
        <f>PRIX!N330</f>
        <v/>
      </c>
      <c r="AV329" s="631" t="str">
        <f>PRIX!O330</f>
        <v/>
      </c>
      <c r="AW329" s="631" t="str">
        <f>PRIX!P330</f>
        <v/>
      </c>
      <c r="AX329" s="630" t="str">
        <f>PRIX!Q330</f>
        <v/>
      </c>
      <c r="AY329" s="631" t="str">
        <f>PRIX!R330</f>
        <v/>
      </c>
      <c r="AZ329" s="631" t="str">
        <f>PRIX!S330</f>
        <v/>
      </c>
      <c r="BA329" s="623"/>
    </row>
    <row r="330">
      <c r="A330" s="621" t="str">
        <f>ARBITRAGES!E331</f>
        <v/>
      </c>
      <c r="B330" s="623" t="str">
        <f>IF(A330="","",IF(ARBITRAGES!F331="Invest","Achat","Vente"))</f>
        <v/>
      </c>
      <c r="C330" s="623" t="str">
        <f>ARBITRAGES!H331</f>
        <v/>
      </c>
      <c r="D330" s="624" t="str">
        <f>ARBITRAGES!I331</f>
        <v/>
      </c>
      <c r="E330" s="624" t="str">
        <f>ARBITRAGES!J331</f>
        <v/>
      </c>
      <c r="F330" s="623"/>
      <c r="G330" s="623" t="str">
        <f>'PV (%)'!B332</f>
        <v/>
      </c>
      <c r="H330" s="624" t="str">
        <f>'PV (%)'!E332</f>
        <v/>
      </c>
      <c r="I330" s="624" t="str">
        <f>'PV (%)'!F332</f>
        <v/>
      </c>
      <c r="J330" s="623" t="str">
        <f>'PV (%)'!G332</f>
        <v/>
      </c>
      <c r="K330" s="623"/>
      <c r="L330" s="621" t="str">
        <f>Exposition!A331</f>
        <v/>
      </c>
      <c r="M330" s="625" t="str">
        <f>Exposition!B331</f>
        <v/>
      </c>
      <c r="N330" s="625" t="str">
        <f>Exposition!C331</f>
        <v/>
      </c>
      <c r="O330" s="625" t="str">
        <f>Exposition!D331</f>
        <v/>
      </c>
      <c r="P330" s="625" t="str">
        <f>Exposition!E331</f>
        <v/>
      </c>
      <c r="Q330" s="625" t="str">
        <f>Exposition!F331</f>
        <v/>
      </c>
      <c r="R330" s="625" t="str">
        <f>Exposition!G331</f>
        <v/>
      </c>
      <c r="S330" s="625" t="str">
        <f>Exposition!H331</f>
        <v/>
      </c>
      <c r="T330" s="625" t="str">
        <f>Exposition!I331</f>
        <v/>
      </c>
      <c r="U330" s="625" t="str">
        <f>Exposition!J331</f>
        <v/>
      </c>
      <c r="V330" s="625" t="str">
        <f>Exposition!K331</f>
        <v/>
      </c>
      <c r="W330" s="625" t="str">
        <f>Exposition!L331</f>
        <v/>
      </c>
      <c r="X330" s="625" t="str">
        <f>Exposition!M331</f>
        <v/>
      </c>
      <c r="Y330" s="625" t="str">
        <f>Exposition!N331</f>
        <v/>
      </c>
      <c r="Z330" s="625" t="str">
        <f>Exposition!O331</f>
        <v/>
      </c>
      <c r="AA330" s="625" t="str">
        <f>Exposition!P331</f>
        <v/>
      </c>
      <c r="AB330" s="625" t="str">
        <f>Exposition!Q331</f>
        <v/>
      </c>
      <c r="AC330" s="625" t="str">
        <f>Exposition!R331</f>
        <v/>
      </c>
      <c r="AD330" s="625" t="str">
        <f>Exposition!S331</f>
        <v/>
      </c>
      <c r="AE330" s="625" t="str">
        <f>Exposition!T331</f>
        <v/>
      </c>
      <c r="AF330" s="625" t="str">
        <f>Exposition!U331</f>
        <v/>
      </c>
      <c r="AG330" s="623"/>
      <c r="AH330" s="621" t="str">
        <f>PRIX!A331</f>
        <v/>
      </c>
      <c r="AI330" s="626" t="str">
        <f>PRIX!B331</f>
        <v/>
      </c>
      <c r="AJ330" s="626" t="str">
        <f>PRIX!C331</f>
        <v/>
      </c>
      <c r="AK330" s="627" t="str">
        <f>PRIX!D331</f>
        <v/>
      </c>
      <c r="AL330" s="626" t="str">
        <f>PRIX!E331</f>
        <v/>
      </c>
      <c r="AM330" s="626" t="str">
        <f>PRIX!F331</f>
        <v/>
      </c>
      <c r="AN330" s="627" t="str">
        <f>PRIX!G331</f>
        <v/>
      </c>
      <c r="AO330" s="627" t="str">
        <f>PRIX!H331</f>
        <v/>
      </c>
      <c r="AP330" s="631" t="str">
        <f>PRIX!I331</f>
        <v/>
      </c>
      <c r="AQ330" s="628" t="str">
        <f>PRIX!J331</f>
        <v/>
      </c>
      <c r="AR330" s="631" t="str">
        <f>PRIX!K331</f>
        <v/>
      </c>
      <c r="AS330" s="631" t="str">
        <f>PRIX!L331</f>
        <v/>
      </c>
      <c r="AT330" s="631" t="str">
        <f>PRIX!M331</f>
        <v/>
      </c>
      <c r="AU330" s="629" t="str">
        <f>PRIX!N331</f>
        <v/>
      </c>
      <c r="AV330" s="631" t="str">
        <f>PRIX!O331</f>
        <v/>
      </c>
      <c r="AW330" s="631" t="str">
        <f>PRIX!P331</f>
        <v/>
      </c>
      <c r="AX330" s="630" t="str">
        <f>PRIX!Q331</f>
        <v/>
      </c>
      <c r="AY330" s="631" t="str">
        <f>PRIX!R331</f>
        <v/>
      </c>
      <c r="AZ330" s="631" t="str">
        <f>PRIX!S331</f>
        <v/>
      </c>
      <c r="BA330" s="623"/>
    </row>
    <row r="331">
      <c r="A331" s="621" t="str">
        <f>ARBITRAGES!E332</f>
        <v/>
      </c>
      <c r="B331" s="623" t="str">
        <f>IF(A331="","",IF(ARBITRAGES!F332="Invest","Achat","Vente"))</f>
        <v/>
      </c>
      <c r="C331" s="623" t="str">
        <f>ARBITRAGES!H332</f>
        <v/>
      </c>
      <c r="D331" s="624" t="str">
        <f>ARBITRAGES!I332</f>
        <v/>
      </c>
      <c r="E331" s="624" t="str">
        <f>ARBITRAGES!J332</f>
        <v/>
      </c>
      <c r="F331" s="623"/>
      <c r="G331" s="623" t="str">
        <f>'PV (%)'!B333</f>
        <v/>
      </c>
      <c r="H331" s="624" t="str">
        <f>'PV (%)'!E333</f>
        <v/>
      </c>
      <c r="I331" s="624" t="str">
        <f>'PV (%)'!F333</f>
        <v/>
      </c>
      <c r="J331" s="623" t="str">
        <f>'PV (%)'!G333</f>
        <v/>
      </c>
      <c r="K331" s="623"/>
      <c r="L331" s="621" t="str">
        <f>Exposition!A332</f>
        <v/>
      </c>
      <c r="M331" s="625" t="str">
        <f>Exposition!B332</f>
        <v/>
      </c>
      <c r="N331" s="625" t="str">
        <f>Exposition!C332</f>
        <v/>
      </c>
      <c r="O331" s="625" t="str">
        <f>Exposition!D332</f>
        <v/>
      </c>
      <c r="P331" s="625" t="str">
        <f>Exposition!E332</f>
        <v/>
      </c>
      <c r="Q331" s="625" t="str">
        <f>Exposition!F332</f>
        <v/>
      </c>
      <c r="R331" s="625" t="str">
        <f>Exposition!G332</f>
        <v/>
      </c>
      <c r="S331" s="625" t="str">
        <f>Exposition!H332</f>
        <v/>
      </c>
      <c r="T331" s="625" t="str">
        <f>Exposition!I332</f>
        <v/>
      </c>
      <c r="U331" s="625" t="str">
        <f>Exposition!J332</f>
        <v/>
      </c>
      <c r="V331" s="625" t="str">
        <f>Exposition!K332</f>
        <v/>
      </c>
      <c r="W331" s="625" t="str">
        <f>Exposition!L332</f>
        <v/>
      </c>
      <c r="X331" s="625" t="str">
        <f>Exposition!M332</f>
        <v/>
      </c>
      <c r="Y331" s="625" t="str">
        <f>Exposition!N332</f>
        <v/>
      </c>
      <c r="Z331" s="625" t="str">
        <f>Exposition!O332</f>
        <v/>
      </c>
      <c r="AA331" s="625" t="str">
        <f>Exposition!P332</f>
        <v/>
      </c>
      <c r="AB331" s="625" t="str">
        <f>Exposition!Q332</f>
        <v/>
      </c>
      <c r="AC331" s="625" t="str">
        <f>Exposition!R332</f>
        <v/>
      </c>
      <c r="AD331" s="625" t="str">
        <f>Exposition!S332</f>
        <v/>
      </c>
      <c r="AE331" s="625" t="str">
        <f>Exposition!T332</f>
        <v/>
      </c>
      <c r="AF331" s="625" t="str">
        <f>Exposition!U332</f>
        <v/>
      </c>
      <c r="AG331" s="623"/>
      <c r="AH331" s="621" t="str">
        <f>PRIX!A332</f>
        <v/>
      </c>
      <c r="AI331" s="626" t="str">
        <f>PRIX!B332</f>
        <v/>
      </c>
      <c r="AJ331" s="626" t="str">
        <f>PRIX!C332</f>
        <v/>
      </c>
      <c r="AK331" s="627" t="str">
        <f>PRIX!D332</f>
        <v/>
      </c>
      <c r="AL331" s="626" t="str">
        <f>PRIX!E332</f>
        <v/>
      </c>
      <c r="AM331" s="626" t="str">
        <f>PRIX!F332</f>
        <v/>
      </c>
      <c r="AN331" s="627" t="str">
        <f>PRIX!G332</f>
        <v/>
      </c>
      <c r="AO331" s="627" t="str">
        <f>PRIX!H332</f>
        <v/>
      </c>
      <c r="AP331" s="631" t="str">
        <f>PRIX!I332</f>
        <v/>
      </c>
      <c r="AQ331" s="628" t="str">
        <f>PRIX!J332</f>
        <v/>
      </c>
      <c r="AR331" s="631" t="str">
        <f>PRIX!K332</f>
        <v/>
      </c>
      <c r="AS331" s="631" t="str">
        <f>PRIX!L332</f>
        <v/>
      </c>
      <c r="AT331" s="631" t="str">
        <f>PRIX!M332</f>
        <v/>
      </c>
      <c r="AU331" s="629" t="str">
        <f>PRIX!N332</f>
        <v/>
      </c>
      <c r="AV331" s="631" t="str">
        <f>PRIX!O332</f>
        <v/>
      </c>
      <c r="AW331" s="631" t="str">
        <f>PRIX!P332</f>
        <v/>
      </c>
      <c r="AX331" s="630" t="str">
        <f>PRIX!Q332</f>
        <v/>
      </c>
      <c r="AY331" s="631" t="str">
        <f>PRIX!R332</f>
        <v/>
      </c>
      <c r="AZ331" s="631" t="str">
        <f>PRIX!S332</f>
        <v/>
      </c>
      <c r="BA331" s="623"/>
    </row>
    <row r="332">
      <c r="A332" s="621" t="str">
        <f>ARBITRAGES!E333</f>
        <v/>
      </c>
      <c r="B332" s="623" t="str">
        <f>IF(A332="","",IF(ARBITRAGES!F333="Invest","Achat","Vente"))</f>
        <v/>
      </c>
      <c r="C332" s="623" t="str">
        <f>ARBITRAGES!H333</f>
        <v/>
      </c>
      <c r="D332" s="624" t="str">
        <f>ARBITRAGES!I333</f>
        <v/>
      </c>
      <c r="E332" s="624" t="str">
        <f>ARBITRAGES!J333</f>
        <v/>
      </c>
      <c r="F332" s="623"/>
      <c r="G332" s="623" t="str">
        <f>'PV (%)'!B334</f>
        <v/>
      </c>
      <c r="H332" s="624" t="str">
        <f>'PV (%)'!E334</f>
        <v/>
      </c>
      <c r="I332" s="624" t="str">
        <f>'PV (%)'!F334</f>
        <v/>
      </c>
      <c r="J332" s="623" t="str">
        <f>'PV (%)'!G334</f>
        <v/>
      </c>
      <c r="K332" s="623"/>
      <c r="L332" s="621" t="str">
        <f>Exposition!A333</f>
        <v/>
      </c>
      <c r="M332" s="625" t="str">
        <f>Exposition!B333</f>
        <v/>
      </c>
      <c r="N332" s="625" t="str">
        <f>Exposition!C333</f>
        <v/>
      </c>
      <c r="O332" s="625" t="str">
        <f>Exposition!D333</f>
        <v/>
      </c>
      <c r="P332" s="625" t="str">
        <f>Exposition!E333</f>
        <v/>
      </c>
      <c r="Q332" s="625" t="str">
        <f>Exposition!F333</f>
        <v/>
      </c>
      <c r="R332" s="625" t="str">
        <f>Exposition!G333</f>
        <v/>
      </c>
      <c r="S332" s="625" t="str">
        <f>Exposition!H333</f>
        <v/>
      </c>
      <c r="T332" s="625" t="str">
        <f>Exposition!I333</f>
        <v/>
      </c>
      <c r="U332" s="625" t="str">
        <f>Exposition!J333</f>
        <v/>
      </c>
      <c r="V332" s="625" t="str">
        <f>Exposition!K333</f>
        <v/>
      </c>
      <c r="W332" s="625" t="str">
        <f>Exposition!L333</f>
        <v/>
      </c>
      <c r="X332" s="625" t="str">
        <f>Exposition!M333</f>
        <v/>
      </c>
      <c r="Y332" s="625" t="str">
        <f>Exposition!N333</f>
        <v/>
      </c>
      <c r="Z332" s="625" t="str">
        <f>Exposition!O333</f>
        <v/>
      </c>
      <c r="AA332" s="625" t="str">
        <f>Exposition!P333</f>
        <v/>
      </c>
      <c r="AB332" s="625" t="str">
        <f>Exposition!Q333</f>
        <v/>
      </c>
      <c r="AC332" s="625" t="str">
        <f>Exposition!R333</f>
        <v/>
      </c>
      <c r="AD332" s="625" t="str">
        <f>Exposition!S333</f>
        <v/>
      </c>
      <c r="AE332" s="625" t="str">
        <f>Exposition!T333</f>
        <v/>
      </c>
      <c r="AF332" s="625" t="str">
        <f>Exposition!U333</f>
        <v/>
      </c>
      <c r="AG332" s="623"/>
      <c r="AH332" s="621" t="str">
        <f>PRIX!A333</f>
        <v/>
      </c>
      <c r="AI332" s="626" t="str">
        <f>PRIX!B333</f>
        <v/>
      </c>
      <c r="AJ332" s="626" t="str">
        <f>PRIX!C333</f>
        <v/>
      </c>
      <c r="AK332" s="627" t="str">
        <f>PRIX!D333</f>
        <v/>
      </c>
      <c r="AL332" s="626" t="str">
        <f>PRIX!E333</f>
        <v/>
      </c>
      <c r="AM332" s="626" t="str">
        <f>PRIX!F333</f>
        <v/>
      </c>
      <c r="AN332" s="627" t="str">
        <f>PRIX!G333</f>
        <v/>
      </c>
      <c r="AO332" s="627" t="str">
        <f>PRIX!H333</f>
        <v/>
      </c>
      <c r="AP332" s="631" t="str">
        <f>PRIX!I333</f>
        <v/>
      </c>
      <c r="AQ332" s="628" t="str">
        <f>PRIX!J333</f>
        <v/>
      </c>
      <c r="AR332" s="631" t="str">
        <f>PRIX!K333</f>
        <v/>
      </c>
      <c r="AS332" s="631" t="str">
        <f>PRIX!L333</f>
        <v/>
      </c>
      <c r="AT332" s="631" t="str">
        <f>PRIX!M333</f>
        <v/>
      </c>
      <c r="AU332" s="629" t="str">
        <f>PRIX!N333</f>
        <v/>
      </c>
      <c r="AV332" s="631" t="str">
        <f>PRIX!O333</f>
        <v/>
      </c>
      <c r="AW332" s="631" t="str">
        <f>PRIX!P333</f>
        <v/>
      </c>
      <c r="AX332" s="630" t="str">
        <f>PRIX!Q333</f>
        <v/>
      </c>
      <c r="AY332" s="631" t="str">
        <f>PRIX!R333</f>
        <v/>
      </c>
      <c r="AZ332" s="631" t="str">
        <f>PRIX!S333</f>
        <v/>
      </c>
      <c r="BA332" s="623"/>
    </row>
    <row r="333">
      <c r="A333" s="621" t="str">
        <f>ARBITRAGES!E334</f>
        <v/>
      </c>
      <c r="B333" s="623" t="str">
        <f>IF(A333="","",IF(ARBITRAGES!F334="Invest","Achat","Vente"))</f>
        <v/>
      </c>
      <c r="C333" s="623" t="str">
        <f>ARBITRAGES!H334</f>
        <v/>
      </c>
      <c r="D333" s="624" t="str">
        <f>ARBITRAGES!I334</f>
        <v/>
      </c>
      <c r="E333" s="624" t="str">
        <f>ARBITRAGES!J334</f>
        <v/>
      </c>
      <c r="F333" s="623"/>
      <c r="G333" s="623" t="str">
        <f>'PV (%)'!B335</f>
        <v/>
      </c>
      <c r="H333" s="624" t="str">
        <f>'PV (%)'!E335</f>
        <v/>
      </c>
      <c r="I333" s="624" t="str">
        <f>'PV (%)'!F335</f>
        <v/>
      </c>
      <c r="J333" s="623" t="str">
        <f>'PV (%)'!G335</f>
        <v/>
      </c>
      <c r="K333" s="623"/>
      <c r="L333" s="621" t="str">
        <f>Exposition!A334</f>
        <v/>
      </c>
      <c r="M333" s="625" t="str">
        <f>Exposition!B334</f>
        <v/>
      </c>
      <c r="N333" s="625" t="str">
        <f>Exposition!C334</f>
        <v/>
      </c>
      <c r="O333" s="625" t="str">
        <f>Exposition!D334</f>
        <v/>
      </c>
      <c r="P333" s="625" t="str">
        <f>Exposition!E334</f>
        <v/>
      </c>
      <c r="Q333" s="625" t="str">
        <f>Exposition!F334</f>
        <v/>
      </c>
      <c r="R333" s="625" t="str">
        <f>Exposition!G334</f>
        <v/>
      </c>
      <c r="S333" s="625" t="str">
        <f>Exposition!H334</f>
        <v/>
      </c>
      <c r="T333" s="625" t="str">
        <f>Exposition!I334</f>
        <v/>
      </c>
      <c r="U333" s="625" t="str">
        <f>Exposition!J334</f>
        <v/>
      </c>
      <c r="V333" s="625" t="str">
        <f>Exposition!K334</f>
        <v/>
      </c>
      <c r="W333" s="625" t="str">
        <f>Exposition!L334</f>
        <v/>
      </c>
      <c r="X333" s="625" t="str">
        <f>Exposition!M334</f>
        <v/>
      </c>
      <c r="Y333" s="625" t="str">
        <f>Exposition!N334</f>
        <v/>
      </c>
      <c r="Z333" s="625" t="str">
        <f>Exposition!O334</f>
        <v/>
      </c>
      <c r="AA333" s="625" t="str">
        <f>Exposition!P334</f>
        <v/>
      </c>
      <c r="AB333" s="625" t="str">
        <f>Exposition!Q334</f>
        <v/>
      </c>
      <c r="AC333" s="625" t="str">
        <f>Exposition!R334</f>
        <v/>
      </c>
      <c r="AD333" s="625" t="str">
        <f>Exposition!S334</f>
        <v/>
      </c>
      <c r="AE333" s="625" t="str">
        <f>Exposition!T334</f>
        <v/>
      </c>
      <c r="AF333" s="625" t="str">
        <f>Exposition!U334</f>
        <v/>
      </c>
      <c r="AG333" s="623"/>
      <c r="AH333" s="621" t="str">
        <f>PRIX!A334</f>
        <v/>
      </c>
      <c r="AI333" s="626" t="str">
        <f>PRIX!B334</f>
        <v/>
      </c>
      <c r="AJ333" s="626" t="str">
        <f>PRIX!C334</f>
        <v/>
      </c>
      <c r="AK333" s="627" t="str">
        <f>PRIX!D334</f>
        <v/>
      </c>
      <c r="AL333" s="626" t="str">
        <f>PRIX!E334</f>
        <v/>
      </c>
      <c r="AM333" s="626" t="str">
        <f>PRIX!F334</f>
        <v/>
      </c>
      <c r="AN333" s="627" t="str">
        <f>PRIX!G334</f>
        <v/>
      </c>
      <c r="AO333" s="627" t="str">
        <f>PRIX!H334</f>
        <v/>
      </c>
      <c r="AP333" s="631" t="str">
        <f>PRIX!I334</f>
        <v/>
      </c>
      <c r="AQ333" s="628" t="str">
        <f>PRIX!J334</f>
        <v/>
      </c>
      <c r="AR333" s="631" t="str">
        <f>PRIX!K334</f>
        <v/>
      </c>
      <c r="AS333" s="631" t="str">
        <f>PRIX!L334</f>
        <v/>
      </c>
      <c r="AT333" s="631" t="str">
        <f>PRIX!M334</f>
        <v/>
      </c>
      <c r="AU333" s="629" t="str">
        <f>PRIX!N334</f>
        <v/>
      </c>
      <c r="AV333" s="631" t="str">
        <f>PRIX!O334</f>
        <v/>
      </c>
      <c r="AW333" s="631" t="str">
        <f>PRIX!P334</f>
        <v/>
      </c>
      <c r="AX333" s="630" t="str">
        <f>PRIX!Q334</f>
        <v/>
      </c>
      <c r="AY333" s="631" t="str">
        <f>PRIX!R334</f>
        <v/>
      </c>
      <c r="AZ333" s="631" t="str">
        <f>PRIX!S334</f>
        <v/>
      </c>
      <c r="BA333" s="623"/>
    </row>
    <row r="334">
      <c r="A334" s="621" t="str">
        <f>ARBITRAGES!E335</f>
        <v/>
      </c>
      <c r="B334" s="623" t="str">
        <f>IF(A334="","",IF(ARBITRAGES!F335="Invest","Achat","Vente"))</f>
        <v/>
      </c>
      <c r="C334" s="623" t="str">
        <f>ARBITRAGES!H335</f>
        <v/>
      </c>
      <c r="D334" s="624" t="str">
        <f>ARBITRAGES!I335</f>
        <v/>
      </c>
      <c r="E334" s="624" t="str">
        <f>ARBITRAGES!J335</f>
        <v/>
      </c>
      <c r="F334" s="623"/>
      <c r="G334" s="623" t="str">
        <f>'PV (%)'!B336</f>
        <v/>
      </c>
      <c r="H334" s="624" t="str">
        <f>'PV (%)'!E336</f>
        <v/>
      </c>
      <c r="I334" s="624" t="str">
        <f>'PV (%)'!F336</f>
        <v/>
      </c>
      <c r="J334" s="623" t="str">
        <f>'PV (%)'!G336</f>
        <v/>
      </c>
      <c r="K334" s="623"/>
      <c r="L334" s="621" t="str">
        <f>Exposition!A335</f>
        <v/>
      </c>
      <c r="M334" s="625" t="str">
        <f>Exposition!B335</f>
        <v/>
      </c>
      <c r="N334" s="625" t="str">
        <f>Exposition!C335</f>
        <v/>
      </c>
      <c r="O334" s="625" t="str">
        <f>Exposition!D335</f>
        <v/>
      </c>
      <c r="P334" s="625" t="str">
        <f>Exposition!E335</f>
        <v/>
      </c>
      <c r="Q334" s="625" t="str">
        <f>Exposition!F335</f>
        <v/>
      </c>
      <c r="R334" s="625" t="str">
        <f>Exposition!G335</f>
        <v/>
      </c>
      <c r="S334" s="625" t="str">
        <f>Exposition!H335</f>
        <v/>
      </c>
      <c r="T334" s="625" t="str">
        <f>Exposition!I335</f>
        <v/>
      </c>
      <c r="U334" s="625" t="str">
        <f>Exposition!J335</f>
        <v/>
      </c>
      <c r="V334" s="625" t="str">
        <f>Exposition!K335</f>
        <v/>
      </c>
      <c r="W334" s="625" t="str">
        <f>Exposition!L335</f>
        <v/>
      </c>
      <c r="X334" s="625" t="str">
        <f>Exposition!M335</f>
        <v/>
      </c>
      <c r="Y334" s="625" t="str">
        <f>Exposition!N335</f>
        <v/>
      </c>
      <c r="Z334" s="625" t="str">
        <f>Exposition!O335</f>
        <v/>
      </c>
      <c r="AA334" s="625" t="str">
        <f>Exposition!P335</f>
        <v/>
      </c>
      <c r="AB334" s="625" t="str">
        <f>Exposition!Q335</f>
        <v/>
      </c>
      <c r="AC334" s="625" t="str">
        <f>Exposition!R335</f>
        <v/>
      </c>
      <c r="AD334" s="625" t="str">
        <f>Exposition!S335</f>
        <v/>
      </c>
      <c r="AE334" s="625" t="str">
        <f>Exposition!T335</f>
        <v/>
      </c>
      <c r="AF334" s="625" t="str">
        <f>Exposition!U335</f>
        <v/>
      </c>
      <c r="AG334" s="623"/>
      <c r="AH334" s="621" t="str">
        <f>PRIX!A335</f>
        <v/>
      </c>
      <c r="AI334" s="626" t="str">
        <f>PRIX!B335</f>
        <v/>
      </c>
      <c r="AJ334" s="626" t="str">
        <f>PRIX!C335</f>
        <v/>
      </c>
      <c r="AK334" s="627" t="str">
        <f>PRIX!D335</f>
        <v/>
      </c>
      <c r="AL334" s="626" t="str">
        <f>PRIX!E335</f>
        <v/>
      </c>
      <c r="AM334" s="626" t="str">
        <f>PRIX!F335</f>
        <v/>
      </c>
      <c r="AN334" s="627" t="str">
        <f>PRIX!G335</f>
        <v/>
      </c>
      <c r="AO334" s="627" t="str">
        <f>PRIX!H335</f>
        <v/>
      </c>
      <c r="AP334" s="631" t="str">
        <f>PRIX!I335</f>
        <v/>
      </c>
      <c r="AQ334" s="628" t="str">
        <f>PRIX!J335</f>
        <v/>
      </c>
      <c r="AR334" s="631" t="str">
        <f>PRIX!K335</f>
        <v/>
      </c>
      <c r="AS334" s="631" t="str">
        <f>PRIX!L335</f>
        <v/>
      </c>
      <c r="AT334" s="631" t="str">
        <f>PRIX!M335</f>
        <v/>
      </c>
      <c r="AU334" s="629" t="str">
        <f>PRIX!N335</f>
        <v/>
      </c>
      <c r="AV334" s="631" t="str">
        <f>PRIX!O335</f>
        <v/>
      </c>
      <c r="AW334" s="631" t="str">
        <f>PRIX!P335</f>
        <v/>
      </c>
      <c r="AX334" s="630" t="str">
        <f>PRIX!Q335</f>
        <v/>
      </c>
      <c r="AY334" s="631" t="str">
        <f>PRIX!R335</f>
        <v/>
      </c>
      <c r="AZ334" s="631" t="str">
        <f>PRIX!S335</f>
        <v/>
      </c>
      <c r="BA334" s="623"/>
    </row>
    <row r="335">
      <c r="A335" s="621" t="str">
        <f>ARBITRAGES!E336</f>
        <v/>
      </c>
      <c r="B335" s="623" t="str">
        <f>IF(A335="","",IF(ARBITRAGES!F336="Invest","Achat","Vente"))</f>
        <v/>
      </c>
      <c r="C335" s="623" t="str">
        <f>ARBITRAGES!H336</f>
        <v/>
      </c>
      <c r="D335" s="624" t="str">
        <f>ARBITRAGES!I336</f>
        <v/>
      </c>
      <c r="E335" s="624" t="str">
        <f>ARBITRAGES!J336</f>
        <v/>
      </c>
      <c r="F335" s="623"/>
      <c r="G335" s="623" t="str">
        <f>'PV (%)'!B337</f>
        <v/>
      </c>
      <c r="H335" s="624" t="str">
        <f>'PV (%)'!E337</f>
        <v/>
      </c>
      <c r="I335" s="624" t="str">
        <f>'PV (%)'!F337</f>
        <v/>
      </c>
      <c r="J335" s="623" t="str">
        <f>'PV (%)'!G337</f>
        <v/>
      </c>
      <c r="K335" s="623"/>
      <c r="L335" s="621" t="str">
        <f>Exposition!A336</f>
        <v/>
      </c>
      <c r="M335" s="625" t="str">
        <f>Exposition!B336</f>
        <v/>
      </c>
      <c r="N335" s="625" t="str">
        <f>Exposition!C336</f>
        <v/>
      </c>
      <c r="O335" s="625" t="str">
        <f>Exposition!D336</f>
        <v/>
      </c>
      <c r="P335" s="625" t="str">
        <f>Exposition!E336</f>
        <v/>
      </c>
      <c r="Q335" s="625" t="str">
        <f>Exposition!F336</f>
        <v/>
      </c>
      <c r="R335" s="625" t="str">
        <f>Exposition!G336</f>
        <v/>
      </c>
      <c r="S335" s="625" t="str">
        <f>Exposition!H336</f>
        <v/>
      </c>
      <c r="T335" s="625" t="str">
        <f>Exposition!I336</f>
        <v/>
      </c>
      <c r="U335" s="625" t="str">
        <f>Exposition!J336</f>
        <v/>
      </c>
      <c r="V335" s="625" t="str">
        <f>Exposition!K336</f>
        <v/>
      </c>
      <c r="W335" s="625" t="str">
        <f>Exposition!L336</f>
        <v/>
      </c>
      <c r="X335" s="625" t="str">
        <f>Exposition!M336</f>
        <v/>
      </c>
      <c r="Y335" s="625" t="str">
        <f>Exposition!N336</f>
        <v/>
      </c>
      <c r="Z335" s="625" t="str">
        <f>Exposition!O336</f>
        <v/>
      </c>
      <c r="AA335" s="625" t="str">
        <f>Exposition!P336</f>
        <v/>
      </c>
      <c r="AB335" s="625" t="str">
        <f>Exposition!Q336</f>
        <v/>
      </c>
      <c r="AC335" s="625" t="str">
        <f>Exposition!R336</f>
        <v/>
      </c>
      <c r="AD335" s="625" t="str">
        <f>Exposition!S336</f>
        <v/>
      </c>
      <c r="AE335" s="625" t="str">
        <f>Exposition!T336</f>
        <v/>
      </c>
      <c r="AF335" s="625" t="str">
        <f>Exposition!U336</f>
        <v/>
      </c>
      <c r="AG335" s="623"/>
      <c r="AH335" s="621" t="str">
        <f>PRIX!A336</f>
        <v/>
      </c>
      <c r="AI335" s="626" t="str">
        <f>PRIX!B336</f>
        <v/>
      </c>
      <c r="AJ335" s="626" t="str">
        <f>PRIX!C336</f>
        <v/>
      </c>
      <c r="AK335" s="627" t="str">
        <f>PRIX!D336</f>
        <v/>
      </c>
      <c r="AL335" s="626" t="str">
        <f>PRIX!E336</f>
        <v/>
      </c>
      <c r="AM335" s="626" t="str">
        <f>PRIX!F336</f>
        <v/>
      </c>
      <c r="AN335" s="627" t="str">
        <f>PRIX!G336</f>
        <v/>
      </c>
      <c r="AO335" s="627" t="str">
        <f>PRIX!H336</f>
        <v/>
      </c>
      <c r="AP335" s="631" t="str">
        <f>PRIX!I336</f>
        <v/>
      </c>
      <c r="AQ335" s="628" t="str">
        <f>PRIX!J336</f>
        <v/>
      </c>
      <c r="AR335" s="631" t="str">
        <f>PRIX!K336</f>
        <v/>
      </c>
      <c r="AS335" s="631" t="str">
        <f>PRIX!L336</f>
        <v/>
      </c>
      <c r="AT335" s="631" t="str">
        <f>PRIX!M336</f>
        <v/>
      </c>
      <c r="AU335" s="629" t="str">
        <f>PRIX!N336</f>
        <v/>
      </c>
      <c r="AV335" s="631" t="str">
        <f>PRIX!O336</f>
        <v/>
      </c>
      <c r="AW335" s="631" t="str">
        <f>PRIX!P336</f>
        <v/>
      </c>
      <c r="AX335" s="630" t="str">
        <f>PRIX!Q336</f>
        <v/>
      </c>
      <c r="AY335" s="631" t="str">
        <f>PRIX!R336</f>
        <v/>
      </c>
      <c r="AZ335" s="631" t="str">
        <f>PRIX!S336</f>
        <v/>
      </c>
      <c r="BA335" s="623"/>
    </row>
    <row r="336">
      <c r="A336" s="621" t="str">
        <f>ARBITRAGES!E337</f>
        <v/>
      </c>
      <c r="B336" s="623" t="str">
        <f>IF(A336="","",IF(ARBITRAGES!F337="Invest","Achat","Vente"))</f>
        <v/>
      </c>
      <c r="C336" s="623" t="str">
        <f>ARBITRAGES!H337</f>
        <v/>
      </c>
      <c r="D336" s="624" t="str">
        <f>ARBITRAGES!I337</f>
        <v/>
      </c>
      <c r="E336" s="624" t="str">
        <f>ARBITRAGES!J337</f>
        <v/>
      </c>
      <c r="F336" s="623"/>
      <c r="G336" s="623" t="str">
        <f>'PV (%)'!B338</f>
        <v/>
      </c>
      <c r="H336" s="624" t="str">
        <f>'PV (%)'!E338</f>
        <v/>
      </c>
      <c r="I336" s="624" t="str">
        <f>'PV (%)'!F338</f>
        <v/>
      </c>
      <c r="J336" s="623" t="str">
        <f>'PV (%)'!G338</f>
        <v/>
      </c>
      <c r="K336" s="623"/>
      <c r="L336" s="621" t="str">
        <f>Exposition!A337</f>
        <v/>
      </c>
      <c r="M336" s="625" t="str">
        <f>Exposition!B337</f>
        <v/>
      </c>
      <c r="N336" s="625" t="str">
        <f>Exposition!C337</f>
        <v/>
      </c>
      <c r="O336" s="625" t="str">
        <f>Exposition!D337</f>
        <v/>
      </c>
      <c r="P336" s="625" t="str">
        <f>Exposition!E337</f>
        <v/>
      </c>
      <c r="Q336" s="625" t="str">
        <f>Exposition!F337</f>
        <v/>
      </c>
      <c r="R336" s="625" t="str">
        <f>Exposition!G337</f>
        <v/>
      </c>
      <c r="S336" s="625" t="str">
        <f>Exposition!H337</f>
        <v/>
      </c>
      <c r="T336" s="625" t="str">
        <f>Exposition!I337</f>
        <v/>
      </c>
      <c r="U336" s="625" t="str">
        <f>Exposition!J337</f>
        <v/>
      </c>
      <c r="V336" s="625" t="str">
        <f>Exposition!K337</f>
        <v/>
      </c>
      <c r="W336" s="625" t="str">
        <f>Exposition!L337</f>
        <v/>
      </c>
      <c r="X336" s="625" t="str">
        <f>Exposition!M337</f>
        <v/>
      </c>
      <c r="Y336" s="625" t="str">
        <f>Exposition!N337</f>
        <v/>
      </c>
      <c r="Z336" s="625" t="str">
        <f>Exposition!O337</f>
        <v/>
      </c>
      <c r="AA336" s="625" t="str">
        <f>Exposition!P337</f>
        <v/>
      </c>
      <c r="AB336" s="625" t="str">
        <f>Exposition!Q337</f>
        <v/>
      </c>
      <c r="AC336" s="625" t="str">
        <f>Exposition!R337</f>
        <v/>
      </c>
      <c r="AD336" s="625" t="str">
        <f>Exposition!S337</f>
        <v/>
      </c>
      <c r="AE336" s="625" t="str">
        <f>Exposition!T337</f>
        <v/>
      </c>
      <c r="AF336" s="625" t="str">
        <f>Exposition!U337</f>
        <v/>
      </c>
      <c r="AG336" s="623"/>
      <c r="AH336" s="621" t="str">
        <f>PRIX!A337</f>
        <v/>
      </c>
      <c r="AI336" s="626" t="str">
        <f>PRIX!B337</f>
        <v/>
      </c>
      <c r="AJ336" s="626" t="str">
        <f>PRIX!C337</f>
        <v/>
      </c>
      <c r="AK336" s="627" t="str">
        <f>PRIX!D337</f>
        <v/>
      </c>
      <c r="AL336" s="626" t="str">
        <f>PRIX!E337</f>
        <v/>
      </c>
      <c r="AM336" s="626" t="str">
        <f>PRIX!F337</f>
        <v/>
      </c>
      <c r="AN336" s="627" t="str">
        <f>PRIX!G337</f>
        <v/>
      </c>
      <c r="AO336" s="627" t="str">
        <f>PRIX!H337</f>
        <v/>
      </c>
      <c r="AP336" s="631" t="str">
        <f>PRIX!I337</f>
        <v/>
      </c>
      <c r="AQ336" s="628" t="str">
        <f>PRIX!J337</f>
        <v/>
      </c>
      <c r="AR336" s="631" t="str">
        <f>PRIX!K337</f>
        <v/>
      </c>
      <c r="AS336" s="631" t="str">
        <f>PRIX!L337</f>
        <v/>
      </c>
      <c r="AT336" s="631" t="str">
        <f>PRIX!M337</f>
        <v/>
      </c>
      <c r="AU336" s="629" t="str">
        <f>PRIX!N337</f>
        <v/>
      </c>
      <c r="AV336" s="631" t="str">
        <f>PRIX!O337</f>
        <v/>
      </c>
      <c r="AW336" s="631" t="str">
        <f>PRIX!P337</f>
        <v/>
      </c>
      <c r="AX336" s="630" t="str">
        <f>PRIX!Q337</f>
        <v/>
      </c>
      <c r="AY336" s="631" t="str">
        <f>PRIX!R337</f>
        <v/>
      </c>
      <c r="AZ336" s="631" t="str">
        <f>PRIX!S337</f>
        <v/>
      </c>
      <c r="BA336" s="623"/>
    </row>
    <row r="337">
      <c r="A337" s="621" t="str">
        <f>ARBITRAGES!E338</f>
        <v/>
      </c>
      <c r="B337" s="623" t="str">
        <f>IF(A337="","",IF(ARBITRAGES!F338="Invest","Achat","Vente"))</f>
        <v/>
      </c>
      <c r="C337" s="623" t="str">
        <f>ARBITRAGES!H338</f>
        <v/>
      </c>
      <c r="D337" s="624" t="str">
        <f>ARBITRAGES!I338</f>
        <v/>
      </c>
      <c r="E337" s="624" t="str">
        <f>ARBITRAGES!J338</f>
        <v/>
      </c>
      <c r="F337" s="623"/>
      <c r="G337" s="623" t="str">
        <f>'PV (%)'!B339</f>
        <v/>
      </c>
      <c r="H337" s="624" t="str">
        <f>'PV (%)'!E339</f>
        <v/>
      </c>
      <c r="I337" s="624" t="str">
        <f>'PV (%)'!F339</f>
        <v/>
      </c>
      <c r="J337" s="623" t="str">
        <f>'PV (%)'!G339</f>
        <v/>
      </c>
      <c r="K337" s="623"/>
      <c r="L337" s="621" t="str">
        <f>Exposition!A338</f>
        <v/>
      </c>
      <c r="M337" s="625" t="str">
        <f>Exposition!B338</f>
        <v/>
      </c>
      <c r="N337" s="625" t="str">
        <f>Exposition!C338</f>
        <v/>
      </c>
      <c r="O337" s="625" t="str">
        <f>Exposition!D338</f>
        <v/>
      </c>
      <c r="P337" s="625" t="str">
        <f>Exposition!E338</f>
        <v/>
      </c>
      <c r="Q337" s="625" t="str">
        <f>Exposition!F338</f>
        <v/>
      </c>
      <c r="R337" s="625" t="str">
        <f>Exposition!G338</f>
        <v/>
      </c>
      <c r="S337" s="625" t="str">
        <f>Exposition!H338</f>
        <v/>
      </c>
      <c r="T337" s="625" t="str">
        <f>Exposition!I338</f>
        <v/>
      </c>
      <c r="U337" s="625" t="str">
        <f>Exposition!J338</f>
        <v/>
      </c>
      <c r="V337" s="625" t="str">
        <f>Exposition!K338</f>
        <v/>
      </c>
      <c r="W337" s="625" t="str">
        <f>Exposition!L338</f>
        <v/>
      </c>
      <c r="X337" s="625" t="str">
        <f>Exposition!M338</f>
        <v/>
      </c>
      <c r="Y337" s="625" t="str">
        <f>Exposition!N338</f>
        <v/>
      </c>
      <c r="Z337" s="625" t="str">
        <f>Exposition!O338</f>
        <v/>
      </c>
      <c r="AA337" s="625" t="str">
        <f>Exposition!P338</f>
        <v/>
      </c>
      <c r="AB337" s="625" t="str">
        <f>Exposition!Q338</f>
        <v/>
      </c>
      <c r="AC337" s="625" t="str">
        <f>Exposition!R338</f>
        <v/>
      </c>
      <c r="AD337" s="625" t="str">
        <f>Exposition!S338</f>
        <v/>
      </c>
      <c r="AE337" s="625" t="str">
        <f>Exposition!T338</f>
        <v/>
      </c>
      <c r="AF337" s="625" t="str">
        <f>Exposition!U338</f>
        <v/>
      </c>
      <c r="AG337" s="623"/>
      <c r="AH337" s="621" t="str">
        <f>PRIX!A338</f>
        <v/>
      </c>
      <c r="AI337" s="626" t="str">
        <f>PRIX!B338</f>
        <v/>
      </c>
      <c r="AJ337" s="626" t="str">
        <f>PRIX!C338</f>
        <v/>
      </c>
      <c r="AK337" s="627" t="str">
        <f>PRIX!D338</f>
        <v/>
      </c>
      <c r="AL337" s="626" t="str">
        <f>PRIX!E338</f>
        <v/>
      </c>
      <c r="AM337" s="626" t="str">
        <f>PRIX!F338</f>
        <v/>
      </c>
      <c r="AN337" s="627" t="str">
        <f>PRIX!G338</f>
        <v/>
      </c>
      <c r="AO337" s="627" t="str">
        <f>PRIX!H338</f>
        <v/>
      </c>
      <c r="AP337" s="631" t="str">
        <f>PRIX!I338</f>
        <v/>
      </c>
      <c r="AQ337" s="628" t="str">
        <f>PRIX!J338</f>
        <v/>
      </c>
      <c r="AR337" s="631" t="str">
        <f>PRIX!K338</f>
        <v/>
      </c>
      <c r="AS337" s="631" t="str">
        <f>PRIX!L338</f>
        <v/>
      </c>
      <c r="AT337" s="631" t="str">
        <f>PRIX!M338</f>
        <v/>
      </c>
      <c r="AU337" s="629" t="str">
        <f>PRIX!N338</f>
        <v/>
      </c>
      <c r="AV337" s="631" t="str">
        <f>PRIX!O338</f>
        <v/>
      </c>
      <c r="AW337" s="631" t="str">
        <f>PRIX!P338</f>
        <v/>
      </c>
      <c r="AX337" s="630" t="str">
        <f>PRIX!Q338</f>
        <v/>
      </c>
      <c r="AY337" s="631" t="str">
        <f>PRIX!R338</f>
        <v/>
      </c>
      <c r="AZ337" s="631" t="str">
        <f>PRIX!S338</f>
        <v/>
      </c>
      <c r="BA337" s="623"/>
    </row>
    <row r="338">
      <c r="A338" s="621" t="str">
        <f>ARBITRAGES!E339</f>
        <v/>
      </c>
      <c r="B338" s="623" t="str">
        <f>IF(A338="","",IF(ARBITRAGES!F339="Invest","Achat","Vente"))</f>
        <v/>
      </c>
      <c r="C338" s="623" t="str">
        <f>ARBITRAGES!H339</f>
        <v/>
      </c>
      <c r="D338" s="624" t="str">
        <f>ARBITRAGES!I339</f>
        <v/>
      </c>
      <c r="E338" s="624" t="str">
        <f>ARBITRAGES!J339</f>
        <v/>
      </c>
      <c r="F338" s="623"/>
      <c r="G338" s="623" t="str">
        <f>'PV (%)'!B340</f>
        <v/>
      </c>
      <c r="H338" s="624" t="str">
        <f>'PV (%)'!E340</f>
        <v/>
      </c>
      <c r="I338" s="624" t="str">
        <f>'PV (%)'!F340</f>
        <v/>
      </c>
      <c r="J338" s="623" t="str">
        <f>'PV (%)'!G340</f>
        <v/>
      </c>
      <c r="K338" s="623"/>
      <c r="L338" s="621" t="str">
        <f>Exposition!A339</f>
        <v/>
      </c>
      <c r="M338" s="625" t="str">
        <f>Exposition!B339</f>
        <v/>
      </c>
      <c r="N338" s="625" t="str">
        <f>Exposition!C339</f>
        <v/>
      </c>
      <c r="O338" s="625" t="str">
        <f>Exposition!D339</f>
        <v/>
      </c>
      <c r="P338" s="625" t="str">
        <f>Exposition!E339</f>
        <v/>
      </c>
      <c r="Q338" s="625" t="str">
        <f>Exposition!F339</f>
        <v/>
      </c>
      <c r="R338" s="625" t="str">
        <f>Exposition!G339</f>
        <v/>
      </c>
      <c r="S338" s="625" t="str">
        <f>Exposition!H339</f>
        <v/>
      </c>
      <c r="T338" s="625" t="str">
        <f>Exposition!I339</f>
        <v/>
      </c>
      <c r="U338" s="625" t="str">
        <f>Exposition!J339</f>
        <v/>
      </c>
      <c r="V338" s="625" t="str">
        <f>Exposition!K339</f>
        <v/>
      </c>
      <c r="W338" s="625" t="str">
        <f>Exposition!L339</f>
        <v/>
      </c>
      <c r="X338" s="625" t="str">
        <f>Exposition!M339</f>
        <v/>
      </c>
      <c r="Y338" s="625" t="str">
        <f>Exposition!N339</f>
        <v/>
      </c>
      <c r="Z338" s="625" t="str">
        <f>Exposition!O339</f>
        <v/>
      </c>
      <c r="AA338" s="625" t="str">
        <f>Exposition!P339</f>
        <v/>
      </c>
      <c r="AB338" s="625" t="str">
        <f>Exposition!Q339</f>
        <v/>
      </c>
      <c r="AC338" s="625" t="str">
        <f>Exposition!R339</f>
        <v/>
      </c>
      <c r="AD338" s="625" t="str">
        <f>Exposition!S339</f>
        <v/>
      </c>
      <c r="AE338" s="625" t="str">
        <f>Exposition!T339</f>
        <v/>
      </c>
      <c r="AF338" s="625" t="str">
        <f>Exposition!U339</f>
        <v/>
      </c>
      <c r="AG338" s="623"/>
      <c r="AH338" s="621" t="str">
        <f>PRIX!A339</f>
        <v/>
      </c>
      <c r="AI338" s="626" t="str">
        <f>PRIX!B339</f>
        <v/>
      </c>
      <c r="AJ338" s="626" t="str">
        <f>PRIX!C339</f>
        <v/>
      </c>
      <c r="AK338" s="627" t="str">
        <f>PRIX!D339</f>
        <v/>
      </c>
      <c r="AL338" s="626" t="str">
        <f>PRIX!E339</f>
        <v/>
      </c>
      <c r="AM338" s="626" t="str">
        <f>PRIX!F339</f>
        <v/>
      </c>
      <c r="AN338" s="627" t="str">
        <f>PRIX!G339</f>
        <v/>
      </c>
      <c r="AO338" s="627" t="str">
        <f>PRIX!H339</f>
        <v/>
      </c>
      <c r="AP338" s="631" t="str">
        <f>PRIX!I339</f>
        <v/>
      </c>
      <c r="AQ338" s="628" t="str">
        <f>PRIX!J339</f>
        <v/>
      </c>
      <c r="AR338" s="631" t="str">
        <f>PRIX!K339</f>
        <v/>
      </c>
      <c r="AS338" s="631" t="str">
        <f>PRIX!L339</f>
        <v/>
      </c>
      <c r="AT338" s="631" t="str">
        <f>PRIX!M339</f>
        <v/>
      </c>
      <c r="AU338" s="629" t="str">
        <f>PRIX!N339</f>
        <v/>
      </c>
      <c r="AV338" s="631" t="str">
        <f>PRIX!O339</f>
        <v/>
      </c>
      <c r="AW338" s="631" t="str">
        <f>PRIX!P339</f>
        <v/>
      </c>
      <c r="AX338" s="630" t="str">
        <f>PRIX!Q339</f>
        <v/>
      </c>
      <c r="AY338" s="631" t="str">
        <f>PRIX!R339</f>
        <v/>
      </c>
      <c r="AZ338" s="631" t="str">
        <f>PRIX!S339</f>
        <v/>
      </c>
      <c r="BA338" s="623"/>
    </row>
    <row r="339">
      <c r="A339" s="621" t="str">
        <f>ARBITRAGES!E340</f>
        <v/>
      </c>
      <c r="B339" s="623" t="str">
        <f>IF(A339="","",IF(ARBITRAGES!F340="Invest","Achat","Vente"))</f>
        <v/>
      </c>
      <c r="C339" s="623" t="str">
        <f>ARBITRAGES!H340</f>
        <v/>
      </c>
      <c r="D339" s="624" t="str">
        <f>ARBITRAGES!I340</f>
        <v/>
      </c>
      <c r="E339" s="624" t="str">
        <f>ARBITRAGES!J340</f>
        <v/>
      </c>
      <c r="F339" s="623"/>
      <c r="G339" s="623" t="str">
        <f>'PV (%)'!B341</f>
        <v/>
      </c>
      <c r="H339" s="624" t="str">
        <f>'PV (%)'!E341</f>
        <v/>
      </c>
      <c r="I339" s="624" t="str">
        <f>'PV (%)'!F341</f>
        <v/>
      </c>
      <c r="J339" s="623" t="str">
        <f>'PV (%)'!G341</f>
        <v/>
      </c>
      <c r="K339" s="623"/>
      <c r="L339" s="621" t="str">
        <f>Exposition!A340</f>
        <v/>
      </c>
      <c r="M339" s="625" t="str">
        <f>Exposition!B340</f>
        <v/>
      </c>
      <c r="N339" s="625" t="str">
        <f>Exposition!C340</f>
        <v/>
      </c>
      <c r="O339" s="625" t="str">
        <f>Exposition!D340</f>
        <v/>
      </c>
      <c r="P339" s="625" t="str">
        <f>Exposition!E340</f>
        <v/>
      </c>
      <c r="Q339" s="625" t="str">
        <f>Exposition!F340</f>
        <v/>
      </c>
      <c r="R339" s="625" t="str">
        <f>Exposition!G340</f>
        <v/>
      </c>
      <c r="S339" s="625" t="str">
        <f>Exposition!H340</f>
        <v/>
      </c>
      <c r="T339" s="625" t="str">
        <f>Exposition!I340</f>
        <v/>
      </c>
      <c r="U339" s="625" t="str">
        <f>Exposition!J340</f>
        <v/>
      </c>
      <c r="V339" s="625" t="str">
        <f>Exposition!K340</f>
        <v/>
      </c>
      <c r="W339" s="625" t="str">
        <f>Exposition!L340</f>
        <v/>
      </c>
      <c r="X339" s="625" t="str">
        <f>Exposition!M340</f>
        <v/>
      </c>
      <c r="Y339" s="625" t="str">
        <f>Exposition!N340</f>
        <v/>
      </c>
      <c r="Z339" s="625" t="str">
        <f>Exposition!O340</f>
        <v/>
      </c>
      <c r="AA339" s="625" t="str">
        <f>Exposition!P340</f>
        <v/>
      </c>
      <c r="AB339" s="625" t="str">
        <f>Exposition!Q340</f>
        <v/>
      </c>
      <c r="AC339" s="625" t="str">
        <f>Exposition!R340</f>
        <v/>
      </c>
      <c r="AD339" s="625" t="str">
        <f>Exposition!S340</f>
        <v/>
      </c>
      <c r="AE339" s="625" t="str">
        <f>Exposition!T340</f>
        <v/>
      </c>
      <c r="AF339" s="625" t="str">
        <f>Exposition!U340</f>
        <v/>
      </c>
      <c r="AG339" s="623"/>
      <c r="AH339" s="621" t="str">
        <f>PRIX!A340</f>
        <v/>
      </c>
      <c r="AI339" s="626" t="str">
        <f>PRIX!B340</f>
        <v/>
      </c>
      <c r="AJ339" s="626" t="str">
        <f>PRIX!C340</f>
        <v/>
      </c>
      <c r="AK339" s="627" t="str">
        <f>PRIX!D340</f>
        <v/>
      </c>
      <c r="AL339" s="626" t="str">
        <f>PRIX!E340</f>
        <v/>
      </c>
      <c r="AM339" s="626" t="str">
        <f>PRIX!F340</f>
        <v/>
      </c>
      <c r="AN339" s="627" t="str">
        <f>PRIX!G340</f>
        <v/>
      </c>
      <c r="AO339" s="627" t="str">
        <f>PRIX!H340</f>
        <v/>
      </c>
      <c r="AP339" s="631" t="str">
        <f>PRIX!I340</f>
        <v/>
      </c>
      <c r="AQ339" s="628" t="str">
        <f>PRIX!J340</f>
        <v/>
      </c>
      <c r="AR339" s="631" t="str">
        <f>PRIX!K340</f>
        <v/>
      </c>
      <c r="AS339" s="631" t="str">
        <f>PRIX!L340</f>
        <v/>
      </c>
      <c r="AT339" s="631" t="str">
        <f>PRIX!M340</f>
        <v/>
      </c>
      <c r="AU339" s="629" t="str">
        <f>PRIX!N340</f>
        <v/>
      </c>
      <c r="AV339" s="631" t="str">
        <f>PRIX!O340</f>
        <v/>
      </c>
      <c r="AW339" s="631" t="str">
        <f>PRIX!P340</f>
        <v/>
      </c>
      <c r="AX339" s="630" t="str">
        <f>PRIX!Q340</f>
        <v/>
      </c>
      <c r="AY339" s="631" t="str">
        <f>PRIX!R340</f>
        <v/>
      </c>
      <c r="AZ339" s="631" t="str">
        <f>PRIX!S340</f>
        <v/>
      </c>
      <c r="BA339" s="623"/>
    </row>
    <row r="340">
      <c r="A340" s="621" t="str">
        <f>ARBITRAGES!E341</f>
        <v/>
      </c>
      <c r="B340" s="623" t="str">
        <f>IF(A340="","",IF(ARBITRAGES!F341="Invest","Achat","Vente"))</f>
        <v/>
      </c>
      <c r="C340" s="623" t="str">
        <f>ARBITRAGES!H341</f>
        <v/>
      </c>
      <c r="D340" s="624" t="str">
        <f>ARBITRAGES!I341</f>
        <v/>
      </c>
      <c r="E340" s="624" t="str">
        <f>ARBITRAGES!J341</f>
        <v/>
      </c>
      <c r="F340" s="623"/>
      <c r="G340" s="623" t="str">
        <f>'PV (%)'!B342</f>
        <v/>
      </c>
      <c r="H340" s="624" t="str">
        <f>'PV (%)'!E342</f>
        <v/>
      </c>
      <c r="I340" s="624" t="str">
        <f>'PV (%)'!F342</f>
        <v/>
      </c>
      <c r="J340" s="623" t="str">
        <f>'PV (%)'!G342</f>
        <v/>
      </c>
      <c r="K340" s="623"/>
      <c r="L340" s="621" t="str">
        <f>Exposition!A341</f>
        <v/>
      </c>
      <c r="M340" s="625" t="str">
        <f>Exposition!B341</f>
        <v/>
      </c>
      <c r="N340" s="625" t="str">
        <f>Exposition!C341</f>
        <v/>
      </c>
      <c r="O340" s="625" t="str">
        <f>Exposition!D341</f>
        <v/>
      </c>
      <c r="P340" s="625" t="str">
        <f>Exposition!E341</f>
        <v/>
      </c>
      <c r="Q340" s="625" t="str">
        <f>Exposition!F341</f>
        <v/>
      </c>
      <c r="R340" s="625" t="str">
        <f>Exposition!G341</f>
        <v/>
      </c>
      <c r="S340" s="625" t="str">
        <f>Exposition!H341</f>
        <v/>
      </c>
      <c r="T340" s="625" t="str">
        <f>Exposition!I341</f>
        <v/>
      </c>
      <c r="U340" s="625" t="str">
        <f>Exposition!J341</f>
        <v/>
      </c>
      <c r="V340" s="625" t="str">
        <f>Exposition!K341</f>
        <v/>
      </c>
      <c r="W340" s="625" t="str">
        <f>Exposition!L341</f>
        <v/>
      </c>
      <c r="X340" s="625" t="str">
        <f>Exposition!M341</f>
        <v/>
      </c>
      <c r="Y340" s="625" t="str">
        <f>Exposition!N341</f>
        <v/>
      </c>
      <c r="Z340" s="625" t="str">
        <f>Exposition!O341</f>
        <v/>
      </c>
      <c r="AA340" s="625" t="str">
        <f>Exposition!P341</f>
        <v/>
      </c>
      <c r="AB340" s="625" t="str">
        <f>Exposition!Q341</f>
        <v/>
      </c>
      <c r="AC340" s="625" t="str">
        <f>Exposition!R341</f>
        <v/>
      </c>
      <c r="AD340" s="625" t="str">
        <f>Exposition!S341</f>
        <v/>
      </c>
      <c r="AE340" s="625" t="str">
        <f>Exposition!T341</f>
        <v/>
      </c>
      <c r="AF340" s="625" t="str">
        <f>Exposition!U341</f>
        <v/>
      </c>
      <c r="AG340" s="623"/>
      <c r="AH340" s="621" t="str">
        <f>PRIX!A341</f>
        <v/>
      </c>
      <c r="AI340" s="626" t="str">
        <f>PRIX!B341</f>
        <v/>
      </c>
      <c r="AJ340" s="626" t="str">
        <f>PRIX!C341</f>
        <v/>
      </c>
      <c r="AK340" s="627" t="str">
        <f>PRIX!D341</f>
        <v/>
      </c>
      <c r="AL340" s="626" t="str">
        <f>PRIX!E341</f>
        <v/>
      </c>
      <c r="AM340" s="626" t="str">
        <f>PRIX!F341</f>
        <v/>
      </c>
      <c r="AN340" s="627" t="str">
        <f>PRIX!G341</f>
        <v/>
      </c>
      <c r="AO340" s="627" t="str">
        <f>PRIX!H341</f>
        <v/>
      </c>
      <c r="AP340" s="631" t="str">
        <f>PRIX!I341</f>
        <v/>
      </c>
      <c r="AQ340" s="628" t="str">
        <f>PRIX!J341</f>
        <v/>
      </c>
      <c r="AR340" s="631" t="str">
        <f>PRIX!K341</f>
        <v/>
      </c>
      <c r="AS340" s="631" t="str">
        <f>PRIX!L341</f>
        <v/>
      </c>
      <c r="AT340" s="631" t="str">
        <f>PRIX!M341</f>
        <v/>
      </c>
      <c r="AU340" s="629" t="str">
        <f>PRIX!N341</f>
        <v/>
      </c>
      <c r="AV340" s="631" t="str">
        <f>PRIX!O341</f>
        <v/>
      </c>
      <c r="AW340" s="631" t="str">
        <f>PRIX!P341</f>
        <v/>
      </c>
      <c r="AX340" s="630" t="str">
        <f>PRIX!Q341</f>
        <v/>
      </c>
      <c r="AY340" s="631" t="str">
        <f>PRIX!R341</f>
        <v/>
      </c>
      <c r="AZ340" s="631" t="str">
        <f>PRIX!S341</f>
        <v/>
      </c>
      <c r="BA340" s="623"/>
    </row>
    <row r="341">
      <c r="A341" s="621" t="str">
        <f>ARBITRAGES!E342</f>
        <v/>
      </c>
      <c r="B341" s="623" t="str">
        <f>IF(A341="","",IF(ARBITRAGES!F342="Invest","Achat","Vente"))</f>
        <v/>
      </c>
      <c r="C341" s="623" t="str">
        <f>ARBITRAGES!H342</f>
        <v/>
      </c>
      <c r="D341" s="624" t="str">
        <f>ARBITRAGES!I342</f>
        <v/>
      </c>
      <c r="E341" s="624" t="str">
        <f>ARBITRAGES!J342</f>
        <v/>
      </c>
      <c r="F341" s="623"/>
      <c r="G341" s="623" t="str">
        <f>'PV (%)'!B343</f>
        <v/>
      </c>
      <c r="H341" s="624" t="str">
        <f>'PV (%)'!E343</f>
        <v/>
      </c>
      <c r="I341" s="624" t="str">
        <f>'PV (%)'!F343</f>
        <v/>
      </c>
      <c r="J341" s="623" t="str">
        <f>'PV (%)'!G343</f>
        <v/>
      </c>
      <c r="K341" s="623"/>
      <c r="L341" s="621" t="str">
        <f>Exposition!A342</f>
        <v/>
      </c>
      <c r="M341" s="625" t="str">
        <f>Exposition!B342</f>
        <v/>
      </c>
      <c r="N341" s="625" t="str">
        <f>Exposition!C342</f>
        <v/>
      </c>
      <c r="O341" s="625" t="str">
        <f>Exposition!D342</f>
        <v/>
      </c>
      <c r="P341" s="625" t="str">
        <f>Exposition!E342</f>
        <v/>
      </c>
      <c r="Q341" s="625" t="str">
        <f>Exposition!F342</f>
        <v/>
      </c>
      <c r="R341" s="625" t="str">
        <f>Exposition!G342</f>
        <v/>
      </c>
      <c r="S341" s="625" t="str">
        <f>Exposition!H342</f>
        <v/>
      </c>
      <c r="T341" s="625" t="str">
        <f>Exposition!I342</f>
        <v/>
      </c>
      <c r="U341" s="625" t="str">
        <f>Exposition!J342</f>
        <v/>
      </c>
      <c r="V341" s="625" t="str">
        <f>Exposition!K342</f>
        <v/>
      </c>
      <c r="W341" s="625" t="str">
        <f>Exposition!L342</f>
        <v/>
      </c>
      <c r="X341" s="625" t="str">
        <f>Exposition!M342</f>
        <v/>
      </c>
      <c r="Y341" s="625" t="str">
        <f>Exposition!N342</f>
        <v/>
      </c>
      <c r="Z341" s="625" t="str">
        <f>Exposition!O342</f>
        <v/>
      </c>
      <c r="AA341" s="625" t="str">
        <f>Exposition!P342</f>
        <v/>
      </c>
      <c r="AB341" s="625" t="str">
        <f>Exposition!Q342</f>
        <v/>
      </c>
      <c r="AC341" s="625" t="str">
        <f>Exposition!R342</f>
        <v/>
      </c>
      <c r="AD341" s="625" t="str">
        <f>Exposition!S342</f>
        <v/>
      </c>
      <c r="AE341" s="625" t="str">
        <f>Exposition!T342</f>
        <v/>
      </c>
      <c r="AF341" s="625" t="str">
        <f>Exposition!U342</f>
        <v/>
      </c>
      <c r="AG341" s="623"/>
      <c r="AH341" s="621" t="str">
        <f>PRIX!A342</f>
        <v/>
      </c>
      <c r="AI341" s="626" t="str">
        <f>PRIX!B342</f>
        <v/>
      </c>
      <c r="AJ341" s="626" t="str">
        <f>PRIX!C342</f>
        <v/>
      </c>
      <c r="AK341" s="627" t="str">
        <f>PRIX!D342</f>
        <v/>
      </c>
      <c r="AL341" s="626" t="str">
        <f>PRIX!E342</f>
        <v/>
      </c>
      <c r="AM341" s="626" t="str">
        <f>PRIX!F342</f>
        <v/>
      </c>
      <c r="AN341" s="627" t="str">
        <f>PRIX!G342</f>
        <v/>
      </c>
      <c r="AO341" s="627" t="str">
        <f>PRIX!H342</f>
        <v/>
      </c>
      <c r="AP341" s="631" t="str">
        <f>PRIX!I342</f>
        <v/>
      </c>
      <c r="AQ341" s="628" t="str">
        <f>PRIX!J342</f>
        <v/>
      </c>
      <c r="AR341" s="631" t="str">
        <f>PRIX!K342</f>
        <v/>
      </c>
      <c r="AS341" s="631" t="str">
        <f>PRIX!L342</f>
        <v/>
      </c>
      <c r="AT341" s="631" t="str">
        <f>PRIX!M342</f>
        <v/>
      </c>
      <c r="AU341" s="629" t="str">
        <f>PRIX!N342</f>
        <v/>
      </c>
      <c r="AV341" s="631" t="str">
        <f>PRIX!O342</f>
        <v/>
      </c>
      <c r="AW341" s="631" t="str">
        <f>PRIX!P342</f>
        <v/>
      </c>
      <c r="AX341" s="630" t="str">
        <f>PRIX!Q342</f>
        <v/>
      </c>
      <c r="AY341" s="631" t="str">
        <f>PRIX!R342</f>
        <v/>
      </c>
      <c r="AZ341" s="631" t="str">
        <f>PRIX!S342</f>
        <v/>
      </c>
      <c r="BA341" s="623"/>
    </row>
    <row r="342">
      <c r="A342" s="621" t="str">
        <f>ARBITRAGES!E343</f>
        <v/>
      </c>
      <c r="B342" s="623" t="str">
        <f>IF(A342="","",IF(ARBITRAGES!F343="Invest","Achat","Vente"))</f>
        <v/>
      </c>
      <c r="C342" s="623" t="str">
        <f>ARBITRAGES!H343</f>
        <v/>
      </c>
      <c r="D342" s="624" t="str">
        <f>ARBITRAGES!I343</f>
        <v/>
      </c>
      <c r="E342" s="624" t="str">
        <f>ARBITRAGES!J343</f>
        <v/>
      </c>
      <c r="F342" s="623"/>
      <c r="G342" s="623" t="str">
        <f>'PV (%)'!B344</f>
        <v/>
      </c>
      <c r="H342" s="624" t="str">
        <f>'PV (%)'!E344</f>
        <v/>
      </c>
      <c r="I342" s="624" t="str">
        <f>'PV (%)'!F344</f>
        <v/>
      </c>
      <c r="J342" s="623" t="str">
        <f>'PV (%)'!G344</f>
        <v/>
      </c>
      <c r="K342" s="623"/>
      <c r="L342" s="621" t="str">
        <f>Exposition!A343</f>
        <v/>
      </c>
      <c r="M342" s="625" t="str">
        <f>Exposition!B343</f>
        <v/>
      </c>
      <c r="N342" s="625" t="str">
        <f>Exposition!C343</f>
        <v/>
      </c>
      <c r="O342" s="625" t="str">
        <f>Exposition!D343</f>
        <v/>
      </c>
      <c r="P342" s="625" t="str">
        <f>Exposition!E343</f>
        <v/>
      </c>
      <c r="Q342" s="625" t="str">
        <f>Exposition!F343</f>
        <v/>
      </c>
      <c r="R342" s="625" t="str">
        <f>Exposition!G343</f>
        <v/>
      </c>
      <c r="S342" s="625" t="str">
        <f>Exposition!H343</f>
        <v/>
      </c>
      <c r="T342" s="625" t="str">
        <f>Exposition!I343</f>
        <v/>
      </c>
      <c r="U342" s="625" t="str">
        <f>Exposition!J343</f>
        <v/>
      </c>
      <c r="V342" s="625" t="str">
        <f>Exposition!K343</f>
        <v/>
      </c>
      <c r="W342" s="625" t="str">
        <f>Exposition!L343</f>
        <v/>
      </c>
      <c r="X342" s="625" t="str">
        <f>Exposition!M343</f>
        <v/>
      </c>
      <c r="Y342" s="625" t="str">
        <f>Exposition!N343</f>
        <v/>
      </c>
      <c r="Z342" s="625" t="str">
        <f>Exposition!O343</f>
        <v/>
      </c>
      <c r="AA342" s="625" t="str">
        <f>Exposition!P343</f>
        <v/>
      </c>
      <c r="AB342" s="625" t="str">
        <f>Exposition!Q343</f>
        <v/>
      </c>
      <c r="AC342" s="625" t="str">
        <f>Exposition!R343</f>
        <v/>
      </c>
      <c r="AD342" s="625" t="str">
        <f>Exposition!S343</f>
        <v/>
      </c>
      <c r="AE342" s="625" t="str">
        <f>Exposition!T343</f>
        <v/>
      </c>
      <c r="AF342" s="625" t="str">
        <f>Exposition!U343</f>
        <v/>
      </c>
      <c r="AG342" s="623"/>
      <c r="AH342" s="621" t="str">
        <f>PRIX!A343</f>
        <v/>
      </c>
      <c r="AI342" s="626" t="str">
        <f>PRIX!B343</f>
        <v/>
      </c>
      <c r="AJ342" s="626" t="str">
        <f>PRIX!C343</f>
        <v/>
      </c>
      <c r="AK342" s="627" t="str">
        <f>PRIX!D343</f>
        <v/>
      </c>
      <c r="AL342" s="626" t="str">
        <f>PRIX!E343</f>
        <v/>
      </c>
      <c r="AM342" s="626" t="str">
        <f>PRIX!F343</f>
        <v/>
      </c>
      <c r="AN342" s="627" t="str">
        <f>PRIX!G343</f>
        <v/>
      </c>
      <c r="AO342" s="627" t="str">
        <f>PRIX!H343</f>
        <v/>
      </c>
      <c r="AP342" s="631" t="str">
        <f>PRIX!I343</f>
        <v/>
      </c>
      <c r="AQ342" s="628" t="str">
        <f>PRIX!J343</f>
        <v/>
      </c>
      <c r="AR342" s="631" t="str">
        <f>PRIX!K343</f>
        <v/>
      </c>
      <c r="AS342" s="631" t="str">
        <f>PRIX!L343</f>
        <v/>
      </c>
      <c r="AT342" s="631" t="str">
        <f>PRIX!M343</f>
        <v/>
      </c>
      <c r="AU342" s="629" t="str">
        <f>PRIX!N343</f>
        <v/>
      </c>
      <c r="AV342" s="631" t="str">
        <f>PRIX!O343</f>
        <v/>
      </c>
      <c r="AW342" s="631" t="str">
        <f>PRIX!P343</f>
        <v/>
      </c>
      <c r="AX342" s="630" t="str">
        <f>PRIX!Q343</f>
        <v/>
      </c>
      <c r="AY342" s="631" t="str">
        <f>PRIX!R343</f>
        <v/>
      </c>
      <c r="AZ342" s="631" t="str">
        <f>PRIX!S343</f>
        <v/>
      </c>
      <c r="BA342" s="623"/>
    </row>
    <row r="343">
      <c r="A343" s="621" t="str">
        <f>ARBITRAGES!E344</f>
        <v/>
      </c>
      <c r="B343" s="623" t="str">
        <f>IF(A343="","",IF(ARBITRAGES!F344="Invest","Achat","Vente"))</f>
        <v/>
      </c>
      <c r="C343" s="623" t="str">
        <f>ARBITRAGES!H344</f>
        <v/>
      </c>
      <c r="D343" s="624" t="str">
        <f>ARBITRAGES!I344</f>
        <v/>
      </c>
      <c r="E343" s="624" t="str">
        <f>ARBITRAGES!J344</f>
        <v/>
      </c>
      <c r="F343" s="623"/>
      <c r="G343" s="623" t="str">
        <f>'PV (%)'!B345</f>
        <v/>
      </c>
      <c r="H343" s="624" t="str">
        <f>'PV (%)'!E345</f>
        <v/>
      </c>
      <c r="I343" s="624" t="str">
        <f>'PV (%)'!F345</f>
        <v/>
      </c>
      <c r="J343" s="623" t="str">
        <f>'PV (%)'!G345</f>
        <v/>
      </c>
      <c r="K343" s="623"/>
      <c r="L343" s="621" t="str">
        <f>Exposition!A344</f>
        <v/>
      </c>
      <c r="M343" s="625" t="str">
        <f>Exposition!B344</f>
        <v/>
      </c>
      <c r="N343" s="625" t="str">
        <f>Exposition!C344</f>
        <v/>
      </c>
      <c r="O343" s="625" t="str">
        <f>Exposition!D344</f>
        <v/>
      </c>
      <c r="P343" s="625" t="str">
        <f>Exposition!E344</f>
        <v/>
      </c>
      <c r="Q343" s="625" t="str">
        <f>Exposition!F344</f>
        <v/>
      </c>
      <c r="R343" s="625" t="str">
        <f>Exposition!G344</f>
        <v/>
      </c>
      <c r="S343" s="625" t="str">
        <f>Exposition!H344</f>
        <v/>
      </c>
      <c r="T343" s="625" t="str">
        <f>Exposition!I344</f>
        <v/>
      </c>
      <c r="U343" s="625" t="str">
        <f>Exposition!J344</f>
        <v/>
      </c>
      <c r="V343" s="625" t="str">
        <f>Exposition!K344</f>
        <v/>
      </c>
      <c r="W343" s="625" t="str">
        <f>Exposition!L344</f>
        <v/>
      </c>
      <c r="X343" s="625" t="str">
        <f>Exposition!M344</f>
        <v/>
      </c>
      <c r="Y343" s="625" t="str">
        <f>Exposition!N344</f>
        <v/>
      </c>
      <c r="Z343" s="625" t="str">
        <f>Exposition!O344</f>
        <v/>
      </c>
      <c r="AA343" s="625" t="str">
        <f>Exposition!P344</f>
        <v/>
      </c>
      <c r="AB343" s="625" t="str">
        <f>Exposition!Q344</f>
        <v/>
      </c>
      <c r="AC343" s="625" t="str">
        <f>Exposition!R344</f>
        <v/>
      </c>
      <c r="AD343" s="625" t="str">
        <f>Exposition!S344</f>
        <v/>
      </c>
      <c r="AE343" s="625" t="str">
        <f>Exposition!T344</f>
        <v/>
      </c>
      <c r="AF343" s="625" t="str">
        <f>Exposition!U344</f>
        <v/>
      </c>
      <c r="AG343" s="623"/>
      <c r="AH343" s="621" t="str">
        <f>PRIX!A344</f>
        <v/>
      </c>
      <c r="AI343" s="626" t="str">
        <f>PRIX!B344</f>
        <v/>
      </c>
      <c r="AJ343" s="626" t="str">
        <f>PRIX!C344</f>
        <v/>
      </c>
      <c r="AK343" s="627" t="str">
        <f>PRIX!D344</f>
        <v/>
      </c>
      <c r="AL343" s="626" t="str">
        <f>PRIX!E344</f>
        <v/>
      </c>
      <c r="AM343" s="626" t="str">
        <f>PRIX!F344</f>
        <v/>
      </c>
      <c r="AN343" s="627" t="str">
        <f>PRIX!G344</f>
        <v/>
      </c>
      <c r="AO343" s="627" t="str">
        <f>PRIX!H344</f>
        <v/>
      </c>
      <c r="AP343" s="631" t="str">
        <f>PRIX!I344</f>
        <v/>
      </c>
      <c r="AQ343" s="628" t="str">
        <f>PRIX!J344</f>
        <v/>
      </c>
      <c r="AR343" s="631" t="str">
        <f>PRIX!K344</f>
        <v/>
      </c>
      <c r="AS343" s="631" t="str">
        <f>PRIX!L344</f>
        <v/>
      </c>
      <c r="AT343" s="631" t="str">
        <f>PRIX!M344</f>
        <v/>
      </c>
      <c r="AU343" s="629" t="str">
        <f>PRIX!N344</f>
        <v/>
      </c>
      <c r="AV343" s="631" t="str">
        <f>PRIX!O344</f>
        <v/>
      </c>
      <c r="AW343" s="631" t="str">
        <f>PRIX!P344</f>
        <v/>
      </c>
      <c r="AX343" s="630" t="str">
        <f>PRIX!Q344</f>
        <v/>
      </c>
      <c r="AY343" s="631" t="str">
        <f>PRIX!R344</f>
        <v/>
      </c>
      <c r="AZ343" s="631" t="str">
        <f>PRIX!S344</f>
        <v/>
      </c>
      <c r="BA343" s="623"/>
    </row>
    <row r="344">
      <c r="A344" s="621" t="str">
        <f>ARBITRAGES!E345</f>
        <v/>
      </c>
      <c r="B344" s="623" t="str">
        <f>IF(A344="","",IF(ARBITRAGES!F345="Invest","Achat","Vente"))</f>
        <v/>
      </c>
      <c r="C344" s="623" t="str">
        <f>ARBITRAGES!H345</f>
        <v/>
      </c>
      <c r="D344" s="624" t="str">
        <f>ARBITRAGES!I345</f>
        <v/>
      </c>
      <c r="E344" s="624" t="str">
        <f>ARBITRAGES!J345</f>
        <v/>
      </c>
      <c r="F344" s="623"/>
      <c r="G344" s="623" t="str">
        <f>'PV (%)'!B346</f>
        <v/>
      </c>
      <c r="H344" s="624" t="str">
        <f>'PV (%)'!E346</f>
        <v/>
      </c>
      <c r="I344" s="624" t="str">
        <f>'PV (%)'!F346</f>
        <v/>
      </c>
      <c r="J344" s="623" t="str">
        <f>'PV (%)'!G346</f>
        <v/>
      </c>
      <c r="K344" s="623"/>
      <c r="L344" s="621" t="str">
        <f>Exposition!A345</f>
        <v/>
      </c>
      <c r="M344" s="625" t="str">
        <f>Exposition!B345</f>
        <v/>
      </c>
      <c r="N344" s="625" t="str">
        <f>Exposition!C345</f>
        <v/>
      </c>
      <c r="O344" s="625" t="str">
        <f>Exposition!D345</f>
        <v/>
      </c>
      <c r="P344" s="625" t="str">
        <f>Exposition!E345</f>
        <v/>
      </c>
      <c r="Q344" s="625" t="str">
        <f>Exposition!F345</f>
        <v/>
      </c>
      <c r="R344" s="625" t="str">
        <f>Exposition!G345</f>
        <v/>
      </c>
      <c r="S344" s="625" t="str">
        <f>Exposition!H345</f>
        <v/>
      </c>
      <c r="T344" s="625" t="str">
        <f>Exposition!I345</f>
        <v/>
      </c>
      <c r="U344" s="625" t="str">
        <f>Exposition!J345</f>
        <v/>
      </c>
      <c r="V344" s="625" t="str">
        <f>Exposition!K345</f>
        <v/>
      </c>
      <c r="W344" s="625" t="str">
        <f>Exposition!L345</f>
        <v/>
      </c>
      <c r="X344" s="625" t="str">
        <f>Exposition!M345</f>
        <v/>
      </c>
      <c r="Y344" s="625" t="str">
        <f>Exposition!N345</f>
        <v/>
      </c>
      <c r="Z344" s="625" t="str">
        <f>Exposition!O345</f>
        <v/>
      </c>
      <c r="AA344" s="625" t="str">
        <f>Exposition!P345</f>
        <v/>
      </c>
      <c r="AB344" s="625" t="str">
        <f>Exposition!Q345</f>
        <v/>
      </c>
      <c r="AC344" s="625" t="str">
        <f>Exposition!R345</f>
        <v/>
      </c>
      <c r="AD344" s="625" t="str">
        <f>Exposition!S345</f>
        <v/>
      </c>
      <c r="AE344" s="625" t="str">
        <f>Exposition!T345</f>
        <v/>
      </c>
      <c r="AF344" s="625" t="str">
        <f>Exposition!U345</f>
        <v/>
      </c>
      <c r="AG344" s="623"/>
      <c r="AH344" s="621" t="str">
        <f>PRIX!A345</f>
        <v/>
      </c>
      <c r="AI344" s="626" t="str">
        <f>PRIX!B345</f>
        <v/>
      </c>
      <c r="AJ344" s="626" t="str">
        <f>PRIX!C345</f>
        <v/>
      </c>
      <c r="AK344" s="627" t="str">
        <f>PRIX!D345</f>
        <v/>
      </c>
      <c r="AL344" s="626" t="str">
        <f>PRIX!E345</f>
        <v/>
      </c>
      <c r="AM344" s="626" t="str">
        <f>PRIX!F345</f>
        <v/>
      </c>
      <c r="AN344" s="627" t="str">
        <f>PRIX!G345</f>
        <v/>
      </c>
      <c r="AO344" s="627" t="str">
        <f>PRIX!H345</f>
        <v/>
      </c>
      <c r="AP344" s="631" t="str">
        <f>PRIX!I345</f>
        <v/>
      </c>
      <c r="AQ344" s="628" t="str">
        <f>PRIX!J345</f>
        <v/>
      </c>
      <c r="AR344" s="631" t="str">
        <f>PRIX!K345</f>
        <v/>
      </c>
      <c r="AS344" s="631" t="str">
        <f>PRIX!L345</f>
        <v/>
      </c>
      <c r="AT344" s="631" t="str">
        <f>PRIX!M345</f>
        <v/>
      </c>
      <c r="AU344" s="629" t="str">
        <f>PRIX!N345</f>
        <v/>
      </c>
      <c r="AV344" s="631" t="str">
        <f>PRIX!O345</f>
        <v/>
      </c>
      <c r="AW344" s="631" t="str">
        <f>PRIX!P345</f>
        <v/>
      </c>
      <c r="AX344" s="630" t="str">
        <f>PRIX!Q345</f>
        <v/>
      </c>
      <c r="AY344" s="631" t="str">
        <f>PRIX!R345</f>
        <v/>
      </c>
      <c r="AZ344" s="631" t="str">
        <f>PRIX!S345</f>
        <v/>
      </c>
      <c r="BA344" s="623"/>
    </row>
    <row r="345">
      <c r="A345" s="621" t="str">
        <f>ARBITRAGES!E346</f>
        <v/>
      </c>
      <c r="B345" s="623" t="str">
        <f>IF(A345="","",IF(ARBITRAGES!F346="Invest","Achat","Vente"))</f>
        <v/>
      </c>
      <c r="C345" s="623" t="str">
        <f>ARBITRAGES!H346</f>
        <v/>
      </c>
      <c r="D345" s="624" t="str">
        <f>ARBITRAGES!I346</f>
        <v/>
      </c>
      <c r="E345" s="624" t="str">
        <f>ARBITRAGES!J346</f>
        <v/>
      </c>
      <c r="F345" s="623"/>
      <c r="G345" s="623" t="str">
        <f>'PV (%)'!B347</f>
        <v/>
      </c>
      <c r="H345" s="624" t="str">
        <f>'PV (%)'!E347</f>
        <v/>
      </c>
      <c r="I345" s="624" t="str">
        <f>'PV (%)'!F347</f>
        <v/>
      </c>
      <c r="J345" s="623" t="str">
        <f>'PV (%)'!G347</f>
        <v/>
      </c>
      <c r="K345" s="623"/>
      <c r="L345" s="621" t="str">
        <f>Exposition!A346</f>
        <v/>
      </c>
      <c r="M345" s="625" t="str">
        <f>Exposition!B346</f>
        <v/>
      </c>
      <c r="N345" s="625" t="str">
        <f>Exposition!C346</f>
        <v/>
      </c>
      <c r="O345" s="625" t="str">
        <f>Exposition!D346</f>
        <v/>
      </c>
      <c r="P345" s="625" t="str">
        <f>Exposition!E346</f>
        <v/>
      </c>
      <c r="Q345" s="625" t="str">
        <f>Exposition!F346</f>
        <v/>
      </c>
      <c r="R345" s="625" t="str">
        <f>Exposition!G346</f>
        <v/>
      </c>
      <c r="S345" s="625" t="str">
        <f>Exposition!H346</f>
        <v/>
      </c>
      <c r="T345" s="625" t="str">
        <f>Exposition!I346</f>
        <v/>
      </c>
      <c r="U345" s="625" t="str">
        <f>Exposition!J346</f>
        <v/>
      </c>
      <c r="V345" s="625" t="str">
        <f>Exposition!K346</f>
        <v/>
      </c>
      <c r="W345" s="625" t="str">
        <f>Exposition!L346</f>
        <v/>
      </c>
      <c r="X345" s="625" t="str">
        <f>Exposition!M346</f>
        <v/>
      </c>
      <c r="Y345" s="625" t="str">
        <f>Exposition!N346</f>
        <v/>
      </c>
      <c r="Z345" s="625" t="str">
        <f>Exposition!O346</f>
        <v/>
      </c>
      <c r="AA345" s="625" t="str">
        <f>Exposition!P346</f>
        <v/>
      </c>
      <c r="AB345" s="625" t="str">
        <f>Exposition!Q346</f>
        <v/>
      </c>
      <c r="AC345" s="625" t="str">
        <f>Exposition!R346</f>
        <v/>
      </c>
      <c r="AD345" s="625" t="str">
        <f>Exposition!S346</f>
        <v/>
      </c>
      <c r="AE345" s="625" t="str">
        <f>Exposition!T346</f>
        <v/>
      </c>
      <c r="AF345" s="625" t="str">
        <f>Exposition!U346</f>
        <v/>
      </c>
      <c r="AG345" s="623"/>
      <c r="AH345" s="621" t="str">
        <f>PRIX!A346</f>
        <v/>
      </c>
      <c r="AI345" s="626" t="str">
        <f>PRIX!B346</f>
        <v/>
      </c>
      <c r="AJ345" s="626" t="str">
        <f>PRIX!C346</f>
        <v/>
      </c>
      <c r="AK345" s="627" t="str">
        <f>PRIX!D346</f>
        <v/>
      </c>
      <c r="AL345" s="626" t="str">
        <f>PRIX!E346</f>
        <v/>
      </c>
      <c r="AM345" s="626" t="str">
        <f>PRIX!F346</f>
        <v/>
      </c>
      <c r="AN345" s="627" t="str">
        <f>PRIX!G346</f>
        <v/>
      </c>
      <c r="AO345" s="627" t="str">
        <f>PRIX!H346</f>
        <v/>
      </c>
      <c r="AP345" s="631" t="str">
        <f>PRIX!I346</f>
        <v/>
      </c>
      <c r="AQ345" s="628" t="str">
        <f>PRIX!J346</f>
        <v/>
      </c>
      <c r="AR345" s="631" t="str">
        <f>PRIX!K346</f>
        <v/>
      </c>
      <c r="AS345" s="631" t="str">
        <f>PRIX!L346</f>
        <v/>
      </c>
      <c r="AT345" s="631" t="str">
        <f>PRIX!M346</f>
        <v/>
      </c>
      <c r="AU345" s="629" t="str">
        <f>PRIX!N346</f>
        <v/>
      </c>
      <c r="AV345" s="631" t="str">
        <f>PRIX!O346</f>
        <v/>
      </c>
      <c r="AW345" s="631" t="str">
        <f>PRIX!P346</f>
        <v/>
      </c>
      <c r="AX345" s="630" t="str">
        <f>PRIX!Q346</f>
        <v/>
      </c>
      <c r="AY345" s="631" t="str">
        <f>PRIX!R346</f>
        <v/>
      </c>
      <c r="AZ345" s="631" t="str">
        <f>PRIX!S346</f>
        <v/>
      </c>
      <c r="BA345" s="623"/>
    </row>
    <row r="346">
      <c r="A346" s="621" t="str">
        <f>ARBITRAGES!E347</f>
        <v/>
      </c>
      <c r="B346" s="623" t="str">
        <f>IF(A346="","",IF(ARBITRAGES!F347="Invest","Achat","Vente"))</f>
        <v/>
      </c>
      <c r="C346" s="623" t="str">
        <f>ARBITRAGES!H347</f>
        <v/>
      </c>
      <c r="D346" s="624" t="str">
        <f>ARBITRAGES!I347</f>
        <v/>
      </c>
      <c r="E346" s="624" t="str">
        <f>ARBITRAGES!J347</f>
        <v/>
      </c>
      <c r="F346" s="623"/>
      <c r="G346" s="623" t="str">
        <f>'PV (%)'!B348</f>
        <v/>
      </c>
      <c r="H346" s="624" t="str">
        <f>'PV (%)'!E348</f>
        <v/>
      </c>
      <c r="I346" s="624" t="str">
        <f>'PV (%)'!F348</f>
        <v/>
      </c>
      <c r="J346" s="623" t="str">
        <f>'PV (%)'!G348</f>
        <v/>
      </c>
      <c r="K346" s="623"/>
      <c r="L346" s="621" t="str">
        <f>Exposition!A347</f>
        <v/>
      </c>
      <c r="M346" s="625" t="str">
        <f>Exposition!B347</f>
        <v/>
      </c>
      <c r="N346" s="625" t="str">
        <f>Exposition!C347</f>
        <v/>
      </c>
      <c r="O346" s="625" t="str">
        <f>Exposition!D347</f>
        <v/>
      </c>
      <c r="P346" s="625" t="str">
        <f>Exposition!E347</f>
        <v/>
      </c>
      <c r="Q346" s="625" t="str">
        <f>Exposition!F347</f>
        <v/>
      </c>
      <c r="R346" s="625" t="str">
        <f>Exposition!G347</f>
        <v/>
      </c>
      <c r="S346" s="625" t="str">
        <f>Exposition!H347</f>
        <v/>
      </c>
      <c r="T346" s="625" t="str">
        <f>Exposition!I347</f>
        <v/>
      </c>
      <c r="U346" s="625" t="str">
        <f>Exposition!J347</f>
        <v/>
      </c>
      <c r="V346" s="625" t="str">
        <f>Exposition!K347</f>
        <v/>
      </c>
      <c r="W346" s="625" t="str">
        <f>Exposition!L347</f>
        <v/>
      </c>
      <c r="X346" s="625" t="str">
        <f>Exposition!M347</f>
        <v/>
      </c>
      <c r="Y346" s="625" t="str">
        <f>Exposition!N347</f>
        <v/>
      </c>
      <c r="Z346" s="625" t="str">
        <f>Exposition!O347</f>
        <v/>
      </c>
      <c r="AA346" s="625" t="str">
        <f>Exposition!P347</f>
        <v/>
      </c>
      <c r="AB346" s="625" t="str">
        <f>Exposition!Q347</f>
        <v/>
      </c>
      <c r="AC346" s="625" t="str">
        <f>Exposition!R347</f>
        <v/>
      </c>
      <c r="AD346" s="625" t="str">
        <f>Exposition!S347</f>
        <v/>
      </c>
      <c r="AE346" s="625" t="str">
        <f>Exposition!T347</f>
        <v/>
      </c>
      <c r="AF346" s="625" t="str">
        <f>Exposition!U347</f>
        <v/>
      </c>
      <c r="AG346" s="623"/>
      <c r="AH346" s="621" t="str">
        <f>PRIX!A347</f>
        <v/>
      </c>
      <c r="AI346" s="626" t="str">
        <f>PRIX!B347</f>
        <v/>
      </c>
      <c r="AJ346" s="626" t="str">
        <f>PRIX!C347</f>
        <v/>
      </c>
      <c r="AK346" s="627" t="str">
        <f>PRIX!D347</f>
        <v/>
      </c>
      <c r="AL346" s="626" t="str">
        <f>PRIX!E347</f>
        <v/>
      </c>
      <c r="AM346" s="626" t="str">
        <f>PRIX!F347</f>
        <v/>
      </c>
      <c r="AN346" s="627" t="str">
        <f>PRIX!G347</f>
        <v/>
      </c>
      <c r="AO346" s="627" t="str">
        <f>PRIX!H347</f>
        <v/>
      </c>
      <c r="AP346" s="631" t="str">
        <f>PRIX!I347</f>
        <v/>
      </c>
      <c r="AQ346" s="628" t="str">
        <f>PRIX!J347</f>
        <v/>
      </c>
      <c r="AR346" s="631" t="str">
        <f>PRIX!K347</f>
        <v/>
      </c>
      <c r="AS346" s="631" t="str">
        <f>PRIX!L347</f>
        <v/>
      </c>
      <c r="AT346" s="631" t="str">
        <f>PRIX!M347</f>
        <v/>
      </c>
      <c r="AU346" s="629" t="str">
        <f>PRIX!N347</f>
        <v/>
      </c>
      <c r="AV346" s="631" t="str">
        <f>PRIX!O347</f>
        <v/>
      </c>
      <c r="AW346" s="631" t="str">
        <f>PRIX!P347</f>
        <v/>
      </c>
      <c r="AX346" s="630" t="str">
        <f>PRIX!Q347</f>
        <v/>
      </c>
      <c r="AY346" s="631" t="str">
        <f>PRIX!R347</f>
        <v/>
      </c>
      <c r="AZ346" s="631" t="str">
        <f>PRIX!S347</f>
        <v/>
      </c>
      <c r="BA346" s="623"/>
    </row>
    <row r="347">
      <c r="A347" s="621" t="str">
        <f>ARBITRAGES!E348</f>
        <v/>
      </c>
      <c r="B347" s="623" t="str">
        <f>IF(A347="","",IF(ARBITRAGES!F348="Invest","Achat","Vente"))</f>
        <v/>
      </c>
      <c r="C347" s="623" t="str">
        <f>ARBITRAGES!H348</f>
        <v/>
      </c>
      <c r="D347" s="624" t="str">
        <f>ARBITRAGES!I348</f>
        <v/>
      </c>
      <c r="E347" s="624" t="str">
        <f>ARBITRAGES!J348</f>
        <v/>
      </c>
      <c r="F347" s="623"/>
      <c r="G347" s="623" t="str">
        <f>'PV (%)'!B349</f>
        <v/>
      </c>
      <c r="H347" s="624" t="str">
        <f>'PV (%)'!E349</f>
        <v/>
      </c>
      <c r="I347" s="624" t="str">
        <f>'PV (%)'!F349</f>
        <v/>
      </c>
      <c r="J347" s="623" t="str">
        <f>'PV (%)'!G349</f>
        <v/>
      </c>
      <c r="K347" s="623"/>
      <c r="L347" s="621" t="str">
        <f>Exposition!A348</f>
        <v/>
      </c>
      <c r="M347" s="625" t="str">
        <f>Exposition!B348</f>
        <v/>
      </c>
      <c r="N347" s="625" t="str">
        <f>Exposition!C348</f>
        <v/>
      </c>
      <c r="O347" s="625" t="str">
        <f>Exposition!D348</f>
        <v/>
      </c>
      <c r="P347" s="625" t="str">
        <f>Exposition!E348</f>
        <v/>
      </c>
      <c r="Q347" s="625" t="str">
        <f>Exposition!F348</f>
        <v/>
      </c>
      <c r="R347" s="625" t="str">
        <f>Exposition!G348</f>
        <v/>
      </c>
      <c r="S347" s="625" t="str">
        <f>Exposition!H348</f>
        <v/>
      </c>
      <c r="T347" s="625" t="str">
        <f>Exposition!I348</f>
        <v/>
      </c>
      <c r="U347" s="625" t="str">
        <f>Exposition!J348</f>
        <v/>
      </c>
      <c r="V347" s="625" t="str">
        <f>Exposition!K348</f>
        <v/>
      </c>
      <c r="W347" s="625" t="str">
        <f>Exposition!L348</f>
        <v/>
      </c>
      <c r="X347" s="625" t="str">
        <f>Exposition!M348</f>
        <v/>
      </c>
      <c r="Y347" s="625" t="str">
        <f>Exposition!N348</f>
        <v/>
      </c>
      <c r="Z347" s="625" t="str">
        <f>Exposition!O348</f>
        <v/>
      </c>
      <c r="AA347" s="625" t="str">
        <f>Exposition!P348</f>
        <v/>
      </c>
      <c r="AB347" s="625" t="str">
        <f>Exposition!Q348</f>
        <v/>
      </c>
      <c r="AC347" s="625" t="str">
        <f>Exposition!R348</f>
        <v/>
      </c>
      <c r="AD347" s="625" t="str">
        <f>Exposition!S348</f>
        <v/>
      </c>
      <c r="AE347" s="625" t="str">
        <f>Exposition!T348</f>
        <v/>
      </c>
      <c r="AF347" s="625" t="str">
        <f>Exposition!U348</f>
        <v/>
      </c>
      <c r="AG347" s="623"/>
      <c r="AH347" s="621" t="str">
        <f>PRIX!A348</f>
        <v/>
      </c>
      <c r="AI347" s="626" t="str">
        <f>PRIX!B348</f>
        <v/>
      </c>
      <c r="AJ347" s="626" t="str">
        <f>PRIX!C348</f>
        <v/>
      </c>
      <c r="AK347" s="627" t="str">
        <f>PRIX!D348</f>
        <v/>
      </c>
      <c r="AL347" s="626" t="str">
        <f>PRIX!E348</f>
        <v/>
      </c>
      <c r="AM347" s="626" t="str">
        <f>PRIX!F348</f>
        <v/>
      </c>
      <c r="AN347" s="627" t="str">
        <f>PRIX!G348</f>
        <v/>
      </c>
      <c r="AO347" s="627" t="str">
        <f>PRIX!H348</f>
        <v/>
      </c>
      <c r="AP347" s="631" t="str">
        <f>PRIX!I348</f>
        <v/>
      </c>
      <c r="AQ347" s="628" t="str">
        <f>PRIX!J348</f>
        <v/>
      </c>
      <c r="AR347" s="631" t="str">
        <f>PRIX!K348</f>
        <v/>
      </c>
      <c r="AS347" s="631" t="str">
        <f>PRIX!L348</f>
        <v/>
      </c>
      <c r="AT347" s="631" t="str">
        <f>PRIX!M348</f>
        <v/>
      </c>
      <c r="AU347" s="629" t="str">
        <f>PRIX!N348</f>
        <v/>
      </c>
      <c r="AV347" s="631" t="str">
        <f>PRIX!O348</f>
        <v/>
      </c>
      <c r="AW347" s="631" t="str">
        <f>PRIX!P348</f>
        <v/>
      </c>
      <c r="AX347" s="630" t="str">
        <f>PRIX!Q348</f>
        <v/>
      </c>
      <c r="AY347" s="631" t="str">
        <f>PRIX!R348</f>
        <v/>
      </c>
      <c r="AZ347" s="631" t="str">
        <f>PRIX!S348</f>
        <v/>
      </c>
      <c r="BA347" s="623"/>
    </row>
    <row r="348">
      <c r="A348" s="621" t="str">
        <f>ARBITRAGES!E349</f>
        <v/>
      </c>
      <c r="B348" s="623" t="str">
        <f>IF(A348="","",IF(ARBITRAGES!F349="Invest","Achat","Vente"))</f>
        <v/>
      </c>
      <c r="C348" s="623" t="str">
        <f>ARBITRAGES!H349</f>
        <v/>
      </c>
      <c r="D348" s="624" t="str">
        <f>ARBITRAGES!I349</f>
        <v/>
      </c>
      <c r="E348" s="624" t="str">
        <f>ARBITRAGES!J349</f>
        <v/>
      </c>
      <c r="F348" s="623"/>
      <c r="G348" s="623" t="str">
        <f>'PV (%)'!B350</f>
        <v/>
      </c>
      <c r="H348" s="624" t="str">
        <f>'PV (%)'!E350</f>
        <v/>
      </c>
      <c r="I348" s="624" t="str">
        <f>'PV (%)'!F350</f>
        <v/>
      </c>
      <c r="J348" s="623" t="str">
        <f>'PV (%)'!G350</f>
        <v/>
      </c>
      <c r="K348" s="623"/>
      <c r="L348" s="621" t="str">
        <f>Exposition!A349</f>
        <v/>
      </c>
      <c r="M348" s="625" t="str">
        <f>Exposition!B349</f>
        <v/>
      </c>
      <c r="N348" s="625" t="str">
        <f>Exposition!C349</f>
        <v/>
      </c>
      <c r="O348" s="625" t="str">
        <f>Exposition!D349</f>
        <v/>
      </c>
      <c r="P348" s="625" t="str">
        <f>Exposition!E349</f>
        <v/>
      </c>
      <c r="Q348" s="625" t="str">
        <f>Exposition!F349</f>
        <v/>
      </c>
      <c r="R348" s="625" t="str">
        <f>Exposition!G349</f>
        <v/>
      </c>
      <c r="S348" s="625" t="str">
        <f>Exposition!H349</f>
        <v/>
      </c>
      <c r="T348" s="625" t="str">
        <f>Exposition!I349</f>
        <v/>
      </c>
      <c r="U348" s="625" t="str">
        <f>Exposition!J349</f>
        <v/>
      </c>
      <c r="V348" s="625" t="str">
        <f>Exposition!K349</f>
        <v/>
      </c>
      <c r="W348" s="625" t="str">
        <f>Exposition!L349</f>
        <v/>
      </c>
      <c r="X348" s="625" t="str">
        <f>Exposition!M349</f>
        <v/>
      </c>
      <c r="Y348" s="625" t="str">
        <f>Exposition!N349</f>
        <v/>
      </c>
      <c r="Z348" s="625" t="str">
        <f>Exposition!O349</f>
        <v/>
      </c>
      <c r="AA348" s="625" t="str">
        <f>Exposition!P349</f>
        <v/>
      </c>
      <c r="AB348" s="625" t="str">
        <f>Exposition!Q349</f>
        <v/>
      </c>
      <c r="AC348" s="625" t="str">
        <f>Exposition!R349</f>
        <v/>
      </c>
      <c r="AD348" s="625" t="str">
        <f>Exposition!S349</f>
        <v/>
      </c>
      <c r="AE348" s="625" t="str">
        <f>Exposition!T349</f>
        <v/>
      </c>
      <c r="AF348" s="625" t="str">
        <f>Exposition!U349</f>
        <v/>
      </c>
      <c r="AG348" s="623"/>
      <c r="AH348" s="621" t="str">
        <f>PRIX!A349</f>
        <v/>
      </c>
      <c r="AI348" s="626" t="str">
        <f>PRIX!B349</f>
        <v/>
      </c>
      <c r="AJ348" s="626" t="str">
        <f>PRIX!C349</f>
        <v/>
      </c>
      <c r="AK348" s="627" t="str">
        <f>PRIX!D349</f>
        <v/>
      </c>
      <c r="AL348" s="626" t="str">
        <f>PRIX!E349</f>
        <v/>
      </c>
      <c r="AM348" s="626" t="str">
        <f>PRIX!F349</f>
        <v/>
      </c>
      <c r="AN348" s="627" t="str">
        <f>PRIX!G349</f>
        <v/>
      </c>
      <c r="AO348" s="627" t="str">
        <f>PRIX!H349</f>
        <v/>
      </c>
      <c r="AP348" s="631" t="str">
        <f>PRIX!I349</f>
        <v/>
      </c>
      <c r="AQ348" s="628" t="str">
        <f>PRIX!J349</f>
        <v/>
      </c>
      <c r="AR348" s="631" t="str">
        <f>PRIX!K349</f>
        <v/>
      </c>
      <c r="AS348" s="631" t="str">
        <f>PRIX!L349</f>
        <v/>
      </c>
      <c r="AT348" s="631" t="str">
        <f>PRIX!M349</f>
        <v/>
      </c>
      <c r="AU348" s="629" t="str">
        <f>PRIX!N349</f>
        <v/>
      </c>
      <c r="AV348" s="631" t="str">
        <f>PRIX!O349</f>
        <v/>
      </c>
      <c r="AW348" s="631" t="str">
        <f>PRIX!P349</f>
        <v/>
      </c>
      <c r="AX348" s="630" t="str">
        <f>PRIX!Q349</f>
        <v/>
      </c>
      <c r="AY348" s="631" t="str">
        <f>PRIX!R349</f>
        <v/>
      </c>
      <c r="AZ348" s="631" t="str">
        <f>PRIX!S349</f>
        <v/>
      </c>
      <c r="BA348" s="623"/>
    </row>
    <row r="349">
      <c r="A349" s="621" t="str">
        <f>ARBITRAGES!E350</f>
        <v/>
      </c>
      <c r="B349" s="623" t="str">
        <f>IF(A349="","",IF(ARBITRAGES!F350="Invest","Achat","Vente"))</f>
        <v/>
      </c>
      <c r="C349" s="623" t="str">
        <f>ARBITRAGES!H350</f>
        <v/>
      </c>
      <c r="D349" s="624" t="str">
        <f>ARBITRAGES!I350</f>
        <v/>
      </c>
      <c r="E349" s="624" t="str">
        <f>ARBITRAGES!J350</f>
        <v/>
      </c>
      <c r="F349" s="623"/>
      <c r="G349" s="623" t="str">
        <f>'PV (%)'!B351</f>
        <v/>
      </c>
      <c r="H349" s="624" t="str">
        <f>'PV (%)'!E351</f>
        <v/>
      </c>
      <c r="I349" s="624" t="str">
        <f>'PV (%)'!F351</f>
        <v/>
      </c>
      <c r="J349" s="623" t="str">
        <f>'PV (%)'!G351</f>
        <v/>
      </c>
      <c r="K349" s="623"/>
      <c r="L349" s="621" t="str">
        <f>Exposition!A350</f>
        <v/>
      </c>
      <c r="M349" s="625" t="str">
        <f>Exposition!B350</f>
        <v/>
      </c>
      <c r="N349" s="625" t="str">
        <f>Exposition!C350</f>
        <v/>
      </c>
      <c r="O349" s="625" t="str">
        <f>Exposition!D350</f>
        <v/>
      </c>
      <c r="P349" s="625" t="str">
        <f>Exposition!E350</f>
        <v/>
      </c>
      <c r="Q349" s="625" t="str">
        <f>Exposition!F350</f>
        <v/>
      </c>
      <c r="R349" s="625" t="str">
        <f>Exposition!G350</f>
        <v/>
      </c>
      <c r="S349" s="625" t="str">
        <f>Exposition!H350</f>
        <v/>
      </c>
      <c r="T349" s="625" t="str">
        <f>Exposition!I350</f>
        <v/>
      </c>
      <c r="U349" s="625" t="str">
        <f>Exposition!J350</f>
        <v/>
      </c>
      <c r="V349" s="625" t="str">
        <f>Exposition!K350</f>
        <v/>
      </c>
      <c r="W349" s="625" t="str">
        <f>Exposition!L350</f>
        <v/>
      </c>
      <c r="X349" s="625" t="str">
        <f>Exposition!M350</f>
        <v/>
      </c>
      <c r="Y349" s="625" t="str">
        <f>Exposition!N350</f>
        <v/>
      </c>
      <c r="Z349" s="625" t="str">
        <f>Exposition!O350</f>
        <v/>
      </c>
      <c r="AA349" s="625" t="str">
        <f>Exposition!P350</f>
        <v/>
      </c>
      <c r="AB349" s="625" t="str">
        <f>Exposition!Q350</f>
        <v/>
      </c>
      <c r="AC349" s="625" t="str">
        <f>Exposition!R350</f>
        <v/>
      </c>
      <c r="AD349" s="625" t="str">
        <f>Exposition!S350</f>
        <v/>
      </c>
      <c r="AE349" s="625" t="str">
        <f>Exposition!T350</f>
        <v/>
      </c>
      <c r="AF349" s="625" t="str">
        <f>Exposition!U350</f>
        <v/>
      </c>
      <c r="AG349" s="623"/>
      <c r="AH349" s="621" t="str">
        <f>PRIX!A350</f>
        <v/>
      </c>
      <c r="AI349" s="626" t="str">
        <f>PRIX!B350</f>
        <v/>
      </c>
      <c r="AJ349" s="626" t="str">
        <f>PRIX!C350</f>
        <v/>
      </c>
      <c r="AK349" s="627" t="str">
        <f>PRIX!D350</f>
        <v/>
      </c>
      <c r="AL349" s="626" t="str">
        <f>PRIX!E350</f>
        <v/>
      </c>
      <c r="AM349" s="626" t="str">
        <f>PRIX!F350</f>
        <v/>
      </c>
      <c r="AN349" s="627" t="str">
        <f>PRIX!G350</f>
        <v/>
      </c>
      <c r="AO349" s="627" t="str">
        <f>PRIX!H350</f>
        <v/>
      </c>
      <c r="AP349" s="631" t="str">
        <f>PRIX!I350</f>
        <v/>
      </c>
      <c r="AQ349" s="628" t="str">
        <f>PRIX!J350</f>
        <v/>
      </c>
      <c r="AR349" s="631" t="str">
        <f>PRIX!K350</f>
        <v/>
      </c>
      <c r="AS349" s="631" t="str">
        <f>PRIX!L350</f>
        <v/>
      </c>
      <c r="AT349" s="631" t="str">
        <f>PRIX!M350</f>
        <v/>
      </c>
      <c r="AU349" s="629" t="str">
        <f>PRIX!N350</f>
        <v/>
      </c>
      <c r="AV349" s="631" t="str">
        <f>PRIX!O350</f>
        <v/>
      </c>
      <c r="AW349" s="631" t="str">
        <f>PRIX!P350</f>
        <v/>
      </c>
      <c r="AX349" s="630" t="str">
        <f>PRIX!Q350</f>
        <v/>
      </c>
      <c r="AY349" s="631" t="str">
        <f>PRIX!R350</f>
        <v/>
      </c>
      <c r="AZ349" s="631" t="str">
        <f>PRIX!S350</f>
        <v/>
      </c>
      <c r="BA349" s="623"/>
    </row>
    <row r="350">
      <c r="A350" s="621" t="str">
        <f>ARBITRAGES!E351</f>
        <v/>
      </c>
      <c r="B350" s="623" t="str">
        <f>IF(A350="","",IF(ARBITRAGES!F351="Invest","Achat","Vente"))</f>
        <v/>
      </c>
      <c r="C350" s="623" t="str">
        <f>ARBITRAGES!H351</f>
        <v/>
      </c>
      <c r="D350" s="624" t="str">
        <f>ARBITRAGES!I351</f>
        <v/>
      </c>
      <c r="E350" s="624" t="str">
        <f>ARBITRAGES!J351</f>
        <v/>
      </c>
      <c r="F350" s="623"/>
      <c r="G350" s="623" t="str">
        <f>'PV (%)'!B352</f>
        <v/>
      </c>
      <c r="H350" s="624" t="str">
        <f>'PV (%)'!E352</f>
        <v/>
      </c>
      <c r="I350" s="624" t="str">
        <f>'PV (%)'!F352</f>
        <v/>
      </c>
      <c r="J350" s="623" t="str">
        <f>'PV (%)'!G352</f>
        <v/>
      </c>
      <c r="K350" s="623"/>
      <c r="L350" s="621" t="str">
        <f>Exposition!A351</f>
        <v/>
      </c>
      <c r="M350" s="625" t="str">
        <f>Exposition!B351</f>
        <v/>
      </c>
      <c r="N350" s="625" t="str">
        <f>Exposition!C351</f>
        <v/>
      </c>
      <c r="O350" s="625" t="str">
        <f>Exposition!D351</f>
        <v/>
      </c>
      <c r="P350" s="625" t="str">
        <f>Exposition!E351</f>
        <v/>
      </c>
      <c r="Q350" s="625" t="str">
        <f>Exposition!F351</f>
        <v/>
      </c>
      <c r="R350" s="625" t="str">
        <f>Exposition!G351</f>
        <v/>
      </c>
      <c r="S350" s="625" t="str">
        <f>Exposition!H351</f>
        <v/>
      </c>
      <c r="T350" s="625" t="str">
        <f>Exposition!I351</f>
        <v/>
      </c>
      <c r="U350" s="625" t="str">
        <f>Exposition!J351</f>
        <v/>
      </c>
      <c r="V350" s="625" t="str">
        <f>Exposition!K351</f>
        <v/>
      </c>
      <c r="W350" s="625" t="str">
        <f>Exposition!L351</f>
        <v/>
      </c>
      <c r="X350" s="625" t="str">
        <f>Exposition!M351</f>
        <v/>
      </c>
      <c r="Y350" s="625" t="str">
        <f>Exposition!N351</f>
        <v/>
      </c>
      <c r="Z350" s="625" t="str">
        <f>Exposition!O351</f>
        <v/>
      </c>
      <c r="AA350" s="625" t="str">
        <f>Exposition!P351</f>
        <v/>
      </c>
      <c r="AB350" s="625" t="str">
        <f>Exposition!Q351</f>
        <v/>
      </c>
      <c r="AC350" s="625" t="str">
        <f>Exposition!R351</f>
        <v/>
      </c>
      <c r="AD350" s="625" t="str">
        <f>Exposition!S351</f>
        <v/>
      </c>
      <c r="AE350" s="625" t="str">
        <f>Exposition!T351</f>
        <v/>
      </c>
      <c r="AF350" s="625" t="str">
        <f>Exposition!U351</f>
        <v/>
      </c>
      <c r="AG350" s="623"/>
      <c r="AH350" s="621" t="str">
        <f>PRIX!A351</f>
        <v/>
      </c>
      <c r="AI350" s="626" t="str">
        <f>PRIX!B351</f>
        <v/>
      </c>
      <c r="AJ350" s="626" t="str">
        <f>PRIX!C351</f>
        <v/>
      </c>
      <c r="AK350" s="627" t="str">
        <f>PRIX!D351</f>
        <v/>
      </c>
      <c r="AL350" s="626" t="str">
        <f>PRIX!E351</f>
        <v/>
      </c>
      <c r="AM350" s="626" t="str">
        <f>PRIX!F351</f>
        <v/>
      </c>
      <c r="AN350" s="627" t="str">
        <f>PRIX!G351</f>
        <v/>
      </c>
      <c r="AO350" s="627" t="str">
        <f>PRIX!H351</f>
        <v/>
      </c>
      <c r="AP350" s="631" t="str">
        <f>PRIX!I351</f>
        <v/>
      </c>
      <c r="AQ350" s="628" t="str">
        <f>PRIX!J351</f>
        <v/>
      </c>
      <c r="AR350" s="631" t="str">
        <f>PRIX!K351</f>
        <v/>
      </c>
      <c r="AS350" s="631" t="str">
        <f>PRIX!L351</f>
        <v/>
      </c>
      <c r="AT350" s="631" t="str">
        <f>PRIX!M351</f>
        <v/>
      </c>
      <c r="AU350" s="629" t="str">
        <f>PRIX!N351</f>
        <v/>
      </c>
      <c r="AV350" s="631" t="str">
        <f>PRIX!O351</f>
        <v/>
      </c>
      <c r="AW350" s="631" t="str">
        <f>PRIX!P351</f>
        <v/>
      </c>
      <c r="AX350" s="630" t="str">
        <f>PRIX!Q351</f>
        <v/>
      </c>
      <c r="AY350" s="631" t="str">
        <f>PRIX!R351</f>
        <v/>
      </c>
      <c r="AZ350" s="631" t="str">
        <f>PRIX!S351</f>
        <v/>
      </c>
      <c r="BA350" s="623"/>
    </row>
    <row r="351">
      <c r="A351" s="621" t="str">
        <f>ARBITRAGES!E352</f>
        <v/>
      </c>
      <c r="B351" s="623" t="str">
        <f>IF(A351="","",IF(ARBITRAGES!F352="Invest","Achat","Vente"))</f>
        <v/>
      </c>
      <c r="C351" s="623" t="str">
        <f>ARBITRAGES!H352</f>
        <v/>
      </c>
      <c r="D351" s="624" t="str">
        <f>ARBITRAGES!I352</f>
        <v/>
      </c>
      <c r="E351" s="624" t="str">
        <f>ARBITRAGES!J352</f>
        <v/>
      </c>
      <c r="F351" s="623"/>
      <c r="G351" s="623" t="str">
        <f>'PV (%)'!B353</f>
        <v/>
      </c>
      <c r="H351" s="624" t="str">
        <f>'PV (%)'!E353</f>
        <v/>
      </c>
      <c r="I351" s="624" t="str">
        <f>'PV (%)'!F353</f>
        <v/>
      </c>
      <c r="J351" s="623" t="str">
        <f>'PV (%)'!G353</f>
        <v/>
      </c>
      <c r="K351" s="623"/>
      <c r="L351" s="621" t="str">
        <f>Exposition!A352</f>
        <v/>
      </c>
      <c r="M351" s="625" t="str">
        <f>Exposition!B352</f>
        <v/>
      </c>
      <c r="N351" s="625" t="str">
        <f>Exposition!C352</f>
        <v/>
      </c>
      <c r="O351" s="625" t="str">
        <f>Exposition!D352</f>
        <v/>
      </c>
      <c r="P351" s="625" t="str">
        <f>Exposition!E352</f>
        <v/>
      </c>
      <c r="Q351" s="625" t="str">
        <f>Exposition!F352</f>
        <v/>
      </c>
      <c r="R351" s="625" t="str">
        <f>Exposition!G352</f>
        <v/>
      </c>
      <c r="S351" s="625" t="str">
        <f>Exposition!H352</f>
        <v/>
      </c>
      <c r="T351" s="625" t="str">
        <f>Exposition!I352</f>
        <v/>
      </c>
      <c r="U351" s="625" t="str">
        <f>Exposition!J352</f>
        <v/>
      </c>
      <c r="V351" s="625" t="str">
        <f>Exposition!K352</f>
        <v/>
      </c>
      <c r="W351" s="625" t="str">
        <f>Exposition!L352</f>
        <v/>
      </c>
      <c r="X351" s="625" t="str">
        <f>Exposition!M352</f>
        <v/>
      </c>
      <c r="Y351" s="625" t="str">
        <f>Exposition!N352</f>
        <v/>
      </c>
      <c r="Z351" s="625" t="str">
        <f>Exposition!O352</f>
        <v/>
      </c>
      <c r="AA351" s="625" t="str">
        <f>Exposition!P352</f>
        <v/>
      </c>
      <c r="AB351" s="625" t="str">
        <f>Exposition!Q352</f>
        <v/>
      </c>
      <c r="AC351" s="625" t="str">
        <f>Exposition!R352</f>
        <v/>
      </c>
      <c r="AD351" s="625" t="str">
        <f>Exposition!S352</f>
        <v/>
      </c>
      <c r="AE351" s="625" t="str">
        <f>Exposition!T352</f>
        <v/>
      </c>
      <c r="AF351" s="625" t="str">
        <f>Exposition!U352</f>
        <v/>
      </c>
      <c r="AG351" s="623"/>
      <c r="AH351" s="621" t="str">
        <f>PRIX!A352</f>
        <v/>
      </c>
      <c r="AI351" s="626" t="str">
        <f>PRIX!B352</f>
        <v/>
      </c>
      <c r="AJ351" s="626" t="str">
        <f>PRIX!C352</f>
        <v/>
      </c>
      <c r="AK351" s="627" t="str">
        <f>PRIX!D352</f>
        <v/>
      </c>
      <c r="AL351" s="626" t="str">
        <f>PRIX!E352</f>
        <v/>
      </c>
      <c r="AM351" s="626" t="str">
        <f>PRIX!F352</f>
        <v/>
      </c>
      <c r="AN351" s="627" t="str">
        <f>PRIX!G352</f>
        <v/>
      </c>
      <c r="AO351" s="627" t="str">
        <f>PRIX!H352</f>
        <v/>
      </c>
      <c r="AP351" s="631" t="str">
        <f>PRIX!I352</f>
        <v/>
      </c>
      <c r="AQ351" s="628" t="str">
        <f>PRIX!J352</f>
        <v/>
      </c>
      <c r="AR351" s="631" t="str">
        <f>PRIX!K352</f>
        <v/>
      </c>
      <c r="AS351" s="631" t="str">
        <f>PRIX!L352</f>
        <v/>
      </c>
      <c r="AT351" s="631" t="str">
        <f>PRIX!M352</f>
        <v/>
      </c>
      <c r="AU351" s="629" t="str">
        <f>PRIX!N352</f>
        <v/>
      </c>
      <c r="AV351" s="631" t="str">
        <f>PRIX!O352</f>
        <v/>
      </c>
      <c r="AW351" s="631" t="str">
        <f>PRIX!P352</f>
        <v/>
      </c>
      <c r="AX351" s="630" t="str">
        <f>PRIX!Q352</f>
        <v/>
      </c>
      <c r="AY351" s="631" t="str">
        <f>PRIX!R352</f>
        <v/>
      </c>
      <c r="AZ351" s="631" t="str">
        <f>PRIX!S352</f>
        <v/>
      </c>
      <c r="BA351" s="623"/>
    </row>
    <row r="352">
      <c r="A352" s="621" t="str">
        <f>ARBITRAGES!E353</f>
        <v/>
      </c>
      <c r="B352" s="623" t="str">
        <f>IF(A352="","",IF(ARBITRAGES!F353="Invest","Achat","Vente"))</f>
        <v/>
      </c>
      <c r="C352" s="623" t="str">
        <f>ARBITRAGES!H353</f>
        <v/>
      </c>
      <c r="D352" s="624" t="str">
        <f>ARBITRAGES!I353</f>
        <v/>
      </c>
      <c r="E352" s="624" t="str">
        <f>ARBITRAGES!J353</f>
        <v/>
      </c>
      <c r="F352" s="623"/>
      <c r="G352" s="623" t="str">
        <f>'PV (%)'!B354</f>
        <v/>
      </c>
      <c r="H352" s="624" t="str">
        <f>'PV (%)'!E354</f>
        <v/>
      </c>
      <c r="I352" s="624" t="str">
        <f>'PV (%)'!F354</f>
        <v/>
      </c>
      <c r="J352" s="623" t="str">
        <f>'PV (%)'!G354</f>
        <v/>
      </c>
      <c r="K352" s="623"/>
      <c r="L352" s="621" t="str">
        <f>Exposition!A353</f>
        <v/>
      </c>
      <c r="M352" s="625" t="str">
        <f>Exposition!B353</f>
        <v/>
      </c>
      <c r="N352" s="625" t="str">
        <f>Exposition!C353</f>
        <v/>
      </c>
      <c r="O352" s="625" t="str">
        <f>Exposition!D353</f>
        <v/>
      </c>
      <c r="P352" s="625" t="str">
        <f>Exposition!E353</f>
        <v/>
      </c>
      <c r="Q352" s="625" t="str">
        <f>Exposition!F353</f>
        <v/>
      </c>
      <c r="R352" s="625" t="str">
        <f>Exposition!G353</f>
        <v/>
      </c>
      <c r="S352" s="625" t="str">
        <f>Exposition!H353</f>
        <v/>
      </c>
      <c r="T352" s="625" t="str">
        <f>Exposition!I353</f>
        <v/>
      </c>
      <c r="U352" s="625" t="str">
        <f>Exposition!J353</f>
        <v/>
      </c>
      <c r="V352" s="625" t="str">
        <f>Exposition!K353</f>
        <v/>
      </c>
      <c r="W352" s="625" t="str">
        <f>Exposition!L353</f>
        <v/>
      </c>
      <c r="X352" s="625" t="str">
        <f>Exposition!M353</f>
        <v/>
      </c>
      <c r="Y352" s="625" t="str">
        <f>Exposition!N353</f>
        <v/>
      </c>
      <c r="Z352" s="625" t="str">
        <f>Exposition!O353</f>
        <v/>
      </c>
      <c r="AA352" s="625" t="str">
        <f>Exposition!P353</f>
        <v/>
      </c>
      <c r="AB352" s="625" t="str">
        <f>Exposition!Q353</f>
        <v/>
      </c>
      <c r="AC352" s="625" t="str">
        <f>Exposition!R353</f>
        <v/>
      </c>
      <c r="AD352" s="625" t="str">
        <f>Exposition!S353</f>
        <v/>
      </c>
      <c r="AE352" s="625" t="str">
        <f>Exposition!T353</f>
        <v/>
      </c>
      <c r="AF352" s="625" t="str">
        <f>Exposition!U353</f>
        <v/>
      </c>
      <c r="AG352" s="623"/>
      <c r="AH352" s="621" t="str">
        <f>PRIX!A353</f>
        <v/>
      </c>
      <c r="AI352" s="626" t="str">
        <f>PRIX!B353</f>
        <v/>
      </c>
      <c r="AJ352" s="626" t="str">
        <f>PRIX!C353</f>
        <v/>
      </c>
      <c r="AK352" s="627" t="str">
        <f>PRIX!D353</f>
        <v/>
      </c>
      <c r="AL352" s="626" t="str">
        <f>PRIX!E353</f>
        <v/>
      </c>
      <c r="AM352" s="626" t="str">
        <f>PRIX!F353</f>
        <v/>
      </c>
      <c r="AN352" s="627" t="str">
        <f>PRIX!G353</f>
        <v/>
      </c>
      <c r="AO352" s="627" t="str">
        <f>PRIX!H353</f>
        <v/>
      </c>
      <c r="AP352" s="631" t="str">
        <f>PRIX!I353</f>
        <v/>
      </c>
      <c r="AQ352" s="628" t="str">
        <f>PRIX!J353</f>
        <v/>
      </c>
      <c r="AR352" s="631" t="str">
        <f>PRIX!K353</f>
        <v/>
      </c>
      <c r="AS352" s="631" t="str">
        <f>PRIX!L353</f>
        <v/>
      </c>
      <c r="AT352" s="631" t="str">
        <f>PRIX!M353</f>
        <v/>
      </c>
      <c r="AU352" s="629" t="str">
        <f>PRIX!N353</f>
        <v/>
      </c>
      <c r="AV352" s="631" t="str">
        <f>PRIX!O353</f>
        <v/>
      </c>
      <c r="AW352" s="631" t="str">
        <f>PRIX!P353</f>
        <v/>
      </c>
      <c r="AX352" s="630" t="str">
        <f>PRIX!Q353</f>
        <v/>
      </c>
      <c r="AY352" s="631" t="str">
        <f>PRIX!R353</f>
        <v/>
      </c>
      <c r="AZ352" s="631" t="str">
        <f>PRIX!S353</f>
        <v/>
      </c>
      <c r="BA352" s="623"/>
    </row>
    <row r="353">
      <c r="A353" s="621" t="str">
        <f>ARBITRAGES!E354</f>
        <v/>
      </c>
      <c r="B353" s="623" t="str">
        <f>IF(A353="","",IF(ARBITRAGES!F354="Invest","Achat","Vente"))</f>
        <v/>
      </c>
      <c r="C353" s="623" t="str">
        <f>ARBITRAGES!H354</f>
        <v/>
      </c>
      <c r="D353" s="624" t="str">
        <f>ARBITRAGES!I354</f>
        <v/>
      </c>
      <c r="E353" s="624" t="str">
        <f>ARBITRAGES!J354</f>
        <v/>
      </c>
      <c r="F353" s="623"/>
      <c r="G353" s="623" t="str">
        <f>'PV (%)'!B355</f>
        <v/>
      </c>
      <c r="H353" s="624" t="str">
        <f>'PV (%)'!E355</f>
        <v/>
      </c>
      <c r="I353" s="624" t="str">
        <f>'PV (%)'!F355</f>
        <v/>
      </c>
      <c r="J353" s="623" t="str">
        <f>'PV (%)'!G355</f>
        <v/>
      </c>
      <c r="K353" s="623"/>
      <c r="L353" s="621" t="str">
        <f>Exposition!A354</f>
        <v/>
      </c>
      <c r="M353" s="625" t="str">
        <f>Exposition!B354</f>
        <v/>
      </c>
      <c r="N353" s="625" t="str">
        <f>Exposition!C354</f>
        <v/>
      </c>
      <c r="O353" s="625" t="str">
        <f>Exposition!D354</f>
        <v/>
      </c>
      <c r="P353" s="625" t="str">
        <f>Exposition!E354</f>
        <v/>
      </c>
      <c r="Q353" s="625" t="str">
        <f>Exposition!F354</f>
        <v/>
      </c>
      <c r="R353" s="625" t="str">
        <f>Exposition!G354</f>
        <v/>
      </c>
      <c r="S353" s="625" t="str">
        <f>Exposition!H354</f>
        <v/>
      </c>
      <c r="T353" s="625" t="str">
        <f>Exposition!I354</f>
        <v/>
      </c>
      <c r="U353" s="625" t="str">
        <f>Exposition!J354</f>
        <v/>
      </c>
      <c r="V353" s="625" t="str">
        <f>Exposition!K354</f>
        <v/>
      </c>
      <c r="W353" s="625" t="str">
        <f>Exposition!L354</f>
        <v/>
      </c>
      <c r="X353" s="625" t="str">
        <f>Exposition!M354</f>
        <v/>
      </c>
      <c r="Y353" s="625" t="str">
        <f>Exposition!N354</f>
        <v/>
      </c>
      <c r="Z353" s="625" t="str">
        <f>Exposition!O354</f>
        <v/>
      </c>
      <c r="AA353" s="625" t="str">
        <f>Exposition!P354</f>
        <v/>
      </c>
      <c r="AB353" s="625" t="str">
        <f>Exposition!Q354</f>
        <v/>
      </c>
      <c r="AC353" s="625" t="str">
        <f>Exposition!R354</f>
        <v/>
      </c>
      <c r="AD353" s="625" t="str">
        <f>Exposition!S354</f>
        <v/>
      </c>
      <c r="AE353" s="625" t="str">
        <f>Exposition!T354</f>
        <v/>
      </c>
      <c r="AF353" s="625" t="str">
        <f>Exposition!U354</f>
        <v/>
      </c>
      <c r="AG353" s="623"/>
      <c r="AH353" s="621" t="str">
        <f>PRIX!A354</f>
        <v/>
      </c>
      <c r="AI353" s="626" t="str">
        <f>PRIX!B354</f>
        <v/>
      </c>
      <c r="AJ353" s="626" t="str">
        <f>PRIX!C354</f>
        <v/>
      </c>
      <c r="AK353" s="627" t="str">
        <f>PRIX!D354</f>
        <v/>
      </c>
      <c r="AL353" s="626" t="str">
        <f>PRIX!E354</f>
        <v/>
      </c>
      <c r="AM353" s="626" t="str">
        <f>PRIX!F354</f>
        <v/>
      </c>
      <c r="AN353" s="627" t="str">
        <f>PRIX!G354</f>
        <v/>
      </c>
      <c r="AO353" s="627" t="str">
        <f>PRIX!H354</f>
        <v/>
      </c>
      <c r="AP353" s="631" t="str">
        <f>PRIX!I354</f>
        <v/>
      </c>
      <c r="AQ353" s="628" t="str">
        <f>PRIX!J354</f>
        <v/>
      </c>
      <c r="AR353" s="631" t="str">
        <f>PRIX!K354</f>
        <v/>
      </c>
      <c r="AS353" s="631" t="str">
        <f>PRIX!L354</f>
        <v/>
      </c>
      <c r="AT353" s="631" t="str">
        <f>PRIX!M354</f>
        <v/>
      </c>
      <c r="AU353" s="629" t="str">
        <f>PRIX!N354</f>
        <v/>
      </c>
      <c r="AV353" s="631" t="str">
        <f>PRIX!O354</f>
        <v/>
      </c>
      <c r="AW353" s="631" t="str">
        <f>PRIX!P354</f>
        <v/>
      </c>
      <c r="AX353" s="630" t="str">
        <f>PRIX!Q354</f>
        <v/>
      </c>
      <c r="AY353" s="631" t="str">
        <f>PRIX!R354</f>
        <v/>
      </c>
      <c r="AZ353" s="631" t="str">
        <f>PRIX!S354</f>
        <v/>
      </c>
      <c r="BA353" s="623"/>
    </row>
    <row r="354">
      <c r="A354" s="621" t="str">
        <f>ARBITRAGES!E355</f>
        <v/>
      </c>
      <c r="B354" s="623" t="str">
        <f>IF(A354="","",IF(ARBITRAGES!F355="Invest","Achat","Vente"))</f>
        <v/>
      </c>
      <c r="C354" s="623" t="str">
        <f>ARBITRAGES!H355</f>
        <v/>
      </c>
      <c r="D354" s="624" t="str">
        <f>ARBITRAGES!I355</f>
        <v/>
      </c>
      <c r="E354" s="624" t="str">
        <f>ARBITRAGES!J355</f>
        <v/>
      </c>
      <c r="F354" s="623"/>
      <c r="G354" s="623" t="str">
        <f>'PV (%)'!B356</f>
        <v/>
      </c>
      <c r="H354" s="624" t="str">
        <f>'PV (%)'!E356</f>
        <v/>
      </c>
      <c r="I354" s="624" t="str">
        <f>'PV (%)'!F356</f>
        <v/>
      </c>
      <c r="J354" s="623" t="str">
        <f>'PV (%)'!G356</f>
        <v/>
      </c>
      <c r="K354" s="623"/>
      <c r="L354" s="621" t="str">
        <f>Exposition!A355</f>
        <v/>
      </c>
      <c r="M354" s="625" t="str">
        <f>Exposition!B355</f>
        <v/>
      </c>
      <c r="N354" s="625" t="str">
        <f>Exposition!C355</f>
        <v/>
      </c>
      <c r="O354" s="625" t="str">
        <f>Exposition!D355</f>
        <v/>
      </c>
      <c r="P354" s="625" t="str">
        <f>Exposition!E355</f>
        <v/>
      </c>
      <c r="Q354" s="625" t="str">
        <f>Exposition!F355</f>
        <v/>
      </c>
      <c r="R354" s="625" t="str">
        <f>Exposition!G355</f>
        <v/>
      </c>
      <c r="S354" s="625" t="str">
        <f>Exposition!H355</f>
        <v/>
      </c>
      <c r="T354" s="625" t="str">
        <f>Exposition!I355</f>
        <v/>
      </c>
      <c r="U354" s="625" t="str">
        <f>Exposition!J355</f>
        <v/>
      </c>
      <c r="V354" s="625" t="str">
        <f>Exposition!K355</f>
        <v/>
      </c>
      <c r="W354" s="625" t="str">
        <f>Exposition!L355</f>
        <v/>
      </c>
      <c r="X354" s="625" t="str">
        <f>Exposition!M355</f>
        <v/>
      </c>
      <c r="Y354" s="625" t="str">
        <f>Exposition!N355</f>
        <v/>
      </c>
      <c r="Z354" s="625" t="str">
        <f>Exposition!O355</f>
        <v/>
      </c>
      <c r="AA354" s="625" t="str">
        <f>Exposition!P355</f>
        <v/>
      </c>
      <c r="AB354" s="625" t="str">
        <f>Exposition!Q355</f>
        <v/>
      </c>
      <c r="AC354" s="625" t="str">
        <f>Exposition!R355</f>
        <v/>
      </c>
      <c r="AD354" s="625" t="str">
        <f>Exposition!S355</f>
        <v/>
      </c>
      <c r="AE354" s="625" t="str">
        <f>Exposition!T355</f>
        <v/>
      </c>
      <c r="AF354" s="625" t="str">
        <f>Exposition!U355</f>
        <v/>
      </c>
      <c r="AG354" s="623"/>
      <c r="AH354" s="621" t="str">
        <f>PRIX!A355</f>
        <v/>
      </c>
      <c r="AI354" s="626" t="str">
        <f>PRIX!B355</f>
        <v/>
      </c>
      <c r="AJ354" s="626" t="str">
        <f>PRIX!C355</f>
        <v/>
      </c>
      <c r="AK354" s="627" t="str">
        <f>PRIX!D355</f>
        <v/>
      </c>
      <c r="AL354" s="626" t="str">
        <f>PRIX!E355</f>
        <v/>
      </c>
      <c r="AM354" s="626" t="str">
        <f>PRIX!F355</f>
        <v/>
      </c>
      <c r="AN354" s="627" t="str">
        <f>PRIX!G355</f>
        <v/>
      </c>
      <c r="AO354" s="627" t="str">
        <f>PRIX!H355</f>
        <v/>
      </c>
      <c r="AP354" s="631" t="str">
        <f>PRIX!I355</f>
        <v/>
      </c>
      <c r="AQ354" s="628" t="str">
        <f>PRIX!J355</f>
        <v/>
      </c>
      <c r="AR354" s="631" t="str">
        <f>PRIX!K355</f>
        <v/>
      </c>
      <c r="AS354" s="631" t="str">
        <f>PRIX!L355</f>
        <v/>
      </c>
      <c r="AT354" s="631" t="str">
        <f>PRIX!M355</f>
        <v/>
      </c>
      <c r="AU354" s="629" t="str">
        <f>PRIX!N355</f>
        <v/>
      </c>
      <c r="AV354" s="631" t="str">
        <f>PRIX!O355</f>
        <v/>
      </c>
      <c r="AW354" s="631" t="str">
        <f>PRIX!P355</f>
        <v/>
      </c>
      <c r="AX354" s="630" t="str">
        <f>PRIX!Q355</f>
        <v/>
      </c>
      <c r="AY354" s="631" t="str">
        <f>PRIX!R355</f>
        <v/>
      </c>
      <c r="AZ354" s="631" t="str">
        <f>PRIX!S355</f>
        <v/>
      </c>
      <c r="BA354" s="623"/>
    </row>
    <row r="355">
      <c r="A355" s="621" t="str">
        <f>ARBITRAGES!E356</f>
        <v/>
      </c>
      <c r="B355" s="623" t="str">
        <f>IF(A355="","",IF(ARBITRAGES!F356="Invest","Achat","Vente"))</f>
        <v/>
      </c>
      <c r="C355" s="623" t="str">
        <f>ARBITRAGES!H356</f>
        <v/>
      </c>
      <c r="D355" s="624" t="str">
        <f>ARBITRAGES!I356</f>
        <v/>
      </c>
      <c r="E355" s="624" t="str">
        <f>ARBITRAGES!J356</f>
        <v/>
      </c>
      <c r="F355" s="623"/>
      <c r="G355" s="623" t="str">
        <f>'PV (%)'!B357</f>
        <v/>
      </c>
      <c r="H355" s="624" t="str">
        <f>'PV (%)'!E357</f>
        <v/>
      </c>
      <c r="I355" s="624" t="str">
        <f>'PV (%)'!F357</f>
        <v/>
      </c>
      <c r="J355" s="623" t="str">
        <f>'PV (%)'!G357</f>
        <v/>
      </c>
      <c r="K355" s="623"/>
      <c r="L355" s="621" t="str">
        <f>Exposition!A356</f>
        <v/>
      </c>
      <c r="M355" s="625" t="str">
        <f>Exposition!B356</f>
        <v/>
      </c>
      <c r="N355" s="625" t="str">
        <f>Exposition!C356</f>
        <v/>
      </c>
      <c r="O355" s="625" t="str">
        <f>Exposition!D356</f>
        <v/>
      </c>
      <c r="P355" s="625" t="str">
        <f>Exposition!E356</f>
        <v/>
      </c>
      <c r="Q355" s="625" t="str">
        <f>Exposition!F356</f>
        <v/>
      </c>
      <c r="R355" s="625" t="str">
        <f>Exposition!G356</f>
        <v/>
      </c>
      <c r="S355" s="625" t="str">
        <f>Exposition!H356</f>
        <v/>
      </c>
      <c r="T355" s="625" t="str">
        <f>Exposition!I356</f>
        <v/>
      </c>
      <c r="U355" s="625" t="str">
        <f>Exposition!J356</f>
        <v/>
      </c>
      <c r="V355" s="625" t="str">
        <f>Exposition!K356</f>
        <v/>
      </c>
      <c r="W355" s="625" t="str">
        <f>Exposition!L356</f>
        <v/>
      </c>
      <c r="X355" s="625" t="str">
        <f>Exposition!M356</f>
        <v/>
      </c>
      <c r="Y355" s="625" t="str">
        <f>Exposition!N356</f>
        <v/>
      </c>
      <c r="Z355" s="625" t="str">
        <f>Exposition!O356</f>
        <v/>
      </c>
      <c r="AA355" s="625" t="str">
        <f>Exposition!P356</f>
        <v/>
      </c>
      <c r="AB355" s="625" t="str">
        <f>Exposition!Q356</f>
        <v/>
      </c>
      <c r="AC355" s="625" t="str">
        <f>Exposition!R356</f>
        <v/>
      </c>
      <c r="AD355" s="625" t="str">
        <f>Exposition!S356</f>
        <v/>
      </c>
      <c r="AE355" s="625" t="str">
        <f>Exposition!T356</f>
        <v/>
      </c>
      <c r="AF355" s="625" t="str">
        <f>Exposition!U356</f>
        <v/>
      </c>
      <c r="AG355" s="623"/>
      <c r="AH355" s="621" t="str">
        <f>PRIX!A356</f>
        <v/>
      </c>
      <c r="AI355" s="626" t="str">
        <f>PRIX!B356</f>
        <v/>
      </c>
      <c r="AJ355" s="626" t="str">
        <f>PRIX!C356</f>
        <v/>
      </c>
      <c r="AK355" s="627" t="str">
        <f>PRIX!D356</f>
        <v/>
      </c>
      <c r="AL355" s="626" t="str">
        <f>PRIX!E356</f>
        <v/>
      </c>
      <c r="AM355" s="626" t="str">
        <f>PRIX!F356</f>
        <v/>
      </c>
      <c r="AN355" s="627" t="str">
        <f>PRIX!G356</f>
        <v/>
      </c>
      <c r="AO355" s="627" t="str">
        <f>PRIX!H356</f>
        <v/>
      </c>
      <c r="AP355" s="631" t="str">
        <f>PRIX!I356</f>
        <v/>
      </c>
      <c r="AQ355" s="628" t="str">
        <f>PRIX!J356</f>
        <v/>
      </c>
      <c r="AR355" s="631" t="str">
        <f>PRIX!K356</f>
        <v/>
      </c>
      <c r="AS355" s="631" t="str">
        <f>PRIX!L356</f>
        <v/>
      </c>
      <c r="AT355" s="631" t="str">
        <f>PRIX!M356</f>
        <v/>
      </c>
      <c r="AU355" s="629" t="str">
        <f>PRIX!N356</f>
        <v/>
      </c>
      <c r="AV355" s="631" t="str">
        <f>PRIX!O356</f>
        <v/>
      </c>
      <c r="AW355" s="631" t="str">
        <f>PRIX!P356</f>
        <v/>
      </c>
      <c r="AX355" s="630" t="str">
        <f>PRIX!Q356</f>
        <v/>
      </c>
      <c r="AY355" s="631" t="str">
        <f>PRIX!R356</f>
        <v/>
      </c>
      <c r="AZ355" s="631" t="str">
        <f>PRIX!S356</f>
        <v/>
      </c>
      <c r="BA355" s="623"/>
    </row>
    <row r="356">
      <c r="A356" s="621" t="str">
        <f>ARBITRAGES!E357</f>
        <v/>
      </c>
      <c r="B356" s="623" t="str">
        <f>IF(A356="","",IF(ARBITRAGES!F357="Invest","Achat","Vente"))</f>
        <v/>
      </c>
      <c r="C356" s="623" t="str">
        <f>ARBITRAGES!H357</f>
        <v/>
      </c>
      <c r="D356" s="624" t="str">
        <f>ARBITRAGES!I357</f>
        <v/>
      </c>
      <c r="E356" s="624" t="str">
        <f>ARBITRAGES!J357</f>
        <v/>
      </c>
      <c r="F356" s="623"/>
      <c r="G356" s="623" t="str">
        <f>'PV (%)'!B358</f>
        <v/>
      </c>
      <c r="H356" s="624" t="str">
        <f>'PV (%)'!E358</f>
        <v/>
      </c>
      <c r="I356" s="624" t="str">
        <f>'PV (%)'!F358</f>
        <v/>
      </c>
      <c r="J356" s="623" t="str">
        <f>'PV (%)'!G358</f>
        <v/>
      </c>
      <c r="K356" s="623"/>
      <c r="L356" s="621" t="str">
        <f>Exposition!A357</f>
        <v/>
      </c>
      <c r="M356" s="625" t="str">
        <f>Exposition!B357</f>
        <v/>
      </c>
      <c r="N356" s="625" t="str">
        <f>Exposition!C357</f>
        <v/>
      </c>
      <c r="O356" s="625" t="str">
        <f>Exposition!D357</f>
        <v/>
      </c>
      <c r="P356" s="625" t="str">
        <f>Exposition!E357</f>
        <v/>
      </c>
      <c r="Q356" s="625" t="str">
        <f>Exposition!F357</f>
        <v/>
      </c>
      <c r="R356" s="625" t="str">
        <f>Exposition!G357</f>
        <v/>
      </c>
      <c r="S356" s="625" t="str">
        <f>Exposition!H357</f>
        <v/>
      </c>
      <c r="T356" s="625" t="str">
        <f>Exposition!I357</f>
        <v/>
      </c>
      <c r="U356" s="625" t="str">
        <f>Exposition!J357</f>
        <v/>
      </c>
      <c r="V356" s="625" t="str">
        <f>Exposition!K357</f>
        <v/>
      </c>
      <c r="W356" s="625" t="str">
        <f>Exposition!L357</f>
        <v/>
      </c>
      <c r="X356" s="625" t="str">
        <f>Exposition!M357</f>
        <v/>
      </c>
      <c r="Y356" s="625" t="str">
        <f>Exposition!N357</f>
        <v/>
      </c>
      <c r="Z356" s="625" t="str">
        <f>Exposition!O357</f>
        <v/>
      </c>
      <c r="AA356" s="625" t="str">
        <f>Exposition!P357</f>
        <v/>
      </c>
      <c r="AB356" s="625" t="str">
        <f>Exposition!Q357</f>
        <v/>
      </c>
      <c r="AC356" s="625" t="str">
        <f>Exposition!R357</f>
        <v/>
      </c>
      <c r="AD356" s="625" t="str">
        <f>Exposition!S357</f>
        <v/>
      </c>
      <c r="AE356" s="625" t="str">
        <f>Exposition!T357</f>
        <v/>
      </c>
      <c r="AF356" s="625" t="str">
        <f>Exposition!U357</f>
        <v/>
      </c>
      <c r="AG356" s="623"/>
      <c r="AH356" s="621" t="str">
        <f>PRIX!A357</f>
        <v/>
      </c>
      <c r="AI356" s="626" t="str">
        <f>PRIX!B357</f>
        <v/>
      </c>
      <c r="AJ356" s="626" t="str">
        <f>PRIX!C357</f>
        <v/>
      </c>
      <c r="AK356" s="627" t="str">
        <f>PRIX!D357</f>
        <v/>
      </c>
      <c r="AL356" s="626" t="str">
        <f>PRIX!E357</f>
        <v/>
      </c>
      <c r="AM356" s="626" t="str">
        <f>PRIX!F357</f>
        <v/>
      </c>
      <c r="AN356" s="627" t="str">
        <f>PRIX!G357</f>
        <v/>
      </c>
      <c r="AO356" s="627" t="str">
        <f>PRIX!H357</f>
        <v/>
      </c>
      <c r="AP356" s="631" t="str">
        <f>PRIX!I357</f>
        <v/>
      </c>
      <c r="AQ356" s="628" t="str">
        <f>PRIX!J357</f>
        <v/>
      </c>
      <c r="AR356" s="631" t="str">
        <f>PRIX!K357</f>
        <v/>
      </c>
      <c r="AS356" s="631" t="str">
        <f>PRIX!L357</f>
        <v/>
      </c>
      <c r="AT356" s="631" t="str">
        <f>PRIX!M357</f>
        <v/>
      </c>
      <c r="AU356" s="629" t="str">
        <f>PRIX!N357</f>
        <v/>
      </c>
      <c r="AV356" s="631" t="str">
        <f>PRIX!O357</f>
        <v/>
      </c>
      <c r="AW356" s="631" t="str">
        <f>PRIX!P357</f>
        <v/>
      </c>
      <c r="AX356" s="630" t="str">
        <f>PRIX!Q357</f>
        <v/>
      </c>
      <c r="AY356" s="631" t="str">
        <f>PRIX!R357</f>
        <v/>
      </c>
      <c r="AZ356" s="631" t="str">
        <f>PRIX!S357</f>
        <v/>
      </c>
      <c r="BA356" s="623"/>
    </row>
    <row r="357">
      <c r="A357" s="621" t="str">
        <f>ARBITRAGES!E358</f>
        <v/>
      </c>
      <c r="B357" s="623" t="str">
        <f>IF(A357="","",IF(ARBITRAGES!F358="Invest","Achat","Vente"))</f>
        <v/>
      </c>
      <c r="C357" s="623" t="str">
        <f>ARBITRAGES!H358</f>
        <v/>
      </c>
      <c r="D357" s="624" t="str">
        <f>ARBITRAGES!I358</f>
        <v/>
      </c>
      <c r="E357" s="624" t="str">
        <f>ARBITRAGES!J358</f>
        <v/>
      </c>
      <c r="F357" s="623"/>
      <c r="G357" s="623" t="str">
        <f>'PV (%)'!B359</f>
        <v/>
      </c>
      <c r="H357" s="624" t="str">
        <f>'PV (%)'!E359</f>
        <v/>
      </c>
      <c r="I357" s="624" t="str">
        <f>'PV (%)'!F359</f>
        <v/>
      </c>
      <c r="J357" s="623" t="str">
        <f>'PV (%)'!G359</f>
        <v/>
      </c>
      <c r="K357" s="623"/>
      <c r="L357" s="621" t="str">
        <f>Exposition!A358</f>
        <v/>
      </c>
      <c r="M357" s="625" t="str">
        <f>Exposition!B358</f>
        <v/>
      </c>
      <c r="N357" s="625" t="str">
        <f>Exposition!C358</f>
        <v/>
      </c>
      <c r="O357" s="625" t="str">
        <f>Exposition!D358</f>
        <v/>
      </c>
      <c r="P357" s="625" t="str">
        <f>Exposition!E358</f>
        <v/>
      </c>
      <c r="Q357" s="625" t="str">
        <f>Exposition!F358</f>
        <v/>
      </c>
      <c r="R357" s="625" t="str">
        <f>Exposition!G358</f>
        <v/>
      </c>
      <c r="S357" s="625" t="str">
        <f>Exposition!H358</f>
        <v/>
      </c>
      <c r="T357" s="625" t="str">
        <f>Exposition!I358</f>
        <v/>
      </c>
      <c r="U357" s="625" t="str">
        <f>Exposition!J358</f>
        <v/>
      </c>
      <c r="V357" s="625" t="str">
        <f>Exposition!K358</f>
        <v/>
      </c>
      <c r="W357" s="625" t="str">
        <f>Exposition!L358</f>
        <v/>
      </c>
      <c r="X357" s="625" t="str">
        <f>Exposition!M358</f>
        <v/>
      </c>
      <c r="Y357" s="625" t="str">
        <f>Exposition!N358</f>
        <v/>
      </c>
      <c r="Z357" s="625" t="str">
        <f>Exposition!O358</f>
        <v/>
      </c>
      <c r="AA357" s="625" t="str">
        <f>Exposition!P358</f>
        <v/>
      </c>
      <c r="AB357" s="625" t="str">
        <f>Exposition!Q358</f>
        <v/>
      </c>
      <c r="AC357" s="625" t="str">
        <f>Exposition!R358</f>
        <v/>
      </c>
      <c r="AD357" s="625" t="str">
        <f>Exposition!S358</f>
        <v/>
      </c>
      <c r="AE357" s="625" t="str">
        <f>Exposition!T358</f>
        <v/>
      </c>
      <c r="AF357" s="625" t="str">
        <f>Exposition!U358</f>
        <v/>
      </c>
      <c r="AG357" s="623"/>
      <c r="AH357" s="621" t="str">
        <f>PRIX!A358</f>
        <v/>
      </c>
      <c r="AI357" s="626" t="str">
        <f>PRIX!B358</f>
        <v/>
      </c>
      <c r="AJ357" s="626" t="str">
        <f>PRIX!C358</f>
        <v/>
      </c>
      <c r="AK357" s="627" t="str">
        <f>PRIX!D358</f>
        <v/>
      </c>
      <c r="AL357" s="626" t="str">
        <f>PRIX!E358</f>
        <v/>
      </c>
      <c r="AM357" s="626" t="str">
        <f>PRIX!F358</f>
        <v/>
      </c>
      <c r="AN357" s="627" t="str">
        <f>PRIX!G358</f>
        <v/>
      </c>
      <c r="AO357" s="627" t="str">
        <f>PRIX!H358</f>
        <v/>
      </c>
      <c r="AP357" s="631" t="str">
        <f>PRIX!I358</f>
        <v/>
      </c>
      <c r="AQ357" s="628" t="str">
        <f>PRIX!J358</f>
        <v/>
      </c>
      <c r="AR357" s="631" t="str">
        <f>PRIX!K358</f>
        <v/>
      </c>
      <c r="AS357" s="631" t="str">
        <f>PRIX!L358</f>
        <v/>
      </c>
      <c r="AT357" s="631" t="str">
        <f>PRIX!M358</f>
        <v/>
      </c>
      <c r="AU357" s="629" t="str">
        <f>PRIX!N358</f>
        <v/>
      </c>
      <c r="AV357" s="631" t="str">
        <f>PRIX!O358</f>
        <v/>
      </c>
      <c r="AW357" s="631" t="str">
        <f>PRIX!P358</f>
        <v/>
      </c>
      <c r="AX357" s="630" t="str">
        <f>PRIX!Q358</f>
        <v/>
      </c>
      <c r="AY357" s="631" t="str">
        <f>PRIX!R358</f>
        <v/>
      </c>
      <c r="AZ357" s="631" t="str">
        <f>PRIX!S358</f>
        <v/>
      </c>
      <c r="BA357" s="623"/>
    </row>
    <row r="358">
      <c r="A358" s="621" t="str">
        <f>ARBITRAGES!E359</f>
        <v/>
      </c>
      <c r="B358" s="623" t="str">
        <f>IF(A358="","",IF(ARBITRAGES!F359="Invest","Achat","Vente"))</f>
        <v/>
      </c>
      <c r="C358" s="623" t="str">
        <f>ARBITRAGES!H359</f>
        <v/>
      </c>
      <c r="D358" s="624" t="str">
        <f>ARBITRAGES!I359</f>
        <v/>
      </c>
      <c r="E358" s="624" t="str">
        <f>ARBITRAGES!J359</f>
        <v/>
      </c>
      <c r="F358" s="623"/>
      <c r="G358" s="623" t="str">
        <f>'PV (%)'!B360</f>
        <v/>
      </c>
      <c r="H358" s="624" t="str">
        <f>'PV (%)'!E360</f>
        <v/>
      </c>
      <c r="I358" s="624" t="str">
        <f>'PV (%)'!F360</f>
        <v/>
      </c>
      <c r="J358" s="623" t="str">
        <f>'PV (%)'!G360</f>
        <v/>
      </c>
      <c r="K358" s="623"/>
      <c r="L358" s="621" t="str">
        <f>Exposition!A359</f>
        <v/>
      </c>
      <c r="M358" s="625" t="str">
        <f>Exposition!B359</f>
        <v/>
      </c>
      <c r="N358" s="625" t="str">
        <f>Exposition!C359</f>
        <v/>
      </c>
      <c r="O358" s="625" t="str">
        <f>Exposition!D359</f>
        <v/>
      </c>
      <c r="P358" s="625" t="str">
        <f>Exposition!E359</f>
        <v/>
      </c>
      <c r="Q358" s="625" t="str">
        <f>Exposition!F359</f>
        <v/>
      </c>
      <c r="R358" s="625" t="str">
        <f>Exposition!G359</f>
        <v/>
      </c>
      <c r="S358" s="625" t="str">
        <f>Exposition!H359</f>
        <v/>
      </c>
      <c r="T358" s="625" t="str">
        <f>Exposition!I359</f>
        <v/>
      </c>
      <c r="U358" s="625" t="str">
        <f>Exposition!J359</f>
        <v/>
      </c>
      <c r="V358" s="625" t="str">
        <f>Exposition!K359</f>
        <v/>
      </c>
      <c r="W358" s="625" t="str">
        <f>Exposition!L359</f>
        <v/>
      </c>
      <c r="X358" s="625" t="str">
        <f>Exposition!M359</f>
        <v/>
      </c>
      <c r="Y358" s="625" t="str">
        <f>Exposition!N359</f>
        <v/>
      </c>
      <c r="Z358" s="625" t="str">
        <f>Exposition!O359</f>
        <v/>
      </c>
      <c r="AA358" s="625" t="str">
        <f>Exposition!P359</f>
        <v/>
      </c>
      <c r="AB358" s="625" t="str">
        <f>Exposition!Q359</f>
        <v/>
      </c>
      <c r="AC358" s="625" t="str">
        <f>Exposition!R359</f>
        <v/>
      </c>
      <c r="AD358" s="625" t="str">
        <f>Exposition!S359</f>
        <v/>
      </c>
      <c r="AE358" s="625" t="str">
        <f>Exposition!T359</f>
        <v/>
      </c>
      <c r="AF358" s="625" t="str">
        <f>Exposition!U359</f>
        <v/>
      </c>
      <c r="AG358" s="623"/>
      <c r="AH358" s="621" t="str">
        <f>PRIX!A359</f>
        <v/>
      </c>
      <c r="AI358" s="626" t="str">
        <f>PRIX!B359</f>
        <v/>
      </c>
      <c r="AJ358" s="626" t="str">
        <f>PRIX!C359</f>
        <v/>
      </c>
      <c r="AK358" s="627" t="str">
        <f>PRIX!D359</f>
        <v/>
      </c>
      <c r="AL358" s="626" t="str">
        <f>PRIX!E359</f>
        <v/>
      </c>
      <c r="AM358" s="626" t="str">
        <f>PRIX!F359</f>
        <v/>
      </c>
      <c r="AN358" s="627" t="str">
        <f>PRIX!G359</f>
        <v/>
      </c>
      <c r="AO358" s="627" t="str">
        <f>PRIX!H359</f>
        <v/>
      </c>
      <c r="AP358" s="631" t="str">
        <f>PRIX!I359</f>
        <v/>
      </c>
      <c r="AQ358" s="628" t="str">
        <f>PRIX!J359</f>
        <v/>
      </c>
      <c r="AR358" s="631" t="str">
        <f>PRIX!K359</f>
        <v/>
      </c>
      <c r="AS358" s="631" t="str">
        <f>PRIX!L359</f>
        <v/>
      </c>
      <c r="AT358" s="631" t="str">
        <f>PRIX!M359</f>
        <v/>
      </c>
      <c r="AU358" s="629" t="str">
        <f>PRIX!N359</f>
        <v/>
      </c>
      <c r="AV358" s="631" t="str">
        <f>PRIX!O359</f>
        <v/>
      </c>
      <c r="AW358" s="631" t="str">
        <f>PRIX!P359</f>
        <v/>
      </c>
      <c r="AX358" s="630" t="str">
        <f>PRIX!Q359</f>
        <v/>
      </c>
      <c r="AY358" s="631" t="str">
        <f>PRIX!R359</f>
        <v/>
      </c>
      <c r="AZ358" s="631" t="str">
        <f>PRIX!S359</f>
        <v/>
      </c>
      <c r="BA358" s="623"/>
    </row>
    <row r="359">
      <c r="A359" s="621" t="str">
        <f>ARBITRAGES!E360</f>
        <v/>
      </c>
      <c r="B359" s="623" t="str">
        <f>IF(A359="","",IF(ARBITRAGES!F360="Invest","Achat","Vente"))</f>
        <v/>
      </c>
      <c r="C359" s="623" t="str">
        <f>ARBITRAGES!H360</f>
        <v/>
      </c>
      <c r="D359" s="624" t="str">
        <f>ARBITRAGES!I360</f>
        <v/>
      </c>
      <c r="E359" s="624" t="str">
        <f>ARBITRAGES!J360</f>
        <v/>
      </c>
      <c r="F359" s="623"/>
      <c r="G359" s="623" t="str">
        <f>'PV (%)'!B361</f>
        <v/>
      </c>
      <c r="H359" s="624" t="str">
        <f>'PV (%)'!E361</f>
        <v/>
      </c>
      <c r="I359" s="624" t="str">
        <f>'PV (%)'!F361</f>
        <v/>
      </c>
      <c r="J359" s="623" t="str">
        <f>'PV (%)'!G361</f>
        <v/>
      </c>
      <c r="K359" s="623"/>
      <c r="L359" s="621" t="str">
        <f>Exposition!A360</f>
        <v/>
      </c>
      <c r="M359" s="625" t="str">
        <f>Exposition!B360</f>
        <v/>
      </c>
      <c r="N359" s="625" t="str">
        <f>Exposition!C360</f>
        <v/>
      </c>
      <c r="O359" s="625" t="str">
        <f>Exposition!D360</f>
        <v/>
      </c>
      <c r="P359" s="625" t="str">
        <f>Exposition!E360</f>
        <v/>
      </c>
      <c r="Q359" s="625" t="str">
        <f>Exposition!F360</f>
        <v/>
      </c>
      <c r="R359" s="625" t="str">
        <f>Exposition!G360</f>
        <v/>
      </c>
      <c r="S359" s="625" t="str">
        <f>Exposition!H360</f>
        <v/>
      </c>
      <c r="T359" s="625" t="str">
        <f>Exposition!I360</f>
        <v/>
      </c>
      <c r="U359" s="625" t="str">
        <f>Exposition!J360</f>
        <v/>
      </c>
      <c r="V359" s="625" t="str">
        <f>Exposition!K360</f>
        <v/>
      </c>
      <c r="W359" s="625" t="str">
        <f>Exposition!L360</f>
        <v/>
      </c>
      <c r="X359" s="625" t="str">
        <f>Exposition!M360</f>
        <v/>
      </c>
      <c r="Y359" s="625" t="str">
        <f>Exposition!N360</f>
        <v/>
      </c>
      <c r="Z359" s="625" t="str">
        <f>Exposition!O360</f>
        <v/>
      </c>
      <c r="AA359" s="625" t="str">
        <f>Exposition!P360</f>
        <v/>
      </c>
      <c r="AB359" s="625" t="str">
        <f>Exposition!Q360</f>
        <v/>
      </c>
      <c r="AC359" s="625" t="str">
        <f>Exposition!R360</f>
        <v/>
      </c>
      <c r="AD359" s="625" t="str">
        <f>Exposition!S360</f>
        <v/>
      </c>
      <c r="AE359" s="625" t="str">
        <f>Exposition!T360</f>
        <v/>
      </c>
      <c r="AF359" s="625" t="str">
        <f>Exposition!U360</f>
        <v/>
      </c>
      <c r="AG359" s="623"/>
      <c r="AH359" s="621" t="str">
        <f>PRIX!A360</f>
        <v/>
      </c>
      <c r="AI359" s="626" t="str">
        <f>PRIX!B360</f>
        <v/>
      </c>
      <c r="AJ359" s="626" t="str">
        <f>PRIX!C360</f>
        <v/>
      </c>
      <c r="AK359" s="627" t="str">
        <f>PRIX!D360</f>
        <v/>
      </c>
      <c r="AL359" s="626" t="str">
        <f>PRIX!E360</f>
        <v/>
      </c>
      <c r="AM359" s="626" t="str">
        <f>PRIX!F360</f>
        <v/>
      </c>
      <c r="AN359" s="627" t="str">
        <f>PRIX!G360</f>
        <v/>
      </c>
      <c r="AO359" s="627" t="str">
        <f>PRIX!H360</f>
        <v/>
      </c>
      <c r="AP359" s="631" t="str">
        <f>PRIX!I360</f>
        <v/>
      </c>
      <c r="AQ359" s="628" t="str">
        <f>PRIX!J360</f>
        <v/>
      </c>
      <c r="AR359" s="631" t="str">
        <f>PRIX!K360</f>
        <v/>
      </c>
      <c r="AS359" s="631" t="str">
        <f>PRIX!L360</f>
        <v/>
      </c>
      <c r="AT359" s="631" t="str">
        <f>PRIX!M360</f>
        <v/>
      </c>
      <c r="AU359" s="629" t="str">
        <f>PRIX!N360</f>
        <v/>
      </c>
      <c r="AV359" s="631" t="str">
        <f>PRIX!O360</f>
        <v/>
      </c>
      <c r="AW359" s="631" t="str">
        <f>PRIX!P360</f>
        <v/>
      </c>
      <c r="AX359" s="630" t="str">
        <f>PRIX!Q360</f>
        <v/>
      </c>
      <c r="AY359" s="631" t="str">
        <f>PRIX!R360</f>
        <v/>
      </c>
      <c r="AZ359" s="631" t="str">
        <f>PRIX!S360</f>
        <v/>
      </c>
      <c r="BA359" s="623"/>
    </row>
    <row r="360">
      <c r="A360" s="621" t="str">
        <f>ARBITRAGES!E361</f>
        <v/>
      </c>
      <c r="B360" s="623" t="str">
        <f>IF(A360="","",IF(ARBITRAGES!F361="Invest","Achat","Vente"))</f>
        <v/>
      </c>
      <c r="C360" s="623" t="str">
        <f>ARBITRAGES!H361</f>
        <v/>
      </c>
      <c r="D360" s="624" t="str">
        <f>ARBITRAGES!I361</f>
        <v/>
      </c>
      <c r="E360" s="624" t="str">
        <f>ARBITRAGES!J361</f>
        <v/>
      </c>
      <c r="F360" s="623"/>
      <c r="G360" s="623" t="str">
        <f>'PV (%)'!B362</f>
        <v/>
      </c>
      <c r="H360" s="624" t="str">
        <f>'PV (%)'!E362</f>
        <v/>
      </c>
      <c r="I360" s="624" t="str">
        <f>'PV (%)'!F362</f>
        <v/>
      </c>
      <c r="J360" s="623" t="str">
        <f>'PV (%)'!G362</f>
        <v/>
      </c>
      <c r="K360" s="623"/>
      <c r="L360" s="621" t="str">
        <f>Exposition!A361</f>
        <v/>
      </c>
      <c r="M360" s="625" t="str">
        <f>Exposition!B361</f>
        <v/>
      </c>
      <c r="N360" s="625" t="str">
        <f>Exposition!C361</f>
        <v/>
      </c>
      <c r="O360" s="625" t="str">
        <f>Exposition!D361</f>
        <v/>
      </c>
      <c r="P360" s="625" t="str">
        <f>Exposition!E361</f>
        <v/>
      </c>
      <c r="Q360" s="625" t="str">
        <f>Exposition!F361</f>
        <v/>
      </c>
      <c r="R360" s="625" t="str">
        <f>Exposition!G361</f>
        <v/>
      </c>
      <c r="S360" s="625" t="str">
        <f>Exposition!H361</f>
        <v/>
      </c>
      <c r="T360" s="625" t="str">
        <f>Exposition!I361</f>
        <v/>
      </c>
      <c r="U360" s="625" t="str">
        <f>Exposition!J361</f>
        <v/>
      </c>
      <c r="V360" s="625" t="str">
        <f>Exposition!K361</f>
        <v/>
      </c>
      <c r="W360" s="625" t="str">
        <f>Exposition!L361</f>
        <v/>
      </c>
      <c r="X360" s="625" t="str">
        <f>Exposition!M361</f>
        <v/>
      </c>
      <c r="Y360" s="625" t="str">
        <f>Exposition!N361</f>
        <v/>
      </c>
      <c r="Z360" s="625" t="str">
        <f>Exposition!O361</f>
        <v/>
      </c>
      <c r="AA360" s="625" t="str">
        <f>Exposition!P361</f>
        <v/>
      </c>
      <c r="AB360" s="625" t="str">
        <f>Exposition!Q361</f>
        <v/>
      </c>
      <c r="AC360" s="625" t="str">
        <f>Exposition!R361</f>
        <v/>
      </c>
      <c r="AD360" s="625" t="str">
        <f>Exposition!S361</f>
        <v/>
      </c>
      <c r="AE360" s="625" t="str">
        <f>Exposition!T361</f>
        <v/>
      </c>
      <c r="AF360" s="625" t="str">
        <f>Exposition!U361</f>
        <v/>
      </c>
      <c r="AG360" s="623"/>
      <c r="AH360" s="621" t="str">
        <f>PRIX!A361</f>
        <v/>
      </c>
      <c r="AI360" s="626" t="str">
        <f>PRIX!B361</f>
        <v/>
      </c>
      <c r="AJ360" s="626" t="str">
        <f>PRIX!C361</f>
        <v/>
      </c>
      <c r="AK360" s="627" t="str">
        <f>PRIX!D361</f>
        <v/>
      </c>
      <c r="AL360" s="626" t="str">
        <f>PRIX!E361</f>
        <v/>
      </c>
      <c r="AM360" s="626" t="str">
        <f>PRIX!F361</f>
        <v/>
      </c>
      <c r="AN360" s="627" t="str">
        <f>PRIX!G361</f>
        <v/>
      </c>
      <c r="AO360" s="627" t="str">
        <f>PRIX!H361</f>
        <v/>
      </c>
      <c r="AP360" s="631" t="str">
        <f>PRIX!I361</f>
        <v/>
      </c>
      <c r="AQ360" s="628" t="str">
        <f>PRIX!J361</f>
        <v/>
      </c>
      <c r="AR360" s="631" t="str">
        <f>PRIX!K361</f>
        <v/>
      </c>
      <c r="AS360" s="631" t="str">
        <f>PRIX!L361</f>
        <v/>
      </c>
      <c r="AT360" s="631" t="str">
        <f>PRIX!M361</f>
        <v/>
      </c>
      <c r="AU360" s="629" t="str">
        <f>PRIX!N361</f>
        <v/>
      </c>
      <c r="AV360" s="631" t="str">
        <f>PRIX!O361</f>
        <v/>
      </c>
      <c r="AW360" s="631" t="str">
        <f>PRIX!P361</f>
        <v/>
      </c>
      <c r="AX360" s="630" t="str">
        <f>PRIX!Q361</f>
        <v/>
      </c>
      <c r="AY360" s="631" t="str">
        <f>PRIX!R361</f>
        <v/>
      </c>
      <c r="AZ360" s="631" t="str">
        <f>PRIX!S361</f>
        <v/>
      </c>
      <c r="BA360" s="623"/>
    </row>
    <row r="361">
      <c r="A361" s="621" t="str">
        <f>ARBITRAGES!E362</f>
        <v/>
      </c>
      <c r="B361" s="623" t="str">
        <f>IF(A361="","",IF(ARBITRAGES!F362="Invest","Achat","Vente"))</f>
        <v/>
      </c>
      <c r="C361" s="623" t="str">
        <f>ARBITRAGES!H362</f>
        <v/>
      </c>
      <c r="D361" s="624" t="str">
        <f>ARBITRAGES!I362</f>
        <v/>
      </c>
      <c r="E361" s="624" t="str">
        <f>ARBITRAGES!J362</f>
        <v/>
      </c>
      <c r="F361" s="623"/>
      <c r="G361" s="623" t="str">
        <f>'PV (%)'!B363</f>
        <v/>
      </c>
      <c r="H361" s="624" t="str">
        <f>'PV (%)'!E363</f>
        <v/>
      </c>
      <c r="I361" s="624" t="str">
        <f>'PV (%)'!F363</f>
        <v/>
      </c>
      <c r="J361" s="623" t="str">
        <f>'PV (%)'!G363</f>
        <v/>
      </c>
      <c r="K361" s="623"/>
      <c r="L361" s="621" t="str">
        <f>Exposition!A362</f>
        <v/>
      </c>
      <c r="M361" s="625" t="str">
        <f>Exposition!B362</f>
        <v/>
      </c>
      <c r="N361" s="625" t="str">
        <f>Exposition!C362</f>
        <v/>
      </c>
      <c r="O361" s="625" t="str">
        <f>Exposition!D362</f>
        <v/>
      </c>
      <c r="P361" s="625" t="str">
        <f>Exposition!E362</f>
        <v/>
      </c>
      <c r="Q361" s="625" t="str">
        <f>Exposition!F362</f>
        <v/>
      </c>
      <c r="R361" s="625" t="str">
        <f>Exposition!G362</f>
        <v/>
      </c>
      <c r="S361" s="625" t="str">
        <f>Exposition!H362</f>
        <v/>
      </c>
      <c r="T361" s="625" t="str">
        <f>Exposition!I362</f>
        <v/>
      </c>
      <c r="U361" s="625" t="str">
        <f>Exposition!J362</f>
        <v/>
      </c>
      <c r="V361" s="625" t="str">
        <f>Exposition!K362</f>
        <v/>
      </c>
      <c r="W361" s="625" t="str">
        <f>Exposition!L362</f>
        <v/>
      </c>
      <c r="X361" s="625" t="str">
        <f>Exposition!M362</f>
        <v/>
      </c>
      <c r="Y361" s="625" t="str">
        <f>Exposition!N362</f>
        <v/>
      </c>
      <c r="Z361" s="625" t="str">
        <f>Exposition!O362</f>
        <v/>
      </c>
      <c r="AA361" s="625" t="str">
        <f>Exposition!P362</f>
        <v/>
      </c>
      <c r="AB361" s="625" t="str">
        <f>Exposition!Q362</f>
        <v/>
      </c>
      <c r="AC361" s="625" t="str">
        <f>Exposition!R362</f>
        <v/>
      </c>
      <c r="AD361" s="625" t="str">
        <f>Exposition!S362</f>
        <v/>
      </c>
      <c r="AE361" s="625" t="str">
        <f>Exposition!T362</f>
        <v/>
      </c>
      <c r="AF361" s="625" t="str">
        <f>Exposition!U362</f>
        <v/>
      </c>
      <c r="AG361" s="623"/>
      <c r="AH361" s="621" t="str">
        <f>PRIX!A362</f>
        <v/>
      </c>
      <c r="AI361" s="626" t="str">
        <f>PRIX!B362</f>
        <v/>
      </c>
      <c r="AJ361" s="626" t="str">
        <f>PRIX!C362</f>
        <v/>
      </c>
      <c r="AK361" s="627" t="str">
        <f>PRIX!D362</f>
        <v/>
      </c>
      <c r="AL361" s="626" t="str">
        <f>PRIX!E362</f>
        <v/>
      </c>
      <c r="AM361" s="626" t="str">
        <f>PRIX!F362</f>
        <v/>
      </c>
      <c r="AN361" s="627" t="str">
        <f>PRIX!G362</f>
        <v/>
      </c>
      <c r="AO361" s="627" t="str">
        <f>PRIX!H362</f>
        <v/>
      </c>
      <c r="AP361" s="631" t="str">
        <f>PRIX!I362</f>
        <v/>
      </c>
      <c r="AQ361" s="628" t="str">
        <f>PRIX!J362</f>
        <v/>
      </c>
      <c r="AR361" s="631" t="str">
        <f>PRIX!K362</f>
        <v/>
      </c>
      <c r="AS361" s="631" t="str">
        <f>PRIX!L362</f>
        <v/>
      </c>
      <c r="AT361" s="631" t="str">
        <f>PRIX!M362</f>
        <v/>
      </c>
      <c r="AU361" s="629" t="str">
        <f>PRIX!N362</f>
        <v/>
      </c>
      <c r="AV361" s="631" t="str">
        <f>PRIX!O362</f>
        <v/>
      </c>
      <c r="AW361" s="631" t="str">
        <f>PRIX!P362</f>
        <v/>
      </c>
      <c r="AX361" s="630" t="str">
        <f>PRIX!Q362</f>
        <v/>
      </c>
      <c r="AY361" s="631" t="str">
        <f>PRIX!R362</f>
        <v/>
      </c>
      <c r="AZ361" s="631" t="str">
        <f>PRIX!S362</f>
        <v/>
      </c>
      <c r="BA361" s="623"/>
    </row>
    <row r="362">
      <c r="A362" s="621" t="str">
        <f>ARBITRAGES!E363</f>
        <v/>
      </c>
      <c r="B362" s="623" t="str">
        <f>IF(A362="","",IF(ARBITRAGES!F363="Invest","Achat","Vente"))</f>
        <v/>
      </c>
      <c r="C362" s="623" t="str">
        <f>ARBITRAGES!H363</f>
        <v/>
      </c>
      <c r="D362" s="624" t="str">
        <f>ARBITRAGES!I363</f>
        <v/>
      </c>
      <c r="E362" s="624" t="str">
        <f>ARBITRAGES!J363</f>
        <v/>
      </c>
      <c r="F362" s="623"/>
      <c r="G362" s="623" t="str">
        <f>'PV (%)'!B364</f>
        <v/>
      </c>
      <c r="H362" s="624" t="str">
        <f>'PV (%)'!E364</f>
        <v/>
      </c>
      <c r="I362" s="624" t="str">
        <f>'PV (%)'!F364</f>
        <v/>
      </c>
      <c r="J362" s="623" t="str">
        <f>'PV (%)'!G364</f>
        <v/>
      </c>
      <c r="K362" s="623"/>
      <c r="L362" s="621" t="str">
        <f>Exposition!A363</f>
        <v/>
      </c>
      <c r="M362" s="625" t="str">
        <f>Exposition!B363</f>
        <v/>
      </c>
      <c r="N362" s="625" t="str">
        <f>Exposition!C363</f>
        <v/>
      </c>
      <c r="O362" s="625" t="str">
        <f>Exposition!D363</f>
        <v/>
      </c>
      <c r="P362" s="625" t="str">
        <f>Exposition!E363</f>
        <v/>
      </c>
      <c r="Q362" s="625" t="str">
        <f>Exposition!F363</f>
        <v/>
      </c>
      <c r="R362" s="625" t="str">
        <f>Exposition!G363</f>
        <v/>
      </c>
      <c r="S362" s="625" t="str">
        <f>Exposition!H363</f>
        <v/>
      </c>
      <c r="T362" s="625" t="str">
        <f>Exposition!I363</f>
        <v/>
      </c>
      <c r="U362" s="625" t="str">
        <f>Exposition!J363</f>
        <v/>
      </c>
      <c r="V362" s="625" t="str">
        <f>Exposition!K363</f>
        <v/>
      </c>
      <c r="W362" s="625" t="str">
        <f>Exposition!L363</f>
        <v/>
      </c>
      <c r="X362" s="625" t="str">
        <f>Exposition!M363</f>
        <v/>
      </c>
      <c r="Y362" s="625" t="str">
        <f>Exposition!N363</f>
        <v/>
      </c>
      <c r="Z362" s="625" t="str">
        <f>Exposition!O363</f>
        <v/>
      </c>
      <c r="AA362" s="625" t="str">
        <f>Exposition!P363</f>
        <v/>
      </c>
      <c r="AB362" s="625" t="str">
        <f>Exposition!Q363</f>
        <v/>
      </c>
      <c r="AC362" s="625" t="str">
        <f>Exposition!R363</f>
        <v/>
      </c>
      <c r="AD362" s="625" t="str">
        <f>Exposition!S363</f>
        <v/>
      </c>
      <c r="AE362" s="625" t="str">
        <f>Exposition!T363</f>
        <v/>
      </c>
      <c r="AF362" s="625" t="str">
        <f>Exposition!U363</f>
        <v/>
      </c>
      <c r="AG362" s="623"/>
      <c r="AH362" s="621" t="str">
        <f>PRIX!A363</f>
        <v/>
      </c>
      <c r="AI362" s="626" t="str">
        <f>PRIX!B363</f>
        <v/>
      </c>
      <c r="AJ362" s="626" t="str">
        <f>PRIX!C363</f>
        <v/>
      </c>
      <c r="AK362" s="627" t="str">
        <f>PRIX!D363</f>
        <v/>
      </c>
      <c r="AL362" s="626" t="str">
        <f>PRIX!E363</f>
        <v/>
      </c>
      <c r="AM362" s="626" t="str">
        <f>PRIX!F363</f>
        <v/>
      </c>
      <c r="AN362" s="627" t="str">
        <f>PRIX!G363</f>
        <v/>
      </c>
      <c r="AO362" s="627" t="str">
        <f>PRIX!H363</f>
        <v/>
      </c>
      <c r="AP362" s="631" t="str">
        <f>PRIX!I363</f>
        <v/>
      </c>
      <c r="AQ362" s="628" t="str">
        <f>PRIX!J363</f>
        <v/>
      </c>
      <c r="AR362" s="631" t="str">
        <f>PRIX!K363</f>
        <v/>
      </c>
      <c r="AS362" s="631" t="str">
        <f>PRIX!L363</f>
        <v/>
      </c>
      <c r="AT362" s="631" t="str">
        <f>PRIX!M363</f>
        <v/>
      </c>
      <c r="AU362" s="629" t="str">
        <f>PRIX!N363</f>
        <v/>
      </c>
      <c r="AV362" s="631" t="str">
        <f>PRIX!O363</f>
        <v/>
      </c>
      <c r="AW362" s="631" t="str">
        <f>PRIX!P363</f>
        <v/>
      </c>
      <c r="AX362" s="630" t="str">
        <f>PRIX!Q363</f>
        <v/>
      </c>
      <c r="AY362" s="631" t="str">
        <f>PRIX!R363</f>
        <v/>
      </c>
      <c r="AZ362" s="631" t="str">
        <f>PRIX!S363</f>
        <v/>
      </c>
      <c r="BA362" s="623"/>
    </row>
    <row r="363">
      <c r="A363" s="621" t="str">
        <f>ARBITRAGES!E364</f>
        <v/>
      </c>
      <c r="B363" s="623" t="str">
        <f>IF(A363="","",IF(ARBITRAGES!F364="Invest","Achat","Vente"))</f>
        <v/>
      </c>
      <c r="C363" s="623" t="str">
        <f>ARBITRAGES!H364</f>
        <v/>
      </c>
      <c r="D363" s="624" t="str">
        <f>ARBITRAGES!I364</f>
        <v/>
      </c>
      <c r="E363" s="624" t="str">
        <f>ARBITRAGES!J364</f>
        <v/>
      </c>
      <c r="F363" s="623"/>
      <c r="G363" s="623" t="str">
        <f>'PV (%)'!B365</f>
        <v/>
      </c>
      <c r="H363" s="624" t="str">
        <f>'PV (%)'!E365</f>
        <v/>
      </c>
      <c r="I363" s="624" t="str">
        <f>'PV (%)'!F365</f>
        <v/>
      </c>
      <c r="J363" s="623" t="str">
        <f>'PV (%)'!G365</f>
        <v/>
      </c>
      <c r="K363" s="623"/>
      <c r="L363" s="621" t="str">
        <f>Exposition!A364</f>
        <v/>
      </c>
      <c r="M363" s="625" t="str">
        <f>Exposition!B364</f>
        <v/>
      </c>
      <c r="N363" s="625" t="str">
        <f>Exposition!C364</f>
        <v/>
      </c>
      <c r="O363" s="625" t="str">
        <f>Exposition!D364</f>
        <v/>
      </c>
      <c r="P363" s="625" t="str">
        <f>Exposition!E364</f>
        <v/>
      </c>
      <c r="Q363" s="625" t="str">
        <f>Exposition!F364</f>
        <v/>
      </c>
      <c r="R363" s="625" t="str">
        <f>Exposition!G364</f>
        <v/>
      </c>
      <c r="S363" s="625" t="str">
        <f>Exposition!H364</f>
        <v/>
      </c>
      <c r="T363" s="625" t="str">
        <f>Exposition!I364</f>
        <v/>
      </c>
      <c r="U363" s="625" t="str">
        <f>Exposition!J364</f>
        <v/>
      </c>
      <c r="V363" s="625" t="str">
        <f>Exposition!K364</f>
        <v/>
      </c>
      <c r="W363" s="625" t="str">
        <f>Exposition!L364</f>
        <v/>
      </c>
      <c r="X363" s="625" t="str">
        <f>Exposition!M364</f>
        <v/>
      </c>
      <c r="Y363" s="625" t="str">
        <f>Exposition!N364</f>
        <v/>
      </c>
      <c r="Z363" s="625" t="str">
        <f>Exposition!O364</f>
        <v/>
      </c>
      <c r="AA363" s="625" t="str">
        <f>Exposition!P364</f>
        <v/>
      </c>
      <c r="AB363" s="625" t="str">
        <f>Exposition!Q364</f>
        <v/>
      </c>
      <c r="AC363" s="625" t="str">
        <f>Exposition!R364</f>
        <v/>
      </c>
      <c r="AD363" s="625" t="str">
        <f>Exposition!S364</f>
        <v/>
      </c>
      <c r="AE363" s="625" t="str">
        <f>Exposition!T364</f>
        <v/>
      </c>
      <c r="AF363" s="625" t="str">
        <f>Exposition!U364</f>
        <v/>
      </c>
      <c r="AG363" s="623"/>
      <c r="AH363" s="621" t="str">
        <f>PRIX!A364</f>
        <v/>
      </c>
      <c r="AI363" s="626" t="str">
        <f>PRIX!B364</f>
        <v/>
      </c>
      <c r="AJ363" s="626" t="str">
        <f>PRIX!C364</f>
        <v/>
      </c>
      <c r="AK363" s="627" t="str">
        <f>PRIX!D364</f>
        <v/>
      </c>
      <c r="AL363" s="626" t="str">
        <f>PRIX!E364</f>
        <v/>
      </c>
      <c r="AM363" s="626" t="str">
        <f>PRIX!F364</f>
        <v/>
      </c>
      <c r="AN363" s="627" t="str">
        <f>PRIX!G364</f>
        <v/>
      </c>
      <c r="AO363" s="627" t="str">
        <f>PRIX!H364</f>
        <v/>
      </c>
      <c r="AP363" s="631" t="str">
        <f>PRIX!I364</f>
        <v/>
      </c>
      <c r="AQ363" s="628" t="str">
        <f>PRIX!J364</f>
        <v/>
      </c>
      <c r="AR363" s="631" t="str">
        <f>PRIX!K364</f>
        <v/>
      </c>
      <c r="AS363" s="631" t="str">
        <f>PRIX!L364</f>
        <v/>
      </c>
      <c r="AT363" s="631" t="str">
        <f>PRIX!M364</f>
        <v/>
      </c>
      <c r="AU363" s="629" t="str">
        <f>PRIX!N364</f>
        <v/>
      </c>
      <c r="AV363" s="631" t="str">
        <f>PRIX!O364</f>
        <v/>
      </c>
      <c r="AW363" s="631" t="str">
        <f>PRIX!P364</f>
        <v/>
      </c>
      <c r="AX363" s="630" t="str">
        <f>PRIX!Q364</f>
        <v/>
      </c>
      <c r="AY363" s="631" t="str">
        <f>PRIX!R364</f>
        <v/>
      </c>
      <c r="AZ363" s="631" t="str">
        <f>PRIX!S364</f>
        <v/>
      </c>
      <c r="BA363" s="623"/>
    </row>
    <row r="364">
      <c r="A364" s="621" t="str">
        <f>ARBITRAGES!E365</f>
        <v/>
      </c>
      <c r="B364" s="623" t="str">
        <f>IF(A364="","",IF(ARBITRAGES!F365="Invest","Achat","Vente"))</f>
        <v/>
      </c>
      <c r="C364" s="623" t="str">
        <f>ARBITRAGES!H365</f>
        <v/>
      </c>
      <c r="D364" s="624" t="str">
        <f>ARBITRAGES!I365</f>
        <v/>
      </c>
      <c r="E364" s="624" t="str">
        <f>ARBITRAGES!J365</f>
        <v/>
      </c>
      <c r="F364" s="623"/>
      <c r="G364" s="623" t="str">
        <f>'PV (%)'!B366</f>
        <v/>
      </c>
      <c r="H364" s="624" t="str">
        <f>'PV (%)'!E366</f>
        <v/>
      </c>
      <c r="I364" s="624" t="str">
        <f>'PV (%)'!F366</f>
        <v/>
      </c>
      <c r="J364" s="623" t="str">
        <f>'PV (%)'!G366</f>
        <v/>
      </c>
      <c r="K364" s="623"/>
      <c r="L364" s="621" t="str">
        <f>Exposition!A365</f>
        <v/>
      </c>
      <c r="M364" s="625" t="str">
        <f>Exposition!B365</f>
        <v/>
      </c>
      <c r="N364" s="625" t="str">
        <f>Exposition!C365</f>
        <v/>
      </c>
      <c r="O364" s="625" t="str">
        <f>Exposition!D365</f>
        <v/>
      </c>
      <c r="P364" s="625" t="str">
        <f>Exposition!E365</f>
        <v/>
      </c>
      <c r="Q364" s="625" t="str">
        <f>Exposition!F365</f>
        <v/>
      </c>
      <c r="R364" s="625" t="str">
        <f>Exposition!G365</f>
        <v/>
      </c>
      <c r="S364" s="625" t="str">
        <f>Exposition!H365</f>
        <v/>
      </c>
      <c r="T364" s="625" t="str">
        <f>Exposition!I365</f>
        <v/>
      </c>
      <c r="U364" s="625" t="str">
        <f>Exposition!J365</f>
        <v/>
      </c>
      <c r="V364" s="625" t="str">
        <f>Exposition!K365</f>
        <v/>
      </c>
      <c r="W364" s="625" t="str">
        <f>Exposition!L365</f>
        <v/>
      </c>
      <c r="X364" s="625" t="str">
        <f>Exposition!M365</f>
        <v/>
      </c>
      <c r="Y364" s="625" t="str">
        <f>Exposition!N365</f>
        <v/>
      </c>
      <c r="Z364" s="625" t="str">
        <f>Exposition!O365</f>
        <v/>
      </c>
      <c r="AA364" s="625" t="str">
        <f>Exposition!P365</f>
        <v/>
      </c>
      <c r="AB364" s="625" t="str">
        <f>Exposition!Q365</f>
        <v/>
      </c>
      <c r="AC364" s="625" t="str">
        <f>Exposition!R365</f>
        <v/>
      </c>
      <c r="AD364" s="625" t="str">
        <f>Exposition!S365</f>
        <v/>
      </c>
      <c r="AE364" s="625" t="str">
        <f>Exposition!T365</f>
        <v/>
      </c>
      <c r="AF364" s="625" t="str">
        <f>Exposition!U365</f>
        <v/>
      </c>
      <c r="AG364" s="623"/>
      <c r="AH364" s="621" t="str">
        <f>PRIX!A365</f>
        <v/>
      </c>
      <c r="AI364" s="626" t="str">
        <f>PRIX!B365</f>
        <v/>
      </c>
      <c r="AJ364" s="626" t="str">
        <f>PRIX!C365</f>
        <v/>
      </c>
      <c r="AK364" s="627" t="str">
        <f>PRIX!D365</f>
        <v/>
      </c>
      <c r="AL364" s="626" t="str">
        <f>PRIX!E365</f>
        <v/>
      </c>
      <c r="AM364" s="626" t="str">
        <f>PRIX!F365</f>
        <v/>
      </c>
      <c r="AN364" s="627" t="str">
        <f>PRIX!G365</f>
        <v/>
      </c>
      <c r="AO364" s="627" t="str">
        <f>PRIX!H365</f>
        <v/>
      </c>
      <c r="AP364" s="631" t="str">
        <f>PRIX!I365</f>
        <v/>
      </c>
      <c r="AQ364" s="628" t="str">
        <f>PRIX!J365</f>
        <v/>
      </c>
      <c r="AR364" s="631" t="str">
        <f>PRIX!K365</f>
        <v/>
      </c>
      <c r="AS364" s="631" t="str">
        <f>PRIX!L365</f>
        <v/>
      </c>
      <c r="AT364" s="631" t="str">
        <f>PRIX!M365</f>
        <v/>
      </c>
      <c r="AU364" s="629" t="str">
        <f>PRIX!N365</f>
        <v/>
      </c>
      <c r="AV364" s="631" t="str">
        <f>PRIX!O365</f>
        <v/>
      </c>
      <c r="AW364" s="631" t="str">
        <f>PRIX!P365</f>
        <v/>
      </c>
      <c r="AX364" s="630" t="str">
        <f>PRIX!Q365</f>
        <v/>
      </c>
      <c r="AY364" s="631" t="str">
        <f>PRIX!R365</f>
        <v/>
      </c>
      <c r="AZ364" s="631" t="str">
        <f>PRIX!S365</f>
        <v/>
      </c>
      <c r="BA364" s="623"/>
    </row>
    <row r="365">
      <c r="A365" s="621" t="str">
        <f>ARBITRAGES!E366</f>
        <v/>
      </c>
      <c r="B365" s="623" t="str">
        <f>IF(A365="","",IF(ARBITRAGES!F366="Invest","Achat","Vente"))</f>
        <v/>
      </c>
      <c r="C365" s="623" t="str">
        <f>ARBITRAGES!H366</f>
        <v/>
      </c>
      <c r="D365" s="624" t="str">
        <f>ARBITRAGES!I366</f>
        <v/>
      </c>
      <c r="E365" s="624" t="str">
        <f>ARBITRAGES!J366</f>
        <v/>
      </c>
      <c r="F365" s="623"/>
      <c r="G365" s="623" t="str">
        <f>'PV (%)'!B367</f>
        <v/>
      </c>
      <c r="H365" s="624" t="str">
        <f>'PV (%)'!E367</f>
        <v/>
      </c>
      <c r="I365" s="624" t="str">
        <f>'PV (%)'!F367</f>
        <v/>
      </c>
      <c r="J365" s="623" t="str">
        <f>'PV (%)'!G367</f>
        <v/>
      </c>
      <c r="K365" s="623"/>
      <c r="L365" s="621" t="str">
        <f>Exposition!A366</f>
        <v/>
      </c>
      <c r="M365" s="625" t="str">
        <f>Exposition!B366</f>
        <v/>
      </c>
      <c r="N365" s="625" t="str">
        <f>Exposition!C366</f>
        <v/>
      </c>
      <c r="O365" s="625" t="str">
        <f>Exposition!D366</f>
        <v/>
      </c>
      <c r="P365" s="625" t="str">
        <f>Exposition!E366</f>
        <v/>
      </c>
      <c r="Q365" s="625" t="str">
        <f>Exposition!F366</f>
        <v/>
      </c>
      <c r="R365" s="625" t="str">
        <f>Exposition!G366</f>
        <v/>
      </c>
      <c r="S365" s="625" t="str">
        <f>Exposition!H366</f>
        <v/>
      </c>
      <c r="T365" s="625" t="str">
        <f>Exposition!I366</f>
        <v/>
      </c>
      <c r="U365" s="625" t="str">
        <f>Exposition!J366</f>
        <v/>
      </c>
      <c r="V365" s="625" t="str">
        <f>Exposition!K366</f>
        <v/>
      </c>
      <c r="W365" s="625" t="str">
        <f>Exposition!L366</f>
        <v/>
      </c>
      <c r="X365" s="625" t="str">
        <f>Exposition!M366</f>
        <v/>
      </c>
      <c r="Y365" s="625" t="str">
        <f>Exposition!N366</f>
        <v/>
      </c>
      <c r="Z365" s="625" t="str">
        <f>Exposition!O366</f>
        <v/>
      </c>
      <c r="AA365" s="625" t="str">
        <f>Exposition!P366</f>
        <v/>
      </c>
      <c r="AB365" s="625" t="str">
        <f>Exposition!Q366</f>
        <v/>
      </c>
      <c r="AC365" s="625" t="str">
        <f>Exposition!R366</f>
        <v/>
      </c>
      <c r="AD365" s="625" t="str">
        <f>Exposition!S366</f>
        <v/>
      </c>
      <c r="AE365" s="625" t="str">
        <f>Exposition!T366</f>
        <v/>
      </c>
      <c r="AF365" s="625" t="str">
        <f>Exposition!U366</f>
        <v/>
      </c>
      <c r="AG365" s="623"/>
      <c r="AH365" s="621" t="str">
        <f>PRIX!A366</f>
        <v/>
      </c>
      <c r="AI365" s="626" t="str">
        <f>PRIX!B366</f>
        <v/>
      </c>
      <c r="AJ365" s="626" t="str">
        <f>PRIX!C366</f>
        <v/>
      </c>
      <c r="AK365" s="627" t="str">
        <f>PRIX!D366</f>
        <v/>
      </c>
      <c r="AL365" s="626" t="str">
        <f>PRIX!E366</f>
        <v/>
      </c>
      <c r="AM365" s="626" t="str">
        <f>PRIX!F366</f>
        <v/>
      </c>
      <c r="AN365" s="627" t="str">
        <f>PRIX!G366</f>
        <v/>
      </c>
      <c r="AO365" s="627" t="str">
        <f>PRIX!H366</f>
        <v/>
      </c>
      <c r="AP365" s="631" t="str">
        <f>PRIX!I366</f>
        <v/>
      </c>
      <c r="AQ365" s="628" t="str">
        <f>PRIX!J366</f>
        <v/>
      </c>
      <c r="AR365" s="631" t="str">
        <f>PRIX!K366</f>
        <v/>
      </c>
      <c r="AS365" s="631" t="str">
        <f>PRIX!L366</f>
        <v/>
      </c>
      <c r="AT365" s="631" t="str">
        <f>PRIX!M366</f>
        <v/>
      </c>
      <c r="AU365" s="629" t="str">
        <f>PRIX!N366</f>
        <v/>
      </c>
      <c r="AV365" s="631" t="str">
        <f>PRIX!O366</f>
        <v/>
      </c>
      <c r="AW365" s="631" t="str">
        <f>PRIX!P366</f>
        <v/>
      </c>
      <c r="AX365" s="630" t="str">
        <f>PRIX!Q366</f>
        <v/>
      </c>
      <c r="AY365" s="631" t="str">
        <f>PRIX!R366</f>
        <v/>
      </c>
      <c r="AZ365" s="631" t="str">
        <f>PRIX!S366</f>
        <v/>
      </c>
      <c r="BA365" s="623"/>
    </row>
    <row r="366">
      <c r="A366" s="621" t="str">
        <f>ARBITRAGES!E367</f>
        <v/>
      </c>
      <c r="B366" s="623" t="str">
        <f>IF(A366="","",IF(ARBITRAGES!F367="Invest","Achat","Vente"))</f>
        <v/>
      </c>
      <c r="C366" s="623" t="str">
        <f>ARBITRAGES!H367</f>
        <v/>
      </c>
      <c r="D366" s="624" t="str">
        <f>ARBITRAGES!I367</f>
        <v/>
      </c>
      <c r="E366" s="624" t="str">
        <f>ARBITRAGES!J367</f>
        <v/>
      </c>
      <c r="F366" s="623"/>
      <c r="G366" s="623" t="str">
        <f>'PV (%)'!B368</f>
        <v/>
      </c>
      <c r="H366" s="624" t="str">
        <f>'PV (%)'!E368</f>
        <v/>
      </c>
      <c r="I366" s="624" t="str">
        <f>'PV (%)'!F368</f>
        <v/>
      </c>
      <c r="J366" s="623" t="str">
        <f>'PV (%)'!G368</f>
        <v/>
      </c>
      <c r="K366" s="623"/>
      <c r="L366" s="621" t="str">
        <f>Exposition!A367</f>
        <v/>
      </c>
      <c r="M366" s="625" t="str">
        <f>Exposition!B367</f>
        <v/>
      </c>
      <c r="N366" s="625" t="str">
        <f>Exposition!C367</f>
        <v/>
      </c>
      <c r="O366" s="625" t="str">
        <f>Exposition!D367</f>
        <v/>
      </c>
      <c r="P366" s="625" t="str">
        <f>Exposition!E367</f>
        <v/>
      </c>
      <c r="Q366" s="625" t="str">
        <f>Exposition!F367</f>
        <v/>
      </c>
      <c r="R366" s="625" t="str">
        <f>Exposition!G367</f>
        <v/>
      </c>
      <c r="S366" s="625" t="str">
        <f>Exposition!H367</f>
        <v/>
      </c>
      <c r="T366" s="625" t="str">
        <f>Exposition!I367</f>
        <v/>
      </c>
      <c r="U366" s="625" t="str">
        <f>Exposition!J367</f>
        <v/>
      </c>
      <c r="V366" s="625" t="str">
        <f>Exposition!K367</f>
        <v/>
      </c>
      <c r="W366" s="625" t="str">
        <f>Exposition!L367</f>
        <v/>
      </c>
      <c r="X366" s="625" t="str">
        <f>Exposition!M367</f>
        <v/>
      </c>
      <c r="Y366" s="625" t="str">
        <f>Exposition!N367</f>
        <v/>
      </c>
      <c r="Z366" s="625" t="str">
        <f>Exposition!O367</f>
        <v/>
      </c>
      <c r="AA366" s="625" t="str">
        <f>Exposition!P367</f>
        <v/>
      </c>
      <c r="AB366" s="625" t="str">
        <f>Exposition!Q367</f>
        <v/>
      </c>
      <c r="AC366" s="625" t="str">
        <f>Exposition!R367</f>
        <v/>
      </c>
      <c r="AD366" s="625" t="str">
        <f>Exposition!S367</f>
        <v/>
      </c>
      <c r="AE366" s="625" t="str">
        <f>Exposition!T367</f>
        <v/>
      </c>
      <c r="AF366" s="625" t="str">
        <f>Exposition!U367</f>
        <v/>
      </c>
      <c r="AG366" s="623"/>
      <c r="AH366" s="621" t="str">
        <f>PRIX!A367</f>
        <v/>
      </c>
      <c r="AI366" s="626" t="str">
        <f>PRIX!B367</f>
        <v/>
      </c>
      <c r="AJ366" s="626" t="str">
        <f>PRIX!C367</f>
        <v/>
      </c>
      <c r="AK366" s="627" t="str">
        <f>PRIX!D367</f>
        <v/>
      </c>
      <c r="AL366" s="626" t="str">
        <f>PRIX!E367</f>
        <v/>
      </c>
      <c r="AM366" s="626" t="str">
        <f>PRIX!F367</f>
        <v/>
      </c>
      <c r="AN366" s="627" t="str">
        <f>PRIX!G367</f>
        <v/>
      </c>
      <c r="AO366" s="627" t="str">
        <f>PRIX!H367</f>
        <v/>
      </c>
      <c r="AP366" s="631" t="str">
        <f>PRIX!I367</f>
        <v/>
      </c>
      <c r="AQ366" s="628" t="str">
        <f>PRIX!J367</f>
        <v/>
      </c>
      <c r="AR366" s="631" t="str">
        <f>PRIX!K367</f>
        <v/>
      </c>
      <c r="AS366" s="631" t="str">
        <f>PRIX!L367</f>
        <v/>
      </c>
      <c r="AT366" s="631" t="str">
        <f>PRIX!M367</f>
        <v/>
      </c>
      <c r="AU366" s="629" t="str">
        <f>PRIX!N367</f>
        <v/>
      </c>
      <c r="AV366" s="631" t="str">
        <f>PRIX!O367</f>
        <v/>
      </c>
      <c r="AW366" s="631" t="str">
        <f>PRIX!P367</f>
        <v/>
      </c>
      <c r="AX366" s="630" t="str">
        <f>PRIX!Q367</f>
        <v/>
      </c>
      <c r="AY366" s="631" t="str">
        <f>PRIX!R367</f>
        <v/>
      </c>
      <c r="AZ366" s="631" t="str">
        <f>PRIX!S367</f>
        <v/>
      </c>
      <c r="BA366" s="623"/>
    </row>
    <row r="367">
      <c r="A367" s="621" t="str">
        <f>ARBITRAGES!E368</f>
        <v/>
      </c>
      <c r="B367" s="623" t="str">
        <f>IF(A367="","",IF(ARBITRAGES!F368="Invest","Achat","Vente"))</f>
        <v/>
      </c>
      <c r="C367" s="623" t="str">
        <f>ARBITRAGES!H368</f>
        <v/>
      </c>
      <c r="D367" s="624" t="str">
        <f>ARBITRAGES!I368</f>
        <v/>
      </c>
      <c r="E367" s="624" t="str">
        <f>ARBITRAGES!J368</f>
        <v/>
      </c>
      <c r="F367" s="623"/>
      <c r="G367" s="623" t="str">
        <f>'PV (%)'!B369</f>
        <v/>
      </c>
      <c r="H367" s="624" t="str">
        <f>'PV (%)'!E369</f>
        <v/>
      </c>
      <c r="I367" s="624" t="str">
        <f>'PV (%)'!F369</f>
        <v/>
      </c>
      <c r="J367" s="623" t="str">
        <f>'PV (%)'!G369</f>
        <v/>
      </c>
      <c r="K367" s="623"/>
      <c r="L367" s="621" t="str">
        <f>Exposition!A368</f>
        <v/>
      </c>
      <c r="M367" s="625" t="str">
        <f>Exposition!B368</f>
        <v/>
      </c>
      <c r="N367" s="625" t="str">
        <f>Exposition!C368</f>
        <v/>
      </c>
      <c r="O367" s="625" t="str">
        <f>Exposition!D368</f>
        <v/>
      </c>
      <c r="P367" s="625" t="str">
        <f>Exposition!E368</f>
        <v/>
      </c>
      <c r="Q367" s="625" t="str">
        <f>Exposition!F368</f>
        <v/>
      </c>
      <c r="R367" s="625" t="str">
        <f>Exposition!G368</f>
        <v/>
      </c>
      <c r="S367" s="625" t="str">
        <f>Exposition!H368</f>
        <v/>
      </c>
      <c r="T367" s="625" t="str">
        <f>Exposition!I368</f>
        <v/>
      </c>
      <c r="U367" s="625" t="str">
        <f>Exposition!J368</f>
        <v/>
      </c>
      <c r="V367" s="625" t="str">
        <f>Exposition!K368</f>
        <v/>
      </c>
      <c r="W367" s="625" t="str">
        <f>Exposition!L368</f>
        <v/>
      </c>
      <c r="X367" s="625" t="str">
        <f>Exposition!M368</f>
        <v/>
      </c>
      <c r="Y367" s="625" t="str">
        <f>Exposition!N368</f>
        <v/>
      </c>
      <c r="Z367" s="625" t="str">
        <f>Exposition!O368</f>
        <v/>
      </c>
      <c r="AA367" s="625" t="str">
        <f>Exposition!P368</f>
        <v/>
      </c>
      <c r="AB367" s="625" t="str">
        <f>Exposition!Q368</f>
        <v/>
      </c>
      <c r="AC367" s="625" t="str">
        <f>Exposition!R368</f>
        <v/>
      </c>
      <c r="AD367" s="625" t="str">
        <f>Exposition!S368</f>
        <v/>
      </c>
      <c r="AE367" s="625" t="str">
        <f>Exposition!T368</f>
        <v/>
      </c>
      <c r="AF367" s="625" t="str">
        <f>Exposition!U368</f>
        <v/>
      </c>
      <c r="AG367" s="623"/>
      <c r="AH367" s="621" t="str">
        <f>PRIX!A368</f>
        <v/>
      </c>
      <c r="AI367" s="626" t="str">
        <f>PRIX!B368</f>
        <v/>
      </c>
      <c r="AJ367" s="626" t="str">
        <f>PRIX!C368</f>
        <v/>
      </c>
      <c r="AK367" s="627" t="str">
        <f>PRIX!D368</f>
        <v/>
      </c>
      <c r="AL367" s="626" t="str">
        <f>PRIX!E368</f>
        <v/>
      </c>
      <c r="AM367" s="626" t="str">
        <f>PRIX!F368</f>
        <v/>
      </c>
      <c r="AN367" s="627" t="str">
        <f>PRIX!G368</f>
        <v/>
      </c>
      <c r="AO367" s="627" t="str">
        <f>PRIX!H368</f>
        <v/>
      </c>
      <c r="AP367" s="631" t="str">
        <f>PRIX!I368</f>
        <v/>
      </c>
      <c r="AQ367" s="628" t="str">
        <f>PRIX!J368</f>
        <v/>
      </c>
      <c r="AR367" s="631" t="str">
        <f>PRIX!K368</f>
        <v/>
      </c>
      <c r="AS367" s="631" t="str">
        <f>PRIX!L368</f>
        <v/>
      </c>
      <c r="AT367" s="631" t="str">
        <f>PRIX!M368</f>
        <v/>
      </c>
      <c r="AU367" s="629" t="str">
        <f>PRIX!N368</f>
        <v/>
      </c>
      <c r="AV367" s="631" t="str">
        <f>PRIX!O368</f>
        <v/>
      </c>
      <c r="AW367" s="631" t="str">
        <f>PRIX!P368</f>
        <v/>
      </c>
      <c r="AX367" s="630" t="str">
        <f>PRIX!Q368</f>
        <v/>
      </c>
      <c r="AY367" s="631" t="str">
        <f>PRIX!R368</f>
        <v/>
      </c>
      <c r="AZ367" s="631" t="str">
        <f>PRIX!S368</f>
        <v/>
      </c>
      <c r="BA367" s="623"/>
    </row>
    <row r="368">
      <c r="A368" s="621" t="str">
        <f>ARBITRAGES!E369</f>
        <v/>
      </c>
      <c r="B368" s="623" t="str">
        <f>IF(A368="","",IF(ARBITRAGES!F369="Invest","Achat","Vente"))</f>
        <v/>
      </c>
      <c r="C368" s="623" t="str">
        <f>ARBITRAGES!H369</f>
        <v/>
      </c>
      <c r="D368" s="624" t="str">
        <f>ARBITRAGES!I369</f>
        <v/>
      </c>
      <c r="E368" s="624" t="str">
        <f>ARBITRAGES!J369</f>
        <v/>
      </c>
      <c r="F368" s="623"/>
      <c r="G368" s="623" t="str">
        <f>'PV (%)'!B370</f>
        <v/>
      </c>
      <c r="H368" s="624" t="str">
        <f>'PV (%)'!E370</f>
        <v/>
      </c>
      <c r="I368" s="624" t="str">
        <f>'PV (%)'!F370</f>
        <v/>
      </c>
      <c r="J368" s="623" t="str">
        <f>'PV (%)'!G370</f>
        <v/>
      </c>
      <c r="K368" s="623"/>
      <c r="L368" s="621" t="str">
        <f>Exposition!A369</f>
        <v/>
      </c>
      <c r="M368" s="625" t="str">
        <f>Exposition!B369</f>
        <v/>
      </c>
      <c r="N368" s="625" t="str">
        <f>Exposition!C369</f>
        <v/>
      </c>
      <c r="O368" s="625" t="str">
        <f>Exposition!D369</f>
        <v/>
      </c>
      <c r="P368" s="625" t="str">
        <f>Exposition!E369</f>
        <v/>
      </c>
      <c r="Q368" s="625" t="str">
        <f>Exposition!F369</f>
        <v/>
      </c>
      <c r="R368" s="625" t="str">
        <f>Exposition!G369</f>
        <v/>
      </c>
      <c r="S368" s="625" t="str">
        <f>Exposition!H369</f>
        <v/>
      </c>
      <c r="T368" s="625" t="str">
        <f>Exposition!I369</f>
        <v/>
      </c>
      <c r="U368" s="625" t="str">
        <f>Exposition!J369</f>
        <v/>
      </c>
      <c r="V368" s="625" t="str">
        <f>Exposition!K369</f>
        <v/>
      </c>
      <c r="W368" s="625" t="str">
        <f>Exposition!L369</f>
        <v/>
      </c>
      <c r="X368" s="625" t="str">
        <f>Exposition!M369</f>
        <v/>
      </c>
      <c r="Y368" s="625" t="str">
        <f>Exposition!N369</f>
        <v/>
      </c>
      <c r="Z368" s="625" t="str">
        <f>Exposition!O369</f>
        <v/>
      </c>
      <c r="AA368" s="625" t="str">
        <f>Exposition!P369</f>
        <v/>
      </c>
      <c r="AB368" s="625" t="str">
        <f>Exposition!Q369</f>
        <v/>
      </c>
      <c r="AC368" s="625" t="str">
        <f>Exposition!R369</f>
        <v/>
      </c>
      <c r="AD368" s="625" t="str">
        <f>Exposition!S369</f>
        <v/>
      </c>
      <c r="AE368" s="625" t="str">
        <f>Exposition!T369</f>
        <v/>
      </c>
      <c r="AF368" s="625" t="str">
        <f>Exposition!U369</f>
        <v/>
      </c>
      <c r="AG368" s="623"/>
      <c r="AH368" s="621" t="str">
        <f>PRIX!A369</f>
        <v/>
      </c>
      <c r="AI368" s="626" t="str">
        <f>PRIX!B369</f>
        <v/>
      </c>
      <c r="AJ368" s="626" t="str">
        <f>PRIX!C369</f>
        <v/>
      </c>
      <c r="AK368" s="627" t="str">
        <f>PRIX!D369</f>
        <v/>
      </c>
      <c r="AL368" s="626" t="str">
        <f>PRIX!E369</f>
        <v/>
      </c>
      <c r="AM368" s="626" t="str">
        <f>PRIX!F369</f>
        <v/>
      </c>
      <c r="AN368" s="627" t="str">
        <f>PRIX!G369</f>
        <v/>
      </c>
      <c r="AO368" s="627" t="str">
        <f>PRIX!H369</f>
        <v/>
      </c>
      <c r="AP368" s="631" t="str">
        <f>PRIX!I369</f>
        <v/>
      </c>
      <c r="AQ368" s="628" t="str">
        <f>PRIX!J369</f>
        <v/>
      </c>
      <c r="AR368" s="631" t="str">
        <f>PRIX!K369</f>
        <v/>
      </c>
      <c r="AS368" s="631" t="str">
        <f>PRIX!L369</f>
        <v/>
      </c>
      <c r="AT368" s="631" t="str">
        <f>PRIX!M369</f>
        <v/>
      </c>
      <c r="AU368" s="629" t="str">
        <f>PRIX!N369</f>
        <v/>
      </c>
      <c r="AV368" s="631" t="str">
        <f>PRIX!O369</f>
        <v/>
      </c>
      <c r="AW368" s="631" t="str">
        <f>PRIX!P369</f>
        <v/>
      </c>
      <c r="AX368" s="630" t="str">
        <f>PRIX!Q369</f>
        <v/>
      </c>
      <c r="AY368" s="631" t="str">
        <f>PRIX!R369</f>
        <v/>
      </c>
      <c r="AZ368" s="631" t="str">
        <f>PRIX!S369</f>
        <v/>
      </c>
      <c r="BA368" s="623"/>
    </row>
    <row r="369">
      <c r="A369" s="621" t="str">
        <f>ARBITRAGES!E370</f>
        <v/>
      </c>
      <c r="B369" s="623" t="str">
        <f>IF(A369="","",IF(ARBITRAGES!F370="Invest","Achat","Vente"))</f>
        <v/>
      </c>
      <c r="C369" s="623" t="str">
        <f>ARBITRAGES!H370</f>
        <v/>
      </c>
      <c r="D369" s="624" t="str">
        <f>ARBITRAGES!I370</f>
        <v/>
      </c>
      <c r="E369" s="624" t="str">
        <f>ARBITRAGES!J370</f>
        <v/>
      </c>
      <c r="F369" s="623"/>
      <c r="G369" s="623" t="str">
        <f>'PV (%)'!B371</f>
        <v/>
      </c>
      <c r="H369" s="624" t="str">
        <f>'PV (%)'!E371</f>
        <v/>
      </c>
      <c r="I369" s="624" t="str">
        <f>'PV (%)'!F371</f>
        <v/>
      </c>
      <c r="J369" s="623" t="str">
        <f>'PV (%)'!G371</f>
        <v/>
      </c>
      <c r="K369" s="623"/>
      <c r="L369" s="621" t="str">
        <f>Exposition!A370</f>
        <v/>
      </c>
      <c r="M369" s="625" t="str">
        <f>Exposition!B370</f>
        <v/>
      </c>
      <c r="N369" s="625" t="str">
        <f>Exposition!C370</f>
        <v/>
      </c>
      <c r="O369" s="625" t="str">
        <f>Exposition!D370</f>
        <v/>
      </c>
      <c r="P369" s="625" t="str">
        <f>Exposition!E370</f>
        <v/>
      </c>
      <c r="Q369" s="625" t="str">
        <f>Exposition!F370</f>
        <v/>
      </c>
      <c r="R369" s="625" t="str">
        <f>Exposition!G370</f>
        <v/>
      </c>
      <c r="S369" s="625" t="str">
        <f>Exposition!H370</f>
        <v/>
      </c>
      <c r="T369" s="625" t="str">
        <f>Exposition!I370</f>
        <v/>
      </c>
      <c r="U369" s="625" t="str">
        <f>Exposition!J370</f>
        <v/>
      </c>
      <c r="V369" s="625" t="str">
        <f>Exposition!K370</f>
        <v/>
      </c>
      <c r="W369" s="625" t="str">
        <f>Exposition!L370</f>
        <v/>
      </c>
      <c r="X369" s="625" t="str">
        <f>Exposition!M370</f>
        <v/>
      </c>
      <c r="Y369" s="625" t="str">
        <f>Exposition!N370</f>
        <v/>
      </c>
      <c r="Z369" s="625" t="str">
        <f>Exposition!O370</f>
        <v/>
      </c>
      <c r="AA369" s="625" t="str">
        <f>Exposition!P370</f>
        <v/>
      </c>
      <c r="AB369" s="625" t="str">
        <f>Exposition!Q370</f>
        <v/>
      </c>
      <c r="AC369" s="625" t="str">
        <f>Exposition!R370</f>
        <v/>
      </c>
      <c r="AD369" s="625" t="str">
        <f>Exposition!S370</f>
        <v/>
      </c>
      <c r="AE369" s="625" t="str">
        <f>Exposition!T370</f>
        <v/>
      </c>
      <c r="AF369" s="625" t="str">
        <f>Exposition!U370</f>
        <v/>
      </c>
      <c r="AG369" s="623"/>
      <c r="AH369" s="621" t="str">
        <f>PRIX!A370</f>
        <v/>
      </c>
      <c r="AI369" s="626" t="str">
        <f>PRIX!B370</f>
        <v/>
      </c>
      <c r="AJ369" s="626" t="str">
        <f>PRIX!C370</f>
        <v/>
      </c>
      <c r="AK369" s="627" t="str">
        <f>PRIX!D370</f>
        <v/>
      </c>
      <c r="AL369" s="626" t="str">
        <f>PRIX!E370</f>
        <v/>
      </c>
      <c r="AM369" s="626" t="str">
        <f>PRIX!F370</f>
        <v/>
      </c>
      <c r="AN369" s="627" t="str">
        <f>PRIX!G370</f>
        <v/>
      </c>
      <c r="AO369" s="627" t="str">
        <f>PRIX!H370</f>
        <v/>
      </c>
      <c r="AP369" s="631" t="str">
        <f>PRIX!I370</f>
        <v/>
      </c>
      <c r="AQ369" s="628" t="str">
        <f>PRIX!J370</f>
        <v/>
      </c>
      <c r="AR369" s="631" t="str">
        <f>PRIX!K370</f>
        <v/>
      </c>
      <c r="AS369" s="631" t="str">
        <f>PRIX!L370</f>
        <v/>
      </c>
      <c r="AT369" s="631" t="str">
        <f>PRIX!M370</f>
        <v/>
      </c>
      <c r="AU369" s="629" t="str">
        <f>PRIX!N370</f>
        <v/>
      </c>
      <c r="AV369" s="631" t="str">
        <f>PRIX!O370</f>
        <v/>
      </c>
      <c r="AW369" s="631" t="str">
        <f>PRIX!P370</f>
        <v/>
      </c>
      <c r="AX369" s="630" t="str">
        <f>PRIX!Q370</f>
        <v/>
      </c>
      <c r="AY369" s="631" t="str">
        <f>PRIX!R370</f>
        <v/>
      </c>
      <c r="AZ369" s="631" t="str">
        <f>PRIX!S370</f>
        <v/>
      </c>
      <c r="BA369" s="623"/>
    </row>
    <row r="370">
      <c r="A370" s="621" t="str">
        <f>ARBITRAGES!E371</f>
        <v/>
      </c>
      <c r="B370" s="623" t="str">
        <f>IF(A370="","",IF(ARBITRAGES!F371="Invest","Achat","Vente"))</f>
        <v/>
      </c>
      <c r="C370" s="623" t="str">
        <f>ARBITRAGES!H371</f>
        <v/>
      </c>
      <c r="D370" s="624" t="str">
        <f>ARBITRAGES!I371</f>
        <v/>
      </c>
      <c r="E370" s="624" t="str">
        <f>ARBITRAGES!J371</f>
        <v/>
      </c>
      <c r="F370" s="623"/>
      <c r="G370" s="623" t="str">
        <f>'PV (%)'!B372</f>
        <v/>
      </c>
      <c r="H370" s="624" t="str">
        <f>'PV (%)'!E372</f>
        <v/>
      </c>
      <c r="I370" s="624" t="str">
        <f>'PV (%)'!F372</f>
        <v/>
      </c>
      <c r="J370" s="623" t="str">
        <f>'PV (%)'!G372</f>
        <v/>
      </c>
      <c r="K370" s="623"/>
      <c r="L370" s="621" t="str">
        <f>Exposition!A371</f>
        <v/>
      </c>
      <c r="M370" s="625" t="str">
        <f>Exposition!B371</f>
        <v/>
      </c>
      <c r="N370" s="625" t="str">
        <f>Exposition!C371</f>
        <v/>
      </c>
      <c r="O370" s="625" t="str">
        <f>Exposition!D371</f>
        <v/>
      </c>
      <c r="P370" s="625" t="str">
        <f>Exposition!E371</f>
        <v/>
      </c>
      <c r="Q370" s="625" t="str">
        <f>Exposition!F371</f>
        <v/>
      </c>
      <c r="R370" s="625" t="str">
        <f>Exposition!G371</f>
        <v/>
      </c>
      <c r="S370" s="625" t="str">
        <f>Exposition!H371</f>
        <v/>
      </c>
      <c r="T370" s="625" t="str">
        <f>Exposition!I371</f>
        <v/>
      </c>
      <c r="U370" s="625" t="str">
        <f>Exposition!J371</f>
        <v/>
      </c>
      <c r="V370" s="625" t="str">
        <f>Exposition!K371</f>
        <v/>
      </c>
      <c r="W370" s="625" t="str">
        <f>Exposition!L371</f>
        <v/>
      </c>
      <c r="X370" s="625" t="str">
        <f>Exposition!M371</f>
        <v/>
      </c>
      <c r="Y370" s="625" t="str">
        <f>Exposition!N371</f>
        <v/>
      </c>
      <c r="Z370" s="625" t="str">
        <f>Exposition!O371</f>
        <v/>
      </c>
      <c r="AA370" s="625" t="str">
        <f>Exposition!P371</f>
        <v/>
      </c>
      <c r="AB370" s="625" t="str">
        <f>Exposition!Q371</f>
        <v/>
      </c>
      <c r="AC370" s="625" t="str">
        <f>Exposition!R371</f>
        <v/>
      </c>
      <c r="AD370" s="625" t="str">
        <f>Exposition!S371</f>
        <v/>
      </c>
      <c r="AE370" s="625" t="str">
        <f>Exposition!T371</f>
        <v/>
      </c>
      <c r="AF370" s="625" t="str">
        <f>Exposition!U371</f>
        <v/>
      </c>
      <c r="AG370" s="623"/>
      <c r="AH370" s="621" t="str">
        <f>PRIX!A371</f>
        <v/>
      </c>
      <c r="AI370" s="626" t="str">
        <f>PRIX!B371</f>
        <v/>
      </c>
      <c r="AJ370" s="626" t="str">
        <f>PRIX!C371</f>
        <v/>
      </c>
      <c r="AK370" s="627" t="str">
        <f>PRIX!D371</f>
        <v/>
      </c>
      <c r="AL370" s="626" t="str">
        <f>PRIX!E371</f>
        <v/>
      </c>
      <c r="AM370" s="626" t="str">
        <f>PRIX!F371</f>
        <v/>
      </c>
      <c r="AN370" s="627" t="str">
        <f>PRIX!G371</f>
        <v/>
      </c>
      <c r="AO370" s="627" t="str">
        <f>PRIX!H371</f>
        <v/>
      </c>
      <c r="AP370" s="631" t="str">
        <f>PRIX!I371</f>
        <v/>
      </c>
      <c r="AQ370" s="628" t="str">
        <f>PRIX!J371</f>
        <v/>
      </c>
      <c r="AR370" s="631" t="str">
        <f>PRIX!K371</f>
        <v/>
      </c>
      <c r="AS370" s="631" t="str">
        <f>PRIX!L371</f>
        <v/>
      </c>
      <c r="AT370" s="631" t="str">
        <f>PRIX!M371</f>
        <v/>
      </c>
      <c r="AU370" s="629" t="str">
        <f>PRIX!N371</f>
        <v/>
      </c>
      <c r="AV370" s="631" t="str">
        <f>PRIX!O371</f>
        <v/>
      </c>
      <c r="AW370" s="631" t="str">
        <f>PRIX!P371</f>
        <v/>
      </c>
      <c r="AX370" s="630" t="str">
        <f>PRIX!Q371</f>
        <v/>
      </c>
      <c r="AY370" s="631" t="str">
        <f>PRIX!R371</f>
        <v/>
      </c>
      <c r="AZ370" s="631" t="str">
        <f>PRIX!S371</f>
        <v/>
      </c>
      <c r="BA370" s="623"/>
    </row>
    <row r="371">
      <c r="A371" s="621" t="str">
        <f>ARBITRAGES!E372</f>
        <v/>
      </c>
      <c r="B371" s="623" t="str">
        <f>IF(A371="","",IF(ARBITRAGES!F372="Invest","Achat","Vente"))</f>
        <v/>
      </c>
      <c r="C371" s="623" t="str">
        <f>ARBITRAGES!H372</f>
        <v/>
      </c>
      <c r="D371" s="624" t="str">
        <f>ARBITRAGES!I372</f>
        <v/>
      </c>
      <c r="E371" s="624" t="str">
        <f>ARBITRAGES!J372</f>
        <v/>
      </c>
      <c r="F371" s="623"/>
      <c r="G371" s="623" t="str">
        <f>'PV (%)'!B373</f>
        <v/>
      </c>
      <c r="H371" s="624" t="str">
        <f>'PV (%)'!E373</f>
        <v/>
      </c>
      <c r="I371" s="624" t="str">
        <f>'PV (%)'!F373</f>
        <v/>
      </c>
      <c r="J371" s="623" t="str">
        <f>'PV (%)'!G373</f>
        <v/>
      </c>
      <c r="K371" s="623"/>
      <c r="L371" s="621" t="str">
        <f>Exposition!A372</f>
        <v/>
      </c>
      <c r="M371" s="625" t="str">
        <f>Exposition!B372</f>
        <v/>
      </c>
      <c r="N371" s="625" t="str">
        <f>Exposition!C372</f>
        <v/>
      </c>
      <c r="O371" s="625" t="str">
        <f>Exposition!D372</f>
        <v/>
      </c>
      <c r="P371" s="625" t="str">
        <f>Exposition!E372</f>
        <v/>
      </c>
      <c r="Q371" s="625" t="str">
        <f>Exposition!F372</f>
        <v/>
      </c>
      <c r="R371" s="625" t="str">
        <f>Exposition!G372</f>
        <v/>
      </c>
      <c r="S371" s="625" t="str">
        <f>Exposition!H372</f>
        <v/>
      </c>
      <c r="T371" s="625" t="str">
        <f>Exposition!I372</f>
        <v/>
      </c>
      <c r="U371" s="625" t="str">
        <f>Exposition!J372</f>
        <v/>
      </c>
      <c r="V371" s="625" t="str">
        <f>Exposition!K372</f>
        <v/>
      </c>
      <c r="W371" s="625" t="str">
        <f>Exposition!L372</f>
        <v/>
      </c>
      <c r="X371" s="625" t="str">
        <f>Exposition!M372</f>
        <v/>
      </c>
      <c r="Y371" s="625" t="str">
        <f>Exposition!N372</f>
        <v/>
      </c>
      <c r="Z371" s="625" t="str">
        <f>Exposition!O372</f>
        <v/>
      </c>
      <c r="AA371" s="625" t="str">
        <f>Exposition!P372</f>
        <v/>
      </c>
      <c r="AB371" s="625" t="str">
        <f>Exposition!Q372</f>
        <v/>
      </c>
      <c r="AC371" s="625" t="str">
        <f>Exposition!R372</f>
        <v/>
      </c>
      <c r="AD371" s="625" t="str">
        <f>Exposition!S372</f>
        <v/>
      </c>
      <c r="AE371" s="625" t="str">
        <f>Exposition!T372</f>
        <v/>
      </c>
      <c r="AF371" s="625" t="str">
        <f>Exposition!U372</f>
        <v/>
      </c>
      <c r="AG371" s="623"/>
      <c r="AH371" s="621" t="str">
        <f>PRIX!A372</f>
        <v/>
      </c>
      <c r="AI371" s="626" t="str">
        <f>PRIX!B372</f>
        <v/>
      </c>
      <c r="AJ371" s="626" t="str">
        <f>PRIX!C372</f>
        <v/>
      </c>
      <c r="AK371" s="627" t="str">
        <f>PRIX!D372</f>
        <v/>
      </c>
      <c r="AL371" s="626" t="str">
        <f>PRIX!E372</f>
        <v/>
      </c>
      <c r="AM371" s="626" t="str">
        <f>PRIX!F372</f>
        <v/>
      </c>
      <c r="AN371" s="627" t="str">
        <f>PRIX!G372</f>
        <v/>
      </c>
      <c r="AO371" s="627" t="str">
        <f>PRIX!H372</f>
        <v/>
      </c>
      <c r="AP371" s="631" t="str">
        <f>PRIX!I372</f>
        <v/>
      </c>
      <c r="AQ371" s="628" t="str">
        <f>PRIX!J372</f>
        <v/>
      </c>
      <c r="AR371" s="631" t="str">
        <f>PRIX!K372</f>
        <v/>
      </c>
      <c r="AS371" s="631" t="str">
        <f>PRIX!L372</f>
        <v/>
      </c>
      <c r="AT371" s="631" t="str">
        <f>PRIX!M372</f>
        <v/>
      </c>
      <c r="AU371" s="629" t="str">
        <f>PRIX!N372</f>
        <v/>
      </c>
      <c r="AV371" s="631" t="str">
        <f>PRIX!O372</f>
        <v/>
      </c>
      <c r="AW371" s="631" t="str">
        <f>PRIX!P372</f>
        <v/>
      </c>
      <c r="AX371" s="630" t="str">
        <f>PRIX!Q372</f>
        <v/>
      </c>
      <c r="AY371" s="631" t="str">
        <f>PRIX!R372</f>
        <v/>
      </c>
      <c r="AZ371" s="631" t="str">
        <f>PRIX!S372</f>
        <v/>
      </c>
      <c r="BA371" s="623"/>
    </row>
    <row r="372">
      <c r="A372" s="621" t="str">
        <f>ARBITRAGES!E373</f>
        <v/>
      </c>
      <c r="B372" s="623" t="str">
        <f>IF(A372="","",IF(ARBITRAGES!F373="Invest","Achat","Vente"))</f>
        <v/>
      </c>
      <c r="C372" s="623" t="str">
        <f>ARBITRAGES!H373</f>
        <v/>
      </c>
      <c r="D372" s="624" t="str">
        <f>ARBITRAGES!I373</f>
        <v/>
      </c>
      <c r="E372" s="624" t="str">
        <f>ARBITRAGES!J373</f>
        <v/>
      </c>
      <c r="F372" s="623"/>
      <c r="G372" s="623" t="str">
        <f>'PV (%)'!B374</f>
        <v/>
      </c>
      <c r="H372" s="624" t="str">
        <f>'PV (%)'!E374</f>
        <v/>
      </c>
      <c r="I372" s="624" t="str">
        <f>'PV (%)'!F374</f>
        <v/>
      </c>
      <c r="J372" s="623" t="str">
        <f>'PV (%)'!G374</f>
        <v/>
      </c>
      <c r="K372" s="623"/>
      <c r="L372" s="621" t="str">
        <f>Exposition!A373</f>
        <v/>
      </c>
      <c r="M372" s="625" t="str">
        <f>Exposition!B373</f>
        <v/>
      </c>
      <c r="N372" s="625" t="str">
        <f>Exposition!C373</f>
        <v/>
      </c>
      <c r="O372" s="625" t="str">
        <f>Exposition!D373</f>
        <v/>
      </c>
      <c r="P372" s="625" t="str">
        <f>Exposition!E373</f>
        <v/>
      </c>
      <c r="Q372" s="625" t="str">
        <f>Exposition!F373</f>
        <v/>
      </c>
      <c r="R372" s="625" t="str">
        <f>Exposition!G373</f>
        <v/>
      </c>
      <c r="S372" s="625" t="str">
        <f>Exposition!H373</f>
        <v/>
      </c>
      <c r="T372" s="625" t="str">
        <f>Exposition!I373</f>
        <v/>
      </c>
      <c r="U372" s="625" t="str">
        <f>Exposition!J373</f>
        <v/>
      </c>
      <c r="V372" s="625" t="str">
        <f>Exposition!K373</f>
        <v/>
      </c>
      <c r="W372" s="625" t="str">
        <f>Exposition!L373</f>
        <v/>
      </c>
      <c r="X372" s="625" t="str">
        <f>Exposition!M373</f>
        <v/>
      </c>
      <c r="Y372" s="625" t="str">
        <f>Exposition!N373</f>
        <v/>
      </c>
      <c r="Z372" s="625" t="str">
        <f>Exposition!O373</f>
        <v/>
      </c>
      <c r="AA372" s="625" t="str">
        <f>Exposition!P373</f>
        <v/>
      </c>
      <c r="AB372" s="625" t="str">
        <f>Exposition!Q373</f>
        <v/>
      </c>
      <c r="AC372" s="625" t="str">
        <f>Exposition!R373</f>
        <v/>
      </c>
      <c r="AD372" s="625" t="str">
        <f>Exposition!S373</f>
        <v/>
      </c>
      <c r="AE372" s="625" t="str">
        <f>Exposition!T373</f>
        <v/>
      </c>
      <c r="AF372" s="625" t="str">
        <f>Exposition!U373</f>
        <v/>
      </c>
      <c r="AG372" s="623"/>
      <c r="AH372" s="621" t="str">
        <f>PRIX!A373</f>
        <v/>
      </c>
      <c r="AI372" s="626" t="str">
        <f>PRIX!B373</f>
        <v/>
      </c>
      <c r="AJ372" s="626" t="str">
        <f>PRIX!C373</f>
        <v/>
      </c>
      <c r="AK372" s="627" t="str">
        <f>PRIX!D373</f>
        <v/>
      </c>
      <c r="AL372" s="626" t="str">
        <f>PRIX!E373</f>
        <v/>
      </c>
      <c r="AM372" s="626" t="str">
        <f>PRIX!F373</f>
        <v/>
      </c>
      <c r="AN372" s="627" t="str">
        <f>PRIX!G373</f>
        <v/>
      </c>
      <c r="AO372" s="627" t="str">
        <f>PRIX!H373</f>
        <v/>
      </c>
      <c r="AP372" s="631" t="str">
        <f>PRIX!I373</f>
        <v/>
      </c>
      <c r="AQ372" s="628" t="str">
        <f>PRIX!J373</f>
        <v/>
      </c>
      <c r="AR372" s="631" t="str">
        <f>PRIX!K373</f>
        <v/>
      </c>
      <c r="AS372" s="631" t="str">
        <f>PRIX!L373</f>
        <v/>
      </c>
      <c r="AT372" s="631" t="str">
        <f>PRIX!M373</f>
        <v/>
      </c>
      <c r="AU372" s="629" t="str">
        <f>PRIX!N373</f>
        <v/>
      </c>
      <c r="AV372" s="631" t="str">
        <f>PRIX!O373</f>
        <v/>
      </c>
      <c r="AW372" s="631" t="str">
        <f>PRIX!P373</f>
        <v/>
      </c>
      <c r="AX372" s="630" t="str">
        <f>PRIX!Q373</f>
        <v/>
      </c>
      <c r="AY372" s="631" t="str">
        <f>PRIX!R373</f>
        <v/>
      </c>
      <c r="AZ372" s="631" t="str">
        <f>PRIX!S373</f>
        <v/>
      </c>
      <c r="BA372" s="623"/>
    </row>
    <row r="373">
      <c r="A373" s="621" t="str">
        <f>ARBITRAGES!E374</f>
        <v/>
      </c>
      <c r="B373" s="623" t="str">
        <f>IF(A373="","",IF(ARBITRAGES!F374="Invest","Achat","Vente"))</f>
        <v/>
      </c>
      <c r="C373" s="623" t="str">
        <f>ARBITRAGES!H374</f>
        <v/>
      </c>
      <c r="D373" s="624" t="str">
        <f>ARBITRAGES!I374</f>
        <v/>
      </c>
      <c r="E373" s="624" t="str">
        <f>ARBITRAGES!J374</f>
        <v/>
      </c>
      <c r="F373" s="623"/>
      <c r="G373" s="623" t="str">
        <f>'PV (%)'!B375</f>
        <v/>
      </c>
      <c r="H373" s="624" t="str">
        <f>'PV (%)'!E375</f>
        <v/>
      </c>
      <c r="I373" s="624" t="str">
        <f>'PV (%)'!F375</f>
        <v/>
      </c>
      <c r="J373" s="623" t="str">
        <f>'PV (%)'!G375</f>
        <v/>
      </c>
      <c r="K373" s="623"/>
      <c r="L373" s="621" t="str">
        <f>Exposition!A374</f>
        <v/>
      </c>
      <c r="M373" s="625" t="str">
        <f>Exposition!B374</f>
        <v/>
      </c>
      <c r="N373" s="625" t="str">
        <f>Exposition!C374</f>
        <v/>
      </c>
      <c r="O373" s="625" t="str">
        <f>Exposition!D374</f>
        <v/>
      </c>
      <c r="P373" s="625" t="str">
        <f>Exposition!E374</f>
        <v/>
      </c>
      <c r="Q373" s="625" t="str">
        <f>Exposition!F374</f>
        <v/>
      </c>
      <c r="R373" s="625" t="str">
        <f>Exposition!G374</f>
        <v/>
      </c>
      <c r="S373" s="625" t="str">
        <f>Exposition!H374</f>
        <v/>
      </c>
      <c r="T373" s="625" t="str">
        <f>Exposition!I374</f>
        <v/>
      </c>
      <c r="U373" s="625" t="str">
        <f>Exposition!J374</f>
        <v/>
      </c>
      <c r="V373" s="625" t="str">
        <f>Exposition!K374</f>
        <v/>
      </c>
      <c r="W373" s="625" t="str">
        <f>Exposition!L374</f>
        <v/>
      </c>
      <c r="X373" s="625" t="str">
        <f>Exposition!M374</f>
        <v/>
      </c>
      <c r="Y373" s="625" t="str">
        <f>Exposition!N374</f>
        <v/>
      </c>
      <c r="Z373" s="625" t="str">
        <f>Exposition!O374</f>
        <v/>
      </c>
      <c r="AA373" s="625" t="str">
        <f>Exposition!P374</f>
        <v/>
      </c>
      <c r="AB373" s="625" t="str">
        <f>Exposition!Q374</f>
        <v/>
      </c>
      <c r="AC373" s="625" t="str">
        <f>Exposition!R374</f>
        <v/>
      </c>
      <c r="AD373" s="625" t="str">
        <f>Exposition!S374</f>
        <v/>
      </c>
      <c r="AE373" s="625" t="str">
        <f>Exposition!T374</f>
        <v/>
      </c>
      <c r="AF373" s="625" t="str">
        <f>Exposition!U374</f>
        <v/>
      </c>
      <c r="AG373" s="623"/>
      <c r="AH373" s="621" t="str">
        <f>PRIX!A374</f>
        <v/>
      </c>
      <c r="AI373" s="626" t="str">
        <f>PRIX!B374</f>
        <v/>
      </c>
      <c r="AJ373" s="626" t="str">
        <f>PRIX!C374</f>
        <v/>
      </c>
      <c r="AK373" s="627" t="str">
        <f>PRIX!D374</f>
        <v/>
      </c>
      <c r="AL373" s="626" t="str">
        <f>PRIX!E374</f>
        <v/>
      </c>
      <c r="AM373" s="626" t="str">
        <f>PRIX!F374</f>
        <v/>
      </c>
      <c r="AN373" s="627" t="str">
        <f>PRIX!G374</f>
        <v/>
      </c>
      <c r="AO373" s="627" t="str">
        <f>PRIX!H374</f>
        <v/>
      </c>
      <c r="AP373" s="631" t="str">
        <f>PRIX!I374</f>
        <v/>
      </c>
      <c r="AQ373" s="628" t="str">
        <f>PRIX!J374</f>
        <v/>
      </c>
      <c r="AR373" s="631" t="str">
        <f>PRIX!K374</f>
        <v/>
      </c>
      <c r="AS373" s="631" t="str">
        <f>PRIX!L374</f>
        <v/>
      </c>
      <c r="AT373" s="631" t="str">
        <f>PRIX!M374</f>
        <v/>
      </c>
      <c r="AU373" s="629" t="str">
        <f>PRIX!N374</f>
        <v/>
      </c>
      <c r="AV373" s="631" t="str">
        <f>PRIX!O374</f>
        <v/>
      </c>
      <c r="AW373" s="631" t="str">
        <f>PRIX!P374</f>
        <v/>
      </c>
      <c r="AX373" s="630" t="str">
        <f>PRIX!Q374</f>
        <v/>
      </c>
      <c r="AY373" s="631" t="str">
        <f>PRIX!R374</f>
        <v/>
      </c>
      <c r="AZ373" s="631" t="str">
        <f>PRIX!S374</f>
        <v/>
      </c>
      <c r="BA373" s="623"/>
    </row>
    <row r="374">
      <c r="A374" s="621" t="str">
        <f>ARBITRAGES!E375</f>
        <v/>
      </c>
      <c r="B374" s="623" t="str">
        <f>IF(A374="","",IF(ARBITRAGES!F375="Invest","Achat","Vente"))</f>
        <v/>
      </c>
      <c r="C374" s="623" t="str">
        <f>ARBITRAGES!H375</f>
        <v/>
      </c>
      <c r="D374" s="624" t="str">
        <f>ARBITRAGES!I375</f>
        <v/>
      </c>
      <c r="E374" s="624" t="str">
        <f>ARBITRAGES!J375</f>
        <v/>
      </c>
      <c r="F374" s="623"/>
      <c r="G374" s="623" t="str">
        <f>'PV (%)'!B376</f>
        <v/>
      </c>
      <c r="H374" s="624" t="str">
        <f>'PV (%)'!E376</f>
        <v/>
      </c>
      <c r="I374" s="624" t="str">
        <f>'PV (%)'!F376</f>
        <v/>
      </c>
      <c r="J374" s="623" t="str">
        <f>'PV (%)'!G376</f>
        <v/>
      </c>
      <c r="K374" s="623"/>
      <c r="L374" s="621" t="str">
        <f>Exposition!A375</f>
        <v/>
      </c>
      <c r="M374" s="625" t="str">
        <f>Exposition!B375</f>
        <v/>
      </c>
      <c r="N374" s="625" t="str">
        <f>Exposition!C375</f>
        <v/>
      </c>
      <c r="O374" s="625" t="str">
        <f>Exposition!D375</f>
        <v/>
      </c>
      <c r="P374" s="625" t="str">
        <f>Exposition!E375</f>
        <v/>
      </c>
      <c r="Q374" s="625" t="str">
        <f>Exposition!F375</f>
        <v/>
      </c>
      <c r="R374" s="625" t="str">
        <f>Exposition!G375</f>
        <v/>
      </c>
      <c r="S374" s="625" t="str">
        <f>Exposition!H375</f>
        <v/>
      </c>
      <c r="T374" s="625" t="str">
        <f>Exposition!I375</f>
        <v/>
      </c>
      <c r="U374" s="625" t="str">
        <f>Exposition!J375</f>
        <v/>
      </c>
      <c r="V374" s="625" t="str">
        <f>Exposition!K375</f>
        <v/>
      </c>
      <c r="W374" s="625" t="str">
        <f>Exposition!L375</f>
        <v/>
      </c>
      <c r="X374" s="625" t="str">
        <f>Exposition!M375</f>
        <v/>
      </c>
      <c r="Y374" s="625" t="str">
        <f>Exposition!N375</f>
        <v/>
      </c>
      <c r="Z374" s="625" t="str">
        <f>Exposition!O375</f>
        <v/>
      </c>
      <c r="AA374" s="625" t="str">
        <f>Exposition!P375</f>
        <v/>
      </c>
      <c r="AB374" s="625" t="str">
        <f>Exposition!Q375</f>
        <v/>
      </c>
      <c r="AC374" s="625" t="str">
        <f>Exposition!R375</f>
        <v/>
      </c>
      <c r="AD374" s="625" t="str">
        <f>Exposition!S375</f>
        <v/>
      </c>
      <c r="AE374" s="625" t="str">
        <f>Exposition!T375</f>
        <v/>
      </c>
      <c r="AF374" s="625" t="str">
        <f>Exposition!U375</f>
        <v/>
      </c>
      <c r="AG374" s="623"/>
      <c r="AH374" s="621" t="str">
        <f>PRIX!A375</f>
        <v/>
      </c>
      <c r="AI374" s="626" t="str">
        <f>PRIX!B375</f>
        <v/>
      </c>
      <c r="AJ374" s="626" t="str">
        <f>PRIX!C375</f>
        <v/>
      </c>
      <c r="AK374" s="627" t="str">
        <f>PRIX!D375</f>
        <v/>
      </c>
      <c r="AL374" s="626" t="str">
        <f>PRIX!E375</f>
        <v/>
      </c>
      <c r="AM374" s="626" t="str">
        <f>PRIX!F375</f>
        <v/>
      </c>
      <c r="AN374" s="627" t="str">
        <f>PRIX!G375</f>
        <v/>
      </c>
      <c r="AO374" s="627" t="str">
        <f>PRIX!H375</f>
        <v/>
      </c>
      <c r="AP374" s="631" t="str">
        <f>PRIX!I375</f>
        <v/>
      </c>
      <c r="AQ374" s="628" t="str">
        <f>PRIX!J375</f>
        <v/>
      </c>
      <c r="AR374" s="631" t="str">
        <f>PRIX!K375</f>
        <v/>
      </c>
      <c r="AS374" s="631" t="str">
        <f>PRIX!L375</f>
        <v/>
      </c>
      <c r="AT374" s="631" t="str">
        <f>PRIX!M375</f>
        <v/>
      </c>
      <c r="AU374" s="629" t="str">
        <f>PRIX!N375</f>
        <v/>
      </c>
      <c r="AV374" s="631" t="str">
        <f>PRIX!O375</f>
        <v/>
      </c>
      <c r="AW374" s="631" t="str">
        <f>PRIX!P375</f>
        <v/>
      </c>
      <c r="AX374" s="630" t="str">
        <f>PRIX!Q375</f>
        <v/>
      </c>
      <c r="AY374" s="631" t="str">
        <f>PRIX!R375</f>
        <v/>
      </c>
      <c r="AZ374" s="631" t="str">
        <f>PRIX!S375</f>
        <v/>
      </c>
      <c r="BA374" s="623"/>
    </row>
    <row r="375">
      <c r="A375" s="621" t="str">
        <f>ARBITRAGES!E376</f>
        <v/>
      </c>
      <c r="B375" s="623" t="str">
        <f>IF(A375="","",IF(ARBITRAGES!F376="Invest","Achat","Vente"))</f>
        <v/>
      </c>
      <c r="C375" s="623" t="str">
        <f>ARBITRAGES!H376</f>
        <v/>
      </c>
      <c r="D375" s="624" t="str">
        <f>ARBITRAGES!I376</f>
        <v/>
      </c>
      <c r="E375" s="624" t="str">
        <f>ARBITRAGES!J376</f>
        <v/>
      </c>
      <c r="F375" s="623"/>
      <c r="G375" s="623" t="str">
        <f>'PV (%)'!B377</f>
        <v/>
      </c>
      <c r="H375" s="624" t="str">
        <f>'PV (%)'!E377</f>
        <v/>
      </c>
      <c r="I375" s="624" t="str">
        <f>'PV (%)'!F377</f>
        <v/>
      </c>
      <c r="J375" s="623" t="str">
        <f>'PV (%)'!G377</f>
        <v/>
      </c>
      <c r="K375" s="623"/>
      <c r="L375" s="621" t="str">
        <f>Exposition!A376</f>
        <v/>
      </c>
      <c r="M375" s="625" t="str">
        <f>Exposition!B376</f>
        <v/>
      </c>
      <c r="N375" s="625" t="str">
        <f>Exposition!C376</f>
        <v/>
      </c>
      <c r="O375" s="625" t="str">
        <f>Exposition!D376</f>
        <v/>
      </c>
      <c r="P375" s="625" t="str">
        <f>Exposition!E376</f>
        <v/>
      </c>
      <c r="Q375" s="625" t="str">
        <f>Exposition!F376</f>
        <v/>
      </c>
      <c r="R375" s="625" t="str">
        <f>Exposition!G376</f>
        <v/>
      </c>
      <c r="S375" s="625" t="str">
        <f>Exposition!H376</f>
        <v/>
      </c>
      <c r="T375" s="625" t="str">
        <f>Exposition!I376</f>
        <v/>
      </c>
      <c r="U375" s="625" t="str">
        <f>Exposition!J376</f>
        <v/>
      </c>
      <c r="V375" s="625" t="str">
        <f>Exposition!K376</f>
        <v/>
      </c>
      <c r="W375" s="625" t="str">
        <f>Exposition!L376</f>
        <v/>
      </c>
      <c r="X375" s="625" t="str">
        <f>Exposition!M376</f>
        <v/>
      </c>
      <c r="Y375" s="625" t="str">
        <f>Exposition!N376</f>
        <v/>
      </c>
      <c r="Z375" s="625" t="str">
        <f>Exposition!O376</f>
        <v/>
      </c>
      <c r="AA375" s="625" t="str">
        <f>Exposition!P376</f>
        <v/>
      </c>
      <c r="AB375" s="625" t="str">
        <f>Exposition!Q376</f>
        <v/>
      </c>
      <c r="AC375" s="625" t="str">
        <f>Exposition!R376</f>
        <v/>
      </c>
      <c r="AD375" s="625" t="str">
        <f>Exposition!S376</f>
        <v/>
      </c>
      <c r="AE375" s="625" t="str">
        <f>Exposition!T376</f>
        <v/>
      </c>
      <c r="AF375" s="625" t="str">
        <f>Exposition!U376</f>
        <v/>
      </c>
      <c r="AG375" s="623"/>
      <c r="AH375" s="621" t="str">
        <f>PRIX!A376</f>
        <v/>
      </c>
      <c r="AI375" s="626" t="str">
        <f>PRIX!B376</f>
        <v/>
      </c>
      <c r="AJ375" s="626" t="str">
        <f>PRIX!C376</f>
        <v/>
      </c>
      <c r="AK375" s="627" t="str">
        <f>PRIX!D376</f>
        <v/>
      </c>
      <c r="AL375" s="626" t="str">
        <f>PRIX!E376</f>
        <v/>
      </c>
      <c r="AM375" s="626" t="str">
        <f>PRIX!F376</f>
        <v/>
      </c>
      <c r="AN375" s="627" t="str">
        <f>PRIX!G376</f>
        <v/>
      </c>
      <c r="AO375" s="627" t="str">
        <f>PRIX!H376</f>
        <v/>
      </c>
      <c r="AP375" s="631" t="str">
        <f>PRIX!I376</f>
        <v/>
      </c>
      <c r="AQ375" s="628" t="str">
        <f>PRIX!J376</f>
        <v/>
      </c>
      <c r="AR375" s="631" t="str">
        <f>PRIX!K376</f>
        <v/>
      </c>
      <c r="AS375" s="631" t="str">
        <f>PRIX!L376</f>
        <v/>
      </c>
      <c r="AT375" s="631" t="str">
        <f>PRIX!M376</f>
        <v/>
      </c>
      <c r="AU375" s="629" t="str">
        <f>PRIX!N376</f>
        <v/>
      </c>
      <c r="AV375" s="631" t="str">
        <f>PRIX!O376</f>
        <v/>
      </c>
      <c r="AW375" s="631" t="str">
        <f>PRIX!P376</f>
        <v/>
      </c>
      <c r="AX375" s="630" t="str">
        <f>PRIX!Q376</f>
        <v/>
      </c>
      <c r="AY375" s="631" t="str">
        <f>PRIX!R376</f>
        <v/>
      </c>
      <c r="AZ375" s="631" t="str">
        <f>PRIX!S376</f>
        <v/>
      </c>
      <c r="BA375" s="623"/>
    </row>
    <row r="376">
      <c r="A376" s="621" t="str">
        <f>ARBITRAGES!E377</f>
        <v/>
      </c>
      <c r="B376" s="623" t="str">
        <f>IF(A376="","",IF(ARBITRAGES!F377="Invest","Achat","Vente"))</f>
        <v/>
      </c>
      <c r="C376" s="623" t="str">
        <f>ARBITRAGES!H377</f>
        <v/>
      </c>
      <c r="D376" s="624" t="str">
        <f>ARBITRAGES!I377</f>
        <v/>
      </c>
      <c r="E376" s="624" t="str">
        <f>ARBITRAGES!J377</f>
        <v/>
      </c>
      <c r="F376" s="623"/>
      <c r="G376" s="623" t="str">
        <f>'PV (%)'!B378</f>
        <v/>
      </c>
      <c r="H376" s="624" t="str">
        <f>'PV (%)'!E378</f>
        <v/>
      </c>
      <c r="I376" s="624" t="str">
        <f>'PV (%)'!F378</f>
        <v/>
      </c>
      <c r="J376" s="623" t="str">
        <f>'PV (%)'!G378</f>
        <v/>
      </c>
      <c r="K376" s="623"/>
      <c r="L376" s="621" t="str">
        <f>Exposition!A377</f>
        <v/>
      </c>
      <c r="M376" s="625" t="str">
        <f>Exposition!B377</f>
        <v/>
      </c>
      <c r="N376" s="625" t="str">
        <f>Exposition!C377</f>
        <v/>
      </c>
      <c r="O376" s="625" t="str">
        <f>Exposition!D377</f>
        <v/>
      </c>
      <c r="P376" s="625" t="str">
        <f>Exposition!E377</f>
        <v/>
      </c>
      <c r="Q376" s="625" t="str">
        <f>Exposition!F377</f>
        <v/>
      </c>
      <c r="R376" s="625" t="str">
        <f>Exposition!G377</f>
        <v/>
      </c>
      <c r="S376" s="625" t="str">
        <f>Exposition!H377</f>
        <v/>
      </c>
      <c r="T376" s="625" t="str">
        <f>Exposition!I377</f>
        <v/>
      </c>
      <c r="U376" s="625" t="str">
        <f>Exposition!J377</f>
        <v/>
      </c>
      <c r="V376" s="625" t="str">
        <f>Exposition!K377</f>
        <v/>
      </c>
      <c r="W376" s="625" t="str">
        <f>Exposition!L377</f>
        <v/>
      </c>
      <c r="X376" s="625" t="str">
        <f>Exposition!M377</f>
        <v/>
      </c>
      <c r="Y376" s="625" t="str">
        <f>Exposition!N377</f>
        <v/>
      </c>
      <c r="Z376" s="625" t="str">
        <f>Exposition!O377</f>
        <v/>
      </c>
      <c r="AA376" s="625" t="str">
        <f>Exposition!P377</f>
        <v/>
      </c>
      <c r="AB376" s="625" t="str">
        <f>Exposition!Q377</f>
        <v/>
      </c>
      <c r="AC376" s="625" t="str">
        <f>Exposition!R377</f>
        <v/>
      </c>
      <c r="AD376" s="625" t="str">
        <f>Exposition!S377</f>
        <v/>
      </c>
      <c r="AE376" s="625" t="str">
        <f>Exposition!T377</f>
        <v/>
      </c>
      <c r="AF376" s="625" t="str">
        <f>Exposition!U377</f>
        <v/>
      </c>
      <c r="AG376" s="623"/>
      <c r="AH376" s="621" t="str">
        <f>PRIX!A377</f>
        <v/>
      </c>
      <c r="AI376" s="626" t="str">
        <f>PRIX!B377</f>
        <v/>
      </c>
      <c r="AJ376" s="626" t="str">
        <f>PRIX!C377</f>
        <v/>
      </c>
      <c r="AK376" s="627" t="str">
        <f>PRIX!D377</f>
        <v/>
      </c>
      <c r="AL376" s="626" t="str">
        <f>PRIX!E377</f>
        <v/>
      </c>
      <c r="AM376" s="626" t="str">
        <f>PRIX!F377</f>
        <v/>
      </c>
      <c r="AN376" s="627" t="str">
        <f>PRIX!G377</f>
        <v/>
      </c>
      <c r="AO376" s="627" t="str">
        <f>PRIX!H377</f>
        <v/>
      </c>
      <c r="AP376" s="631" t="str">
        <f>PRIX!I377</f>
        <v/>
      </c>
      <c r="AQ376" s="628" t="str">
        <f>PRIX!J377</f>
        <v/>
      </c>
      <c r="AR376" s="631" t="str">
        <f>PRIX!K377</f>
        <v/>
      </c>
      <c r="AS376" s="631" t="str">
        <f>PRIX!L377</f>
        <v/>
      </c>
      <c r="AT376" s="631" t="str">
        <f>PRIX!M377</f>
        <v/>
      </c>
      <c r="AU376" s="629" t="str">
        <f>PRIX!N377</f>
        <v/>
      </c>
      <c r="AV376" s="631" t="str">
        <f>PRIX!O377</f>
        <v/>
      </c>
      <c r="AW376" s="631" t="str">
        <f>PRIX!P377</f>
        <v/>
      </c>
      <c r="AX376" s="630" t="str">
        <f>PRIX!Q377</f>
        <v/>
      </c>
      <c r="AY376" s="631" t="str">
        <f>PRIX!R377</f>
        <v/>
      </c>
      <c r="AZ376" s="631" t="str">
        <f>PRIX!S377</f>
        <v/>
      </c>
      <c r="BA376" s="623"/>
    </row>
    <row r="377">
      <c r="A377" s="621" t="str">
        <f>ARBITRAGES!E378</f>
        <v/>
      </c>
      <c r="B377" s="623" t="str">
        <f>IF(A377="","",IF(ARBITRAGES!F378="Invest","Achat","Vente"))</f>
        <v/>
      </c>
      <c r="C377" s="623" t="str">
        <f>ARBITRAGES!H378</f>
        <v/>
      </c>
      <c r="D377" s="624" t="str">
        <f>ARBITRAGES!I378</f>
        <v/>
      </c>
      <c r="E377" s="624" t="str">
        <f>ARBITRAGES!J378</f>
        <v/>
      </c>
      <c r="F377" s="623"/>
      <c r="G377" s="623" t="str">
        <f>'PV (%)'!B379</f>
        <v/>
      </c>
      <c r="H377" s="624" t="str">
        <f>'PV (%)'!E379</f>
        <v/>
      </c>
      <c r="I377" s="624" t="str">
        <f>'PV (%)'!F379</f>
        <v/>
      </c>
      <c r="J377" s="623" t="str">
        <f>'PV (%)'!G379</f>
        <v/>
      </c>
      <c r="K377" s="623"/>
      <c r="L377" s="621" t="str">
        <f>Exposition!A378</f>
        <v/>
      </c>
      <c r="M377" s="625" t="str">
        <f>Exposition!B378</f>
        <v/>
      </c>
      <c r="N377" s="625" t="str">
        <f>Exposition!C378</f>
        <v/>
      </c>
      <c r="O377" s="625" t="str">
        <f>Exposition!D378</f>
        <v/>
      </c>
      <c r="P377" s="625" t="str">
        <f>Exposition!E378</f>
        <v/>
      </c>
      <c r="Q377" s="625" t="str">
        <f>Exposition!F378</f>
        <v/>
      </c>
      <c r="R377" s="625" t="str">
        <f>Exposition!G378</f>
        <v/>
      </c>
      <c r="S377" s="625" t="str">
        <f>Exposition!H378</f>
        <v/>
      </c>
      <c r="T377" s="625" t="str">
        <f>Exposition!I378</f>
        <v/>
      </c>
      <c r="U377" s="625" t="str">
        <f>Exposition!J378</f>
        <v/>
      </c>
      <c r="V377" s="625" t="str">
        <f>Exposition!K378</f>
        <v/>
      </c>
      <c r="W377" s="625" t="str">
        <f>Exposition!L378</f>
        <v/>
      </c>
      <c r="X377" s="625" t="str">
        <f>Exposition!M378</f>
        <v/>
      </c>
      <c r="Y377" s="625" t="str">
        <f>Exposition!N378</f>
        <v/>
      </c>
      <c r="Z377" s="625" t="str">
        <f>Exposition!O378</f>
        <v/>
      </c>
      <c r="AA377" s="625" t="str">
        <f>Exposition!P378</f>
        <v/>
      </c>
      <c r="AB377" s="625" t="str">
        <f>Exposition!Q378</f>
        <v/>
      </c>
      <c r="AC377" s="625" t="str">
        <f>Exposition!R378</f>
        <v/>
      </c>
      <c r="AD377" s="625" t="str">
        <f>Exposition!S378</f>
        <v/>
      </c>
      <c r="AE377" s="625" t="str">
        <f>Exposition!T378</f>
        <v/>
      </c>
      <c r="AF377" s="625" t="str">
        <f>Exposition!U378</f>
        <v/>
      </c>
      <c r="AG377" s="623"/>
      <c r="AH377" s="621" t="str">
        <f>PRIX!A378</f>
        <v/>
      </c>
      <c r="AI377" s="626" t="str">
        <f>PRIX!B378</f>
        <v/>
      </c>
      <c r="AJ377" s="626" t="str">
        <f>PRIX!C378</f>
        <v/>
      </c>
      <c r="AK377" s="627" t="str">
        <f>PRIX!D378</f>
        <v/>
      </c>
      <c r="AL377" s="626" t="str">
        <f>PRIX!E378</f>
        <v/>
      </c>
      <c r="AM377" s="626" t="str">
        <f>PRIX!F378</f>
        <v/>
      </c>
      <c r="AN377" s="627" t="str">
        <f>PRIX!G378</f>
        <v/>
      </c>
      <c r="AO377" s="627" t="str">
        <f>PRIX!H378</f>
        <v/>
      </c>
      <c r="AP377" s="631" t="str">
        <f>PRIX!I378</f>
        <v/>
      </c>
      <c r="AQ377" s="628" t="str">
        <f>PRIX!J378</f>
        <v/>
      </c>
      <c r="AR377" s="631" t="str">
        <f>PRIX!K378</f>
        <v/>
      </c>
      <c r="AS377" s="631" t="str">
        <f>PRIX!L378</f>
        <v/>
      </c>
      <c r="AT377" s="631" t="str">
        <f>PRIX!M378</f>
        <v/>
      </c>
      <c r="AU377" s="629" t="str">
        <f>PRIX!N378</f>
        <v/>
      </c>
      <c r="AV377" s="631" t="str">
        <f>PRIX!O378</f>
        <v/>
      </c>
      <c r="AW377" s="631" t="str">
        <f>PRIX!P378</f>
        <v/>
      </c>
      <c r="AX377" s="630" t="str">
        <f>PRIX!Q378</f>
        <v/>
      </c>
      <c r="AY377" s="631" t="str">
        <f>PRIX!R378</f>
        <v/>
      </c>
      <c r="AZ377" s="631" t="str">
        <f>PRIX!S378</f>
        <v/>
      </c>
      <c r="BA377" s="623"/>
    </row>
    <row r="378">
      <c r="A378" s="621" t="str">
        <f>ARBITRAGES!E379</f>
        <v/>
      </c>
      <c r="B378" s="623" t="str">
        <f>IF(A378="","",IF(ARBITRAGES!F379="Invest","Achat","Vente"))</f>
        <v/>
      </c>
      <c r="C378" s="623" t="str">
        <f>ARBITRAGES!H379</f>
        <v/>
      </c>
      <c r="D378" s="624" t="str">
        <f>ARBITRAGES!I379</f>
        <v/>
      </c>
      <c r="E378" s="624" t="str">
        <f>ARBITRAGES!J379</f>
        <v/>
      </c>
      <c r="F378" s="623"/>
      <c r="G378" s="623" t="str">
        <f>'PV (%)'!B380</f>
        <v/>
      </c>
      <c r="H378" s="624" t="str">
        <f>'PV (%)'!E380</f>
        <v/>
      </c>
      <c r="I378" s="624" t="str">
        <f>'PV (%)'!F380</f>
        <v/>
      </c>
      <c r="J378" s="623" t="str">
        <f>'PV (%)'!G380</f>
        <v/>
      </c>
      <c r="K378" s="623"/>
      <c r="L378" s="621" t="str">
        <f>Exposition!A379</f>
        <v/>
      </c>
      <c r="M378" s="625" t="str">
        <f>Exposition!B379</f>
        <v/>
      </c>
      <c r="N378" s="625" t="str">
        <f>Exposition!C379</f>
        <v/>
      </c>
      <c r="O378" s="625" t="str">
        <f>Exposition!D379</f>
        <v/>
      </c>
      <c r="P378" s="625" t="str">
        <f>Exposition!E379</f>
        <v/>
      </c>
      <c r="Q378" s="625" t="str">
        <f>Exposition!F379</f>
        <v/>
      </c>
      <c r="R378" s="625" t="str">
        <f>Exposition!G379</f>
        <v/>
      </c>
      <c r="S378" s="625" t="str">
        <f>Exposition!H379</f>
        <v/>
      </c>
      <c r="T378" s="625" t="str">
        <f>Exposition!I379</f>
        <v/>
      </c>
      <c r="U378" s="625" t="str">
        <f>Exposition!J379</f>
        <v/>
      </c>
      <c r="V378" s="625" t="str">
        <f>Exposition!K379</f>
        <v/>
      </c>
      <c r="W378" s="625" t="str">
        <f>Exposition!L379</f>
        <v/>
      </c>
      <c r="X378" s="625" t="str">
        <f>Exposition!M379</f>
        <v/>
      </c>
      <c r="Y378" s="625" t="str">
        <f>Exposition!N379</f>
        <v/>
      </c>
      <c r="Z378" s="625" t="str">
        <f>Exposition!O379</f>
        <v/>
      </c>
      <c r="AA378" s="625" t="str">
        <f>Exposition!P379</f>
        <v/>
      </c>
      <c r="AB378" s="625" t="str">
        <f>Exposition!Q379</f>
        <v/>
      </c>
      <c r="AC378" s="625" t="str">
        <f>Exposition!R379</f>
        <v/>
      </c>
      <c r="AD378" s="625" t="str">
        <f>Exposition!S379</f>
        <v/>
      </c>
      <c r="AE378" s="625" t="str">
        <f>Exposition!T379</f>
        <v/>
      </c>
      <c r="AF378" s="625" t="str">
        <f>Exposition!U379</f>
        <v/>
      </c>
      <c r="AG378" s="623"/>
      <c r="AH378" s="621" t="str">
        <f>PRIX!A379</f>
        <v/>
      </c>
      <c r="AI378" s="626" t="str">
        <f>PRIX!B379</f>
        <v/>
      </c>
      <c r="AJ378" s="626" t="str">
        <f>PRIX!C379</f>
        <v/>
      </c>
      <c r="AK378" s="627" t="str">
        <f>PRIX!D379</f>
        <v/>
      </c>
      <c r="AL378" s="626" t="str">
        <f>PRIX!E379</f>
        <v/>
      </c>
      <c r="AM378" s="626" t="str">
        <f>PRIX!F379</f>
        <v/>
      </c>
      <c r="AN378" s="627" t="str">
        <f>PRIX!G379</f>
        <v/>
      </c>
      <c r="AO378" s="627" t="str">
        <f>PRIX!H379</f>
        <v/>
      </c>
      <c r="AP378" s="631" t="str">
        <f>PRIX!I379</f>
        <v/>
      </c>
      <c r="AQ378" s="628" t="str">
        <f>PRIX!J379</f>
        <v/>
      </c>
      <c r="AR378" s="631" t="str">
        <f>PRIX!K379</f>
        <v/>
      </c>
      <c r="AS378" s="631" t="str">
        <f>PRIX!L379</f>
        <v/>
      </c>
      <c r="AT378" s="631" t="str">
        <f>PRIX!M379</f>
        <v/>
      </c>
      <c r="AU378" s="629" t="str">
        <f>PRIX!N379</f>
        <v/>
      </c>
      <c r="AV378" s="631" t="str">
        <f>PRIX!O379</f>
        <v/>
      </c>
      <c r="AW378" s="631" t="str">
        <f>PRIX!P379</f>
        <v/>
      </c>
      <c r="AX378" s="630" t="str">
        <f>PRIX!Q379</f>
        <v/>
      </c>
      <c r="AY378" s="631" t="str">
        <f>PRIX!R379</f>
        <v/>
      </c>
      <c r="AZ378" s="631" t="str">
        <f>PRIX!S379</f>
        <v/>
      </c>
      <c r="BA378" s="623"/>
    </row>
    <row r="379">
      <c r="A379" s="621" t="str">
        <f>ARBITRAGES!E380</f>
        <v/>
      </c>
      <c r="B379" s="623" t="str">
        <f>IF(A379="","",IF(ARBITRAGES!F380="Invest","Achat","Vente"))</f>
        <v/>
      </c>
      <c r="C379" s="623" t="str">
        <f>ARBITRAGES!H380</f>
        <v/>
      </c>
      <c r="D379" s="624" t="str">
        <f>ARBITRAGES!I380</f>
        <v/>
      </c>
      <c r="E379" s="624" t="str">
        <f>ARBITRAGES!J380</f>
        <v/>
      </c>
      <c r="F379" s="623"/>
      <c r="G379" s="623" t="str">
        <f>'PV (%)'!B381</f>
        <v/>
      </c>
      <c r="H379" s="624" t="str">
        <f>'PV (%)'!E381</f>
        <v/>
      </c>
      <c r="I379" s="624" t="str">
        <f>'PV (%)'!F381</f>
        <v/>
      </c>
      <c r="J379" s="623" t="str">
        <f>'PV (%)'!G381</f>
        <v/>
      </c>
      <c r="K379" s="623"/>
      <c r="L379" s="621" t="str">
        <f>Exposition!A380</f>
        <v/>
      </c>
      <c r="M379" s="625" t="str">
        <f>Exposition!B380</f>
        <v/>
      </c>
      <c r="N379" s="625" t="str">
        <f>Exposition!C380</f>
        <v/>
      </c>
      <c r="O379" s="625" t="str">
        <f>Exposition!D380</f>
        <v/>
      </c>
      <c r="P379" s="625" t="str">
        <f>Exposition!E380</f>
        <v/>
      </c>
      <c r="Q379" s="625" t="str">
        <f>Exposition!F380</f>
        <v/>
      </c>
      <c r="R379" s="625" t="str">
        <f>Exposition!G380</f>
        <v/>
      </c>
      <c r="S379" s="625" t="str">
        <f>Exposition!H380</f>
        <v/>
      </c>
      <c r="T379" s="625" t="str">
        <f>Exposition!I380</f>
        <v/>
      </c>
      <c r="U379" s="625" t="str">
        <f>Exposition!J380</f>
        <v/>
      </c>
      <c r="V379" s="625" t="str">
        <f>Exposition!K380</f>
        <v/>
      </c>
      <c r="W379" s="625" t="str">
        <f>Exposition!L380</f>
        <v/>
      </c>
      <c r="X379" s="625" t="str">
        <f>Exposition!M380</f>
        <v/>
      </c>
      <c r="Y379" s="625" t="str">
        <f>Exposition!N380</f>
        <v/>
      </c>
      <c r="Z379" s="625" t="str">
        <f>Exposition!O380</f>
        <v/>
      </c>
      <c r="AA379" s="625" t="str">
        <f>Exposition!P380</f>
        <v/>
      </c>
      <c r="AB379" s="625" t="str">
        <f>Exposition!Q380</f>
        <v/>
      </c>
      <c r="AC379" s="625" t="str">
        <f>Exposition!R380</f>
        <v/>
      </c>
      <c r="AD379" s="625" t="str">
        <f>Exposition!S380</f>
        <v/>
      </c>
      <c r="AE379" s="625" t="str">
        <f>Exposition!T380</f>
        <v/>
      </c>
      <c r="AF379" s="625" t="str">
        <f>Exposition!U380</f>
        <v/>
      </c>
      <c r="AG379" s="623"/>
      <c r="AH379" s="621" t="str">
        <f>PRIX!A380</f>
        <v/>
      </c>
      <c r="AI379" s="626" t="str">
        <f>PRIX!B380</f>
        <v/>
      </c>
      <c r="AJ379" s="626" t="str">
        <f>PRIX!C380</f>
        <v/>
      </c>
      <c r="AK379" s="627" t="str">
        <f>PRIX!D380</f>
        <v/>
      </c>
      <c r="AL379" s="626" t="str">
        <f>PRIX!E380</f>
        <v/>
      </c>
      <c r="AM379" s="626" t="str">
        <f>PRIX!F380</f>
        <v/>
      </c>
      <c r="AN379" s="627" t="str">
        <f>PRIX!G380</f>
        <v/>
      </c>
      <c r="AO379" s="627" t="str">
        <f>PRIX!H380</f>
        <v/>
      </c>
      <c r="AP379" s="631" t="str">
        <f>PRIX!I380</f>
        <v/>
      </c>
      <c r="AQ379" s="628" t="str">
        <f>PRIX!J380</f>
        <v/>
      </c>
      <c r="AR379" s="631" t="str">
        <f>PRIX!K380</f>
        <v/>
      </c>
      <c r="AS379" s="631" t="str">
        <f>PRIX!L380</f>
        <v/>
      </c>
      <c r="AT379" s="631" t="str">
        <f>PRIX!M380</f>
        <v/>
      </c>
      <c r="AU379" s="629" t="str">
        <f>PRIX!N380</f>
        <v/>
      </c>
      <c r="AV379" s="631" t="str">
        <f>PRIX!O380</f>
        <v/>
      </c>
      <c r="AW379" s="631" t="str">
        <f>PRIX!P380</f>
        <v/>
      </c>
      <c r="AX379" s="630" t="str">
        <f>PRIX!Q380</f>
        <v/>
      </c>
      <c r="AY379" s="631" t="str">
        <f>PRIX!R380</f>
        <v/>
      </c>
      <c r="AZ379" s="631" t="str">
        <f>PRIX!S380</f>
        <v/>
      </c>
      <c r="BA379" s="623"/>
    </row>
    <row r="380">
      <c r="A380" s="621" t="str">
        <f>ARBITRAGES!E381</f>
        <v/>
      </c>
      <c r="B380" s="623" t="str">
        <f>IF(A380="","",IF(ARBITRAGES!F381="Invest","Achat","Vente"))</f>
        <v/>
      </c>
      <c r="C380" s="623" t="str">
        <f>ARBITRAGES!H381</f>
        <v/>
      </c>
      <c r="D380" s="624" t="str">
        <f>ARBITRAGES!I381</f>
        <v/>
      </c>
      <c r="E380" s="624" t="str">
        <f>ARBITRAGES!J381</f>
        <v/>
      </c>
      <c r="F380" s="623"/>
      <c r="G380" s="623" t="str">
        <f>'PV (%)'!B382</f>
        <v/>
      </c>
      <c r="H380" s="624" t="str">
        <f>'PV (%)'!E382</f>
        <v/>
      </c>
      <c r="I380" s="624" t="str">
        <f>'PV (%)'!F382</f>
        <v/>
      </c>
      <c r="J380" s="623" t="str">
        <f>'PV (%)'!G382</f>
        <v/>
      </c>
      <c r="K380" s="623"/>
      <c r="L380" s="621" t="str">
        <f>Exposition!A381</f>
        <v/>
      </c>
      <c r="M380" s="625" t="str">
        <f>Exposition!B381</f>
        <v/>
      </c>
      <c r="N380" s="625" t="str">
        <f>Exposition!C381</f>
        <v/>
      </c>
      <c r="O380" s="625" t="str">
        <f>Exposition!D381</f>
        <v/>
      </c>
      <c r="P380" s="625" t="str">
        <f>Exposition!E381</f>
        <v/>
      </c>
      <c r="Q380" s="625" t="str">
        <f>Exposition!F381</f>
        <v/>
      </c>
      <c r="R380" s="625" t="str">
        <f>Exposition!G381</f>
        <v/>
      </c>
      <c r="S380" s="625" t="str">
        <f>Exposition!H381</f>
        <v/>
      </c>
      <c r="T380" s="625" t="str">
        <f>Exposition!I381</f>
        <v/>
      </c>
      <c r="U380" s="625" t="str">
        <f>Exposition!J381</f>
        <v/>
      </c>
      <c r="V380" s="625" t="str">
        <f>Exposition!K381</f>
        <v/>
      </c>
      <c r="W380" s="625" t="str">
        <f>Exposition!L381</f>
        <v/>
      </c>
      <c r="X380" s="625" t="str">
        <f>Exposition!M381</f>
        <v/>
      </c>
      <c r="Y380" s="625" t="str">
        <f>Exposition!N381</f>
        <v/>
      </c>
      <c r="Z380" s="625" t="str">
        <f>Exposition!O381</f>
        <v/>
      </c>
      <c r="AA380" s="625" t="str">
        <f>Exposition!P381</f>
        <v/>
      </c>
      <c r="AB380" s="625" t="str">
        <f>Exposition!Q381</f>
        <v/>
      </c>
      <c r="AC380" s="625" t="str">
        <f>Exposition!R381</f>
        <v/>
      </c>
      <c r="AD380" s="625" t="str">
        <f>Exposition!S381</f>
        <v/>
      </c>
      <c r="AE380" s="625" t="str">
        <f>Exposition!T381</f>
        <v/>
      </c>
      <c r="AF380" s="625" t="str">
        <f>Exposition!U381</f>
        <v/>
      </c>
      <c r="AG380" s="623"/>
      <c r="AH380" s="621" t="str">
        <f>PRIX!A381</f>
        <v/>
      </c>
      <c r="AI380" s="626" t="str">
        <f>PRIX!B381</f>
        <v/>
      </c>
      <c r="AJ380" s="626" t="str">
        <f>PRIX!C381</f>
        <v/>
      </c>
      <c r="AK380" s="627" t="str">
        <f>PRIX!D381</f>
        <v/>
      </c>
      <c r="AL380" s="626" t="str">
        <f>PRIX!E381</f>
        <v/>
      </c>
      <c r="AM380" s="626" t="str">
        <f>PRIX!F381</f>
        <v/>
      </c>
      <c r="AN380" s="627" t="str">
        <f>PRIX!G381</f>
        <v/>
      </c>
      <c r="AO380" s="627" t="str">
        <f>PRIX!H381</f>
        <v/>
      </c>
      <c r="AP380" s="631" t="str">
        <f>PRIX!I381</f>
        <v/>
      </c>
      <c r="AQ380" s="628" t="str">
        <f>PRIX!J381</f>
        <v/>
      </c>
      <c r="AR380" s="631" t="str">
        <f>PRIX!K381</f>
        <v/>
      </c>
      <c r="AS380" s="631" t="str">
        <f>PRIX!L381</f>
        <v/>
      </c>
      <c r="AT380" s="631" t="str">
        <f>PRIX!M381</f>
        <v/>
      </c>
      <c r="AU380" s="629" t="str">
        <f>PRIX!N381</f>
        <v/>
      </c>
      <c r="AV380" s="631" t="str">
        <f>PRIX!O381</f>
        <v/>
      </c>
      <c r="AW380" s="631" t="str">
        <f>PRIX!P381</f>
        <v/>
      </c>
      <c r="AX380" s="630" t="str">
        <f>PRIX!Q381</f>
        <v/>
      </c>
      <c r="AY380" s="631" t="str">
        <f>PRIX!R381</f>
        <v/>
      </c>
      <c r="AZ380" s="631" t="str">
        <f>PRIX!S381</f>
        <v/>
      </c>
      <c r="BA380" s="623"/>
    </row>
    <row r="381">
      <c r="A381" s="621" t="str">
        <f>ARBITRAGES!E382</f>
        <v/>
      </c>
      <c r="B381" s="623" t="str">
        <f>IF(A381="","",IF(ARBITRAGES!F382="Invest","Achat","Vente"))</f>
        <v/>
      </c>
      <c r="C381" s="623" t="str">
        <f>ARBITRAGES!H382</f>
        <v/>
      </c>
      <c r="D381" s="624" t="str">
        <f>ARBITRAGES!I382</f>
        <v/>
      </c>
      <c r="E381" s="624" t="str">
        <f>ARBITRAGES!J382</f>
        <v/>
      </c>
      <c r="F381" s="623"/>
      <c r="G381" s="623" t="str">
        <f>'PV (%)'!B383</f>
        <v/>
      </c>
      <c r="H381" s="624" t="str">
        <f>'PV (%)'!E383</f>
        <v/>
      </c>
      <c r="I381" s="624" t="str">
        <f>'PV (%)'!F383</f>
        <v/>
      </c>
      <c r="J381" s="623" t="str">
        <f>'PV (%)'!G383</f>
        <v/>
      </c>
      <c r="K381" s="623"/>
      <c r="L381" s="621" t="str">
        <f>Exposition!A382</f>
        <v/>
      </c>
      <c r="M381" s="625" t="str">
        <f>Exposition!B382</f>
        <v/>
      </c>
      <c r="N381" s="625" t="str">
        <f>Exposition!C382</f>
        <v/>
      </c>
      <c r="O381" s="625" t="str">
        <f>Exposition!D382</f>
        <v/>
      </c>
      <c r="P381" s="625" t="str">
        <f>Exposition!E382</f>
        <v/>
      </c>
      <c r="Q381" s="625" t="str">
        <f>Exposition!F382</f>
        <v/>
      </c>
      <c r="R381" s="625" t="str">
        <f>Exposition!G382</f>
        <v/>
      </c>
      <c r="S381" s="625" t="str">
        <f>Exposition!H382</f>
        <v/>
      </c>
      <c r="T381" s="625" t="str">
        <f>Exposition!I382</f>
        <v/>
      </c>
      <c r="U381" s="625" t="str">
        <f>Exposition!J382</f>
        <v/>
      </c>
      <c r="V381" s="625" t="str">
        <f>Exposition!K382</f>
        <v/>
      </c>
      <c r="W381" s="625" t="str">
        <f>Exposition!L382</f>
        <v/>
      </c>
      <c r="X381" s="625" t="str">
        <f>Exposition!M382</f>
        <v/>
      </c>
      <c r="Y381" s="625" t="str">
        <f>Exposition!N382</f>
        <v/>
      </c>
      <c r="Z381" s="625" t="str">
        <f>Exposition!O382</f>
        <v/>
      </c>
      <c r="AA381" s="625" t="str">
        <f>Exposition!P382</f>
        <v/>
      </c>
      <c r="AB381" s="625" t="str">
        <f>Exposition!Q382</f>
        <v/>
      </c>
      <c r="AC381" s="625" t="str">
        <f>Exposition!R382</f>
        <v/>
      </c>
      <c r="AD381" s="625" t="str">
        <f>Exposition!S382</f>
        <v/>
      </c>
      <c r="AE381" s="625" t="str">
        <f>Exposition!T382</f>
        <v/>
      </c>
      <c r="AF381" s="625" t="str">
        <f>Exposition!U382</f>
        <v/>
      </c>
      <c r="AG381" s="623"/>
      <c r="AH381" s="621" t="str">
        <f>PRIX!A382</f>
        <v/>
      </c>
      <c r="AI381" s="626" t="str">
        <f>PRIX!B382</f>
        <v/>
      </c>
      <c r="AJ381" s="626" t="str">
        <f>PRIX!C382</f>
        <v/>
      </c>
      <c r="AK381" s="627" t="str">
        <f>PRIX!D382</f>
        <v/>
      </c>
      <c r="AL381" s="626" t="str">
        <f>PRIX!E382</f>
        <v/>
      </c>
      <c r="AM381" s="626" t="str">
        <f>PRIX!F382</f>
        <v/>
      </c>
      <c r="AN381" s="627" t="str">
        <f>PRIX!G382</f>
        <v/>
      </c>
      <c r="AO381" s="627" t="str">
        <f>PRIX!H382</f>
        <v/>
      </c>
      <c r="AP381" s="631" t="str">
        <f>PRIX!I382</f>
        <v/>
      </c>
      <c r="AQ381" s="628" t="str">
        <f>PRIX!J382</f>
        <v/>
      </c>
      <c r="AR381" s="631" t="str">
        <f>PRIX!K382</f>
        <v/>
      </c>
      <c r="AS381" s="631" t="str">
        <f>PRIX!L382</f>
        <v/>
      </c>
      <c r="AT381" s="631" t="str">
        <f>PRIX!M382</f>
        <v/>
      </c>
      <c r="AU381" s="629" t="str">
        <f>PRIX!N382</f>
        <v/>
      </c>
      <c r="AV381" s="631" t="str">
        <f>PRIX!O382</f>
        <v/>
      </c>
      <c r="AW381" s="631" t="str">
        <f>PRIX!P382</f>
        <v/>
      </c>
      <c r="AX381" s="630" t="str">
        <f>PRIX!Q382</f>
        <v/>
      </c>
      <c r="AY381" s="631" t="str">
        <f>PRIX!R382</f>
        <v/>
      </c>
      <c r="AZ381" s="631" t="str">
        <f>PRIX!S382</f>
        <v/>
      </c>
      <c r="BA381" s="623"/>
    </row>
    <row r="382">
      <c r="A382" s="621" t="str">
        <f>ARBITRAGES!E383</f>
        <v/>
      </c>
      <c r="B382" s="623" t="str">
        <f>IF(A382="","",IF(ARBITRAGES!F383="Invest","Achat","Vente"))</f>
        <v/>
      </c>
      <c r="C382" s="623" t="str">
        <f>ARBITRAGES!H383</f>
        <v/>
      </c>
      <c r="D382" s="624" t="str">
        <f>ARBITRAGES!I383</f>
        <v/>
      </c>
      <c r="E382" s="624" t="str">
        <f>ARBITRAGES!J383</f>
        <v/>
      </c>
      <c r="F382" s="623"/>
      <c r="G382" s="623" t="str">
        <f>'PV (%)'!B384</f>
        <v/>
      </c>
      <c r="H382" s="624" t="str">
        <f>'PV (%)'!E384</f>
        <v/>
      </c>
      <c r="I382" s="624" t="str">
        <f>'PV (%)'!F384</f>
        <v/>
      </c>
      <c r="J382" s="623" t="str">
        <f>'PV (%)'!G384</f>
        <v/>
      </c>
      <c r="K382" s="623"/>
      <c r="L382" s="621" t="str">
        <f>Exposition!A383</f>
        <v/>
      </c>
      <c r="M382" s="625" t="str">
        <f>Exposition!B383</f>
        <v/>
      </c>
      <c r="N382" s="625" t="str">
        <f>Exposition!C383</f>
        <v/>
      </c>
      <c r="O382" s="625" t="str">
        <f>Exposition!D383</f>
        <v/>
      </c>
      <c r="P382" s="625" t="str">
        <f>Exposition!E383</f>
        <v/>
      </c>
      <c r="Q382" s="625" t="str">
        <f>Exposition!F383</f>
        <v/>
      </c>
      <c r="R382" s="625" t="str">
        <f>Exposition!G383</f>
        <v/>
      </c>
      <c r="S382" s="625" t="str">
        <f>Exposition!H383</f>
        <v/>
      </c>
      <c r="T382" s="625" t="str">
        <f>Exposition!I383</f>
        <v/>
      </c>
      <c r="U382" s="625" t="str">
        <f>Exposition!J383</f>
        <v/>
      </c>
      <c r="V382" s="625" t="str">
        <f>Exposition!K383</f>
        <v/>
      </c>
      <c r="W382" s="625" t="str">
        <f>Exposition!L383</f>
        <v/>
      </c>
      <c r="X382" s="625" t="str">
        <f>Exposition!M383</f>
        <v/>
      </c>
      <c r="Y382" s="625" t="str">
        <f>Exposition!N383</f>
        <v/>
      </c>
      <c r="Z382" s="625" t="str">
        <f>Exposition!O383</f>
        <v/>
      </c>
      <c r="AA382" s="625" t="str">
        <f>Exposition!P383</f>
        <v/>
      </c>
      <c r="AB382" s="625" t="str">
        <f>Exposition!Q383</f>
        <v/>
      </c>
      <c r="AC382" s="625" t="str">
        <f>Exposition!R383</f>
        <v/>
      </c>
      <c r="AD382" s="625" t="str">
        <f>Exposition!S383</f>
        <v/>
      </c>
      <c r="AE382" s="625" t="str">
        <f>Exposition!T383</f>
        <v/>
      </c>
      <c r="AF382" s="625" t="str">
        <f>Exposition!U383</f>
        <v/>
      </c>
      <c r="AG382" s="623"/>
      <c r="AH382" s="621" t="str">
        <f>PRIX!A383</f>
        <v/>
      </c>
      <c r="AI382" s="626" t="str">
        <f>PRIX!B383</f>
        <v/>
      </c>
      <c r="AJ382" s="626" t="str">
        <f>PRIX!C383</f>
        <v/>
      </c>
      <c r="AK382" s="627" t="str">
        <f>PRIX!D383</f>
        <v/>
      </c>
      <c r="AL382" s="626" t="str">
        <f>PRIX!E383</f>
        <v/>
      </c>
      <c r="AM382" s="626" t="str">
        <f>PRIX!F383</f>
        <v/>
      </c>
      <c r="AN382" s="627" t="str">
        <f>PRIX!G383</f>
        <v/>
      </c>
      <c r="AO382" s="627" t="str">
        <f>PRIX!H383</f>
        <v/>
      </c>
      <c r="AP382" s="631" t="str">
        <f>PRIX!I383</f>
        <v/>
      </c>
      <c r="AQ382" s="628" t="str">
        <f>PRIX!J383</f>
        <v/>
      </c>
      <c r="AR382" s="631" t="str">
        <f>PRIX!K383</f>
        <v/>
      </c>
      <c r="AS382" s="631" t="str">
        <f>PRIX!L383</f>
        <v/>
      </c>
      <c r="AT382" s="631" t="str">
        <f>PRIX!M383</f>
        <v/>
      </c>
      <c r="AU382" s="629" t="str">
        <f>PRIX!N383</f>
        <v/>
      </c>
      <c r="AV382" s="631" t="str">
        <f>PRIX!O383</f>
        <v/>
      </c>
      <c r="AW382" s="631" t="str">
        <f>PRIX!P383</f>
        <v/>
      </c>
      <c r="AX382" s="630" t="str">
        <f>PRIX!Q383</f>
        <v/>
      </c>
      <c r="AY382" s="631" t="str">
        <f>PRIX!R383</f>
        <v/>
      </c>
      <c r="AZ382" s="631" t="str">
        <f>PRIX!S383</f>
        <v/>
      </c>
      <c r="BA382" s="623"/>
    </row>
    <row r="383">
      <c r="A383" s="621" t="str">
        <f>ARBITRAGES!E384</f>
        <v/>
      </c>
      <c r="B383" s="623" t="str">
        <f>IF(A383="","",IF(ARBITRAGES!F384="Invest","Achat","Vente"))</f>
        <v/>
      </c>
      <c r="C383" s="623" t="str">
        <f>ARBITRAGES!H384</f>
        <v/>
      </c>
      <c r="D383" s="624" t="str">
        <f>ARBITRAGES!I384</f>
        <v/>
      </c>
      <c r="E383" s="624" t="str">
        <f>ARBITRAGES!J384</f>
        <v/>
      </c>
      <c r="F383" s="623"/>
      <c r="G383" s="623" t="str">
        <f>'PV (%)'!B385</f>
        <v/>
      </c>
      <c r="H383" s="624" t="str">
        <f>'PV (%)'!E385</f>
        <v/>
      </c>
      <c r="I383" s="624" t="str">
        <f>'PV (%)'!F385</f>
        <v/>
      </c>
      <c r="J383" s="623" t="str">
        <f>'PV (%)'!G385</f>
        <v/>
      </c>
      <c r="K383" s="623"/>
      <c r="L383" s="621" t="str">
        <f>Exposition!A384</f>
        <v/>
      </c>
      <c r="M383" s="625" t="str">
        <f>Exposition!B384</f>
        <v/>
      </c>
      <c r="N383" s="625" t="str">
        <f>Exposition!C384</f>
        <v/>
      </c>
      <c r="O383" s="625" t="str">
        <f>Exposition!D384</f>
        <v/>
      </c>
      <c r="P383" s="625" t="str">
        <f>Exposition!E384</f>
        <v/>
      </c>
      <c r="Q383" s="625" t="str">
        <f>Exposition!F384</f>
        <v/>
      </c>
      <c r="R383" s="625" t="str">
        <f>Exposition!G384</f>
        <v/>
      </c>
      <c r="S383" s="625" t="str">
        <f>Exposition!H384</f>
        <v/>
      </c>
      <c r="T383" s="625" t="str">
        <f>Exposition!I384</f>
        <v/>
      </c>
      <c r="U383" s="625" t="str">
        <f>Exposition!J384</f>
        <v/>
      </c>
      <c r="V383" s="625" t="str">
        <f>Exposition!K384</f>
        <v/>
      </c>
      <c r="W383" s="625" t="str">
        <f>Exposition!L384</f>
        <v/>
      </c>
      <c r="X383" s="625" t="str">
        <f>Exposition!M384</f>
        <v/>
      </c>
      <c r="Y383" s="625" t="str">
        <f>Exposition!N384</f>
        <v/>
      </c>
      <c r="Z383" s="625" t="str">
        <f>Exposition!O384</f>
        <v/>
      </c>
      <c r="AA383" s="625" t="str">
        <f>Exposition!P384</f>
        <v/>
      </c>
      <c r="AB383" s="625" t="str">
        <f>Exposition!Q384</f>
        <v/>
      </c>
      <c r="AC383" s="625" t="str">
        <f>Exposition!R384</f>
        <v/>
      </c>
      <c r="AD383" s="625" t="str">
        <f>Exposition!S384</f>
        <v/>
      </c>
      <c r="AE383" s="625" t="str">
        <f>Exposition!T384</f>
        <v/>
      </c>
      <c r="AF383" s="625" t="str">
        <f>Exposition!U384</f>
        <v/>
      </c>
      <c r="AG383" s="623"/>
      <c r="AH383" s="621" t="str">
        <f>PRIX!A384</f>
        <v/>
      </c>
      <c r="AI383" s="626" t="str">
        <f>PRIX!B384</f>
        <v/>
      </c>
      <c r="AJ383" s="626" t="str">
        <f>PRIX!C384</f>
        <v/>
      </c>
      <c r="AK383" s="627" t="str">
        <f>PRIX!D384</f>
        <v/>
      </c>
      <c r="AL383" s="626" t="str">
        <f>PRIX!E384</f>
        <v/>
      </c>
      <c r="AM383" s="626" t="str">
        <f>PRIX!F384</f>
        <v/>
      </c>
      <c r="AN383" s="627" t="str">
        <f>PRIX!G384</f>
        <v/>
      </c>
      <c r="AO383" s="627" t="str">
        <f>PRIX!H384</f>
        <v/>
      </c>
      <c r="AP383" s="631" t="str">
        <f>PRIX!I384</f>
        <v/>
      </c>
      <c r="AQ383" s="628" t="str">
        <f>PRIX!J384</f>
        <v/>
      </c>
      <c r="AR383" s="631" t="str">
        <f>PRIX!K384</f>
        <v/>
      </c>
      <c r="AS383" s="631" t="str">
        <f>PRIX!L384</f>
        <v/>
      </c>
      <c r="AT383" s="631" t="str">
        <f>PRIX!M384</f>
        <v/>
      </c>
      <c r="AU383" s="629" t="str">
        <f>PRIX!N384</f>
        <v/>
      </c>
      <c r="AV383" s="631" t="str">
        <f>PRIX!O384</f>
        <v/>
      </c>
      <c r="AW383" s="631" t="str">
        <f>PRIX!P384</f>
        <v/>
      </c>
      <c r="AX383" s="630" t="str">
        <f>PRIX!Q384</f>
        <v/>
      </c>
      <c r="AY383" s="631" t="str">
        <f>PRIX!R384</f>
        <v/>
      </c>
      <c r="AZ383" s="631" t="str">
        <f>PRIX!S384</f>
        <v/>
      </c>
      <c r="BA383" s="623"/>
    </row>
    <row r="384">
      <c r="A384" s="621" t="str">
        <f>ARBITRAGES!E385</f>
        <v/>
      </c>
      <c r="B384" s="623" t="str">
        <f>IF(A384="","",IF(ARBITRAGES!F385="Invest","Achat","Vente"))</f>
        <v/>
      </c>
      <c r="C384" s="623" t="str">
        <f>ARBITRAGES!H385</f>
        <v/>
      </c>
      <c r="D384" s="624" t="str">
        <f>ARBITRAGES!I385</f>
        <v/>
      </c>
      <c r="E384" s="624" t="str">
        <f>ARBITRAGES!J385</f>
        <v/>
      </c>
      <c r="F384" s="623"/>
      <c r="G384" s="623" t="str">
        <f>'PV (%)'!B386</f>
        <v/>
      </c>
      <c r="H384" s="624" t="str">
        <f>'PV (%)'!E386</f>
        <v/>
      </c>
      <c r="I384" s="624" t="str">
        <f>'PV (%)'!F386</f>
        <v/>
      </c>
      <c r="J384" s="623" t="str">
        <f>'PV (%)'!G386</f>
        <v/>
      </c>
      <c r="K384" s="623"/>
      <c r="L384" s="621" t="str">
        <f>Exposition!A385</f>
        <v/>
      </c>
      <c r="M384" s="625" t="str">
        <f>Exposition!B385</f>
        <v/>
      </c>
      <c r="N384" s="625" t="str">
        <f>Exposition!C385</f>
        <v/>
      </c>
      <c r="O384" s="625" t="str">
        <f>Exposition!D385</f>
        <v/>
      </c>
      <c r="P384" s="625" t="str">
        <f>Exposition!E385</f>
        <v/>
      </c>
      <c r="Q384" s="625" t="str">
        <f>Exposition!F385</f>
        <v/>
      </c>
      <c r="R384" s="625" t="str">
        <f>Exposition!G385</f>
        <v/>
      </c>
      <c r="S384" s="625" t="str">
        <f>Exposition!H385</f>
        <v/>
      </c>
      <c r="T384" s="625" t="str">
        <f>Exposition!I385</f>
        <v/>
      </c>
      <c r="U384" s="625" t="str">
        <f>Exposition!J385</f>
        <v/>
      </c>
      <c r="V384" s="625" t="str">
        <f>Exposition!K385</f>
        <v/>
      </c>
      <c r="W384" s="625" t="str">
        <f>Exposition!L385</f>
        <v/>
      </c>
      <c r="X384" s="625" t="str">
        <f>Exposition!M385</f>
        <v/>
      </c>
      <c r="Y384" s="625" t="str">
        <f>Exposition!N385</f>
        <v/>
      </c>
      <c r="Z384" s="625" t="str">
        <f>Exposition!O385</f>
        <v/>
      </c>
      <c r="AA384" s="625" t="str">
        <f>Exposition!P385</f>
        <v/>
      </c>
      <c r="AB384" s="625" t="str">
        <f>Exposition!Q385</f>
        <v/>
      </c>
      <c r="AC384" s="625" t="str">
        <f>Exposition!R385</f>
        <v/>
      </c>
      <c r="AD384" s="625" t="str">
        <f>Exposition!S385</f>
        <v/>
      </c>
      <c r="AE384" s="625" t="str">
        <f>Exposition!T385</f>
        <v/>
      </c>
      <c r="AF384" s="625" t="str">
        <f>Exposition!U385</f>
        <v/>
      </c>
      <c r="AG384" s="623"/>
      <c r="AH384" s="621" t="str">
        <f>PRIX!A385</f>
        <v/>
      </c>
      <c r="AI384" s="626" t="str">
        <f>PRIX!B385</f>
        <v/>
      </c>
      <c r="AJ384" s="626" t="str">
        <f>PRIX!C385</f>
        <v/>
      </c>
      <c r="AK384" s="627" t="str">
        <f>PRIX!D385</f>
        <v/>
      </c>
      <c r="AL384" s="626" t="str">
        <f>PRIX!E385</f>
        <v/>
      </c>
      <c r="AM384" s="626" t="str">
        <f>PRIX!F385</f>
        <v/>
      </c>
      <c r="AN384" s="627" t="str">
        <f>PRIX!G385</f>
        <v/>
      </c>
      <c r="AO384" s="627" t="str">
        <f>PRIX!H385</f>
        <v/>
      </c>
      <c r="AP384" s="631" t="str">
        <f>PRIX!I385</f>
        <v/>
      </c>
      <c r="AQ384" s="628" t="str">
        <f>PRIX!J385</f>
        <v/>
      </c>
      <c r="AR384" s="631" t="str">
        <f>PRIX!K385</f>
        <v/>
      </c>
      <c r="AS384" s="631" t="str">
        <f>PRIX!L385</f>
        <v/>
      </c>
      <c r="AT384" s="631" t="str">
        <f>PRIX!M385</f>
        <v/>
      </c>
      <c r="AU384" s="629" t="str">
        <f>PRIX!N385</f>
        <v/>
      </c>
      <c r="AV384" s="631" t="str">
        <f>PRIX!O385</f>
        <v/>
      </c>
      <c r="AW384" s="631" t="str">
        <f>PRIX!P385</f>
        <v/>
      </c>
      <c r="AX384" s="630" t="str">
        <f>PRIX!Q385</f>
        <v/>
      </c>
      <c r="AY384" s="631" t="str">
        <f>PRIX!R385</f>
        <v/>
      </c>
      <c r="AZ384" s="631" t="str">
        <f>PRIX!S385</f>
        <v/>
      </c>
      <c r="BA384" s="623"/>
    </row>
    <row r="385">
      <c r="A385" s="621" t="str">
        <f>ARBITRAGES!E386</f>
        <v/>
      </c>
      <c r="B385" s="623" t="str">
        <f>IF(A385="","",IF(ARBITRAGES!F386="Invest","Achat","Vente"))</f>
        <v/>
      </c>
      <c r="C385" s="623" t="str">
        <f>ARBITRAGES!H386</f>
        <v/>
      </c>
      <c r="D385" s="624" t="str">
        <f>ARBITRAGES!I386</f>
        <v/>
      </c>
      <c r="E385" s="624" t="str">
        <f>ARBITRAGES!J386</f>
        <v/>
      </c>
      <c r="F385" s="623"/>
      <c r="G385" s="623" t="str">
        <f>'PV (%)'!B387</f>
        <v/>
      </c>
      <c r="H385" s="624" t="str">
        <f>'PV (%)'!E387</f>
        <v/>
      </c>
      <c r="I385" s="624" t="str">
        <f>'PV (%)'!F387</f>
        <v/>
      </c>
      <c r="J385" s="623" t="str">
        <f>'PV (%)'!G387</f>
        <v/>
      </c>
      <c r="K385" s="623"/>
      <c r="L385" s="621" t="str">
        <f>Exposition!A386</f>
        <v/>
      </c>
      <c r="M385" s="625" t="str">
        <f>Exposition!B386</f>
        <v/>
      </c>
      <c r="N385" s="625" t="str">
        <f>Exposition!C386</f>
        <v/>
      </c>
      <c r="O385" s="625" t="str">
        <f>Exposition!D386</f>
        <v/>
      </c>
      <c r="P385" s="625" t="str">
        <f>Exposition!E386</f>
        <v/>
      </c>
      <c r="Q385" s="625" t="str">
        <f>Exposition!F386</f>
        <v/>
      </c>
      <c r="R385" s="625" t="str">
        <f>Exposition!G386</f>
        <v/>
      </c>
      <c r="S385" s="625" t="str">
        <f>Exposition!H386</f>
        <v/>
      </c>
      <c r="T385" s="625" t="str">
        <f>Exposition!I386</f>
        <v/>
      </c>
      <c r="U385" s="625" t="str">
        <f>Exposition!J386</f>
        <v/>
      </c>
      <c r="V385" s="625" t="str">
        <f>Exposition!K386</f>
        <v/>
      </c>
      <c r="W385" s="625" t="str">
        <f>Exposition!L386</f>
        <v/>
      </c>
      <c r="X385" s="625" t="str">
        <f>Exposition!M386</f>
        <v/>
      </c>
      <c r="Y385" s="625" t="str">
        <f>Exposition!N386</f>
        <v/>
      </c>
      <c r="Z385" s="625" t="str">
        <f>Exposition!O386</f>
        <v/>
      </c>
      <c r="AA385" s="625" t="str">
        <f>Exposition!P386</f>
        <v/>
      </c>
      <c r="AB385" s="625" t="str">
        <f>Exposition!Q386</f>
        <v/>
      </c>
      <c r="AC385" s="625" t="str">
        <f>Exposition!R386</f>
        <v/>
      </c>
      <c r="AD385" s="625" t="str">
        <f>Exposition!S386</f>
        <v/>
      </c>
      <c r="AE385" s="625" t="str">
        <f>Exposition!T386</f>
        <v/>
      </c>
      <c r="AF385" s="625" t="str">
        <f>Exposition!U386</f>
        <v/>
      </c>
      <c r="AG385" s="623"/>
      <c r="AH385" s="621" t="str">
        <f>PRIX!A386</f>
        <v/>
      </c>
      <c r="AI385" s="626" t="str">
        <f>PRIX!B386</f>
        <v/>
      </c>
      <c r="AJ385" s="626" t="str">
        <f>PRIX!C386</f>
        <v/>
      </c>
      <c r="AK385" s="627" t="str">
        <f>PRIX!D386</f>
        <v/>
      </c>
      <c r="AL385" s="626" t="str">
        <f>PRIX!E386</f>
        <v/>
      </c>
      <c r="AM385" s="626" t="str">
        <f>PRIX!F386</f>
        <v/>
      </c>
      <c r="AN385" s="627" t="str">
        <f>PRIX!G386</f>
        <v/>
      </c>
      <c r="AO385" s="627" t="str">
        <f>PRIX!H386</f>
        <v/>
      </c>
      <c r="AP385" s="631" t="str">
        <f>PRIX!I386</f>
        <v/>
      </c>
      <c r="AQ385" s="628" t="str">
        <f>PRIX!J386</f>
        <v/>
      </c>
      <c r="AR385" s="631" t="str">
        <f>PRIX!K386</f>
        <v/>
      </c>
      <c r="AS385" s="631" t="str">
        <f>PRIX!L386</f>
        <v/>
      </c>
      <c r="AT385" s="631" t="str">
        <f>PRIX!M386</f>
        <v/>
      </c>
      <c r="AU385" s="629" t="str">
        <f>PRIX!N386</f>
        <v/>
      </c>
      <c r="AV385" s="631" t="str">
        <f>PRIX!O386</f>
        <v/>
      </c>
      <c r="AW385" s="631" t="str">
        <f>PRIX!P386</f>
        <v/>
      </c>
      <c r="AX385" s="630" t="str">
        <f>PRIX!Q386</f>
        <v/>
      </c>
      <c r="AY385" s="631" t="str">
        <f>PRIX!R386</f>
        <v/>
      </c>
      <c r="AZ385" s="631" t="str">
        <f>PRIX!S386</f>
        <v/>
      </c>
      <c r="BA385" s="623"/>
    </row>
    <row r="386">
      <c r="A386" s="621" t="str">
        <f>ARBITRAGES!E387</f>
        <v/>
      </c>
      <c r="B386" s="623" t="str">
        <f>IF(A386="","",IF(ARBITRAGES!F387="Invest","Achat","Vente"))</f>
        <v/>
      </c>
      <c r="C386" s="623" t="str">
        <f>ARBITRAGES!H387</f>
        <v/>
      </c>
      <c r="D386" s="624" t="str">
        <f>ARBITRAGES!I387</f>
        <v/>
      </c>
      <c r="E386" s="624" t="str">
        <f>ARBITRAGES!J387</f>
        <v/>
      </c>
      <c r="F386" s="623"/>
      <c r="G386" s="623" t="str">
        <f>'PV (%)'!B388</f>
        <v/>
      </c>
      <c r="H386" s="624" t="str">
        <f>'PV (%)'!E388</f>
        <v/>
      </c>
      <c r="I386" s="624" t="str">
        <f>'PV (%)'!F388</f>
        <v/>
      </c>
      <c r="J386" s="623" t="str">
        <f>'PV (%)'!G388</f>
        <v/>
      </c>
      <c r="K386" s="623"/>
      <c r="L386" s="621" t="str">
        <f>Exposition!A387</f>
        <v/>
      </c>
      <c r="M386" s="625" t="str">
        <f>Exposition!B387</f>
        <v/>
      </c>
      <c r="N386" s="625" t="str">
        <f>Exposition!C387</f>
        <v/>
      </c>
      <c r="O386" s="625" t="str">
        <f>Exposition!D387</f>
        <v/>
      </c>
      <c r="P386" s="625" t="str">
        <f>Exposition!E387</f>
        <v/>
      </c>
      <c r="Q386" s="625" t="str">
        <f>Exposition!F387</f>
        <v/>
      </c>
      <c r="R386" s="625" t="str">
        <f>Exposition!G387</f>
        <v/>
      </c>
      <c r="S386" s="625" t="str">
        <f>Exposition!H387</f>
        <v/>
      </c>
      <c r="T386" s="625" t="str">
        <f>Exposition!I387</f>
        <v/>
      </c>
      <c r="U386" s="625" t="str">
        <f>Exposition!J387</f>
        <v/>
      </c>
      <c r="V386" s="625" t="str">
        <f>Exposition!K387</f>
        <v/>
      </c>
      <c r="W386" s="625" t="str">
        <f>Exposition!L387</f>
        <v/>
      </c>
      <c r="X386" s="625" t="str">
        <f>Exposition!M387</f>
        <v/>
      </c>
      <c r="Y386" s="625" t="str">
        <f>Exposition!N387</f>
        <v/>
      </c>
      <c r="Z386" s="625" t="str">
        <f>Exposition!O387</f>
        <v/>
      </c>
      <c r="AA386" s="625" t="str">
        <f>Exposition!P387</f>
        <v/>
      </c>
      <c r="AB386" s="625" t="str">
        <f>Exposition!Q387</f>
        <v/>
      </c>
      <c r="AC386" s="625" t="str">
        <f>Exposition!R387</f>
        <v/>
      </c>
      <c r="AD386" s="625" t="str">
        <f>Exposition!S387</f>
        <v/>
      </c>
      <c r="AE386" s="625" t="str">
        <f>Exposition!T387</f>
        <v/>
      </c>
      <c r="AF386" s="625" t="str">
        <f>Exposition!U387</f>
        <v/>
      </c>
      <c r="AG386" s="623"/>
      <c r="AH386" s="621" t="str">
        <f>PRIX!A387</f>
        <v/>
      </c>
      <c r="AI386" s="626" t="str">
        <f>PRIX!B387</f>
        <v/>
      </c>
      <c r="AJ386" s="626" t="str">
        <f>PRIX!C387</f>
        <v/>
      </c>
      <c r="AK386" s="627" t="str">
        <f>PRIX!D387</f>
        <v/>
      </c>
      <c r="AL386" s="626" t="str">
        <f>PRIX!E387</f>
        <v/>
      </c>
      <c r="AM386" s="626" t="str">
        <f>PRIX!F387</f>
        <v/>
      </c>
      <c r="AN386" s="627" t="str">
        <f>PRIX!G387</f>
        <v/>
      </c>
      <c r="AO386" s="627" t="str">
        <f>PRIX!H387</f>
        <v/>
      </c>
      <c r="AP386" s="631" t="str">
        <f>PRIX!I387</f>
        <v/>
      </c>
      <c r="AQ386" s="628" t="str">
        <f>PRIX!J387</f>
        <v/>
      </c>
      <c r="AR386" s="631" t="str">
        <f>PRIX!K387</f>
        <v/>
      </c>
      <c r="AS386" s="631" t="str">
        <f>PRIX!L387</f>
        <v/>
      </c>
      <c r="AT386" s="631" t="str">
        <f>PRIX!M387</f>
        <v/>
      </c>
      <c r="AU386" s="629" t="str">
        <f>PRIX!N387</f>
        <v/>
      </c>
      <c r="AV386" s="631" t="str">
        <f>PRIX!O387</f>
        <v/>
      </c>
      <c r="AW386" s="631" t="str">
        <f>PRIX!P387</f>
        <v/>
      </c>
      <c r="AX386" s="630" t="str">
        <f>PRIX!Q387</f>
        <v/>
      </c>
      <c r="AY386" s="631" t="str">
        <f>PRIX!R387</f>
        <v/>
      </c>
      <c r="AZ386" s="631" t="str">
        <f>PRIX!S387</f>
        <v/>
      </c>
      <c r="BA386" s="623"/>
    </row>
    <row r="387">
      <c r="A387" s="621" t="str">
        <f>ARBITRAGES!E388</f>
        <v/>
      </c>
      <c r="B387" s="623" t="str">
        <f>IF(A387="","",IF(ARBITRAGES!F388="Invest","Achat","Vente"))</f>
        <v/>
      </c>
      <c r="C387" s="623" t="str">
        <f>ARBITRAGES!H388</f>
        <v/>
      </c>
      <c r="D387" s="624" t="str">
        <f>ARBITRAGES!I388</f>
        <v/>
      </c>
      <c r="E387" s="624" t="str">
        <f>ARBITRAGES!J388</f>
        <v/>
      </c>
      <c r="F387" s="623"/>
      <c r="G387" s="623" t="str">
        <f>'PV (%)'!B389</f>
        <v/>
      </c>
      <c r="H387" s="624" t="str">
        <f>'PV (%)'!E389</f>
        <v/>
      </c>
      <c r="I387" s="624" t="str">
        <f>'PV (%)'!F389</f>
        <v/>
      </c>
      <c r="J387" s="623" t="str">
        <f>'PV (%)'!G389</f>
        <v/>
      </c>
      <c r="K387" s="623"/>
      <c r="L387" s="621" t="str">
        <f>Exposition!A388</f>
        <v/>
      </c>
      <c r="M387" s="625" t="str">
        <f>Exposition!B388</f>
        <v/>
      </c>
      <c r="N387" s="625" t="str">
        <f>Exposition!C388</f>
        <v/>
      </c>
      <c r="O387" s="625" t="str">
        <f>Exposition!D388</f>
        <v/>
      </c>
      <c r="P387" s="625" t="str">
        <f>Exposition!E388</f>
        <v/>
      </c>
      <c r="Q387" s="625" t="str">
        <f>Exposition!F388</f>
        <v/>
      </c>
      <c r="R387" s="625" t="str">
        <f>Exposition!G388</f>
        <v/>
      </c>
      <c r="S387" s="625" t="str">
        <f>Exposition!H388</f>
        <v/>
      </c>
      <c r="T387" s="625" t="str">
        <f>Exposition!I388</f>
        <v/>
      </c>
      <c r="U387" s="625" t="str">
        <f>Exposition!J388</f>
        <v/>
      </c>
      <c r="V387" s="625" t="str">
        <f>Exposition!K388</f>
        <v/>
      </c>
      <c r="W387" s="625" t="str">
        <f>Exposition!L388</f>
        <v/>
      </c>
      <c r="X387" s="625" t="str">
        <f>Exposition!M388</f>
        <v/>
      </c>
      <c r="Y387" s="625" t="str">
        <f>Exposition!N388</f>
        <v/>
      </c>
      <c r="Z387" s="625" t="str">
        <f>Exposition!O388</f>
        <v/>
      </c>
      <c r="AA387" s="625" t="str">
        <f>Exposition!P388</f>
        <v/>
      </c>
      <c r="AB387" s="625" t="str">
        <f>Exposition!Q388</f>
        <v/>
      </c>
      <c r="AC387" s="625" t="str">
        <f>Exposition!R388</f>
        <v/>
      </c>
      <c r="AD387" s="625" t="str">
        <f>Exposition!S388</f>
        <v/>
      </c>
      <c r="AE387" s="625" t="str">
        <f>Exposition!T388</f>
        <v/>
      </c>
      <c r="AF387" s="625" t="str">
        <f>Exposition!U388</f>
        <v/>
      </c>
      <c r="AG387" s="623"/>
      <c r="AH387" s="621" t="str">
        <f>PRIX!A388</f>
        <v/>
      </c>
      <c r="AI387" s="626" t="str">
        <f>PRIX!B388</f>
        <v/>
      </c>
      <c r="AJ387" s="626" t="str">
        <f>PRIX!C388</f>
        <v/>
      </c>
      <c r="AK387" s="627" t="str">
        <f>PRIX!D388</f>
        <v/>
      </c>
      <c r="AL387" s="626" t="str">
        <f>PRIX!E388</f>
        <v/>
      </c>
      <c r="AM387" s="626" t="str">
        <f>PRIX!F388</f>
        <v/>
      </c>
      <c r="AN387" s="627" t="str">
        <f>PRIX!G388</f>
        <v/>
      </c>
      <c r="AO387" s="627" t="str">
        <f>PRIX!H388</f>
        <v/>
      </c>
      <c r="AP387" s="631" t="str">
        <f>PRIX!I388</f>
        <v/>
      </c>
      <c r="AQ387" s="628" t="str">
        <f>PRIX!J388</f>
        <v/>
      </c>
      <c r="AR387" s="631" t="str">
        <f>PRIX!K388</f>
        <v/>
      </c>
      <c r="AS387" s="631" t="str">
        <f>PRIX!L388</f>
        <v/>
      </c>
      <c r="AT387" s="631" t="str">
        <f>PRIX!M388</f>
        <v/>
      </c>
      <c r="AU387" s="629" t="str">
        <f>PRIX!N388</f>
        <v/>
      </c>
      <c r="AV387" s="631" t="str">
        <f>PRIX!O388</f>
        <v/>
      </c>
      <c r="AW387" s="631" t="str">
        <f>PRIX!P388</f>
        <v/>
      </c>
      <c r="AX387" s="630" t="str">
        <f>PRIX!Q388</f>
        <v/>
      </c>
      <c r="AY387" s="631" t="str">
        <f>PRIX!R388</f>
        <v/>
      </c>
      <c r="AZ387" s="631" t="str">
        <f>PRIX!S388</f>
        <v/>
      </c>
      <c r="BA387" s="623"/>
    </row>
    <row r="388">
      <c r="A388" s="621" t="str">
        <f>ARBITRAGES!E389</f>
        <v/>
      </c>
      <c r="B388" s="623" t="str">
        <f>IF(A388="","",IF(ARBITRAGES!F389="Invest","Achat","Vente"))</f>
        <v/>
      </c>
      <c r="C388" s="623" t="str">
        <f>ARBITRAGES!H389</f>
        <v/>
      </c>
      <c r="D388" s="624" t="str">
        <f>ARBITRAGES!I389</f>
        <v/>
      </c>
      <c r="E388" s="624" t="str">
        <f>ARBITRAGES!J389</f>
        <v/>
      </c>
      <c r="F388" s="623"/>
      <c r="G388" s="623" t="str">
        <f>'PV (%)'!B390</f>
        <v/>
      </c>
      <c r="H388" s="624" t="str">
        <f>'PV (%)'!E390</f>
        <v/>
      </c>
      <c r="I388" s="624" t="str">
        <f>'PV (%)'!F390</f>
        <v/>
      </c>
      <c r="J388" s="623" t="str">
        <f>'PV (%)'!G390</f>
        <v/>
      </c>
      <c r="K388" s="623"/>
      <c r="L388" s="621" t="str">
        <f>Exposition!A389</f>
        <v/>
      </c>
      <c r="M388" s="625" t="str">
        <f>Exposition!B389</f>
        <v/>
      </c>
      <c r="N388" s="625" t="str">
        <f>Exposition!C389</f>
        <v/>
      </c>
      <c r="O388" s="625" t="str">
        <f>Exposition!D389</f>
        <v/>
      </c>
      <c r="P388" s="625" t="str">
        <f>Exposition!E389</f>
        <v/>
      </c>
      <c r="Q388" s="625" t="str">
        <f>Exposition!F389</f>
        <v/>
      </c>
      <c r="R388" s="625" t="str">
        <f>Exposition!G389</f>
        <v/>
      </c>
      <c r="S388" s="625" t="str">
        <f>Exposition!H389</f>
        <v/>
      </c>
      <c r="T388" s="625" t="str">
        <f>Exposition!I389</f>
        <v/>
      </c>
      <c r="U388" s="625" t="str">
        <f>Exposition!J389</f>
        <v/>
      </c>
      <c r="V388" s="625" t="str">
        <f>Exposition!K389</f>
        <v/>
      </c>
      <c r="W388" s="625" t="str">
        <f>Exposition!L389</f>
        <v/>
      </c>
      <c r="X388" s="625" t="str">
        <f>Exposition!M389</f>
        <v/>
      </c>
      <c r="Y388" s="625" t="str">
        <f>Exposition!N389</f>
        <v/>
      </c>
      <c r="Z388" s="625" t="str">
        <f>Exposition!O389</f>
        <v/>
      </c>
      <c r="AA388" s="625" t="str">
        <f>Exposition!P389</f>
        <v/>
      </c>
      <c r="AB388" s="625" t="str">
        <f>Exposition!Q389</f>
        <v/>
      </c>
      <c r="AC388" s="625" t="str">
        <f>Exposition!R389</f>
        <v/>
      </c>
      <c r="AD388" s="625" t="str">
        <f>Exposition!S389</f>
        <v/>
      </c>
      <c r="AE388" s="625" t="str">
        <f>Exposition!T389</f>
        <v/>
      </c>
      <c r="AF388" s="625" t="str">
        <f>Exposition!U389</f>
        <v/>
      </c>
      <c r="AG388" s="623"/>
      <c r="AH388" s="621" t="str">
        <f>PRIX!A389</f>
        <v/>
      </c>
      <c r="AI388" s="626" t="str">
        <f>PRIX!B389</f>
        <v/>
      </c>
      <c r="AJ388" s="626" t="str">
        <f>PRIX!C389</f>
        <v/>
      </c>
      <c r="AK388" s="627" t="str">
        <f>PRIX!D389</f>
        <v/>
      </c>
      <c r="AL388" s="626" t="str">
        <f>PRIX!E389</f>
        <v/>
      </c>
      <c r="AM388" s="626" t="str">
        <f>PRIX!F389</f>
        <v/>
      </c>
      <c r="AN388" s="627" t="str">
        <f>PRIX!G389</f>
        <v/>
      </c>
      <c r="AO388" s="627" t="str">
        <f>PRIX!H389</f>
        <v/>
      </c>
      <c r="AP388" s="631" t="str">
        <f>PRIX!I389</f>
        <v/>
      </c>
      <c r="AQ388" s="628" t="str">
        <f>PRIX!J389</f>
        <v/>
      </c>
      <c r="AR388" s="631" t="str">
        <f>PRIX!K389</f>
        <v/>
      </c>
      <c r="AS388" s="631" t="str">
        <f>PRIX!L389</f>
        <v/>
      </c>
      <c r="AT388" s="631" t="str">
        <f>PRIX!M389</f>
        <v/>
      </c>
      <c r="AU388" s="629" t="str">
        <f>PRIX!N389</f>
        <v/>
      </c>
      <c r="AV388" s="631" t="str">
        <f>PRIX!O389</f>
        <v/>
      </c>
      <c r="AW388" s="631" t="str">
        <f>PRIX!P389</f>
        <v/>
      </c>
      <c r="AX388" s="630" t="str">
        <f>PRIX!Q389</f>
        <v/>
      </c>
      <c r="AY388" s="631" t="str">
        <f>PRIX!R389</f>
        <v/>
      </c>
      <c r="AZ388" s="631" t="str">
        <f>PRIX!S389</f>
        <v/>
      </c>
      <c r="BA388" s="623"/>
    </row>
    <row r="389">
      <c r="A389" s="621" t="str">
        <f>ARBITRAGES!E390</f>
        <v/>
      </c>
      <c r="B389" s="623" t="str">
        <f>IF(A389="","",IF(ARBITRAGES!F390="Invest","Achat","Vente"))</f>
        <v/>
      </c>
      <c r="C389" s="623" t="str">
        <f>ARBITRAGES!H390</f>
        <v/>
      </c>
      <c r="D389" s="624" t="str">
        <f>ARBITRAGES!I390</f>
        <v/>
      </c>
      <c r="E389" s="624" t="str">
        <f>ARBITRAGES!J390</f>
        <v/>
      </c>
      <c r="F389" s="623"/>
      <c r="G389" s="623" t="str">
        <f>'PV (%)'!B391</f>
        <v/>
      </c>
      <c r="H389" s="624" t="str">
        <f>'PV (%)'!E391</f>
        <v/>
      </c>
      <c r="I389" s="624" t="str">
        <f>'PV (%)'!F391</f>
        <v/>
      </c>
      <c r="J389" s="623" t="str">
        <f>'PV (%)'!G391</f>
        <v/>
      </c>
      <c r="K389" s="623"/>
      <c r="L389" s="621" t="str">
        <f>Exposition!A390</f>
        <v/>
      </c>
      <c r="M389" s="625" t="str">
        <f>Exposition!B390</f>
        <v/>
      </c>
      <c r="N389" s="625" t="str">
        <f>Exposition!C390</f>
        <v/>
      </c>
      <c r="O389" s="625" t="str">
        <f>Exposition!D390</f>
        <v/>
      </c>
      <c r="P389" s="625" t="str">
        <f>Exposition!E390</f>
        <v/>
      </c>
      <c r="Q389" s="625" t="str">
        <f>Exposition!F390</f>
        <v/>
      </c>
      <c r="R389" s="625" t="str">
        <f>Exposition!G390</f>
        <v/>
      </c>
      <c r="S389" s="625" t="str">
        <f>Exposition!H390</f>
        <v/>
      </c>
      <c r="T389" s="625" t="str">
        <f>Exposition!I390</f>
        <v/>
      </c>
      <c r="U389" s="625" t="str">
        <f>Exposition!J390</f>
        <v/>
      </c>
      <c r="V389" s="625" t="str">
        <f>Exposition!K390</f>
        <v/>
      </c>
      <c r="W389" s="625" t="str">
        <f>Exposition!L390</f>
        <v/>
      </c>
      <c r="X389" s="625" t="str">
        <f>Exposition!M390</f>
        <v/>
      </c>
      <c r="Y389" s="625" t="str">
        <f>Exposition!N390</f>
        <v/>
      </c>
      <c r="Z389" s="625" t="str">
        <f>Exposition!O390</f>
        <v/>
      </c>
      <c r="AA389" s="625" t="str">
        <f>Exposition!P390</f>
        <v/>
      </c>
      <c r="AB389" s="625" t="str">
        <f>Exposition!Q390</f>
        <v/>
      </c>
      <c r="AC389" s="625" t="str">
        <f>Exposition!R390</f>
        <v/>
      </c>
      <c r="AD389" s="625" t="str">
        <f>Exposition!S390</f>
        <v/>
      </c>
      <c r="AE389" s="625" t="str">
        <f>Exposition!T390</f>
        <v/>
      </c>
      <c r="AF389" s="625" t="str">
        <f>Exposition!U390</f>
        <v/>
      </c>
      <c r="AG389" s="623"/>
      <c r="AH389" s="621" t="str">
        <f>PRIX!A390</f>
        <v/>
      </c>
      <c r="AI389" s="626" t="str">
        <f>PRIX!B390</f>
        <v/>
      </c>
      <c r="AJ389" s="626" t="str">
        <f>PRIX!C390</f>
        <v/>
      </c>
      <c r="AK389" s="627" t="str">
        <f>PRIX!D390</f>
        <v/>
      </c>
      <c r="AL389" s="626" t="str">
        <f>PRIX!E390</f>
        <v/>
      </c>
      <c r="AM389" s="626" t="str">
        <f>PRIX!F390</f>
        <v/>
      </c>
      <c r="AN389" s="627" t="str">
        <f>PRIX!G390</f>
        <v/>
      </c>
      <c r="AO389" s="627" t="str">
        <f>PRIX!H390</f>
        <v/>
      </c>
      <c r="AP389" s="631" t="str">
        <f>PRIX!I390</f>
        <v/>
      </c>
      <c r="AQ389" s="628" t="str">
        <f>PRIX!J390</f>
        <v/>
      </c>
      <c r="AR389" s="631" t="str">
        <f>PRIX!K390</f>
        <v/>
      </c>
      <c r="AS389" s="631" t="str">
        <f>PRIX!L390</f>
        <v/>
      </c>
      <c r="AT389" s="631" t="str">
        <f>PRIX!M390</f>
        <v/>
      </c>
      <c r="AU389" s="629" t="str">
        <f>PRIX!N390</f>
        <v/>
      </c>
      <c r="AV389" s="631" t="str">
        <f>PRIX!O390</f>
        <v/>
      </c>
      <c r="AW389" s="631" t="str">
        <f>PRIX!P390</f>
        <v/>
      </c>
      <c r="AX389" s="630" t="str">
        <f>PRIX!Q390</f>
        <v/>
      </c>
      <c r="AY389" s="631" t="str">
        <f>PRIX!R390</f>
        <v/>
      </c>
      <c r="AZ389" s="631" t="str">
        <f>PRIX!S390</f>
        <v/>
      </c>
      <c r="BA389" s="623"/>
    </row>
    <row r="390">
      <c r="A390" s="621" t="str">
        <f>ARBITRAGES!E391</f>
        <v/>
      </c>
      <c r="B390" s="623" t="str">
        <f>IF(A390="","",IF(ARBITRAGES!F391="Invest","Achat","Vente"))</f>
        <v/>
      </c>
      <c r="C390" s="623" t="str">
        <f>ARBITRAGES!H391</f>
        <v/>
      </c>
      <c r="D390" s="624" t="str">
        <f>ARBITRAGES!I391</f>
        <v/>
      </c>
      <c r="E390" s="624" t="str">
        <f>ARBITRAGES!J391</f>
        <v/>
      </c>
      <c r="F390" s="623"/>
      <c r="G390" s="623" t="str">
        <f>'PV (%)'!B392</f>
        <v/>
      </c>
      <c r="H390" s="624" t="str">
        <f>'PV (%)'!E392</f>
        <v/>
      </c>
      <c r="I390" s="624" t="str">
        <f>'PV (%)'!F392</f>
        <v/>
      </c>
      <c r="J390" s="623" t="str">
        <f>'PV (%)'!G392</f>
        <v/>
      </c>
      <c r="K390" s="623"/>
      <c r="L390" s="621" t="str">
        <f>Exposition!A391</f>
        <v/>
      </c>
      <c r="M390" s="625" t="str">
        <f>Exposition!B391</f>
        <v/>
      </c>
      <c r="N390" s="625" t="str">
        <f>Exposition!C391</f>
        <v/>
      </c>
      <c r="O390" s="625" t="str">
        <f>Exposition!D391</f>
        <v/>
      </c>
      <c r="P390" s="625" t="str">
        <f>Exposition!E391</f>
        <v/>
      </c>
      <c r="Q390" s="625" t="str">
        <f>Exposition!F391</f>
        <v/>
      </c>
      <c r="R390" s="625" t="str">
        <f>Exposition!G391</f>
        <v/>
      </c>
      <c r="S390" s="625" t="str">
        <f>Exposition!H391</f>
        <v/>
      </c>
      <c r="T390" s="625" t="str">
        <f>Exposition!I391</f>
        <v/>
      </c>
      <c r="U390" s="625" t="str">
        <f>Exposition!J391</f>
        <v/>
      </c>
      <c r="V390" s="625" t="str">
        <f>Exposition!K391</f>
        <v/>
      </c>
      <c r="W390" s="625" t="str">
        <f>Exposition!L391</f>
        <v/>
      </c>
      <c r="X390" s="625" t="str">
        <f>Exposition!M391</f>
        <v/>
      </c>
      <c r="Y390" s="625" t="str">
        <f>Exposition!N391</f>
        <v/>
      </c>
      <c r="Z390" s="625" t="str">
        <f>Exposition!O391</f>
        <v/>
      </c>
      <c r="AA390" s="625" t="str">
        <f>Exposition!P391</f>
        <v/>
      </c>
      <c r="AB390" s="625" t="str">
        <f>Exposition!Q391</f>
        <v/>
      </c>
      <c r="AC390" s="625" t="str">
        <f>Exposition!R391</f>
        <v/>
      </c>
      <c r="AD390" s="625" t="str">
        <f>Exposition!S391</f>
        <v/>
      </c>
      <c r="AE390" s="625" t="str">
        <f>Exposition!T391</f>
        <v/>
      </c>
      <c r="AF390" s="625" t="str">
        <f>Exposition!U391</f>
        <v/>
      </c>
      <c r="AG390" s="623"/>
      <c r="AH390" s="621" t="str">
        <f>PRIX!A391</f>
        <v/>
      </c>
      <c r="AI390" s="626" t="str">
        <f>PRIX!B391</f>
        <v/>
      </c>
      <c r="AJ390" s="626" t="str">
        <f>PRIX!C391</f>
        <v/>
      </c>
      <c r="AK390" s="627" t="str">
        <f>PRIX!D391</f>
        <v/>
      </c>
      <c r="AL390" s="626" t="str">
        <f>PRIX!E391</f>
        <v/>
      </c>
      <c r="AM390" s="626" t="str">
        <f>PRIX!F391</f>
        <v/>
      </c>
      <c r="AN390" s="627" t="str">
        <f>PRIX!G391</f>
        <v/>
      </c>
      <c r="AO390" s="627" t="str">
        <f>PRIX!H391</f>
        <v/>
      </c>
      <c r="AP390" s="631" t="str">
        <f>PRIX!I391</f>
        <v/>
      </c>
      <c r="AQ390" s="628" t="str">
        <f>PRIX!J391</f>
        <v/>
      </c>
      <c r="AR390" s="631" t="str">
        <f>PRIX!K391</f>
        <v/>
      </c>
      <c r="AS390" s="631" t="str">
        <f>PRIX!L391</f>
        <v/>
      </c>
      <c r="AT390" s="631" t="str">
        <f>PRIX!M391</f>
        <v/>
      </c>
      <c r="AU390" s="629" t="str">
        <f>PRIX!N391</f>
        <v/>
      </c>
      <c r="AV390" s="631" t="str">
        <f>PRIX!O391</f>
        <v/>
      </c>
      <c r="AW390" s="631" t="str">
        <f>PRIX!P391</f>
        <v/>
      </c>
      <c r="AX390" s="630" t="str">
        <f>PRIX!Q391</f>
        <v/>
      </c>
      <c r="AY390" s="631" t="str">
        <f>PRIX!R391</f>
        <v/>
      </c>
      <c r="AZ390" s="631" t="str">
        <f>PRIX!S391</f>
        <v/>
      </c>
      <c r="BA390" s="623"/>
    </row>
    <row r="391">
      <c r="A391" s="621" t="str">
        <f>ARBITRAGES!E392</f>
        <v/>
      </c>
      <c r="B391" s="623" t="str">
        <f>IF(A391="","",IF(ARBITRAGES!F392="Invest","Achat","Vente"))</f>
        <v/>
      </c>
      <c r="C391" s="623" t="str">
        <f>ARBITRAGES!H392</f>
        <v/>
      </c>
      <c r="D391" s="624" t="str">
        <f>ARBITRAGES!I392</f>
        <v/>
      </c>
      <c r="E391" s="624" t="str">
        <f>ARBITRAGES!J392</f>
        <v/>
      </c>
      <c r="F391" s="623"/>
      <c r="G391" s="623" t="str">
        <f>'PV (%)'!B393</f>
        <v/>
      </c>
      <c r="H391" s="624" t="str">
        <f>'PV (%)'!E393</f>
        <v/>
      </c>
      <c r="I391" s="624" t="str">
        <f>'PV (%)'!F393</f>
        <v/>
      </c>
      <c r="J391" s="623" t="str">
        <f>'PV (%)'!G393</f>
        <v/>
      </c>
      <c r="K391" s="623"/>
      <c r="L391" s="621" t="str">
        <f>Exposition!A392</f>
        <v/>
      </c>
      <c r="M391" s="625" t="str">
        <f>Exposition!B392</f>
        <v/>
      </c>
      <c r="N391" s="625" t="str">
        <f>Exposition!C392</f>
        <v/>
      </c>
      <c r="O391" s="625" t="str">
        <f>Exposition!D392</f>
        <v/>
      </c>
      <c r="P391" s="625" t="str">
        <f>Exposition!E392</f>
        <v/>
      </c>
      <c r="Q391" s="625" t="str">
        <f>Exposition!F392</f>
        <v/>
      </c>
      <c r="R391" s="625" t="str">
        <f>Exposition!G392</f>
        <v/>
      </c>
      <c r="S391" s="625" t="str">
        <f>Exposition!H392</f>
        <v/>
      </c>
      <c r="T391" s="625" t="str">
        <f>Exposition!I392</f>
        <v/>
      </c>
      <c r="U391" s="625" t="str">
        <f>Exposition!J392</f>
        <v/>
      </c>
      <c r="V391" s="625" t="str">
        <f>Exposition!K392</f>
        <v/>
      </c>
      <c r="W391" s="625" t="str">
        <f>Exposition!L392</f>
        <v/>
      </c>
      <c r="X391" s="625" t="str">
        <f>Exposition!M392</f>
        <v/>
      </c>
      <c r="Y391" s="625" t="str">
        <f>Exposition!N392</f>
        <v/>
      </c>
      <c r="Z391" s="625" t="str">
        <f>Exposition!O392</f>
        <v/>
      </c>
      <c r="AA391" s="625" t="str">
        <f>Exposition!P392</f>
        <v/>
      </c>
      <c r="AB391" s="625" t="str">
        <f>Exposition!Q392</f>
        <v/>
      </c>
      <c r="AC391" s="625" t="str">
        <f>Exposition!R392</f>
        <v/>
      </c>
      <c r="AD391" s="625" t="str">
        <f>Exposition!S392</f>
        <v/>
      </c>
      <c r="AE391" s="625" t="str">
        <f>Exposition!T392</f>
        <v/>
      </c>
      <c r="AF391" s="625" t="str">
        <f>Exposition!U392</f>
        <v/>
      </c>
      <c r="AG391" s="623"/>
      <c r="AH391" s="621" t="str">
        <f>PRIX!A392</f>
        <v/>
      </c>
      <c r="AI391" s="626" t="str">
        <f>PRIX!B392</f>
        <v/>
      </c>
      <c r="AJ391" s="626" t="str">
        <f>PRIX!C392</f>
        <v/>
      </c>
      <c r="AK391" s="627" t="str">
        <f>PRIX!D392</f>
        <v/>
      </c>
      <c r="AL391" s="626" t="str">
        <f>PRIX!E392</f>
        <v/>
      </c>
      <c r="AM391" s="626" t="str">
        <f>PRIX!F392</f>
        <v/>
      </c>
      <c r="AN391" s="627" t="str">
        <f>PRIX!G392</f>
        <v/>
      </c>
      <c r="AO391" s="627" t="str">
        <f>PRIX!H392</f>
        <v/>
      </c>
      <c r="AP391" s="631" t="str">
        <f>PRIX!I392</f>
        <v/>
      </c>
      <c r="AQ391" s="628" t="str">
        <f>PRIX!J392</f>
        <v/>
      </c>
      <c r="AR391" s="631" t="str">
        <f>PRIX!K392</f>
        <v/>
      </c>
      <c r="AS391" s="631" t="str">
        <f>PRIX!L392</f>
        <v/>
      </c>
      <c r="AT391" s="631" t="str">
        <f>PRIX!M392</f>
        <v/>
      </c>
      <c r="AU391" s="629" t="str">
        <f>PRIX!N392</f>
        <v/>
      </c>
      <c r="AV391" s="631" t="str">
        <f>PRIX!O392</f>
        <v/>
      </c>
      <c r="AW391" s="631" t="str">
        <f>PRIX!P392</f>
        <v/>
      </c>
      <c r="AX391" s="630" t="str">
        <f>PRIX!Q392</f>
        <v/>
      </c>
      <c r="AY391" s="631" t="str">
        <f>PRIX!R392</f>
        <v/>
      </c>
      <c r="AZ391" s="631" t="str">
        <f>PRIX!S392</f>
        <v/>
      </c>
      <c r="BA391" s="623"/>
    </row>
    <row r="392">
      <c r="A392" s="621" t="str">
        <f>ARBITRAGES!E393</f>
        <v/>
      </c>
      <c r="B392" s="623" t="str">
        <f>IF(A392="","",IF(ARBITRAGES!F393="Invest","Achat","Vente"))</f>
        <v/>
      </c>
      <c r="C392" s="623" t="str">
        <f>ARBITRAGES!H393</f>
        <v/>
      </c>
      <c r="D392" s="624" t="str">
        <f>ARBITRAGES!I393</f>
        <v/>
      </c>
      <c r="E392" s="624" t="str">
        <f>ARBITRAGES!J393</f>
        <v/>
      </c>
      <c r="F392" s="623"/>
      <c r="G392" s="623" t="str">
        <f>'PV (%)'!B394</f>
        <v/>
      </c>
      <c r="H392" s="624" t="str">
        <f>'PV (%)'!E394</f>
        <v/>
      </c>
      <c r="I392" s="624" t="str">
        <f>'PV (%)'!F394</f>
        <v/>
      </c>
      <c r="J392" s="623" t="str">
        <f>'PV (%)'!G394</f>
        <v/>
      </c>
      <c r="K392" s="623"/>
      <c r="L392" s="621" t="str">
        <f>Exposition!A393</f>
        <v/>
      </c>
      <c r="M392" s="625" t="str">
        <f>Exposition!B393</f>
        <v/>
      </c>
      <c r="N392" s="625" t="str">
        <f>Exposition!C393</f>
        <v/>
      </c>
      <c r="O392" s="625" t="str">
        <f>Exposition!D393</f>
        <v/>
      </c>
      <c r="P392" s="625" t="str">
        <f>Exposition!E393</f>
        <v/>
      </c>
      <c r="Q392" s="625" t="str">
        <f>Exposition!F393</f>
        <v/>
      </c>
      <c r="R392" s="625" t="str">
        <f>Exposition!G393</f>
        <v/>
      </c>
      <c r="S392" s="625" t="str">
        <f>Exposition!H393</f>
        <v/>
      </c>
      <c r="T392" s="625" t="str">
        <f>Exposition!I393</f>
        <v/>
      </c>
      <c r="U392" s="625" t="str">
        <f>Exposition!J393</f>
        <v/>
      </c>
      <c r="V392" s="625" t="str">
        <f>Exposition!K393</f>
        <v/>
      </c>
      <c r="W392" s="625" t="str">
        <f>Exposition!L393</f>
        <v/>
      </c>
      <c r="X392" s="625" t="str">
        <f>Exposition!M393</f>
        <v/>
      </c>
      <c r="Y392" s="625" t="str">
        <f>Exposition!N393</f>
        <v/>
      </c>
      <c r="Z392" s="625" t="str">
        <f>Exposition!O393</f>
        <v/>
      </c>
      <c r="AA392" s="625" t="str">
        <f>Exposition!P393</f>
        <v/>
      </c>
      <c r="AB392" s="625" t="str">
        <f>Exposition!Q393</f>
        <v/>
      </c>
      <c r="AC392" s="625" t="str">
        <f>Exposition!R393</f>
        <v/>
      </c>
      <c r="AD392" s="625" t="str">
        <f>Exposition!S393</f>
        <v/>
      </c>
      <c r="AE392" s="625" t="str">
        <f>Exposition!T393</f>
        <v/>
      </c>
      <c r="AF392" s="625" t="str">
        <f>Exposition!U393</f>
        <v/>
      </c>
      <c r="AG392" s="623"/>
      <c r="AH392" s="621" t="str">
        <f>PRIX!A393</f>
        <v/>
      </c>
      <c r="AI392" s="626" t="str">
        <f>PRIX!B393</f>
        <v/>
      </c>
      <c r="AJ392" s="626" t="str">
        <f>PRIX!C393</f>
        <v/>
      </c>
      <c r="AK392" s="627" t="str">
        <f>PRIX!D393</f>
        <v/>
      </c>
      <c r="AL392" s="626" t="str">
        <f>PRIX!E393</f>
        <v/>
      </c>
      <c r="AM392" s="626" t="str">
        <f>PRIX!F393</f>
        <v/>
      </c>
      <c r="AN392" s="627" t="str">
        <f>PRIX!G393</f>
        <v/>
      </c>
      <c r="AO392" s="627" t="str">
        <f>PRIX!H393</f>
        <v/>
      </c>
      <c r="AP392" s="631" t="str">
        <f>PRIX!I393</f>
        <v/>
      </c>
      <c r="AQ392" s="628" t="str">
        <f>PRIX!J393</f>
        <v/>
      </c>
      <c r="AR392" s="631" t="str">
        <f>PRIX!K393</f>
        <v/>
      </c>
      <c r="AS392" s="631" t="str">
        <f>PRIX!L393</f>
        <v/>
      </c>
      <c r="AT392" s="631" t="str">
        <f>PRIX!M393</f>
        <v/>
      </c>
      <c r="AU392" s="629" t="str">
        <f>PRIX!N393</f>
        <v/>
      </c>
      <c r="AV392" s="631" t="str">
        <f>PRIX!O393</f>
        <v/>
      </c>
      <c r="AW392" s="631" t="str">
        <f>PRIX!P393</f>
        <v/>
      </c>
      <c r="AX392" s="630" t="str">
        <f>PRIX!Q393</f>
        <v/>
      </c>
      <c r="AY392" s="631" t="str">
        <f>PRIX!R393</f>
        <v/>
      </c>
      <c r="AZ392" s="631" t="str">
        <f>PRIX!S393</f>
        <v/>
      </c>
      <c r="BA392" s="623"/>
    </row>
    <row r="393">
      <c r="A393" s="621" t="str">
        <f>ARBITRAGES!E394</f>
        <v/>
      </c>
      <c r="B393" s="623" t="str">
        <f>IF(A393="","",IF(ARBITRAGES!F394="Invest","Achat","Vente"))</f>
        <v/>
      </c>
      <c r="C393" s="623" t="str">
        <f>ARBITRAGES!H394</f>
        <v/>
      </c>
      <c r="D393" s="624" t="str">
        <f>ARBITRAGES!I394</f>
        <v/>
      </c>
      <c r="E393" s="624" t="str">
        <f>ARBITRAGES!J394</f>
        <v/>
      </c>
      <c r="F393" s="623"/>
      <c r="G393" s="623" t="str">
        <f>'PV (%)'!B395</f>
        <v/>
      </c>
      <c r="H393" s="624" t="str">
        <f>'PV (%)'!E395</f>
        <v/>
      </c>
      <c r="I393" s="624" t="str">
        <f>'PV (%)'!F395</f>
        <v/>
      </c>
      <c r="J393" s="623" t="str">
        <f>'PV (%)'!G395</f>
        <v/>
      </c>
      <c r="K393" s="623"/>
      <c r="L393" s="621" t="str">
        <f>Exposition!A394</f>
        <v/>
      </c>
      <c r="M393" s="625" t="str">
        <f>Exposition!B394</f>
        <v/>
      </c>
      <c r="N393" s="625" t="str">
        <f>Exposition!C394</f>
        <v/>
      </c>
      <c r="O393" s="625" t="str">
        <f>Exposition!D394</f>
        <v/>
      </c>
      <c r="P393" s="625" t="str">
        <f>Exposition!E394</f>
        <v/>
      </c>
      <c r="Q393" s="625" t="str">
        <f>Exposition!F394</f>
        <v/>
      </c>
      <c r="R393" s="625" t="str">
        <f>Exposition!G394</f>
        <v/>
      </c>
      <c r="S393" s="625" t="str">
        <f>Exposition!H394</f>
        <v/>
      </c>
      <c r="T393" s="625" t="str">
        <f>Exposition!I394</f>
        <v/>
      </c>
      <c r="U393" s="625" t="str">
        <f>Exposition!J394</f>
        <v/>
      </c>
      <c r="V393" s="625" t="str">
        <f>Exposition!K394</f>
        <v/>
      </c>
      <c r="W393" s="625" t="str">
        <f>Exposition!L394</f>
        <v/>
      </c>
      <c r="X393" s="625" t="str">
        <f>Exposition!M394</f>
        <v/>
      </c>
      <c r="Y393" s="625" t="str">
        <f>Exposition!N394</f>
        <v/>
      </c>
      <c r="Z393" s="625" t="str">
        <f>Exposition!O394</f>
        <v/>
      </c>
      <c r="AA393" s="625" t="str">
        <f>Exposition!P394</f>
        <v/>
      </c>
      <c r="AB393" s="625" t="str">
        <f>Exposition!Q394</f>
        <v/>
      </c>
      <c r="AC393" s="625" t="str">
        <f>Exposition!R394</f>
        <v/>
      </c>
      <c r="AD393" s="625" t="str">
        <f>Exposition!S394</f>
        <v/>
      </c>
      <c r="AE393" s="625" t="str">
        <f>Exposition!T394</f>
        <v/>
      </c>
      <c r="AF393" s="625" t="str">
        <f>Exposition!U394</f>
        <v/>
      </c>
      <c r="AG393" s="623"/>
      <c r="AH393" s="621" t="str">
        <f>PRIX!A394</f>
        <v/>
      </c>
      <c r="AI393" s="626" t="str">
        <f>PRIX!B394</f>
        <v/>
      </c>
      <c r="AJ393" s="626" t="str">
        <f>PRIX!C394</f>
        <v/>
      </c>
      <c r="AK393" s="627" t="str">
        <f>PRIX!D394</f>
        <v/>
      </c>
      <c r="AL393" s="626" t="str">
        <f>PRIX!E394</f>
        <v/>
      </c>
      <c r="AM393" s="626" t="str">
        <f>PRIX!F394</f>
        <v/>
      </c>
      <c r="AN393" s="627" t="str">
        <f>PRIX!G394</f>
        <v/>
      </c>
      <c r="AO393" s="627" t="str">
        <f>PRIX!H394</f>
        <v/>
      </c>
      <c r="AP393" s="631" t="str">
        <f>PRIX!I394</f>
        <v/>
      </c>
      <c r="AQ393" s="628" t="str">
        <f>PRIX!J394</f>
        <v/>
      </c>
      <c r="AR393" s="631" t="str">
        <f>PRIX!K394</f>
        <v/>
      </c>
      <c r="AS393" s="631" t="str">
        <f>PRIX!L394</f>
        <v/>
      </c>
      <c r="AT393" s="631" t="str">
        <f>PRIX!M394</f>
        <v/>
      </c>
      <c r="AU393" s="629" t="str">
        <f>PRIX!N394</f>
        <v/>
      </c>
      <c r="AV393" s="631" t="str">
        <f>PRIX!O394</f>
        <v/>
      </c>
      <c r="AW393" s="631" t="str">
        <f>PRIX!P394</f>
        <v/>
      </c>
      <c r="AX393" s="630" t="str">
        <f>PRIX!Q394</f>
        <v/>
      </c>
      <c r="AY393" s="631" t="str">
        <f>PRIX!R394</f>
        <v/>
      </c>
      <c r="AZ393" s="631" t="str">
        <f>PRIX!S394</f>
        <v/>
      </c>
      <c r="BA393" s="623"/>
    </row>
    <row r="394">
      <c r="A394" s="621" t="str">
        <f>ARBITRAGES!E395</f>
        <v/>
      </c>
      <c r="B394" s="623" t="str">
        <f>IF(A394="","",IF(ARBITRAGES!F395="Invest","Achat","Vente"))</f>
        <v/>
      </c>
      <c r="C394" s="623" t="str">
        <f>ARBITRAGES!H395</f>
        <v/>
      </c>
      <c r="D394" s="624" t="str">
        <f>ARBITRAGES!I395</f>
        <v/>
      </c>
      <c r="E394" s="624" t="str">
        <f>ARBITRAGES!J395</f>
        <v/>
      </c>
      <c r="F394" s="623"/>
      <c r="G394" s="623" t="str">
        <f>'PV (%)'!B396</f>
        <v/>
      </c>
      <c r="H394" s="624" t="str">
        <f>'PV (%)'!E396</f>
        <v/>
      </c>
      <c r="I394" s="624" t="str">
        <f>'PV (%)'!F396</f>
        <v/>
      </c>
      <c r="J394" s="623" t="str">
        <f>'PV (%)'!G396</f>
        <v/>
      </c>
      <c r="K394" s="623"/>
      <c r="L394" s="621" t="str">
        <f>Exposition!A395</f>
        <v/>
      </c>
      <c r="M394" s="625" t="str">
        <f>Exposition!B395</f>
        <v/>
      </c>
      <c r="N394" s="625" t="str">
        <f>Exposition!C395</f>
        <v/>
      </c>
      <c r="O394" s="625" t="str">
        <f>Exposition!D395</f>
        <v/>
      </c>
      <c r="P394" s="625" t="str">
        <f>Exposition!E395</f>
        <v/>
      </c>
      <c r="Q394" s="625" t="str">
        <f>Exposition!F395</f>
        <v/>
      </c>
      <c r="R394" s="625" t="str">
        <f>Exposition!G395</f>
        <v/>
      </c>
      <c r="S394" s="625" t="str">
        <f>Exposition!H395</f>
        <v/>
      </c>
      <c r="T394" s="625" t="str">
        <f>Exposition!I395</f>
        <v/>
      </c>
      <c r="U394" s="625" t="str">
        <f>Exposition!J395</f>
        <v/>
      </c>
      <c r="V394" s="625" t="str">
        <f>Exposition!K395</f>
        <v/>
      </c>
      <c r="W394" s="625" t="str">
        <f>Exposition!L395</f>
        <v/>
      </c>
      <c r="X394" s="625" t="str">
        <f>Exposition!M395</f>
        <v/>
      </c>
      <c r="Y394" s="625" t="str">
        <f>Exposition!N395</f>
        <v/>
      </c>
      <c r="Z394" s="625" t="str">
        <f>Exposition!O395</f>
        <v/>
      </c>
      <c r="AA394" s="625" t="str">
        <f>Exposition!P395</f>
        <v/>
      </c>
      <c r="AB394" s="625" t="str">
        <f>Exposition!Q395</f>
        <v/>
      </c>
      <c r="AC394" s="625" t="str">
        <f>Exposition!R395</f>
        <v/>
      </c>
      <c r="AD394" s="625" t="str">
        <f>Exposition!S395</f>
        <v/>
      </c>
      <c r="AE394" s="625" t="str">
        <f>Exposition!T395</f>
        <v/>
      </c>
      <c r="AF394" s="625" t="str">
        <f>Exposition!U395</f>
        <v/>
      </c>
      <c r="AG394" s="623"/>
      <c r="AH394" s="621" t="str">
        <f>PRIX!A395</f>
        <v/>
      </c>
      <c r="AI394" s="626" t="str">
        <f>PRIX!B395</f>
        <v/>
      </c>
      <c r="AJ394" s="626" t="str">
        <f>PRIX!C395</f>
        <v/>
      </c>
      <c r="AK394" s="627" t="str">
        <f>PRIX!D395</f>
        <v/>
      </c>
      <c r="AL394" s="626" t="str">
        <f>PRIX!E395</f>
        <v/>
      </c>
      <c r="AM394" s="626" t="str">
        <f>PRIX!F395</f>
        <v/>
      </c>
      <c r="AN394" s="627" t="str">
        <f>PRIX!G395</f>
        <v/>
      </c>
      <c r="AO394" s="627" t="str">
        <f>PRIX!H395</f>
        <v/>
      </c>
      <c r="AP394" s="631" t="str">
        <f>PRIX!I395</f>
        <v/>
      </c>
      <c r="AQ394" s="628" t="str">
        <f>PRIX!J395</f>
        <v/>
      </c>
      <c r="AR394" s="631" t="str">
        <f>PRIX!K395</f>
        <v/>
      </c>
      <c r="AS394" s="631" t="str">
        <f>PRIX!L395</f>
        <v/>
      </c>
      <c r="AT394" s="631" t="str">
        <f>PRIX!M395</f>
        <v/>
      </c>
      <c r="AU394" s="629" t="str">
        <f>PRIX!N395</f>
        <v/>
      </c>
      <c r="AV394" s="631" t="str">
        <f>PRIX!O395</f>
        <v/>
      </c>
      <c r="AW394" s="631" t="str">
        <f>PRIX!P395</f>
        <v/>
      </c>
      <c r="AX394" s="630" t="str">
        <f>PRIX!Q395</f>
        <v/>
      </c>
      <c r="AY394" s="631" t="str">
        <f>PRIX!R395</f>
        <v/>
      </c>
      <c r="AZ394" s="631" t="str">
        <f>PRIX!S395</f>
        <v/>
      </c>
      <c r="BA394" s="623"/>
    </row>
    <row r="395">
      <c r="A395" s="621" t="str">
        <f>ARBITRAGES!E396</f>
        <v/>
      </c>
      <c r="B395" s="623" t="str">
        <f>IF(A395="","",IF(ARBITRAGES!F396="Invest","Achat","Vente"))</f>
        <v/>
      </c>
      <c r="C395" s="623" t="str">
        <f>ARBITRAGES!H396</f>
        <v/>
      </c>
      <c r="D395" s="624" t="str">
        <f>ARBITRAGES!I396</f>
        <v/>
      </c>
      <c r="E395" s="624" t="str">
        <f>ARBITRAGES!J396</f>
        <v/>
      </c>
      <c r="F395" s="623"/>
      <c r="G395" s="623" t="str">
        <f>'PV (%)'!B397</f>
        <v/>
      </c>
      <c r="H395" s="624" t="str">
        <f>'PV (%)'!E397</f>
        <v/>
      </c>
      <c r="I395" s="624" t="str">
        <f>'PV (%)'!F397</f>
        <v/>
      </c>
      <c r="J395" s="623" t="str">
        <f>'PV (%)'!G397</f>
        <v/>
      </c>
      <c r="K395" s="623"/>
      <c r="L395" s="621" t="str">
        <f>Exposition!A396</f>
        <v/>
      </c>
      <c r="M395" s="625" t="str">
        <f>Exposition!B396</f>
        <v/>
      </c>
      <c r="N395" s="625" t="str">
        <f>Exposition!C396</f>
        <v/>
      </c>
      <c r="O395" s="625" t="str">
        <f>Exposition!D396</f>
        <v/>
      </c>
      <c r="P395" s="625" t="str">
        <f>Exposition!E396</f>
        <v/>
      </c>
      <c r="Q395" s="625" t="str">
        <f>Exposition!F396</f>
        <v/>
      </c>
      <c r="R395" s="625" t="str">
        <f>Exposition!G396</f>
        <v/>
      </c>
      <c r="S395" s="625" t="str">
        <f>Exposition!H396</f>
        <v/>
      </c>
      <c r="T395" s="625" t="str">
        <f>Exposition!I396</f>
        <v/>
      </c>
      <c r="U395" s="625" t="str">
        <f>Exposition!J396</f>
        <v/>
      </c>
      <c r="V395" s="625" t="str">
        <f>Exposition!K396</f>
        <v/>
      </c>
      <c r="W395" s="625" t="str">
        <f>Exposition!L396</f>
        <v/>
      </c>
      <c r="X395" s="625" t="str">
        <f>Exposition!M396</f>
        <v/>
      </c>
      <c r="Y395" s="625" t="str">
        <f>Exposition!N396</f>
        <v/>
      </c>
      <c r="Z395" s="625" t="str">
        <f>Exposition!O396</f>
        <v/>
      </c>
      <c r="AA395" s="625" t="str">
        <f>Exposition!P396</f>
        <v/>
      </c>
      <c r="AB395" s="625" t="str">
        <f>Exposition!Q396</f>
        <v/>
      </c>
      <c r="AC395" s="625" t="str">
        <f>Exposition!R396</f>
        <v/>
      </c>
      <c r="AD395" s="625" t="str">
        <f>Exposition!S396</f>
        <v/>
      </c>
      <c r="AE395" s="625" t="str">
        <f>Exposition!T396</f>
        <v/>
      </c>
      <c r="AF395" s="625" t="str">
        <f>Exposition!U396</f>
        <v/>
      </c>
      <c r="AG395" s="623"/>
      <c r="AH395" s="621" t="str">
        <f>PRIX!A396</f>
        <v/>
      </c>
      <c r="AI395" s="626" t="str">
        <f>PRIX!B396</f>
        <v/>
      </c>
      <c r="AJ395" s="626" t="str">
        <f>PRIX!C396</f>
        <v/>
      </c>
      <c r="AK395" s="627" t="str">
        <f>PRIX!D396</f>
        <v/>
      </c>
      <c r="AL395" s="626" t="str">
        <f>PRIX!E396</f>
        <v/>
      </c>
      <c r="AM395" s="626" t="str">
        <f>PRIX!F396</f>
        <v/>
      </c>
      <c r="AN395" s="627" t="str">
        <f>PRIX!G396</f>
        <v/>
      </c>
      <c r="AO395" s="627" t="str">
        <f>PRIX!H396</f>
        <v/>
      </c>
      <c r="AP395" s="631" t="str">
        <f>PRIX!I396</f>
        <v/>
      </c>
      <c r="AQ395" s="628" t="str">
        <f>PRIX!J396</f>
        <v/>
      </c>
      <c r="AR395" s="631" t="str">
        <f>PRIX!K396</f>
        <v/>
      </c>
      <c r="AS395" s="631" t="str">
        <f>PRIX!L396</f>
        <v/>
      </c>
      <c r="AT395" s="631" t="str">
        <f>PRIX!M396</f>
        <v/>
      </c>
      <c r="AU395" s="629" t="str">
        <f>PRIX!N396</f>
        <v/>
      </c>
      <c r="AV395" s="631" t="str">
        <f>PRIX!O396</f>
        <v/>
      </c>
      <c r="AW395" s="631" t="str">
        <f>PRIX!P396</f>
        <v/>
      </c>
      <c r="AX395" s="630" t="str">
        <f>PRIX!Q396</f>
        <v/>
      </c>
      <c r="AY395" s="631" t="str">
        <f>PRIX!R396</f>
        <v/>
      </c>
      <c r="AZ395" s="631" t="str">
        <f>PRIX!S396</f>
        <v/>
      </c>
      <c r="BA395" s="623"/>
    </row>
    <row r="396">
      <c r="A396" s="621" t="str">
        <f>ARBITRAGES!E397</f>
        <v/>
      </c>
      <c r="B396" s="623" t="str">
        <f>IF(A396="","",IF(ARBITRAGES!F397="Invest","Achat","Vente"))</f>
        <v/>
      </c>
      <c r="C396" s="623" t="str">
        <f>ARBITRAGES!H397</f>
        <v/>
      </c>
      <c r="D396" s="624" t="str">
        <f>ARBITRAGES!I397</f>
        <v/>
      </c>
      <c r="E396" s="624" t="str">
        <f>ARBITRAGES!J397</f>
        <v/>
      </c>
      <c r="F396" s="623"/>
      <c r="G396" s="623" t="str">
        <f>'PV (%)'!B398</f>
        <v/>
      </c>
      <c r="H396" s="624" t="str">
        <f>'PV (%)'!E398</f>
        <v/>
      </c>
      <c r="I396" s="624" t="str">
        <f>'PV (%)'!F398</f>
        <v/>
      </c>
      <c r="J396" s="623" t="str">
        <f>'PV (%)'!G398</f>
        <v/>
      </c>
      <c r="K396" s="623"/>
      <c r="L396" s="621" t="str">
        <f>Exposition!A397</f>
        <v/>
      </c>
      <c r="M396" s="625" t="str">
        <f>Exposition!B397</f>
        <v/>
      </c>
      <c r="N396" s="625" t="str">
        <f>Exposition!C397</f>
        <v/>
      </c>
      <c r="O396" s="625" t="str">
        <f>Exposition!D397</f>
        <v/>
      </c>
      <c r="P396" s="625" t="str">
        <f>Exposition!E397</f>
        <v/>
      </c>
      <c r="Q396" s="625" t="str">
        <f>Exposition!F397</f>
        <v/>
      </c>
      <c r="R396" s="625" t="str">
        <f>Exposition!G397</f>
        <v/>
      </c>
      <c r="S396" s="625" t="str">
        <f>Exposition!H397</f>
        <v/>
      </c>
      <c r="T396" s="625" t="str">
        <f>Exposition!I397</f>
        <v/>
      </c>
      <c r="U396" s="625" t="str">
        <f>Exposition!J397</f>
        <v/>
      </c>
      <c r="V396" s="625" t="str">
        <f>Exposition!K397</f>
        <v/>
      </c>
      <c r="W396" s="625" t="str">
        <f>Exposition!L397</f>
        <v/>
      </c>
      <c r="X396" s="625" t="str">
        <f>Exposition!M397</f>
        <v/>
      </c>
      <c r="Y396" s="625" t="str">
        <f>Exposition!N397</f>
        <v/>
      </c>
      <c r="Z396" s="625" t="str">
        <f>Exposition!O397</f>
        <v/>
      </c>
      <c r="AA396" s="625" t="str">
        <f>Exposition!P397</f>
        <v/>
      </c>
      <c r="AB396" s="625" t="str">
        <f>Exposition!Q397</f>
        <v/>
      </c>
      <c r="AC396" s="625" t="str">
        <f>Exposition!R397</f>
        <v/>
      </c>
      <c r="AD396" s="625" t="str">
        <f>Exposition!S397</f>
        <v/>
      </c>
      <c r="AE396" s="625" t="str">
        <f>Exposition!T397</f>
        <v/>
      </c>
      <c r="AF396" s="625" t="str">
        <f>Exposition!U397</f>
        <v/>
      </c>
      <c r="AG396" s="623"/>
      <c r="AH396" s="621" t="str">
        <f>PRIX!A397</f>
        <v/>
      </c>
      <c r="AI396" s="626" t="str">
        <f>PRIX!B397</f>
        <v/>
      </c>
      <c r="AJ396" s="626" t="str">
        <f>PRIX!C397</f>
        <v/>
      </c>
      <c r="AK396" s="627" t="str">
        <f>PRIX!D397</f>
        <v/>
      </c>
      <c r="AL396" s="626" t="str">
        <f>PRIX!E397</f>
        <v/>
      </c>
      <c r="AM396" s="626" t="str">
        <f>PRIX!F397</f>
        <v/>
      </c>
      <c r="AN396" s="627" t="str">
        <f>PRIX!G397</f>
        <v/>
      </c>
      <c r="AO396" s="627" t="str">
        <f>PRIX!H397</f>
        <v/>
      </c>
      <c r="AP396" s="631" t="str">
        <f>PRIX!I397</f>
        <v/>
      </c>
      <c r="AQ396" s="628" t="str">
        <f>PRIX!J397</f>
        <v/>
      </c>
      <c r="AR396" s="631" t="str">
        <f>PRIX!K397</f>
        <v/>
      </c>
      <c r="AS396" s="631" t="str">
        <f>PRIX!L397</f>
        <v/>
      </c>
      <c r="AT396" s="631" t="str">
        <f>PRIX!M397</f>
        <v/>
      </c>
      <c r="AU396" s="629" t="str">
        <f>PRIX!N397</f>
        <v/>
      </c>
      <c r="AV396" s="631" t="str">
        <f>PRIX!O397</f>
        <v/>
      </c>
      <c r="AW396" s="631" t="str">
        <f>PRIX!P397</f>
        <v/>
      </c>
      <c r="AX396" s="630" t="str">
        <f>PRIX!Q397</f>
        <v/>
      </c>
      <c r="AY396" s="631" t="str">
        <f>PRIX!R397</f>
        <v/>
      </c>
      <c r="AZ396" s="631" t="str">
        <f>PRIX!S397</f>
        <v/>
      </c>
      <c r="BA396" s="623"/>
    </row>
    <row r="397">
      <c r="A397" s="621" t="str">
        <f>ARBITRAGES!E398</f>
        <v/>
      </c>
      <c r="B397" s="623" t="str">
        <f>IF(A397="","",IF(ARBITRAGES!F398="Invest","Achat","Vente"))</f>
        <v/>
      </c>
      <c r="C397" s="623" t="str">
        <f>ARBITRAGES!H398</f>
        <v/>
      </c>
      <c r="D397" s="624" t="str">
        <f>ARBITRAGES!I398</f>
        <v/>
      </c>
      <c r="E397" s="624" t="str">
        <f>ARBITRAGES!J398</f>
        <v/>
      </c>
      <c r="F397" s="623"/>
      <c r="G397" s="623" t="str">
        <f>'PV (%)'!B399</f>
        <v/>
      </c>
      <c r="H397" s="624" t="str">
        <f>'PV (%)'!E399</f>
        <v/>
      </c>
      <c r="I397" s="624" t="str">
        <f>'PV (%)'!F399</f>
        <v/>
      </c>
      <c r="J397" s="623" t="str">
        <f>'PV (%)'!G399</f>
        <v/>
      </c>
      <c r="K397" s="623"/>
      <c r="L397" s="621" t="str">
        <f>Exposition!A398</f>
        <v/>
      </c>
      <c r="M397" s="625" t="str">
        <f>Exposition!B398</f>
        <v/>
      </c>
      <c r="N397" s="625" t="str">
        <f>Exposition!C398</f>
        <v/>
      </c>
      <c r="O397" s="625" t="str">
        <f>Exposition!D398</f>
        <v/>
      </c>
      <c r="P397" s="625" t="str">
        <f>Exposition!E398</f>
        <v/>
      </c>
      <c r="Q397" s="625" t="str">
        <f>Exposition!F398</f>
        <v/>
      </c>
      <c r="R397" s="625" t="str">
        <f>Exposition!G398</f>
        <v/>
      </c>
      <c r="S397" s="625" t="str">
        <f>Exposition!H398</f>
        <v/>
      </c>
      <c r="T397" s="625" t="str">
        <f>Exposition!I398</f>
        <v/>
      </c>
      <c r="U397" s="625" t="str">
        <f>Exposition!J398</f>
        <v/>
      </c>
      <c r="V397" s="625" t="str">
        <f>Exposition!K398</f>
        <v/>
      </c>
      <c r="W397" s="625" t="str">
        <f>Exposition!L398</f>
        <v/>
      </c>
      <c r="X397" s="625" t="str">
        <f>Exposition!M398</f>
        <v/>
      </c>
      <c r="Y397" s="625" t="str">
        <f>Exposition!N398</f>
        <v/>
      </c>
      <c r="Z397" s="625" t="str">
        <f>Exposition!O398</f>
        <v/>
      </c>
      <c r="AA397" s="625" t="str">
        <f>Exposition!P398</f>
        <v/>
      </c>
      <c r="AB397" s="625" t="str">
        <f>Exposition!Q398</f>
        <v/>
      </c>
      <c r="AC397" s="625" t="str">
        <f>Exposition!R398</f>
        <v/>
      </c>
      <c r="AD397" s="625" t="str">
        <f>Exposition!S398</f>
        <v/>
      </c>
      <c r="AE397" s="625" t="str">
        <f>Exposition!T398</f>
        <v/>
      </c>
      <c r="AF397" s="625" t="str">
        <f>Exposition!U398</f>
        <v/>
      </c>
      <c r="AG397" s="623"/>
      <c r="AH397" s="621" t="str">
        <f>PRIX!A398</f>
        <v/>
      </c>
      <c r="AI397" s="626" t="str">
        <f>PRIX!B398</f>
        <v/>
      </c>
      <c r="AJ397" s="626" t="str">
        <f>PRIX!C398</f>
        <v/>
      </c>
      <c r="AK397" s="627" t="str">
        <f>PRIX!D398</f>
        <v/>
      </c>
      <c r="AL397" s="626" t="str">
        <f>PRIX!E398</f>
        <v/>
      </c>
      <c r="AM397" s="626" t="str">
        <f>PRIX!F398</f>
        <v/>
      </c>
      <c r="AN397" s="627" t="str">
        <f>PRIX!G398</f>
        <v/>
      </c>
      <c r="AO397" s="627" t="str">
        <f>PRIX!H398</f>
        <v/>
      </c>
      <c r="AP397" s="631" t="str">
        <f>PRIX!I398</f>
        <v/>
      </c>
      <c r="AQ397" s="628" t="str">
        <f>PRIX!J398</f>
        <v/>
      </c>
      <c r="AR397" s="631" t="str">
        <f>PRIX!K398</f>
        <v/>
      </c>
      <c r="AS397" s="631" t="str">
        <f>PRIX!L398</f>
        <v/>
      </c>
      <c r="AT397" s="631" t="str">
        <f>PRIX!M398</f>
        <v/>
      </c>
      <c r="AU397" s="629" t="str">
        <f>PRIX!N398</f>
        <v/>
      </c>
      <c r="AV397" s="631" t="str">
        <f>PRIX!O398</f>
        <v/>
      </c>
      <c r="AW397" s="631" t="str">
        <f>PRIX!P398</f>
        <v/>
      </c>
      <c r="AX397" s="630" t="str">
        <f>PRIX!Q398</f>
        <v/>
      </c>
      <c r="AY397" s="631" t="str">
        <f>PRIX!R398</f>
        <v/>
      </c>
      <c r="AZ397" s="631" t="str">
        <f>PRIX!S398</f>
        <v/>
      </c>
      <c r="BA397" s="623"/>
    </row>
    <row r="398">
      <c r="A398" s="621" t="str">
        <f>ARBITRAGES!E399</f>
        <v/>
      </c>
      <c r="B398" s="623" t="str">
        <f>IF(A398="","",IF(ARBITRAGES!F399="Invest","Achat","Vente"))</f>
        <v/>
      </c>
      <c r="C398" s="623" t="str">
        <f>ARBITRAGES!H399</f>
        <v/>
      </c>
      <c r="D398" s="624" t="str">
        <f>ARBITRAGES!I399</f>
        <v/>
      </c>
      <c r="E398" s="624" t="str">
        <f>ARBITRAGES!J399</f>
        <v/>
      </c>
      <c r="F398" s="623"/>
      <c r="G398" s="623" t="str">
        <f>'PV (%)'!B400</f>
        <v/>
      </c>
      <c r="H398" s="624" t="str">
        <f>'PV (%)'!E400</f>
        <v/>
      </c>
      <c r="I398" s="624" t="str">
        <f>'PV (%)'!F400</f>
        <v/>
      </c>
      <c r="J398" s="623" t="str">
        <f>'PV (%)'!G400</f>
        <v/>
      </c>
      <c r="K398" s="623"/>
      <c r="L398" s="621" t="str">
        <f>Exposition!A399</f>
        <v/>
      </c>
      <c r="M398" s="625" t="str">
        <f>Exposition!B399</f>
        <v/>
      </c>
      <c r="N398" s="625" t="str">
        <f>Exposition!C399</f>
        <v/>
      </c>
      <c r="O398" s="625" t="str">
        <f>Exposition!D399</f>
        <v/>
      </c>
      <c r="P398" s="625" t="str">
        <f>Exposition!E399</f>
        <v/>
      </c>
      <c r="Q398" s="625" t="str">
        <f>Exposition!F399</f>
        <v/>
      </c>
      <c r="R398" s="625" t="str">
        <f>Exposition!G399</f>
        <v/>
      </c>
      <c r="S398" s="625" t="str">
        <f>Exposition!H399</f>
        <v/>
      </c>
      <c r="T398" s="625" t="str">
        <f>Exposition!I399</f>
        <v/>
      </c>
      <c r="U398" s="625" t="str">
        <f>Exposition!J399</f>
        <v/>
      </c>
      <c r="V398" s="625" t="str">
        <f>Exposition!K399</f>
        <v/>
      </c>
      <c r="W398" s="625" t="str">
        <f>Exposition!L399</f>
        <v/>
      </c>
      <c r="X398" s="625" t="str">
        <f>Exposition!M399</f>
        <v/>
      </c>
      <c r="Y398" s="625" t="str">
        <f>Exposition!N399</f>
        <v/>
      </c>
      <c r="Z398" s="625" t="str">
        <f>Exposition!O399</f>
        <v/>
      </c>
      <c r="AA398" s="625" t="str">
        <f>Exposition!P399</f>
        <v/>
      </c>
      <c r="AB398" s="625" t="str">
        <f>Exposition!Q399</f>
        <v/>
      </c>
      <c r="AC398" s="625" t="str">
        <f>Exposition!R399</f>
        <v/>
      </c>
      <c r="AD398" s="625" t="str">
        <f>Exposition!S399</f>
        <v/>
      </c>
      <c r="AE398" s="625" t="str">
        <f>Exposition!T399</f>
        <v/>
      </c>
      <c r="AF398" s="625" t="str">
        <f>Exposition!U399</f>
        <v/>
      </c>
      <c r="AG398" s="623"/>
      <c r="AH398" s="621" t="str">
        <f>PRIX!A399</f>
        <v/>
      </c>
      <c r="AI398" s="626" t="str">
        <f>PRIX!B399</f>
        <v/>
      </c>
      <c r="AJ398" s="626" t="str">
        <f>PRIX!C399</f>
        <v/>
      </c>
      <c r="AK398" s="627" t="str">
        <f>PRIX!D399</f>
        <v/>
      </c>
      <c r="AL398" s="626" t="str">
        <f>PRIX!E399</f>
        <v/>
      </c>
      <c r="AM398" s="626" t="str">
        <f>PRIX!F399</f>
        <v/>
      </c>
      <c r="AN398" s="627" t="str">
        <f>PRIX!G399</f>
        <v/>
      </c>
      <c r="AO398" s="627" t="str">
        <f>PRIX!H399</f>
        <v/>
      </c>
      <c r="AP398" s="631" t="str">
        <f>PRIX!I399</f>
        <v/>
      </c>
      <c r="AQ398" s="628" t="str">
        <f>PRIX!J399</f>
        <v/>
      </c>
      <c r="AR398" s="631" t="str">
        <f>PRIX!K399</f>
        <v/>
      </c>
      <c r="AS398" s="631" t="str">
        <f>PRIX!L399</f>
        <v/>
      </c>
      <c r="AT398" s="631" t="str">
        <f>PRIX!M399</f>
        <v/>
      </c>
      <c r="AU398" s="629" t="str">
        <f>PRIX!N399</f>
        <v/>
      </c>
      <c r="AV398" s="631" t="str">
        <f>PRIX!O399</f>
        <v/>
      </c>
      <c r="AW398" s="631" t="str">
        <f>PRIX!P399</f>
        <v/>
      </c>
      <c r="AX398" s="630" t="str">
        <f>PRIX!Q399</f>
        <v/>
      </c>
      <c r="AY398" s="631" t="str">
        <f>PRIX!R399</f>
        <v/>
      </c>
      <c r="AZ398" s="631" t="str">
        <f>PRIX!S399</f>
        <v/>
      </c>
      <c r="BA398" s="623"/>
    </row>
    <row r="399">
      <c r="A399" s="621" t="str">
        <f>ARBITRAGES!E400</f>
        <v/>
      </c>
      <c r="B399" s="623" t="str">
        <f>IF(A399="","",IF(ARBITRAGES!F400="Invest","Achat","Vente"))</f>
        <v/>
      </c>
      <c r="C399" s="623" t="str">
        <f>ARBITRAGES!H400</f>
        <v/>
      </c>
      <c r="D399" s="624" t="str">
        <f>ARBITRAGES!I400</f>
        <v/>
      </c>
      <c r="E399" s="624" t="str">
        <f>ARBITRAGES!J400</f>
        <v/>
      </c>
      <c r="F399" s="623"/>
      <c r="G399" s="623" t="str">
        <f>'PV (%)'!B401</f>
        <v/>
      </c>
      <c r="H399" s="624" t="str">
        <f>'PV (%)'!E401</f>
        <v/>
      </c>
      <c r="I399" s="624" t="str">
        <f>'PV (%)'!F401</f>
        <v/>
      </c>
      <c r="J399" s="623" t="str">
        <f>'PV (%)'!G401</f>
        <v/>
      </c>
      <c r="K399" s="623"/>
      <c r="L399" s="621" t="str">
        <f>Exposition!A400</f>
        <v/>
      </c>
      <c r="M399" s="625" t="str">
        <f>Exposition!B400</f>
        <v/>
      </c>
      <c r="N399" s="625" t="str">
        <f>Exposition!C400</f>
        <v/>
      </c>
      <c r="O399" s="625" t="str">
        <f>Exposition!D400</f>
        <v/>
      </c>
      <c r="P399" s="625" t="str">
        <f>Exposition!E400</f>
        <v/>
      </c>
      <c r="Q399" s="625" t="str">
        <f>Exposition!F400</f>
        <v/>
      </c>
      <c r="R399" s="625" t="str">
        <f>Exposition!G400</f>
        <v/>
      </c>
      <c r="S399" s="625" t="str">
        <f>Exposition!H400</f>
        <v/>
      </c>
      <c r="T399" s="625" t="str">
        <f>Exposition!I400</f>
        <v/>
      </c>
      <c r="U399" s="625" t="str">
        <f>Exposition!J400</f>
        <v/>
      </c>
      <c r="V399" s="625" t="str">
        <f>Exposition!K400</f>
        <v/>
      </c>
      <c r="W399" s="625" t="str">
        <f>Exposition!L400</f>
        <v/>
      </c>
      <c r="X399" s="625" t="str">
        <f>Exposition!M400</f>
        <v/>
      </c>
      <c r="Y399" s="625" t="str">
        <f>Exposition!N400</f>
        <v/>
      </c>
      <c r="Z399" s="625" t="str">
        <f>Exposition!O400</f>
        <v/>
      </c>
      <c r="AA399" s="625" t="str">
        <f>Exposition!P400</f>
        <v/>
      </c>
      <c r="AB399" s="625" t="str">
        <f>Exposition!Q400</f>
        <v/>
      </c>
      <c r="AC399" s="625" t="str">
        <f>Exposition!R400</f>
        <v/>
      </c>
      <c r="AD399" s="625" t="str">
        <f>Exposition!S400</f>
        <v/>
      </c>
      <c r="AE399" s="625" t="str">
        <f>Exposition!T400</f>
        <v/>
      </c>
      <c r="AF399" s="625" t="str">
        <f>Exposition!U400</f>
        <v/>
      </c>
      <c r="AG399" s="623"/>
      <c r="AH399" s="621" t="str">
        <f>PRIX!A400</f>
        <v/>
      </c>
      <c r="AI399" s="626" t="str">
        <f>PRIX!B400</f>
        <v/>
      </c>
      <c r="AJ399" s="626" t="str">
        <f>PRIX!C400</f>
        <v/>
      </c>
      <c r="AK399" s="627" t="str">
        <f>PRIX!D400</f>
        <v/>
      </c>
      <c r="AL399" s="626" t="str">
        <f>PRIX!E400</f>
        <v/>
      </c>
      <c r="AM399" s="626" t="str">
        <f>PRIX!F400</f>
        <v/>
      </c>
      <c r="AN399" s="627" t="str">
        <f>PRIX!G400</f>
        <v/>
      </c>
      <c r="AO399" s="627" t="str">
        <f>PRIX!H400</f>
        <v/>
      </c>
      <c r="AP399" s="631" t="str">
        <f>PRIX!I400</f>
        <v/>
      </c>
      <c r="AQ399" s="628" t="str">
        <f>PRIX!J400</f>
        <v/>
      </c>
      <c r="AR399" s="631" t="str">
        <f>PRIX!K400</f>
        <v/>
      </c>
      <c r="AS399" s="631" t="str">
        <f>PRIX!L400</f>
        <v/>
      </c>
      <c r="AT399" s="631" t="str">
        <f>PRIX!M400</f>
        <v/>
      </c>
      <c r="AU399" s="629" t="str">
        <f>PRIX!N400</f>
        <v/>
      </c>
      <c r="AV399" s="631" t="str">
        <f>PRIX!O400</f>
        <v/>
      </c>
      <c r="AW399" s="631" t="str">
        <f>PRIX!P400</f>
        <v/>
      </c>
      <c r="AX399" s="630" t="str">
        <f>PRIX!Q400</f>
        <v/>
      </c>
      <c r="AY399" s="631" t="str">
        <f>PRIX!R400</f>
        <v/>
      </c>
      <c r="AZ399" s="631" t="str">
        <f>PRIX!S400</f>
        <v/>
      </c>
      <c r="BA399" s="623"/>
    </row>
    <row r="400">
      <c r="A400" s="621" t="str">
        <f>ARBITRAGES!E401</f>
        <v/>
      </c>
      <c r="B400" s="623" t="str">
        <f>IF(A400="","",IF(ARBITRAGES!F401="Invest","Achat","Vente"))</f>
        <v/>
      </c>
      <c r="C400" s="623" t="str">
        <f>ARBITRAGES!H401</f>
        <v/>
      </c>
      <c r="D400" s="624" t="str">
        <f>ARBITRAGES!I401</f>
        <v/>
      </c>
      <c r="E400" s="624" t="str">
        <f>ARBITRAGES!J401</f>
        <v/>
      </c>
      <c r="F400" s="623"/>
      <c r="G400" s="623" t="str">
        <f>'PV (%)'!B402</f>
        <v/>
      </c>
      <c r="H400" s="624" t="str">
        <f>'PV (%)'!E402</f>
        <v/>
      </c>
      <c r="I400" s="624" t="str">
        <f>'PV (%)'!F402</f>
        <v/>
      </c>
      <c r="J400" s="623" t="str">
        <f>'PV (%)'!G402</f>
        <v/>
      </c>
      <c r="K400" s="623"/>
      <c r="L400" s="621" t="str">
        <f>Exposition!A401</f>
        <v/>
      </c>
      <c r="M400" s="625" t="str">
        <f>Exposition!B401</f>
        <v/>
      </c>
      <c r="N400" s="625" t="str">
        <f>Exposition!C401</f>
        <v/>
      </c>
      <c r="O400" s="625" t="str">
        <f>Exposition!D401</f>
        <v/>
      </c>
      <c r="P400" s="625" t="str">
        <f>Exposition!E401</f>
        <v/>
      </c>
      <c r="Q400" s="625" t="str">
        <f>Exposition!F401</f>
        <v/>
      </c>
      <c r="R400" s="625" t="str">
        <f>Exposition!G401</f>
        <v/>
      </c>
      <c r="S400" s="625" t="str">
        <f>Exposition!H401</f>
        <v/>
      </c>
      <c r="T400" s="625" t="str">
        <f>Exposition!I401</f>
        <v/>
      </c>
      <c r="U400" s="625" t="str">
        <f>Exposition!J401</f>
        <v/>
      </c>
      <c r="V400" s="625" t="str">
        <f>Exposition!K401</f>
        <v/>
      </c>
      <c r="W400" s="625" t="str">
        <f>Exposition!L401</f>
        <v/>
      </c>
      <c r="X400" s="625" t="str">
        <f>Exposition!M401</f>
        <v/>
      </c>
      <c r="Y400" s="625" t="str">
        <f>Exposition!N401</f>
        <v/>
      </c>
      <c r="Z400" s="625" t="str">
        <f>Exposition!O401</f>
        <v/>
      </c>
      <c r="AA400" s="625" t="str">
        <f>Exposition!P401</f>
        <v/>
      </c>
      <c r="AB400" s="625" t="str">
        <f>Exposition!Q401</f>
        <v/>
      </c>
      <c r="AC400" s="625" t="str">
        <f>Exposition!R401</f>
        <v/>
      </c>
      <c r="AD400" s="625" t="str">
        <f>Exposition!S401</f>
        <v/>
      </c>
      <c r="AE400" s="625" t="str">
        <f>Exposition!T401</f>
        <v/>
      </c>
      <c r="AF400" s="625" t="str">
        <f>Exposition!U401</f>
        <v/>
      </c>
      <c r="AG400" s="623"/>
      <c r="AH400" s="621" t="str">
        <f>PRIX!A401</f>
        <v/>
      </c>
      <c r="AI400" s="626" t="str">
        <f>PRIX!B401</f>
        <v/>
      </c>
      <c r="AJ400" s="626" t="str">
        <f>PRIX!C401</f>
        <v/>
      </c>
      <c r="AK400" s="627" t="str">
        <f>PRIX!D401</f>
        <v/>
      </c>
      <c r="AL400" s="626" t="str">
        <f>PRIX!E401</f>
        <v/>
      </c>
      <c r="AM400" s="626" t="str">
        <f>PRIX!F401</f>
        <v/>
      </c>
      <c r="AN400" s="627" t="str">
        <f>PRIX!G401</f>
        <v/>
      </c>
      <c r="AO400" s="627" t="str">
        <f>PRIX!H401</f>
        <v/>
      </c>
      <c r="AP400" s="631" t="str">
        <f>PRIX!I401</f>
        <v/>
      </c>
      <c r="AQ400" s="628" t="str">
        <f>PRIX!J401</f>
        <v/>
      </c>
      <c r="AR400" s="631" t="str">
        <f>PRIX!K401</f>
        <v/>
      </c>
      <c r="AS400" s="631" t="str">
        <f>PRIX!L401</f>
        <v/>
      </c>
      <c r="AT400" s="631" t="str">
        <f>PRIX!M401</f>
        <v/>
      </c>
      <c r="AU400" s="629" t="str">
        <f>PRIX!N401</f>
        <v/>
      </c>
      <c r="AV400" s="631" t="str">
        <f>PRIX!O401</f>
        <v/>
      </c>
      <c r="AW400" s="631" t="str">
        <f>PRIX!P401</f>
        <v/>
      </c>
      <c r="AX400" s="630" t="str">
        <f>PRIX!Q401</f>
        <v/>
      </c>
      <c r="AY400" s="631" t="str">
        <f>PRIX!R401</f>
        <v/>
      </c>
      <c r="AZ400" s="631" t="str">
        <f>PRIX!S401</f>
        <v/>
      </c>
      <c r="BA400" s="623"/>
    </row>
    <row r="401">
      <c r="A401" s="621" t="str">
        <f>ARBITRAGES!E402</f>
        <v/>
      </c>
      <c r="B401" s="623" t="str">
        <f>IF(A401="","",IF(ARBITRAGES!F402="Invest","Achat","Vente"))</f>
        <v/>
      </c>
      <c r="C401" s="623" t="str">
        <f>ARBITRAGES!H402</f>
        <v/>
      </c>
      <c r="D401" s="624" t="str">
        <f>ARBITRAGES!I402</f>
        <v/>
      </c>
      <c r="E401" s="624" t="str">
        <f>ARBITRAGES!J402</f>
        <v/>
      </c>
      <c r="F401" s="623"/>
      <c r="G401" s="623" t="str">
        <f>'PV (%)'!B403</f>
        <v/>
      </c>
      <c r="H401" s="624" t="str">
        <f>'PV (%)'!E403</f>
        <v/>
      </c>
      <c r="I401" s="624" t="str">
        <f>'PV (%)'!F403</f>
        <v/>
      </c>
      <c r="J401" s="624" t="str">
        <f>'PV (%)'!G403</f>
        <v/>
      </c>
      <c r="K401" s="623"/>
      <c r="L401" s="621" t="str">
        <f>Exposition!A402</f>
        <v/>
      </c>
      <c r="M401" s="625" t="str">
        <f>Exposition!B402</f>
        <v/>
      </c>
      <c r="N401" s="625" t="str">
        <f>Exposition!C402</f>
        <v/>
      </c>
      <c r="O401" s="625" t="str">
        <f>Exposition!D402</f>
        <v/>
      </c>
      <c r="P401" s="625" t="str">
        <f>Exposition!E402</f>
        <v/>
      </c>
      <c r="Q401" s="625" t="str">
        <f>Exposition!F402</f>
        <v/>
      </c>
      <c r="R401" s="625" t="str">
        <f>Exposition!G402</f>
        <v/>
      </c>
      <c r="S401" s="625" t="str">
        <f>Exposition!H402</f>
        <v/>
      </c>
      <c r="T401" s="625" t="str">
        <f>Exposition!I402</f>
        <v/>
      </c>
      <c r="U401" s="625" t="str">
        <f>Exposition!J402</f>
        <v/>
      </c>
      <c r="V401" s="625" t="str">
        <f>Exposition!K402</f>
        <v/>
      </c>
      <c r="W401" s="625" t="str">
        <f>Exposition!L402</f>
        <v/>
      </c>
      <c r="X401" s="625" t="str">
        <f>Exposition!M402</f>
        <v/>
      </c>
      <c r="Y401" s="625" t="str">
        <f>Exposition!N402</f>
        <v/>
      </c>
      <c r="Z401" s="625" t="str">
        <f>Exposition!O402</f>
        <v/>
      </c>
      <c r="AA401" s="625" t="str">
        <f>Exposition!P402</f>
        <v/>
      </c>
      <c r="AB401" s="625" t="str">
        <f>Exposition!Q402</f>
        <v/>
      </c>
      <c r="AC401" s="625" t="str">
        <f>Exposition!R402</f>
        <v/>
      </c>
      <c r="AD401" s="625" t="str">
        <f>Exposition!S402</f>
        <v/>
      </c>
      <c r="AE401" s="625" t="str">
        <f>Exposition!T402</f>
        <v/>
      </c>
      <c r="AF401" s="625" t="str">
        <f>Exposition!U402</f>
        <v/>
      </c>
      <c r="AG401" s="623"/>
      <c r="AH401" s="621" t="str">
        <f>PRIX!A402</f>
        <v/>
      </c>
      <c r="AI401" s="626" t="str">
        <f>PRIX!B402</f>
        <v/>
      </c>
      <c r="AJ401" s="626" t="str">
        <f>PRIX!C402</f>
        <v/>
      </c>
      <c r="AK401" s="627" t="str">
        <f>PRIX!D402</f>
        <v/>
      </c>
      <c r="AL401" s="626" t="str">
        <f>PRIX!E402</f>
        <v/>
      </c>
      <c r="AM401" s="626" t="str">
        <f>PRIX!F402</f>
        <v/>
      </c>
      <c r="AN401" s="627" t="str">
        <f>PRIX!G402</f>
        <v/>
      </c>
      <c r="AO401" s="627" t="str">
        <f>PRIX!H402</f>
        <v/>
      </c>
      <c r="AP401" s="631" t="str">
        <f>PRIX!I402</f>
        <v/>
      </c>
      <c r="AQ401" s="628" t="str">
        <f>PRIX!J402</f>
        <v/>
      </c>
      <c r="AR401" s="631" t="str">
        <f>PRIX!K402</f>
        <v/>
      </c>
      <c r="AS401" s="631" t="str">
        <f>PRIX!L402</f>
        <v/>
      </c>
      <c r="AT401" s="631" t="str">
        <f>PRIX!M402</f>
        <v/>
      </c>
      <c r="AU401" s="629" t="str">
        <f>PRIX!N402</f>
        <v/>
      </c>
      <c r="AV401" s="631" t="str">
        <f>PRIX!O402</f>
        <v/>
      </c>
      <c r="AW401" s="631" t="str">
        <f>PRIX!P402</f>
        <v/>
      </c>
      <c r="AX401" s="630" t="str">
        <f>PRIX!Q402</f>
        <v/>
      </c>
      <c r="AY401" s="631" t="str">
        <f>PRIX!R402</f>
        <v/>
      </c>
      <c r="AZ401" s="631" t="str">
        <f>PRIX!S402</f>
        <v/>
      </c>
      <c r="BA401" s="623"/>
    </row>
    <row r="402">
      <c r="A402" s="621" t="str">
        <f>ARBITRAGES!E403</f>
        <v/>
      </c>
      <c r="B402" s="623" t="str">
        <f>IF(A402="","",IF(ARBITRAGES!F403="Invest","Achat","Vente"))</f>
        <v/>
      </c>
      <c r="C402" s="623" t="str">
        <f>ARBITRAGES!H403</f>
        <v/>
      </c>
      <c r="D402" s="624" t="str">
        <f>ARBITRAGES!I403</f>
        <v/>
      </c>
      <c r="E402" s="624" t="str">
        <f>ARBITRAGES!J403</f>
        <v/>
      </c>
      <c r="F402" s="623"/>
      <c r="G402" s="623" t="str">
        <f>'PV (%)'!B404</f>
        <v/>
      </c>
      <c r="H402" s="624" t="str">
        <f>'PV (%)'!E404</f>
        <v/>
      </c>
      <c r="I402" s="624" t="str">
        <f>'PV (%)'!F404</f>
        <v/>
      </c>
      <c r="J402" s="624" t="str">
        <f>'PV (%)'!G404</f>
        <v/>
      </c>
      <c r="K402" s="623"/>
      <c r="L402" s="621" t="str">
        <f>Exposition!A403</f>
        <v/>
      </c>
      <c r="M402" s="625" t="str">
        <f>Exposition!B403</f>
        <v/>
      </c>
      <c r="N402" s="625" t="str">
        <f>Exposition!C403</f>
        <v/>
      </c>
      <c r="O402" s="625" t="str">
        <f>Exposition!D403</f>
        <v/>
      </c>
      <c r="P402" s="625" t="str">
        <f>Exposition!E403</f>
        <v/>
      </c>
      <c r="Q402" s="625" t="str">
        <f>Exposition!F403</f>
        <v/>
      </c>
      <c r="R402" s="625" t="str">
        <f>Exposition!G403</f>
        <v/>
      </c>
      <c r="S402" s="625" t="str">
        <f>Exposition!H403</f>
        <v/>
      </c>
      <c r="T402" s="625" t="str">
        <f>Exposition!I403</f>
        <v/>
      </c>
      <c r="U402" s="625" t="str">
        <f>Exposition!J403</f>
        <v/>
      </c>
      <c r="V402" s="625" t="str">
        <f>Exposition!K403</f>
        <v/>
      </c>
      <c r="W402" s="625" t="str">
        <f>Exposition!L403</f>
        <v/>
      </c>
      <c r="X402" s="625" t="str">
        <f>Exposition!M403</f>
        <v/>
      </c>
      <c r="Y402" s="625" t="str">
        <f>Exposition!N403</f>
        <v/>
      </c>
      <c r="Z402" s="625" t="str">
        <f>Exposition!O403</f>
        <v/>
      </c>
      <c r="AA402" s="625" t="str">
        <f>Exposition!P403</f>
        <v/>
      </c>
      <c r="AB402" s="625" t="str">
        <f>Exposition!Q403</f>
        <v/>
      </c>
      <c r="AC402" s="625" t="str">
        <f>Exposition!R403</f>
        <v/>
      </c>
      <c r="AD402" s="625" t="str">
        <f>Exposition!S403</f>
        <v/>
      </c>
      <c r="AE402" s="625" t="str">
        <f>Exposition!T403</f>
        <v/>
      </c>
      <c r="AF402" s="625" t="str">
        <f>Exposition!U403</f>
        <v/>
      </c>
      <c r="AG402" s="623"/>
      <c r="AH402" s="621" t="str">
        <f>PRIX!A403</f>
        <v/>
      </c>
      <c r="AI402" s="626" t="str">
        <f>PRIX!B403</f>
        <v/>
      </c>
      <c r="AJ402" s="626" t="str">
        <f>PRIX!C403</f>
        <v/>
      </c>
      <c r="AK402" s="627" t="str">
        <f>PRIX!D403</f>
        <v/>
      </c>
      <c r="AL402" s="626" t="str">
        <f>PRIX!E403</f>
        <v/>
      </c>
      <c r="AM402" s="626" t="str">
        <f>PRIX!F403</f>
        <v/>
      </c>
      <c r="AN402" s="627" t="str">
        <f>PRIX!G403</f>
        <v/>
      </c>
      <c r="AO402" s="627" t="str">
        <f>PRIX!H403</f>
        <v/>
      </c>
      <c r="AP402" s="631" t="str">
        <f>PRIX!I403</f>
        <v/>
      </c>
      <c r="AQ402" s="628" t="str">
        <f>PRIX!J403</f>
        <v/>
      </c>
      <c r="AR402" s="631" t="str">
        <f>PRIX!K403</f>
        <v/>
      </c>
      <c r="AS402" s="631" t="str">
        <f>PRIX!L403</f>
        <v/>
      </c>
      <c r="AT402" s="631" t="str">
        <f>PRIX!M403</f>
        <v/>
      </c>
      <c r="AU402" s="629" t="str">
        <f>PRIX!N403</f>
        <v/>
      </c>
      <c r="AV402" s="631" t="str">
        <f>PRIX!O403</f>
        <v/>
      </c>
      <c r="AW402" s="631" t="str">
        <f>PRIX!P403</f>
        <v/>
      </c>
      <c r="AX402" s="630" t="str">
        <f>PRIX!Q403</f>
        <v/>
      </c>
      <c r="AY402" s="631" t="str">
        <f>PRIX!R403</f>
        <v/>
      </c>
      <c r="AZ402" s="631" t="str">
        <f>PRIX!S403</f>
        <v/>
      </c>
      <c r="BA402" s="623"/>
    </row>
    <row r="403">
      <c r="A403" s="621" t="str">
        <f>ARBITRAGES!E404</f>
        <v/>
      </c>
      <c r="B403" s="623" t="str">
        <f>IF(A403="","",IF(ARBITRAGES!F404="Invest","Achat","Vente"))</f>
        <v/>
      </c>
      <c r="C403" s="623" t="str">
        <f>ARBITRAGES!H404</f>
        <v/>
      </c>
      <c r="D403" s="624" t="str">
        <f>ARBITRAGES!I404</f>
        <v/>
      </c>
      <c r="E403" s="624" t="str">
        <f>ARBITRAGES!J404</f>
        <v/>
      </c>
      <c r="F403" s="623"/>
      <c r="G403" s="623" t="str">
        <f>'PV (%)'!B405</f>
        <v/>
      </c>
      <c r="H403" s="624" t="str">
        <f>'PV (%)'!E405</f>
        <v/>
      </c>
      <c r="I403" s="624" t="str">
        <f>'PV (%)'!F405</f>
        <v/>
      </c>
      <c r="J403" s="624" t="str">
        <f>'PV (%)'!G405</f>
        <v/>
      </c>
      <c r="K403" s="623"/>
      <c r="L403" s="621" t="str">
        <f>Exposition!A404</f>
        <v/>
      </c>
      <c r="M403" s="625" t="str">
        <f>Exposition!B404</f>
        <v/>
      </c>
      <c r="N403" s="625" t="str">
        <f>Exposition!C404</f>
        <v/>
      </c>
      <c r="O403" s="625" t="str">
        <f>Exposition!D404</f>
        <v/>
      </c>
      <c r="P403" s="625" t="str">
        <f>Exposition!E404</f>
        <v/>
      </c>
      <c r="Q403" s="625" t="str">
        <f>Exposition!F404</f>
        <v/>
      </c>
      <c r="R403" s="625" t="str">
        <f>Exposition!G404</f>
        <v/>
      </c>
      <c r="S403" s="625" t="str">
        <f>Exposition!H404</f>
        <v/>
      </c>
      <c r="T403" s="625" t="str">
        <f>Exposition!I404</f>
        <v/>
      </c>
      <c r="U403" s="625" t="str">
        <f>Exposition!J404</f>
        <v/>
      </c>
      <c r="V403" s="625" t="str">
        <f>Exposition!K404</f>
        <v/>
      </c>
      <c r="W403" s="625" t="str">
        <f>Exposition!L404</f>
        <v/>
      </c>
      <c r="X403" s="625" t="str">
        <f>Exposition!M404</f>
        <v/>
      </c>
      <c r="Y403" s="625" t="str">
        <f>Exposition!N404</f>
        <v/>
      </c>
      <c r="Z403" s="625" t="str">
        <f>Exposition!O404</f>
        <v/>
      </c>
      <c r="AA403" s="625" t="str">
        <f>Exposition!P404</f>
        <v/>
      </c>
      <c r="AB403" s="625" t="str">
        <f>Exposition!Q404</f>
        <v/>
      </c>
      <c r="AC403" s="625" t="str">
        <f>Exposition!R404</f>
        <v/>
      </c>
      <c r="AD403" s="625" t="str">
        <f>Exposition!S404</f>
        <v/>
      </c>
      <c r="AE403" s="625" t="str">
        <f>Exposition!T404</f>
        <v/>
      </c>
      <c r="AF403" s="625" t="str">
        <f>Exposition!U404</f>
        <v/>
      </c>
      <c r="AG403" s="623"/>
      <c r="AH403" s="621" t="str">
        <f>PRIX!A404</f>
        <v/>
      </c>
      <c r="AI403" s="626" t="str">
        <f>PRIX!B404</f>
        <v/>
      </c>
      <c r="AJ403" s="626" t="str">
        <f>PRIX!C404</f>
        <v/>
      </c>
      <c r="AK403" s="627" t="str">
        <f>PRIX!D404</f>
        <v/>
      </c>
      <c r="AL403" s="626" t="str">
        <f>PRIX!E404</f>
        <v/>
      </c>
      <c r="AM403" s="626" t="str">
        <f>PRIX!F404</f>
        <v/>
      </c>
      <c r="AN403" s="627" t="str">
        <f>PRIX!G404</f>
        <v/>
      </c>
      <c r="AO403" s="627" t="str">
        <f>PRIX!H404</f>
        <v/>
      </c>
      <c r="AP403" s="631" t="str">
        <f>PRIX!I404</f>
        <v/>
      </c>
      <c r="AQ403" s="628" t="str">
        <f>PRIX!J404</f>
        <v/>
      </c>
      <c r="AR403" s="631" t="str">
        <f>PRIX!K404</f>
        <v/>
      </c>
      <c r="AS403" s="631" t="str">
        <f>PRIX!L404</f>
        <v/>
      </c>
      <c r="AT403" s="631" t="str">
        <f>PRIX!M404</f>
        <v/>
      </c>
      <c r="AU403" s="629" t="str">
        <f>PRIX!N404</f>
        <v/>
      </c>
      <c r="AV403" s="631" t="str">
        <f>PRIX!O404</f>
        <v/>
      </c>
      <c r="AW403" s="631" t="str">
        <f>PRIX!P404</f>
        <v/>
      </c>
      <c r="AX403" s="630" t="str">
        <f>PRIX!Q404</f>
        <v/>
      </c>
      <c r="AY403" s="631" t="str">
        <f>PRIX!R404</f>
        <v/>
      </c>
      <c r="AZ403" s="631" t="str">
        <f>PRIX!S404</f>
        <v/>
      </c>
      <c r="BA403" s="623"/>
    </row>
    <row r="404">
      <c r="A404" s="621" t="str">
        <f>ARBITRAGES!E405</f>
        <v/>
      </c>
      <c r="B404" s="623" t="str">
        <f>IF(A404="","",IF(ARBITRAGES!F405="Invest","Achat","Vente"))</f>
        <v/>
      </c>
      <c r="C404" s="623" t="str">
        <f>ARBITRAGES!H405</f>
        <v/>
      </c>
      <c r="D404" s="624" t="str">
        <f>ARBITRAGES!I405</f>
        <v/>
      </c>
      <c r="E404" s="624" t="str">
        <f>ARBITRAGES!J405</f>
        <v/>
      </c>
      <c r="F404" s="623"/>
      <c r="G404" s="623" t="str">
        <f>'PV (%)'!B406</f>
        <v/>
      </c>
      <c r="H404" s="624" t="str">
        <f>'PV (%)'!E406</f>
        <v/>
      </c>
      <c r="I404" s="624" t="str">
        <f>'PV (%)'!F406</f>
        <v/>
      </c>
      <c r="J404" s="624" t="str">
        <f>'PV (%)'!G406</f>
        <v/>
      </c>
      <c r="K404" s="623"/>
      <c r="L404" s="621" t="str">
        <f>Exposition!A405</f>
        <v/>
      </c>
      <c r="M404" s="625" t="str">
        <f>Exposition!B405</f>
        <v/>
      </c>
      <c r="N404" s="625" t="str">
        <f>Exposition!C405</f>
        <v/>
      </c>
      <c r="O404" s="625" t="str">
        <f>Exposition!D405</f>
        <v/>
      </c>
      <c r="P404" s="625" t="str">
        <f>Exposition!E405</f>
        <v/>
      </c>
      <c r="Q404" s="625" t="str">
        <f>Exposition!F405</f>
        <v/>
      </c>
      <c r="R404" s="625" t="str">
        <f>Exposition!G405</f>
        <v/>
      </c>
      <c r="S404" s="625" t="str">
        <f>Exposition!H405</f>
        <v/>
      </c>
      <c r="T404" s="625" t="str">
        <f>Exposition!I405</f>
        <v/>
      </c>
      <c r="U404" s="625" t="str">
        <f>Exposition!J405</f>
        <v/>
      </c>
      <c r="V404" s="625" t="str">
        <f>Exposition!K405</f>
        <v/>
      </c>
      <c r="W404" s="625" t="str">
        <f>Exposition!L405</f>
        <v/>
      </c>
      <c r="X404" s="625" t="str">
        <f>Exposition!M405</f>
        <v/>
      </c>
      <c r="Y404" s="625" t="str">
        <f>Exposition!N405</f>
        <v/>
      </c>
      <c r="Z404" s="625" t="str">
        <f>Exposition!O405</f>
        <v/>
      </c>
      <c r="AA404" s="625" t="str">
        <f>Exposition!P405</f>
        <v/>
      </c>
      <c r="AB404" s="625" t="str">
        <f>Exposition!Q405</f>
        <v/>
      </c>
      <c r="AC404" s="625" t="str">
        <f>Exposition!R405</f>
        <v/>
      </c>
      <c r="AD404" s="625" t="str">
        <f>Exposition!S405</f>
        <v/>
      </c>
      <c r="AE404" s="625" t="str">
        <f>Exposition!T405</f>
        <v/>
      </c>
      <c r="AF404" s="625" t="str">
        <f>Exposition!U405</f>
        <v/>
      </c>
      <c r="AG404" s="623"/>
      <c r="AH404" s="621" t="str">
        <f>PRIX!A405</f>
        <v/>
      </c>
      <c r="AI404" s="626" t="str">
        <f>PRIX!B405</f>
        <v/>
      </c>
      <c r="AJ404" s="626" t="str">
        <f>PRIX!C405</f>
        <v/>
      </c>
      <c r="AK404" s="627" t="str">
        <f>PRIX!D405</f>
        <v/>
      </c>
      <c r="AL404" s="626" t="str">
        <f>PRIX!E405</f>
        <v/>
      </c>
      <c r="AM404" s="626" t="str">
        <f>PRIX!F405</f>
        <v/>
      </c>
      <c r="AN404" s="627" t="str">
        <f>PRIX!G405</f>
        <v/>
      </c>
      <c r="AO404" s="627" t="str">
        <f>PRIX!H405</f>
        <v/>
      </c>
      <c r="AP404" s="631" t="str">
        <f>PRIX!I405</f>
        <v/>
      </c>
      <c r="AQ404" s="628" t="str">
        <f>PRIX!J405</f>
        <v/>
      </c>
      <c r="AR404" s="631" t="str">
        <f>PRIX!K405</f>
        <v/>
      </c>
      <c r="AS404" s="631" t="str">
        <f>PRIX!L405</f>
        <v/>
      </c>
      <c r="AT404" s="631" t="str">
        <f>PRIX!M405</f>
        <v/>
      </c>
      <c r="AU404" s="629" t="str">
        <f>PRIX!N405</f>
        <v/>
      </c>
      <c r="AV404" s="631" t="str">
        <f>PRIX!O405</f>
        <v/>
      </c>
      <c r="AW404" s="631" t="str">
        <f>PRIX!P405</f>
        <v/>
      </c>
      <c r="AX404" s="630" t="str">
        <f>PRIX!Q405</f>
        <v/>
      </c>
      <c r="AY404" s="631" t="str">
        <f>PRIX!R405</f>
        <v/>
      </c>
      <c r="AZ404" s="631" t="str">
        <f>PRIX!S405</f>
        <v/>
      </c>
      <c r="BA404" s="623"/>
    </row>
    <row r="405">
      <c r="A405" s="621" t="str">
        <f>ARBITRAGES!E406</f>
        <v/>
      </c>
      <c r="B405" s="623" t="str">
        <f>IF(A405="","",IF(ARBITRAGES!F406="Invest","Achat","Vente"))</f>
        <v/>
      </c>
      <c r="C405" s="623" t="str">
        <f>ARBITRAGES!H406</f>
        <v/>
      </c>
      <c r="D405" s="624" t="str">
        <f>ARBITRAGES!I406</f>
        <v/>
      </c>
      <c r="E405" s="624" t="str">
        <f>ARBITRAGES!J406</f>
        <v/>
      </c>
      <c r="F405" s="623"/>
      <c r="G405" s="623" t="str">
        <f>'PV (%)'!B407</f>
        <v/>
      </c>
      <c r="H405" s="624" t="str">
        <f>'PV (%)'!E407</f>
        <v/>
      </c>
      <c r="I405" s="624" t="str">
        <f>'PV (%)'!F407</f>
        <v/>
      </c>
      <c r="J405" s="624" t="str">
        <f>'PV (%)'!G407</f>
        <v/>
      </c>
      <c r="K405" s="623"/>
      <c r="L405" s="621" t="str">
        <f>Exposition!A406</f>
        <v/>
      </c>
      <c r="M405" s="625" t="str">
        <f>Exposition!B406</f>
        <v/>
      </c>
      <c r="N405" s="625" t="str">
        <f>Exposition!C406</f>
        <v/>
      </c>
      <c r="O405" s="625" t="str">
        <f>Exposition!D406</f>
        <v/>
      </c>
      <c r="P405" s="625" t="str">
        <f>Exposition!E406</f>
        <v/>
      </c>
      <c r="Q405" s="625" t="str">
        <f>Exposition!F406</f>
        <v/>
      </c>
      <c r="R405" s="625" t="str">
        <f>Exposition!G406</f>
        <v/>
      </c>
      <c r="S405" s="625" t="str">
        <f>Exposition!H406</f>
        <v/>
      </c>
      <c r="T405" s="625" t="str">
        <f>Exposition!I406</f>
        <v/>
      </c>
      <c r="U405" s="625" t="str">
        <f>Exposition!J406</f>
        <v/>
      </c>
      <c r="V405" s="625" t="str">
        <f>Exposition!K406</f>
        <v/>
      </c>
      <c r="W405" s="625" t="str">
        <f>Exposition!L406</f>
        <v/>
      </c>
      <c r="X405" s="625" t="str">
        <f>Exposition!M406</f>
        <v/>
      </c>
      <c r="Y405" s="625" t="str">
        <f>Exposition!N406</f>
        <v/>
      </c>
      <c r="Z405" s="625" t="str">
        <f>Exposition!O406</f>
        <v/>
      </c>
      <c r="AA405" s="625" t="str">
        <f>Exposition!P406</f>
        <v/>
      </c>
      <c r="AB405" s="625" t="str">
        <f>Exposition!Q406</f>
        <v/>
      </c>
      <c r="AC405" s="625" t="str">
        <f>Exposition!R406</f>
        <v/>
      </c>
      <c r="AD405" s="625" t="str">
        <f>Exposition!S406</f>
        <v/>
      </c>
      <c r="AE405" s="625" t="str">
        <f>Exposition!T406</f>
        <v/>
      </c>
      <c r="AF405" s="625" t="str">
        <f>Exposition!U406</f>
        <v/>
      </c>
      <c r="AG405" s="623"/>
      <c r="AH405" s="621" t="str">
        <f>PRIX!A406</f>
        <v/>
      </c>
      <c r="AI405" s="626" t="str">
        <f>PRIX!B406</f>
        <v/>
      </c>
      <c r="AJ405" s="626" t="str">
        <f>PRIX!C406</f>
        <v/>
      </c>
      <c r="AK405" s="627" t="str">
        <f>PRIX!D406</f>
        <v/>
      </c>
      <c r="AL405" s="626" t="str">
        <f>PRIX!E406</f>
        <v/>
      </c>
      <c r="AM405" s="626" t="str">
        <f>PRIX!F406</f>
        <v/>
      </c>
      <c r="AN405" s="627" t="str">
        <f>PRIX!G406</f>
        <v/>
      </c>
      <c r="AO405" s="627" t="str">
        <f>PRIX!H406</f>
        <v/>
      </c>
      <c r="AP405" s="631" t="str">
        <f>PRIX!I406</f>
        <v/>
      </c>
      <c r="AQ405" s="628" t="str">
        <f>PRIX!J406</f>
        <v/>
      </c>
      <c r="AR405" s="631" t="str">
        <f>PRIX!K406</f>
        <v/>
      </c>
      <c r="AS405" s="631" t="str">
        <f>PRIX!L406</f>
        <v/>
      </c>
      <c r="AT405" s="631" t="str">
        <f>PRIX!M406</f>
        <v/>
      </c>
      <c r="AU405" s="629" t="str">
        <f>PRIX!N406</f>
        <v/>
      </c>
      <c r="AV405" s="631" t="str">
        <f>PRIX!O406</f>
        <v/>
      </c>
      <c r="AW405" s="631" t="str">
        <f>PRIX!P406</f>
        <v/>
      </c>
      <c r="AX405" s="630" t="str">
        <f>PRIX!Q406</f>
        <v/>
      </c>
      <c r="AY405" s="631" t="str">
        <f>PRIX!R406</f>
        <v/>
      </c>
      <c r="AZ405" s="631" t="str">
        <f>PRIX!S406</f>
        <v/>
      </c>
      <c r="BA405" s="623"/>
    </row>
    <row r="406">
      <c r="A406" s="621" t="str">
        <f>ARBITRAGES!E407</f>
        <v/>
      </c>
      <c r="B406" s="623" t="str">
        <f>IF(A406="","",IF(ARBITRAGES!F407="Invest","Achat","Vente"))</f>
        <v/>
      </c>
      <c r="C406" s="623" t="str">
        <f>ARBITRAGES!H407</f>
        <v/>
      </c>
      <c r="D406" s="624" t="str">
        <f>ARBITRAGES!I407</f>
        <v/>
      </c>
      <c r="E406" s="624" t="str">
        <f>ARBITRAGES!J407</f>
        <v/>
      </c>
      <c r="F406" s="623"/>
      <c r="G406" s="623" t="str">
        <f>'PV (%)'!B408</f>
        <v/>
      </c>
      <c r="H406" s="624" t="str">
        <f>'PV (%)'!E408</f>
        <v/>
      </c>
      <c r="I406" s="624" t="str">
        <f>'PV (%)'!F408</f>
        <v/>
      </c>
      <c r="J406" s="624" t="str">
        <f>'PV (%)'!G408</f>
        <v/>
      </c>
      <c r="K406" s="623"/>
      <c r="L406" s="621" t="str">
        <f>Exposition!A407</f>
        <v/>
      </c>
      <c r="M406" s="625" t="str">
        <f>Exposition!B407</f>
        <v/>
      </c>
      <c r="N406" s="625" t="str">
        <f>Exposition!C407</f>
        <v/>
      </c>
      <c r="O406" s="625" t="str">
        <f>Exposition!D407</f>
        <v/>
      </c>
      <c r="P406" s="625" t="str">
        <f>Exposition!E407</f>
        <v/>
      </c>
      <c r="Q406" s="625" t="str">
        <f>Exposition!F407</f>
        <v/>
      </c>
      <c r="R406" s="625" t="str">
        <f>Exposition!G407</f>
        <v/>
      </c>
      <c r="S406" s="625" t="str">
        <f>Exposition!H407</f>
        <v/>
      </c>
      <c r="T406" s="625" t="str">
        <f>Exposition!I407</f>
        <v/>
      </c>
      <c r="U406" s="625" t="str">
        <f>Exposition!J407</f>
        <v/>
      </c>
      <c r="V406" s="625" t="str">
        <f>Exposition!K407</f>
        <v/>
      </c>
      <c r="W406" s="625" t="str">
        <f>Exposition!L407</f>
        <v/>
      </c>
      <c r="X406" s="625" t="str">
        <f>Exposition!M407</f>
        <v/>
      </c>
      <c r="Y406" s="625" t="str">
        <f>Exposition!N407</f>
        <v/>
      </c>
      <c r="Z406" s="625" t="str">
        <f>Exposition!O407</f>
        <v/>
      </c>
      <c r="AA406" s="625" t="str">
        <f>Exposition!P407</f>
        <v/>
      </c>
      <c r="AB406" s="625" t="str">
        <f>Exposition!Q407</f>
        <v/>
      </c>
      <c r="AC406" s="625" t="str">
        <f>Exposition!R407</f>
        <v/>
      </c>
      <c r="AD406" s="625" t="str">
        <f>Exposition!S407</f>
        <v/>
      </c>
      <c r="AE406" s="625" t="str">
        <f>Exposition!T407</f>
        <v/>
      </c>
      <c r="AF406" s="625" t="str">
        <f>Exposition!U407</f>
        <v/>
      </c>
      <c r="AG406" s="623"/>
      <c r="AH406" s="621" t="str">
        <f>PRIX!A407</f>
        <v/>
      </c>
      <c r="AI406" s="626" t="str">
        <f>PRIX!B407</f>
        <v/>
      </c>
      <c r="AJ406" s="626" t="str">
        <f>PRIX!C407</f>
        <v/>
      </c>
      <c r="AK406" s="627" t="str">
        <f>PRIX!D407</f>
        <v/>
      </c>
      <c r="AL406" s="626" t="str">
        <f>PRIX!E407</f>
        <v/>
      </c>
      <c r="AM406" s="626" t="str">
        <f>PRIX!F407</f>
        <v/>
      </c>
      <c r="AN406" s="627" t="str">
        <f>PRIX!G407</f>
        <v/>
      </c>
      <c r="AO406" s="627" t="str">
        <f>PRIX!H407</f>
        <v/>
      </c>
      <c r="AP406" s="631" t="str">
        <f>PRIX!I407</f>
        <v/>
      </c>
      <c r="AQ406" s="628" t="str">
        <f>PRIX!J407</f>
        <v/>
      </c>
      <c r="AR406" s="631" t="str">
        <f>PRIX!K407</f>
        <v/>
      </c>
      <c r="AS406" s="631" t="str">
        <f>PRIX!L407</f>
        <v/>
      </c>
      <c r="AT406" s="631" t="str">
        <f>PRIX!M407</f>
        <v/>
      </c>
      <c r="AU406" s="629" t="str">
        <f>PRIX!N407</f>
        <v/>
      </c>
      <c r="AV406" s="631" t="str">
        <f>PRIX!O407</f>
        <v/>
      </c>
      <c r="AW406" s="631" t="str">
        <f>PRIX!P407</f>
        <v/>
      </c>
      <c r="AX406" s="630" t="str">
        <f>PRIX!Q407</f>
        <v/>
      </c>
      <c r="AY406" s="631" t="str">
        <f>PRIX!R407</f>
        <v/>
      </c>
      <c r="AZ406" s="631" t="str">
        <f>PRIX!S407</f>
        <v/>
      </c>
      <c r="BA406" s="623"/>
    </row>
    <row r="407">
      <c r="A407" s="621" t="str">
        <f>ARBITRAGES!E408</f>
        <v/>
      </c>
      <c r="B407" s="623" t="str">
        <f>IF(A407="","",IF(ARBITRAGES!F408="Invest","Achat","Vente"))</f>
        <v/>
      </c>
      <c r="C407" s="623" t="str">
        <f>ARBITRAGES!H408</f>
        <v/>
      </c>
      <c r="D407" s="624" t="str">
        <f>ARBITRAGES!I408</f>
        <v/>
      </c>
      <c r="E407" s="624" t="str">
        <f>ARBITRAGES!J408</f>
        <v/>
      </c>
      <c r="F407" s="623"/>
      <c r="G407" s="623" t="str">
        <f>'PV (%)'!B409</f>
        <v/>
      </c>
      <c r="H407" s="624" t="str">
        <f>'PV (%)'!E409</f>
        <v/>
      </c>
      <c r="I407" s="624" t="str">
        <f>'PV (%)'!F409</f>
        <v/>
      </c>
      <c r="J407" s="624" t="str">
        <f>'PV (%)'!G409</f>
        <v/>
      </c>
      <c r="K407" s="623"/>
      <c r="L407" s="621" t="str">
        <f>Exposition!A408</f>
        <v/>
      </c>
      <c r="M407" s="625" t="str">
        <f>Exposition!B408</f>
        <v/>
      </c>
      <c r="N407" s="625" t="str">
        <f>Exposition!C408</f>
        <v/>
      </c>
      <c r="O407" s="625" t="str">
        <f>Exposition!D408</f>
        <v/>
      </c>
      <c r="P407" s="625" t="str">
        <f>Exposition!E408</f>
        <v/>
      </c>
      <c r="Q407" s="625" t="str">
        <f>Exposition!F408</f>
        <v/>
      </c>
      <c r="R407" s="625" t="str">
        <f>Exposition!G408</f>
        <v/>
      </c>
      <c r="S407" s="625" t="str">
        <f>Exposition!H408</f>
        <v/>
      </c>
      <c r="T407" s="625" t="str">
        <f>Exposition!I408</f>
        <v/>
      </c>
      <c r="U407" s="625" t="str">
        <f>Exposition!J408</f>
        <v/>
      </c>
      <c r="V407" s="625" t="str">
        <f>Exposition!K408</f>
        <v/>
      </c>
      <c r="W407" s="625" t="str">
        <f>Exposition!L408</f>
        <v/>
      </c>
      <c r="X407" s="625" t="str">
        <f>Exposition!M408</f>
        <v/>
      </c>
      <c r="Y407" s="625" t="str">
        <f>Exposition!N408</f>
        <v/>
      </c>
      <c r="Z407" s="625" t="str">
        <f>Exposition!O408</f>
        <v/>
      </c>
      <c r="AA407" s="625" t="str">
        <f>Exposition!P408</f>
        <v/>
      </c>
      <c r="AB407" s="625" t="str">
        <f>Exposition!Q408</f>
        <v/>
      </c>
      <c r="AC407" s="625" t="str">
        <f>Exposition!R408</f>
        <v/>
      </c>
      <c r="AD407" s="625" t="str">
        <f>Exposition!S408</f>
        <v/>
      </c>
      <c r="AE407" s="625" t="str">
        <f>Exposition!T408</f>
        <v/>
      </c>
      <c r="AF407" s="625" t="str">
        <f>Exposition!U408</f>
        <v/>
      </c>
      <c r="AG407" s="623"/>
      <c r="AH407" s="621" t="str">
        <f>PRIX!A408</f>
        <v/>
      </c>
      <c r="AI407" s="626" t="str">
        <f>PRIX!B408</f>
        <v/>
      </c>
      <c r="AJ407" s="626" t="str">
        <f>PRIX!C408</f>
        <v/>
      </c>
      <c r="AK407" s="627" t="str">
        <f>PRIX!D408</f>
        <v/>
      </c>
      <c r="AL407" s="626" t="str">
        <f>PRIX!E408</f>
        <v/>
      </c>
      <c r="AM407" s="626" t="str">
        <f>PRIX!F408</f>
        <v/>
      </c>
      <c r="AN407" s="627" t="str">
        <f>PRIX!G408</f>
        <v/>
      </c>
      <c r="AO407" s="627" t="str">
        <f>PRIX!H408</f>
        <v/>
      </c>
      <c r="AP407" s="631" t="str">
        <f>PRIX!I408</f>
        <v/>
      </c>
      <c r="AQ407" s="628" t="str">
        <f>PRIX!J408</f>
        <v/>
      </c>
      <c r="AR407" s="631" t="str">
        <f>PRIX!K408</f>
        <v/>
      </c>
      <c r="AS407" s="631" t="str">
        <f>PRIX!L408</f>
        <v/>
      </c>
      <c r="AT407" s="631" t="str">
        <f>PRIX!M408</f>
        <v/>
      </c>
      <c r="AU407" s="629" t="str">
        <f>PRIX!N408</f>
        <v/>
      </c>
      <c r="AV407" s="631" t="str">
        <f>PRIX!O408</f>
        <v/>
      </c>
      <c r="AW407" s="631" t="str">
        <f>PRIX!P408</f>
        <v/>
      </c>
      <c r="AX407" s="630" t="str">
        <f>PRIX!Q408</f>
        <v/>
      </c>
      <c r="AY407" s="631" t="str">
        <f>PRIX!R408</f>
        <v/>
      </c>
      <c r="AZ407" s="631" t="str">
        <f>PRIX!S408</f>
        <v/>
      </c>
      <c r="BA407" s="623"/>
    </row>
    <row r="408">
      <c r="A408" s="621" t="str">
        <f>ARBITRAGES!E409</f>
        <v/>
      </c>
      <c r="B408" s="623" t="str">
        <f>IF(A408="","",IF(ARBITRAGES!F409="Invest","Achat","Vente"))</f>
        <v/>
      </c>
      <c r="C408" s="623" t="str">
        <f>ARBITRAGES!H409</f>
        <v/>
      </c>
      <c r="D408" s="624" t="str">
        <f>ARBITRAGES!I409</f>
        <v/>
      </c>
      <c r="E408" s="624" t="str">
        <f>ARBITRAGES!J409</f>
        <v/>
      </c>
      <c r="F408" s="623"/>
      <c r="G408" s="623" t="str">
        <f>'PV (%)'!B410</f>
        <v/>
      </c>
      <c r="H408" s="624" t="str">
        <f>'PV (%)'!E410</f>
        <v/>
      </c>
      <c r="I408" s="624" t="str">
        <f>'PV (%)'!F410</f>
        <v/>
      </c>
      <c r="J408" s="624" t="str">
        <f>'PV (%)'!G410</f>
        <v/>
      </c>
      <c r="K408" s="623"/>
      <c r="L408" s="621" t="str">
        <f>Exposition!A409</f>
        <v/>
      </c>
      <c r="M408" s="625" t="str">
        <f>Exposition!B409</f>
        <v/>
      </c>
      <c r="N408" s="625" t="str">
        <f>Exposition!C409</f>
        <v/>
      </c>
      <c r="O408" s="625" t="str">
        <f>Exposition!D409</f>
        <v/>
      </c>
      <c r="P408" s="625" t="str">
        <f>Exposition!E409</f>
        <v/>
      </c>
      <c r="Q408" s="625" t="str">
        <f>Exposition!F409</f>
        <v/>
      </c>
      <c r="R408" s="625" t="str">
        <f>Exposition!G409</f>
        <v/>
      </c>
      <c r="S408" s="625" t="str">
        <f>Exposition!H409</f>
        <v/>
      </c>
      <c r="T408" s="625" t="str">
        <f>Exposition!I409</f>
        <v/>
      </c>
      <c r="U408" s="625" t="str">
        <f>Exposition!J409</f>
        <v/>
      </c>
      <c r="V408" s="625" t="str">
        <f>Exposition!K409</f>
        <v/>
      </c>
      <c r="W408" s="625" t="str">
        <f>Exposition!L409</f>
        <v/>
      </c>
      <c r="X408" s="625" t="str">
        <f>Exposition!M409</f>
        <v/>
      </c>
      <c r="Y408" s="625" t="str">
        <f>Exposition!N409</f>
        <v/>
      </c>
      <c r="Z408" s="625" t="str">
        <f>Exposition!O409</f>
        <v/>
      </c>
      <c r="AA408" s="625" t="str">
        <f>Exposition!P409</f>
        <v/>
      </c>
      <c r="AB408" s="625" t="str">
        <f>Exposition!Q409</f>
        <v/>
      </c>
      <c r="AC408" s="625" t="str">
        <f>Exposition!R409</f>
        <v/>
      </c>
      <c r="AD408" s="625" t="str">
        <f>Exposition!S409</f>
        <v/>
      </c>
      <c r="AE408" s="625" t="str">
        <f>Exposition!T409</f>
        <v/>
      </c>
      <c r="AF408" s="625" t="str">
        <f>Exposition!U409</f>
        <v/>
      </c>
      <c r="AG408" s="623"/>
      <c r="AH408" s="621" t="str">
        <f>PRIX!A409</f>
        <v/>
      </c>
      <c r="AI408" s="626" t="str">
        <f>PRIX!B409</f>
        <v/>
      </c>
      <c r="AJ408" s="626" t="str">
        <f>PRIX!C409</f>
        <v/>
      </c>
      <c r="AK408" s="627" t="str">
        <f>PRIX!D409</f>
        <v/>
      </c>
      <c r="AL408" s="626" t="str">
        <f>PRIX!E409</f>
        <v/>
      </c>
      <c r="AM408" s="626" t="str">
        <f>PRIX!F409</f>
        <v/>
      </c>
      <c r="AN408" s="627" t="str">
        <f>PRIX!G409</f>
        <v/>
      </c>
      <c r="AO408" s="627" t="str">
        <f>PRIX!H409</f>
        <v/>
      </c>
      <c r="AP408" s="631" t="str">
        <f>PRIX!I409</f>
        <v/>
      </c>
      <c r="AQ408" s="628" t="str">
        <f>PRIX!J409</f>
        <v/>
      </c>
      <c r="AR408" s="631" t="str">
        <f>PRIX!K409</f>
        <v/>
      </c>
      <c r="AS408" s="631" t="str">
        <f>PRIX!L409</f>
        <v/>
      </c>
      <c r="AT408" s="631" t="str">
        <f>PRIX!M409</f>
        <v/>
      </c>
      <c r="AU408" s="629" t="str">
        <f>PRIX!N409</f>
        <v/>
      </c>
      <c r="AV408" s="631" t="str">
        <f>PRIX!O409</f>
        <v/>
      </c>
      <c r="AW408" s="631" t="str">
        <f>PRIX!P409</f>
        <v/>
      </c>
      <c r="AX408" s="630" t="str">
        <f>PRIX!Q409</f>
        <v/>
      </c>
      <c r="AY408" s="631" t="str">
        <f>PRIX!R409</f>
        <v/>
      </c>
      <c r="AZ408" s="631" t="str">
        <f>PRIX!S409</f>
        <v/>
      </c>
      <c r="BA408" s="623"/>
    </row>
    <row r="409">
      <c r="A409" s="621" t="str">
        <f>ARBITRAGES!E410</f>
        <v/>
      </c>
      <c r="B409" s="623" t="str">
        <f>IF(A409="","",IF(ARBITRAGES!F410="Invest","Achat","Vente"))</f>
        <v/>
      </c>
      <c r="C409" s="623" t="str">
        <f>ARBITRAGES!H410</f>
        <v/>
      </c>
      <c r="D409" s="624" t="str">
        <f>ARBITRAGES!I410</f>
        <v/>
      </c>
      <c r="E409" s="624" t="str">
        <f>ARBITRAGES!J410</f>
        <v/>
      </c>
      <c r="F409" s="623"/>
      <c r="G409" s="623" t="str">
        <f>'PV (%)'!B411</f>
        <v/>
      </c>
      <c r="H409" s="624" t="str">
        <f>'PV (%)'!E411</f>
        <v/>
      </c>
      <c r="I409" s="624" t="str">
        <f>'PV (%)'!F411</f>
        <v/>
      </c>
      <c r="J409" s="624" t="str">
        <f>'PV (%)'!G411</f>
        <v/>
      </c>
      <c r="K409" s="623"/>
      <c r="L409" s="621" t="str">
        <f>Exposition!A410</f>
        <v/>
      </c>
      <c r="M409" s="625" t="str">
        <f>Exposition!B410</f>
        <v/>
      </c>
      <c r="N409" s="625" t="str">
        <f>Exposition!C410</f>
        <v/>
      </c>
      <c r="O409" s="625" t="str">
        <f>Exposition!D410</f>
        <v/>
      </c>
      <c r="P409" s="625" t="str">
        <f>Exposition!E410</f>
        <v/>
      </c>
      <c r="Q409" s="625" t="str">
        <f>Exposition!F410</f>
        <v/>
      </c>
      <c r="R409" s="625" t="str">
        <f>Exposition!G410</f>
        <v/>
      </c>
      <c r="S409" s="625" t="str">
        <f>Exposition!H410</f>
        <v/>
      </c>
      <c r="T409" s="625" t="str">
        <f>Exposition!I410</f>
        <v/>
      </c>
      <c r="U409" s="625" t="str">
        <f>Exposition!J410</f>
        <v/>
      </c>
      <c r="V409" s="625" t="str">
        <f>Exposition!K410</f>
        <v/>
      </c>
      <c r="W409" s="625" t="str">
        <f>Exposition!L410</f>
        <v/>
      </c>
      <c r="X409" s="625" t="str">
        <f>Exposition!M410</f>
        <v/>
      </c>
      <c r="Y409" s="625" t="str">
        <f>Exposition!N410</f>
        <v/>
      </c>
      <c r="Z409" s="625" t="str">
        <f>Exposition!O410</f>
        <v/>
      </c>
      <c r="AA409" s="625" t="str">
        <f>Exposition!P410</f>
        <v/>
      </c>
      <c r="AB409" s="625" t="str">
        <f>Exposition!Q410</f>
        <v/>
      </c>
      <c r="AC409" s="625" t="str">
        <f>Exposition!R410</f>
        <v/>
      </c>
      <c r="AD409" s="625" t="str">
        <f>Exposition!S410</f>
        <v/>
      </c>
      <c r="AE409" s="625" t="str">
        <f>Exposition!T410</f>
        <v/>
      </c>
      <c r="AF409" s="625" t="str">
        <f>Exposition!U410</f>
        <v/>
      </c>
      <c r="AG409" s="623"/>
      <c r="AH409" s="621" t="str">
        <f>PRIX!A410</f>
        <v/>
      </c>
      <c r="AI409" s="626" t="str">
        <f>PRIX!B410</f>
        <v/>
      </c>
      <c r="AJ409" s="626" t="str">
        <f>PRIX!C410</f>
        <v/>
      </c>
      <c r="AK409" s="627" t="str">
        <f>PRIX!D410</f>
        <v/>
      </c>
      <c r="AL409" s="626" t="str">
        <f>PRIX!E410</f>
        <v/>
      </c>
      <c r="AM409" s="626" t="str">
        <f>PRIX!F410</f>
        <v/>
      </c>
      <c r="AN409" s="627" t="str">
        <f>PRIX!G410</f>
        <v/>
      </c>
      <c r="AO409" s="627" t="str">
        <f>PRIX!H410</f>
        <v/>
      </c>
      <c r="AP409" s="631" t="str">
        <f>PRIX!I410</f>
        <v/>
      </c>
      <c r="AQ409" s="628" t="str">
        <f>PRIX!J410</f>
        <v/>
      </c>
      <c r="AR409" s="631" t="str">
        <f>PRIX!K410</f>
        <v/>
      </c>
      <c r="AS409" s="631" t="str">
        <f>PRIX!L410</f>
        <v/>
      </c>
      <c r="AT409" s="631" t="str">
        <f>PRIX!M410</f>
        <v/>
      </c>
      <c r="AU409" s="629" t="str">
        <f>PRIX!N410</f>
        <v/>
      </c>
      <c r="AV409" s="631" t="str">
        <f>PRIX!O410</f>
        <v/>
      </c>
      <c r="AW409" s="631" t="str">
        <f>PRIX!P410</f>
        <v/>
      </c>
      <c r="AX409" s="630" t="str">
        <f>PRIX!Q410</f>
        <v/>
      </c>
      <c r="AY409" s="631" t="str">
        <f>PRIX!R410</f>
        <v/>
      </c>
      <c r="AZ409" s="631" t="str">
        <f>PRIX!S410</f>
        <v/>
      </c>
      <c r="BA409" s="623"/>
    </row>
    <row r="410">
      <c r="A410" s="621" t="str">
        <f>ARBITRAGES!E411</f>
        <v/>
      </c>
      <c r="B410" s="623" t="str">
        <f>IF(A410="","",IF(ARBITRAGES!F411="Invest","Achat","Vente"))</f>
        <v/>
      </c>
      <c r="C410" s="623" t="str">
        <f>ARBITRAGES!H411</f>
        <v/>
      </c>
      <c r="D410" s="624" t="str">
        <f>ARBITRAGES!I411</f>
        <v/>
      </c>
      <c r="E410" s="624" t="str">
        <f>ARBITRAGES!J411</f>
        <v/>
      </c>
      <c r="F410" s="623"/>
      <c r="G410" s="623" t="str">
        <f>'PV (%)'!B412</f>
        <v/>
      </c>
      <c r="H410" s="624" t="str">
        <f>'PV (%)'!E412</f>
        <v/>
      </c>
      <c r="I410" s="624" t="str">
        <f>'PV (%)'!F412</f>
        <v/>
      </c>
      <c r="J410" s="624" t="str">
        <f>'PV (%)'!G412</f>
        <v/>
      </c>
      <c r="K410" s="623"/>
      <c r="L410" s="621" t="str">
        <f>Exposition!A411</f>
        <v/>
      </c>
      <c r="M410" s="625" t="str">
        <f>Exposition!B411</f>
        <v/>
      </c>
      <c r="N410" s="625" t="str">
        <f>Exposition!C411</f>
        <v/>
      </c>
      <c r="O410" s="625" t="str">
        <f>Exposition!D411</f>
        <v/>
      </c>
      <c r="P410" s="625" t="str">
        <f>Exposition!E411</f>
        <v/>
      </c>
      <c r="Q410" s="625" t="str">
        <f>Exposition!F411</f>
        <v/>
      </c>
      <c r="R410" s="625" t="str">
        <f>Exposition!G411</f>
        <v/>
      </c>
      <c r="S410" s="625" t="str">
        <f>Exposition!H411</f>
        <v/>
      </c>
      <c r="T410" s="625" t="str">
        <f>Exposition!I411</f>
        <v/>
      </c>
      <c r="U410" s="625" t="str">
        <f>Exposition!J411</f>
        <v/>
      </c>
      <c r="V410" s="625" t="str">
        <f>Exposition!K411</f>
        <v/>
      </c>
      <c r="W410" s="625" t="str">
        <f>Exposition!L411</f>
        <v/>
      </c>
      <c r="X410" s="625" t="str">
        <f>Exposition!M411</f>
        <v/>
      </c>
      <c r="Y410" s="625" t="str">
        <f>Exposition!N411</f>
        <v/>
      </c>
      <c r="Z410" s="625" t="str">
        <f>Exposition!O411</f>
        <v/>
      </c>
      <c r="AA410" s="625" t="str">
        <f>Exposition!P411</f>
        <v/>
      </c>
      <c r="AB410" s="625" t="str">
        <f>Exposition!Q411</f>
        <v/>
      </c>
      <c r="AC410" s="625" t="str">
        <f>Exposition!R411</f>
        <v/>
      </c>
      <c r="AD410" s="625" t="str">
        <f>Exposition!S411</f>
        <v/>
      </c>
      <c r="AE410" s="625" t="str">
        <f>Exposition!T411</f>
        <v/>
      </c>
      <c r="AF410" s="625" t="str">
        <f>Exposition!U411</f>
        <v/>
      </c>
      <c r="AG410" s="623"/>
      <c r="AH410" s="621" t="str">
        <f>PRIX!A411</f>
        <v/>
      </c>
      <c r="AI410" s="626" t="str">
        <f>PRIX!B411</f>
        <v/>
      </c>
      <c r="AJ410" s="626" t="str">
        <f>PRIX!C411</f>
        <v/>
      </c>
      <c r="AK410" s="627" t="str">
        <f>PRIX!D411</f>
        <v/>
      </c>
      <c r="AL410" s="626" t="str">
        <f>PRIX!E411</f>
        <v/>
      </c>
      <c r="AM410" s="626" t="str">
        <f>PRIX!F411</f>
        <v/>
      </c>
      <c r="AN410" s="627" t="str">
        <f>PRIX!G411</f>
        <v/>
      </c>
      <c r="AO410" s="627" t="str">
        <f>PRIX!H411</f>
        <v/>
      </c>
      <c r="AP410" s="631" t="str">
        <f>PRIX!I411</f>
        <v/>
      </c>
      <c r="AQ410" s="628" t="str">
        <f>PRIX!J411</f>
        <v/>
      </c>
      <c r="AR410" s="631" t="str">
        <f>PRIX!K411</f>
        <v/>
      </c>
      <c r="AS410" s="631" t="str">
        <f>PRIX!L411</f>
        <v/>
      </c>
      <c r="AT410" s="631" t="str">
        <f>PRIX!M411</f>
        <v/>
      </c>
      <c r="AU410" s="629" t="str">
        <f>PRIX!N411</f>
        <v/>
      </c>
      <c r="AV410" s="631" t="str">
        <f>PRIX!O411</f>
        <v/>
      </c>
      <c r="AW410" s="631" t="str">
        <f>PRIX!P411</f>
        <v/>
      </c>
      <c r="AX410" s="630" t="str">
        <f>PRIX!Q411</f>
        <v/>
      </c>
      <c r="AY410" s="631" t="str">
        <f>PRIX!R411</f>
        <v/>
      </c>
      <c r="AZ410" s="631" t="str">
        <f>PRIX!S411</f>
        <v/>
      </c>
      <c r="BA410" s="623"/>
    </row>
    <row r="411">
      <c r="A411" s="621" t="str">
        <f>ARBITRAGES!E412</f>
        <v/>
      </c>
      <c r="B411" s="623" t="str">
        <f>IF(A411="","",IF(ARBITRAGES!F412="Invest","Achat","Vente"))</f>
        <v/>
      </c>
      <c r="C411" s="623" t="str">
        <f>ARBITRAGES!H412</f>
        <v/>
      </c>
      <c r="D411" s="624" t="str">
        <f>ARBITRAGES!I412</f>
        <v/>
      </c>
      <c r="E411" s="624" t="str">
        <f>ARBITRAGES!J412</f>
        <v/>
      </c>
      <c r="F411" s="623"/>
      <c r="G411" s="623" t="str">
        <f>'PV (%)'!B413</f>
        <v/>
      </c>
      <c r="H411" s="624" t="str">
        <f>'PV (%)'!E413</f>
        <v/>
      </c>
      <c r="I411" s="624" t="str">
        <f>'PV (%)'!F413</f>
        <v/>
      </c>
      <c r="J411" s="624" t="str">
        <f>'PV (%)'!G413</f>
        <v/>
      </c>
      <c r="K411" s="623"/>
      <c r="L411" s="621" t="str">
        <f>Exposition!A412</f>
        <v/>
      </c>
      <c r="M411" s="625" t="str">
        <f>Exposition!B412</f>
        <v/>
      </c>
      <c r="N411" s="625" t="str">
        <f>Exposition!C412</f>
        <v/>
      </c>
      <c r="O411" s="625" t="str">
        <f>Exposition!D412</f>
        <v/>
      </c>
      <c r="P411" s="625" t="str">
        <f>Exposition!E412</f>
        <v/>
      </c>
      <c r="Q411" s="625" t="str">
        <f>Exposition!F412</f>
        <v/>
      </c>
      <c r="R411" s="625" t="str">
        <f>Exposition!G412</f>
        <v/>
      </c>
      <c r="S411" s="625" t="str">
        <f>Exposition!H412</f>
        <v/>
      </c>
      <c r="T411" s="625" t="str">
        <f>Exposition!I412</f>
        <v/>
      </c>
      <c r="U411" s="625" t="str">
        <f>Exposition!J412</f>
        <v/>
      </c>
      <c r="V411" s="625" t="str">
        <f>Exposition!K412</f>
        <v/>
      </c>
      <c r="W411" s="625" t="str">
        <f>Exposition!L412</f>
        <v/>
      </c>
      <c r="X411" s="625" t="str">
        <f>Exposition!M412</f>
        <v/>
      </c>
      <c r="Y411" s="625" t="str">
        <f>Exposition!N412</f>
        <v/>
      </c>
      <c r="Z411" s="625" t="str">
        <f>Exposition!O412</f>
        <v/>
      </c>
      <c r="AA411" s="625" t="str">
        <f>Exposition!P412</f>
        <v/>
      </c>
      <c r="AB411" s="625" t="str">
        <f>Exposition!Q412</f>
        <v/>
      </c>
      <c r="AC411" s="625" t="str">
        <f>Exposition!R412</f>
        <v/>
      </c>
      <c r="AD411" s="625" t="str">
        <f>Exposition!S412</f>
        <v/>
      </c>
      <c r="AE411" s="625" t="str">
        <f>Exposition!T412</f>
        <v/>
      </c>
      <c r="AF411" s="625" t="str">
        <f>Exposition!U412</f>
        <v/>
      </c>
      <c r="AG411" s="623"/>
      <c r="AH411" s="621" t="str">
        <f>PRIX!A412</f>
        <v/>
      </c>
      <c r="AI411" s="626" t="str">
        <f>PRIX!B412</f>
        <v/>
      </c>
      <c r="AJ411" s="626" t="str">
        <f>PRIX!C412</f>
        <v/>
      </c>
      <c r="AK411" s="627" t="str">
        <f>PRIX!D412</f>
        <v/>
      </c>
      <c r="AL411" s="626" t="str">
        <f>PRIX!E412</f>
        <v/>
      </c>
      <c r="AM411" s="626" t="str">
        <f>PRIX!F412</f>
        <v/>
      </c>
      <c r="AN411" s="627" t="str">
        <f>PRIX!G412</f>
        <v/>
      </c>
      <c r="AO411" s="627" t="str">
        <f>PRIX!H412</f>
        <v/>
      </c>
      <c r="AP411" s="631" t="str">
        <f>PRIX!I412</f>
        <v/>
      </c>
      <c r="AQ411" s="628" t="str">
        <f>PRIX!J412</f>
        <v/>
      </c>
      <c r="AR411" s="631" t="str">
        <f>PRIX!K412</f>
        <v/>
      </c>
      <c r="AS411" s="631" t="str">
        <f>PRIX!L412</f>
        <v/>
      </c>
      <c r="AT411" s="631" t="str">
        <f>PRIX!M412</f>
        <v/>
      </c>
      <c r="AU411" s="629" t="str">
        <f>PRIX!N412</f>
        <v/>
      </c>
      <c r="AV411" s="631" t="str">
        <f>PRIX!O412</f>
        <v/>
      </c>
      <c r="AW411" s="631" t="str">
        <f>PRIX!P412</f>
        <v/>
      </c>
      <c r="AX411" s="630" t="str">
        <f>PRIX!Q412</f>
        <v/>
      </c>
      <c r="AY411" s="631" t="str">
        <f>PRIX!R412</f>
        <v/>
      </c>
      <c r="AZ411" s="631" t="str">
        <f>PRIX!S412</f>
        <v/>
      </c>
      <c r="BA411" s="623"/>
    </row>
    <row r="412">
      <c r="A412" s="621" t="str">
        <f>ARBITRAGES!E413</f>
        <v/>
      </c>
      <c r="B412" s="623" t="str">
        <f>IF(A412="","",IF(ARBITRAGES!F413="Invest","Achat","Vente"))</f>
        <v/>
      </c>
      <c r="C412" s="623" t="str">
        <f>ARBITRAGES!H413</f>
        <v/>
      </c>
      <c r="D412" s="624" t="str">
        <f>ARBITRAGES!I413</f>
        <v/>
      </c>
      <c r="E412" s="624" t="str">
        <f>ARBITRAGES!J413</f>
        <v/>
      </c>
      <c r="F412" s="623"/>
      <c r="G412" s="623" t="str">
        <f>'PV (%)'!B414</f>
        <v/>
      </c>
      <c r="H412" s="624" t="str">
        <f>'PV (%)'!E414</f>
        <v/>
      </c>
      <c r="I412" s="624" t="str">
        <f>'PV (%)'!F414</f>
        <v/>
      </c>
      <c r="J412" s="624" t="str">
        <f>'PV (%)'!G414</f>
        <v/>
      </c>
      <c r="K412" s="623"/>
      <c r="L412" s="621" t="str">
        <f>Exposition!A413</f>
        <v/>
      </c>
      <c r="M412" s="625" t="str">
        <f>Exposition!B413</f>
        <v/>
      </c>
      <c r="N412" s="625" t="str">
        <f>Exposition!C413</f>
        <v/>
      </c>
      <c r="O412" s="625" t="str">
        <f>Exposition!D413</f>
        <v/>
      </c>
      <c r="P412" s="625" t="str">
        <f>Exposition!E413</f>
        <v/>
      </c>
      <c r="Q412" s="625" t="str">
        <f>Exposition!F413</f>
        <v/>
      </c>
      <c r="R412" s="625" t="str">
        <f>Exposition!G413</f>
        <v/>
      </c>
      <c r="S412" s="625" t="str">
        <f>Exposition!H413</f>
        <v/>
      </c>
      <c r="T412" s="625" t="str">
        <f>Exposition!I413</f>
        <v/>
      </c>
      <c r="U412" s="625" t="str">
        <f>Exposition!J413</f>
        <v/>
      </c>
      <c r="V412" s="625" t="str">
        <f>Exposition!K413</f>
        <v/>
      </c>
      <c r="W412" s="625" t="str">
        <f>Exposition!L413</f>
        <v/>
      </c>
      <c r="X412" s="625" t="str">
        <f>Exposition!M413</f>
        <v/>
      </c>
      <c r="Y412" s="625" t="str">
        <f>Exposition!N413</f>
        <v/>
      </c>
      <c r="Z412" s="625" t="str">
        <f>Exposition!O413</f>
        <v/>
      </c>
      <c r="AA412" s="625" t="str">
        <f>Exposition!P413</f>
        <v/>
      </c>
      <c r="AB412" s="625" t="str">
        <f>Exposition!Q413</f>
        <v/>
      </c>
      <c r="AC412" s="625" t="str">
        <f>Exposition!R413</f>
        <v/>
      </c>
      <c r="AD412" s="625" t="str">
        <f>Exposition!S413</f>
        <v/>
      </c>
      <c r="AE412" s="625" t="str">
        <f>Exposition!T413</f>
        <v/>
      </c>
      <c r="AF412" s="625" t="str">
        <f>Exposition!U413</f>
        <v/>
      </c>
      <c r="AG412" s="623"/>
      <c r="AH412" s="621" t="str">
        <f>PRIX!A413</f>
        <v/>
      </c>
      <c r="AI412" s="626" t="str">
        <f>PRIX!B413</f>
        <v/>
      </c>
      <c r="AJ412" s="626" t="str">
        <f>PRIX!C413</f>
        <v/>
      </c>
      <c r="AK412" s="627" t="str">
        <f>PRIX!D413</f>
        <v/>
      </c>
      <c r="AL412" s="626" t="str">
        <f>PRIX!E413</f>
        <v/>
      </c>
      <c r="AM412" s="626" t="str">
        <f>PRIX!F413</f>
        <v/>
      </c>
      <c r="AN412" s="627" t="str">
        <f>PRIX!G413</f>
        <v/>
      </c>
      <c r="AO412" s="627" t="str">
        <f>PRIX!H413</f>
        <v/>
      </c>
      <c r="AP412" s="631" t="str">
        <f>PRIX!I413</f>
        <v/>
      </c>
      <c r="AQ412" s="628" t="str">
        <f>PRIX!J413</f>
        <v/>
      </c>
      <c r="AR412" s="631" t="str">
        <f>PRIX!K413</f>
        <v/>
      </c>
      <c r="AS412" s="631" t="str">
        <f>PRIX!L413</f>
        <v/>
      </c>
      <c r="AT412" s="631" t="str">
        <f>PRIX!M413</f>
        <v/>
      </c>
      <c r="AU412" s="629" t="str">
        <f>PRIX!N413</f>
        <v/>
      </c>
      <c r="AV412" s="631" t="str">
        <f>PRIX!O413</f>
        <v/>
      </c>
      <c r="AW412" s="631" t="str">
        <f>PRIX!P413</f>
        <v/>
      </c>
      <c r="AX412" s="630" t="str">
        <f>PRIX!Q413</f>
        <v/>
      </c>
      <c r="AY412" s="631" t="str">
        <f>PRIX!R413</f>
        <v/>
      </c>
      <c r="AZ412" s="631" t="str">
        <f>PRIX!S413</f>
        <v/>
      </c>
      <c r="BA412" s="623"/>
    </row>
    <row r="413">
      <c r="A413" s="621" t="str">
        <f>ARBITRAGES!E414</f>
        <v/>
      </c>
      <c r="B413" s="623" t="str">
        <f>IF(A413="","",IF(ARBITRAGES!F414="Invest","Achat","Vente"))</f>
        <v/>
      </c>
      <c r="C413" s="623" t="str">
        <f>ARBITRAGES!H414</f>
        <v/>
      </c>
      <c r="D413" s="624" t="str">
        <f>ARBITRAGES!I414</f>
        <v/>
      </c>
      <c r="E413" s="624" t="str">
        <f>ARBITRAGES!J414</f>
        <v/>
      </c>
      <c r="F413" s="623"/>
      <c r="G413" s="623" t="str">
        <f>'PV (%)'!B415</f>
        <v/>
      </c>
      <c r="H413" s="624" t="str">
        <f>'PV (%)'!E415</f>
        <v/>
      </c>
      <c r="I413" s="624" t="str">
        <f>'PV (%)'!F415</f>
        <v/>
      </c>
      <c r="J413" s="624" t="str">
        <f>'PV (%)'!G415</f>
        <v/>
      </c>
      <c r="K413" s="623"/>
      <c r="L413" s="621" t="str">
        <f>Exposition!A414</f>
        <v/>
      </c>
      <c r="M413" s="625" t="str">
        <f>Exposition!B414</f>
        <v/>
      </c>
      <c r="N413" s="625" t="str">
        <f>Exposition!C414</f>
        <v/>
      </c>
      <c r="O413" s="625" t="str">
        <f>Exposition!D414</f>
        <v/>
      </c>
      <c r="P413" s="625" t="str">
        <f>Exposition!E414</f>
        <v/>
      </c>
      <c r="Q413" s="625" t="str">
        <f>Exposition!F414</f>
        <v/>
      </c>
      <c r="R413" s="625" t="str">
        <f>Exposition!G414</f>
        <v/>
      </c>
      <c r="S413" s="625" t="str">
        <f>Exposition!H414</f>
        <v/>
      </c>
      <c r="T413" s="625" t="str">
        <f>Exposition!I414</f>
        <v/>
      </c>
      <c r="U413" s="625" t="str">
        <f>Exposition!J414</f>
        <v/>
      </c>
      <c r="V413" s="625" t="str">
        <f>Exposition!K414</f>
        <v/>
      </c>
      <c r="W413" s="625" t="str">
        <f>Exposition!L414</f>
        <v/>
      </c>
      <c r="X413" s="625" t="str">
        <f>Exposition!M414</f>
        <v/>
      </c>
      <c r="Y413" s="625" t="str">
        <f>Exposition!N414</f>
        <v/>
      </c>
      <c r="Z413" s="625" t="str">
        <f>Exposition!O414</f>
        <v/>
      </c>
      <c r="AA413" s="625" t="str">
        <f>Exposition!P414</f>
        <v/>
      </c>
      <c r="AB413" s="625" t="str">
        <f>Exposition!Q414</f>
        <v/>
      </c>
      <c r="AC413" s="625" t="str">
        <f>Exposition!R414</f>
        <v/>
      </c>
      <c r="AD413" s="625" t="str">
        <f>Exposition!S414</f>
        <v/>
      </c>
      <c r="AE413" s="625" t="str">
        <f>Exposition!T414</f>
        <v/>
      </c>
      <c r="AF413" s="625" t="str">
        <f>Exposition!U414</f>
        <v/>
      </c>
      <c r="AG413" s="623"/>
      <c r="AH413" s="621" t="str">
        <f>PRIX!A414</f>
        <v/>
      </c>
      <c r="AI413" s="626" t="str">
        <f>PRIX!B414</f>
        <v/>
      </c>
      <c r="AJ413" s="626" t="str">
        <f>PRIX!C414</f>
        <v/>
      </c>
      <c r="AK413" s="627" t="str">
        <f>PRIX!D414</f>
        <v/>
      </c>
      <c r="AL413" s="626" t="str">
        <f>PRIX!E414</f>
        <v/>
      </c>
      <c r="AM413" s="626" t="str">
        <f>PRIX!F414</f>
        <v/>
      </c>
      <c r="AN413" s="627" t="str">
        <f>PRIX!G414</f>
        <v/>
      </c>
      <c r="AO413" s="627" t="str">
        <f>PRIX!H414</f>
        <v/>
      </c>
      <c r="AP413" s="631" t="str">
        <f>PRIX!I414</f>
        <v/>
      </c>
      <c r="AQ413" s="628" t="str">
        <f>PRIX!J414</f>
        <v/>
      </c>
      <c r="AR413" s="631" t="str">
        <f>PRIX!K414</f>
        <v/>
      </c>
      <c r="AS413" s="631" t="str">
        <f>PRIX!L414</f>
        <v/>
      </c>
      <c r="AT413" s="631" t="str">
        <f>PRIX!M414</f>
        <v/>
      </c>
      <c r="AU413" s="629" t="str">
        <f>PRIX!N414</f>
        <v/>
      </c>
      <c r="AV413" s="631" t="str">
        <f>PRIX!O414</f>
        <v/>
      </c>
      <c r="AW413" s="631" t="str">
        <f>PRIX!P414</f>
        <v/>
      </c>
      <c r="AX413" s="630" t="str">
        <f>PRIX!Q414</f>
        <v/>
      </c>
      <c r="AY413" s="631" t="str">
        <f>PRIX!R414</f>
        <v/>
      </c>
      <c r="AZ413" s="631" t="str">
        <f>PRIX!S414</f>
        <v/>
      </c>
      <c r="BA413" s="623"/>
    </row>
    <row r="414">
      <c r="A414" s="621" t="str">
        <f>ARBITRAGES!E415</f>
        <v/>
      </c>
      <c r="B414" s="623" t="str">
        <f>IF(A414="","",IF(ARBITRAGES!F415="Invest","Achat","Vente"))</f>
        <v/>
      </c>
      <c r="C414" s="623" t="str">
        <f>ARBITRAGES!H415</f>
        <v/>
      </c>
      <c r="D414" s="624" t="str">
        <f>ARBITRAGES!I415</f>
        <v/>
      </c>
      <c r="E414" s="624" t="str">
        <f>ARBITRAGES!J415</f>
        <v/>
      </c>
      <c r="F414" s="623"/>
      <c r="G414" s="623" t="str">
        <f>'PV (%)'!B416</f>
        <v/>
      </c>
      <c r="H414" s="624" t="str">
        <f>'PV (%)'!E416</f>
        <v/>
      </c>
      <c r="I414" s="624" t="str">
        <f>'PV (%)'!F416</f>
        <v/>
      </c>
      <c r="J414" s="624" t="str">
        <f>'PV (%)'!G416</f>
        <v/>
      </c>
      <c r="K414" s="623"/>
      <c r="L414" s="621" t="str">
        <f>Exposition!A415</f>
        <v/>
      </c>
      <c r="M414" s="625" t="str">
        <f>Exposition!B415</f>
        <v/>
      </c>
      <c r="N414" s="625" t="str">
        <f>Exposition!C415</f>
        <v/>
      </c>
      <c r="O414" s="625" t="str">
        <f>Exposition!D415</f>
        <v/>
      </c>
      <c r="P414" s="625" t="str">
        <f>Exposition!E415</f>
        <v/>
      </c>
      <c r="Q414" s="625" t="str">
        <f>Exposition!F415</f>
        <v/>
      </c>
      <c r="R414" s="625" t="str">
        <f>Exposition!G415</f>
        <v/>
      </c>
      <c r="S414" s="625" t="str">
        <f>Exposition!H415</f>
        <v/>
      </c>
      <c r="T414" s="625" t="str">
        <f>Exposition!I415</f>
        <v/>
      </c>
      <c r="U414" s="625" t="str">
        <f>Exposition!J415</f>
        <v/>
      </c>
      <c r="V414" s="625" t="str">
        <f>Exposition!K415</f>
        <v/>
      </c>
      <c r="W414" s="625" t="str">
        <f>Exposition!L415</f>
        <v/>
      </c>
      <c r="X414" s="625" t="str">
        <f>Exposition!M415</f>
        <v/>
      </c>
      <c r="Y414" s="625" t="str">
        <f>Exposition!N415</f>
        <v/>
      </c>
      <c r="Z414" s="625" t="str">
        <f>Exposition!O415</f>
        <v/>
      </c>
      <c r="AA414" s="625" t="str">
        <f>Exposition!P415</f>
        <v/>
      </c>
      <c r="AB414" s="625" t="str">
        <f>Exposition!Q415</f>
        <v/>
      </c>
      <c r="AC414" s="625" t="str">
        <f>Exposition!R415</f>
        <v/>
      </c>
      <c r="AD414" s="625" t="str">
        <f>Exposition!S415</f>
        <v/>
      </c>
      <c r="AE414" s="625" t="str">
        <f>Exposition!T415</f>
        <v/>
      </c>
      <c r="AF414" s="625" t="str">
        <f>Exposition!U415</f>
        <v/>
      </c>
      <c r="AG414" s="623"/>
      <c r="AH414" s="621" t="str">
        <f>PRIX!A415</f>
        <v/>
      </c>
      <c r="AI414" s="626" t="str">
        <f>PRIX!B415</f>
        <v/>
      </c>
      <c r="AJ414" s="626" t="str">
        <f>PRIX!C415</f>
        <v/>
      </c>
      <c r="AK414" s="627" t="str">
        <f>PRIX!D415</f>
        <v/>
      </c>
      <c r="AL414" s="626" t="str">
        <f>PRIX!E415</f>
        <v/>
      </c>
      <c r="AM414" s="626" t="str">
        <f>PRIX!F415</f>
        <v/>
      </c>
      <c r="AN414" s="627" t="str">
        <f>PRIX!G415</f>
        <v/>
      </c>
      <c r="AO414" s="627" t="str">
        <f>PRIX!H415</f>
        <v/>
      </c>
      <c r="AP414" s="631" t="str">
        <f>PRIX!I415</f>
        <v/>
      </c>
      <c r="AQ414" s="628" t="str">
        <f>PRIX!J415</f>
        <v/>
      </c>
      <c r="AR414" s="631" t="str">
        <f>PRIX!K415</f>
        <v/>
      </c>
      <c r="AS414" s="631" t="str">
        <f>PRIX!L415</f>
        <v/>
      </c>
      <c r="AT414" s="631" t="str">
        <f>PRIX!M415</f>
        <v/>
      </c>
      <c r="AU414" s="629" t="str">
        <f>PRIX!N415</f>
        <v/>
      </c>
      <c r="AV414" s="631" t="str">
        <f>PRIX!O415</f>
        <v/>
      </c>
      <c r="AW414" s="631" t="str">
        <f>PRIX!P415</f>
        <v/>
      </c>
      <c r="AX414" s="630" t="str">
        <f>PRIX!Q415</f>
        <v/>
      </c>
      <c r="AY414" s="631" t="str">
        <f>PRIX!R415</f>
        <v/>
      </c>
      <c r="AZ414" s="631" t="str">
        <f>PRIX!S415</f>
        <v/>
      </c>
      <c r="BA414" s="623"/>
    </row>
    <row r="415">
      <c r="A415" s="621" t="str">
        <f>ARBITRAGES!E416</f>
        <v/>
      </c>
      <c r="B415" s="623" t="str">
        <f>IF(A415="","",IF(ARBITRAGES!F416="Invest","Achat","Vente"))</f>
        <v/>
      </c>
      <c r="C415" s="623" t="str">
        <f>ARBITRAGES!H416</f>
        <v/>
      </c>
      <c r="D415" s="624" t="str">
        <f>ARBITRAGES!I416</f>
        <v/>
      </c>
      <c r="E415" s="624" t="str">
        <f>ARBITRAGES!J416</f>
        <v/>
      </c>
      <c r="F415" s="623"/>
      <c r="G415" s="623" t="str">
        <f>'PV (%)'!B417</f>
        <v/>
      </c>
      <c r="H415" s="624" t="str">
        <f>'PV (%)'!E417</f>
        <v/>
      </c>
      <c r="I415" s="624" t="str">
        <f>'PV (%)'!F417</f>
        <v/>
      </c>
      <c r="J415" s="624" t="str">
        <f>'PV (%)'!G417</f>
        <v/>
      </c>
      <c r="K415" s="623"/>
      <c r="L415" s="621" t="str">
        <f>Exposition!A416</f>
        <v/>
      </c>
      <c r="M415" s="625" t="str">
        <f>Exposition!B416</f>
        <v/>
      </c>
      <c r="N415" s="625" t="str">
        <f>Exposition!C416</f>
        <v/>
      </c>
      <c r="O415" s="625" t="str">
        <f>Exposition!D416</f>
        <v/>
      </c>
      <c r="P415" s="625" t="str">
        <f>Exposition!E416</f>
        <v/>
      </c>
      <c r="Q415" s="625" t="str">
        <f>Exposition!F416</f>
        <v/>
      </c>
      <c r="R415" s="625" t="str">
        <f>Exposition!G416</f>
        <v/>
      </c>
      <c r="S415" s="625" t="str">
        <f>Exposition!H416</f>
        <v/>
      </c>
      <c r="T415" s="625" t="str">
        <f>Exposition!I416</f>
        <v/>
      </c>
      <c r="U415" s="625" t="str">
        <f>Exposition!J416</f>
        <v/>
      </c>
      <c r="V415" s="625" t="str">
        <f>Exposition!K416</f>
        <v/>
      </c>
      <c r="W415" s="625" t="str">
        <f>Exposition!L416</f>
        <v/>
      </c>
      <c r="X415" s="625" t="str">
        <f>Exposition!M416</f>
        <v/>
      </c>
      <c r="Y415" s="625" t="str">
        <f>Exposition!N416</f>
        <v/>
      </c>
      <c r="Z415" s="625" t="str">
        <f>Exposition!O416</f>
        <v/>
      </c>
      <c r="AA415" s="625" t="str">
        <f>Exposition!P416</f>
        <v/>
      </c>
      <c r="AB415" s="625" t="str">
        <f>Exposition!Q416</f>
        <v/>
      </c>
      <c r="AC415" s="625" t="str">
        <f>Exposition!R416</f>
        <v/>
      </c>
      <c r="AD415" s="625" t="str">
        <f>Exposition!S416</f>
        <v/>
      </c>
      <c r="AE415" s="625" t="str">
        <f>Exposition!T416</f>
        <v/>
      </c>
      <c r="AF415" s="625" t="str">
        <f>Exposition!U416</f>
        <v/>
      </c>
      <c r="AG415" s="623"/>
      <c r="AH415" s="621" t="str">
        <f>PRIX!A416</f>
        <v/>
      </c>
      <c r="AI415" s="626" t="str">
        <f>PRIX!B416</f>
        <v/>
      </c>
      <c r="AJ415" s="626" t="str">
        <f>PRIX!C416</f>
        <v/>
      </c>
      <c r="AK415" s="627" t="str">
        <f>PRIX!D416</f>
        <v/>
      </c>
      <c r="AL415" s="626" t="str">
        <f>PRIX!E416</f>
        <v/>
      </c>
      <c r="AM415" s="626" t="str">
        <f>PRIX!F416</f>
        <v/>
      </c>
      <c r="AN415" s="627" t="str">
        <f>PRIX!G416</f>
        <v/>
      </c>
      <c r="AO415" s="627" t="str">
        <f>PRIX!H416</f>
        <v/>
      </c>
      <c r="AP415" s="631" t="str">
        <f>PRIX!I416</f>
        <v/>
      </c>
      <c r="AQ415" s="628" t="str">
        <f>PRIX!J416</f>
        <v/>
      </c>
      <c r="AR415" s="631" t="str">
        <f>PRIX!K416</f>
        <v/>
      </c>
      <c r="AS415" s="631" t="str">
        <f>PRIX!L416</f>
        <v/>
      </c>
      <c r="AT415" s="631" t="str">
        <f>PRIX!M416</f>
        <v/>
      </c>
      <c r="AU415" s="629" t="str">
        <f>PRIX!N416</f>
        <v/>
      </c>
      <c r="AV415" s="631" t="str">
        <f>PRIX!O416</f>
        <v/>
      </c>
      <c r="AW415" s="631" t="str">
        <f>PRIX!P416</f>
        <v/>
      </c>
      <c r="AX415" s="630" t="str">
        <f>PRIX!Q416</f>
        <v/>
      </c>
      <c r="AY415" s="631" t="str">
        <f>PRIX!R416</f>
        <v/>
      </c>
      <c r="AZ415" s="631" t="str">
        <f>PRIX!S416</f>
        <v/>
      </c>
      <c r="BA415" s="623"/>
    </row>
    <row r="416">
      <c r="A416" s="621" t="str">
        <f>ARBITRAGES!E417</f>
        <v/>
      </c>
      <c r="B416" s="623" t="str">
        <f>IF(A416="","",IF(ARBITRAGES!F417="Invest","Achat","Vente"))</f>
        <v/>
      </c>
      <c r="C416" s="623" t="str">
        <f>ARBITRAGES!H417</f>
        <v/>
      </c>
      <c r="D416" s="624" t="str">
        <f>ARBITRAGES!I417</f>
        <v/>
      </c>
      <c r="E416" s="624" t="str">
        <f>ARBITRAGES!J417</f>
        <v/>
      </c>
      <c r="F416" s="623"/>
      <c r="G416" s="623" t="str">
        <f>'PV (%)'!B418</f>
        <v/>
      </c>
      <c r="H416" s="624" t="str">
        <f>'PV (%)'!E418</f>
        <v/>
      </c>
      <c r="I416" s="624" t="str">
        <f>'PV (%)'!F418</f>
        <v/>
      </c>
      <c r="J416" s="624" t="str">
        <f>'PV (%)'!G418</f>
        <v/>
      </c>
      <c r="K416" s="623"/>
      <c r="L416" s="621" t="str">
        <f>Exposition!A417</f>
        <v/>
      </c>
      <c r="M416" s="625" t="str">
        <f>Exposition!B417</f>
        <v/>
      </c>
      <c r="N416" s="625" t="str">
        <f>Exposition!C417</f>
        <v/>
      </c>
      <c r="O416" s="625" t="str">
        <f>Exposition!D417</f>
        <v/>
      </c>
      <c r="P416" s="625" t="str">
        <f>Exposition!E417</f>
        <v/>
      </c>
      <c r="Q416" s="625" t="str">
        <f>Exposition!F417</f>
        <v/>
      </c>
      <c r="R416" s="625" t="str">
        <f>Exposition!G417</f>
        <v/>
      </c>
      <c r="S416" s="625" t="str">
        <f>Exposition!H417</f>
        <v/>
      </c>
      <c r="T416" s="625" t="str">
        <f>Exposition!I417</f>
        <v/>
      </c>
      <c r="U416" s="625" t="str">
        <f>Exposition!J417</f>
        <v/>
      </c>
      <c r="V416" s="625" t="str">
        <f>Exposition!K417</f>
        <v/>
      </c>
      <c r="W416" s="625" t="str">
        <f>Exposition!L417</f>
        <v/>
      </c>
      <c r="X416" s="625" t="str">
        <f>Exposition!M417</f>
        <v/>
      </c>
      <c r="Y416" s="625" t="str">
        <f>Exposition!N417</f>
        <v/>
      </c>
      <c r="Z416" s="625" t="str">
        <f>Exposition!O417</f>
        <v/>
      </c>
      <c r="AA416" s="625" t="str">
        <f>Exposition!P417</f>
        <v/>
      </c>
      <c r="AB416" s="625" t="str">
        <f>Exposition!Q417</f>
        <v/>
      </c>
      <c r="AC416" s="625" t="str">
        <f>Exposition!R417</f>
        <v/>
      </c>
      <c r="AD416" s="625" t="str">
        <f>Exposition!S417</f>
        <v/>
      </c>
      <c r="AE416" s="625" t="str">
        <f>Exposition!T417</f>
        <v/>
      </c>
      <c r="AF416" s="625" t="str">
        <f>Exposition!U417</f>
        <v/>
      </c>
      <c r="AG416" s="623"/>
      <c r="AH416" s="621" t="str">
        <f>PRIX!A417</f>
        <v/>
      </c>
      <c r="AI416" s="626" t="str">
        <f>PRIX!B417</f>
        <v/>
      </c>
      <c r="AJ416" s="626" t="str">
        <f>PRIX!C417</f>
        <v/>
      </c>
      <c r="AK416" s="627" t="str">
        <f>PRIX!D417</f>
        <v/>
      </c>
      <c r="AL416" s="626" t="str">
        <f>PRIX!E417</f>
        <v/>
      </c>
      <c r="AM416" s="626" t="str">
        <f>PRIX!F417</f>
        <v/>
      </c>
      <c r="AN416" s="627" t="str">
        <f>PRIX!G417</f>
        <v/>
      </c>
      <c r="AO416" s="627" t="str">
        <f>PRIX!H417</f>
        <v/>
      </c>
      <c r="AP416" s="631" t="str">
        <f>PRIX!I417</f>
        <v/>
      </c>
      <c r="AQ416" s="628" t="str">
        <f>PRIX!J417</f>
        <v/>
      </c>
      <c r="AR416" s="631" t="str">
        <f>PRIX!K417</f>
        <v/>
      </c>
      <c r="AS416" s="631" t="str">
        <f>PRIX!L417</f>
        <v/>
      </c>
      <c r="AT416" s="631" t="str">
        <f>PRIX!M417</f>
        <v/>
      </c>
      <c r="AU416" s="629" t="str">
        <f>PRIX!N417</f>
        <v/>
      </c>
      <c r="AV416" s="631" t="str">
        <f>PRIX!O417</f>
        <v/>
      </c>
      <c r="AW416" s="631" t="str">
        <f>PRIX!P417</f>
        <v/>
      </c>
      <c r="AX416" s="630" t="str">
        <f>PRIX!Q417</f>
        <v/>
      </c>
      <c r="AY416" s="631" t="str">
        <f>PRIX!R417</f>
        <v/>
      </c>
      <c r="AZ416" s="631" t="str">
        <f>PRIX!S417</f>
        <v/>
      </c>
      <c r="BA416" s="623"/>
    </row>
    <row r="417">
      <c r="A417" s="621" t="str">
        <f>ARBITRAGES!E418</f>
        <v/>
      </c>
      <c r="B417" s="623" t="str">
        <f>IF(A417="","",IF(ARBITRAGES!F418="Invest","Achat","Vente"))</f>
        <v/>
      </c>
      <c r="C417" s="623" t="str">
        <f>ARBITRAGES!H418</f>
        <v/>
      </c>
      <c r="D417" s="624" t="str">
        <f>ARBITRAGES!I418</f>
        <v/>
      </c>
      <c r="E417" s="624" t="str">
        <f>ARBITRAGES!J418</f>
        <v/>
      </c>
      <c r="F417" s="623"/>
      <c r="G417" s="623" t="str">
        <f>'PV (%)'!B419</f>
        <v/>
      </c>
      <c r="H417" s="624" t="str">
        <f>'PV (%)'!E419</f>
        <v/>
      </c>
      <c r="I417" s="624" t="str">
        <f>'PV (%)'!F419</f>
        <v/>
      </c>
      <c r="J417" s="624" t="str">
        <f>'PV (%)'!G419</f>
        <v/>
      </c>
      <c r="K417" s="623"/>
      <c r="L417" s="621" t="str">
        <f>Exposition!A418</f>
        <v/>
      </c>
      <c r="M417" s="625" t="str">
        <f>Exposition!B418</f>
        <v/>
      </c>
      <c r="N417" s="625" t="str">
        <f>Exposition!C418</f>
        <v/>
      </c>
      <c r="O417" s="625" t="str">
        <f>Exposition!D418</f>
        <v/>
      </c>
      <c r="P417" s="625" t="str">
        <f>Exposition!E418</f>
        <v/>
      </c>
      <c r="Q417" s="625" t="str">
        <f>Exposition!F418</f>
        <v/>
      </c>
      <c r="R417" s="625" t="str">
        <f>Exposition!G418</f>
        <v/>
      </c>
      <c r="S417" s="625" t="str">
        <f>Exposition!H418</f>
        <v/>
      </c>
      <c r="T417" s="625" t="str">
        <f>Exposition!I418</f>
        <v/>
      </c>
      <c r="U417" s="625" t="str">
        <f>Exposition!J418</f>
        <v/>
      </c>
      <c r="V417" s="625" t="str">
        <f>Exposition!K418</f>
        <v/>
      </c>
      <c r="W417" s="625" t="str">
        <f>Exposition!L418</f>
        <v/>
      </c>
      <c r="X417" s="625" t="str">
        <f>Exposition!M418</f>
        <v/>
      </c>
      <c r="Y417" s="625" t="str">
        <f>Exposition!N418</f>
        <v/>
      </c>
      <c r="Z417" s="625" t="str">
        <f>Exposition!O418</f>
        <v/>
      </c>
      <c r="AA417" s="625" t="str">
        <f>Exposition!P418</f>
        <v/>
      </c>
      <c r="AB417" s="625" t="str">
        <f>Exposition!Q418</f>
        <v/>
      </c>
      <c r="AC417" s="625" t="str">
        <f>Exposition!R418</f>
        <v/>
      </c>
      <c r="AD417" s="625" t="str">
        <f>Exposition!S418</f>
        <v/>
      </c>
      <c r="AE417" s="625" t="str">
        <f>Exposition!T418</f>
        <v/>
      </c>
      <c r="AF417" s="625" t="str">
        <f>Exposition!U418</f>
        <v/>
      </c>
      <c r="AG417" s="623"/>
      <c r="AH417" s="621" t="str">
        <f>PRIX!A418</f>
        <v/>
      </c>
      <c r="AI417" s="626" t="str">
        <f>PRIX!B418</f>
        <v/>
      </c>
      <c r="AJ417" s="626" t="str">
        <f>PRIX!C418</f>
        <v/>
      </c>
      <c r="AK417" s="627" t="str">
        <f>PRIX!D418</f>
        <v/>
      </c>
      <c r="AL417" s="626" t="str">
        <f>PRIX!E418</f>
        <v/>
      </c>
      <c r="AM417" s="626" t="str">
        <f>PRIX!F418</f>
        <v/>
      </c>
      <c r="AN417" s="627" t="str">
        <f>PRIX!G418</f>
        <v/>
      </c>
      <c r="AO417" s="627" t="str">
        <f>PRIX!H418</f>
        <v/>
      </c>
      <c r="AP417" s="631" t="str">
        <f>PRIX!I418</f>
        <v/>
      </c>
      <c r="AQ417" s="628" t="str">
        <f>PRIX!J418</f>
        <v/>
      </c>
      <c r="AR417" s="631" t="str">
        <f>PRIX!K418</f>
        <v/>
      </c>
      <c r="AS417" s="631" t="str">
        <f>PRIX!L418</f>
        <v/>
      </c>
      <c r="AT417" s="631" t="str">
        <f>PRIX!M418</f>
        <v/>
      </c>
      <c r="AU417" s="629" t="str">
        <f>PRIX!N418</f>
        <v/>
      </c>
      <c r="AV417" s="631" t="str">
        <f>PRIX!O418</f>
        <v/>
      </c>
      <c r="AW417" s="631" t="str">
        <f>PRIX!P418</f>
        <v/>
      </c>
      <c r="AX417" s="630" t="str">
        <f>PRIX!Q418</f>
        <v/>
      </c>
      <c r="AY417" s="631" t="str">
        <f>PRIX!R418</f>
        <v/>
      </c>
      <c r="AZ417" s="631" t="str">
        <f>PRIX!S418</f>
        <v/>
      </c>
      <c r="BA417" s="623"/>
    </row>
    <row r="418">
      <c r="A418" s="621" t="str">
        <f>ARBITRAGES!E419</f>
        <v/>
      </c>
      <c r="B418" s="623" t="str">
        <f>IF(A418="","",IF(ARBITRAGES!F419="Invest","Achat","Vente"))</f>
        <v/>
      </c>
      <c r="C418" s="623" t="str">
        <f>ARBITRAGES!H419</f>
        <v/>
      </c>
      <c r="D418" s="624" t="str">
        <f>ARBITRAGES!I419</f>
        <v/>
      </c>
      <c r="E418" s="624" t="str">
        <f>ARBITRAGES!J419</f>
        <v/>
      </c>
      <c r="F418" s="623"/>
      <c r="G418" s="623" t="str">
        <f>'PV (%)'!B420</f>
        <v/>
      </c>
      <c r="H418" s="624" t="str">
        <f>'PV (%)'!E420</f>
        <v/>
      </c>
      <c r="I418" s="624" t="str">
        <f>'PV (%)'!F420</f>
        <v/>
      </c>
      <c r="J418" s="624" t="str">
        <f>'PV (%)'!G420</f>
        <v/>
      </c>
      <c r="K418" s="623"/>
      <c r="L418" s="621" t="str">
        <f>Exposition!A419</f>
        <v/>
      </c>
      <c r="M418" s="625" t="str">
        <f>Exposition!B419</f>
        <v/>
      </c>
      <c r="N418" s="625" t="str">
        <f>Exposition!C419</f>
        <v/>
      </c>
      <c r="O418" s="625" t="str">
        <f>Exposition!D419</f>
        <v/>
      </c>
      <c r="P418" s="625" t="str">
        <f>Exposition!E419</f>
        <v/>
      </c>
      <c r="Q418" s="625" t="str">
        <f>Exposition!F419</f>
        <v/>
      </c>
      <c r="R418" s="625" t="str">
        <f>Exposition!G419</f>
        <v/>
      </c>
      <c r="S418" s="625" t="str">
        <f>Exposition!H419</f>
        <v/>
      </c>
      <c r="T418" s="625" t="str">
        <f>Exposition!I419</f>
        <v/>
      </c>
      <c r="U418" s="625" t="str">
        <f>Exposition!J419</f>
        <v/>
      </c>
      <c r="V418" s="625" t="str">
        <f>Exposition!K419</f>
        <v/>
      </c>
      <c r="W418" s="625" t="str">
        <f>Exposition!L419</f>
        <v/>
      </c>
      <c r="X418" s="625" t="str">
        <f>Exposition!M419</f>
        <v/>
      </c>
      <c r="Y418" s="625" t="str">
        <f>Exposition!N419</f>
        <v/>
      </c>
      <c r="Z418" s="625" t="str">
        <f>Exposition!O419</f>
        <v/>
      </c>
      <c r="AA418" s="625" t="str">
        <f>Exposition!P419</f>
        <v/>
      </c>
      <c r="AB418" s="625" t="str">
        <f>Exposition!Q419</f>
        <v/>
      </c>
      <c r="AC418" s="625" t="str">
        <f>Exposition!R419</f>
        <v/>
      </c>
      <c r="AD418" s="625" t="str">
        <f>Exposition!S419</f>
        <v/>
      </c>
      <c r="AE418" s="625" t="str">
        <f>Exposition!T419</f>
        <v/>
      </c>
      <c r="AF418" s="625" t="str">
        <f>Exposition!U419</f>
        <v/>
      </c>
      <c r="AG418" s="623"/>
      <c r="AH418" s="621" t="str">
        <f>PRIX!A419</f>
        <v/>
      </c>
      <c r="AI418" s="626" t="str">
        <f>PRIX!B419</f>
        <v/>
      </c>
      <c r="AJ418" s="626" t="str">
        <f>PRIX!C419</f>
        <v/>
      </c>
      <c r="AK418" s="627" t="str">
        <f>PRIX!D419</f>
        <v/>
      </c>
      <c r="AL418" s="626" t="str">
        <f>PRIX!E419</f>
        <v/>
      </c>
      <c r="AM418" s="626" t="str">
        <f>PRIX!F419</f>
        <v/>
      </c>
      <c r="AN418" s="627" t="str">
        <f>PRIX!G419</f>
        <v/>
      </c>
      <c r="AO418" s="627" t="str">
        <f>PRIX!H419</f>
        <v/>
      </c>
      <c r="AP418" s="631" t="str">
        <f>PRIX!I419</f>
        <v/>
      </c>
      <c r="AQ418" s="628" t="str">
        <f>PRIX!J419</f>
        <v/>
      </c>
      <c r="AR418" s="631" t="str">
        <f>PRIX!K419</f>
        <v/>
      </c>
      <c r="AS418" s="631" t="str">
        <f>PRIX!L419</f>
        <v/>
      </c>
      <c r="AT418" s="631" t="str">
        <f>PRIX!M419</f>
        <v/>
      </c>
      <c r="AU418" s="629" t="str">
        <f>PRIX!N419</f>
        <v/>
      </c>
      <c r="AV418" s="631" t="str">
        <f>PRIX!O419</f>
        <v/>
      </c>
      <c r="AW418" s="631" t="str">
        <f>PRIX!P419</f>
        <v/>
      </c>
      <c r="AX418" s="630" t="str">
        <f>PRIX!Q419</f>
        <v/>
      </c>
      <c r="AY418" s="631" t="str">
        <f>PRIX!R419</f>
        <v/>
      </c>
      <c r="AZ418" s="631" t="str">
        <f>PRIX!S419</f>
        <v/>
      </c>
      <c r="BA418" s="623"/>
    </row>
    <row r="419">
      <c r="A419" s="621" t="str">
        <f>ARBITRAGES!E420</f>
        <v/>
      </c>
      <c r="B419" s="623" t="str">
        <f>IF(A419="","",IF(ARBITRAGES!F420="Invest","Achat","Vente"))</f>
        <v/>
      </c>
      <c r="C419" s="623" t="str">
        <f>ARBITRAGES!H420</f>
        <v/>
      </c>
      <c r="D419" s="624" t="str">
        <f>ARBITRAGES!I420</f>
        <v/>
      </c>
      <c r="E419" s="624" t="str">
        <f>ARBITRAGES!J420</f>
        <v/>
      </c>
      <c r="F419" s="623"/>
      <c r="G419" s="623" t="str">
        <f>'PV (%)'!B421</f>
        <v/>
      </c>
      <c r="H419" s="624" t="str">
        <f>'PV (%)'!E421</f>
        <v/>
      </c>
      <c r="I419" s="624" t="str">
        <f>'PV (%)'!F421</f>
        <v/>
      </c>
      <c r="J419" s="624" t="str">
        <f>'PV (%)'!G421</f>
        <v/>
      </c>
      <c r="K419" s="623"/>
      <c r="L419" s="621" t="str">
        <f>Exposition!A420</f>
        <v/>
      </c>
      <c r="M419" s="625" t="str">
        <f>Exposition!B420</f>
        <v/>
      </c>
      <c r="N419" s="625" t="str">
        <f>Exposition!C420</f>
        <v/>
      </c>
      <c r="O419" s="625" t="str">
        <f>Exposition!D420</f>
        <v/>
      </c>
      <c r="P419" s="625" t="str">
        <f>Exposition!E420</f>
        <v/>
      </c>
      <c r="Q419" s="625" t="str">
        <f>Exposition!F420</f>
        <v/>
      </c>
      <c r="R419" s="625" t="str">
        <f>Exposition!G420</f>
        <v/>
      </c>
      <c r="S419" s="625" t="str">
        <f>Exposition!H420</f>
        <v/>
      </c>
      <c r="T419" s="625" t="str">
        <f>Exposition!I420</f>
        <v/>
      </c>
      <c r="U419" s="625" t="str">
        <f>Exposition!J420</f>
        <v/>
      </c>
      <c r="V419" s="625" t="str">
        <f>Exposition!K420</f>
        <v/>
      </c>
      <c r="W419" s="625" t="str">
        <f>Exposition!L420</f>
        <v/>
      </c>
      <c r="X419" s="625" t="str">
        <f>Exposition!M420</f>
        <v/>
      </c>
      <c r="Y419" s="625" t="str">
        <f>Exposition!N420</f>
        <v/>
      </c>
      <c r="Z419" s="625" t="str">
        <f>Exposition!O420</f>
        <v/>
      </c>
      <c r="AA419" s="625" t="str">
        <f>Exposition!P420</f>
        <v/>
      </c>
      <c r="AB419" s="625" t="str">
        <f>Exposition!Q420</f>
        <v/>
      </c>
      <c r="AC419" s="625" t="str">
        <f>Exposition!R420</f>
        <v/>
      </c>
      <c r="AD419" s="625" t="str">
        <f>Exposition!S420</f>
        <v/>
      </c>
      <c r="AE419" s="625" t="str">
        <f>Exposition!T420</f>
        <v/>
      </c>
      <c r="AF419" s="625" t="str">
        <f>Exposition!U420</f>
        <v/>
      </c>
      <c r="AG419" s="623"/>
      <c r="AH419" s="621" t="str">
        <f>PRIX!A420</f>
        <v/>
      </c>
      <c r="AI419" s="626" t="str">
        <f>PRIX!B420</f>
        <v/>
      </c>
      <c r="AJ419" s="626" t="str">
        <f>PRIX!C420</f>
        <v/>
      </c>
      <c r="AK419" s="627" t="str">
        <f>PRIX!D420</f>
        <v/>
      </c>
      <c r="AL419" s="626" t="str">
        <f>PRIX!E420</f>
        <v/>
      </c>
      <c r="AM419" s="626" t="str">
        <f>PRIX!F420</f>
        <v/>
      </c>
      <c r="AN419" s="627" t="str">
        <f>PRIX!G420</f>
        <v/>
      </c>
      <c r="AO419" s="627" t="str">
        <f>PRIX!H420</f>
        <v/>
      </c>
      <c r="AP419" s="631" t="str">
        <f>PRIX!I420</f>
        <v/>
      </c>
      <c r="AQ419" s="628" t="str">
        <f>PRIX!J420</f>
        <v/>
      </c>
      <c r="AR419" s="631" t="str">
        <f>PRIX!K420</f>
        <v/>
      </c>
      <c r="AS419" s="631" t="str">
        <f>PRIX!L420</f>
        <v/>
      </c>
      <c r="AT419" s="631" t="str">
        <f>PRIX!M420</f>
        <v/>
      </c>
      <c r="AU419" s="629" t="str">
        <f>PRIX!N420</f>
        <v/>
      </c>
      <c r="AV419" s="631" t="str">
        <f>PRIX!O420</f>
        <v/>
      </c>
      <c r="AW419" s="631" t="str">
        <f>PRIX!P420</f>
        <v/>
      </c>
      <c r="AX419" s="630" t="str">
        <f>PRIX!Q420</f>
        <v/>
      </c>
      <c r="AY419" s="631" t="str">
        <f>PRIX!R420</f>
        <v/>
      </c>
      <c r="AZ419" s="631" t="str">
        <f>PRIX!S420</f>
        <v/>
      </c>
      <c r="BA419" s="623"/>
    </row>
    <row r="420">
      <c r="A420" s="621" t="str">
        <f>ARBITRAGES!E421</f>
        <v/>
      </c>
      <c r="B420" s="623" t="str">
        <f>IF(A420="","",IF(ARBITRAGES!F421="Invest","Achat","Vente"))</f>
        <v/>
      </c>
      <c r="C420" s="623" t="str">
        <f>ARBITRAGES!H421</f>
        <v/>
      </c>
      <c r="D420" s="624" t="str">
        <f>ARBITRAGES!I421</f>
        <v/>
      </c>
      <c r="E420" s="624" t="str">
        <f>ARBITRAGES!J421</f>
        <v/>
      </c>
      <c r="F420" s="623"/>
      <c r="G420" s="623" t="str">
        <f>'PV (%)'!B422</f>
        <v/>
      </c>
      <c r="H420" s="624" t="str">
        <f>'PV (%)'!E422</f>
        <v/>
      </c>
      <c r="I420" s="624" t="str">
        <f>'PV (%)'!F422</f>
        <v/>
      </c>
      <c r="J420" s="624" t="str">
        <f>'PV (%)'!G422</f>
        <v/>
      </c>
      <c r="K420" s="623"/>
      <c r="L420" s="621" t="str">
        <f>Exposition!A421</f>
        <v/>
      </c>
      <c r="M420" s="625" t="str">
        <f>Exposition!B421</f>
        <v/>
      </c>
      <c r="N420" s="625" t="str">
        <f>Exposition!C421</f>
        <v/>
      </c>
      <c r="O420" s="625" t="str">
        <f>Exposition!D421</f>
        <v/>
      </c>
      <c r="P420" s="625" t="str">
        <f>Exposition!E421</f>
        <v/>
      </c>
      <c r="Q420" s="625" t="str">
        <f>Exposition!F421</f>
        <v/>
      </c>
      <c r="R420" s="625" t="str">
        <f>Exposition!G421</f>
        <v/>
      </c>
      <c r="S420" s="625" t="str">
        <f>Exposition!H421</f>
        <v/>
      </c>
      <c r="T420" s="625" t="str">
        <f>Exposition!I421</f>
        <v/>
      </c>
      <c r="U420" s="625" t="str">
        <f>Exposition!J421</f>
        <v/>
      </c>
      <c r="V420" s="625" t="str">
        <f>Exposition!K421</f>
        <v/>
      </c>
      <c r="W420" s="625" t="str">
        <f>Exposition!L421</f>
        <v/>
      </c>
      <c r="X420" s="625" t="str">
        <f>Exposition!M421</f>
        <v/>
      </c>
      <c r="Y420" s="625" t="str">
        <f>Exposition!N421</f>
        <v/>
      </c>
      <c r="Z420" s="625" t="str">
        <f>Exposition!O421</f>
        <v/>
      </c>
      <c r="AA420" s="625" t="str">
        <f>Exposition!P421</f>
        <v/>
      </c>
      <c r="AB420" s="625" t="str">
        <f>Exposition!Q421</f>
        <v/>
      </c>
      <c r="AC420" s="625" t="str">
        <f>Exposition!R421</f>
        <v/>
      </c>
      <c r="AD420" s="625" t="str">
        <f>Exposition!S421</f>
        <v/>
      </c>
      <c r="AE420" s="625" t="str">
        <f>Exposition!T421</f>
        <v/>
      </c>
      <c r="AF420" s="625" t="str">
        <f>Exposition!U421</f>
        <v/>
      </c>
      <c r="AG420" s="623"/>
      <c r="AH420" s="621" t="str">
        <f>PRIX!A421</f>
        <v/>
      </c>
      <c r="AI420" s="626" t="str">
        <f>PRIX!B421</f>
        <v/>
      </c>
      <c r="AJ420" s="626" t="str">
        <f>PRIX!C421</f>
        <v/>
      </c>
      <c r="AK420" s="627" t="str">
        <f>PRIX!D421</f>
        <v/>
      </c>
      <c r="AL420" s="626" t="str">
        <f>PRIX!E421</f>
        <v/>
      </c>
      <c r="AM420" s="626" t="str">
        <f>PRIX!F421</f>
        <v/>
      </c>
      <c r="AN420" s="627" t="str">
        <f>PRIX!G421</f>
        <v/>
      </c>
      <c r="AO420" s="627" t="str">
        <f>PRIX!H421</f>
        <v/>
      </c>
      <c r="AP420" s="631" t="str">
        <f>PRIX!I421</f>
        <v/>
      </c>
      <c r="AQ420" s="628" t="str">
        <f>PRIX!J421</f>
        <v/>
      </c>
      <c r="AR420" s="631" t="str">
        <f>PRIX!K421</f>
        <v/>
      </c>
      <c r="AS420" s="631" t="str">
        <f>PRIX!L421</f>
        <v/>
      </c>
      <c r="AT420" s="631" t="str">
        <f>PRIX!M421</f>
        <v/>
      </c>
      <c r="AU420" s="629" t="str">
        <f>PRIX!N421</f>
        <v/>
      </c>
      <c r="AV420" s="631" t="str">
        <f>PRIX!O421</f>
        <v/>
      </c>
      <c r="AW420" s="631" t="str">
        <f>PRIX!P421</f>
        <v/>
      </c>
      <c r="AX420" s="630" t="str">
        <f>PRIX!Q421</f>
        <v/>
      </c>
      <c r="AY420" s="631" t="str">
        <f>PRIX!R421</f>
        <v/>
      </c>
      <c r="AZ420" s="631" t="str">
        <f>PRIX!S421</f>
        <v/>
      </c>
      <c r="BA420" s="623"/>
    </row>
    <row r="421">
      <c r="A421" s="621" t="str">
        <f>ARBITRAGES!E422</f>
        <v/>
      </c>
      <c r="B421" s="623" t="str">
        <f>IF(A421="","",IF(ARBITRAGES!F422="Invest","Achat","Vente"))</f>
        <v/>
      </c>
      <c r="C421" s="623" t="str">
        <f>ARBITRAGES!H422</f>
        <v/>
      </c>
      <c r="D421" s="624" t="str">
        <f>ARBITRAGES!I422</f>
        <v/>
      </c>
      <c r="E421" s="624" t="str">
        <f>ARBITRAGES!J422</f>
        <v/>
      </c>
      <c r="F421" s="623"/>
      <c r="G421" s="623" t="str">
        <f>'PV (%)'!B423</f>
        <v/>
      </c>
      <c r="H421" s="624" t="str">
        <f>'PV (%)'!E423</f>
        <v/>
      </c>
      <c r="I421" s="624" t="str">
        <f>'PV (%)'!F423</f>
        <v/>
      </c>
      <c r="J421" s="624" t="str">
        <f>'PV (%)'!G423</f>
        <v/>
      </c>
      <c r="K421" s="623"/>
      <c r="L421" s="621" t="str">
        <f>Exposition!A422</f>
        <v/>
      </c>
      <c r="M421" s="625" t="str">
        <f>Exposition!B422</f>
        <v/>
      </c>
      <c r="N421" s="625" t="str">
        <f>Exposition!C422</f>
        <v/>
      </c>
      <c r="O421" s="625" t="str">
        <f>Exposition!D422</f>
        <v/>
      </c>
      <c r="P421" s="625" t="str">
        <f>Exposition!E422</f>
        <v/>
      </c>
      <c r="Q421" s="625" t="str">
        <f>Exposition!F422</f>
        <v/>
      </c>
      <c r="R421" s="625" t="str">
        <f>Exposition!G422</f>
        <v/>
      </c>
      <c r="S421" s="625" t="str">
        <f>Exposition!H422</f>
        <v/>
      </c>
      <c r="T421" s="625" t="str">
        <f>Exposition!I422</f>
        <v/>
      </c>
      <c r="U421" s="625" t="str">
        <f>Exposition!J422</f>
        <v/>
      </c>
      <c r="V421" s="625" t="str">
        <f>Exposition!K422</f>
        <v/>
      </c>
      <c r="W421" s="625" t="str">
        <f>Exposition!L422</f>
        <v/>
      </c>
      <c r="X421" s="625" t="str">
        <f>Exposition!M422</f>
        <v/>
      </c>
      <c r="Y421" s="625" t="str">
        <f>Exposition!N422</f>
        <v/>
      </c>
      <c r="Z421" s="625" t="str">
        <f>Exposition!O422</f>
        <v/>
      </c>
      <c r="AA421" s="625" t="str">
        <f>Exposition!P422</f>
        <v/>
      </c>
      <c r="AB421" s="625" t="str">
        <f>Exposition!Q422</f>
        <v/>
      </c>
      <c r="AC421" s="625" t="str">
        <f>Exposition!R422</f>
        <v/>
      </c>
      <c r="AD421" s="625" t="str">
        <f>Exposition!S422</f>
        <v/>
      </c>
      <c r="AE421" s="625" t="str">
        <f>Exposition!T422</f>
        <v/>
      </c>
      <c r="AF421" s="625" t="str">
        <f>Exposition!U422</f>
        <v/>
      </c>
      <c r="AG421" s="623"/>
      <c r="AH421" s="621" t="str">
        <f>PRIX!A422</f>
        <v/>
      </c>
      <c r="AI421" s="626" t="str">
        <f>PRIX!B422</f>
        <v/>
      </c>
      <c r="AJ421" s="626" t="str">
        <f>PRIX!C422</f>
        <v/>
      </c>
      <c r="AK421" s="627" t="str">
        <f>PRIX!D422</f>
        <v/>
      </c>
      <c r="AL421" s="626" t="str">
        <f>PRIX!E422</f>
        <v/>
      </c>
      <c r="AM421" s="626" t="str">
        <f>PRIX!F422</f>
        <v/>
      </c>
      <c r="AN421" s="627" t="str">
        <f>PRIX!G422</f>
        <v/>
      </c>
      <c r="AO421" s="627" t="str">
        <f>PRIX!H422</f>
        <v/>
      </c>
      <c r="AP421" s="631" t="str">
        <f>PRIX!I422</f>
        <v/>
      </c>
      <c r="AQ421" s="628" t="str">
        <f>PRIX!J422</f>
        <v/>
      </c>
      <c r="AR421" s="631" t="str">
        <f>PRIX!K422</f>
        <v/>
      </c>
      <c r="AS421" s="631" t="str">
        <f>PRIX!L422</f>
        <v/>
      </c>
      <c r="AT421" s="631" t="str">
        <f>PRIX!M422</f>
        <v/>
      </c>
      <c r="AU421" s="629" t="str">
        <f>PRIX!N422</f>
        <v/>
      </c>
      <c r="AV421" s="631" t="str">
        <f>PRIX!O422</f>
        <v/>
      </c>
      <c r="AW421" s="631" t="str">
        <f>PRIX!P422</f>
        <v/>
      </c>
      <c r="AX421" s="630" t="str">
        <f>PRIX!Q422</f>
        <v/>
      </c>
      <c r="AY421" s="631" t="str">
        <f>PRIX!R422</f>
        <v/>
      </c>
      <c r="AZ421" s="631" t="str">
        <f>PRIX!S422</f>
        <v/>
      </c>
      <c r="BA421" s="623"/>
    </row>
    <row r="422">
      <c r="A422" s="621" t="str">
        <f>ARBITRAGES!E423</f>
        <v/>
      </c>
      <c r="B422" s="623" t="str">
        <f>IF(A422="","",IF(ARBITRAGES!F423="Invest","Achat","Vente"))</f>
        <v/>
      </c>
      <c r="C422" s="623" t="str">
        <f>ARBITRAGES!H423</f>
        <v/>
      </c>
      <c r="D422" s="624" t="str">
        <f>ARBITRAGES!I423</f>
        <v/>
      </c>
      <c r="E422" s="624" t="str">
        <f>ARBITRAGES!J423</f>
        <v/>
      </c>
      <c r="F422" s="623"/>
      <c r="G422" s="623" t="str">
        <f>'PV (%)'!B424</f>
        <v/>
      </c>
      <c r="H422" s="624" t="str">
        <f>'PV (%)'!E424</f>
        <v/>
      </c>
      <c r="I422" s="624" t="str">
        <f>'PV (%)'!F424</f>
        <v/>
      </c>
      <c r="J422" s="624" t="str">
        <f>'PV (%)'!G424</f>
        <v/>
      </c>
      <c r="K422" s="623"/>
      <c r="L422" s="621" t="str">
        <f>Exposition!A423</f>
        <v/>
      </c>
      <c r="M422" s="625" t="str">
        <f>Exposition!B423</f>
        <v/>
      </c>
      <c r="N422" s="625" t="str">
        <f>Exposition!C423</f>
        <v/>
      </c>
      <c r="O422" s="625" t="str">
        <f>Exposition!D423</f>
        <v/>
      </c>
      <c r="P422" s="625" t="str">
        <f>Exposition!E423</f>
        <v/>
      </c>
      <c r="Q422" s="625" t="str">
        <f>Exposition!F423</f>
        <v/>
      </c>
      <c r="R422" s="625" t="str">
        <f>Exposition!G423</f>
        <v/>
      </c>
      <c r="S422" s="625" t="str">
        <f>Exposition!H423</f>
        <v/>
      </c>
      <c r="T422" s="625" t="str">
        <f>Exposition!I423</f>
        <v/>
      </c>
      <c r="U422" s="625" t="str">
        <f>Exposition!J423</f>
        <v/>
      </c>
      <c r="V422" s="625" t="str">
        <f>Exposition!K423</f>
        <v/>
      </c>
      <c r="W422" s="625" t="str">
        <f>Exposition!L423</f>
        <v/>
      </c>
      <c r="X422" s="625" t="str">
        <f>Exposition!M423</f>
        <v/>
      </c>
      <c r="Y422" s="625" t="str">
        <f>Exposition!N423</f>
        <v/>
      </c>
      <c r="Z422" s="625" t="str">
        <f>Exposition!O423</f>
        <v/>
      </c>
      <c r="AA422" s="625" t="str">
        <f>Exposition!P423</f>
        <v/>
      </c>
      <c r="AB422" s="625" t="str">
        <f>Exposition!Q423</f>
        <v/>
      </c>
      <c r="AC422" s="625" t="str">
        <f>Exposition!R423</f>
        <v/>
      </c>
      <c r="AD422" s="625" t="str">
        <f>Exposition!S423</f>
        <v/>
      </c>
      <c r="AE422" s="625" t="str">
        <f>Exposition!T423</f>
        <v/>
      </c>
      <c r="AF422" s="625" t="str">
        <f>Exposition!U423</f>
        <v/>
      </c>
      <c r="AG422" s="623"/>
      <c r="AH422" s="621" t="str">
        <f>PRIX!A423</f>
        <v/>
      </c>
      <c r="AI422" s="626" t="str">
        <f>PRIX!B423</f>
        <v/>
      </c>
      <c r="AJ422" s="626" t="str">
        <f>PRIX!C423</f>
        <v/>
      </c>
      <c r="AK422" s="627" t="str">
        <f>PRIX!D423</f>
        <v/>
      </c>
      <c r="AL422" s="626" t="str">
        <f>PRIX!E423</f>
        <v/>
      </c>
      <c r="AM422" s="626" t="str">
        <f>PRIX!F423</f>
        <v/>
      </c>
      <c r="AN422" s="627" t="str">
        <f>PRIX!G423</f>
        <v/>
      </c>
      <c r="AO422" s="627" t="str">
        <f>PRIX!H423</f>
        <v/>
      </c>
      <c r="AP422" s="631" t="str">
        <f>PRIX!I423</f>
        <v/>
      </c>
      <c r="AQ422" s="628" t="str">
        <f>PRIX!J423</f>
        <v/>
      </c>
      <c r="AR422" s="631" t="str">
        <f>PRIX!K423</f>
        <v/>
      </c>
      <c r="AS422" s="631" t="str">
        <f>PRIX!L423</f>
        <v/>
      </c>
      <c r="AT422" s="631" t="str">
        <f>PRIX!M423</f>
        <v/>
      </c>
      <c r="AU422" s="629" t="str">
        <f>PRIX!N423</f>
        <v/>
      </c>
      <c r="AV422" s="631" t="str">
        <f>PRIX!O423</f>
        <v/>
      </c>
      <c r="AW422" s="631" t="str">
        <f>PRIX!P423</f>
        <v/>
      </c>
      <c r="AX422" s="630" t="str">
        <f>PRIX!Q423</f>
        <v/>
      </c>
      <c r="AY422" s="631" t="str">
        <f>PRIX!R423</f>
        <v/>
      </c>
      <c r="AZ422" s="631" t="str">
        <f>PRIX!S423</f>
        <v/>
      </c>
      <c r="BA422" s="623"/>
    </row>
    <row r="423">
      <c r="A423" s="621" t="str">
        <f>ARBITRAGES!E424</f>
        <v/>
      </c>
      <c r="B423" s="623" t="str">
        <f>IF(A423="","",IF(ARBITRAGES!F424="Invest","Achat","Vente"))</f>
        <v/>
      </c>
      <c r="C423" s="623" t="str">
        <f>ARBITRAGES!H424</f>
        <v/>
      </c>
      <c r="D423" s="624" t="str">
        <f>ARBITRAGES!I424</f>
        <v/>
      </c>
      <c r="E423" s="624" t="str">
        <f>ARBITRAGES!J424</f>
        <v/>
      </c>
      <c r="F423" s="623"/>
      <c r="G423" s="623" t="str">
        <f>'PV (%)'!B425</f>
        <v/>
      </c>
      <c r="H423" s="624" t="str">
        <f>'PV (%)'!E425</f>
        <v/>
      </c>
      <c r="I423" s="624" t="str">
        <f>'PV (%)'!F425</f>
        <v/>
      </c>
      <c r="J423" s="624" t="str">
        <f>'PV (%)'!G425</f>
        <v/>
      </c>
      <c r="K423" s="623"/>
      <c r="L423" s="621" t="str">
        <f>Exposition!A424</f>
        <v/>
      </c>
      <c r="M423" s="625" t="str">
        <f>Exposition!B424</f>
        <v/>
      </c>
      <c r="N423" s="625" t="str">
        <f>Exposition!C424</f>
        <v/>
      </c>
      <c r="O423" s="625" t="str">
        <f>Exposition!D424</f>
        <v/>
      </c>
      <c r="P423" s="625" t="str">
        <f>Exposition!E424</f>
        <v/>
      </c>
      <c r="Q423" s="625" t="str">
        <f>Exposition!F424</f>
        <v/>
      </c>
      <c r="R423" s="625" t="str">
        <f>Exposition!G424</f>
        <v/>
      </c>
      <c r="S423" s="625" t="str">
        <f>Exposition!H424</f>
        <v/>
      </c>
      <c r="T423" s="625" t="str">
        <f>Exposition!I424</f>
        <v/>
      </c>
      <c r="U423" s="625" t="str">
        <f>Exposition!J424</f>
        <v/>
      </c>
      <c r="V423" s="625" t="str">
        <f>Exposition!K424</f>
        <v/>
      </c>
      <c r="W423" s="625" t="str">
        <f>Exposition!L424</f>
        <v/>
      </c>
      <c r="X423" s="625" t="str">
        <f>Exposition!M424</f>
        <v/>
      </c>
      <c r="Y423" s="625" t="str">
        <f>Exposition!N424</f>
        <v/>
      </c>
      <c r="Z423" s="625" t="str">
        <f>Exposition!O424</f>
        <v/>
      </c>
      <c r="AA423" s="625" t="str">
        <f>Exposition!P424</f>
        <v/>
      </c>
      <c r="AB423" s="625" t="str">
        <f>Exposition!Q424</f>
        <v/>
      </c>
      <c r="AC423" s="625" t="str">
        <f>Exposition!R424</f>
        <v/>
      </c>
      <c r="AD423" s="625" t="str">
        <f>Exposition!S424</f>
        <v/>
      </c>
      <c r="AE423" s="625" t="str">
        <f>Exposition!T424</f>
        <v/>
      </c>
      <c r="AF423" s="625" t="str">
        <f>Exposition!U424</f>
        <v/>
      </c>
      <c r="AG423" s="623"/>
      <c r="AH423" s="621" t="str">
        <f>PRIX!A424</f>
        <v/>
      </c>
      <c r="AI423" s="626" t="str">
        <f>PRIX!B424</f>
        <v/>
      </c>
      <c r="AJ423" s="626" t="str">
        <f>PRIX!C424</f>
        <v/>
      </c>
      <c r="AK423" s="627" t="str">
        <f>PRIX!D424</f>
        <v/>
      </c>
      <c r="AL423" s="626" t="str">
        <f>PRIX!E424</f>
        <v/>
      </c>
      <c r="AM423" s="626" t="str">
        <f>PRIX!F424</f>
        <v/>
      </c>
      <c r="AN423" s="627" t="str">
        <f>PRIX!G424</f>
        <v/>
      </c>
      <c r="AO423" s="627" t="str">
        <f>PRIX!H424</f>
        <v/>
      </c>
      <c r="AP423" s="631" t="str">
        <f>PRIX!I424</f>
        <v/>
      </c>
      <c r="AQ423" s="628" t="str">
        <f>PRIX!J424</f>
        <v/>
      </c>
      <c r="AR423" s="631" t="str">
        <f>PRIX!K424</f>
        <v/>
      </c>
      <c r="AS423" s="631" t="str">
        <f>PRIX!L424</f>
        <v/>
      </c>
      <c r="AT423" s="631" t="str">
        <f>PRIX!M424</f>
        <v/>
      </c>
      <c r="AU423" s="629" t="str">
        <f>PRIX!N424</f>
        <v/>
      </c>
      <c r="AV423" s="631" t="str">
        <f>PRIX!O424</f>
        <v/>
      </c>
      <c r="AW423" s="631" t="str">
        <f>PRIX!P424</f>
        <v/>
      </c>
      <c r="AX423" s="630" t="str">
        <f>PRIX!Q424</f>
        <v/>
      </c>
      <c r="AY423" s="631" t="str">
        <f>PRIX!R424</f>
        <v/>
      </c>
      <c r="AZ423" s="631" t="str">
        <f>PRIX!S424</f>
        <v/>
      </c>
      <c r="BA423" s="623"/>
    </row>
    <row r="424">
      <c r="A424" s="621" t="str">
        <f>ARBITRAGES!E425</f>
        <v/>
      </c>
      <c r="B424" s="623" t="str">
        <f>IF(A424="","",IF(ARBITRAGES!F425="Invest","Achat","Vente"))</f>
        <v/>
      </c>
      <c r="C424" s="623" t="str">
        <f>ARBITRAGES!H425</f>
        <v/>
      </c>
      <c r="D424" s="624" t="str">
        <f>ARBITRAGES!I425</f>
        <v/>
      </c>
      <c r="E424" s="624" t="str">
        <f>ARBITRAGES!J425</f>
        <v/>
      </c>
      <c r="F424" s="623"/>
      <c r="G424" s="623" t="str">
        <f>'PV (%)'!B426</f>
        <v/>
      </c>
      <c r="H424" s="624" t="str">
        <f>'PV (%)'!E426</f>
        <v/>
      </c>
      <c r="I424" s="624" t="str">
        <f>'PV (%)'!F426</f>
        <v/>
      </c>
      <c r="J424" s="624" t="str">
        <f>'PV (%)'!G426</f>
        <v/>
      </c>
      <c r="K424" s="623"/>
      <c r="L424" s="621" t="str">
        <f>Exposition!A425</f>
        <v/>
      </c>
      <c r="M424" s="625" t="str">
        <f>Exposition!B425</f>
        <v/>
      </c>
      <c r="N424" s="625" t="str">
        <f>Exposition!C425</f>
        <v/>
      </c>
      <c r="O424" s="625" t="str">
        <f>Exposition!D425</f>
        <v/>
      </c>
      <c r="P424" s="625" t="str">
        <f>Exposition!E425</f>
        <v/>
      </c>
      <c r="Q424" s="625" t="str">
        <f>Exposition!F425</f>
        <v/>
      </c>
      <c r="R424" s="625" t="str">
        <f>Exposition!G425</f>
        <v/>
      </c>
      <c r="S424" s="625" t="str">
        <f>Exposition!H425</f>
        <v/>
      </c>
      <c r="T424" s="625" t="str">
        <f>Exposition!I425</f>
        <v/>
      </c>
      <c r="U424" s="625" t="str">
        <f>Exposition!J425</f>
        <v/>
      </c>
      <c r="V424" s="625" t="str">
        <f>Exposition!K425</f>
        <v/>
      </c>
      <c r="W424" s="625" t="str">
        <f>Exposition!L425</f>
        <v/>
      </c>
      <c r="X424" s="625" t="str">
        <f>Exposition!M425</f>
        <v/>
      </c>
      <c r="Y424" s="625" t="str">
        <f>Exposition!N425</f>
        <v/>
      </c>
      <c r="Z424" s="625" t="str">
        <f>Exposition!O425</f>
        <v/>
      </c>
      <c r="AA424" s="625" t="str">
        <f>Exposition!P425</f>
        <v/>
      </c>
      <c r="AB424" s="625" t="str">
        <f>Exposition!Q425</f>
        <v/>
      </c>
      <c r="AC424" s="625" t="str">
        <f>Exposition!R425</f>
        <v/>
      </c>
      <c r="AD424" s="625" t="str">
        <f>Exposition!S425</f>
        <v/>
      </c>
      <c r="AE424" s="625" t="str">
        <f>Exposition!T425</f>
        <v/>
      </c>
      <c r="AF424" s="625" t="str">
        <f>Exposition!U425</f>
        <v/>
      </c>
      <c r="AG424" s="623"/>
      <c r="AH424" s="621" t="str">
        <f>PRIX!A425</f>
        <v/>
      </c>
      <c r="AI424" s="626" t="str">
        <f>PRIX!B425</f>
        <v/>
      </c>
      <c r="AJ424" s="626" t="str">
        <f>PRIX!C425</f>
        <v/>
      </c>
      <c r="AK424" s="627" t="str">
        <f>PRIX!D425</f>
        <v/>
      </c>
      <c r="AL424" s="626" t="str">
        <f>PRIX!E425</f>
        <v/>
      </c>
      <c r="AM424" s="626" t="str">
        <f>PRIX!F425</f>
        <v/>
      </c>
      <c r="AN424" s="627" t="str">
        <f>PRIX!G425</f>
        <v/>
      </c>
      <c r="AO424" s="627" t="str">
        <f>PRIX!H425</f>
        <v/>
      </c>
      <c r="AP424" s="631" t="str">
        <f>PRIX!I425</f>
        <v/>
      </c>
      <c r="AQ424" s="628" t="str">
        <f>PRIX!J425</f>
        <v/>
      </c>
      <c r="AR424" s="631" t="str">
        <f>PRIX!K425</f>
        <v/>
      </c>
      <c r="AS424" s="631" t="str">
        <f>PRIX!L425</f>
        <v/>
      </c>
      <c r="AT424" s="631" t="str">
        <f>PRIX!M425</f>
        <v/>
      </c>
      <c r="AU424" s="629" t="str">
        <f>PRIX!N425</f>
        <v/>
      </c>
      <c r="AV424" s="631" t="str">
        <f>PRIX!O425</f>
        <v/>
      </c>
      <c r="AW424" s="631" t="str">
        <f>PRIX!P425</f>
        <v/>
      </c>
      <c r="AX424" s="630" t="str">
        <f>PRIX!Q425</f>
        <v/>
      </c>
      <c r="AY424" s="631" t="str">
        <f>PRIX!R425</f>
        <v/>
      </c>
      <c r="AZ424" s="631" t="str">
        <f>PRIX!S425</f>
        <v/>
      </c>
      <c r="BA424" s="623"/>
    </row>
    <row r="425">
      <c r="A425" s="621" t="str">
        <f>ARBITRAGES!E426</f>
        <v/>
      </c>
      <c r="B425" s="623" t="str">
        <f>IF(A425="","",IF(ARBITRAGES!F426="Invest","Achat","Vente"))</f>
        <v/>
      </c>
      <c r="C425" s="623" t="str">
        <f>ARBITRAGES!H426</f>
        <v/>
      </c>
      <c r="D425" s="624" t="str">
        <f>ARBITRAGES!I426</f>
        <v/>
      </c>
      <c r="E425" s="624" t="str">
        <f>ARBITRAGES!J426</f>
        <v/>
      </c>
      <c r="F425" s="623"/>
      <c r="G425" s="623" t="str">
        <f>'PV (%)'!B427</f>
        <v/>
      </c>
      <c r="H425" s="624" t="str">
        <f>'PV (%)'!E427</f>
        <v/>
      </c>
      <c r="I425" s="624" t="str">
        <f>'PV (%)'!F427</f>
        <v/>
      </c>
      <c r="J425" s="624" t="str">
        <f>'PV (%)'!G427</f>
        <v/>
      </c>
      <c r="K425" s="623"/>
      <c r="L425" s="621" t="str">
        <f>Exposition!A426</f>
        <v/>
      </c>
      <c r="M425" s="625" t="str">
        <f>Exposition!B426</f>
        <v/>
      </c>
      <c r="N425" s="625" t="str">
        <f>Exposition!C426</f>
        <v/>
      </c>
      <c r="O425" s="625" t="str">
        <f>Exposition!D426</f>
        <v/>
      </c>
      <c r="P425" s="625" t="str">
        <f>Exposition!E426</f>
        <v/>
      </c>
      <c r="Q425" s="625" t="str">
        <f>Exposition!F426</f>
        <v/>
      </c>
      <c r="R425" s="625" t="str">
        <f>Exposition!G426</f>
        <v/>
      </c>
      <c r="S425" s="625" t="str">
        <f>Exposition!H426</f>
        <v/>
      </c>
      <c r="T425" s="625" t="str">
        <f>Exposition!I426</f>
        <v/>
      </c>
      <c r="U425" s="625" t="str">
        <f>Exposition!J426</f>
        <v/>
      </c>
      <c r="V425" s="625" t="str">
        <f>Exposition!K426</f>
        <v/>
      </c>
      <c r="W425" s="625" t="str">
        <f>Exposition!L426</f>
        <v/>
      </c>
      <c r="X425" s="625" t="str">
        <f>Exposition!M426</f>
        <v/>
      </c>
      <c r="Y425" s="625" t="str">
        <f>Exposition!N426</f>
        <v/>
      </c>
      <c r="Z425" s="625" t="str">
        <f>Exposition!O426</f>
        <v/>
      </c>
      <c r="AA425" s="625" t="str">
        <f>Exposition!P426</f>
        <v/>
      </c>
      <c r="AB425" s="625" t="str">
        <f>Exposition!Q426</f>
        <v/>
      </c>
      <c r="AC425" s="625" t="str">
        <f>Exposition!R426</f>
        <v/>
      </c>
      <c r="AD425" s="625" t="str">
        <f>Exposition!S426</f>
        <v/>
      </c>
      <c r="AE425" s="625" t="str">
        <f>Exposition!T426</f>
        <v/>
      </c>
      <c r="AF425" s="625" t="str">
        <f>Exposition!U426</f>
        <v/>
      </c>
      <c r="AG425" s="623"/>
      <c r="AH425" s="621" t="str">
        <f>PRIX!A426</f>
        <v/>
      </c>
      <c r="AI425" s="626" t="str">
        <f>PRIX!B426</f>
        <v/>
      </c>
      <c r="AJ425" s="626" t="str">
        <f>PRIX!C426</f>
        <v/>
      </c>
      <c r="AK425" s="627" t="str">
        <f>PRIX!D426</f>
        <v/>
      </c>
      <c r="AL425" s="626" t="str">
        <f>PRIX!E426</f>
        <v/>
      </c>
      <c r="AM425" s="626" t="str">
        <f>PRIX!F426</f>
        <v/>
      </c>
      <c r="AN425" s="627" t="str">
        <f>PRIX!G426</f>
        <v/>
      </c>
      <c r="AO425" s="627" t="str">
        <f>PRIX!H426</f>
        <v/>
      </c>
      <c r="AP425" s="631" t="str">
        <f>PRIX!I426</f>
        <v/>
      </c>
      <c r="AQ425" s="628" t="str">
        <f>PRIX!J426</f>
        <v/>
      </c>
      <c r="AR425" s="631" t="str">
        <f>PRIX!K426</f>
        <v/>
      </c>
      <c r="AS425" s="631" t="str">
        <f>PRIX!L426</f>
        <v/>
      </c>
      <c r="AT425" s="631" t="str">
        <f>PRIX!M426</f>
        <v/>
      </c>
      <c r="AU425" s="629" t="str">
        <f>PRIX!N426</f>
        <v/>
      </c>
      <c r="AV425" s="631" t="str">
        <f>PRIX!O426</f>
        <v/>
      </c>
      <c r="AW425" s="631" t="str">
        <f>PRIX!P426</f>
        <v/>
      </c>
      <c r="AX425" s="630" t="str">
        <f>PRIX!Q426</f>
        <v/>
      </c>
      <c r="AY425" s="631" t="str">
        <f>PRIX!R426</f>
        <v/>
      </c>
      <c r="AZ425" s="631" t="str">
        <f>PRIX!S426</f>
        <v/>
      </c>
      <c r="BA425" s="623"/>
    </row>
    <row r="426">
      <c r="A426" s="621" t="str">
        <f>ARBITRAGES!E427</f>
        <v/>
      </c>
      <c r="B426" s="623" t="str">
        <f>IF(A426="","",IF(ARBITRAGES!F427="Invest","Achat","Vente"))</f>
        <v/>
      </c>
      <c r="C426" s="623" t="str">
        <f>ARBITRAGES!H427</f>
        <v/>
      </c>
      <c r="D426" s="624" t="str">
        <f>ARBITRAGES!I427</f>
        <v/>
      </c>
      <c r="E426" s="624" t="str">
        <f>ARBITRAGES!J427</f>
        <v/>
      </c>
      <c r="F426" s="623"/>
      <c r="G426" s="623" t="str">
        <f>'PV (%)'!B428</f>
        <v/>
      </c>
      <c r="H426" s="624" t="str">
        <f>'PV (%)'!E428</f>
        <v/>
      </c>
      <c r="I426" s="624" t="str">
        <f>'PV (%)'!F428</f>
        <v/>
      </c>
      <c r="J426" s="624" t="str">
        <f>'PV (%)'!G428</f>
        <v/>
      </c>
      <c r="K426" s="623"/>
      <c r="L426" s="621" t="str">
        <f>Exposition!A427</f>
        <v/>
      </c>
      <c r="M426" s="625" t="str">
        <f>Exposition!B427</f>
        <v/>
      </c>
      <c r="N426" s="625" t="str">
        <f>Exposition!C427</f>
        <v/>
      </c>
      <c r="O426" s="625" t="str">
        <f>Exposition!D427</f>
        <v/>
      </c>
      <c r="P426" s="625" t="str">
        <f>Exposition!E427</f>
        <v/>
      </c>
      <c r="Q426" s="625" t="str">
        <f>Exposition!F427</f>
        <v/>
      </c>
      <c r="R426" s="625" t="str">
        <f>Exposition!G427</f>
        <v/>
      </c>
      <c r="S426" s="625" t="str">
        <f>Exposition!H427</f>
        <v/>
      </c>
      <c r="T426" s="625" t="str">
        <f>Exposition!I427</f>
        <v/>
      </c>
      <c r="U426" s="625" t="str">
        <f>Exposition!J427</f>
        <v/>
      </c>
      <c r="V426" s="625" t="str">
        <f>Exposition!K427</f>
        <v/>
      </c>
      <c r="W426" s="625" t="str">
        <f>Exposition!L427</f>
        <v/>
      </c>
      <c r="X426" s="625" t="str">
        <f>Exposition!M427</f>
        <v/>
      </c>
      <c r="Y426" s="625" t="str">
        <f>Exposition!N427</f>
        <v/>
      </c>
      <c r="Z426" s="625" t="str">
        <f>Exposition!O427</f>
        <v/>
      </c>
      <c r="AA426" s="625" t="str">
        <f>Exposition!P427</f>
        <v/>
      </c>
      <c r="AB426" s="625" t="str">
        <f>Exposition!Q427</f>
        <v/>
      </c>
      <c r="AC426" s="625" t="str">
        <f>Exposition!R427</f>
        <v/>
      </c>
      <c r="AD426" s="625" t="str">
        <f>Exposition!S427</f>
        <v/>
      </c>
      <c r="AE426" s="625" t="str">
        <f>Exposition!T427</f>
        <v/>
      </c>
      <c r="AF426" s="625" t="str">
        <f>Exposition!U427</f>
        <v/>
      </c>
      <c r="AG426" s="623"/>
      <c r="AH426" s="621" t="str">
        <f>PRIX!A427</f>
        <v/>
      </c>
      <c r="AI426" s="626" t="str">
        <f>PRIX!B427</f>
        <v/>
      </c>
      <c r="AJ426" s="626" t="str">
        <f>PRIX!C427</f>
        <v/>
      </c>
      <c r="AK426" s="627" t="str">
        <f>PRIX!D427</f>
        <v/>
      </c>
      <c r="AL426" s="626" t="str">
        <f>PRIX!E427</f>
        <v/>
      </c>
      <c r="AM426" s="626" t="str">
        <f>PRIX!F427</f>
        <v/>
      </c>
      <c r="AN426" s="627" t="str">
        <f>PRIX!G427</f>
        <v/>
      </c>
      <c r="AO426" s="627" t="str">
        <f>PRIX!H427</f>
        <v/>
      </c>
      <c r="AP426" s="631" t="str">
        <f>PRIX!I427</f>
        <v/>
      </c>
      <c r="AQ426" s="628" t="str">
        <f>PRIX!J427</f>
        <v/>
      </c>
      <c r="AR426" s="631" t="str">
        <f>PRIX!K427</f>
        <v/>
      </c>
      <c r="AS426" s="631" t="str">
        <f>PRIX!L427</f>
        <v/>
      </c>
      <c r="AT426" s="631" t="str">
        <f>PRIX!M427</f>
        <v/>
      </c>
      <c r="AU426" s="629" t="str">
        <f>PRIX!N427</f>
        <v/>
      </c>
      <c r="AV426" s="631" t="str">
        <f>PRIX!O427</f>
        <v/>
      </c>
      <c r="AW426" s="631" t="str">
        <f>PRIX!P427</f>
        <v/>
      </c>
      <c r="AX426" s="630" t="str">
        <f>PRIX!Q427</f>
        <v/>
      </c>
      <c r="AY426" s="631" t="str">
        <f>PRIX!R427</f>
        <v/>
      </c>
      <c r="AZ426" s="631" t="str">
        <f>PRIX!S427</f>
        <v/>
      </c>
      <c r="BA426" s="623"/>
    </row>
    <row r="427">
      <c r="A427" s="621" t="str">
        <f>ARBITRAGES!E428</f>
        <v/>
      </c>
      <c r="B427" s="623" t="str">
        <f>IF(A427="","",IF(ARBITRAGES!F428="Invest","Achat","Vente"))</f>
        <v/>
      </c>
      <c r="C427" s="623" t="str">
        <f>ARBITRAGES!H428</f>
        <v/>
      </c>
      <c r="D427" s="624" t="str">
        <f>ARBITRAGES!I428</f>
        <v/>
      </c>
      <c r="E427" s="624" t="str">
        <f>ARBITRAGES!J428</f>
        <v/>
      </c>
      <c r="F427" s="623"/>
      <c r="G427" s="623" t="str">
        <f>'PV (%)'!B429</f>
        <v/>
      </c>
      <c r="H427" s="624" t="str">
        <f>'PV (%)'!E429</f>
        <v/>
      </c>
      <c r="I427" s="624" t="str">
        <f>'PV (%)'!F429</f>
        <v/>
      </c>
      <c r="J427" s="624" t="str">
        <f>'PV (%)'!G429</f>
        <v/>
      </c>
      <c r="K427" s="623"/>
      <c r="L427" s="621" t="str">
        <f>Exposition!A428</f>
        <v/>
      </c>
      <c r="M427" s="625" t="str">
        <f>Exposition!B428</f>
        <v/>
      </c>
      <c r="N427" s="625" t="str">
        <f>Exposition!C428</f>
        <v/>
      </c>
      <c r="O427" s="625" t="str">
        <f>Exposition!D428</f>
        <v/>
      </c>
      <c r="P427" s="625" t="str">
        <f>Exposition!E428</f>
        <v/>
      </c>
      <c r="Q427" s="625" t="str">
        <f>Exposition!F428</f>
        <v/>
      </c>
      <c r="R427" s="625" t="str">
        <f>Exposition!G428</f>
        <v/>
      </c>
      <c r="S427" s="625" t="str">
        <f>Exposition!H428</f>
        <v/>
      </c>
      <c r="T427" s="625" t="str">
        <f>Exposition!I428</f>
        <v/>
      </c>
      <c r="U427" s="625" t="str">
        <f>Exposition!J428</f>
        <v/>
      </c>
      <c r="V427" s="625" t="str">
        <f>Exposition!K428</f>
        <v/>
      </c>
      <c r="W427" s="625" t="str">
        <f>Exposition!L428</f>
        <v/>
      </c>
      <c r="X427" s="625" t="str">
        <f>Exposition!M428</f>
        <v/>
      </c>
      <c r="Y427" s="625" t="str">
        <f>Exposition!N428</f>
        <v/>
      </c>
      <c r="Z427" s="625" t="str">
        <f>Exposition!O428</f>
        <v/>
      </c>
      <c r="AA427" s="625" t="str">
        <f>Exposition!P428</f>
        <v/>
      </c>
      <c r="AB427" s="625" t="str">
        <f>Exposition!Q428</f>
        <v/>
      </c>
      <c r="AC427" s="625" t="str">
        <f>Exposition!R428</f>
        <v/>
      </c>
      <c r="AD427" s="625" t="str">
        <f>Exposition!S428</f>
        <v/>
      </c>
      <c r="AE427" s="625" t="str">
        <f>Exposition!T428</f>
        <v/>
      </c>
      <c r="AF427" s="625" t="str">
        <f>Exposition!U428</f>
        <v/>
      </c>
      <c r="AG427" s="623"/>
      <c r="AH427" s="621" t="str">
        <f>PRIX!A428</f>
        <v/>
      </c>
      <c r="AI427" s="626" t="str">
        <f>PRIX!B428</f>
        <v/>
      </c>
      <c r="AJ427" s="626" t="str">
        <f>PRIX!C428</f>
        <v/>
      </c>
      <c r="AK427" s="627" t="str">
        <f>PRIX!D428</f>
        <v/>
      </c>
      <c r="AL427" s="626" t="str">
        <f>PRIX!E428</f>
        <v/>
      </c>
      <c r="AM427" s="626" t="str">
        <f>PRIX!F428</f>
        <v/>
      </c>
      <c r="AN427" s="627" t="str">
        <f>PRIX!G428</f>
        <v/>
      </c>
      <c r="AO427" s="627" t="str">
        <f>PRIX!H428</f>
        <v/>
      </c>
      <c r="AP427" s="631" t="str">
        <f>PRIX!I428</f>
        <v/>
      </c>
      <c r="AQ427" s="628" t="str">
        <f>PRIX!J428</f>
        <v/>
      </c>
      <c r="AR427" s="631" t="str">
        <f>PRIX!K428</f>
        <v/>
      </c>
      <c r="AS427" s="631" t="str">
        <f>PRIX!L428</f>
        <v/>
      </c>
      <c r="AT427" s="631" t="str">
        <f>PRIX!M428</f>
        <v/>
      </c>
      <c r="AU427" s="629" t="str">
        <f>PRIX!N428</f>
        <v/>
      </c>
      <c r="AV427" s="631" t="str">
        <f>PRIX!O428</f>
        <v/>
      </c>
      <c r="AW427" s="631" t="str">
        <f>PRIX!P428</f>
        <v/>
      </c>
      <c r="AX427" s="630" t="str">
        <f>PRIX!Q428</f>
        <v/>
      </c>
      <c r="AY427" s="631" t="str">
        <f>PRIX!R428</f>
        <v/>
      </c>
      <c r="AZ427" s="631" t="str">
        <f>PRIX!S428</f>
        <v/>
      </c>
      <c r="BA427" s="623"/>
    </row>
    <row r="428">
      <c r="A428" s="621" t="str">
        <f>ARBITRAGES!E429</f>
        <v/>
      </c>
      <c r="B428" s="623" t="str">
        <f>IF(A428="","",IF(ARBITRAGES!F429="Invest","Achat","Vente"))</f>
        <v/>
      </c>
      <c r="C428" s="623" t="str">
        <f>ARBITRAGES!H429</f>
        <v/>
      </c>
      <c r="D428" s="624" t="str">
        <f>ARBITRAGES!I429</f>
        <v/>
      </c>
      <c r="E428" s="624" t="str">
        <f>ARBITRAGES!J429</f>
        <v/>
      </c>
      <c r="F428" s="623"/>
      <c r="G428" s="623" t="str">
        <f>'PV (%)'!B430</f>
        <v/>
      </c>
      <c r="H428" s="624" t="str">
        <f>'PV (%)'!E430</f>
        <v/>
      </c>
      <c r="I428" s="624" t="str">
        <f>'PV (%)'!F430</f>
        <v/>
      </c>
      <c r="J428" s="624" t="str">
        <f>'PV (%)'!G430</f>
        <v/>
      </c>
      <c r="K428" s="623"/>
      <c r="L428" s="621" t="str">
        <f>Exposition!A429</f>
        <v/>
      </c>
      <c r="M428" s="625" t="str">
        <f>Exposition!B429</f>
        <v/>
      </c>
      <c r="N428" s="625" t="str">
        <f>Exposition!C429</f>
        <v/>
      </c>
      <c r="O428" s="625" t="str">
        <f>Exposition!D429</f>
        <v/>
      </c>
      <c r="P428" s="625" t="str">
        <f>Exposition!E429</f>
        <v/>
      </c>
      <c r="Q428" s="625" t="str">
        <f>Exposition!F429</f>
        <v/>
      </c>
      <c r="R428" s="625" t="str">
        <f>Exposition!G429</f>
        <v/>
      </c>
      <c r="S428" s="625" t="str">
        <f>Exposition!H429</f>
        <v/>
      </c>
      <c r="T428" s="625" t="str">
        <f>Exposition!I429</f>
        <v/>
      </c>
      <c r="U428" s="625" t="str">
        <f>Exposition!J429</f>
        <v/>
      </c>
      <c r="V428" s="625" t="str">
        <f>Exposition!K429</f>
        <v/>
      </c>
      <c r="W428" s="625" t="str">
        <f>Exposition!L429</f>
        <v/>
      </c>
      <c r="X428" s="625" t="str">
        <f>Exposition!M429</f>
        <v/>
      </c>
      <c r="Y428" s="625" t="str">
        <f>Exposition!N429</f>
        <v/>
      </c>
      <c r="Z428" s="625" t="str">
        <f>Exposition!O429</f>
        <v/>
      </c>
      <c r="AA428" s="625" t="str">
        <f>Exposition!P429</f>
        <v/>
      </c>
      <c r="AB428" s="625" t="str">
        <f>Exposition!Q429</f>
        <v/>
      </c>
      <c r="AC428" s="625" t="str">
        <f>Exposition!R429</f>
        <v/>
      </c>
      <c r="AD428" s="625" t="str">
        <f>Exposition!S429</f>
        <v/>
      </c>
      <c r="AE428" s="625" t="str">
        <f>Exposition!T429</f>
        <v/>
      </c>
      <c r="AF428" s="625" t="str">
        <f>Exposition!U429</f>
        <v/>
      </c>
      <c r="AG428" s="623"/>
      <c r="AH428" s="621" t="str">
        <f>PRIX!A429</f>
        <v/>
      </c>
      <c r="AI428" s="626" t="str">
        <f>PRIX!B429</f>
        <v/>
      </c>
      <c r="AJ428" s="626" t="str">
        <f>PRIX!C429</f>
        <v/>
      </c>
      <c r="AK428" s="627" t="str">
        <f>PRIX!D429</f>
        <v/>
      </c>
      <c r="AL428" s="626" t="str">
        <f>PRIX!E429</f>
        <v/>
      </c>
      <c r="AM428" s="626" t="str">
        <f>PRIX!F429</f>
        <v/>
      </c>
      <c r="AN428" s="627" t="str">
        <f>PRIX!G429</f>
        <v/>
      </c>
      <c r="AO428" s="627" t="str">
        <f>PRIX!H429</f>
        <v/>
      </c>
      <c r="AP428" s="631" t="str">
        <f>PRIX!I429</f>
        <v/>
      </c>
      <c r="AQ428" s="628" t="str">
        <f>PRIX!J429</f>
        <v/>
      </c>
      <c r="AR428" s="631" t="str">
        <f>PRIX!K429</f>
        <v/>
      </c>
      <c r="AS428" s="631" t="str">
        <f>PRIX!L429</f>
        <v/>
      </c>
      <c r="AT428" s="631" t="str">
        <f>PRIX!M429</f>
        <v/>
      </c>
      <c r="AU428" s="629" t="str">
        <f>PRIX!N429</f>
        <v/>
      </c>
      <c r="AV428" s="631" t="str">
        <f>PRIX!O429</f>
        <v/>
      </c>
      <c r="AW428" s="631" t="str">
        <f>PRIX!P429</f>
        <v/>
      </c>
      <c r="AX428" s="630" t="str">
        <f>PRIX!Q429</f>
        <v/>
      </c>
      <c r="AY428" s="631" t="str">
        <f>PRIX!R429</f>
        <v/>
      </c>
      <c r="AZ428" s="631" t="str">
        <f>PRIX!S429</f>
        <v/>
      </c>
      <c r="BA428" s="623"/>
    </row>
    <row r="429">
      <c r="A429" s="621" t="str">
        <f>ARBITRAGES!E430</f>
        <v/>
      </c>
      <c r="B429" s="623" t="str">
        <f>IF(A429="","",IF(ARBITRAGES!F430="Invest","Achat","Vente"))</f>
        <v/>
      </c>
      <c r="C429" s="623" t="str">
        <f>ARBITRAGES!H430</f>
        <v/>
      </c>
      <c r="D429" s="624" t="str">
        <f>ARBITRAGES!I430</f>
        <v/>
      </c>
      <c r="E429" s="624" t="str">
        <f>ARBITRAGES!J430</f>
        <v/>
      </c>
      <c r="F429" s="623"/>
      <c r="G429" s="623" t="str">
        <f>'PV (%)'!B431</f>
        <v/>
      </c>
      <c r="H429" s="624" t="str">
        <f>'PV (%)'!E431</f>
        <v/>
      </c>
      <c r="I429" s="624" t="str">
        <f>'PV (%)'!F431</f>
        <v/>
      </c>
      <c r="J429" s="624" t="str">
        <f>'PV (%)'!G431</f>
        <v/>
      </c>
      <c r="K429" s="623"/>
      <c r="L429" s="621" t="str">
        <f>Exposition!A430</f>
        <v/>
      </c>
      <c r="M429" s="625" t="str">
        <f>Exposition!B430</f>
        <v/>
      </c>
      <c r="N429" s="625" t="str">
        <f>Exposition!C430</f>
        <v/>
      </c>
      <c r="O429" s="625" t="str">
        <f>Exposition!D430</f>
        <v/>
      </c>
      <c r="P429" s="625" t="str">
        <f>Exposition!E430</f>
        <v/>
      </c>
      <c r="Q429" s="625" t="str">
        <f>Exposition!F430</f>
        <v/>
      </c>
      <c r="R429" s="625" t="str">
        <f>Exposition!G430</f>
        <v/>
      </c>
      <c r="S429" s="625" t="str">
        <f>Exposition!H430</f>
        <v/>
      </c>
      <c r="T429" s="625" t="str">
        <f>Exposition!I430</f>
        <v/>
      </c>
      <c r="U429" s="625" t="str">
        <f>Exposition!J430</f>
        <v/>
      </c>
      <c r="V429" s="625" t="str">
        <f>Exposition!K430</f>
        <v/>
      </c>
      <c r="W429" s="625" t="str">
        <f>Exposition!L430</f>
        <v/>
      </c>
      <c r="X429" s="625" t="str">
        <f>Exposition!M430</f>
        <v/>
      </c>
      <c r="Y429" s="625" t="str">
        <f>Exposition!N430</f>
        <v/>
      </c>
      <c r="Z429" s="625" t="str">
        <f>Exposition!O430</f>
        <v/>
      </c>
      <c r="AA429" s="625" t="str">
        <f>Exposition!P430</f>
        <v/>
      </c>
      <c r="AB429" s="625" t="str">
        <f>Exposition!Q430</f>
        <v/>
      </c>
      <c r="AC429" s="625" t="str">
        <f>Exposition!R430</f>
        <v/>
      </c>
      <c r="AD429" s="625" t="str">
        <f>Exposition!S430</f>
        <v/>
      </c>
      <c r="AE429" s="625" t="str">
        <f>Exposition!T430</f>
        <v/>
      </c>
      <c r="AF429" s="625" t="str">
        <f>Exposition!U430</f>
        <v/>
      </c>
      <c r="AG429" s="623"/>
      <c r="AH429" s="621" t="str">
        <f>PRIX!A430</f>
        <v/>
      </c>
      <c r="AI429" s="626" t="str">
        <f>PRIX!B430</f>
        <v/>
      </c>
      <c r="AJ429" s="626" t="str">
        <f>PRIX!C430</f>
        <v/>
      </c>
      <c r="AK429" s="627" t="str">
        <f>PRIX!D430</f>
        <v/>
      </c>
      <c r="AL429" s="626" t="str">
        <f>PRIX!E430</f>
        <v/>
      </c>
      <c r="AM429" s="626" t="str">
        <f>PRIX!F430</f>
        <v/>
      </c>
      <c r="AN429" s="627" t="str">
        <f>PRIX!G430</f>
        <v/>
      </c>
      <c r="AO429" s="627" t="str">
        <f>PRIX!H430</f>
        <v/>
      </c>
      <c r="AP429" s="631" t="str">
        <f>PRIX!I430</f>
        <v/>
      </c>
      <c r="AQ429" s="628" t="str">
        <f>PRIX!J430</f>
        <v/>
      </c>
      <c r="AR429" s="631" t="str">
        <f>PRIX!K430</f>
        <v/>
      </c>
      <c r="AS429" s="631" t="str">
        <f>PRIX!L430</f>
        <v/>
      </c>
      <c r="AT429" s="631" t="str">
        <f>PRIX!M430</f>
        <v/>
      </c>
      <c r="AU429" s="629" t="str">
        <f>PRIX!N430</f>
        <v/>
      </c>
      <c r="AV429" s="631" t="str">
        <f>PRIX!O430</f>
        <v/>
      </c>
      <c r="AW429" s="631" t="str">
        <f>PRIX!P430</f>
        <v/>
      </c>
      <c r="AX429" s="630" t="str">
        <f>PRIX!Q430</f>
        <v/>
      </c>
      <c r="AY429" s="631" t="str">
        <f>PRIX!R430</f>
        <v/>
      </c>
      <c r="AZ429" s="631" t="str">
        <f>PRIX!S430</f>
        <v/>
      </c>
      <c r="BA429" s="623"/>
    </row>
    <row r="430">
      <c r="A430" s="621" t="str">
        <f>ARBITRAGES!E431</f>
        <v/>
      </c>
      <c r="B430" s="623" t="str">
        <f>IF(A430="","",IF(ARBITRAGES!F431="Invest","Achat","Vente"))</f>
        <v/>
      </c>
      <c r="C430" s="623" t="str">
        <f>ARBITRAGES!H431</f>
        <v/>
      </c>
      <c r="D430" s="624" t="str">
        <f>ARBITRAGES!I431</f>
        <v/>
      </c>
      <c r="E430" s="624" t="str">
        <f>ARBITRAGES!J431</f>
        <v/>
      </c>
      <c r="F430" s="623"/>
      <c r="G430" s="623" t="str">
        <f>'PV (%)'!B432</f>
        <v/>
      </c>
      <c r="H430" s="624" t="str">
        <f>'PV (%)'!E432</f>
        <v/>
      </c>
      <c r="I430" s="624" t="str">
        <f>'PV (%)'!F432</f>
        <v/>
      </c>
      <c r="J430" s="624" t="str">
        <f>'PV (%)'!G432</f>
        <v/>
      </c>
      <c r="K430" s="623"/>
      <c r="L430" s="621" t="str">
        <f>Exposition!A431</f>
        <v/>
      </c>
      <c r="M430" s="625" t="str">
        <f>Exposition!B431</f>
        <v/>
      </c>
      <c r="N430" s="625" t="str">
        <f>Exposition!C431</f>
        <v/>
      </c>
      <c r="O430" s="625" t="str">
        <f>Exposition!D431</f>
        <v/>
      </c>
      <c r="P430" s="625" t="str">
        <f>Exposition!E431</f>
        <v/>
      </c>
      <c r="Q430" s="625" t="str">
        <f>Exposition!F431</f>
        <v/>
      </c>
      <c r="R430" s="625" t="str">
        <f>Exposition!G431</f>
        <v/>
      </c>
      <c r="S430" s="625" t="str">
        <f>Exposition!H431</f>
        <v/>
      </c>
      <c r="T430" s="625" t="str">
        <f>Exposition!I431</f>
        <v/>
      </c>
      <c r="U430" s="625" t="str">
        <f>Exposition!J431</f>
        <v/>
      </c>
      <c r="V430" s="625" t="str">
        <f>Exposition!K431</f>
        <v/>
      </c>
      <c r="W430" s="625" t="str">
        <f>Exposition!L431</f>
        <v/>
      </c>
      <c r="X430" s="625" t="str">
        <f>Exposition!M431</f>
        <v/>
      </c>
      <c r="Y430" s="625" t="str">
        <f>Exposition!N431</f>
        <v/>
      </c>
      <c r="Z430" s="625" t="str">
        <f>Exposition!O431</f>
        <v/>
      </c>
      <c r="AA430" s="625" t="str">
        <f>Exposition!P431</f>
        <v/>
      </c>
      <c r="AB430" s="625" t="str">
        <f>Exposition!Q431</f>
        <v/>
      </c>
      <c r="AC430" s="625" t="str">
        <f>Exposition!R431</f>
        <v/>
      </c>
      <c r="AD430" s="625" t="str">
        <f>Exposition!S431</f>
        <v/>
      </c>
      <c r="AE430" s="625" t="str">
        <f>Exposition!T431</f>
        <v/>
      </c>
      <c r="AF430" s="625" t="str">
        <f>Exposition!U431</f>
        <v/>
      </c>
      <c r="AG430" s="623"/>
      <c r="AH430" s="621" t="str">
        <f>PRIX!A431</f>
        <v/>
      </c>
      <c r="AI430" s="626" t="str">
        <f>PRIX!B431</f>
        <v/>
      </c>
      <c r="AJ430" s="626" t="str">
        <f>PRIX!C431</f>
        <v/>
      </c>
      <c r="AK430" s="627" t="str">
        <f>PRIX!D431</f>
        <v/>
      </c>
      <c r="AL430" s="626" t="str">
        <f>PRIX!E431</f>
        <v/>
      </c>
      <c r="AM430" s="626" t="str">
        <f>PRIX!F431</f>
        <v/>
      </c>
      <c r="AN430" s="627" t="str">
        <f>PRIX!G431</f>
        <v/>
      </c>
      <c r="AO430" s="627" t="str">
        <f>PRIX!H431</f>
        <v/>
      </c>
      <c r="AP430" s="631" t="str">
        <f>PRIX!I431</f>
        <v/>
      </c>
      <c r="AQ430" s="628" t="str">
        <f>PRIX!J431</f>
        <v/>
      </c>
      <c r="AR430" s="631" t="str">
        <f>PRIX!K431</f>
        <v/>
      </c>
      <c r="AS430" s="631" t="str">
        <f>PRIX!L431</f>
        <v/>
      </c>
      <c r="AT430" s="631" t="str">
        <f>PRIX!M431</f>
        <v/>
      </c>
      <c r="AU430" s="629" t="str">
        <f>PRIX!N431</f>
        <v/>
      </c>
      <c r="AV430" s="631" t="str">
        <f>PRIX!O431</f>
        <v/>
      </c>
      <c r="AW430" s="631" t="str">
        <f>PRIX!P431</f>
        <v/>
      </c>
      <c r="AX430" s="630" t="str">
        <f>PRIX!Q431</f>
        <v/>
      </c>
      <c r="AY430" s="631" t="str">
        <f>PRIX!R431</f>
        <v/>
      </c>
      <c r="AZ430" s="631" t="str">
        <f>PRIX!S431</f>
        <v/>
      </c>
      <c r="BA430" s="623"/>
    </row>
    <row r="431">
      <c r="A431" s="621" t="str">
        <f>ARBITRAGES!E432</f>
        <v/>
      </c>
      <c r="B431" s="623" t="str">
        <f>IF(A431="","",IF(ARBITRAGES!F432="Invest","Achat","Vente"))</f>
        <v/>
      </c>
      <c r="C431" s="623" t="str">
        <f>ARBITRAGES!H432</f>
        <v/>
      </c>
      <c r="D431" s="624" t="str">
        <f>ARBITRAGES!I432</f>
        <v/>
      </c>
      <c r="E431" s="624" t="str">
        <f>ARBITRAGES!J432</f>
        <v/>
      </c>
      <c r="F431" s="623"/>
      <c r="G431" s="623" t="str">
        <f>'PV (%)'!B433</f>
        <v/>
      </c>
      <c r="H431" s="624" t="str">
        <f>'PV (%)'!E433</f>
        <v/>
      </c>
      <c r="I431" s="624" t="str">
        <f>'PV (%)'!F433</f>
        <v/>
      </c>
      <c r="J431" s="624" t="str">
        <f>'PV (%)'!G433</f>
        <v/>
      </c>
      <c r="K431" s="623"/>
      <c r="L431" s="621" t="str">
        <f>Exposition!A432</f>
        <v/>
      </c>
      <c r="M431" s="625" t="str">
        <f>Exposition!B432</f>
        <v/>
      </c>
      <c r="N431" s="625" t="str">
        <f>Exposition!C432</f>
        <v/>
      </c>
      <c r="O431" s="625" t="str">
        <f>Exposition!D432</f>
        <v/>
      </c>
      <c r="P431" s="625" t="str">
        <f>Exposition!E432</f>
        <v/>
      </c>
      <c r="Q431" s="625" t="str">
        <f>Exposition!F432</f>
        <v/>
      </c>
      <c r="R431" s="625" t="str">
        <f>Exposition!G432</f>
        <v/>
      </c>
      <c r="S431" s="625" t="str">
        <f>Exposition!H432</f>
        <v/>
      </c>
      <c r="T431" s="625" t="str">
        <f>Exposition!I432</f>
        <v/>
      </c>
      <c r="U431" s="625" t="str">
        <f>Exposition!J432</f>
        <v/>
      </c>
      <c r="V431" s="625" t="str">
        <f>Exposition!K432</f>
        <v/>
      </c>
      <c r="W431" s="625" t="str">
        <f>Exposition!L432</f>
        <v/>
      </c>
      <c r="X431" s="625" t="str">
        <f>Exposition!M432</f>
        <v/>
      </c>
      <c r="Y431" s="625" t="str">
        <f>Exposition!N432</f>
        <v/>
      </c>
      <c r="Z431" s="625" t="str">
        <f>Exposition!O432</f>
        <v/>
      </c>
      <c r="AA431" s="625" t="str">
        <f>Exposition!P432</f>
        <v/>
      </c>
      <c r="AB431" s="625" t="str">
        <f>Exposition!Q432</f>
        <v/>
      </c>
      <c r="AC431" s="625" t="str">
        <f>Exposition!R432</f>
        <v/>
      </c>
      <c r="AD431" s="625" t="str">
        <f>Exposition!S432</f>
        <v/>
      </c>
      <c r="AE431" s="625" t="str">
        <f>Exposition!T432</f>
        <v/>
      </c>
      <c r="AF431" s="625" t="str">
        <f>Exposition!U432</f>
        <v/>
      </c>
      <c r="AG431" s="623"/>
      <c r="AH431" s="621" t="str">
        <f>PRIX!A432</f>
        <v/>
      </c>
      <c r="AI431" s="626" t="str">
        <f>PRIX!B432</f>
        <v/>
      </c>
      <c r="AJ431" s="626" t="str">
        <f>PRIX!C432</f>
        <v/>
      </c>
      <c r="AK431" s="627" t="str">
        <f>PRIX!D432</f>
        <v/>
      </c>
      <c r="AL431" s="626" t="str">
        <f>PRIX!E432</f>
        <v/>
      </c>
      <c r="AM431" s="626" t="str">
        <f>PRIX!F432</f>
        <v/>
      </c>
      <c r="AN431" s="627" t="str">
        <f>PRIX!G432</f>
        <v/>
      </c>
      <c r="AO431" s="627" t="str">
        <f>PRIX!H432</f>
        <v/>
      </c>
      <c r="AP431" s="631" t="str">
        <f>PRIX!I432</f>
        <v/>
      </c>
      <c r="AQ431" s="628" t="str">
        <f>PRIX!J432</f>
        <v/>
      </c>
      <c r="AR431" s="631" t="str">
        <f>PRIX!K432</f>
        <v/>
      </c>
      <c r="AS431" s="631" t="str">
        <f>PRIX!L432</f>
        <v/>
      </c>
      <c r="AT431" s="631" t="str">
        <f>PRIX!M432</f>
        <v/>
      </c>
      <c r="AU431" s="629" t="str">
        <f>PRIX!N432</f>
        <v/>
      </c>
      <c r="AV431" s="631" t="str">
        <f>PRIX!O432</f>
        <v/>
      </c>
      <c r="AW431" s="631" t="str">
        <f>PRIX!P432</f>
        <v/>
      </c>
      <c r="AX431" s="630" t="str">
        <f>PRIX!Q432</f>
        <v/>
      </c>
      <c r="AY431" s="631" t="str">
        <f>PRIX!R432</f>
        <v/>
      </c>
      <c r="AZ431" s="631" t="str">
        <f>PRIX!S432</f>
        <v/>
      </c>
      <c r="BA431" s="623"/>
    </row>
    <row r="432">
      <c r="A432" s="621" t="str">
        <f>ARBITRAGES!E433</f>
        <v/>
      </c>
      <c r="B432" s="623" t="str">
        <f>IF(A432="","",IF(ARBITRAGES!F433="Invest","Achat","Vente"))</f>
        <v/>
      </c>
      <c r="C432" s="623" t="str">
        <f>ARBITRAGES!H433</f>
        <v/>
      </c>
      <c r="D432" s="624" t="str">
        <f>ARBITRAGES!I433</f>
        <v/>
      </c>
      <c r="E432" s="624" t="str">
        <f>ARBITRAGES!J433</f>
        <v/>
      </c>
      <c r="F432" s="623"/>
      <c r="G432" s="623" t="str">
        <f>'PV (%)'!B434</f>
        <v/>
      </c>
      <c r="H432" s="624" t="str">
        <f>'PV (%)'!E434</f>
        <v/>
      </c>
      <c r="I432" s="624" t="str">
        <f>'PV (%)'!F434</f>
        <v/>
      </c>
      <c r="J432" s="624" t="str">
        <f>'PV (%)'!G434</f>
        <v/>
      </c>
      <c r="K432" s="623"/>
      <c r="L432" s="621" t="str">
        <f>Exposition!A433</f>
        <v/>
      </c>
      <c r="M432" s="625" t="str">
        <f>Exposition!B433</f>
        <v/>
      </c>
      <c r="N432" s="625" t="str">
        <f>Exposition!C433</f>
        <v/>
      </c>
      <c r="O432" s="625" t="str">
        <f>Exposition!D433</f>
        <v/>
      </c>
      <c r="P432" s="625" t="str">
        <f>Exposition!E433</f>
        <v/>
      </c>
      <c r="Q432" s="625" t="str">
        <f>Exposition!F433</f>
        <v/>
      </c>
      <c r="R432" s="625" t="str">
        <f>Exposition!G433</f>
        <v/>
      </c>
      <c r="S432" s="625" t="str">
        <f>Exposition!H433</f>
        <v/>
      </c>
      <c r="T432" s="625" t="str">
        <f>Exposition!I433</f>
        <v/>
      </c>
      <c r="U432" s="625" t="str">
        <f>Exposition!J433</f>
        <v/>
      </c>
      <c r="V432" s="625" t="str">
        <f>Exposition!K433</f>
        <v/>
      </c>
      <c r="W432" s="625" t="str">
        <f>Exposition!L433</f>
        <v/>
      </c>
      <c r="X432" s="625" t="str">
        <f>Exposition!M433</f>
        <v/>
      </c>
      <c r="Y432" s="625" t="str">
        <f>Exposition!N433</f>
        <v/>
      </c>
      <c r="Z432" s="625" t="str">
        <f>Exposition!O433</f>
        <v/>
      </c>
      <c r="AA432" s="625" t="str">
        <f>Exposition!P433</f>
        <v/>
      </c>
      <c r="AB432" s="625" t="str">
        <f>Exposition!Q433</f>
        <v/>
      </c>
      <c r="AC432" s="625" t="str">
        <f>Exposition!R433</f>
        <v/>
      </c>
      <c r="AD432" s="625" t="str">
        <f>Exposition!S433</f>
        <v/>
      </c>
      <c r="AE432" s="625" t="str">
        <f>Exposition!T433</f>
        <v/>
      </c>
      <c r="AF432" s="625" t="str">
        <f>Exposition!U433</f>
        <v/>
      </c>
      <c r="AG432" s="623"/>
      <c r="AH432" s="621" t="str">
        <f>PRIX!A433</f>
        <v/>
      </c>
      <c r="AI432" s="626" t="str">
        <f>PRIX!B433</f>
        <v/>
      </c>
      <c r="AJ432" s="626" t="str">
        <f>PRIX!C433</f>
        <v/>
      </c>
      <c r="AK432" s="627" t="str">
        <f>PRIX!D433</f>
        <v/>
      </c>
      <c r="AL432" s="626" t="str">
        <f>PRIX!E433</f>
        <v/>
      </c>
      <c r="AM432" s="626" t="str">
        <f>PRIX!F433</f>
        <v/>
      </c>
      <c r="AN432" s="627" t="str">
        <f>PRIX!G433</f>
        <v/>
      </c>
      <c r="AO432" s="627" t="str">
        <f>PRIX!H433</f>
        <v/>
      </c>
      <c r="AP432" s="631" t="str">
        <f>PRIX!I433</f>
        <v/>
      </c>
      <c r="AQ432" s="628" t="str">
        <f>PRIX!J433</f>
        <v/>
      </c>
      <c r="AR432" s="631" t="str">
        <f>PRIX!K433</f>
        <v/>
      </c>
      <c r="AS432" s="631" t="str">
        <f>PRIX!L433</f>
        <v/>
      </c>
      <c r="AT432" s="631" t="str">
        <f>PRIX!M433</f>
        <v/>
      </c>
      <c r="AU432" s="629" t="str">
        <f>PRIX!N433</f>
        <v/>
      </c>
      <c r="AV432" s="631" t="str">
        <f>PRIX!O433</f>
        <v/>
      </c>
      <c r="AW432" s="631" t="str">
        <f>PRIX!P433</f>
        <v/>
      </c>
      <c r="AX432" s="630" t="str">
        <f>PRIX!Q433</f>
        <v/>
      </c>
      <c r="AY432" s="631" t="str">
        <f>PRIX!R433</f>
        <v/>
      </c>
      <c r="AZ432" s="631" t="str">
        <f>PRIX!S433</f>
        <v/>
      </c>
      <c r="BA432" s="623"/>
    </row>
    <row r="433">
      <c r="A433" s="621" t="str">
        <f>ARBITRAGES!E434</f>
        <v/>
      </c>
      <c r="B433" s="623" t="str">
        <f>IF(A433="","",IF(ARBITRAGES!F434="Invest","Achat","Vente"))</f>
        <v/>
      </c>
      <c r="C433" s="623" t="str">
        <f>ARBITRAGES!H434</f>
        <v/>
      </c>
      <c r="D433" s="624" t="str">
        <f>ARBITRAGES!I434</f>
        <v/>
      </c>
      <c r="E433" s="624" t="str">
        <f>ARBITRAGES!J434</f>
        <v/>
      </c>
      <c r="F433" s="623"/>
      <c r="G433" s="623" t="str">
        <f>'PV (%)'!B435</f>
        <v/>
      </c>
      <c r="H433" s="624" t="str">
        <f>'PV (%)'!E435</f>
        <v/>
      </c>
      <c r="I433" s="624" t="str">
        <f>'PV (%)'!F435</f>
        <v/>
      </c>
      <c r="J433" s="624" t="str">
        <f>'PV (%)'!G435</f>
        <v/>
      </c>
      <c r="K433" s="623"/>
      <c r="L433" s="621" t="str">
        <f>Exposition!A434</f>
        <v/>
      </c>
      <c r="M433" s="625" t="str">
        <f>Exposition!B434</f>
        <v/>
      </c>
      <c r="N433" s="625" t="str">
        <f>Exposition!C434</f>
        <v/>
      </c>
      <c r="O433" s="625" t="str">
        <f>Exposition!D434</f>
        <v/>
      </c>
      <c r="P433" s="625" t="str">
        <f>Exposition!E434</f>
        <v/>
      </c>
      <c r="Q433" s="625" t="str">
        <f>Exposition!F434</f>
        <v/>
      </c>
      <c r="R433" s="625" t="str">
        <f>Exposition!G434</f>
        <v/>
      </c>
      <c r="S433" s="625" t="str">
        <f>Exposition!H434</f>
        <v/>
      </c>
      <c r="T433" s="625" t="str">
        <f>Exposition!I434</f>
        <v/>
      </c>
      <c r="U433" s="625" t="str">
        <f>Exposition!J434</f>
        <v/>
      </c>
      <c r="V433" s="625" t="str">
        <f>Exposition!K434</f>
        <v/>
      </c>
      <c r="W433" s="625" t="str">
        <f>Exposition!L434</f>
        <v/>
      </c>
      <c r="X433" s="625" t="str">
        <f>Exposition!M434</f>
        <v/>
      </c>
      <c r="Y433" s="625" t="str">
        <f>Exposition!N434</f>
        <v/>
      </c>
      <c r="Z433" s="625" t="str">
        <f>Exposition!O434</f>
        <v/>
      </c>
      <c r="AA433" s="625" t="str">
        <f>Exposition!P434</f>
        <v/>
      </c>
      <c r="AB433" s="625" t="str">
        <f>Exposition!Q434</f>
        <v/>
      </c>
      <c r="AC433" s="625" t="str">
        <f>Exposition!R434</f>
        <v/>
      </c>
      <c r="AD433" s="625" t="str">
        <f>Exposition!S434</f>
        <v/>
      </c>
      <c r="AE433" s="625" t="str">
        <f>Exposition!T434</f>
        <v/>
      </c>
      <c r="AF433" s="625" t="str">
        <f>Exposition!U434</f>
        <v/>
      </c>
      <c r="AG433" s="623"/>
      <c r="AH433" s="621" t="str">
        <f>PRIX!A434</f>
        <v/>
      </c>
      <c r="AI433" s="626" t="str">
        <f>PRIX!B434</f>
        <v/>
      </c>
      <c r="AJ433" s="626" t="str">
        <f>PRIX!C434</f>
        <v/>
      </c>
      <c r="AK433" s="627" t="str">
        <f>PRIX!D434</f>
        <v/>
      </c>
      <c r="AL433" s="626" t="str">
        <f>PRIX!E434</f>
        <v/>
      </c>
      <c r="AM433" s="626" t="str">
        <f>PRIX!F434</f>
        <v/>
      </c>
      <c r="AN433" s="627" t="str">
        <f>PRIX!G434</f>
        <v/>
      </c>
      <c r="AO433" s="627" t="str">
        <f>PRIX!H434</f>
        <v/>
      </c>
      <c r="AP433" s="631" t="str">
        <f>PRIX!I434</f>
        <v/>
      </c>
      <c r="AQ433" s="628" t="str">
        <f>PRIX!J434</f>
        <v/>
      </c>
      <c r="AR433" s="631" t="str">
        <f>PRIX!K434</f>
        <v/>
      </c>
      <c r="AS433" s="631" t="str">
        <f>PRIX!L434</f>
        <v/>
      </c>
      <c r="AT433" s="631" t="str">
        <f>PRIX!M434</f>
        <v/>
      </c>
      <c r="AU433" s="629" t="str">
        <f>PRIX!N434</f>
        <v/>
      </c>
      <c r="AV433" s="631" t="str">
        <f>PRIX!O434</f>
        <v/>
      </c>
      <c r="AW433" s="631" t="str">
        <f>PRIX!P434</f>
        <v/>
      </c>
      <c r="AX433" s="630" t="str">
        <f>PRIX!Q434</f>
        <v/>
      </c>
      <c r="AY433" s="631" t="str">
        <f>PRIX!R434</f>
        <v/>
      </c>
      <c r="AZ433" s="631" t="str">
        <f>PRIX!S434</f>
        <v/>
      </c>
      <c r="BA433" s="623"/>
    </row>
    <row r="434">
      <c r="A434" s="621" t="str">
        <f>ARBITRAGES!E435</f>
        <v/>
      </c>
      <c r="B434" s="623" t="str">
        <f>IF(A434="","",IF(ARBITRAGES!F435="Invest","Achat","Vente"))</f>
        <v/>
      </c>
      <c r="C434" s="623" t="str">
        <f>ARBITRAGES!H435</f>
        <v/>
      </c>
      <c r="D434" s="624" t="str">
        <f>ARBITRAGES!I435</f>
        <v/>
      </c>
      <c r="E434" s="624" t="str">
        <f>ARBITRAGES!J435</f>
        <v/>
      </c>
      <c r="F434" s="623"/>
      <c r="G434" s="623" t="str">
        <f>'PV (%)'!B436</f>
        <v/>
      </c>
      <c r="H434" s="624" t="str">
        <f>'PV (%)'!E436</f>
        <v/>
      </c>
      <c r="I434" s="624" t="str">
        <f>'PV (%)'!F436</f>
        <v/>
      </c>
      <c r="J434" s="624" t="str">
        <f>'PV (%)'!G436</f>
        <v/>
      </c>
      <c r="K434" s="623"/>
      <c r="L434" s="621" t="str">
        <f>Exposition!A435</f>
        <v/>
      </c>
      <c r="M434" s="625" t="str">
        <f>Exposition!B435</f>
        <v/>
      </c>
      <c r="N434" s="625" t="str">
        <f>Exposition!C435</f>
        <v/>
      </c>
      <c r="O434" s="625" t="str">
        <f>Exposition!D435</f>
        <v/>
      </c>
      <c r="P434" s="625" t="str">
        <f>Exposition!E435</f>
        <v/>
      </c>
      <c r="Q434" s="625" t="str">
        <f>Exposition!F435</f>
        <v/>
      </c>
      <c r="R434" s="625" t="str">
        <f>Exposition!G435</f>
        <v/>
      </c>
      <c r="S434" s="625" t="str">
        <f>Exposition!H435</f>
        <v/>
      </c>
      <c r="T434" s="625" t="str">
        <f>Exposition!I435</f>
        <v/>
      </c>
      <c r="U434" s="625" t="str">
        <f>Exposition!J435</f>
        <v/>
      </c>
      <c r="V434" s="625" t="str">
        <f>Exposition!K435</f>
        <v/>
      </c>
      <c r="W434" s="625" t="str">
        <f>Exposition!L435</f>
        <v/>
      </c>
      <c r="X434" s="625" t="str">
        <f>Exposition!M435</f>
        <v/>
      </c>
      <c r="Y434" s="625" t="str">
        <f>Exposition!N435</f>
        <v/>
      </c>
      <c r="Z434" s="625" t="str">
        <f>Exposition!O435</f>
        <v/>
      </c>
      <c r="AA434" s="625" t="str">
        <f>Exposition!P435</f>
        <v/>
      </c>
      <c r="AB434" s="625" t="str">
        <f>Exposition!Q435</f>
        <v/>
      </c>
      <c r="AC434" s="625" t="str">
        <f>Exposition!R435</f>
        <v/>
      </c>
      <c r="AD434" s="625" t="str">
        <f>Exposition!S435</f>
        <v/>
      </c>
      <c r="AE434" s="625" t="str">
        <f>Exposition!T435</f>
        <v/>
      </c>
      <c r="AF434" s="625" t="str">
        <f>Exposition!U435</f>
        <v/>
      </c>
      <c r="AG434" s="623"/>
      <c r="AH434" s="621" t="str">
        <f>PRIX!A435</f>
        <v/>
      </c>
      <c r="AI434" s="626" t="str">
        <f>PRIX!B435</f>
        <v/>
      </c>
      <c r="AJ434" s="626" t="str">
        <f>PRIX!C435</f>
        <v/>
      </c>
      <c r="AK434" s="627" t="str">
        <f>PRIX!D435</f>
        <v/>
      </c>
      <c r="AL434" s="626" t="str">
        <f>PRIX!E435</f>
        <v/>
      </c>
      <c r="AM434" s="626" t="str">
        <f>PRIX!F435</f>
        <v/>
      </c>
      <c r="AN434" s="627" t="str">
        <f>PRIX!G435</f>
        <v/>
      </c>
      <c r="AO434" s="627" t="str">
        <f>PRIX!H435</f>
        <v/>
      </c>
      <c r="AP434" s="631" t="str">
        <f>PRIX!I435</f>
        <v/>
      </c>
      <c r="AQ434" s="628" t="str">
        <f>PRIX!J435</f>
        <v/>
      </c>
      <c r="AR434" s="631" t="str">
        <f>PRIX!K435</f>
        <v/>
      </c>
      <c r="AS434" s="631" t="str">
        <f>PRIX!L435</f>
        <v/>
      </c>
      <c r="AT434" s="631" t="str">
        <f>PRIX!M435</f>
        <v/>
      </c>
      <c r="AU434" s="629" t="str">
        <f>PRIX!N435</f>
        <v/>
      </c>
      <c r="AV434" s="631" t="str">
        <f>PRIX!O435</f>
        <v/>
      </c>
      <c r="AW434" s="631" t="str">
        <f>PRIX!P435</f>
        <v/>
      </c>
      <c r="AX434" s="630" t="str">
        <f>PRIX!Q435</f>
        <v/>
      </c>
      <c r="AY434" s="631" t="str">
        <f>PRIX!R435</f>
        <v/>
      </c>
      <c r="AZ434" s="631" t="str">
        <f>PRIX!S435</f>
        <v/>
      </c>
      <c r="BA434" s="623"/>
    </row>
    <row r="435">
      <c r="A435" s="621" t="str">
        <f>ARBITRAGES!E436</f>
        <v/>
      </c>
      <c r="B435" s="623" t="str">
        <f>IF(A435="","",IF(ARBITRAGES!F436="Invest","Achat","Vente"))</f>
        <v/>
      </c>
      <c r="C435" s="623" t="str">
        <f>ARBITRAGES!H436</f>
        <v/>
      </c>
      <c r="D435" s="624" t="str">
        <f>ARBITRAGES!I436</f>
        <v/>
      </c>
      <c r="E435" s="624" t="str">
        <f>ARBITRAGES!J436</f>
        <v/>
      </c>
      <c r="F435" s="623"/>
      <c r="G435" s="623" t="str">
        <f>'PV (%)'!B437</f>
        <v/>
      </c>
      <c r="H435" s="624" t="str">
        <f>'PV (%)'!E437</f>
        <v/>
      </c>
      <c r="I435" s="624" t="str">
        <f>'PV (%)'!F437</f>
        <v/>
      </c>
      <c r="J435" s="624" t="str">
        <f>'PV (%)'!G437</f>
        <v/>
      </c>
      <c r="K435" s="623"/>
      <c r="L435" s="621" t="str">
        <f>Exposition!A436</f>
        <v/>
      </c>
      <c r="M435" s="625" t="str">
        <f>Exposition!B436</f>
        <v/>
      </c>
      <c r="N435" s="625" t="str">
        <f>Exposition!C436</f>
        <v/>
      </c>
      <c r="O435" s="625" t="str">
        <f>Exposition!D436</f>
        <v/>
      </c>
      <c r="P435" s="625" t="str">
        <f>Exposition!E436</f>
        <v/>
      </c>
      <c r="Q435" s="625" t="str">
        <f>Exposition!F436</f>
        <v/>
      </c>
      <c r="R435" s="625" t="str">
        <f>Exposition!G436</f>
        <v/>
      </c>
      <c r="S435" s="625" t="str">
        <f>Exposition!H436</f>
        <v/>
      </c>
      <c r="T435" s="625" t="str">
        <f>Exposition!I436</f>
        <v/>
      </c>
      <c r="U435" s="625" t="str">
        <f>Exposition!J436</f>
        <v/>
      </c>
      <c r="V435" s="625" t="str">
        <f>Exposition!K436</f>
        <v/>
      </c>
      <c r="W435" s="625" t="str">
        <f>Exposition!L436</f>
        <v/>
      </c>
      <c r="X435" s="625" t="str">
        <f>Exposition!M436</f>
        <v/>
      </c>
      <c r="Y435" s="625" t="str">
        <f>Exposition!N436</f>
        <v/>
      </c>
      <c r="Z435" s="625" t="str">
        <f>Exposition!O436</f>
        <v/>
      </c>
      <c r="AA435" s="625" t="str">
        <f>Exposition!P436</f>
        <v/>
      </c>
      <c r="AB435" s="625" t="str">
        <f>Exposition!Q436</f>
        <v/>
      </c>
      <c r="AC435" s="625" t="str">
        <f>Exposition!R436</f>
        <v/>
      </c>
      <c r="AD435" s="625" t="str">
        <f>Exposition!S436</f>
        <v/>
      </c>
      <c r="AE435" s="625" t="str">
        <f>Exposition!T436</f>
        <v/>
      </c>
      <c r="AF435" s="625" t="str">
        <f>Exposition!U436</f>
        <v/>
      </c>
      <c r="AG435" s="623"/>
      <c r="AH435" s="621" t="str">
        <f>PRIX!A436</f>
        <v/>
      </c>
      <c r="AI435" s="626" t="str">
        <f>PRIX!B436</f>
        <v/>
      </c>
      <c r="AJ435" s="626" t="str">
        <f>PRIX!C436</f>
        <v/>
      </c>
      <c r="AK435" s="627" t="str">
        <f>PRIX!D436</f>
        <v/>
      </c>
      <c r="AL435" s="626" t="str">
        <f>PRIX!E436</f>
        <v/>
      </c>
      <c r="AM435" s="626" t="str">
        <f>PRIX!F436</f>
        <v/>
      </c>
      <c r="AN435" s="627" t="str">
        <f>PRIX!G436</f>
        <v/>
      </c>
      <c r="AO435" s="627" t="str">
        <f>PRIX!H436</f>
        <v/>
      </c>
      <c r="AP435" s="631" t="str">
        <f>PRIX!I436</f>
        <v/>
      </c>
      <c r="AQ435" s="628" t="str">
        <f>PRIX!J436</f>
        <v/>
      </c>
      <c r="AR435" s="631" t="str">
        <f>PRIX!K436</f>
        <v/>
      </c>
      <c r="AS435" s="631" t="str">
        <f>PRIX!L436</f>
        <v/>
      </c>
      <c r="AT435" s="631" t="str">
        <f>PRIX!M436</f>
        <v/>
      </c>
      <c r="AU435" s="629" t="str">
        <f>PRIX!N436</f>
        <v/>
      </c>
      <c r="AV435" s="631" t="str">
        <f>PRIX!O436</f>
        <v/>
      </c>
      <c r="AW435" s="631" t="str">
        <f>PRIX!P436</f>
        <v/>
      </c>
      <c r="AX435" s="630" t="str">
        <f>PRIX!Q436</f>
        <v/>
      </c>
      <c r="AY435" s="631" t="str">
        <f>PRIX!R436</f>
        <v/>
      </c>
      <c r="AZ435" s="631" t="str">
        <f>PRIX!S436</f>
        <v/>
      </c>
      <c r="BA435" s="623"/>
    </row>
    <row r="436">
      <c r="A436" s="621" t="str">
        <f>ARBITRAGES!E437</f>
        <v/>
      </c>
      <c r="B436" s="623" t="str">
        <f>IF(A436="","",IF(ARBITRAGES!F437="Invest","Achat","Vente"))</f>
        <v/>
      </c>
      <c r="C436" s="623" t="str">
        <f>ARBITRAGES!H437</f>
        <v/>
      </c>
      <c r="D436" s="624" t="str">
        <f>ARBITRAGES!I437</f>
        <v/>
      </c>
      <c r="E436" s="624" t="str">
        <f>ARBITRAGES!J437</f>
        <v/>
      </c>
      <c r="F436" s="623"/>
      <c r="G436" s="623" t="str">
        <f>'PV (%)'!B438</f>
        <v/>
      </c>
      <c r="H436" s="624" t="str">
        <f>'PV (%)'!E438</f>
        <v/>
      </c>
      <c r="I436" s="624" t="str">
        <f>'PV (%)'!F438</f>
        <v/>
      </c>
      <c r="J436" s="624" t="str">
        <f>'PV (%)'!G438</f>
        <v/>
      </c>
      <c r="K436" s="623"/>
      <c r="L436" s="621" t="str">
        <f>Exposition!A437</f>
        <v/>
      </c>
      <c r="M436" s="625" t="str">
        <f>Exposition!B437</f>
        <v/>
      </c>
      <c r="N436" s="625" t="str">
        <f>Exposition!C437</f>
        <v/>
      </c>
      <c r="O436" s="625" t="str">
        <f>Exposition!D437</f>
        <v/>
      </c>
      <c r="P436" s="625" t="str">
        <f>Exposition!E437</f>
        <v/>
      </c>
      <c r="Q436" s="625" t="str">
        <f>Exposition!F437</f>
        <v/>
      </c>
      <c r="R436" s="625" t="str">
        <f>Exposition!G437</f>
        <v/>
      </c>
      <c r="S436" s="625" t="str">
        <f>Exposition!H437</f>
        <v/>
      </c>
      <c r="T436" s="625" t="str">
        <f>Exposition!I437</f>
        <v/>
      </c>
      <c r="U436" s="625" t="str">
        <f>Exposition!J437</f>
        <v/>
      </c>
      <c r="V436" s="625" t="str">
        <f>Exposition!K437</f>
        <v/>
      </c>
      <c r="W436" s="625" t="str">
        <f>Exposition!L437</f>
        <v/>
      </c>
      <c r="X436" s="625" t="str">
        <f>Exposition!M437</f>
        <v/>
      </c>
      <c r="Y436" s="625" t="str">
        <f>Exposition!N437</f>
        <v/>
      </c>
      <c r="Z436" s="625" t="str">
        <f>Exposition!O437</f>
        <v/>
      </c>
      <c r="AA436" s="625" t="str">
        <f>Exposition!P437</f>
        <v/>
      </c>
      <c r="AB436" s="625" t="str">
        <f>Exposition!Q437</f>
        <v/>
      </c>
      <c r="AC436" s="625" t="str">
        <f>Exposition!R437</f>
        <v/>
      </c>
      <c r="AD436" s="625" t="str">
        <f>Exposition!S437</f>
        <v/>
      </c>
      <c r="AE436" s="625" t="str">
        <f>Exposition!T437</f>
        <v/>
      </c>
      <c r="AF436" s="625" t="str">
        <f>Exposition!U437</f>
        <v/>
      </c>
      <c r="AG436" s="623"/>
      <c r="AH436" s="621" t="str">
        <f>PRIX!A437</f>
        <v/>
      </c>
      <c r="AI436" s="626" t="str">
        <f>PRIX!B437</f>
        <v/>
      </c>
      <c r="AJ436" s="626" t="str">
        <f>PRIX!C437</f>
        <v/>
      </c>
      <c r="AK436" s="627" t="str">
        <f>PRIX!D437</f>
        <v/>
      </c>
      <c r="AL436" s="626" t="str">
        <f>PRIX!E437</f>
        <v/>
      </c>
      <c r="AM436" s="626" t="str">
        <f>PRIX!F437</f>
        <v/>
      </c>
      <c r="AN436" s="627" t="str">
        <f>PRIX!G437</f>
        <v/>
      </c>
      <c r="AO436" s="627" t="str">
        <f>PRIX!H437</f>
        <v/>
      </c>
      <c r="AP436" s="631" t="str">
        <f>PRIX!I437</f>
        <v/>
      </c>
      <c r="AQ436" s="628" t="str">
        <f>PRIX!J437</f>
        <v/>
      </c>
      <c r="AR436" s="631" t="str">
        <f>PRIX!K437</f>
        <v/>
      </c>
      <c r="AS436" s="631" t="str">
        <f>PRIX!L437</f>
        <v/>
      </c>
      <c r="AT436" s="631" t="str">
        <f>PRIX!M437</f>
        <v/>
      </c>
      <c r="AU436" s="629" t="str">
        <f>PRIX!N437</f>
        <v/>
      </c>
      <c r="AV436" s="631" t="str">
        <f>PRIX!O437</f>
        <v/>
      </c>
      <c r="AW436" s="631" t="str">
        <f>PRIX!P437</f>
        <v/>
      </c>
      <c r="AX436" s="630" t="str">
        <f>PRIX!Q437</f>
        <v/>
      </c>
      <c r="AY436" s="631" t="str">
        <f>PRIX!R437</f>
        <v/>
      </c>
      <c r="AZ436" s="631" t="str">
        <f>PRIX!S437</f>
        <v/>
      </c>
      <c r="BA436" s="623"/>
    </row>
    <row r="437">
      <c r="A437" s="621" t="str">
        <f>ARBITRAGES!E438</f>
        <v/>
      </c>
      <c r="B437" s="623" t="str">
        <f>IF(A437="","",IF(ARBITRAGES!F438="Invest","Achat","Vente"))</f>
        <v/>
      </c>
      <c r="C437" s="623" t="str">
        <f>ARBITRAGES!H438</f>
        <v/>
      </c>
      <c r="D437" s="624" t="str">
        <f>ARBITRAGES!I438</f>
        <v/>
      </c>
      <c r="E437" s="624" t="str">
        <f>ARBITRAGES!J438</f>
        <v/>
      </c>
      <c r="F437" s="623"/>
      <c r="G437" s="623" t="str">
        <f>'PV (%)'!B439</f>
        <v/>
      </c>
      <c r="H437" s="624" t="str">
        <f>'PV (%)'!E439</f>
        <v/>
      </c>
      <c r="I437" s="624" t="str">
        <f>'PV (%)'!F439</f>
        <v/>
      </c>
      <c r="J437" s="624" t="str">
        <f>'PV (%)'!G439</f>
        <v/>
      </c>
      <c r="K437" s="623"/>
      <c r="L437" s="621" t="str">
        <f>Exposition!A438</f>
        <v/>
      </c>
      <c r="M437" s="625" t="str">
        <f>Exposition!B438</f>
        <v/>
      </c>
      <c r="N437" s="625" t="str">
        <f>Exposition!C438</f>
        <v/>
      </c>
      <c r="O437" s="625" t="str">
        <f>Exposition!D438</f>
        <v/>
      </c>
      <c r="P437" s="625" t="str">
        <f>Exposition!E438</f>
        <v/>
      </c>
      <c r="Q437" s="625" t="str">
        <f>Exposition!F438</f>
        <v/>
      </c>
      <c r="R437" s="625" t="str">
        <f>Exposition!G438</f>
        <v/>
      </c>
      <c r="S437" s="625" t="str">
        <f>Exposition!H438</f>
        <v/>
      </c>
      <c r="T437" s="625" t="str">
        <f>Exposition!I438</f>
        <v/>
      </c>
      <c r="U437" s="625" t="str">
        <f>Exposition!J438</f>
        <v/>
      </c>
      <c r="V437" s="625" t="str">
        <f>Exposition!K438</f>
        <v/>
      </c>
      <c r="W437" s="625" t="str">
        <f>Exposition!L438</f>
        <v/>
      </c>
      <c r="X437" s="625" t="str">
        <f>Exposition!M438</f>
        <v/>
      </c>
      <c r="Y437" s="625" t="str">
        <f>Exposition!N438</f>
        <v/>
      </c>
      <c r="Z437" s="625" t="str">
        <f>Exposition!O438</f>
        <v/>
      </c>
      <c r="AA437" s="625" t="str">
        <f>Exposition!P438</f>
        <v/>
      </c>
      <c r="AB437" s="625" t="str">
        <f>Exposition!Q438</f>
        <v/>
      </c>
      <c r="AC437" s="625" t="str">
        <f>Exposition!R438</f>
        <v/>
      </c>
      <c r="AD437" s="625" t="str">
        <f>Exposition!S438</f>
        <v/>
      </c>
      <c r="AE437" s="625" t="str">
        <f>Exposition!T438</f>
        <v/>
      </c>
      <c r="AF437" s="625" t="str">
        <f>Exposition!U438</f>
        <v/>
      </c>
      <c r="AG437" s="623"/>
      <c r="AH437" s="621" t="str">
        <f>PRIX!A438</f>
        <v/>
      </c>
      <c r="AI437" s="626" t="str">
        <f>PRIX!B438</f>
        <v/>
      </c>
      <c r="AJ437" s="626" t="str">
        <f>PRIX!C438</f>
        <v/>
      </c>
      <c r="AK437" s="627" t="str">
        <f>PRIX!D438</f>
        <v/>
      </c>
      <c r="AL437" s="626" t="str">
        <f>PRIX!E438</f>
        <v/>
      </c>
      <c r="AM437" s="626" t="str">
        <f>PRIX!F438</f>
        <v/>
      </c>
      <c r="AN437" s="627" t="str">
        <f>PRIX!G438</f>
        <v/>
      </c>
      <c r="AO437" s="627" t="str">
        <f>PRIX!H438</f>
        <v/>
      </c>
      <c r="AP437" s="631" t="str">
        <f>PRIX!I438</f>
        <v/>
      </c>
      <c r="AQ437" s="628" t="str">
        <f>PRIX!J438</f>
        <v/>
      </c>
      <c r="AR437" s="631" t="str">
        <f>PRIX!K438</f>
        <v/>
      </c>
      <c r="AS437" s="631" t="str">
        <f>PRIX!L438</f>
        <v/>
      </c>
      <c r="AT437" s="631" t="str">
        <f>PRIX!M438</f>
        <v/>
      </c>
      <c r="AU437" s="629" t="str">
        <f>PRIX!N438</f>
        <v/>
      </c>
      <c r="AV437" s="631" t="str">
        <f>PRIX!O438</f>
        <v/>
      </c>
      <c r="AW437" s="631" t="str">
        <f>PRIX!P438</f>
        <v/>
      </c>
      <c r="AX437" s="630" t="str">
        <f>PRIX!Q438</f>
        <v/>
      </c>
      <c r="AY437" s="631" t="str">
        <f>PRIX!R438</f>
        <v/>
      </c>
      <c r="AZ437" s="631" t="str">
        <f>PRIX!S438</f>
        <v/>
      </c>
      <c r="BA437" s="623"/>
    </row>
    <row r="438">
      <c r="A438" s="621" t="str">
        <f>ARBITRAGES!E439</f>
        <v/>
      </c>
      <c r="B438" s="623" t="str">
        <f>IF(A438="","",IF(ARBITRAGES!F439="Invest","Achat","Vente"))</f>
        <v/>
      </c>
      <c r="C438" s="623" t="str">
        <f>ARBITRAGES!H439</f>
        <v/>
      </c>
      <c r="D438" s="624" t="str">
        <f>ARBITRAGES!I439</f>
        <v/>
      </c>
      <c r="E438" s="624" t="str">
        <f>ARBITRAGES!J439</f>
        <v/>
      </c>
      <c r="F438" s="623"/>
      <c r="G438" s="623" t="str">
        <f>'PV (%)'!B440</f>
        <v/>
      </c>
      <c r="H438" s="624" t="str">
        <f>'PV (%)'!E440</f>
        <v/>
      </c>
      <c r="I438" s="624" t="str">
        <f>'PV (%)'!F440</f>
        <v/>
      </c>
      <c r="J438" s="624" t="str">
        <f>'PV (%)'!G440</f>
        <v/>
      </c>
      <c r="K438" s="623"/>
      <c r="L438" s="621" t="str">
        <f>Exposition!A439</f>
        <v/>
      </c>
      <c r="M438" s="625" t="str">
        <f>Exposition!B439</f>
        <v/>
      </c>
      <c r="N438" s="625" t="str">
        <f>Exposition!C439</f>
        <v/>
      </c>
      <c r="O438" s="625" t="str">
        <f>Exposition!D439</f>
        <v/>
      </c>
      <c r="P438" s="625" t="str">
        <f>Exposition!E439</f>
        <v/>
      </c>
      <c r="Q438" s="625" t="str">
        <f>Exposition!F439</f>
        <v/>
      </c>
      <c r="R438" s="625" t="str">
        <f>Exposition!G439</f>
        <v/>
      </c>
      <c r="S438" s="625" t="str">
        <f>Exposition!H439</f>
        <v/>
      </c>
      <c r="T438" s="625" t="str">
        <f>Exposition!I439</f>
        <v/>
      </c>
      <c r="U438" s="625" t="str">
        <f>Exposition!J439</f>
        <v/>
      </c>
      <c r="V438" s="625" t="str">
        <f>Exposition!K439</f>
        <v/>
      </c>
      <c r="W438" s="625" t="str">
        <f>Exposition!L439</f>
        <v/>
      </c>
      <c r="X438" s="625" t="str">
        <f>Exposition!M439</f>
        <v/>
      </c>
      <c r="Y438" s="625" t="str">
        <f>Exposition!N439</f>
        <v/>
      </c>
      <c r="Z438" s="625" t="str">
        <f>Exposition!O439</f>
        <v/>
      </c>
      <c r="AA438" s="625" t="str">
        <f>Exposition!P439</f>
        <v/>
      </c>
      <c r="AB438" s="625" t="str">
        <f>Exposition!Q439</f>
        <v/>
      </c>
      <c r="AC438" s="625" t="str">
        <f>Exposition!R439</f>
        <v/>
      </c>
      <c r="AD438" s="625" t="str">
        <f>Exposition!S439</f>
        <v/>
      </c>
      <c r="AE438" s="625" t="str">
        <f>Exposition!T439</f>
        <v/>
      </c>
      <c r="AF438" s="625" t="str">
        <f>Exposition!U439</f>
        <v/>
      </c>
      <c r="AG438" s="623"/>
      <c r="AH438" s="621" t="str">
        <f>PRIX!A439</f>
        <v/>
      </c>
      <c r="AI438" s="626" t="str">
        <f>PRIX!B439</f>
        <v/>
      </c>
      <c r="AJ438" s="626" t="str">
        <f>PRIX!C439</f>
        <v/>
      </c>
      <c r="AK438" s="627" t="str">
        <f>PRIX!D439</f>
        <v/>
      </c>
      <c r="AL438" s="626" t="str">
        <f>PRIX!E439</f>
        <v/>
      </c>
      <c r="AM438" s="626" t="str">
        <f>PRIX!F439</f>
        <v/>
      </c>
      <c r="AN438" s="627" t="str">
        <f>PRIX!G439</f>
        <v/>
      </c>
      <c r="AO438" s="627" t="str">
        <f>PRIX!H439</f>
        <v/>
      </c>
      <c r="AP438" s="631" t="str">
        <f>PRIX!I439</f>
        <v/>
      </c>
      <c r="AQ438" s="628" t="str">
        <f>PRIX!J439</f>
        <v/>
      </c>
      <c r="AR438" s="631" t="str">
        <f>PRIX!K439</f>
        <v/>
      </c>
      <c r="AS438" s="631" t="str">
        <f>PRIX!L439</f>
        <v/>
      </c>
      <c r="AT438" s="631" t="str">
        <f>PRIX!M439</f>
        <v/>
      </c>
      <c r="AU438" s="629" t="str">
        <f>PRIX!N439</f>
        <v/>
      </c>
      <c r="AV438" s="631" t="str">
        <f>PRIX!O439</f>
        <v/>
      </c>
      <c r="AW438" s="631" t="str">
        <f>PRIX!P439</f>
        <v/>
      </c>
      <c r="AX438" s="630" t="str">
        <f>PRIX!Q439</f>
        <v/>
      </c>
      <c r="AY438" s="631" t="str">
        <f>PRIX!R439</f>
        <v/>
      </c>
      <c r="AZ438" s="631" t="str">
        <f>PRIX!S439</f>
        <v/>
      </c>
      <c r="BA438" s="623"/>
    </row>
    <row r="439">
      <c r="A439" s="621" t="str">
        <f>ARBITRAGES!E440</f>
        <v/>
      </c>
      <c r="B439" s="623" t="str">
        <f>IF(A439="","",IF(ARBITRAGES!F440="Invest","Achat","Vente"))</f>
        <v/>
      </c>
      <c r="C439" s="623" t="str">
        <f>ARBITRAGES!H440</f>
        <v/>
      </c>
      <c r="D439" s="624" t="str">
        <f>ARBITRAGES!I440</f>
        <v/>
      </c>
      <c r="E439" s="624" t="str">
        <f>ARBITRAGES!J440</f>
        <v/>
      </c>
      <c r="F439" s="623"/>
      <c r="G439" s="623" t="str">
        <f>'PV (%)'!B441</f>
        <v/>
      </c>
      <c r="H439" s="624" t="str">
        <f>'PV (%)'!E441</f>
        <v/>
      </c>
      <c r="I439" s="624" t="str">
        <f>'PV (%)'!F441</f>
        <v/>
      </c>
      <c r="J439" s="624" t="str">
        <f>'PV (%)'!G441</f>
        <v/>
      </c>
      <c r="K439" s="623"/>
      <c r="L439" s="621" t="str">
        <f>Exposition!A440</f>
        <v/>
      </c>
      <c r="M439" s="625" t="str">
        <f>Exposition!B440</f>
        <v/>
      </c>
      <c r="N439" s="625" t="str">
        <f>Exposition!C440</f>
        <v/>
      </c>
      <c r="O439" s="625" t="str">
        <f>Exposition!D440</f>
        <v/>
      </c>
      <c r="P439" s="625" t="str">
        <f>Exposition!E440</f>
        <v/>
      </c>
      <c r="Q439" s="625" t="str">
        <f>Exposition!F440</f>
        <v/>
      </c>
      <c r="R439" s="625" t="str">
        <f>Exposition!G440</f>
        <v/>
      </c>
      <c r="S439" s="625" t="str">
        <f>Exposition!H440</f>
        <v/>
      </c>
      <c r="T439" s="625" t="str">
        <f>Exposition!I440</f>
        <v/>
      </c>
      <c r="U439" s="625" t="str">
        <f>Exposition!J440</f>
        <v/>
      </c>
      <c r="V439" s="625" t="str">
        <f>Exposition!K440</f>
        <v/>
      </c>
      <c r="W439" s="625" t="str">
        <f>Exposition!L440</f>
        <v/>
      </c>
      <c r="X439" s="625" t="str">
        <f>Exposition!M440</f>
        <v/>
      </c>
      <c r="Y439" s="625" t="str">
        <f>Exposition!N440</f>
        <v/>
      </c>
      <c r="Z439" s="625" t="str">
        <f>Exposition!O440</f>
        <v/>
      </c>
      <c r="AA439" s="625" t="str">
        <f>Exposition!P440</f>
        <v/>
      </c>
      <c r="AB439" s="625" t="str">
        <f>Exposition!Q440</f>
        <v/>
      </c>
      <c r="AC439" s="625" t="str">
        <f>Exposition!R440</f>
        <v/>
      </c>
      <c r="AD439" s="625" t="str">
        <f>Exposition!S440</f>
        <v/>
      </c>
      <c r="AE439" s="625" t="str">
        <f>Exposition!T440</f>
        <v/>
      </c>
      <c r="AF439" s="625" t="str">
        <f>Exposition!U440</f>
        <v/>
      </c>
      <c r="AG439" s="623"/>
      <c r="AH439" s="621" t="str">
        <f>PRIX!A440</f>
        <v/>
      </c>
      <c r="AI439" s="626" t="str">
        <f>PRIX!B440</f>
        <v/>
      </c>
      <c r="AJ439" s="626" t="str">
        <f>PRIX!C440</f>
        <v/>
      </c>
      <c r="AK439" s="627" t="str">
        <f>PRIX!D440</f>
        <v/>
      </c>
      <c r="AL439" s="626" t="str">
        <f>PRIX!E440</f>
        <v/>
      </c>
      <c r="AM439" s="626" t="str">
        <f>PRIX!F440</f>
        <v/>
      </c>
      <c r="AN439" s="627" t="str">
        <f>PRIX!G440</f>
        <v/>
      </c>
      <c r="AO439" s="627" t="str">
        <f>PRIX!H440</f>
        <v/>
      </c>
      <c r="AP439" s="631" t="str">
        <f>PRIX!I440</f>
        <v/>
      </c>
      <c r="AQ439" s="628" t="str">
        <f>PRIX!J440</f>
        <v/>
      </c>
      <c r="AR439" s="631" t="str">
        <f>PRIX!K440</f>
        <v/>
      </c>
      <c r="AS439" s="631" t="str">
        <f>PRIX!L440</f>
        <v/>
      </c>
      <c r="AT439" s="631" t="str">
        <f>PRIX!M440</f>
        <v/>
      </c>
      <c r="AU439" s="629" t="str">
        <f>PRIX!N440</f>
        <v/>
      </c>
      <c r="AV439" s="631" t="str">
        <f>PRIX!O440</f>
        <v/>
      </c>
      <c r="AW439" s="631" t="str">
        <f>PRIX!P440</f>
        <v/>
      </c>
      <c r="AX439" s="630" t="str">
        <f>PRIX!Q440</f>
        <v/>
      </c>
      <c r="AY439" s="631" t="str">
        <f>PRIX!R440</f>
        <v/>
      </c>
      <c r="AZ439" s="631" t="str">
        <f>PRIX!S440</f>
        <v/>
      </c>
      <c r="BA439" s="623"/>
    </row>
    <row r="440">
      <c r="A440" s="621" t="str">
        <f>ARBITRAGES!E441</f>
        <v/>
      </c>
      <c r="B440" s="623" t="str">
        <f>IF(A440="","",IF(ARBITRAGES!F441="Invest","Achat","Vente"))</f>
        <v/>
      </c>
      <c r="C440" s="623" t="str">
        <f>ARBITRAGES!H441</f>
        <v/>
      </c>
      <c r="D440" s="624" t="str">
        <f>ARBITRAGES!I441</f>
        <v/>
      </c>
      <c r="E440" s="624" t="str">
        <f>ARBITRAGES!J441</f>
        <v/>
      </c>
      <c r="F440" s="623"/>
      <c r="G440" s="623" t="str">
        <f>'PV (%)'!B442</f>
        <v/>
      </c>
      <c r="H440" s="624" t="str">
        <f>'PV (%)'!E442</f>
        <v/>
      </c>
      <c r="I440" s="624" t="str">
        <f>'PV (%)'!F442</f>
        <v/>
      </c>
      <c r="J440" s="624" t="str">
        <f>'PV (%)'!G442</f>
        <v/>
      </c>
      <c r="K440" s="623"/>
      <c r="L440" s="621" t="str">
        <f>Exposition!A441</f>
        <v/>
      </c>
      <c r="M440" s="625" t="str">
        <f>Exposition!B441</f>
        <v/>
      </c>
      <c r="N440" s="625" t="str">
        <f>Exposition!C441</f>
        <v/>
      </c>
      <c r="O440" s="625" t="str">
        <f>Exposition!D441</f>
        <v/>
      </c>
      <c r="P440" s="625" t="str">
        <f>Exposition!E441</f>
        <v/>
      </c>
      <c r="Q440" s="625" t="str">
        <f>Exposition!F441</f>
        <v/>
      </c>
      <c r="R440" s="625" t="str">
        <f>Exposition!G441</f>
        <v/>
      </c>
      <c r="S440" s="625" t="str">
        <f>Exposition!H441</f>
        <v/>
      </c>
      <c r="T440" s="625" t="str">
        <f>Exposition!I441</f>
        <v/>
      </c>
      <c r="U440" s="625" t="str">
        <f>Exposition!J441</f>
        <v/>
      </c>
      <c r="V440" s="625" t="str">
        <f>Exposition!K441</f>
        <v/>
      </c>
      <c r="W440" s="625" t="str">
        <f>Exposition!L441</f>
        <v/>
      </c>
      <c r="X440" s="625" t="str">
        <f>Exposition!M441</f>
        <v/>
      </c>
      <c r="Y440" s="625" t="str">
        <f>Exposition!N441</f>
        <v/>
      </c>
      <c r="Z440" s="625" t="str">
        <f>Exposition!O441</f>
        <v/>
      </c>
      <c r="AA440" s="625" t="str">
        <f>Exposition!P441</f>
        <v/>
      </c>
      <c r="AB440" s="625" t="str">
        <f>Exposition!Q441</f>
        <v/>
      </c>
      <c r="AC440" s="625" t="str">
        <f>Exposition!R441</f>
        <v/>
      </c>
      <c r="AD440" s="625" t="str">
        <f>Exposition!S441</f>
        <v/>
      </c>
      <c r="AE440" s="625" t="str">
        <f>Exposition!T441</f>
        <v/>
      </c>
      <c r="AF440" s="625" t="str">
        <f>Exposition!U441</f>
        <v/>
      </c>
      <c r="AG440" s="623"/>
      <c r="AH440" s="621" t="str">
        <f>PRIX!A441</f>
        <v/>
      </c>
      <c r="AI440" s="626" t="str">
        <f>PRIX!B441</f>
        <v/>
      </c>
      <c r="AJ440" s="626" t="str">
        <f>PRIX!C441</f>
        <v/>
      </c>
      <c r="AK440" s="627" t="str">
        <f>PRIX!D441</f>
        <v/>
      </c>
      <c r="AL440" s="626" t="str">
        <f>PRIX!E441</f>
        <v/>
      </c>
      <c r="AM440" s="626" t="str">
        <f>PRIX!F441</f>
        <v/>
      </c>
      <c r="AN440" s="627" t="str">
        <f>PRIX!G441</f>
        <v/>
      </c>
      <c r="AO440" s="627" t="str">
        <f>PRIX!H441</f>
        <v/>
      </c>
      <c r="AP440" s="631" t="str">
        <f>PRIX!I441</f>
        <v/>
      </c>
      <c r="AQ440" s="628" t="str">
        <f>PRIX!J441</f>
        <v/>
      </c>
      <c r="AR440" s="631" t="str">
        <f>PRIX!K441</f>
        <v/>
      </c>
      <c r="AS440" s="631" t="str">
        <f>PRIX!L441</f>
        <v/>
      </c>
      <c r="AT440" s="631" t="str">
        <f>PRIX!M441</f>
        <v/>
      </c>
      <c r="AU440" s="629" t="str">
        <f>PRIX!N441</f>
        <v/>
      </c>
      <c r="AV440" s="631" t="str">
        <f>PRIX!O441</f>
        <v/>
      </c>
      <c r="AW440" s="631" t="str">
        <f>PRIX!P441</f>
        <v/>
      </c>
      <c r="AX440" s="630" t="str">
        <f>PRIX!Q441</f>
        <v/>
      </c>
      <c r="AY440" s="631" t="str">
        <f>PRIX!R441</f>
        <v/>
      </c>
      <c r="AZ440" s="631" t="str">
        <f>PRIX!S441</f>
        <v/>
      </c>
      <c r="BA440" s="623"/>
    </row>
    <row r="441">
      <c r="A441" s="621" t="str">
        <f>ARBITRAGES!E442</f>
        <v/>
      </c>
      <c r="B441" s="623" t="str">
        <f>IF(A441="","",IF(ARBITRAGES!F442="Invest","Achat","Vente"))</f>
        <v/>
      </c>
      <c r="C441" s="623" t="str">
        <f>ARBITRAGES!H442</f>
        <v/>
      </c>
      <c r="D441" s="624" t="str">
        <f>ARBITRAGES!I442</f>
        <v/>
      </c>
      <c r="E441" s="624" t="str">
        <f>ARBITRAGES!J442</f>
        <v/>
      </c>
      <c r="F441" s="623"/>
      <c r="G441" s="623" t="str">
        <f>'PV (%)'!B443</f>
        <v/>
      </c>
      <c r="H441" s="624" t="str">
        <f>'PV (%)'!E443</f>
        <v/>
      </c>
      <c r="I441" s="624" t="str">
        <f>'PV (%)'!F443</f>
        <v/>
      </c>
      <c r="J441" s="624" t="str">
        <f>'PV (%)'!G443</f>
        <v/>
      </c>
      <c r="K441" s="623"/>
      <c r="L441" s="621" t="str">
        <f>Exposition!A442</f>
        <v/>
      </c>
      <c r="M441" s="625" t="str">
        <f>Exposition!B442</f>
        <v/>
      </c>
      <c r="N441" s="625" t="str">
        <f>Exposition!C442</f>
        <v/>
      </c>
      <c r="O441" s="625" t="str">
        <f>Exposition!D442</f>
        <v/>
      </c>
      <c r="P441" s="625" t="str">
        <f>Exposition!E442</f>
        <v/>
      </c>
      <c r="Q441" s="625" t="str">
        <f>Exposition!F442</f>
        <v/>
      </c>
      <c r="R441" s="625" t="str">
        <f>Exposition!G442</f>
        <v/>
      </c>
      <c r="S441" s="625" t="str">
        <f>Exposition!H442</f>
        <v/>
      </c>
      <c r="T441" s="625" t="str">
        <f>Exposition!I442</f>
        <v/>
      </c>
      <c r="U441" s="625" t="str">
        <f>Exposition!J442</f>
        <v/>
      </c>
      <c r="V441" s="625" t="str">
        <f>Exposition!K442</f>
        <v/>
      </c>
      <c r="W441" s="625" t="str">
        <f>Exposition!L442</f>
        <v/>
      </c>
      <c r="X441" s="625" t="str">
        <f>Exposition!M442</f>
        <v/>
      </c>
      <c r="Y441" s="625" t="str">
        <f>Exposition!N442</f>
        <v/>
      </c>
      <c r="Z441" s="625" t="str">
        <f>Exposition!O442</f>
        <v/>
      </c>
      <c r="AA441" s="625" t="str">
        <f>Exposition!P442</f>
        <v/>
      </c>
      <c r="AB441" s="625" t="str">
        <f>Exposition!Q442</f>
        <v/>
      </c>
      <c r="AC441" s="625" t="str">
        <f>Exposition!R442</f>
        <v/>
      </c>
      <c r="AD441" s="625" t="str">
        <f>Exposition!S442</f>
        <v/>
      </c>
      <c r="AE441" s="625" t="str">
        <f>Exposition!T442</f>
        <v/>
      </c>
      <c r="AF441" s="625" t="str">
        <f>Exposition!U442</f>
        <v/>
      </c>
      <c r="AG441" s="623"/>
      <c r="AH441" s="621" t="str">
        <f>PRIX!A442</f>
        <v/>
      </c>
      <c r="AI441" s="626" t="str">
        <f>PRIX!B442</f>
        <v/>
      </c>
      <c r="AJ441" s="626" t="str">
        <f>PRIX!C442</f>
        <v/>
      </c>
      <c r="AK441" s="627" t="str">
        <f>PRIX!D442</f>
        <v/>
      </c>
      <c r="AL441" s="626" t="str">
        <f>PRIX!E442</f>
        <v/>
      </c>
      <c r="AM441" s="626" t="str">
        <f>PRIX!F442</f>
        <v/>
      </c>
      <c r="AN441" s="627" t="str">
        <f>PRIX!G442</f>
        <v/>
      </c>
      <c r="AO441" s="627" t="str">
        <f>PRIX!H442</f>
        <v/>
      </c>
      <c r="AP441" s="631" t="str">
        <f>PRIX!I442</f>
        <v/>
      </c>
      <c r="AQ441" s="628" t="str">
        <f>PRIX!J442</f>
        <v/>
      </c>
      <c r="AR441" s="631" t="str">
        <f>PRIX!K442</f>
        <v/>
      </c>
      <c r="AS441" s="631" t="str">
        <f>PRIX!L442</f>
        <v/>
      </c>
      <c r="AT441" s="631" t="str">
        <f>PRIX!M442</f>
        <v/>
      </c>
      <c r="AU441" s="629" t="str">
        <f>PRIX!N442</f>
        <v/>
      </c>
      <c r="AV441" s="631" t="str">
        <f>PRIX!O442</f>
        <v/>
      </c>
      <c r="AW441" s="631" t="str">
        <f>PRIX!P442</f>
        <v/>
      </c>
      <c r="AX441" s="630" t="str">
        <f>PRIX!Q442</f>
        <v/>
      </c>
      <c r="AY441" s="631" t="str">
        <f>PRIX!R442</f>
        <v/>
      </c>
      <c r="AZ441" s="631" t="str">
        <f>PRIX!S442</f>
        <v/>
      </c>
      <c r="BA441" s="623"/>
    </row>
    <row r="442">
      <c r="A442" s="621" t="str">
        <f>ARBITRAGES!E443</f>
        <v/>
      </c>
      <c r="B442" s="623" t="str">
        <f>IF(A442="","",IF(ARBITRAGES!F443="Invest","Achat","Vente"))</f>
        <v/>
      </c>
      <c r="C442" s="623" t="str">
        <f>ARBITRAGES!H443</f>
        <v/>
      </c>
      <c r="D442" s="624" t="str">
        <f>ARBITRAGES!I443</f>
        <v/>
      </c>
      <c r="E442" s="624" t="str">
        <f>ARBITRAGES!J443</f>
        <v/>
      </c>
      <c r="F442" s="623"/>
      <c r="G442" s="623" t="str">
        <f>'PV (%)'!B444</f>
        <v/>
      </c>
      <c r="H442" s="624" t="str">
        <f>'PV (%)'!E444</f>
        <v/>
      </c>
      <c r="I442" s="624" t="str">
        <f>'PV (%)'!F444</f>
        <v/>
      </c>
      <c r="J442" s="624" t="str">
        <f>'PV (%)'!G444</f>
        <v/>
      </c>
      <c r="K442" s="623"/>
      <c r="L442" s="621" t="str">
        <f>Exposition!A443</f>
        <v/>
      </c>
      <c r="M442" s="625" t="str">
        <f>Exposition!B443</f>
        <v/>
      </c>
      <c r="N442" s="625" t="str">
        <f>Exposition!C443</f>
        <v/>
      </c>
      <c r="O442" s="625" t="str">
        <f>Exposition!D443</f>
        <v/>
      </c>
      <c r="P442" s="625" t="str">
        <f>Exposition!E443</f>
        <v/>
      </c>
      <c r="Q442" s="625" t="str">
        <f>Exposition!F443</f>
        <v/>
      </c>
      <c r="R442" s="625" t="str">
        <f>Exposition!G443</f>
        <v/>
      </c>
      <c r="S442" s="625" t="str">
        <f>Exposition!H443</f>
        <v/>
      </c>
      <c r="T442" s="625" t="str">
        <f>Exposition!I443</f>
        <v/>
      </c>
      <c r="U442" s="625" t="str">
        <f>Exposition!J443</f>
        <v/>
      </c>
      <c r="V442" s="625" t="str">
        <f>Exposition!K443</f>
        <v/>
      </c>
      <c r="W442" s="625" t="str">
        <f>Exposition!L443</f>
        <v/>
      </c>
      <c r="X442" s="625" t="str">
        <f>Exposition!M443</f>
        <v/>
      </c>
      <c r="Y442" s="625" t="str">
        <f>Exposition!N443</f>
        <v/>
      </c>
      <c r="Z442" s="625" t="str">
        <f>Exposition!O443</f>
        <v/>
      </c>
      <c r="AA442" s="625" t="str">
        <f>Exposition!P443</f>
        <v/>
      </c>
      <c r="AB442" s="625" t="str">
        <f>Exposition!Q443</f>
        <v/>
      </c>
      <c r="AC442" s="625" t="str">
        <f>Exposition!R443</f>
        <v/>
      </c>
      <c r="AD442" s="625" t="str">
        <f>Exposition!S443</f>
        <v/>
      </c>
      <c r="AE442" s="625" t="str">
        <f>Exposition!T443</f>
        <v/>
      </c>
      <c r="AF442" s="625" t="str">
        <f>Exposition!U443</f>
        <v/>
      </c>
      <c r="AG442" s="623"/>
      <c r="AH442" s="621" t="str">
        <f>PRIX!A443</f>
        <v/>
      </c>
      <c r="AI442" s="626" t="str">
        <f>PRIX!B443</f>
        <v/>
      </c>
      <c r="AJ442" s="626" t="str">
        <f>PRIX!C443</f>
        <v/>
      </c>
      <c r="AK442" s="627" t="str">
        <f>PRIX!D443</f>
        <v/>
      </c>
      <c r="AL442" s="626" t="str">
        <f>PRIX!E443</f>
        <v/>
      </c>
      <c r="AM442" s="626" t="str">
        <f>PRIX!F443</f>
        <v/>
      </c>
      <c r="AN442" s="627" t="str">
        <f>PRIX!G443</f>
        <v/>
      </c>
      <c r="AO442" s="627" t="str">
        <f>PRIX!H443</f>
        <v/>
      </c>
      <c r="AP442" s="631" t="str">
        <f>PRIX!I443</f>
        <v/>
      </c>
      <c r="AQ442" s="628" t="str">
        <f>PRIX!J443</f>
        <v/>
      </c>
      <c r="AR442" s="631" t="str">
        <f>PRIX!K443</f>
        <v/>
      </c>
      <c r="AS442" s="631" t="str">
        <f>PRIX!L443</f>
        <v/>
      </c>
      <c r="AT442" s="631" t="str">
        <f>PRIX!M443</f>
        <v/>
      </c>
      <c r="AU442" s="629" t="str">
        <f>PRIX!N443</f>
        <v/>
      </c>
      <c r="AV442" s="631" t="str">
        <f>PRIX!O443</f>
        <v/>
      </c>
      <c r="AW442" s="631" t="str">
        <f>PRIX!P443</f>
        <v/>
      </c>
      <c r="AX442" s="630" t="str">
        <f>PRIX!Q443</f>
        <v/>
      </c>
      <c r="AY442" s="631" t="str">
        <f>PRIX!R443</f>
        <v/>
      </c>
      <c r="AZ442" s="631" t="str">
        <f>PRIX!S443</f>
        <v/>
      </c>
      <c r="BA442" s="623"/>
    </row>
    <row r="443">
      <c r="A443" s="621" t="str">
        <f>ARBITRAGES!E444</f>
        <v/>
      </c>
      <c r="B443" s="623" t="str">
        <f>IF(A443="","",IF(ARBITRAGES!F444="Invest","Achat","Vente"))</f>
        <v/>
      </c>
      <c r="C443" s="623" t="str">
        <f>ARBITRAGES!H444</f>
        <v/>
      </c>
      <c r="D443" s="624" t="str">
        <f>ARBITRAGES!I444</f>
        <v/>
      </c>
      <c r="E443" s="624" t="str">
        <f>ARBITRAGES!J444</f>
        <v/>
      </c>
      <c r="F443" s="623"/>
      <c r="G443" s="623" t="str">
        <f>'PV (%)'!B445</f>
        <v/>
      </c>
      <c r="H443" s="624" t="str">
        <f>'PV (%)'!E445</f>
        <v/>
      </c>
      <c r="I443" s="624" t="str">
        <f>'PV (%)'!F445</f>
        <v/>
      </c>
      <c r="J443" s="624" t="str">
        <f>'PV (%)'!G445</f>
        <v/>
      </c>
      <c r="K443" s="623"/>
      <c r="L443" s="621" t="str">
        <f>Exposition!A444</f>
        <v/>
      </c>
      <c r="M443" s="625" t="str">
        <f>Exposition!B444</f>
        <v/>
      </c>
      <c r="N443" s="625" t="str">
        <f>Exposition!C444</f>
        <v/>
      </c>
      <c r="O443" s="625" t="str">
        <f>Exposition!D444</f>
        <v/>
      </c>
      <c r="P443" s="625" t="str">
        <f>Exposition!E444</f>
        <v/>
      </c>
      <c r="Q443" s="625" t="str">
        <f>Exposition!F444</f>
        <v/>
      </c>
      <c r="R443" s="625" t="str">
        <f>Exposition!G444</f>
        <v/>
      </c>
      <c r="S443" s="625" t="str">
        <f>Exposition!H444</f>
        <v/>
      </c>
      <c r="T443" s="625" t="str">
        <f>Exposition!I444</f>
        <v/>
      </c>
      <c r="U443" s="625" t="str">
        <f>Exposition!J444</f>
        <v/>
      </c>
      <c r="V443" s="625" t="str">
        <f>Exposition!K444</f>
        <v/>
      </c>
      <c r="W443" s="625" t="str">
        <f>Exposition!L444</f>
        <v/>
      </c>
      <c r="X443" s="625" t="str">
        <f>Exposition!M444</f>
        <v/>
      </c>
      <c r="Y443" s="625" t="str">
        <f>Exposition!N444</f>
        <v/>
      </c>
      <c r="Z443" s="625" t="str">
        <f>Exposition!O444</f>
        <v/>
      </c>
      <c r="AA443" s="625" t="str">
        <f>Exposition!P444</f>
        <v/>
      </c>
      <c r="AB443" s="625" t="str">
        <f>Exposition!Q444</f>
        <v/>
      </c>
      <c r="AC443" s="625" t="str">
        <f>Exposition!R444</f>
        <v/>
      </c>
      <c r="AD443" s="625" t="str">
        <f>Exposition!S444</f>
        <v/>
      </c>
      <c r="AE443" s="625" t="str">
        <f>Exposition!T444</f>
        <v/>
      </c>
      <c r="AF443" s="625" t="str">
        <f>Exposition!U444</f>
        <v/>
      </c>
      <c r="AG443" s="623"/>
      <c r="AH443" s="621" t="str">
        <f>PRIX!A444</f>
        <v/>
      </c>
      <c r="AI443" s="626" t="str">
        <f>PRIX!B444</f>
        <v/>
      </c>
      <c r="AJ443" s="626" t="str">
        <f>PRIX!C444</f>
        <v/>
      </c>
      <c r="AK443" s="627" t="str">
        <f>PRIX!D444</f>
        <v/>
      </c>
      <c r="AL443" s="626" t="str">
        <f>PRIX!E444</f>
        <v/>
      </c>
      <c r="AM443" s="626" t="str">
        <f>PRIX!F444</f>
        <v/>
      </c>
      <c r="AN443" s="627" t="str">
        <f>PRIX!G444</f>
        <v/>
      </c>
      <c r="AO443" s="627" t="str">
        <f>PRIX!H444</f>
        <v/>
      </c>
      <c r="AP443" s="631" t="str">
        <f>PRIX!I444</f>
        <v/>
      </c>
      <c r="AQ443" s="628" t="str">
        <f>PRIX!J444</f>
        <v/>
      </c>
      <c r="AR443" s="631" t="str">
        <f>PRIX!K444</f>
        <v/>
      </c>
      <c r="AS443" s="631" t="str">
        <f>PRIX!L444</f>
        <v/>
      </c>
      <c r="AT443" s="631" t="str">
        <f>PRIX!M444</f>
        <v/>
      </c>
      <c r="AU443" s="629" t="str">
        <f>PRIX!N444</f>
        <v/>
      </c>
      <c r="AV443" s="631" t="str">
        <f>PRIX!O444</f>
        <v/>
      </c>
      <c r="AW443" s="631" t="str">
        <f>PRIX!P444</f>
        <v/>
      </c>
      <c r="AX443" s="630" t="str">
        <f>PRIX!Q444</f>
        <v/>
      </c>
      <c r="AY443" s="631" t="str">
        <f>PRIX!R444</f>
        <v/>
      </c>
      <c r="AZ443" s="631" t="str">
        <f>PRIX!S444</f>
        <v/>
      </c>
      <c r="BA443" s="623"/>
    </row>
    <row r="444">
      <c r="A444" s="621" t="str">
        <f>ARBITRAGES!E445</f>
        <v/>
      </c>
      <c r="B444" s="623" t="str">
        <f>IF(A444="","",IF(ARBITRAGES!F445="Invest","Achat","Vente"))</f>
        <v/>
      </c>
      <c r="C444" s="623" t="str">
        <f>ARBITRAGES!H445</f>
        <v/>
      </c>
      <c r="D444" s="624" t="str">
        <f>ARBITRAGES!I445</f>
        <v/>
      </c>
      <c r="E444" s="624" t="str">
        <f>ARBITRAGES!J445</f>
        <v/>
      </c>
      <c r="F444" s="623"/>
      <c r="G444" s="623" t="str">
        <f>'PV (%)'!B446</f>
        <v/>
      </c>
      <c r="H444" s="624" t="str">
        <f>'PV (%)'!E446</f>
        <v/>
      </c>
      <c r="I444" s="624" t="str">
        <f>'PV (%)'!F446</f>
        <v/>
      </c>
      <c r="J444" s="624" t="str">
        <f>'PV (%)'!G446</f>
        <v/>
      </c>
      <c r="K444" s="623"/>
      <c r="L444" s="621" t="str">
        <f>Exposition!A445</f>
        <v/>
      </c>
      <c r="M444" s="625" t="str">
        <f>Exposition!B445</f>
        <v/>
      </c>
      <c r="N444" s="625" t="str">
        <f>Exposition!C445</f>
        <v/>
      </c>
      <c r="O444" s="625" t="str">
        <f>Exposition!D445</f>
        <v/>
      </c>
      <c r="P444" s="625" t="str">
        <f>Exposition!E445</f>
        <v/>
      </c>
      <c r="Q444" s="625" t="str">
        <f>Exposition!F445</f>
        <v/>
      </c>
      <c r="R444" s="625" t="str">
        <f>Exposition!G445</f>
        <v/>
      </c>
      <c r="S444" s="625" t="str">
        <f>Exposition!H445</f>
        <v/>
      </c>
      <c r="T444" s="625" t="str">
        <f>Exposition!I445</f>
        <v/>
      </c>
      <c r="U444" s="625" t="str">
        <f>Exposition!J445</f>
        <v/>
      </c>
      <c r="V444" s="625" t="str">
        <f>Exposition!K445</f>
        <v/>
      </c>
      <c r="W444" s="625" t="str">
        <f>Exposition!L445</f>
        <v/>
      </c>
      <c r="X444" s="625" t="str">
        <f>Exposition!M445</f>
        <v/>
      </c>
      <c r="Y444" s="625" t="str">
        <f>Exposition!N445</f>
        <v/>
      </c>
      <c r="Z444" s="625" t="str">
        <f>Exposition!O445</f>
        <v/>
      </c>
      <c r="AA444" s="625" t="str">
        <f>Exposition!P445</f>
        <v/>
      </c>
      <c r="AB444" s="625" t="str">
        <f>Exposition!Q445</f>
        <v/>
      </c>
      <c r="AC444" s="625" t="str">
        <f>Exposition!R445</f>
        <v/>
      </c>
      <c r="AD444" s="625" t="str">
        <f>Exposition!S445</f>
        <v/>
      </c>
      <c r="AE444" s="625" t="str">
        <f>Exposition!T445</f>
        <v/>
      </c>
      <c r="AF444" s="625" t="str">
        <f>Exposition!U445</f>
        <v/>
      </c>
      <c r="AG444" s="623"/>
      <c r="AH444" s="621" t="str">
        <f>PRIX!A445</f>
        <v/>
      </c>
      <c r="AI444" s="626" t="str">
        <f>PRIX!B445</f>
        <v/>
      </c>
      <c r="AJ444" s="626" t="str">
        <f>PRIX!C445</f>
        <v/>
      </c>
      <c r="AK444" s="627" t="str">
        <f>PRIX!D445</f>
        <v/>
      </c>
      <c r="AL444" s="626" t="str">
        <f>PRIX!E445</f>
        <v/>
      </c>
      <c r="AM444" s="626" t="str">
        <f>PRIX!F445</f>
        <v/>
      </c>
      <c r="AN444" s="627" t="str">
        <f>PRIX!G445</f>
        <v/>
      </c>
      <c r="AO444" s="627" t="str">
        <f>PRIX!H445</f>
        <v/>
      </c>
      <c r="AP444" s="631" t="str">
        <f>PRIX!I445</f>
        <v/>
      </c>
      <c r="AQ444" s="628" t="str">
        <f>PRIX!J445</f>
        <v/>
      </c>
      <c r="AR444" s="631" t="str">
        <f>PRIX!K445</f>
        <v/>
      </c>
      <c r="AS444" s="631" t="str">
        <f>PRIX!L445</f>
        <v/>
      </c>
      <c r="AT444" s="631" t="str">
        <f>PRIX!M445</f>
        <v/>
      </c>
      <c r="AU444" s="629" t="str">
        <f>PRIX!N445</f>
        <v/>
      </c>
      <c r="AV444" s="631" t="str">
        <f>PRIX!O445</f>
        <v/>
      </c>
      <c r="AW444" s="631" t="str">
        <f>PRIX!P445</f>
        <v/>
      </c>
      <c r="AX444" s="630" t="str">
        <f>PRIX!Q445</f>
        <v/>
      </c>
      <c r="AY444" s="631" t="str">
        <f>PRIX!R445</f>
        <v/>
      </c>
      <c r="AZ444" s="631" t="str">
        <f>PRIX!S445</f>
        <v/>
      </c>
      <c r="BA444" s="623"/>
    </row>
    <row r="445">
      <c r="A445" s="621" t="str">
        <f>ARBITRAGES!E446</f>
        <v/>
      </c>
      <c r="B445" s="623" t="str">
        <f>IF(A445="","",IF(ARBITRAGES!F446="Invest","Achat","Vente"))</f>
        <v/>
      </c>
      <c r="C445" s="623" t="str">
        <f>ARBITRAGES!H446</f>
        <v/>
      </c>
      <c r="D445" s="624" t="str">
        <f>ARBITRAGES!I446</f>
        <v/>
      </c>
      <c r="E445" s="624" t="str">
        <f>ARBITRAGES!J446</f>
        <v/>
      </c>
      <c r="F445" s="623"/>
      <c r="G445" s="623" t="str">
        <f>'PV (%)'!B447</f>
        <v/>
      </c>
      <c r="H445" s="624" t="str">
        <f>'PV (%)'!E447</f>
        <v/>
      </c>
      <c r="I445" s="624" t="str">
        <f>'PV (%)'!F447</f>
        <v/>
      </c>
      <c r="J445" s="624" t="str">
        <f>'PV (%)'!G447</f>
        <v/>
      </c>
      <c r="K445" s="623"/>
      <c r="L445" s="621" t="str">
        <f>Exposition!A446</f>
        <v/>
      </c>
      <c r="M445" s="625" t="str">
        <f>Exposition!B446</f>
        <v/>
      </c>
      <c r="N445" s="625" t="str">
        <f>Exposition!C446</f>
        <v/>
      </c>
      <c r="O445" s="625" t="str">
        <f>Exposition!D446</f>
        <v/>
      </c>
      <c r="P445" s="625" t="str">
        <f>Exposition!E446</f>
        <v/>
      </c>
      <c r="Q445" s="625" t="str">
        <f>Exposition!F446</f>
        <v/>
      </c>
      <c r="R445" s="625" t="str">
        <f>Exposition!G446</f>
        <v/>
      </c>
      <c r="S445" s="625" t="str">
        <f>Exposition!H446</f>
        <v/>
      </c>
      <c r="T445" s="625" t="str">
        <f>Exposition!I446</f>
        <v/>
      </c>
      <c r="U445" s="625" t="str">
        <f>Exposition!J446</f>
        <v/>
      </c>
      <c r="V445" s="625" t="str">
        <f>Exposition!K446</f>
        <v/>
      </c>
      <c r="W445" s="625" t="str">
        <f>Exposition!L446</f>
        <v/>
      </c>
      <c r="X445" s="625" t="str">
        <f>Exposition!M446</f>
        <v/>
      </c>
      <c r="Y445" s="625" t="str">
        <f>Exposition!N446</f>
        <v/>
      </c>
      <c r="Z445" s="625" t="str">
        <f>Exposition!O446</f>
        <v/>
      </c>
      <c r="AA445" s="625" t="str">
        <f>Exposition!P446</f>
        <v/>
      </c>
      <c r="AB445" s="625" t="str">
        <f>Exposition!Q446</f>
        <v/>
      </c>
      <c r="AC445" s="625" t="str">
        <f>Exposition!R446</f>
        <v/>
      </c>
      <c r="AD445" s="625" t="str">
        <f>Exposition!S446</f>
        <v/>
      </c>
      <c r="AE445" s="625" t="str">
        <f>Exposition!T446</f>
        <v/>
      </c>
      <c r="AF445" s="625" t="str">
        <f>Exposition!U446</f>
        <v/>
      </c>
      <c r="AG445" s="623"/>
      <c r="AH445" s="621" t="str">
        <f>PRIX!A446</f>
        <v/>
      </c>
      <c r="AI445" s="626" t="str">
        <f>PRIX!B446</f>
        <v/>
      </c>
      <c r="AJ445" s="626" t="str">
        <f>PRIX!C446</f>
        <v/>
      </c>
      <c r="AK445" s="627" t="str">
        <f>PRIX!D446</f>
        <v/>
      </c>
      <c r="AL445" s="626" t="str">
        <f>PRIX!E446</f>
        <v/>
      </c>
      <c r="AM445" s="626" t="str">
        <f>PRIX!F446</f>
        <v/>
      </c>
      <c r="AN445" s="627" t="str">
        <f>PRIX!G446</f>
        <v/>
      </c>
      <c r="AO445" s="627" t="str">
        <f>PRIX!H446</f>
        <v/>
      </c>
      <c r="AP445" s="631" t="str">
        <f>PRIX!I446</f>
        <v/>
      </c>
      <c r="AQ445" s="628" t="str">
        <f>PRIX!J446</f>
        <v/>
      </c>
      <c r="AR445" s="631" t="str">
        <f>PRIX!K446</f>
        <v/>
      </c>
      <c r="AS445" s="631" t="str">
        <f>PRIX!L446</f>
        <v/>
      </c>
      <c r="AT445" s="631" t="str">
        <f>PRIX!M446</f>
        <v/>
      </c>
      <c r="AU445" s="629" t="str">
        <f>PRIX!N446</f>
        <v/>
      </c>
      <c r="AV445" s="631" t="str">
        <f>PRIX!O446</f>
        <v/>
      </c>
      <c r="AW445" s="631" t="str">
        <f>PRIX!P446</f>
        <v/>
      </c>
      <c r="AX445" s="630" t="str">
        <f>PRIX!Q446</f>
        <v/>
      </c>
      <c r="AY445" s="631" t="str">
        <f>PRIX!R446</f>
        <v/>
      </c>
      <c r="AZ445" s="631" t="str">
        <f>PRIX!S446</f>
        <v/>
      </c>
      <c r="BA445" s="623"/>
    </row>
    <row r="446">
      <c r="A446" s="621" t="str">
        <f>ARBITRAGES!E447</f>
        <v/>
      </c>
      <c r="B446" s="623" t="str">
        <f>IF(A446="","",IF(ARBITRAGES!F447="Invest","Achat","Vente"))</f>
        <v/>
      </c>
      <c r="C446" s="623" t="str">
        <f>ARBITRAGES!H447</f>
        <v/>
      </c>
      <c r="D446" s="624" t="str">
        <f>ARBITRAGES!I447</f>
        <v/>
      </c>
      <c r="E446" s="624" t="str">
        <f>ARBITRAGES!J447</f>
        <v/>
      </c>
      <c r="F446" s="623"/>
      <c r="G446" s="623" t="str">
        <f>'PV (%)'!B448</f>
        <v/>
      </c>
      <c r="H446" s="624" t="str">
        <f>'PV (%)'!E448</f>
        <v/>
      </c>
      <c r="I446" s="624" t="str">
        <f>'PV (%)'!F448</f>
        <v/>
      </c>
      <c r="J446" s="624" t="str">
        <f>'PV (%)'!G448</f>
        <v/>
      </c>
      <c r="K446" s="623"/>
      <c r="L446" s="621" t="str">
        <f>Exposition!A447</f>
        <v/>
      </c>
      <c r="M446" s="625" t="str">
        <f>Exposition!B447</f>
        <v/>
      </c>
      <c r="N446" s="625" t="str">
        <f>Exposition!C447</f>
        <v/>
      </c>
      <c r="O446" s="625" t="str">
        <f>Exposition!D447</f>
        <v/>
      </c>
      <c r="P446" s="625" t="str">
        <f>Exposition!E447</f>
        <v/>
      </c>
      <c r="Q446" s="625" t="str">
        <f>Exposition!F447</f>
        <v/>
      </c>
      <c r="R446" s="625" t="str">
        <f>Exposition!G447</f>
        <v/>
      </c>
      <c r="S446" s="625" t="str">
        <f>Exposition!H447</f>
        <v/>
      </c>
      <c r="T446" s="625" t="str">
        <f>Exposition!I447</f>
        <v/>
      </c>
      <c r="U446" s="625" t="str">
        <f>Exposition!J447</f>
        <v/>
      </c>
      <c r="V446" s="625" t="str">
        <f>Exposition!K447</f>
        <v/>
      </c>
      <c r="W446" s="625" t="str">
        <f>Exposition!L447</f>
        <v/>
      </c>
      <c r="X446" s="625" t="str">
        <f>Exposition!M447</f>
        <v/>
      </c>
      <c r="Y446" s="625" t="str">
        <f>Exposition!N447</f>
        <v/>
      </c>
      <c r="Z446" s="625" t="str">
        <f>Exposition!O447</f>
        <v/>
      </c>
      <c r="AA446" s="625" t="str">
        <f>Exposition!P447</f>
        <v/>
      </c>
      <c r="AB446" s="625" t="str">
        <f>Exposition!Q447</f>
        <v/>
      </c>
      <c r="AC446" s="625" t="str">
        <f>Exposition!R447</f>
        <v/>
      </c>
      <c r="AD446" s="625" t="str">
        <f>Exposition!S447</f>
        <v/>
      </c>
      <c r="AE446" s="625" t="str">
        <f>Exposition!T447</f>
        <v/>
      </c>
      <c r="AF446" s="625" t="str">
        <f>Exposition!U447</f>
        <v/>
      </c>
      <c r="AG446" s="623"/>
      <c r="AH446" s="621" t="str">
        <f>PRIX!A447</f>
        <v/>
      </c>
      <c r="AI446" s="626" t="str">
        <f>PRIX!B447</f>
        <v/>
      </c>
      <c r="AJ446" s="626" t="str">
        <f>PRIX!C447</f>
        <v/>
      </c>
      <c r="AK446" s="627" t="str">
        <f>PRIX!D447</f>
        <v/>
      </c>
      <c r="AL446" s="626" t="str">
        <f>PRIX!E447</f>
        <v/>
      </c>
      <c r="AM446" s="626" t="str">
        <f>PRIX!F447</f>
        <v/>
      </c>
      <c r="AN446" s="627" t="str">
        <f>PRIX!G447</f>
        <v/>
      </c>
      <c r="AO446" s="627" t="str">
        <f>PRIX!H447</f>
        <v/>
      </c>
      <c r="AP446" s="631" t="str">
        <f>PRIX!I447</f>
        <v/>
      </c>
      <c r="AQ446" s="628" t="str">
        <f>PRIX!J447</f>
        <v/>
      </c>
      <c r="AR446" s="631" t="str">
        <f>PRIX!K447</f>
        <v/>
      </c>
      <c r="AS446" s="631" t="str">
        <f>PRIX!L447</f>
        <v/>
      </c>
      <c r="AT446" s="631" t="str">
        <f>PRIX!M447</f>
        <v/>
      </c>
      <c r="AU446" s="629" t="str">
        <f>PRIX!N447</f>
        <v/>
      </c>
      <c r="AV446" s="631" t="str">
        <f>PRIX!O447</f>
        <v/>
      </c>
      <c r="AW446" s="631" t="str">
        <f>PRIX!P447</f>
        <v/>
      </c>
      <c r="AX446" s="630" t="str">
        <f>PRIX!Q447</f>
        <v/>
      </c>
      <c r="AY446" s="631" t="str">
        <f>PRIX!R447</f>
        <v/>
      </c>
      <c r="AZ446" s="631" t="str">
        <f>PRIX!S447</f>
        <v/>
      </c>
      <c r="BA446" s="623"/>
    </row>
    <row r="447">
      <c r="A447" s="621" t="str">
        <f>ARBITRAGES!E448</f>
        <v/>
      </c>
      <c r="B447" s="623" t="str">
        <f>IF(A447="","",IF(ARBITRAGES!F448="Invest","Achat","Vente"))</f>
        <v/>
      </c>
      <c r="C447" s="623" t="str">
        <f>ARBITRAGES!H448</f>
        <v/>
      </c>
      <c r="D447" s="624" t="str">
        <f>ARBITRAGES!I448</f>
        <v/>
      </c>
      <c r="E447" s="624" t="str">
        <f>ARBITRAGES!J448</f>
        <v/>
      </c>
      <c r="F447" s="623"/>
      <c r="G447" s="623" t="str">
        <f>'PV (%)'!B449</f>
        <v/>
      </c>
      <c r="H447" s="624" t="str">
        <f>'PV (%)'!E449</f>
        <v/>
      </c>
      <c r="I447" s="624" t="str">
        <f>'PV (%)'!F449</f>
        <v/>
      </c>
      <c r="J447" s="624" t="str">
        <f>'PV (%)'!G449</f>
        <v/>
      </c>
      <c r="K447" s="623"/>
      <c r="L447" s="621" t="str">
        <f>Exposition!A448</f>
        <v/>
      </c>
      <c r="M447" s="625" t="str">
        <f>Exposition!B448</f>
        <v/>
      </c>
      <c r="N447" s="625" t="str">
        <f>Exposition!C448</f>
        <v/>
      </c>
      <c r="O447" s="625" t="str">
        <f>Exposition!D448</f>
        <v/>
      </c>
      <c r="P447" s="625" t="str">
        <f>Exposition!E448</f>
        <v/>
      </c>
      <c r="Q447" s="625" t="str">
        <f>Exposition!F448</f>
        <v/>
      </c>
      <c r="R447" s="625" t="str">
        <f>Exposition!G448</f>
        <v/>
      </c>
      <c r="S447" s="625" t="str">
        <f>Exposition!H448</f>
        <v/>
      </c>
      <c r="T447" s="625" t="str">
        <f>Exposition!I448</f>
        <v/>
      </c>
      <c r="U447" s="625" t="str">
        <f>Exposition!J448</f>
        <v/>
      </c>
      <c r="V447" s="625" t="str">
        <f>Exposition!K448</f>
        <v/>
      </c>
      <c r="W447" s="625" t="str">
        <f>Exposition!L448</f>
        <v/>
      </c>
      <c r="X447" s="625" t="str">
        <f>Exposition!M448</f>
        <v/>
      </c>
      <c r="Y447" s="625" t="str">
        <f>Exposition!N448</f>
        <v/>
      </c>
      <c r="Z447" s="625" t="str">
        <f>Exposition!O448</f>
        <v/>
      </c>
      <c r="AA447" s="625" t="str">
        <f>Exposition!P448</f>
        <v/>
      </c>
      <c r="AB447" s="625" t="str">
        <f>Exposition!Q448</f>
        <v/>
      </c>
      <c r="AC447" s="625" t="str">
        <f>Exposition!R448</f>
        <v/>
      </c>
      <c r="AD447" s="625" t="str">
        <f>Exposition!S448</f>
        <v/>
      </c>
      <c r="AE447" s="625" t="str">
        <f>Exposition!T448</f>
        <v/>
      </c>
      <c r="AF447" s="625" t="str">
        <f>Exposition!U448</f>
        <v/>
      </c>
      <c r="AG447" s="623"/>
      <c r="AH447" s="621" t="str">
        <f>PRIX!A448</f>
        <v/>
      </c>
      <c r="AI447" s="626" t="str">
        <f>PRIX!B448</f>
        <v/>
      </c>
      <c r="AJ447" s="626" t="str">
        <f>PRIX!C448</f>
        <v/>
      </c>
      <c r="AK447" s="627" t="str">
        <f>PRIX!D448</f>
        <v/>
      </c>
      <c r="AL447" s="626" t="str">
        <f>PRIX!E448</f>
        <v/>
      </c>
      <c r="AM447" s="626" t="str">
        <f>PRIX!F448</f>
        <v/>
      </c>
      <c r="AN447" s="627" t="str">
        <f>PRIX!G448</f>
        <v/>
      </c>
      <c r="AO447" s="627" t="str">
        <f>PRIX!H448</f>
        <v/>
      </c>
      <c r="AP447" s="631" t="str">
        <f>PRIX!I448</f>
        <v/>
      </c>
      <c r="AQ447" s="628" t="str">
        <f>PRIX!J448</f>
        <v/>
      </c>
      <c r="AR447" s="631" t="str">
        <f>PRIX!K448</f>
        <v/>
      </c>
      <c r="AS447" s="631" t="str">
        <f>PRIX!L448</f>
        <v/>
      </c>
      <c r="AT447" s="631" t="str">
        <f>PRIX!M448</f>
        <v/>
      </c>
      <c r="AU447" s="629" t="str">
        <f>PRIX!N448</f>
        <v/>
      </c>
      <c r="AV447" s="631" t="str">
        <f>PRIX!O448</f>
        <v/>
      </c>
      <c r="AW447" s="631" t="str">
        <f>PRIX!P448</f>
        <v/>
      </c>
      <c r="AX447" s="630" t="str">
        <f>PRIX!Q448</f>
        <v/>
      </c>
      <c r="AY447" s="631" t="str">
        <f>PRIX!R448</f>
        <v/>
      </c>
      <c r="AZ447" s="631" t="str">
        <f>PRIX!S448</f>
        <v/>
      </c>
      <c r="BA447" s="623"/>
    </row>
    <row r="448">
      <c r="A448" s="621" t="str">
        <f>ARBITRAGES!E449</f>
        <v/>
      </c>
      <c r="B448" s="623" t="str">
        <f>IF(A448="","",IF(ARBITRAGES!F449="Invest","Achat","Vente"))</f>
        <v/>
      </c>
      <c r="C448" s="623" t="str">
        <f>ARBITRAGES!H449</f>
        <v/>
      </c>
      <c r="D448" s="624" t="str">
        <f>ARBITRAGES!I449</f>
        <v/>
      </c>
      <c r="E448" s="624" t="str">
        <f>ARBITRAGES!J449</f>
        <v/>
      </c>
      <c r="F448" s="623"/>
      <c r="G448" s="623" t="str">
        <f>'PV (%)'!B450</f>
        <v/>
      </c>
      <c r="H448" s="624" t="str">
        <f>'PV (%)'!E450</f>
        <v/>
      </c>
      <c r="I448" s="624" t="str">
        <f>'PV (%)'!F450</f>
        <v/>
      </c>
      <c r="J448" s="624" t="str">
        <f>'PV (%)'!G450</f>
        <v/>
      </c>
      <c r="K448" s="623"/>
      <c r="L448" s="621" t="str">
        <f>Exposition!A449</f>
        <v/>
      </c>
      <c r="M448" s="625" t="str">
        <f>Exposition!B449</f>
        <v/>
      </c>
      <c r="N448" s="625" t="str">
        <f>Exposition!C449</f>
        <v/>
      </c>
      <c r="O448" s="625" t="str">
        <f>Exposition!D449</f>
        <v/>
      </c>
      <c r="P448" s="625" t="str">
        <f>Exposition!E449</f>
        <v/>
      </c>
      <c r="Q448" s="625" t="str">
        <f>Exposition!F449</f>
        <v/>
      </c>
      <c r="R448" s="625" t="str">
        <f>Exposition!G449</f>
        <v/>
      </c>
      <c r="S448" s="625" t="str">
        <f>Exposition!H449</f>
        <v/>
      </c>
      <c r="T448" s="625" t="str">
        <f>Exposition!I449</f>
        <v/>
      </c>
      <c r="U448" s="625" t="str">
        <f>Exposition!J449</f>
        <v/>
      </c>
      <c r="V448" s="625" t="str">
        <f>Exposition!K449</f>
        <v/>
      </c>
      <c r="W448" s="625" t="str">
        <f>Exposition!L449</f>
        <v/>
      </c>
      <c r="X448" s="625" t="str">
        <f>Exposition!M449</f>
        <v/>
      </c>
      <c r="Y448" s="625" t="str">
        <f>Exposition!N449</f>
        <v/>
      </c>
      <c r="Z448" s="625" t="str">
        <f>Exposition!O449</f>
        <v/>
      </c>
      <c r="AA448" s="625" t="str">
        <f>Exposition!P449</f>
        <v/>
      </c>
      <c r="AB448" s="625" t="str">
        <f>Exposition!Q449</f>
        <v/>
      </c>
      <c r="AC448" s="625" t="str">
        <f>Exposition!R449</f>
        <v/>
      </c>
      <c r="AD448" s="625" t="str">
        <f>Exposition!S449</f>
        <v/>
      </c>
      <c r="AE448" s="625" t="str">
        <f>Exposition!T449</f>
        <v/>
      </c>
      <c r="AF448" s="625" t="str">
        <f>Exposition!U449</f>
        <v/>
      </c>
      <c r="AG448" s="623"/>
      <c r="AH448" s="621" t="str">
        <f>PRIX!A449</f>
        <v/>
      </c>
      <c r="AI448" s="626" t="str">
        <f>PRIX!B449</f>
        <v/>
      </c>
      <c r="AJ448" s="626" t="str">
        <f>PRIX!C449</f>
        <v/>
      </c>
      <c r="AK448" s="627" t="str">
        <f>PRIX!D449</f>
        <v/>
      </c>
      <c r="AL448" s="626" t="str">
        <f>PRIX!E449</f>
        <v/>
      </c>
      <c r="AM448" s="626" t="str">
        <f>PRIX!F449</f>
        <v/>
      </c>
      <c r="AN448" s="627" t="str">
        <f>PRIX!G449</f>
        <v/>
      </c>
      <c r="AO448" s="627" t="str">
        <f>PRIX!H449</f>
        <v/>
      </c>
      <c r="AP448" s="631" t="str">
        <f>PRIX!I449</f>
        <v/>
      </c>
      <c r="AQ448" s="628" t="str">
        <f>PRIX!J449</f>
        <v/>
      </c>
      <c r="AR448" s="631" t="str">
        <f>PRIX!K449</f>
        <v/>
      </c>
      <c r="AS448" s="631" t="str">
        <f>PRIX!L449</f>
        <v/>
      </c>
      <c r="AT448" s="631" t="str">
        <f>PRIX!M449</f>
        <v/>
      </c>
      <c r="AU448" s="629" t="str">
        <f>PRIX!N449</f>
        <v/>
      </c>
      <c r="AV448" s="631" t="str">
        <f>PRIX!O449</f>
        <v/>
      </c>
      <c r="AW448" s="631" t="str">
        <f>PRIX!P449</f>
        <v/>
      </c>
      <c r="AX448" s="630" t="str">
        <f>PRIX!Q449</f>
        <v/>
      </c>
      <c r="AY448" s="631" t="str">
        <f>PRIX!R449</f>
        <v/>
      </c>
      <c r="AZ448" s="631" t="str">
        <f>PRIX!S449</f>
        <v/>
      </c>
      <c r="BA448" s="623"/>
    </row>
    <row r="449">
      <c r="A449" s="621" t="str">
        <f>ARBITRAGES!E450</f>
        <v/>
      </c>
      <c r="B449" s="623" t="str">
        <f>IF(A449="","",IF(ARBITRAGES!F450="Invest","Achat","Vente"))</f>
        <v/>
      </c>
      <c r="C449" s="623" t="str">
        <f>ARBITRAGES!H450</f>
        <v/>
      </c>
      <c r="D449" s="624" t="str">
        <f>ARBITRAGES!I450</f>
        <v/>
      </c>
      <c r="E449" s="624" t="str">
        <f>ARBITRAGES!J450</f>
        <v/>
      </c>
      <c r="F449" s="623"/>
      <c r="G449" s="623" t="str">
        <f>'PV (%)'!B451</f>
        <v/>
      </c>
      <c r="H449" s="624" t="str">
        <f>'PV (%)'!E451</f>
        <v/>
      </c>
      <c r="I449" s="624" t="str">
        <f>'PV (%)'!F451</f>
        <v/>
      </c>
      <c r="J449" s="624" t="str">
        <f>'PV (%)'!G451</f>
        <v/>
      </c>
      <c r="K449" s="623"/>
      <c r="L449" s="621" t="str">
        <f>Exposition!A450</f>
        <v/>
      </c>
      <c r="M449" s="625" t="str">
        <f>Exposition!B450</f>
        <v/>
      </c>
      <c r="N449" s="625" t="str">
        <f>Exposition!C450</f>
        <v/>
      </c>
      <c r="O449" s="625" t="str">
        <f>Exposition!D450</f>
        <v/>
      </c>
      <c r="P449" s="625" t="str">
        <f>Exposition!E450</f>
        <v/>
      </c>
      <c r="Q449" s="625" t="str">
        <f>Exposition!F450</f>
        <v/>
      </c>
      <c r="R449" s="625" t="str">
        <f>Exposition!G450</f>
        <v/>
      </c>
      <c r="S449" s="625" t="str">
        <f>Exposition!H450</f>
        <v/>
      </c>
      <c r="T449" s="625" t="str">
        <f>Exposition!I450</f>
        <v/>
      </c>
      <c r="U449" s="625" t="str">
        <f>Exposition!J450</f>
        <v/>
      </c>
      <c r="V449" s="625" t="str">
        <f>Exposition!K450</f>
        <v/>
      </c>
      <c r="W449" s="625" t="str">
        <f>Exposition!L450</f>
        <v/>
      </c>
      <c r="X449" s="625" t="str">
        <f>Exposition!M450</f>
        <v/>
      </c>
      <c r="Y449" s="625" t="str">
        <f>Exposition!N450</f>
        <v/>
      </c>
      <c r="Z449" s="625" t="str">
        <f>Exposition!O450</f>
        <v/>
      </c>
      <c r="AA449" s="625" t="str">
        <f>Exposition!P450</f>
        <v/>
      </c>
      <c r="AB449" s="625" t="str">
        <f>Exposition!Q450</f>
        <v/>
      </c>
      <c r="AC449" s="625" t="str">
        <f>Exposition!R450</f>
        <v/>
      </c>
      <c r="AD449" s="625" t="str">
        <f>Exposition!S450</f>
        <v/>
      </c>
      <c r="AE449" s="625" t="str">
        <f>Exposition!T450</f>
        <v/>
      </c>
      <c r="AF449" s="625" t="str">
        <f>Exposition!U450</f>
        <v/>
      </c>
      <c r="AG449" s="623"/>
      <c r="AH449" s="621" t="str">
        <f>PRIX!A450</f>
        <v/>
      </c>
      <c r="AI449" s="626" t="str">
        <f>PRIX!B450</f>
        <v/>
      </c>
      <c r="AJ449" s="626" t="str">
        <f>PRIX!C450</f>
        <v/>
      </c>
      <c r="AK449" s="627" t="str">
        <f>PRIX!D450</f>
        <v/>
      </c>
      <c r="AL449" s="626" t="str">
        <f>PRIX!E450</f>
        <v/>
      </c>
      <c r="AM449" s="626" t="str">
        <f>PRIX!F450</f>
        <v/>
      </c>
      <c r="AN449" s="627" t="str">
        <f>PRIX!G450</f>
        <v/>
      </c>
      <c r="AO449" s="627" t="str">
        <f>PRIX!H450</f>
        <v/>
      </c>
      <c r="AP449" s="631" t="str">
        <f>PRIX!I450</f>
        <v/>
      </c>
      <c r="AQ449" s="628" t="str">
        <f>PRIX!J450</f>
        <v/>
      </c>
      <c r="AR449" s="631" t="str">
        <f>PRIX!K450</f>
        <v/>
      </c>
      <c r="AS449" s="631" t="str">
        <f>PRIX!L450</f>
        <v/>
      </c>
      <c r="AT449" s="631" t="str">
        <f>PRIX!M450</f>
        <v/>
      </c>
      <c r="AU449" s="629" t="str">
        <f>PRIX!N450</f>
        <v/>
      </c>
      <c r="AV449" s="631" t="str">
        <f>PRIX!O450</f>
        <v/>
      </c>
      <c r="AW449" s="631" t="str">
        <f>PRIX!P450</f>
        <v/>
      </c>
      <c r="AX449" s="630" t="str">
        <f>PRIX!Q450</f>
        <v/>
      </c>
      <c r="AY449" s="631" t="str">
        <f>PRIX!R450</f>
        <v/>
      </c>
      <c r="AZ449" s="631" t="str">
        <f>PRIX!S450</f>
        <v/>
      </c>
      <c r="BA449" s="623"/>
    </row>
    <row r="450">
      <c r="A450" s="621" t="str">
        <f>ARBITRAGES!E451</f>
        <v/>
      </c>
      <c r="B450" s="623" t="str">
        <f>IF(A450="","",IF(ARBITRAGES!F451="Invest","Achat","Vente"))</f>
        <v/>
      </c>
      <c r="C450" s="623" t="str">
        <f>ARBITRAGES!H451</f>
        <v/>
      </c>
      <c r="D450" s="624" t="str">
        <f>ARBITRAGES!I451</f>
        <v/>
      </c>
      <c r="E450" s="624" t="str">
        <f>ARBITRAGES!J451</f>
        <v/>
      </c>
      <c r="F450" s="623"/>
      <c r="G450" s="623" t="str">
        <f>'PV (%)'!B452</f>
        <v/>
      </c>
      <c r="H450" s="624" t="str">
        <f>'PV (%)'!E452</f>
        <v/>
      </c>
      <c r="I450" s="624" t="str">
        <f>'PV (%)'!F452</f>
        <v/>
      </c>
      <c r="J450" s="624" t="str">
        <f>'PV (%)'!G452</f>
        <v/>
      </c>
      <c r="K450" s="623"/>
      <c r="L450" s="621" t="str">
        <f>Exposition!A451</f>
        <v/>
      </c>
      <c r="M450" s="625" t="str">
        <f>Exposition!B451</f>
        <v/>
      </c>
      <c r="N450" s="625" t="str">
        <f>Exposition!C451</f>
        <v/>
      </c>
      <c r="O450" s="625" t="str">
        <f>Exposition!D451</f>
        <v/>
      </c>
      <c r="P450" s="625" t="str">
        <f>Exposition!E451</f>
        <v/>
      </c>
      <c r="Q450" s="625" t="str">
        <f>Exposition!F451</f>
        <v/>
      </c>
      <c r="R450" s="625" t="str">
        <f>Exposition!G451</f>
        <v/>
      </c>
      <c r="S450" s="625" t="str">
        <f>Exposition!H451</f>
        <v/>
      </c>
      <c r="T450" s="625" t="str">
        <f>Exposition!I451</f>
        <v/>
      </c>
      <c r="U450" s="625" t="str">
        <f>Exposition!J451</f>
        <v/>
      </c>
      <c r="V450" s="625" t="str">
        <f>Exposition!K451</f>
        <v/>
      </c>
      <c r="W450" s="625" t="str">
        <f>Exposition!L451</f>
        <v/>
      </c>
      <c r="X450" s="625" t="str">
        <f>Exposition!M451</f>
        <v/>
      </c>
      <c r="Y450" s="625" t="str">
        <f>Exposition!N451</f>
        <v/>
      </c>
      <c r="Z450" s="625" t="str">
        <f>Exposition!O451</f>
        <v/>
      </c>
      <c r="AA450" s="625" t="str">
        <f>Exposition!P451</f>
        <v/>
      </c>
      <c r="AB450" s="625" t="str">
        <f>Exposition!Q451</f>
        <v/>
      </c>
      <c r="AC450" s="625" t="str">
        <f>Exposition!R451</f>
        <v/>
      </c>
      <c r="AD450" s="625" t="str">
        <f>Exposition!S451</f>
        <v/>
      </c>
      <c r="AE450" s="625" t="str">
        <f>Exposition!T451</f>
        <v/>
      </c>
      <c r="AF450" s="625" t="str">
        <f>Exposition!U451</f>
        <v/>
      </c>
      <c r="AG450" s="623"/>
      <c r="AH450" s="621" t="str">
        <f>PRIX!A451</f>
        <v/>
      </c>
      <c r="AI450" s="626" t="str">
        <f>PRIX!B451</f>
        <v/>
      </c>
      <c r="AJ450" s="626" t="str">
        <f>PRIX!C451</f>
        <v/>
      </c>
      <c r="AK450" s="627" t="str">
        <f>PRIX!D451</f>
        <v/>
      </c>
      <c r="AL450" s="626" t="str">
        <f>PRIX!E451</f>
        <v/>
      </c>
      <c r="AM450" s="626" t="str">
        <f>PRIX!F451</f>
        <v/>
      </c>
      <c r="AN450" s="627" t="str">
        <f>PRIX!G451</f>
        <v/>
      </c>
      <c r="AO450" s="627" t="str">
        <f>PRIX!H451</f>
        <v/>
      </c>
      <c r="AP450" s="631" t="str">
        <f>PRIX!I451</f>
        <v/>
      </c>
      <c r="AQ450" s="628" t="str">
        <f>PRIX!J451</f>
        <v/>
      </c>
      <c r="AR450" s="631" t="str">
        <f>PRIX!K451</f>
        <v/>
      </c>
      <c r="AS450" s="631" t="str">
        <f>PRIX!L451</f>
        <v/>
      </c>
      <c r="AT450" s="631" t="str">
        <f>PRIX!M451</f>
        <v/>
      </c>
      <c r="AU450" s="629" t="str">
        <f>PRIX!N451</f>
        <v/>
      </c>
      <c r="AV450" s="631" t="str">
        <f>PRIX!O451</f>
        <v/>
      </c>
      <c r="AW450" s="631" t="str">
        <f>PRIX!P451</f>
        <v/>
      </c>
      <c r="AX450" s="630" t="str">
        <f>PRIX!Q451</f>
        <v/>
      </c>
      <c r="AY450" s="631" t="str">
        <f>PRIX!R451</f>
        <v/>
      </c>
      <c r="AZ450" s="631" t="str">
        <f>PRIX!S451</f>
        <v/>
      </c>
      <c r="BA450" s="623"/>
    </row>
    <row r="451">
      <c r="A451" s="621" t="str">
        <f>ARBITRAGES!E452</f>
        <v/>
      </c>
      <c r="B451" s="623" t="str">
        <f>IF(A451="","",IF(ARBITRAGES!F452="Invest","Achat","Vente"))</f>
        <v/>
      </c>
      <c r="C451" s="623" t="str">
        <f>ARBITRAGES!H452</f>
        <v/>
      </c>
      <c r="D451" s="624" t="str">
        <f>ARBITRAGES!I452</f>
        <v/>
      </c>
      <c r="E451" s="624" t="str">
        <f>ARBITRAGES!J452</f>
        <v/>
      </c>
      <c r="F451" s="623"/>
      <c r="G451" s="623" t="str">
        <f>'PV (%)'!B453</f>
        <v/>
      </c>
      <c r="H451" s="624" t="str">
        <f>'PV (%)'!E453</f>
        <v/>
      </c>
      <c r="I451" s="624" t="str">
        <f>'PV (%)'!F453</f>
        <v/>
      </c>
      <c r="J451" s="624" t="str">
        <f>'PV (%)'!G453</f>
        <v/>
      </c>
      <c r="K451" s="623"/>
      <c r="L451" s="621" t="str">
        <f>Exposition!A452</f>
        <v/>
      </c>
      <c r="M451" s="625" t="str">
        <f>Exposition!B452</f>
        <v/>
      </c>
      <c r="N451" s="625" t="str">
        <f>Exposition!C452</f>
        <v/>
      </c>
      <c r="O451" s="625" t="str">
        <f>Exposition!D452</f>
        <v/>
      </c>
      <c r="P451" s="625" t="str">
        <f>Exposition!E452</f>
        <v/>
      </c>
      <c r="Q451" s="625" t="str">
        <f>Exposition!F452</f>
        <v/>
      </c>
      <c r="R451" s="625" t="str">
        <f>Exposition!G452</f>
        <v/>
      </c>
      <c r="S451" s="625" t="str">
        <f>Exposition!H452</f>
        <v/>
      </c>
      <c r="T451" s="625" t="str">
        <f>Exposition!I452</f>
        <v/>
      </c>
      <c r="U451" s="625" t="str">
        <f>Exposition!J452</f>
        <v/>
      </c>
      <c r="V451" s="625" t="str">
        <f>Exposition!K452</f>
        <v/>
      </c>
      <c r="W451" s="625" t="str">
        <f>Exposition!L452</f>
        <v/>
      </c>
      <c r="X451" s="625" t="str">
        <f>Exposition!M452</f>
        <v/>
      </c>
      <c r="Y451" s="625" t="str">
        <f>Exposition!N452</f>
        <v/>
      </c>
      <c r="Z451" s="625" t="str">
        <f>Exposition!O452</f>
        <v/>
      </c>
      <c r="AA451" s="625" t="str">
        <f>Exposition!P452</f>
        <v/>
      </c>
      <c r="AB451" s="625" t="str">
        <f>Exposition!Q452</f>
        <v/>
      </c>
      <c r="AC451" s="625" t="str">
        <f>Exposition!R452</f>
        <v/>
      </c>
      <c r="AD451" s="625" t="str">
        <f>Exposition!S452</f>
        <v/>
      </c>
      <c r="AE451" s="625" t="str">
        <f>Exposition!T452</f>
        <v/>
      </c>
      <c r="AF451" s="625" t="str">
        <f>Exposition!U452</f>
        <v/>
      </c>
      <c r="AG451" s="623"/>
      <c r="AH451" s="621" t="str">
        <f>PRIX!A452</f>
        <v/>
      </c>
      <c r="AI451" s="626" t="str">
        <f>PRIX!B452</f>
        <v/>
      </c>
      <c r="AJ451" s="626" t="str">
        <f>PRIX!C452</f>
        <v/>
      </c>
      <c r="AK451" s="627" t="str">
        <f>PRIX!D452</f>
        <v/>
      </c>
      <c r="AL451" s="626" t="str">
        <f>PRIX!E452</f>
        <v/>
      </c>
      <c r="AM451" s="626" t="str">
        <f>PRIX!F452</f>
        <v/>
      </c>
      <c r="AN451" s="627" t="str">
        <f>PRIX!G452</f>
        <v/>
      </c>
      <c r="AO451" s="627" t="str">
        <f>PRIX!H452</f>
        <v/>
      </c>
      <c r="AP451" s="631" t="str">
        <f>PRIX!I452</f>
        <v/>
      </c>
      <c r="AQ451" s="628" t="str">
        <f>PRIX!J452</f>
        <v/>
      </c>
      <c r="AR451" s="631" t="str">
        <f>PRIX!K452</f>
        <v/>
      </c>
      <c r="AS451" s="631" t="str">
        <f>PRIX!L452</f>
        <v/>
      </c>
      <c r="AT451" s="631" t="str">
        <f>PRIX!M452</f>
        <v/>
      </c>
      <c r="AU451" s="629" t="str">
        <f>PRIX!N452</f>
        <v/>
      </c>
      <c r="AV451" s="631" t="str">
        <f>PRIX!O452</f>
        <v/>
      </c>
      <c r="AW451" s="631" t="str">
        <f>PRIX!P452</f>
        <v/>
      </c>
      <c r="AX451" s="630" t="str">
        <f>PRIX!Q452</f>
        <v/>
      </c>
      <c r="AY451" s="631" t="str">
        <f>PRIX!R452</f>
        <v/>
      </c>
      <c r="AZ451" s="631" t="str">
        <f>PRIX!S452</f>
        <v/>
      </c>
      <c r="BA451" s="623"/>
    </row>
    <row r="452">
      <c r="A452" s="621" t="str">
        <f>ARBITRAGES!E453</f>
        <v/>
      </c>
      <c r="B452" s="623" t="str">
        <f>IF(A452="","",IF(ARBITRAGES!F453="Invest","Achat","Vente"))</f>
        <v/>
      </c>
      <c r="C452" s="623" t="str">
        <f>ARBITRAGES!H453</f>
        <v/>
      </c>
      <c r="D452" s="624" t="str">
        <f>ARBITRAGES!I453</f>
        <v/>
      </c>
      <c r="E452" s="624" t="str">
        <f>ARBITRAGES!J453</f>
        <v/>
      </c>
      <c r="F452" s="623"/>
      <c r="G452" s="623" t="str">
        <f>'PV (%)'!B454</f>
        <v/>
      </c>
      <c r="H452" s="624" t="str">
        <f>'PV (%)'!E454</f>
        <v/>
      </c>
      <c r="I452" s="624" t="str">
        <f>'PV (%)'!F454</f>
        <v/>
      </c>
      <c r="J452" s="624" t="str">
        <f>'PV (%)'!G454</f>
        <v/>
      </c>
      <c r="K452" s="623"/>
      <c r="L452" s="621" t="str">
        <f>Exposition!A453</f>
        <v/>
      </c>
      <c r="M452" s="625" t="str">
        <f>Exposition!B453</f>
        <v/>
      </c>
      <c r="N452" s="625" t="str">
        <f>Exposition!C453</f>
        <v/>
      </c>
      <c r="O452" s="625" t="str">
        <f>Exposition!D453</f>
        <v/>
      </c>
      <c r="P452" s="625" t="str">
        <f>Exposition!E453</f>
        <v/>
      </c>
      <c r="Q452" s="625" t="str">
        <f>Exposition!F453</f>
        <v/>
      </c>
      <c r="R452" s="625" t="str">
        <f>Exposition!G453</f>
        <v/>
      </c>
      <c r="S452" s="625" t="str">
        <f>Exposition!H453</f>
        <v/>
      </c>
      <c r="T452" s="625" t="str">
        <f>Exposition!I453</f>
        <v/>
      </c>
      <c r="U452" s="625" t="str">
        <f>Exposition!J453</f>
        <v/>
      </c>
      <c r="V452" s="625" t="str">
        <f>Exposition!K453</f>
        <v/>
      </c>
      <c r="W452" s="625" t="str">
        <f>Exposition!L453</f>
        <v/>
      </c>
      <c r="X452" s="625" t="str">
        <f>Exposition!M453</f>
        <v/>
      </c>
      <c r="Y452" s="625" t="str">
        <f>Exposition!N453</f>
        <v/>
      </c>
      <c r="Z452" s="625" t="str">
        <f>Exposition!O453</f>
        <v/>
      </c>
      <c r="AA452" s="625" t="str">
        <f>Exposition!P453</f>
        <v/>
      </c>
      <c r="AB452" s="625" t="str">
        <f>Exposition!Q453</f>
        <v/>
      </c>
      <c r="AC452" s="625" t="str">
        <f>Exposition!R453</f>
        <v/>
      </c>
      <c r="AD452" s="625" t="str">
        <f>Exposition!S453</f>
        <v/>
      </c>
      <c r="AE452" s="625" t="str">
        <f>Exposition!T453</f>
        <v/>
      </c>
      <c r="AF452" s="625" t="str">
        <f>Exposition!U453</f>
        <v/>
      </c>
      <c r="AG452" s="623"/>
      <c r="AH452" s="621" t="str">
        <f>PRIX!A453</f>
        <v/>
      </c>
      <c r="AI452" s="626" t="str">
        <f>PRIX!B453</f>
        <v/>
      </c>
      <c r="AJ452" s="626" t="str">
        <f>PRIX!C453</f>
        <v/>
      </c>
      <c r="AK452" s="627" t="str">
        <f>PRIX!D453</f>
        <v/>
      </c>
      <c r="AL452" s="626" t="str">
        <f>PRIX!E453</f>
        <v/>
      </c>
      <c r="AM452" s="626" t="str">
        <f>PRIX!F453</f>
        <v/>
      </c>
      <c r="AN452" s="627" t="str">
        <f>PRIX!G453</f>
        <v/>
      </c>
      <c r="AO452" s="627" t="str">
        <f>PRIX!H453</f>
        <v/>
      </c>
      <c r="AP452" s="631" t="str">
        <f>PRIX!I453</f>
        <v/>
      </c>
      <c r="AQ452" s="628" t="str">
        <f>PRIX!J453</f>
        <v/>
      </c>
      <c r="AR452" s="631" t="str">
        <f>PRIX!K453</f>
        <v/>
      </c>
      <c r="AS452" s="631" t="str">
        <f>PRIX!L453</f>
        <v/>
      </c>
      <c r="AT452" s="631" t="str">
        <f>PRIX!M453</f>
        <v/>
      </c>
      <c r="AU452" s="629" t="str">
        <f>PRIX!N453</f>
        <v/>
      </c>
      <c r="AV452" s="631" t="str">
        <f>PRIX!O453</f>
        <v/>
      </c>
      <c r="AW452" s="631" t="str">
        <f>PRIX!P453</f>
        <v/>
      </c>
      <c r="AX452" s="630" t="str">
        <f>PRIX!Q453</f>
        <v/>
      </c>
      <c r="AY452" s="631" t="str">
        <f>PRIX!R453</f>
        <v/>
      </c>
      <c r="AZ452" s="631" t="str">
        <f>PRIX!S453</f>
        <v/>
      </c>
      <c r="BA452" s="623"/>
    </row>
    <row r="453">
      <c r="A453" s="621" t="str">
        <f>ARBITRAGES!E454</f>
        <v/>
      </c>
      <c r="B453" s="623" t="str">
        <f>IF(A453="","",IF(ARBITRAGES!F454="Invest","Achat","Vente"))</f>
        <v/>
      </c>
      <c r="C453" s="623" t="str">
        <f>ARBITRAGES!H454</f>
        <v/>
      </c>
      <c r="D453" s="624" t="str">
        <f>ARBITRAGES!I454</f>
        <v/>
      </c>
      <c r="E453" s="624" t="str">
        <f>ARBITRAGES!J454</f>
        <v/>
      </c>
      <c r="F453" s="623"/>
      <c r="G453" s="623" t="str">
        <f>'PV (%)'!B455</f>
        <v/>
      </c>
      <c r="H453" s="624" t="str">
        <f>'PV (%)'!E455</f>
        <v/>
      </c>
      <c r="I453" s="624" t="str">
        <f>'PV (%)'!F455</f>
        <v/>
      </c>
      <c r="J453" s="624" t="str">
        <f>'PV (%)'!G455</f>
        <v/>
      </c>
      <c r="K453" s="623"/>
      <c r="L453" s="621" t="str">
        <f>Exposition!A454</f>
        <v/>
      </c>
      <c r="M453" s="625" t="str">
        <f>Exposition!B454</f>
        <v/>
      </c>
      <c r="N453" s="625" t="str">
        <f>Exposition!C454</f>
        <v/>
      </c>
      <c r="O453" s="625" t="str">
        <f>Exposition!D454</f>
        <v/>
      </c>
      <c r="P453" s="625" t="str">
        <f>Exposition!E454</f>
        <v/>
      </c>
      <c r="Q453" s="625" t="str">
        <f>Exposition!F454</f>
        <v/>
      </c>
      <c r="R453" s="625" t="str">
        <f>Exposition!G454</f>
        <v/>
      </c>
      <c r="S453" s="625" t="str">
        <f>Exposition!H454</f>
        <v/>
      </c>
      <c r="T453" s="625" t="str">
        <f>Exposition!I454</f>
        <v/>
      </c>
      <c r="U453" s="625" t="str">
        <f>Exposition!J454</f>
        <v/>
      </c>
      <c r="V453" s="625" t="str">
        <f>Exposition!K454</f>
        <v/>
      </c>
      <c r="W453" s="625" t="str">
        <f>Exposition!L454</f>
        <v/>
      </c>
      <c r="X453" s="625" t="str">
        <f>Exposition!M454</f>
        <v/>
      </c>
      <c r="Y453" s="625" t="str">
        <f>Exposition!N454</f>
        <v/>
      </c>
      <c r="Z453" s="625" t="str">
        <f>Exposition!O454</f>
        <v/>
      </c>
      <c r="AA453" s="625" t="str">
        <f>Exposition!P454</f>
        <v/>
      </c>
      <c r="AB453" s="625" t="str">
        <f>Exposition!Q454</f>
        <v/>
      </c>
      <c r="AC453" s="625" t="str">
        <f>Exposition!R454</f>
        <v/>
      </c>
      <c r="AD453" s="625" t="str">
        <f>Exposition!S454</f>
        <v/>
      </c>
      <c r="AE453" s="625" t="str">
        <f>Exposition!T454</f>
        <v/>
      </c>
      <c r="AF453" s="625" t="str">
        <f>Exposition!U454</f>
        <v/>
      </c>
      <c r="AG453" s="623"/>
      <c r="AH453" s="621" t="str">
        <f>PRIX!A454</f>
        <v/>
      </c>
      <c r="AI453" s="626" t="str">
        <f>PRIX!B454</f>
        <v/>
      </c>
      <c r="AJ453" s="626" t="str">
        <f>PRIX!C454</f>
        <v/>
      </c>
      <c r="AK453" s="627" t="str">
        <f>PRIX!D454</f>
        <v/>
      </c>
      <c r="AL453" s="626" t="str">
        <f>PRIX!E454</f>
        <v/>
      </c>
      <c r="AM453" s="626" t="str">
        <f>PRIX!F454</f>
        <v/>
      </c>
      <c r="AN453" s="627" t="str">
        <f>PRIX!G454</f>
        <v/>
      </c>
      <c r="AO453" s="627" t="str">
        <f>PRIX!H454</f>
        <v/>
      </c>
      <c r="AP453" s="631" t="str">
        <f>PRIX!I454</f>
        <v/>
      </c>
      <c r="AQ453" s="628" t="str">
        <f>PRIX!J454</f>
        <v/>
      </c>
      <c r="AR453" s="631" t="str">
        <f>PRIX!K454</f>
        <v/>
      </c>
      <c r="AS453" s="631" t="str">
        <f>PRIX!L454</f>
        <v/>
      </c>
      <c r="AT453" s="631" t="str">
        <f>PRIX!M454</f>
        <v/>
      </c>
      <c r="AU453" s="629" t="str">
        <f>PRIX!N454</f>
        <v/>
      </c>
      <c r="AV453" s="631" t="str">
        <f>PRIX!O454</f>
        <v/>
      </c>
      <c r="AW453" s="631" t="str">
        <f>PRIX!P454</f>
        <v/>
      </c>
      <c r="AX453" s="630" t="str">
        <f>PRIX!Q454</f>
        <v/>
      </c>
      <c r="AY453" s="631" t="str">
        <f>PRIX!R454</f>
        <v/>
      </c>
      <c r="AZ453" s="631" t="str">
        <f>PRIX!S454</f>
        <v/>
      </c>
      <c r="BA453" s="623"/>
    </row>
    <row r="454">
      <c r="A454" s="621" t="str">
        <f>ARBITRAGES!E455</f>
        <v/>
      </c>
      <c r="B454" s="623" t="str">
        <f>IF(A454="","",IF(ARBITRAGES!F455="Invest","Achat","Vente"))</f>
        <v/>
      </c>
      <c r="C454" s="623" t="str">
        <f>ARBITRAGES!H455</f>
        <v/>
      </c>
      <c r="D454" s="624" t="str">
        <f>ARBITRAGES!I455</f>
        <v/>
      </c>
      <c r="E454" s="624" t="str">
        <f>ARBITRAGES!J455</f>
        <v/>
      </c>
      <c r="F454" s="623"/>
      <c r="G454" s="623" t="str">
        <f>'PV (%)'!B456</f>
        <v/>
      </c>
      <c r="H454" s="624" t="str">
        <f>'PV (%)'!E456</f>
        <v/>
      </c>
      <c r="I454" s="624" t="str">
        <f>'PV (%)'!F456</f>
        <v/>
      </c>
      <c r="J454" s="624" t="str">
        <f>'PV (%)'!G456</f>
        <v/>
      </c>
      <c r="K454" s="623"/>
      <c r="L454" s="621" t="str">
        <f>Exposition!A455</f>
        <v/>
      </c>
      <c r="M454" s="625" t="str">
        <f>Exposition!B455</f>
        <v/>
      </c>
      <c r="N454" s="625" t="str">
        <f>Exposition!C455</f>
        <v/>
      </c>
      <c r="O454" s="625" t="str">
        <f>Exposition!D455</f>
        <v/>
      </c>
      <c r="P454" s="625" t="str">
        <f>Exposition!E455</f>
        <v/>
      </c>
      <c r="Q454" s="625" t="str">
        <f>Exposition!F455</f>
        <v/>
      </c>
      <c r="R454" s="625" t="str">
        <f>Exposition!G455</f>
        <v/>
      </c>
      <c r="S454" s="625" t="str">
        <f>Exposition!H455</f>
        <v/>
      </c>
      <c r="T454" s="625" t="str">
        <f>Exposition!I455</f>
        <v/>
      </c>
      <c r="U454" s="625" t="str">
        <f>Exposition!J455</f>
        <v/>
      </c>
      <c r="V454" s="625" t="str">
        <f>Exposition!K455</f>
        <v/>
      </c>
      <c r="W454" s="625" t="str">
        <f>Exposition!L455</f>
        <v/>
      </c>
      <c r="X454" s="625" t="str">
        <f>Exposition!M455</f>
        <v/>
      </c>
      <c r="Y454" s="625" t="str">
        <f>Exposition!N455</f>
        <v/>
      </c>
      <c r="Z454" s="625" t="str">
        <f>Exposition!O455</f>
        <v/>
      </c>
      <c r="AA454" s="625" t="str">
        <f>Exposition!P455</f>
        <v/>
      </c>
      <c r="AB454" s="625" t="str">
        <f>Exposition!Q455</f>
        <v/>
      </c>
      <c r="AC454" s="625" t="str">
        <f>Exposition!R455</f>
        <v/>
      </c>
      <c r="AD454" s="625" t="str">
        <f>Exposition!S455</f>
        <v/>
      </c>
      <c r="AE454" s="625" t="str">
        <f>Exposition!T455</f>
        <v/>
      </c>
      <c r="AF454" s="625" t="str">
        <f>Exposition!U455</f>
        <v/>
      </c>
      <c r="AG454" s="623"/>
      <c r="AH454" s="621" t="str">
        <f>PRIX!A455</f>
        <v/>
      </c>
      <c r="AI454" s="626" t="str">
        <f>PRIX!B455</f>
        <v/>
      </c>
      <c r="AJ454" s="626" t="str">
        <f>PRIX!C455</f>
        <v/>
      </c>
      <c r="AK454" s="627" t="str">
        <f>PRIX!D455</f>
        <v/>
      </c>
      <c r="AL454" s="626" t="str">
        <f>PRIX!E455</f>
        <v/>
      </c>
      <c r="AM454" s="626" t="str">
        <f>PRIX!F455</f>
        <v/>
      </c>
      <c r="AN454" s="627" t="str">
        <f>PRIX!G455</f>
        <v/>
      </c>
      <c r="AO454" s="627" t="str">
        <f>PRIX!H455</f>
        <v/>
      </c>
      <c r="AP454" s="631" t="str">
        <f>PRIX!I455</f>
        <v/>
      </c>
      <c r="AQ454" s="628" t="str">
        <f>PRIX!J455</f>
        <v/>
      </c>
      <c r="AR454" s="631" t="str">
        <f>PRIX!K455</f>
        <v/>
      </c>
      <c r="AS454" s="631" t="str">
        <f>PRIX!L455</f>
        <v/>
      </c>
      <c r="AT454" s="631" t="str">
        <f>PRIX!M455</f>
        <v/>
      </c>
      <c r="AU454" s="629" t="str">
        <f>PRIX!N455</f>
        <v/>
      </c>
      <c r="AV454" s="631" t="str">
        <f>PRIX!O455</f>
        <v/>
      </c>
      <c r="AW454" s="631" t="str">
        <f>PRIX!P455</f>
        <v/>
      </c>
      <c r="AX454" s="630" t="str">
        <f>PRIX!Q455</f>
        <v/>
      </c>
      <c r="AY454" s="631" t="str">
        <f>PRIX!R455</f>
        <v/>
      </c>
      <c r="AZ454" s="631" t="str">
        <f>PRIX!S455</f>
        <v/>
      </c>
      <c r="BA454" s="623"/>
    </row>
    <row r="455">
      <c r="A455" s="621" t="str">
        <f>ARBITRAGES!E456</f>
        <v/>
      </c>
      <c r="B455" s="623" t="str">
        <f>IF(A455="","",IF(ARBITRAGES!F456="Invest","Achat","Vente"))</f>
        <v/>
      </c>
      <c r="C455" s="623" t="str">
        <f>ARBITRAGES!H456</f>
        <v/>
      </c>
      <c r="D455" s="624" t="str">
        <f>ARBITRAGES!I456</f>
        <v/>
      </c>
      <c r="E455" s="624" t="str">
        <f>ARBITRAGES!J456</f>
        <v/>
      </c>
      <c r="F455" s="623"/>
      <c r="G455" s="623" t="str">
        <f>'PV (%)'!B457</f>
        <v/>
      </c>
      <c r="H455" s="624" t="str">
        <f>'PV (%)'!E457</f>
        <v/>
      </c>
      <c r="I455" s="624" t="str">
        <f>'PV (%)'!F457</f>
        <v/>
      </c>
      <c r="J455" s="624" t="str">
        <f>'PV (%)'!G457</f>
        <v/>
      </c>
      <c r="K455" s="623"/>
      <c r="L455" s="621" t="str">
        <f>Exposition!A456</f>
        <v/>
      </c>
      <c r="M455" s="625" t="str">
        <f>Exposition!B456</f>
        <v/>
      </c>
      <c r="N455" s="625" t="str">
        <f>Exposition!C456</f>
        <v/>
      </c>
      <c r="O455" s="625" t="str">
        <f>Exposition!D456</f>
        <v/>
      </c>
      <c r="P455" s="625" t="str">
        <f>Exposition!E456</f>
        <v/>
      </c>
      <c r="Q455" s="625" t="str">
        <f>Exposition!F456</f>
        <v/>
      </c>
      <c r="R455" s="625" t="str">
        <f>Exposition!G456</f>
        <v/>
      </c>
      <c r="S455" s="625" t="str">
        <f>Exposition!H456</f>
        <v/>
      </c>
      <c r="T455" s="625" t="str">
        <f>Exposition!I456</f>
        <v/>
      </c>
      <c r="U455" s="625" t="str">
        <f>Exposition!J456</f>
        <v/>
      </c>
      <c r="V455" s="625" t="str">
        <f>Exposition!K456</f>
        <v/>
      </c>
      <c r="W455" s="625" t="str">
        <f>Exposition!L456</f>
        <v/>
      </c>
      <c r="X455" s="625" t="str">
        <f>Exposition!M456</f>
        <v/>
      </c>
      <c r="Y455" s="625" t="str">
        <f>Exposition!N456</f>
        <v/>
      </c>
      <c r="Z455" s="625" t="str">
        <f>Exposition!O456</f>
        <v/>
      </c>
      <c r="AA455" s="625" t="str">
        <f>Exposition!P456</f>
        <v/>
      </c>
      <c r="AB455" s="625" t="str">
        <f>Exposition!Q456</f>
        <v/>
      </c>
      <c r="AC455" s="625" t="str">
        <f>Exposition!R456</f>
        <v/>
      </c>
      <c r="AD455" s="625" t="str">
        <f>Exposition!S456</f>
        <v/>
      </c>
      <c r="AE455" s="625" t="str">
        <f>Exposition!T456</f>
        <v/>
      </c>
      <c r="AF455" s="625" t="str">
        <f>Exposition!U456</f>
        <v/>
      </c>
      <c r="AG455" s="623"/>
      <c r="AH455" s="621" t="str">
        <f>PRIX!A456</f>
        <v/>
      </c>
      <c r="AI455" s="626" t="str">
        <f>PRIX!B456</f>
        <v/>
      </c>
      <c r="AJ455" s="626" t="str">
        <f>PRIX!C456</f>
        <v/>
      </c>
      <c r="AK455" s="627" t="str">
        <f>PRIX!D456</f>
        <v/>
      </c>
      <c r="AL455" s="626" t="str">
        <f>PRIX!E456</f>
        <v/>
      </c>
      <c r="AM455" s="626" t="str">
        <f>PRIX!F456</f>
        <v/>
      </c>
      <c r="AN455" s="627" t="str">
        <f>PRIX!G456</f>
        <v/>
      </c>
      <c r="AO455" s="627" t="str">
        <f>PRIX!H456</f>
        <v/>
      </c>
      <c r="AP455" s="631" t="str">
        <f>PRIX!I456</f>
        <v/>
      </c>
      <c r="AQ455" s="628" t="str">
        <f>PRIX!J456</f>
        <v/>
      </c>
      <c r="AR455" s="631" t="str">
        <f>PRIX!K456</f>
        <v/>
      </c>
      <c r="AS455" s="631" t="str">
        <f>PRIX!L456</f>
        <v/>
      </c>
      <c r="AT455" s="631" t="str">
        <f>PRIX!M456</f>
        <v/>
      </c>
      <c r="AU455" s="629" t="str">
        <f>PRIX!N456</f>
        <v/>
      </c>
      <c r="AV455" s="631" t="str">
        <f>PRIX!O456</f>
        <v/>
      </c>
      <c r="AW455" s="631" t="str">
        <f>PRIX!P456</f>
        <v/>
      </c>
      <c r="AX455" s="630" t="str">
        <f>PRIX!Q456</f>
        <v/>
      </c>
      <c r="AY455" s="631" t="str">
        <f>PRIX!R456</f>
        <v/>
      </c>
      <c r="AZ455" s="631" t="str">
        <f>PRIX!S456</f>
        <v/>
      </c>
      <c r="BA455" s="623"/>
    </row>
    <row r="456">
      <c r="A456" s="621" t="str">
        <f>ARBITRAGES!E457</f>
        <v/>
      </c>
      <c r="B456" s="623" t="str">
        <f>IF(A456="","",IF(ARBITRAGES!F457="Invest","Achat","Vente"))</f>
        <v/>
      </c>
      <c r="C456" s="623" t="str">
        <f>ARBITRAGES!H457</f>
        <v/>
      </c>
      <c r="D456" s="624" t="str">
        <f>ARBITRAGES!I457</f>
        <v/>
      </c>
      <c r="E456" s="624" t="str">
        <f>ARBITRAGES!J457</f>
        <v/>
      </c>
      <c r="F456" s="623"/>
      <c r="G456" s="623" t="str">
        <f>'PV (%)'!B458</f>
        <v/>
      </c>
      <c r="H456" s="624" t="str">
        <f>'PV (%)'!E458</f>
        <v/>
      </c>
      <c r="I456" s="624" t="str">
        <f>'PV (%)'!F458</f>
        <v/>
      </c>
      <c r="J456" s="624" t="str">
        <f>'PV (%)'!G458</f>
        <v/>
      </c>
      <c r="K456" s="623"/>
      <c r="L456" s="621" t="str">
        <f>Exposition!A457</f>
        <v/>
      </c>
      <c r="M456" s="625" t="str">
        <f>Exposition!B457</f>
        <v/>
      </c>
      <c r="N456" s="625" t="str">
        <f>Exposition!C457</f>
        <v/>
      </c>
      <c r="O456" s="625" t="str">
        <f>Exposition!D457</f>
        <v/>
      </c>
      <c r="P456" s="625" t="str">
        <f>Exposition!E457</f>
        <v/>
      </c>
      <c r="Q456" s="625" t="str">
        <f>Exposition!F457</f>
        <v/>
      </c>
      <c r="R456" s="625" t="str">
        <f>Exposition!G457</f>
        <v/>
      </c>
      <c r="S456" s="625" t="str">
        <f>Exposition!H457</f>
        <v/>
      </c>
      <c r="T456" s="625" t="str">
        <f>Exposition!I457</f>
        <v/>
      </c>
      <c r="U456" s="625" t="str">
        <f>Exposition!J457</f>
        <v/>
      </c>
      <c r="V456" s="625" t="str">
        <f>Exposition!K457</f>
        <v/>
      </c>
      <c r="W456" s="625" t="str">
        <f>Exposition!L457</f>
        <v/>
      </c>
      <c r="X456" s="625" t="str">
        <f>Exposition!M457</f>
        <v/>
      </c>
      <c r="Y456" s="625" t="str">
        <f>Exposition!N457</f>
        <v/>
      </c>
      <c r="Z456" s="625" t="str">
        <f>Exposition!O457</f>
        <v/>
      </c>
      <c r="AA456" s="625" t="str">
        <f>Exposition!P457</f>
        <v/>
      </c>
      <c r="AB456" s="625" t="str">
        <f>Exposition!Q457</f>
        <v/>
      </c>
      <c r="AC456" s="625" t="str">
        <f>Exposition!R457</f>
        <v/>
      </c>
      <c r="AD456" s="625" t="str">
        <f>Exposition!S457</f>
        <v/>
      </c>
      <c r="AE456" s="625" t="str">
        <f>Exposition!T457</f>
        <v/>
      </c>
      <c r="AF456" s="625" t="str">
        <f>Exposition!U457</f>
        <v/>
      </c>
      <c r="AG456" s="623"/>
      <c r="AH456" s="621" t="str">
        <f>PRIX!A457</f>
        <v/>
      </c>
      <c r="AI456" s="626" t="str">
        <f>PRIX!B457</f>
        <v/>
      </c>
      <c r="AJ456" s="626" t="str">
        <f>PRIX!C457</f>
        <v/>
      </c>
      <c r="AK456" s="627" t="str">
        <f>PRIX!D457</f>
        <v/>
      </c>
      <c r="AL456" s="626" t="str">
        <f>PRIX!E457</f>
        <v/>
      </c>
      <c r="AM456" s="626" t="str">
        <f>PRIX!F457</f>
        <v/>
      </c>
      <c r="AN456" s="627" t="str">
        <f>PRIX!G457</f>
        <v/>
      </c>
      <c r="AO456" s="627" t="str">
        <f>PRIX!H457</f>
        <v/>
      </c>
      <c r="AP456" s="631" t="str">
        <f>PRIX!I457</f>
        <v/>
      </c>
      <c r="AQ456" s="628" t="str">
        <f>PRIX!J457</f>
        <v/>
      </c>
      <c r="AR456" s="631" t="str">
        <f>PRIX!K457</f>
        <v/>
      </c>
      <c r="AS456" s="631" t="str">
        <f>PRIX!L457</f>
        <v/>
      </c>
      <c r="AT456" s="631" t="str">
        <f>PRIX!M457</f>
        <v/>
      </c>
      <c r="AU456" s="629" t="str">
        <f>PRIX!N457</f>
        <v/>
      </c>
      <c r="AV456" s="631" t="str">
        <f>PRIX!O457</f>
        <v/>
      </c>
      <c r="AW456" s="631" t="str">
        <f>PRIX!P457</f>
        <v/>
      </c>
      <c r="AX456" s="630" t="str">
        <f>PRIX!Q457</f>
        <v/>
      </c>
      <c r="AY456" s="631" t="str">
        <f>PRIX!R457</f>
        <v/>
      </c>
      <c r="AZ456" s="631" t="str">
        <f>PRIX!S457</f>
        <v/>
      </c>
      <c r="BA456" s="623"/>
    </row>
    <row r="457">
      <c r="A457" s="621" t="str">
        <f>ARBITRAGES!E458</f>
        <v/>
      </c>
      <c r="B457" s="623" t="str">
        <f>IF(A457="","",IF(ARBITRAGES!F458="Invest","Achat","Vente"))</f>
        <v/>
      </c>
      <c r="C457" s="623" t="str">
        <f>ARBITRAGES!H458</f>
        <v/>
      </c>
      <c r="D457" s="624" t="str">
        <f>ARBITRAGES!I458</f>
        <v/>
      </c>
      <c r="E457" s="624" t="str">
        <f>ARBITRAGES!J458</f>
        <v/>
      </c>
      <c r="F457" s="623"/>
      <c r="G457" s="623" t="str">
        <f>'PV (%)'!B459</f>
        <v/>
      </c>
      <c r="H457" s="624" t="str">
        <f>'PV (%)'!E459</f>
        <v/>
      </c>
      <c r="I457" s="624" t="str">
        <f>'PV (%)'!F459</f>
        <v/>
      </c>
      <c r="J457" s="624" t="str">
        <f>'PV (%)'!G459</f>
        <v/>
      </c>
      <c r="K457" s="623"/>
      <c r="L457" s="621" t="str">
        <f>Exposition!A458</f>
        <v/>
      </c>
      <c r="M457" s="625" t="str">
        <f>Exposition!B458</f>
        <v/>
      </c>
      <c r="N457" s="625" t="str">
        <f>Exposition!C458</f>
        <v/>
      </c>
      <c r="O457" s="625" t="str">
        <f>Exposition!D458</f>
        <v/>
      </c>
      <c r="P457" s="625" t="str">
        <f>Exposition!E458</f>
        <v/>
      </c>
      <c r="Q457" s="625" t="str">
        <f>Exposition!F458</f>
        <v/>
      </c>
      <c r="R457" s="625" t="str">
        <f>Exposition!G458</f>
        <v/>
      </c>
      <c r="S457" s="625" t="str">
        <f>Exposition!H458</f>
        <v/>
      </c>
      <c r="T457" s="625" t="str">
        <f>Exposition!I458</f>
        <v/>
      </c>
      <c r="U457" s="625" t="str">
        <f>Exposition!J458</f>
        <v/>
      </c>
      <c r="V457" s="625" t="str">
        <f>Exposition!K458</f>
        <v/>
      </c>
      <c r="W457" s="625" t="str">
        <f>Exposition!L458</f>
        <v/>
      </c>
      <c r="X457" s="625" t="str">
        <f>Exposition!M458</f>
        <v/>
      </c>
      <c r="Y457" s="625" t="str">
        <f>Exposition!N458</f>
        <v/>
      </c>
      <c r="Z457" s="625" t="str">
        <f>Exposition!O458</f>
        <v/>
      </c>
      <c r="AA457" s="625" t="str">
        <f>Exposition!P458</f>
        <v/>
      </c>
      <c r="AB457" s="625" t="str">
        <f>Exposition!Q458</f>
        <v/>
      </c>
      <c r="AC457" s="625" t="str">
        <f>Exposition!R458</f>
        <v/>
      </c>
      <c r="AD457" s="625" t="str">
        <f>Exposition!S458</f>
        <v/>
      </c>
      <c r="AE457" s="625" t="str">
        <f>Exposition!T458</f>
        <v/>
      </c>
      <c r="AF457" s="625" t="str">
        <f>Exposition!U458</f>
        <v/>
      </c>
      <c r="AG457" s="623"/>
      <c r="AH457" s="621" t="str">
        <f>PRIX!A458</f>
        <v/>
      </c>
      <c r="AI457" s="626" t="str">
        <f>PRIX!B458</f>
        <v/>
      </c>
      <c r="AJ457" s="626" t="str">
        <f>PRIX!C458</f>
        <v/>
      </c>
      <c r="AK457" s="627" t="str">
        <f>PRIX!D458</f>
        <v/>
      </c>
      <c r="AL457" s="626" t="str">
        <f>PRIX!E458</f>
        <v/>
      </c>
      <c r="AM457" s="626" t="str">
        <f>PRIX!F458</f>
        <v/>
      </c>
      <c r="AN457" s="627" t="str">
        <f>PRIX!G458</f>
        <v/>
      </c>
      <c r="AO457" s="627" t="str">
        <f>PRIX!H458</f>
        <v/>
      </c>
      <c r="AP457" s="631" t="str">
        <f>PRIX!I458</f>
        <v/>
      </c>
      <c r="AQ457" s="628" t="str">
        <f>PRIX!J458</f>
        <v/>
      </c>
      <c r="AR457" s="631" t="str">
        <f>PRIX!K458</f>
        <v/>
      </c>
      <c r="AS457" s="631" t="str">
        <f>PRIX!L458</f>
        <v/>
      </c>
      <c r="AT457" s="631" t="str">
        <f>PRIX!M458</f>
        <v/>
      </c>
      <c r="AU457" s="629" t="str">
        <f>PRIX!N458</f>
        <v/>
      </c>
      <c r="AV457" s="631" t="str">
        <f>PRIX!O458</f>
        <v/>
      </c>
      <c r="AW457" s="631" t="str">
        <f>PRIX!P458</f>
        <v/>
      </c>
      <c r="AX457" s="630" t="str">
        <f>PRIX!Q458</f>
        <v/>
      </c>
      <c r="AY457" s="631" t="str">
        <f>PRIX!R458</f>
        <v/>
      </c>
      <c r="AZ457" s="631" t="str">
        <f>PRIX!S458</f>
        <v/>
      </c>
      <c r="BA457" s="623"/>
    </row>
    <row r="458">
      <c r="A458" s="621" t="str">
        <f>ARBITRAGES!E459</f>
        <v/>
      </c>
      <c r="B458" s="623" t="str">
        <f>IF(A458="","",IF(ARBITRAGES!F459="Invest","Achat","Vente"))</f>
        <v/>
      </c>
      <c r="C458" s="623" t="str">
        <f>ARBITRAGES!H459</f>
        <v/>
      </c>
      <c r="D458" s="624" t="str">
        <f>ARBITRAGES!I459</f>
        <v/>
      </c>
      <c r="E458" s="624" t="str">
        <f>ARBITRAGES!J459</f>
        <v/>
      </c>
      <c r="F458" s="623"/>
      <c r="G458" s="623" t="str">
        <f>'PV (%)'!B460</f>
        <v/>
      </c>
      <c r="H458" s="624" t="str">
        <f>'PV (%)'!E460</f>
        <v/>
      </c>
      <c r="I458" s="624" t="str">
        <f>'PV (%)'!F460</f>
        <v/>
      </c>
      <c r="J458" s="624" t="str">
        <f>'PV (%)'!G460</f>
        <v/>
      </c>
      <c r="K458" s="623"/>
      <c r="L458" s="621" t="str">
        <f>Exposition!A459</f>
        <v/>
      </c>
      <c r="M458" s="625" t="str">
        <f>Exposition!B459</f>
        <v/>
      </c>
      <c r="N458" s="625" t="str">
        <f>Exposition!C459</f>
        <v/>
      </c>
      <c r="O458" s="625" t="str">
        <f>Exposition!D459</f>
        <v/>
      </c>
      <c r="P458" s="625" t="str">
        <f>Exposition!E459</f>
        <v/>
      </c>
      <c r="Q458" s="625" t="str">
        <f>Exposition!F459</f>
        <v/>
      </c>
      <c r="R458" s="625" t="str">
        <f>Exposition!G459</f>
        <v/>
      </c>
      <c r="S458" s="625" t="str">
        <f>Exposition!H459</f>
        <v/>
      </c>
      <c r="T458" s="625" t="str">
        <f>Exposition!I459</f>
        <v/>
      </c>
      <c r="U458" s="625" t="str">
        <f>Exposition!J459</f>
        <v/>
      </c>
      <c r="V458" s="625" t="str">
        <f>Exposition!K459</f>
        <v/>
      </c>
      <c r="W458" s="625" t="str">
        <f>Exposition!L459</f>
        <v/>
      </c>
      <c r="X458" s="625" t="str">
        <f>Exposition!M459</f>
        <v/>
      </c>
      <c r="Y458" s="625" t="str">
        <f>Exposition!N459</f>
        <v/>
      </c>
      <c r="Z458" s="625" t="str">
        <f>Exposition!O459</f>
        <v/>
      </c>
      <c r="AA458" s="625" t="str">
        <f>Exposition!P459</f>
        <v/>
      </c>
      <c r="AB458" s="625" t="str">
        <f>Exposition!Q459</f>
        <v/>
      </c>
      <c r="AC458" s="625" t="str">
        <f>Exposition!R459</f>
        <v/>
      </c>
      <c r="AD458" s="625" t="str">
        <f>Exposition!S459</f>
        <v/>
      </c>
      <c r="AE458" s="625" t="str">
        <f>Exposition!T459</f>
        <v/>
      </c>
      <c r="AF458" s="625" t="str">
        <f>Exposition!U459</f>
        <v/>
      </c>
      <c r="AG458" s="623"/>
      <c r="AH458" s="621" t="str">
        <f>PRIX!A459</f>
        <v/>
      </c>
      <c r="AI458" s="626" t="str">
        <f>PRIX!B459</f>
        <v/>
      </c>
      <c r="AJ458" s="626" t="str">
        <f>PRIX!C459</f>
        <v/>
      </c>
      <c r="AK458" s="627" t="str">
        <f>PRIX!D459</f>
        <v/>
      </c>
      <c r="AL458" s="626" t="str">
        <f>PRIX!E459</f>
        <v/>
      </c>
      <c r="AM458" s="626" t="str">
        <f>PRIX!F459</f>
        <v/>
      </c>
      <c r="AN458" s="627" t="str">
        <f>PRIX!G459</f>
        <v/>
      </c>
      <c r="AO458" s="627" t="str">
        <f>PRIX!H459</f>
        <v/>
      </c>
      <c r="AP458" s="631" t="str">
        <f>PRIX!I459</f>
        <v/>
      </c>
      <c r="AQ458" s="628" t="str">
        <f>PRIX!J459</f>
        <v/>
      </c>
      <c r="AR458" s="631" t="str">
        <f>PRIX!K459</f>
        <v/>
      </c>
      <c r="AS458" s="631" t="str">
        <f>PRIX!L459</f>
        <v/>
      </c>
      <c r="AT458" s="631" t="str">
        <f>PRIX!M459</f>
        <v/>
      </c>
      <c r="AU458" s="629" t="str">
        <f>PRIX!N459</f>
        <v/>
      </c>
      <c r="AV458" s="631" t="str">
        <f>PRIX!O459</f>
        <v/>
      </c>
      <c r="AW458" s="631" t="str">
        <f>PRIX!P459</f>
        <v/>
      </c>
      <c r="AX458" s="630" t="str">
        <f>PRIX!Q459</f>
        <v/>
      </c>
      <c r="AY458" s="631" t="str">
        <f>PRIX!R459</f>
        <v/>
      </c>
      <c r="AZ458" s="631" t="str">
        <f>PRIX!S459</f>
        <v/>
      </c>
      <c r="BA458" s="623"/>
    </row>
    <row r="459">
      <c r="A459" s="621" t="str">
        <f>ARBITRAGES!E460</f>
        <v/>
      </c>
      <c r="B459" s="623" t="str">
        <f>IF(A459="","",IF(ARBITRAGES!F460="Invest","Achat","Vente"))</f>
        <v/>
      </c>
      <c r="C459" s="623" t="str">
        <f>ARBITRAGES!H460</f>
        <v/>
      </c>
      <c r="D459" s="624" t="str">
        <f>ARBITRAGES!I460</f>
        <v/>
      </c>
      <c r="E459" s="624" t="str">
        <f>ARBITRAGES!J460</f>
        <v/>
      </c>
      <c r="F459" s="623"/>
      <c r="G459" s="623" t="str">
        <f>'PV (%)'!B461</f>
        <v/>
      </c>
      <c r="H459" s="624" t="str">
        <f>'PV (%)'!E461</f>
        <v/>
      </c>
      <c r="I459" s="624" t="str">
        <f>'PV (%)'!F461</f>
        <v/>
      </c>
      <c r="J459" s="624" t="str">
        <f>'PV (%)'!G461</f>
        <v/>
      </c>
      <c r="K459" s="623"/>
      <c r="L459" s="621" t="str">
        <f>Exposition!A460</f>
        <v/>
      </c>
      <c r="M459" s="625" t="str">
        <f>Exposition!B460</f>
        <v/>
      </c>
      <c r="N459" s="625" t="str">
        <f>Exposition!C460</f>
        <v/>
      </c>
      <c r="O459" s="625" t="str">
        <f>Exposition!D460</f>
        <v/>
      </c>
      <c r="P459" s="625" t="str">
        <f>Exposition!E460</f>
        <v/>
      </c>
      <c r="Q459" s="625" t="str">
        <f>Exposition!F460</f>
        <v/>
      </c>
      <c r="R459" s="625" t="str">
        <f>Exposition!G460</f>
        <v/>
      </c>
      <c r="S459" s="625" t="str">
        <f>Exposition!H460</f>
        <v/>
      </c>
      <c r="T459" s="625" t="str">
        <f>Exposition!I460</f>
        <v/>
      </c>
      <c r="U459" s="625" t="str">
        <f>Exposition!J460</f>
        <v/>
      </c>
      <c r="V459" s="625" t="str">
        <f>Exposition!K460</f>
        <v/>
      </c>
      <c r="W459" s="625" t="str">
        <f>Exposition!L460</f>
        <v/>
      </c>
      <c r="X459" s="625" t="str">
        <f>Exposition!M460</f>
        <v/>
      </c>
      <c r="Y459" s="625" t="str">
        <f>Exposition!N460</f>
        <v/>
      </c>
      <c r="Z459" s="625" t="str">
        <f>Exposition!O460</f>
        <v/>
      </c>
      <c r="AA459" s="625" t="str">
        <f>Exposition!P460</f>
        <v/>
      </c>
      <c r="AB459" s="625" t="str">
        <f>Exposition!Q460</f>
        <v/>
      </c>
      <c r="AC459" s="625" t="str">
        <f>Exposition!R460</f>
        <v/>
      </c>
      <c r="AD459" s="625" t="str">
        <f>Exposition!S460</f>
        <v/>
      </c>
      <c r="AE459" s="625" t="str">
        <f>Exposition!T460</f>
        <v/>
      </c>
      <c r="AF459" s="625" t="str">
        <f>Exposition!U460</f>
        <v/>
      </c>
      <c r="AG459" s="623"/>
      <c r="AH459" s="621" t="str">
        <f>PRIX!A460</f>
        <v/>
      </c>
      <c r="AI459" s="626" t="str">
        <f>PRIX!B460</f>
        <v/>
      </c>
      <c r="AJ459" s="626" t="str">
        <f>PRIX!C460</f>
        <v/>
      </c>
      <c r="AK459" s="627" t="str">
        <f>PRIX!D460</f>
        <v/>
      </c>
      <c r="AL459" s="626" t="str">
        <f>PRIX!E460</f>
        <v/>
      </c>
      <c r="AM459" s="626" t="str">
        <f>PRIX!F460</f>
        <v/>
      </c>
      <c r="AN459" s="627" t="str">
        <f>PRIX!G460</f>
        <v/>
      </c>
      <c r="AO459" s="627" t="str">
        <f>PRIX!H460</f>
        <v/>
      </c>
      <c r="AP459" s="631" t="str">
        <f>PRIX!I460</f>
        <v/>
      </c>
      <c r="AQ459" s="628" t="str">
        <f>PRIX!J460</f>
        <v/>
      </c>
      <c r="AR459" s="631" t="str">
        <f>PRIX!K460</f>
        <v/>
      </c>
      <c r="AS459" s="631" t="str">
        <f>PRIX!L460</f>
        <v/>
      </c>
      <c r="AT459" s="631" t="str">
        <f>PRIX!M460</f>
        <v/>
      </c>
      <c r="AU459" s="629" t="str">
        <f>PRIX!N460</f>
        <v/>
      </c>
      <c r="AV459" s="631" t="str">
        <f>PRIX!O460</f>
        <v/>
      </c>
      <c r="AW459" s="631" t="str">
        <f>PRIX!P460</f>
        <v/>
      </c>
      <c r="AX459" s="630" t="str">
        <f>PRIX!Q460</f>
        <v/>
      </c>
      <c r="AY459" s="631" t="str">
        <f>PRIX!R460</f>
        <v/>
      </c>
      <c r="AZ459" s="631" t="str">
        <f>PRIX!S460</f>
        <v/>
      </c>
      <c r="BA459" s="623"/>
    </row>
    <row r="460">
      <c r="A460" s="621" t="str">
        <f>ARBITRAGES!E461</f>
        <v/>
      </c>
      <c r="B460" s="623" t="str">
        <f>IF(A460="","",IF(ARBITRAGES!F461="Invest","Achat","Vente"))</f>
        <v/>
      </c>
      <c r="C460" s="623" t="str">
        <f>ARBITRAGES!H461</f>
        <v/>
      </c>
      <c r="D460" s="624" t="str">
        <f>ARBITRAGES!I461</f>
        <v/>
      </c>
      <c r="E460" s="624" t="str">
        <f>ARBITRAGES!J461</f>
        <v/>
      </c>
      <c r="F460" s="623"/>
      <c r="G460" s="623" t="str">
        <f>'PV (%)'!B462</f>
        <v/>
      </c>
      <c r="H460" s="624" t="str">
        <f>'PV (%)'!E462</f>
        <v/>
      </c>
      <c r="I460" s="624" t="str">
        <f>'PV (%)'!F462</f>
        <v/>
      </c>
      <c r="J460" s="624" t="str">
        <f>'PV (%)'!G462</f>
        <v/>
      </c>
      <c r="K460" s="623"/>
      <c r="L460" s="621" t="str">
        <f>Exposition!A461</f>
        <v/>
      </c>
      <c r="M460" s="625" t="str">
        <f>Exposition!B461</f>
        <v/>
      </c>
      <c r="N460" s="625" t="str">
        <f>Exposition!C461</f>
        <v/>
      </c>
      <c r="O460" s="625" t="str">
        <f>Exposition!D461</f>
        <v/>
      </c>
      <c r="P460" s="625" t="str">
        <f>Exposition!E461</f>
        <v/>
      </c>
      <c r="Q460" s="625" t="str">
        <f>Exposition!F461</f>
        <v/>
      </c>
      <c r="R460" s="625" t="str">
        <f>Exposition!G461</f>
        <v/>
      </c>
      <c r="S460" s="625" t="str">
        <f>Exposition!H461</f>
        <v/>
      </c>
      <c r="T460" s="625" t="str">
        <f>Exposition!I461</f>
        <v/>
      </c>
      <c r="U460" s="625" t="str">
        <f>Exposition!J461</f>
        <v/>
      </c>
      <c r="V460" s="625" t="str">
        <f>Exposition!K461</f>
        <v/>
      </c>
      <c r="W460" s="625" t="str">
        <f>Exposition!L461</f>
        <v/>
      </c>
      <c r="X460" s="625" t="str">
        <f>Exposition!M461</f>
        <v/>
      </c>
      <c r="Y460" s="625" t="str">
        <f>Exposition!N461</f>
        <v/>
      </c>
      <c r="Z460" s="625" t="str">
        <f>Exposition!O461</f>
        <v/>
      </c>
      <c r="AA460" s="625" t="str">
        <f>Exposition!P461</f>
        <v/>
      </c>
      <c r="AB460" s="625" t="str">
        <f>Exposition!Q461</f>
        <v/>
      </c>
      <c r="AC460" s="625" t="str">
        <f>Exposition!R461</f>
        <v/>
      </c>
      <c r="AD460" s="625" t="str">
        <f>Exposition!S461</f>
        <v/>
      </c>
      <c r="AE460" s="625" t="str">
        <f>Exposition!T461</f>
        <v/>
      </c>
      <c r="AF460" s="625" t="str">
        <f>Exposition!U461</f>
        <v/>
      </c>
      <c r="AG460" s="623"/>
      <c r="AH460" s="621" t="str">
        <f>PRIX!A461</f>
        <v/>
      </c>
      <c r="AI460" s="626" t="str">
        <f>PRIX!B461</f>
        <v/>
      </c>
      <c r="AJ460" s="626" t="str">
        <f>PRIX!C461</f>
        <v/>
      </c>
      <c r="AK460" s="627" t="str">
        <f>PRIX!D461</f>
        <v/>
      </c>
      <c r="AL460" s="626" t="str">
        <f>PRIX!E461</f>
        <v/>
      </c>
      <c r="AM460" s="626" t="str">
        <f>PRIX!F461</f>
        <v/>
      </c>
      <c r="AN460" s="627" t="str">
        <f>PRIX!G461</f>
        <v/>
      </c>
      <c r="AO460" s="627" t="str">
        <f>PRIX!H461</f>
        <v/>
      </c>
      <c r="AP460" s="631" t="str">
        <f>PRIX!I461</f>
        <v/>
      </c>
      <c r="AQ460" s="628" t="str">
        <f>PRIX!J461</f>
        <v/>
      </c>
      <c r="AR460" s="631" t="str">
        <f>PRIX!K461</f>
        <v/>
      </c>
      <c r="AS460" s="631" t="str">
        <f>PRIX!L461</f>
        <v/>
      </c>
      <c r="AT460" s="631" t="str">
        <f>PRIX!M461</f>
        <v/>
      </c>
      <c r="AU460" s="629" t="str">
        <f>PRIX!N461</f>
        <v/>
      </c>
      <c r="AV460" s="631" t="str">
        <f>PRIX!O461</f>
        <v/>
      </c>
      <c r="AW460" s="631" t="str">
        <f>PRIX!P461</f>
        <v/>
      </c>
      <c r="AX460" s="630" t="str">
        <f>PRIX!Q461</f>
        <v/>
      </c>
      <c r="AY460" s="631" t="str">
        <f>PRIX!R461</f>
        <v/>
      </c>
      <c r="AZ460" s="631" t="str">
        <f>PRIX!S461</f>
        <v/>
      </c>
      <c r="BA460" s="623"/>
    </row>
    <row r="461">
      <c r="A461" s="621" t="str">
        <f>ARBITRAGES!E462</f>
        <v/>
      </c>
      <c r="B461" s="623" t="str">
        <f>IF(A461="","",IF(ARBITRAGES!F462="Invest","Achat","Vente"))</f>
        <v/>
      </c>
      <c r="C461" s="623" t="str">
        <f>ARBITRAGES!H462</f>
        <v/>
      </c>
      <c r="D461" s="624" t="str">
        <f>ARBITRAGES!I462</f>
        <v/>
      </c>
      <c r="E461" s="624" t="str">
        <f>ARBITRAGES!J462</f>
        <v/>
      </c>
      <c r="F461" s="623"/>
      <c r="G461" s="623" t="str">
        <f>'PV (%)'!B463</f>
        <v/>
      </c>
      <c r="H461" s="624" t="str">
        <f>'PV (%)'!E463</f>
        <v/>
      </c>
      <c r="I461" s="624" t="str">
        <f>'PV (%)'!F463</f>
        <v/>
      </c>
      <c r="J461" s="624" t="str">
        <f>'PV (%)'!G463</f>
        <v/>
      </c>
      <c r="K461" s="623"/>
      <c r="L461" s="621" t="str">
        <f>Exposition!A462</f>
        <v/>
      </c>
      <c r="M461" s="625" t="str">
        <f>Exposition!B462</f>
        <v/>
      </c>
      <c r="N461" s="625" t="str">
        <f>Exposition!C462</f>
        <v/>
      </c>
      <c r="O461" s="625" t="str">
        <f>Exposition!D462</f>
        <v/>
      </c>
      <c r="P461" s="625" t="str">
        <f>Exposition!E462</f>
        <v/>
      </c>
      <c r="Q461" s="625" t="str">
        <f>Exposition!F462</f>
        <v/>
      </c>
      <c r="R461" s="625" t="str">
        <f>Exposition!G462</f>
        <v/>
      </c>
      <c r="S461" s="625" t="str">
        <f>Exposition!H462</f>
        <v/>
      </c>
      <c r="T461" s="625" t="str">
        <f>Exposition!I462</f>
        <v/>
      </c>
      <c r="U461" s="625" t="str">
        <f>Exposition!J462</f>
        <v/>
      </c>
      <c r="V461" s="625" t="str">
        <f>Exposition!K462</f>
        <v/>
      </c>
      <c r="W461" s="625" t="str">
        <f>Exposition!L462</f>
        <v/>
      </c>
      <c r="X461" s="625" t="str">
        <f>Exposition!M462</f>
        <v/>
      </c>
      <c r="Y461" s="625" t="str">
        <f>Exposition!N462</f>
        <v/>
      </c>
      <c r="Z461" s="625" t="str">
        <f>Exposition!O462</f>
        <v/>
      </c>
      <c r="AA461" s="625" t="str">
        <f>Exposition!P462</f>
        <v/>
      </c>
      <c r="AB461" s="625" t="str">
        <f>Exposition!Q462</f>
        <v/>
      </c>
      <c r="AC461" s="625" t="str">
        <f>Exposition!R462</f>
        <v/>
      </c>
      <c r="AD461" s="625" t="str">
        <f>Exposition!S462</f>
        <v/>
      </c>
      <c r="AE461" s="625" t="str">
        <f>Exposition!T462</f>
        <v/>
      </c>
      <c r="AF461" s="625" t="str">
        <f>Exposition!U462</f>
        <v/>
      </c>
      <c r="AG461" s="623"/>
      <c r="AH461" s="621" t="str">
        <f>PRIX!A462</f>
        <v/>
      </c>
      <c r="AI461" s="626" t="str">
        <f>PRIX!B462</f>
        <v/>
      </c>
      <c r="AJ461" s="626" t="str">
        <f>PRIX!C462</f>
        <v/>
      </c>
      <c r="AK461" s="627" t="str">
        <f>PRIX!D462</f>
        <v/>
      </c>
      <c r="AL461" s="626" t="str">
        <f>PRIX!E462</f>
        <v/>
      </c>
      <c r="AM461" s="626" t="str">
        <f>PRIX!F462</f>
        <v/>
      </c>
      <c r="AN461" s="627" t="str">
        <f>PRIX!G462</f>
        <v/>
      </c>
      <c r="AO461" s="627" t="str">
        <f>PRIX!H462</f>
        <v/>
      </c>
      <c r="AP461" s="631" t="str">
        <f>PRIX!I462</f>
        <v/>
      </c>
      <c r="AQ461" s="628" t="str">
        <f>PRIX!J462</f>
        <v/>
      </c>
      <c r="AR461" s="631" t="str">
        <f>PRIX!K462</f>
        <v/>
      </c>
      <c r="AS461" s="631" t="str">
        <f>PRIX!L462</f>
        <v/>
      </c>
      <c r="AT461" s="631" t="str">
        <f>PRIX!M462</f>
        <v/>
      </c>
      <c r="AU461" s="629" t="str">
        <f>PRIX!N462</f>
        <v/>
      </c>
      <c r="AV461" s="631" t="str">
        <f>PRIX!O462</f>
        <v/>
      </c>
      <c r="AW461" s="631" t="str">
        <f>PRIX!P462</f>
        <v/>
      </c>
      <c r="AX461" s="630" t="str">
        <f>PRIX!Q462</f>
        <v/>
      </c>
      <c r="AY461" s="631" t="str">
        <f>PRIX!R462</f>
        <v/>
      </c>
      <c r="AZ461" s="631" t="str">
        <f>PRIX!S462</f>
        <v/>
      </c>
      <c r="BA461" s="623"/>
    </row>
    <row r="462">
      <c r="A462" s="621" t="str">
        <f>ARBITRAGES!E463</f>
        <v/>
      </c>
      <c r="B462" s="623" t="str">
        <f>IF(A462="","",IF(ARBITRAGES!F463="Invest","Achat","Vente"))</f>
        <v/>
      </c>
      <c r="C462" s="623" t="str">
        <f>ARBITRAGES!H463</f>
        <v/>
      </c>
      <c r="D462" s="624" t="str">
        <f>ARBITRAGES!I463</f>
        <v/>
      </c>
      <c r="E462" s="624" t="str">
        <f>ARBITRAGES!J463</f>
        <v/>
      </c>
      <c r="F462" s="623"/>
      <c r="G462" s="623" t="str">
        <f>'PV (%)'!B464</f>
        <v/>
      </c>
      <c r="H462" s="624" t="str">
        <f>'PV (%)'!E464</f>
        <v/>
      </c>
      <c r="I462" s="624" t="str">
        <f>'PV (%)'!F464</f>
        <v/>
      </c>
      <c r="J462" s="624" t="str">
        <f>'PV (%)'!G464</f>
        <v/>
      </c>
      <c r="K462" s="623"/>
      <c r="L462" s="621" t="str">
        <f>Exposition!A463</f>
        <v/>
      </c>
      <c r="M462" s="625" t="str">
        <f>Exposition!B463</f>
        <v/>
      </c>
      <c r="N462" s="625" t="str">
        <f>Exposition!C463</f>
        <v/>
      </c>
      <c r="O462" s="625" t="str">
        <f>Exposition!D463</f>
        <v/>
      </c>
      <c r="P462" s="625" t="str">
        <f>Exposition!E463</f>
        <v/>
      </c>
      <c r="Q462" s="625" t="str">
        <f>Exposition!F463</f>
        <v/>
      </c>
      <c r="R462" s="625" t="str">
        <f>Exposition!G463</f>
        <v/>
      </c>
      <c r="S462" s="625" t="str">
        <f>Exposition!H463</f>
        <v/>
      </c>
      <c r="T462" s="625" t="str">
        <f>Exposition!I463</f>
        <v/>
      </c>
      <c r="U462" s="625" t="str">
        <f>Exposition!J463</f>
        <v/>
      </c>
      <c r="V462" s="625" t="str">
        <f>Exposition!K463</f>
        <v/>
      </c>
      <c r="W462" s="625" t="str">
        <f>Exposition!L463</f>
        <v/>
      </c>
      <c r="X462" s="625" t="str">
        <f>Exposition!M463</f>
        <v/>
      </c>
      <c r="Y462" s="625" t="str">
        <f>Exposition!N463</f>
        <v/>
      </c>
      <c r="Z462" s="625" t="str">
        <f>Exposition!O463</f>
        <v/>
      </c>
      <c r="AA462" s="625" t="str">
        <f>Exposition!P463</f>
        <v/>
      </c>
      <c r="AB462" s="625" t="str">
        <f>Exposition!Q463</f>
        <v/>
      </c>
      <c r="AC462" s="625" t="str">
        <f>Exposition!R463</f>
        <v/>
      </c>
      <c r="AD462" s="625" t="str">
        <f>Exposition!S463</f>
        <v/>
      </c>
      <c r="AE462" s="625" t="str">
        <f>Exposition!T463</f>
        <v/>
      </c>
      <c r="AF462" s="625" t="str">
        <f>Exposition!U463</f>
        <v/>
      </c>
      <c r="AG462" s="623"/>
      <c r="AH462" s="621" t="str">
        <f>PRIX!A463</f>
        <v/>
      </c>
      <c r="AI462" s="626" t="str">
        <f>PRIX!B463</f>
        <v/>
      </c>
      <c r="AJ462" s="626" t="str">
        <f>PRIX!C463</f>
        <v/>
      </c>
      <c r="AK462" s="627" t="str">
        <f>PRIX!D463</f>
        <v/>
      </c>
      <c r="AL462" s="626" t="str">
        <f>PRIX!E463</f>
        <v/>
      </c>
      <c r="AM462" s="626" t="str">
        <f>PRIX!F463</f>
        <v/>
      </c>
      <c r="AN462" s="627" t="str">
        <f>PRIX!G463</f>
        <v/>
      </c>
      <c r="AO462" s="627" t="str">
        <f>PRIX!H463</f>
        <v/>
      </c>
      <c r="AP462" s="631" t="str">
        <f>PRIX!I463</f>
        <v/>
      </c>
      <c r="AQ462" s="628" t="str">
        <f>PRIX!J463</f>
        <v/>
      </c>
      <c r="AR462" s="631" t="str">
        <f>PRIX!K463</f>
        <v/>
      </c>
      <c r="AS462" s="631" t="str">
        <f>PRIX!L463</f>
        <v/>
      </c>
      <c r="AT462" s="631" t="str">
        <f>PRIX!M463</f>
        <v/>
      </c>
      <c r="AU462" s="629" t="str">
        <f>PRIX!N463</f>
        <v/>
      </c>
      <c r="AV462" s="631" t="str">
        <f>PRIX!O463</f>
        <v/>
      </c>
      <c r="AW462" s="631" t="str">
        <f>PRIX!P463</f>
        <v/>
      </c>
      <c r="AX462" s="630" t="str">
        <f>PRIX!Q463</f>
        <v/>
      </c>
      <c r="AY462" s="631" t="str">
        <f>PRIX!R463</f>
        <v/>
      </c>
      <c r="AZ462" s="631" t="str">
        <f>PRIX!S463</f>
        <v/>
      </c>
      <c r="BA462" s="623"/>
    </row>
    <row r="463">
      <c r="A463" s="621" t="str">
        <f>ARBITRAGES!E464</f>
        <v/>
      </c>
      <c r="B463" s="623" t="str">
        <f>IF(A463="","",IF(ARBITRAGES!F464="Invest","Achat","Vente"))</f>
        <v/>
      </c>
      <c r="C463" s="623" t="str">
        <f>ARBITRAGES!H464</f>
        <v/>
      </c>
      <c r="D463" s="624" t="str">
        <f>ARBITRAGES!I464</f>
        <v/>
      </c>
      <c r="E463" s="624" t="str">
        <f>ARBITRAGES!J464</f>
        <v/>
      </c>
      <c r="F463" s="623"/>
      <c r="G463" s="623" t="str">
        <f>'PV (%)'!B465</f>
        <v/>
      </c>
      <c r="H463" s="624" t="str">
        <f>'PV (%)'!E465</f>
        <v/>
      </c>
      <c r="I463" s="624" t="str">
        <f>'PV (%)'!F465</f>
        <v/>
      </c>
      <c r="J463" s="624" t="str">
        <f>'PV (%)'!G465</f>
        <v/>
      </c>
      <c r="K463" s="623"/>
      <c r="L463" s="621" t="str">
        <f>Exposition!A464</f>
        <v/>
      </c>
      <c r="M463" s="625" t="str">
        <f>Exposition!B464</f>
        <v/>
      </c>
      <c r="N463" s="625" t="str">
        <f>Exposition!C464</f>
        <v/>
      </c>
      <c r="O463" s="625" t="str">
        <f>Exposition!D464</f>
        <v/>
      </c>
      <c r="P463" s="625" t="str">
        <f>Exposition!E464</f>
        <v/>
      </c>
      <c r="Q463" s="625" t="str">
        <f>Exposition!F464</f>
        <v/>
      </c>
      <c r="R463" s="625" t="str">
        <f>Exposition!G464</f>
        <v/>
      </c>
      <c r="S463" s="625" t="str">
        <f>Exposition!H464</f>
        <v/>
      </c>
      <c r="T463" s="625" t="str">
        <f>Exposition!I464</f>
        <v/>
      </c>
      <c r="U463" s="625" t="str">
        <f>Exposition!J464</f>
        <v/>
      </c>
      <c r="V463" s="625" t="str">
        <f>Exposition!K464</f>
        <v/>
      </c>
      <c r="W463" s="625" t="str">
        <f>Exposition!L464</f>
        <v/>
      </c>
      <c r="X463" s="625" t="str">
        <f>Exposition!M464</f>
        <v/>
      </c>
      <c r="Y463" s="625" t="str">
        <f>Exposition!N464</f>
        <v/>
      </c>
      <c r="Z463" s="625" t="str">
        <f>Exposition!O464</f>
        <v/>
      </c>
      <c r="AA463" s="625" t="str">
        <f>Exposition!P464</f>
        <v/>
      </c>
      <c r="AB463" s="625" t="str">
        <f>Exposition!Q464</f>
        <v/>
      </c>
      <c r="AC463" s="625" t="str">
        <f>Exposition!R464</f>
        <v/>
      </c>
      <c r="AD463" s="625" t="str">
        <f>Exposition!S464</f>
        <v/>
      </c>
      <c r="AE463" s="625" t="str">
        <f>Exposition!T464</f>
        <v/>
      </c>
      <c r="AF463" s="625" t="str">
        <f>Exposition!U464</f>
        <v/>
      </c>
      <c r="AG463" s="623"/>
      <c r="AH463" s="621" t="str">
        <f>PRIX!A464</f>
        <v/>
      </c>
      <c r="AI463" s="626" t="str">
        <f>PRIX!B464</f>
        <v/>
      </c>
      <c r="AJ463" s="626" t="str">
        <f>PRIX!C464</f>
        <v/>
      </c>
      <c r="AK463" s="627" t="str">
        <f>PRIX!D464</f>
        <v/>
      </c>
      <c r="AL463" s="626" t="str">
        <f>PRIX!E464</f>
        <v/>
      </c>
      <c r="AM463" s="626" t="str">
        <f>PRIX!F464</f>
        <v/>
      </c>
      <c r="AN463" s="627" t="str">
        <f>PRIX!G464</f>
        <v/>
      </c>
      <c r="AO463" s="627" t="str">
        <f>PRIX!H464</f>
        <v/>
      </c>
      <c r="AP463" s="631" t="str">
        <f>PRIX!I464</f>
        <v/>
      </c>
      <c r="AQ463" s="628" t="str">
        <f>PRIX!J464</f>
        <v/>
      </c>
      <c r="AR463" s="631" t="str">
        <f>PRIX!K464</f>
        <v/>
      </c>
      <c r="AS463" s="631" t="str">
        <f>PRIX!L464</f>
        <v/>
      </c>
      <c r="AT463" s="631" t="str">
        <f>PRIX!M464</f>
        <v/>
      </c>
      <c r="AU463" s="629" t="str">
        <f>PRIX!N464</f>
        <v/>
      </c>
      <c r="AV463" s="631" t="str">
        <f>PRIX!O464</f>
        <v/>
      </c>
      <c r="AW463" s="631" t="str">
        <f>PRIX!P464</f>
        <v/>
      </c>
      <c r="AX463" s="630" t="str">
        <f>PRIX!Q464</f>
        <v/>
      </c>
      <c r="AY463" s="631" t="str">
        <f>PRIX!R464</f>
        <v/>
      </c>
      <c r="AZ463" s="631" t="str">
        <f>PRIX!S464</f>
        <v/>
      </c>
      <c r="BA463" s="623"/>
    </row>
    <row r="464">
      <c r="A464" s="621" t="str">
        <f>ARBITRAGES!E465</f>
        <v/>
      </c>
      <c r="B464" s="623" t="str">
        <f>IF(A464="","",IF(ARBITRAGES!F465="Invest","Achat","Vente"))</f>
        <v/>
      </c>
      <c r="C464" s="623" t="str">
        <f>ARBITRAGES!H465</f>
        <v/>
      </c>
      <c r="D464" s="624" t="str">
        <f>ARBITRAGES!I465</f>
        <v/>
      </c>
      <c r="E464" s="624" t="str">
        <f>ARBITRAGES!J465</f>
        <v/>
      </c>
      <c r="F464" s="623"/>
      <c r="G464" s="623" t="str">
        <f>'PV (%)'!B466</f>
        <v/>
      </c>
      <c r="H464" s="624" t="str">
        <f>'PV (%)'!E466</f>
        <v/>
      </c>
      <c r="I464" s="624" t="str">
        <f>'PV (%)'!F466</f>
        <v/>
      </c>
      <c r="J464" s="624" t="str">
        <f>'PV (%)'!G466</f>
        <v/>
      </c>
      <c r="K464" s="623"/>
      <c r="L464" s="621" t="str">
        <f>Exposition!A465</f>
        <v/>
      </c>
      <c r="M464" s="625" t="str">
        <f>Exposition!B465</f>
        <v/>
      </c>
      <c r="N464" s="625" t="str">
        <f>Exposition!C465</f>
        <v/>
      </c>
      <c r="O464" s="625" t="str">
        <f>Exposition!D465</f>
        <v/>
      </c>
      <c r="P464" s="625" t="str">
        <f>Exposition!E465</f>
        <v/>
      </c>
      <c r="Q464" s="625" t="str">
        <f>Exposition!F465</f>
        <v/>
      </c>
      <c r="R464" s="625" t="str">
        <f>Exposition!G465</f>
        <v/>
      </c>
      <c r="S464" s="625" t="str">
        <f>Exposition!H465</f>
        <v/>
      </c>
      <c r="T464" s="625" t="str">
        <f>Exposition!I465</f>
        <v/>
      </c>
      <c r="U464" s="625" t="str">
        <f>Exposition!J465</f>
        <v/>
      </c>
      <c r="V464" s="625" t="str">
        <f>Exposition!K465</f>
        <v/>
      </c>
      <c r="W464" s="625" t="str">
        <f>Exposition!L465</f>
        <v/>
      </c>
      <c r="X464" s="625" t="str">
        <f>Exposition!M465</f>
        <v/>
      </c>
      <c r="Y464" s="625" t="str">
        <f>Exposition!N465</f>
        <v/>
      </c>
      <c r="Z464" s="625" t="str">
        <f>Exposition!O465</f>
        <v/>
      </c>
      <c r="AA464" s="625" t="str">
        <f>Exposition!P465</f>
        <v/>
      </c>
      <c r="AB464" s="625" t="str">
        <f>Exposition!Q465</f>
        <v/>
      </c>
      <c r="AC464" s="625" t="str">
        <f>Exposition!R465</f>
        <v/>
      </c>
      <c r="AD464" s="625" t="str">
        <f>Exposition!S465</f>
        <v/>
      </c>
      <c r="AE464" s="625" t="str">
        <f>Exposition!T465</f>
        <v/>
      </c>
      <c r="AF464" s="625" t="str">
        <f>Exposition!U465</f>
        <v/>
      </c>
      <c r="AG464" s="623"/>
      <c r="AH464" s="621" t="str">
        <f>PRIX!A465</f>
        <v/>
      </c>
      <c r="AI464" s="626" t="str">
        <f>PRIX!B465</f>
        <v/>
      </c>
      <c r="AJ464" s="626" t="str">
        <f>PRIX!C465</f>
        <v/>
      </c>
      <c r="AK464" s="627" t="str">
        <f>PRIX!D465</f>
        <v/>
      </c>
      <c r="AL464" s="626" t="str">
        <f>PRIX!E465</f>
        <v/>
      </c>
      <c r="AM464" s="626" t="str">
        <f>PRIX!F465</f>
        <v/>
      </c>
      <c r="AN464" s="627" t="str">
        <f>PRIX!G465</f>
        <v/>
      </c>
      <c r="AO464" s="627" t="str">
        <f>PRIX!H465</f>
        <v/>
      </c>
      <c r="AP464" s="631" t="str">
        <f>PRIX!I465</f>
        <v/>
      </c>
      <c r="AQ464" s="628" t="str">
        <f>PRIX!J465</f>
        <v/>
      </c>
      <c r="AR464" s="631" t="str">
        <f>PRIX!K465</f>
        <v/>
      </c>
      <c r="AS464" s="631" t="str">
        <f>PRIX!L465</f>
        <v/>
      </c>
      <c r="AT464" s="631" t="str">
        <f>PRIX!M465</f>
        <v/>
      </c>
      <c r="AU464" s="629" t="str">
        <f>PRIX!N465</f>
        <v/>
      </c>
      <c r="AV464" s="631" t="str">
        <f>PRIX!O465</f>
        <v/>
      </c>
      <c r="AW464" s="631" t="str">
        <f>PRIX!P465</f>
        <v/>
      </c>
      <c r="AX464" s="630" t="str">
        <f>PRIX!Q465</f>
        <v/>
      </c>
      <c r="AY464" s="631" t="str">
        <f>PRIX!R465</f>
        <v/>
      </c>
      <c r="AZ464" s="631" t="str">
        <f>PRIX!S465</f>
        <v/>
      </c>
      <c r="BA464" s="623"/>
    </row>
    <row r="465">
      <c r="A465" s="621" t="str">
        <f>ARBITRAGES!E466</f>
        <v/>
      </c>
      <c r="B465" s="623" t="str">
        <f>IF(A465="","",IF(ARBITRAGES!F466="Invest","Achat","Vente"))</f>
        <v/>
      </c>
      <c r="C465" s="623" t="str">
        <f>ARBITRAGES!H466</f>
        <v/>
      </c>
      <c r="D465" s="624" t="str">
        <f>ARBITRAGES!I466</f>
        <v/>
      </c>
      <c r="E465" s="624" t="str">
        <f>ARBITRAGES!J466</f>
        <v/>
      </c>
      <c r="F465" s="623"/>
      <c r="G465" s="623" t="str">
        <f>'PV (%)'!B467</f>
        <v/>
      </c>
      <c r="H465" s="624" t="str">
        <f>'PV (%)'!E467</f>
        <v/>
      </c>
      <c r="I465" s="624" t="str">
        <f>'PV (%)'!F467</f>
        <v/>
      </c>
      <c r="J465" s="624" t="str">
        <f>'PV (%)'!G467</f>
        <v/>
      </c>
      <c r="K465" s="623"/>
      <c r="L465" s="621" t="str">
        <f>Exposition!A466</f>
        <v/>
      </c>
      <c r="M465" s="625" t="str">
        <f>Exposition!B466</f>
        <v/>
      </c>
      <c r="N465" s="625" t="str">
        <f>Exposition!C466</f>
        <v/>
      </c>
      <c r="O465" s="625" t="str">
        <f>Exposition!D466</f>
        <v/>
      </c>
      <c r="P465" s="625" t="str">
        <f>Exposition!E466</f>
        <v/>
      </c>
      <c r="Q465" s="625" t="str">
        <f>Exposition!F466</f>
        <v/>
      </c>
      <c r="R465" s="625" t="str">
        <f>Exposition!G466</f>
        <v/>
      </c>
      <c r="S465" s="625" t="str">
        <f>Exposition!H466</f>
        <v/>
      </c>
      <c r="T465" s="625" t="str">
        <f>Exposition!I466</f>
        <v/>
      </c>
      <c r="U465" s="625" t="str">
        <f>Exposition!J466</f>
        <v/>
      </c>
      <c r="V465" s="625" t="str">
        <f>Exposition!K466</f>
        <v/>
      </c>
      <c r="W465" s="625" t="str">
        <f>Exposition!L466</f>
        <v/>
      </c>
      <c r="X465" s="625" t="str">
        <f>Exposition!M466</f>
        <v/>
      </c>
      <c r="Y465" s="625" t="str">
        <f>Exposition!N466</f>
        <v/>
      </c>
      <c r="Z465" s="625" t="str">
        <f>Exposition!O466</f>
        <v/>
      </c>
      <c r="AA465" s="625" t="str">
        <f>Exposition!P466</f>
        <v/>
      </c>
      <c r="AB465" s="625" t="str">
        <f>Exposition!Q466</f>
        <v/>
      </c>
      <c r="AC465" s="625" t="str">
        <f>Exposition!R466</f>
        <v/>
      </c>
      <c r="AD465" s="625" t="str">
        <f>Exposition!S466</f>
        <v/>
      </c>
      <c r="AE465" s="625" t="str">
        <f>Exposition!T466</f>
        <v/>
      </c>
      <c r="AF465" s="625" t="str">
        <f>Exposition!U466</f>
        <v/>
      </c>
      <c r="AG465" s="623"/>
      <c r="AH465" s="621" t="str">
        <f>PRIX!A466</f>
        <v/>
      </c>
      <c r="AI465" s="626" t="str">
        <f>PRIX!B466</f>
        <v/>
      </c>
      <c r="AJ465" s="626" t="str">
        <f>PRIX!C466</f>
        <v/>
      </c>
      <c r="AK465" s="627" t="str">
        <f>PRIX!D466</f>
        <v/>
      </c>
      <c r="AL465" s="626" t="str">
        <f>PRIX!E466</f>
        <v/>
      </c>
      <c r="AM465" s="626" t="str">
        <f>PRIX!F466</f>
        <v/>
      </c>
      <c r="AN465" s="627" t="str">
        <f>PRIX!G466</f>
        <v/>
      </c>
      <c r="AO465" s="627" t="str">
        <f>PRIX!H466</f>
        <v/>
      </c>
      <c r="AP465" s="631" t="str">
        <f>PRIX!I466</f>
        <v/>
      </c>
      <c r="AQ465" s="628" t="str">
        <f>PRIX!J466</f>
        <v/>
      </c>
      <c r="AR465" s="631" t="str">
        <f>PRIX!K466</f>
        <v/>
      </c>
      <c r="AS465" s="631" t="str">
        <f>PRIX!L466</f>
        <v/>
      </c>
      <c r="AT465" s="631" t="str">
        <f>PRIX!M466</f>
        <v/>
      </c>
      <c r="AU465" s="629" t="str">
        <f>PRIX!N466</f>
        <v/>
      </c>
      <c r="AV465" s="631" t="str">
        <f>PRIX!O466</f>
        <v/>
      </c>
      <c r="AW465" s="631" t="str">
        <f>PRIX!P466</f>
        <v/>
      </c>
      <c r="AX465" s="630" t="str">
        <f>PRIX!Q466</f>
        <v/>
      </c>
      <c r="AY465" s="631" t="str">
        <f>PRIX!R466</f>
        <v/>
      </c>
      <c r="AZ465" s="631" t="str">
        <f>PRIX!S466</f>
        <v/>
      </c>
      <c r="BA465" s="623"/>
    </row>
    <row r="466">
      <c r="A466" s="621" t="str">
        <f>ARBITRAGES!E467</f>
        <v/>
      </c>
      <c r="B466" s="623" t="str">
        <f>IF(A466="","",IF(ARBITRAGES!F467="Invest","Achat","Vente"))</f>
        <v/>
      </c>
      <c r="C466" s="623" t="str">
        <f>ARBITRAGES!H467</f>
        <v/>
      </c>
      <c r="D466" s="624" t="str">
        <f>ARBITRAGES!I467</f>
        <v/>
      </c>
      <c r="E466" s="624" t="str">
        <f>ARBITRAGES!J467</f>
        <v/>
      </c>
      <c r="F466" s="623"/>
      <c r="G466" s="623" t="str">
        <f>'PV (%)'!B468</f>
        <v/>
      </c>
      <c r="H466" s="624" t="str">
        <f>'PV (%)'!E468</f>
        <v/>
      </c>
      <c r="I466" s="624" t="str">
        <f>'PV (%)'!F468</f>
        <v/>
      </c>
      <c r="J466" s="624" t="str">
        <f>'PV (%)'!G468</f>
        <v/>
      </c>
      <c r="K466" s="623"/>
      <c r="L466" s="621" t="str">
        <f>Exposition!A467</f>
        <v/>
      </c>
      <c r="M466" s="625" t="str">
        <f>Exposition!B467</f>
        <v/>
      </c>
      <c r="N466" s="625" t="str">
        <f>Exposition!C467</f>
        <v/>
      </c>
      <c r="O466" s="625" t="str">
        <f>Exposition!D467</f>
        <v/>
      </c>
      <c r="P466" s="625" t="str">
        <f>Exposition!E467</f>
        <v/>
      </c>
      <c r="Q466" s="625" t="str">
        <f>Exposition!F467</f>
        <v/>
      </c>
      <c r="R466" s="625" t="str">
        <f>Exposition!G467</f>
        <v/>
      </c>
      <c r="S466" s="625" t="str">
        <f>Exposition!H467</f>
        <v/>
      </c>
      <c r="T466" s="625" t="str">
        <f>Exposition!I467</f>
        <v/>
      </c>
      <c r="U466" s="625" t="str">
        <f>Exposition!J467</f>
        <v/>
      </c>
      <c r="V466" s="625" t="str">
        <f>Exposition!K467</f>
        <v/>
      </c>
      <c r="W466" s="625" t="str">
        <f>Exposition!L467</f>
        <v/>
      </c>
      <c r="X466" s="625" t="str">
        <f>Exposition!M467</f>
        <v/>
      </c>
      <c r="Y466" s="625" t="str">
        <f>Exposition!N467</f>
        <v/>
      </c>
      <c r="Z466" s="625" t="str">
        <f>Exposition!O467</f>
        <v/>
      </c>
      <c r="AA466" s="625" t="str">
        <f>Exposition!P467</f>
        <v/>
      </c>
      <c r="AB466" s="625" t="str">
        <f>Exposition!Q467</f>
        <v/>
      </c>
      <c r="AC466" s="625" t="str">
        <f>Exposition!R467</f>
        <v/>
      </c>
      <c r="AD466" s="625" t="str">
        <f>Exposition!S467</f>
        <v/>
      </c>
      <c r="AE466" s="625" t="str">
        <f>Exposition!T467</f>
        <v/>
      </c>
      <c r="AF466" s="625" t="str">
        <f>Exposition!U467</f>
        <v/>
      </c>
      <c r="AG466" s="623"/>
      <c r="AH466" s="621" t="str">
        <f>PRIX!A467</f>
        <v/>
      </c>
      <c r="AI466" s="626" t="str">
        <f>PRIX!B467</f>
        <v/>
      </c>
      <c r="AJ466" s="626" t="str">
        <f>PRIX!C467</f>
        <v/>
      </c>
      <c r="AK466" s="627" t="str">
        <f>PRIX!D467</f>
        <v/>
      </c>
      <c r="AL466" s="626" t="str">
        <f>PRIX!E467</f>
        <v/>
      </c>
      <c r="AM466" s="626" t="str">
        <f>PRIX!F467</f>
        <v/>
      </c>
      <c r="AN466" s="627" t="str">
        <f>PRIX!G467</f>
        <v/>
      </c>
      <c r="AO466" s="627" t="str">
        <f>PRIX!H467</f>
        <v/>
      </c>
      <c r="AP466" s="631" t="str">
        <f>PRIX!I467</f>
        <v/>
      </c>
      <c r="AQ466" s="628" t="str">
        <f>PRIX!J467</f>
        <v/>
      </c>
      <c r="AR466" s="631" t="str">
        <f>PRIX!K467</f>
        <v/>
      </c>
      <c r="AS466" s="631" t="str">
        <f>PRIX!L467</f>
        <v/>
      </c>
      <c r="AT466" s="631" t="str">
        <f>PRIX!M467</f>
        <v/>
      </c>
      <c r="AU466" s="629" t="str">
        <f>PRIX!N467</f>
        <v/>
      </c>
      <c r="AV466" s="631" t="str">
        <f>PRIX!O467</f>
        <v/>
      </c>
      <c r="AW466" s="631" t="str">
        <f>PRIX!P467</f>
        <v/>
      </c>
      <c r="AX466" s="630" t="str">
        <f>PRIX!Q467</f>
        <v/>
      </c>
      <c r="AY466" s="631" t="str">
        <f>PRIX!R467</f>
        <v/>
      </c>
      <c r="AZ466" s="631" t="str">
        <f>PRIX!S467</f>
        <v/>
      </c>
      <c r="BA466" s="623"/>
    </row>
    <row r="467">
      <c r="A467" s="621" t="str">
        <f>ARBITRAGES!E468</f>
        <v/>
      </c>
      <c r="B467" s="623" t="str">
        <f>IF(A467="","",IF(ARBITRAGES!F468="Invest","Achat","Vente"))</f>
        <v/>
      </c>
      <c r="C467" s="623" t="str">
        <f>ARBITRAGES!H468</f>
        <v/>
      </c>
      <c r="D467" s="624" t="str">
        <f>ARBITRAGES!I468</f>
        <v/>
      </c>
      <c r="E467" s="624" t="str">
        <f>ARBITRAGES!J468</f>
        <v/>
      </c>
      <c r="F467" s="623"/>
      <c r="G467" s="623" t="str">
        <f>'PV (%)'!B469</f>
        <v/>
      </c>
      <c r="H467" s="624" t="str">
        <f>'PV (%)'!E469</f>
        <v/>
      </c>
      <c r="I467" s="624" t="str">
        <f>'PV (%)'!F469</f>
        <v/>
      </c>
      <c r="J467" s="624" t="str">
        <f>'PV (%)'!G469</f>
        <v/>
      </c>
      <c r="K467" s="623"/>
      <c r="L467" s="621" t="str">
        <f>Exposition!A468</f>
        <v/>
      </c>
      <c r="M467" s="625" t="str">
        <f>Exposition!B468</f>
        <v/>
      </c>
      <c r="N467" s="625" t="str">
        <f>Exposition!C468</f>
        <v/>
      </c>
      <c r="O467" s="625" t="str">
        <f>Exposition!D468</f>
        <v/>
      </c>
      <c r="P467" s="625" t="str">
        <f>Exposition!E468</f>
        <v/>
      </c>
      <c r="Q467" s="625" t="str">
        <f>Exposition!F468</f>
        <v/>
      </c>
      <c r="R467" s="625" t="str">
        <f>Exposition!G468</f>
        <v/>
      </c>
      <c r="S467" s="625" t="str">
        <f>Exposition!H468</f>
        <v/>
      </c>
      <c r="T467" s="625" t="str">
        <f>Exposition!I468</f>
        <v/>
      </c>
      <c r="U467" s="625" t="str">
        <f>Exposition!J468</f>
        <v/>
      </c>
      <c r="V467" s="625" t="str">
        <f>Exposition!K468</f>
        <v/>
      </c>
      <c r="W467" s="625" t="str">
        <f>Exposition!L468</f>
        <v/>
      </c>
      <c r="X467" s="625" t="str">
        <f>Exposition!M468</f>
        <v/>
      </c>
      <c r="Y467" s="625" t="str">
        <f>Exposition!N468</f>
        <v/>
      </c>
      <c r="Z467" s="625" t="str">
        <f>Exposition!O468</f>
        <v/>
      </c>
      <c r="AA467" s="625" t="str">
        <f>Exposition!P468</f>
        <v/>
      </c>
      <c r="AB467" s="625" t="str">
        <f>Exposition!Q468</f>
        <v/>
      </c>
      <c r="AC467" s="625" t="str">
        <f>Exposition!R468</f>
        <v/>
      </c>
      <c r="AD467" s="625" t="str">
        <f>Exposition!S468</f>
        <v/>
      </c>
      <c r="AE467" s="625" t="str">
        <f>Exposition!T468</f>
        <v/>
      </c>
      <c r="AF467" s="625" t="str">
        <f>Exposition!U468</f>
        <v/>
      </c>
      <c r="AG467" s="623"/>
      <c r="AH467" s="621" t="str">
        <f>PRIX!A468</f>
        <v/>
      </c>
      <c r="AI467" s="626" t="str">
        <f>PRIX!B468</f>
        <v/>
      </c>
      <c r="AJ467" s="626" t="str">
        <f>PRIX!C468</f>
        <v/>
      </c>
      <c r="AK467" s="627" t="str">
        <f>PRIX!D468</f>
        <v/>
      </c>
      <c r="AL467" s="626" t="str">
        <f>PRIX!E468</f>
        <v/>
      </c>
      <c r="AM467" s="626" t="str">
        <f>PRIX!F468</f>
        <v/>
      </c>
      <c r="AN467" s="627" t="str">
        <f>PRIX!G468</f>
        <v/>
      </c>
      <c r="AO467" s="627" t="str">
        <f>PRIX!H468</f>
        <v/>
      </c>
      <c r="AP467" s="631" t="str">
        <f>PRIX!I468</f>
        <v/>
      </c>
      <c r="AQ467" s="628" t="str">
        <f>PRIX!J468</f>
        <v/>
      </c>
      <c r="AR467" s="631" t="str">
        <f>PRIX!K468</f>
        <v/>
      </c>
      <c r="AS467" s="631" t="str">
        <f>PRIX!L468</f>
        <v/>
      </c>
      <c r="AT467" s="631" t="str">
        <f>PRIX!M468</f>
        <v/>
      </c>
      <c r="AU467" s="629" t="str">
        <f>PRIX!N468</f>
        <v/>
      </c>
      <c r="AV467" s="631" t="str">
        <f>PRIX!O468</f>
        <v/>
      </c>
      <c r="AW467" s="631" t="str">
        <f>PRIX!P468</f>
        <v/>
      </c>
      <c r="AX467" s="630" t="str">
        <f>PRIX!Q468</f>
        <v/>
      </c>
      <c r="AY467" s="631" t="str">
        <f>PRIX!R468</f>
        <v/>
      </c>
      <c r="AZ467" s="631" t="str">
        <f>PRIX!S468</f>
        <v/>
      </c>
      <c r="BA467" s="623"/>
    </row>
    <row r="468">
      <c r="A468" s="621" t="str">
        <f>ARBITRAGES!E469</f>
        <v/>
      </c>
      <c r="B468" s="623" t="str">
        <f>IF(A468="","",IF(ARBITRAGES!F469="Invest","Achat","Vente"))</f>
        <v/>
      </c>
      <c r="C468" s="623" t="str">
        <f>ARBITRAGES!H469</f>
        <v/>
      </c>
      <c r="D468" s="624" t="str">
        <f>ARBITRAGES!I469</f>
        <v/>
      </c>
      <c r="E468" s="624" t="str">
        <f>ARBITRAGES!J469</f>
        <v/>
      </c>
      <c r="F468" s="623"/>
      <c r="G468" s="623" t="str">
        <f>'PV (%)'!B470</f>
        <v/>
      </c>
      <c r="H468" s="624" t="str">
        <f>'PV (%)'!E470</f>
        <v/>
      </c>
      <c r="I468" s="624" t="str">
        <f>'PV (%)'!F470</f>
        <v/>
      </c>
      <c r="J468" s="624" t="str">
        <f>'PV (%)'!G470</f>
        <v/>
      </c>
      <c r="K468" s="623"/>
      <c r="L468" s="621" t="str">
        <f>Exposition!A469</f>
        <v/>
      </c>
      <c r="M468" s="625" t="str">
        <f>Exposition!B469</f>
        <v/>
      </c>
      <c r="N468" s="625" t="str">
        <f>Exposition!C469</f>
        <v/>
      </c>
      <c r="O468" s="625" t="str">
        <f>Exposition!D469</f>
        <v/>
      </c>
      <c r="P468" s="625" t="str">
        <f>Exposition!E469</f>
        <v/>
      </c>
      <c r="Q468" s="625" t="str">
        <f>Exposition!F469</f>
        <v/>
      </c>
      <c r="R468" s="625" t="str">
        <f>Exposition!G469</f>
        <v/>
      </c>
      <c r="S468" s="625" t="str">
        <f>Exposition!H469</f>
        <v/>
      </c>
      <c r="T468" s="625" t="str">
        <f>Exposition!I469</f>
        <v/>
      </c>
      <c r="U468" s="625" t="str">
        <f>Exposition!J469</f>
        <v/>
      </c>
      <c r="V468" s="625" t="str">
        <f>Exposition!K469</f>
        <v/>
      </c>
      <c r="W468" s="625" t="str">
        <f>Exposition!L469</f>
        <v/>
      </c>
      <c r="X468" s="625" t="str">
        <f>Exposition!M469</f>
        <v/>
      </c>
      <c r="Y468" s="625" t="str">
        <f>Exposition!N469</f>
        <v/>
      </c>
      <c r="Z468" s="625" t="str">
        <f>Exposition!O469</f>
        <v/>
      </c>
      <c r="AA468" s="625" t="str">
        <f>Exposition!P469</f>
        <v/>
      </c>
      <c r="AB468" s="625" t="str">
        <f>Exposition!Q469</f>
        <v/>
      </c>
      <c r="AC468" s="625" t="str">
        <f>Exposition!R469</f>
        <v/>
      </c>
      <c r="AD468" s="625" t="str">
        <f>Exposition!S469</f>
        <v/>
      </c>
      <c r="AE468" s="625" t="str">
        <f>Exposition!T469</f>
        <v/>
      </c>
      <c r="AF468" s="625" t="str">
        <f>Exposition!U469</f>
        <v/>
      </c>
      <c r="AG468" s="623"/>
      <c r="AH468" s="621" t="str">
        <f>PRIX!A469</f>
        <v/>
      </c>
      <c r="AI468" s="626" t="str">
        <f>PRIX!B469</f>
        <v/>
      </c>
      <c r="AJ468" s="626" t="str">
        <f>PRIX!C469</f>
        <v/>
      </c>
      <c r="AK468" s="627" t="str">
        <f>PRIX!D469</f>
        <v/>
      </c>
      <c r="AL468" s="626" t="str">
        <f>PRIX!E469</f>
        <v/>
      </c>
      <c r="AM468" s="626" t="str">
        <f>PRIX!F469</f>
        <v/>
      </c>
      <c r="AN468" s="627" t="str">
        <f>PRIX!G469</f>
        <v/>
      </c>
      <c r="AO468" s="627" t="str">
        <f>PRIX!H469</f>
        <v/>
      </c>
      <c r="AP468" s="631" t="str">
        <f>PRIX!I469</f>
        <v/>
      </c>
      <c r="AQ468" s="628" t="str">
        <f>PRIX!J469</f>
        <v/>
      </c>
      <c r="AR468" s="631" t="str">
        <f>PRIX!K469</f>
        <v/>
      </c>
      <c r="AS468" s="631" t="str">
        <f>PRIX!L469</f>
        <v/>
      </c>
      <c r="AT468" s="631" t="str">
        <f>PRIX!M469</f>
        <v/>
      </c>
      <c r="AU468" s="629" t="str">
        <f>PRIX!N469</f>
        <v/>
      </c>
      <c r="AV468" s="631" t="str">
        <f>PRIX!O469</f>
        <v/>
      </c>
      <c r="AW468" s="631" t="str">
        <f>PRIX!P469</f>
        <v/>
      </c>
      <c r="AX468" s="630" t="str">
        <f>PRIX!Q469</f>
        <v/>
      </c>
      <c r="AY468" s="631" t="str">
        <f>PRIX!R469</f>
        <v/>
      </c>
      <c r="AZ468" s="631" t="str">
        <f>PRIX!S469</f>
        <v/>
      </c>
      <c r="BA468" s="623"/>
    </row>
    <row r="469">
      <c r="A469" s="621" t="str">
        <f>ARBITRAGES!E470</f>
        <v/>
      </c>
      <c r="B469" s="623" t="str">
        <f>IF(A469="","",IF(ARBITRAGES!F470="Invest","Achat","Vente"))</f>
        <v/>
      </c>
      <c r="C469" s="623" t="str">
        <f>ARBITRAGES!H470</f>
        <v/>
      </c>
      <c r="D469" s="624" t="str">
        <f>ARBITRAGES!I470</f>
        <v/>
      </c>
      <c r="E469" s="624" t="str">
        <f>ARBITRAGES!J470</f>
        <v/>
      </c>
      <c r="F469" s="623"/>
      <c r="G469" s="623" t="str">
        <f>'PV (%)'!B471</f>
        <v/>
      </c>
      <c r="H469" s="624" t="str">
        <f>'PV (%)'!E471</f>
        <v/>
      </c>
      <c r="I469" s="624" t="str">
        <f>'PV (%)'!F471</f>
        <v/>
      </c>
      <c r="J469" s="624" t="str">
        <f>'PV (%)'!G471</f>
        <v/>
      </c>
      <c r="K469" s="623"/>
      <c r="L469" s="621" t="str">
        <f>Exposition!A470</f>
        <v/>
      </c>
      <c r="M469" s="625" t="str">
        <f>Exposition!B470</f>
        <v/>
      </c>
      <c r="N469" s="625" t="str">
        <f>Exposition!C470</f>
        <v/>
      </c>
      <c r="O469" s="625" t="str">
        <f>Exposition!D470</f>
        <v/>
      </c>
      <c r="P469" s="625" t="str">
        <f>Exposition!E470</f>
        <v/>
      </c>
      <c r="Q469" s="625" t="str">
        <f>Exposition!F470</f>
        <v/>
      </c>
      <c r="R469" s="625" t="str">
        <f>Exposition!G470</f>
        <v/>
      </c>
      <c r="S469" s="625" t="str">
        <f>Exposition!H470</f>
        <v/>
      </c>
      <c r="T469" s="625" t="str">
        <f>Exposition!I470</f>
        <v/>
      </c>
      <c r="U469" s="625" t="str">
        <f>Exposition!J470</f>
        <v/>
      </c>
      <c r="V469" s="625" t="str">
        <f>Exposition!K470</f>
        <v/>
      </c>
      <c r="W469" s="625" t="str">
        <f>Exposition!L470</f>
        <v/>
      </c>
      <c r="X469" s="625" t="str">
        <f>Exposition!M470</f>
        <v/>
      </c>
      <c r="Y469" s="625" t="str">
        <f>Exposition!N470</f>
        <v/>
      </c>
      <c r="Z469" s="625" t="str">
        <f>Exposition!O470</f>
        <v/>
      </c>
      <c r="AA469" s="625" t="str">
        <f>Exposition!P470</f>
        <v/>
      </c>
      <c r="AB469" s="625" t="str">
        <f>Exposition!Q470</f>
        <v/>
      </c>
      <c r="AC469" s="625" t="str">
        <f>Exposition!R470</f>
        <v/>
      </c>
      <c r="AD469" s="625" t="str">
        <f>Exposition!S470</f>
        <v/>
      </c>
      <c r="AE469" s="625" t="str">
        <f>Exposition!T470</f>
        <v/>
      </c>
      <c r="AF469" s="625" t="str">
        <f>Exposition!U470</f>
        <v/>
      </c>
      <c r="AG469" s="623"/>
      <c r="AH469" s="621" t="str">
        <f>PRIX!A470</f>
        <v/>
      </c>
      <c r="AI469" s="626" t="str">
        <f>PRIX!B470</f>
        <v/>
      </c>
      <c r="AJ469" s="626" t="str">
        <f>PRIX!C470</f>
        <v/>
      </c>
      <c r="AK469" s="627" t="str">
        <f>PRIX!D470</f>
        <v/>
      </c>
      <c r="AL469" s="626" t="str">
        <f>PRIX!E470</f>
        <v/>
      </c>
      <c r="AM469" s="626" t="str">
        <f>PRIX!F470</f>
        <v/>
      </c>
      <c r="AN469" s="627" t="str">
        <f>PRIX!G470</f>
        <v/>
      </c>
      <c r="AO469" s="627" t="str">
        <f>PRIX!H470</f>
        <v/>
      </c>
      <c r="AP469" s="631" t="str">
        <f>PRIX!I470</f>
        <v/>
      </c>
      <c r="AQ469" s="628" t="str">
        <f>PRIX!J470</f>
        <v/>
      </c>
      <c r="AR469" s="631" t="str">
        <f>PRIX!K470</f>
        <v/>
      </c>
      <c r="AS469" s="631" t="str">
        <f>PRIX!L470</f>
        <v/>
      </c>
      <c r="AT469" s="631" t="str">
        <f>PRIX!M470</f>
        <v/>
      </c>
      <c r="AU469" s="629" t="str">
        <f>PRIX!N470</f>
        <v/>
      </c>
      <c r="AV469" s="631" t="str">
        <f>PRIX!O470</f>
        <v/>
      </c>
      <c r="AW469" s="631" t="str">
        <f>PRIX!P470</f>
        <v/>
      </c>
      <c r="AX469" s="630" t="str">
        <f>PRIX!Q470</f>
        <v/>
      </c>
      <c r="AY469" s="631" t="str">
        <f>PRIX!R470</f>
        <v/>
      </c>
      <c r="AZ469" s="631" t="str">
        <f>PRIX!S470</f>
        <v/>
      </c>
      <c r="BA469" s="623"/>
    </row>
    <row r="470">
      <c r="A470" s="621" t="str">
        <f>ARBITRAGES!E471</f>
        <v/>
      </c>
      <c r="B470" s="623" t="str">
        <f>IF(A470="","",IF(ARBITRAGES!F471="Invest","Achat","Vente"))</f>
        <v/>
      </c>
      <c r="C470" s="623" t="str">
        <f>ARBITRAGES!H471</f>
        <v/>
      </c>
      <c r="D470" s="624" t="str">
        <f>ARBITRAGES!I471</f>
        <v/>
      </c>
      <c r="E470" s="624" t="str">
        <f>ARBITRAGES!J471</f>
        <v/>
      </c>
      <c r="F470" s="623"/>
      <c r="G470" s="623" t="str">
        <f>'PV (%)'!B472</f>
        <v/>
      </c>
      <c r="H470" s="624" t="str">
        <f>'PV (%)'!E472</f>
        <v/>
      </c>
      <c r="I470" s="624" t="str">
        <f>'PV (%)'!F472</f>
        <v/>
      </c>
      <c r="J470" s="624" t="str">
        <f>'PV (%)'!G472</f>
        <v/>
      </c>
      <c r="K470" s="623"/>
      <c r="L470" s="621" t="str">
        <f>Exposition!A471</f>
        <v/>
      </c>
      <c r="M470" s="625" t="str">
        <f>Exposition!B471</f>
        <v/>
      </c>
      <c r="N470" s="625" t="str">
        <f>Exposition!C471</f>
        <v/>
      </c>
      <c r="O470" s="625" t="str">
        <f>Exposition!D471</f>
        <v/>
      </c>
      <c r="P470" s="625" t="str">
        <f>Exposition!E471</f>
        <v/>
      </c>
      <c r="Q470" s="625" t="str">
        <f>Exposition!F471</f>
        <v/>
      </c>
      <c r="R470" s="625" t="str">
        <f>Exposition!G471</f>
        <v/>
      </c>
      <c r="S470" s="625" t="str">
        <f>Exposition!H471</f>
        <v/>
      </c>
      <c r="T470" s="625" t="str">
        <f>Exposition!I471</f>
        <v/>
      </c>
      <c r="U470" s="625" t="str">
        <f>Exposition!J471</f>
        <v/>
      </c>
      <c r="V470" s="625" t="str">
        <f>Exposition!K471</f>
        <v/>
      </c>
      <c r="W470" s="625" t="str">
        <f>Exposition!L471</f>
        <v/>
      </c>
      <c r="X470" s="625" t="str">
        <f>Exposition!M471</f>
        <v/>
      </c>
      <c r="Y470" s="625" t="str">
        <f>Exposition!N471</f>
        <v/>
      </c>
      <c r="Z470" s="625" t="str">
        <f>Exposition!O471</f>
        <v/>
      </c>
      <c r="AA470" s="625" t="str">
        <f>Exposition!P471</f>
        <v/>
      </c>
      <c r="AB470" s="625" t="str">
        <f>Exposition!Q471</f>
        <v/>
      </c>
      <c r="AC470" s="625" t="str">
        <f>Exposition!R471</f>
        <v/>
      </c>
      <c r="AD470" s="625" t="str">
        <f>Exposition!S471</f>
        <v/>
      </c>
      <c r="AE470" s="625" t="str">
        <f>Exposition!T471</f>
        <v/>
      </c>
      <c r="AF470" s="625" t="str">
        <f>Exposition!U471</f>
        <v/>
      </c>
      <c r="AG470" s="623"/>
      <c r="AH470" s="621" t="str">
        <f>PRIX!A471</f>
        <v/>
      </c>
      <c r="AI470" s="626" t="str">
        <f>PRIX!B471</f>
        <v/>
      </c>
      <c r="AJ470" s="626" t="str">
        <f>PRIX!C471</f>
        <v/>
      </c>
      <c r="AK470" s="627" t="str">
        <f>PRIX!D471</f>
        <v/>
      </c>
      <c r="AL470" s="626" t="str">
        <f>PRIX!E471</f>
        <v/>
      </c>
      <c r="AM470" s="626" t="str">
        <f>PRIX!F471</f>
        <v/>
      </c>
      <c r="AN470" s="627" t="str">
        <f>PRIX!G471</f>
        <v/>
      </c>
      <c r="AO470" s="627" t="str">
        <f>PRIX!H471</f>
        <v/>
      </c>
      <c r="AP470" s="631" t="str">
        <f>PRIX!I471</f>
        <v/>
      </c>
      <c r="AQ470" s="628" t="str">
        <f>PRIX!J471</f>
        <v/>
      </c>
      <c r="AR470" s="631" t="str">
        <f>PRIX!K471</f>
        <v/>
      </c>
      <c r="AS470" s="631" t="str">
        <f>PRIX!L471</f>
        <v/>
      </c>
      <c r="AT470" s="631" t="str">
        <f>PRIX!M471</f>
        <v/>
      </c>
      <c r="AU470" s="629" t="str">
        <f>PRIX!N471</f>
        <v/>
      </c>
      <c r="AV470" s="631" t="str">
        <f>PRIX!O471</f>
        <v/>
      </c>
      <c r="AW470" s="631" t="str">
        <f>PRIX!P471</f>
        <v/>
      </c>
      <c r="AX470" s="630" t="str">
        <f>PRIX!Q471</f>
        <v/>
      </c>
      <c r="AY470" s="631" t="str">
        <f>PRIX!R471</f>
        <v/>
      </c>
      <c r="AZ470" s="631" t="str">
        <f>PRIX!S471</f>
        <v/>
      </c>
      <c r="BA470" s="623"/>
    </row>
    <row r="471">
      <c r="A471" s="621" t="str">
        <f>ARBITRAGES!E472</f>
        <v/>
      </c>
      <c r="B471" s="623" t="str">
        <f>IF(A471="","",IF(ARBITRAGES!F472="Invest","Achat","Vente"))</f>
        <v/>
      </c>
      <c r="C471" s="623" t="str">
        <f>ARBITRAGES!H472</f>
        <v/>
      </c>
      <c r="D471" s="624" t="str">
        <f>ARBITRAGES!I472</f>
        <v/>
      </c>
      <c r="E471" s="624" t="str">
        <f>ARBITRAGES!J472</f>
        <v/>
      </c>
      <c r="F471" s="623"/>
      <c r="G471" s="623" t="str">
        <f>'PV (%)'!B473</f>
        <v/>
      </c>
      <c r="H471" s="624" t="str">
        <f>'PV (%)'!E473</f>
        <v/>
      </c>
      <c r="I471" s="624" t="str">
        <f>'PV (%)'!F473</f>
        <v/>
      </c>
      <c r="J471" s="624" t="str">
        <f>'PV (%)'!G473</f>
        <v/>
      </c>
      <c r="K471" s="623"/>
      <c r="L471" s="621" t="str">
        <f>Exposition!A472</f>
        <v/>
      </c>
      <c r="M471" s="625" t="str">
        <f>Exposition!B472</f>
        <v/>
      </c>
      <c r="N471" s="625" t="str">
        <f>Exposition!C472</f>
        <v/>
      </c>
      <c r="O471" s="625" t="str">
        <f>Exposition!D472</f>
        <v/>
      </c>
      <c r="P471" s="625" t="str">
        <f>Exposition!E472</f>
        <v/>
      </c>
      <c r="Q471" s="625" t="str">
        <f>Exposition!F472</f>
        <v/>
      </c>
      <c r="R471" s="625" t="str">
        <f>Exposition!G472</f>
        <v/>
      </c>
      <c r="S471" s="625" t="str">
        <f>Exposition!H472</f>
        <v/>
      </c>
      <c r="T471" s="625" t="str">
        <f>Exposition!I472</f>
        <v/>
      </c>
      <c r="U471" s="625" t="str">
        <f>Exposition!J472</f>
        <v/>
      </c>
      <c r="V471" s="625" t="str">
        <f>Exposition!K472</f>
        <v/>
      </c>
      <c r="W471" s="625" t="str">
        <f>Exposition!L472</f>
        <v/>
      </c>
      <c r="X471" s="625" t="str">
        <f>Exposition!M472</f>
        <v/>
      </c>
      <c r="Y471" s="625" t="str">
        <f>Exposition!N472</f>
        <v/>
      </c>
      <c r="Z471" s="625" t="str">
        <f>Exposition!O472</f>
        <v/>
      </c>
      <c r="AA471" s="625" t="str">
        <f>Exposition!P472</f>
        <v/>
      </c>
      <c r="AB471" s="625" t="str">
        <f>Exposition!Q472</f>
        <v/>
      </c>
      <c r="AC471" s="625" t="str">
        <f>Exposition!R472</f>
        <v/>
      </c>
      <c r="AD471" s="625" t="str">
        <f>Exposition!S472</f>
        <v/>
      </c>
      <c r="AE471" s="625" t="str">
        <f>Exposition!T472</f>
        <v/>
      </c>
      <c r="AF471" s="625" t="str">
        <f>Exposition!U472</f>
        <v/>
      </c>
      <c r="AG471" s="623"/>
      <c r="AH471" s="621" t="str">
        <f>PRIX!A472</f>
        <v/>
      </c>
      <c r="AI471" s="626" t="str">
        <f>PRIX!B472</f>
        <v/>
      </c>
      <c r="AJ471" s="626" t="str">
        <f>PRIX!C472</f>
        <v/>
      </c>
      <c r="AK471" s="627" t="str">
        <f>PRIX!D472</f>
        <v/>
      </c>
      <c r="AL471" s="626" t="str">
        <f>PRIX!E472</f>
        <v/>
      </c>
      <c r="AM471" s="626" t="str">
        <f>PRIX!F472</f>
        <v/>
      </c>
      <c r="AN471" s="627" t="str">
        <f>PRIX!G472</f>
        <v/>
      </c>
      <c r="AO471" s="627" t="str">
        <f>PRIX!H472</f>
        <v/>
      </c>
      <c r="AP471" s="631" t="str">
        <f>PRIX!I472</f>
        <v/>
      </c>
      <c r="AQ471" s="628" t="str">
        <f>PRIX!J472</f>
        <v/>
      </c>
      <c r="AR471" s="631" t="str">
        <f>PRIX!K472</f>
        <v/>
      </c>
      <c r="AS471" s="631" t="str">
        <f>PRIX!L472</f>
        <v/>
      </c>
      <c r="AT471" s="631" t="str">
        <f>PRIX!M472</f>
        <v/>
      </c>
      <c r="AU471" s="629" t="str">
        <f>PRIX!N472</f>
        <v/>
      </c>
      <c r="AV471" s="631" t="str">
        <f>PRIX!O472</f>
        <v/>
      </c>
      <c r="AW471" s="631" t="str">
        <f>PRIX!P472</f>
        <v/>
      </c>
      <c r="AX471" s="630" t="str">
        <f>PRIX!Q472</f>
        <v/>
      </c>
      <c r="AY471" s="631" t="str">
        <f>PRIX!R472</f>
        <v/>
      </c>
      <c r="AZ471" s="631" t="str">
        <f>PRIX!S472</f>
        <v/>
      </c>
      <c r="BA471" s="623"/>
    </row>
    <row r="472">
      <c r="A472" s="621" t="str">
        <f>ARBITRAGES!E473</f>
        <v/>
      </c>
      <c r="B472" s="623" t="str">
        <f>IF(A472="","",IF(ARBITRAGES!F473="Invest","Achat","Vente"))</f>
        <v/>
      </c>
      <c r="C472" s="623" t="str">
        <f>ARBITRAGES!H473</f>
        <v/>
      </c>
      <c r="D472" s="624" t="str">
        <f>ARBITRAGES!I473</f>
        <v/>
      </c>
      <c r="E472" s="624" t="str">
        <f>ARBITRAGES!J473</f>
        <v/>
      </c>
      <c r="F472" s="623"/>
      <c r="G472" s="623" t="str">
        <f>'PV (%)'!B474</f>
        <v/>
      </c>
      <c r="H472" s="624" t="str">
        <f>'PV (%)'!E474</f>
        <v/>
      </c>
      <c r="I472" s="624" t="str">
        <f>'PV (%)'!F474</f>
        <v/>
      </c>
      <c r="J472" s="624" t="str">
        <f>'PV (%)'!G474</f>
        <v/>
      </c>
      <c r="K472" s="623"/>
      <c r="L472" s="621" t="str">
        <f>Exposition!A473</f>
        <v/>
      </c>
      <c r="M472" s="625" t="str">
        <f>Exposition!B473</f>
        <v/>
      </c>
      <c r="N472" s="625" t="str">
        <f>Exposition!C473</f>
        <v/>
      </c>
      <c r="O472" s="625" t="str">
        <f>Exposition!D473</f>
        <v/>
      </c>
      <c r="P472" s="625" t="str">
        <f>Exposition!E473</f>
        <v/>
      </c>
      <c r="Q472" s="625" t="str">
        <f>Exposition!F473</f>
        <v/>
      </c>
      <c r="R472" s="625" t="str">
        <f>Exposition!G473</f>
        <v/>
      </c>
      <c r="S472" s="625" t="str">
        <f>Exposition!H473</f>
        <v/>
      </c>
      <c r="T472" s="625" t="str">
        <f>Exposition!I473</f>
        <v/>
      </c>
      <c r="U472" s="625" t="str">
        <f>Exposition!J473</f>
        <v/>
      </c>
      <c r="V472" s="625" t="str">
        <f>Exposition!K473</f>
        <v/>
      </c>
      <c r="W472" s="625" t="str">
        <f>Exposition!L473</f>
        <v/>
      </c>
      <c r="X472" s="625" t="str">
        <f>Exposition!M473</f>
        <v/>
      </c>
      <c r="Y472" s="625" t="str">
        <f>Exposition!N473</f>
        <v/>
      </c>
      <c r="Z472" s="625" t="str">
        <f>Exposition!O473</f>
        <v/>
      </c>
      <c r="AA472" s="625" t="str">
        <f>Exposition!P473</f>
        <v/>
      </c>
      <c r="AB472" s="625" t="str">
        <f>Exposition!Q473</f>
        <v/>
      </c>
      <c r="AC472" s="625" t="str">
        <f>Exposition!R473</f>
        <v/>
      </c>
      <c r="AD472" s="625" t="str">
        <f>Exposition!S473</f>
        <v/>
      </c>
      <c r="AE472" s="625" t="str">
        <f>Exposition!T473</f>
        <v/>
      </c>
      <c r="AF472" s="625" t="str">
        <f>Exposition!U473</f>
        <v/>
      </c>
      <c r="AG472" s="623"/>
      <c r="AH472" s="621" t="str">
        <f>PRIX!A473</f>
        <v/>
      </c>
      <c r="AI472" s="626" t="str">
        <f>PRIX!B473</f>
        <v/>
      </c>
      <c r="AJ472" s="626" t="str">
        <f>PRIX!C473</f>
        <v/>
      </c>
      <c r="AK472" s="627" t="str">
        <f>PRIX!D473</f>
        <v/>
      </c>
      <c r="AL472" s="626" t="str">
        <f>PRIX!E473</f>
        <v/>
      </c>
      <c r="AM472" s="626" t="str">
        <f>PRIX!F473</f>
        <v/>
      </c>
      <c r="AN472" s="627" t="str">
        <f>PRIX!G473</f>
        <v/>
      </c>
      <c r="AO472" s="627" t="str">
        <f>PRIX!H473</f>
        <v/>
      </c>
      <c r="AP472" s="631" t="str">
        <f>PRIX!I473</f>
        <v/>
      </c>
      <c r="AQ472" s="628" t="str">
        <f>PRIX!J473</f>
        <v/>
      </c>
      <c r="AR472" s="631" t="str">
        <f>PRIX!K473</f>
        <v/>
      </c>
      <c r="AS472" s="631" t="str">
        <f>PRIX!L473</f>
        <v/>
      </c>
      <c r="AT472" s="631" t="str">
        <f>PRIX!M473</f>
        <v/>
      </c>
      <c r="AU472" s="629" t="str">
        <f>PRIX!N473</f>
        <v/>
      </c>
      <c r="AV472" s="631" t="str">
        <f>PRIX!O473</f>
        <v/>
      </c>
      <c r="AW472" s="631" t="str">
        <f>PRIX!P473</f>
        <v/>
      </c>
      <c r="AX472" s="630" t="str">
        <f>PRIX!Q473</f>
        <v/>
      </c>
      <c r="AY472" s="631" t="str">
        <f>PRIX!R473</f>
        <v/>
      </c>
      <c r="AZ472" s="631" t="str">
        <f>PRIX!S473</f>
        <v/>
      </c>
      <c r="BA472" s="623"/>
    </row>
    <row r="473">
      <c r="A473" s="621" t="str">
        <f>ARBITRAGES!E474</f>
        <v/>
      </c>
      <c r="B473" s="623" t="str">
        <f>IF(A473="","",IF(ARBITRAGES!F474="Invest","Achat","Vente"))</f>
        <v/>
      </c>
      <c r="C473" s="623" t="str">
        <f>ARBITRAGES!H474</f>
        <v/>
      </c>
      <c r="D473" s="624" t="str">
        <f>ARBITRAGES!I474</f>
        <v/>
      </c>
      <c r="E473" s="624" t="str">
        <f>ARBITRAGES!J474</f>
        <v/>
      </c>
      <c r="F473" s="623"/>
      <c r="G473" s="623" t="str">
        <f>'PV (%)'!B475</f>
        <v/>
      </c>
      <c r="H473" s="624" t="str">
        <f>'PV (%)'!E475</f>
        <v/>
      </c>
      <c r="I473" s="624" t="str">
        <f>'PV (%)'!F475</f>
        <v/>
      </c>
      <c r="J473" s="624" t="str">
        <f>'PV (%)'!G475</f>
        <v/>
      </c>
      <c r="K473" s="623"/>
      <c r="L473" s="621" t="str">
        <f>Exposition!A474</f>
        <v/>
      </c>
      <c r="M473" s="625" t="str">
        <f>Exposition!B474</f>
        <v/>
      </c>
      <c r="N473" s="625" t="str">
        <f>Exposition!C474</f>
        <v/>
      </c>
      <c r="O473" s="625" t="str">
        <f>Exposition!D474</f>
        <v/>
      </c>
      <c r="P473" s="625" t="str">
        <f>Exposition!E474</f>
        <v/>
      </c>
      <c r="Q473" s="625" t="str">
        <f>Exposition!F474</f>
        <v/>
      </c>
      <c r="R473" s="625" t="str">
        <f>Exposition!G474</f>
        <v/>
      </c>
      <c r="S473" s="625" t="str">
        <f>Exposition!H474</f>
        <v/>
      </c>
      <c r="T473" s="625" t="str">
        <f>Exposition!I474</f>
        <v/>
      </c>
      <c r="U473" s="625" t="str">
        <f>Exposition!J474</f>
        <v/>
      </c>
      <c r="V473" s="625" t="str">
        <f>Exposition!K474</f>
        <v/>
      </c>
      <c r="W473" s="625" t="str">
        <f>Exposition!L474</f>
        <v/>
      </c>
      <c r="X473" s="625" t="str">
        <f>Exposition!M474</f>
        <v/>
      </c>
      <c r="Y473" s="625" t="str">
        <f>Exposition!N474</f>
        <v/>
      </c>
      <c r="Z473" s="625" t="str">
        <f>Exposition!O474</f>
        <v/>
      </c>
      <c r="AA473" s="625" t="str">
        <f>Exposition!P474</f>
        <v/>
      </c>
      <c r="AB473" s="625" t="str">
        <f>Exposition!Q474</f>
        <v/>
      </c>
      <c r="AC473" s="625" t="str">
        <f>Exposition!R474</f>
        <v/>
      </c>
      <c r="AD473" s="625" t="str">
        <f>Exposition!S474</f>
        <v/>
      </c>
      <c r="AE473" s="625" t="str">
        <f>Exposition!T474</f>
        <v/>
      </c>
      <c r="AF473" s="625" t="str">
        <f>Exposition!U474</f>
        <v/>
      </c>
      <c r="AG473" s="623"/>
      <c r="AH473" s="621" t="str">
        <f>PRIX!A474</f>
        <v/>
      </c>
      <c r="AI473" s="626" t="str">
        <f>PRIX!B474</f>
        <v/>
      </c>
      <c r="AJ473" s="626" t="str">
        <f>PRIX!C474</f>
        <v/>
      </c>
      <c r="AK473" s="627" t="str">
        <f>PRIX!D474</f>
        <v/>
      </c>
      <c r="AL473" s="626" t="str">
        <f>PRIX!E474</f>
        <v/>
      </c>
      <c r="AM473" s="626" t="str">
        <f>PRIX!F474</f>
        <v/>
      </c>
      <c r="AN473" s="627" t="str">
        <f>PRIX!G474</f>
        <v/>
      </c>
      <c r="AO473" s="627" t="str">
        <f>PRIX!H474</f>
        <v/>
      </c>
      <c r="AP473" s="631" t="str">
        <f>PRIX!I474</f>
        <v/>
      </c>
      <c r="AQ473" s="628" t="str">
        <f>PRIX!J474</f>
        <v/>
      </c>
      <c r="AR473" s="631" t="str">
        <f>PRIX!K474</f>
        <v/>
      </c>
      <c r="AS473" s="631" t="str">
        <f>PRIX!L474</f>
        <v/>
      </c>
      <c r="AT473" s="631" t="str">
        <f>PRIX!M474</f>
        <v/>
      </c>
      <c r="AU473" s="629" t="str">
        <f>PRIX!N474</f>
        <v/>
      </c>
      <c r="AV473" s="631" t="str">
        <f>PRIX!O474</f>
        <v/>
      </c>
      <c r="AW473" s="631" t="str">
        <f>PRIX!P474</f>
        <v/>
      </c>
      <c r="AX473" s="630" t="str">
        <f>PRIX!Q474</f>
        <v/>
      </c>
      <c r="AY473" s="631" t="str">
        <f>PRIX!R474</f>
        <v/>
      </c>
      <c r="AZ473" s="631" t="str">
        <f>PRIX!S474</f>
        <v/>
      </c>
      <c r="BA473" s="623"/>
    </row>
    <row r="474">
      <c r="A474" s="621" t="str">
        <f>ARBITRAGES!E475</f>
        <v/>
      </c>
      <c r="B474" s="623" t="str">
        <f>IF(A474="","",IF(ARBITRAGES!F475="Invest","Achat","Vente"))</f>
        <v/>
      </c>
      <c r="C474" s="623" t="str">
        <f>ARBITRAGES!H475</f>
        <v/>
      </c>
      <c r="D474" s="624" t="str">
        <f>ARBITRAGES!I475</f>
        <v/>
      </c>
      <c r="E474" s="624" t="str">
        <f>ARBITRAGES!J475</f>
        <v/>
      </c>
      <c r="F474" s="623"/>
      <c r="G474" s="623" t="str">
        <f>'PV (%)'!B476</f>
        <v/>
      </c>
      <c r="H474" s="624" t="str">
        <f>'PV (%)'!E476</f>
        <v/>
      </c>
      <c r="I474" s="624" t="str">
        <f>'PV (%)'!F476</f>
        <v/>
      </c>
      <c r="J474" s="624" t="str">
        <f>'PV (%)'!G476</f>
        <v/>
      </c>
      <c r="K474" s="623"/>
      <c r="L474" s="621" t="str">
        <f>Exposition!A475</f>
        <v/>
      </c>
      <c r="M474" s="625" t="str">
        <f>Exposition!B475</f>
        <v/>
      </c>
      <c r="N474" s="625" t="str">
        <f>Exposition!C475</f>
        <v/>
      </c>
      <c r="O474" s="625" t="str">
        <f>Exposition!D475</f>
        <v/>
      </c>
      <c r="P474" s="625" t="str">
        <f>Exposition!E475</f>
        <v/>
      </c>
      <c r="Q474" s="625" t="str">
        <f>Exposition!F475</f>
        <v/>
      </c>
      <c r="R474" s="625" t="str">
        <f>Exposition!G475</f>
        <v/>
      </c>
      <c r="S474" s="625" t="str">
        <f>Exposition!H475</f>
        <v/>
      </c>
      <c r="T474" s="625" t="str">
        <f>Exposition!I475</f>
        <v/>
      </c>
      <c r="U474" s="625" t="str">
        <f>Exposition!J475</f>
        <v/>
      </c>
      <c r="V474" s="625" t="str">
        <f>Exposition!K475</f>
        <v/>
      </c>
      <c r="W474" s="625" t="str">
        <f>Exposition!L475</f>
        <v/>
      </c>
      <c r="X474" s="625" t="str">
        <f>Exposition!M475</f>
        <v/>
      </c>
      <c r="Y474" s="625" t="str">
        <f>Exposition!N475</f>
        <v/>
      </c>
      <c r="Z474" s="625" t="str">
        <f>Exposition!O475</f>
        <v/>
      </c>
      <c r="AA474" s="625" t="str">
        <f>Exposition!P475</f>
        <v/>
      </c>
      <c r="AB474" s="625" t="str">
        <f>Exposition!Q475</f>
        <v/>
      </c>
      <c r="AC474" s="625" t="str">
        <f>Exposition!R475</f>
        <v/>
      </c>
      <c r="AD474" s="625" t="str">
        <f>Exposition!S475</f>
        <v/>
      </c>
      <c r="AE474" s="625" t="str">
        <f>Exposition!T475</f>
        <v/>
      </c>
      <c r="AF474" s="625" t="str">
        <f>Exposition!U475</f>
        <v/>
      </c>
      <c r="AG474" s="623"/>
      <c r="AH474" s="621" t="str">
        <f>PRIX!A475</f>
        <v/>
      </c>
      <c r="AI474" s="626" t="str">
        <f>PRIX!B475</f>
        <v/>
      </c>
      <c r="AJ474" s="626" t="str">
        <f>PRIX!C475</f>
        <v/>
      </c>
      <c r="AK474" s="627" t="str">
        <f>PRIX!D475</f>
        <v/>
      </c>
      <c r="AL474" s="626" t="str">
        <f>PRIX!E475</f>
        <v/>
      </c>
      <c r="AM474" s="626" t="str">
        <f>PRIX!F475</f>
        <v/>
      </c>
      <c r="AN474" s="627" t="str">
        <f>PRIX!G475</f>
        <v/>
      </c>
      <c r="AO474" s="627" t="str">
        <f>PRIX!H475</f>
        <v/>
      </c>
      <c r="AP474" s="631" t="str">
        <f>PRIX!I475</f>
        <v/>
      </c>
      <c r="AQ474" s="628" t="str">
        <f>PRIX!J475</f>
        <v/>
      </c>
      <c r="AR474" s="631" t="str">
        <f>PRIX!K475</f>
        <v/>
      </c>
      <c r="AS474" s="631" t="str">
        <f>PRIX!L475</f>
        <v/>
      </c>
      <c r="AT474" s="631" t="str">
        <f>PRIX!M475</f>
        <v/>
      </c>
      <c r="AU474" s="629" t="str">
        <f>PRIX!N475</f>
        <v/>
      </c>
      <c r="AV474" s="631" t="str">
        <f>PRIX!O475</f>
        <v/>
      </c>
      <c r="AW474" s="631" t="str">
        <f>PRIX!P475</f>
        <v/>
      </c>
      <c r="AX474" s="630" t="str">
        <f>PRIX!Q475</f>
        <v/>
      </c>
      <c r="AY474" s="631" t="str">
        <f>PRIX!R475</f>
        <v/>
      </c>
      <c r="AZ474" s="631" t="str">
        <f>PRIX!S475</f>
        <v/>
      </c>
      <c r="BA474" s="623"/>
    </row>
    <row r="475">
      <c r="A475" s="621" t="str">
        <f>ARBITRAGES!E476</f>
        <v/>
      </c>
      <c r="B475" s="623" t="str">
        <f>IF(A475="","",IF(ARBITRAGES!F476="Invest","Achat","Vente"))</f>
        <v/>
      </c>
      <c r="C475" s="623" t="str">
        <f>ARBITRAGES!H476</f>
        <v/>
      </c>
      <c r="D475" s="624" t="str">
        <f>ARBITRAGES!I476</f>
        <v/>
      </c>
      <c r="E475" s="624" t="str">
        <f>ARBITRAGES!J476</f>
        <v/>
      </c>
      <c r="F475" s="623"/>
      <c r="G475" s="623" t="str">
        <f>'PV (%)'!B477</f>
        <v/>
      </c>
      <c r="H475" s="624" t="str">
        <f>'PV (%)'!E477</f>
        <v/>
      </c>
      <c r="I475" s="624" t="str">
        <f>'PV (%)'!F477</f>
        <v/>
      </c>
      <c r="J475" s="624" t="str">
        <f>'PV (%)'!G477</f>
        <v/>
      </c>
      <c r="K475" s="623"/>
      <c r="L475" s="621" t="str">
        <f>Exposition!A476</f>
        <v/>
      </c>
      <c r="M475" s="625" t="str">
        <f>Exposition!B476</f>
        <v/>
      </c>
      <c r="N475" s="625" t="str">
        <f>Exposition!C476</f>
        <v/>
      </c>
      <c r="O475" s="625" t="str">
        <f>Exposition!D476</f>
        <v/>
      </c>
      <c r="P475" s="625" t="str">
        <f>Exposition!E476</f>
        <v/>
      </c>
      <c r="Q475" s="625" t="str">
        <f>Exposition!F476</f>
        <v/>
      </c>
      <c r="R475" s="625" t="str">
        <f>Exposition!G476</f>
        <v/>
      </c>
      <c r="S475" s="625" t="str">
        <f>Exposition!H476</f>
        <v/>
      </c>
      <c r="T475" s="625" t="str">
        <f>Exposition!I476</f>
        <v/>
      </c>
      <c r="U475" s="625" t="str">
        <f>Exposition!J476</f>
        <v/>
      </c>
      <c r="V475" s="625" t="str">
        <f>Exposition!K476</f>
        <v/>
      </c>
      <c r="W475" s="625" t="str">
        <f>Exposition!L476</f>
        <v/>
      </c>
      <c r="X475" s="625" t="str">
        <f>Exposition!M476</f>
        <v/>
      </c>
      <c r="Y475" s="625" t="str">
        <f>Exposition!N476</f>
        <v/>
      </c>
      <c r="Z475" s="625" t="str">
        <f>Exposition!O476</f>
        <v/>
      </c>
      <c r="AA475" s="625" t="str">
        <f>Exposition!P476</f>
        <v/>
      </c>
      <c r="AB475" s="625" t="str">
        <f>Exposition!Q476</f>
        <v/>
      </c>
      <c r="AC475" s="625" t="str">
        <f>Exposition!R476</f>
        <v/>
      </c>
      <c r="AD475" s="625" t="str">
        <f>Exposition!S476</f>
        <v/>
      </c>
      <c r="AE475" s="625" t="str">
        <f>Exposition!T476</f>
        <v/>
      </c>
      <c r="AF475" s="625" t="str">
        <f>Exposition!U476</f>
        <v/>
      </c>
      <c r="AG475" s="623"/>
      <c r="AH475" s="621" t="str">
        <f>PRIX!A476</f>
        <v/>
      </c>
      <c r="AI475" s="626" t="str">
        <f>PRIX!B476</f>
        <v/>
      </c>
      <c r="AJ475" s="626" t="str">
        <f>PRIX!C476</f>
        <v/>
      </c>
      <c r="AK475" s="627" t="str">
        <f>PRIX!D476</f>
        <v/>
      </c>
      <c r="AL475" s="626" t="str">
        <f>PRIX!E476</f>
        <v/>
      </c>
      <c r="AM475" s="626" t="str">
        <f>PRIX!F476</f>
        <v/>
      </c>
      <c r="AN475" s="627" t="str">
        <f>PRIX!G476</f>
        <v/>
      </c>
      <c r="AO475" s="627" t="str">
        <f>PRIX!H476</f>
        <v/>
      </c>
      <c r="AP475" s="631" t="str">
        <f>PRIX!I476</f>
        <v/>
      </c>
      <c r="AQ475" s="628" t="str">
        <f>PRIX!J476</f>
        <v/>
      </c>
      <c r="AR475" s="631" t="str">
        <f>PRIX!K476</f>
        <v/>
      </c>
      <c r="AS475" s="631" t="str">
        <f>PRIX!L476</f>
        <v/>
      </c>
      <c r="AT475" s="631" t="str">
        <f>PRIX!M476</f>
        <v/>
      </c>
      <c r="AU475" s="629" t="str">
        <f>PRIX!N476</f>
        <v/>
      </c>
      <c r="AV475" s="631" t="str">
        <f>PRIX!O476</f>
        <v/>
      </c>
      <c r="AW475" s="631" t="str">
        <f>PRIX!P476</f>
        <v/>
      </c>
      <c r="AX475" s="630" t="str">
        <f>PRIX!Q476</f>
        <v/>
      </c>
      <c r="AY475" s="631" t="str">
        <f>PRIX!R476</f>
        <v/>
      </c>
      <c r="AZ475" s="631" t="str">
        <f>PRIX!S476</f>
        <v/>
      </c>
      <c r="BA475" s="623"/>
    </row>
    <row r="476">
      <c r="A476" s="621" t="str">
        <f>ARBITRAGES!E477</f>
        <v/>
      </c>
      <c r="B476" s="623" t="str">
        <f>IF(A476="","",IF(ARBITRAGES!F477="Invest","Achat","Vente"))</f>
        <v/>
      </c>
      <c r="C476" s="623" t="str">
        <f>ARBITRAGES!H477</f>
        <v/>
      </c>
      <c r="D476" s="624" t="str">
        <f>ARBITRAGES!I477</f>
        <v/>
      </c>
      <c r="E476" s="624" t="str">
        <f>ARBITRAGES!J477</f>
        <v/>
      </c>
      <c r="F476" s="623"/>
      <c r="G476" s="623" t="str">
        <f>'PV (%)'!B478</f>
        <v/>
      </c>
      <c r="H476" s="624" t="str">
        <f>'PV (%)'!E478</f>
        <v/>
      </c>
      <c r="I476" s="624" t="str">
        <f>'PV (%)'!F478</f>
        <v/>
      </c>
      <c r="J476" s="624" t="str">
        <f>'PV (%)'!G478</f>
        <v/>
      </c>
      <c r="K476" s="623"/>
      <c r="L476" s="621" t="str">
        <f>Exposition!A477</f>
        <v/>
      </c>
      <c r="M476" s="625" t="str">
        <f>Exposition!B477</f>
        <v/>
      </c>
      <c r="N476" s="625" t="str">
        <f>Exposition!C477</f>
        <v/>
      </c>
      <c r="O476" s="625" t="str">
        <f>Exposition!D477</f>
        <v/>
      </c>
      <c r="P476" s="625" t="str">
        <f>Exposition!E477</f>
        <v/>
      </c>
      <c r="Q476" s="625" t="str">
        <f>Exposition!F477</f>
        <v/>
      </c>
      <c r="R476" s="625" t="str">
        <f>Exposition!G477</f>
        <v/>
      </c>
      <c r="S476" s="625" t="str">
        <f>Exposition!H477</f>
        <v/>
      </c>
      <c r="T476" s="625" t="str">
        <f>Exposition!I477</f>
        <v/>
      </c>
      <c r="U476" s="625" t="str">
        <f>Exposition!J477</f>
        <v/>
      </c>
      <c r="V476" s="625" t="str">
        <f>Exposition!K477</f>
        <v/>
      </c>
      <c r="W476" s="625" t="str">
        <f>Exposition!L477</f>
        <v/>
      </c>
      <c r="X476" s="625" t="str">
        <f>Exposition!M477</f>
        <v/>
      </c>
      <c r="Y476" s="625" t="str">
        <f>Exposition!N477</f>
        <v/>
      </c>
      <c r="Z476" s="625" t="str">
        <f>Exposition!O477</f>
        <v/>
      </c>
      <c r="AA476" s="625" t="str">
        <f>Exposition!P477</f>
        <v/>
      </c>
      <c r="AB476" s="625" t="str">
        <f>Exposition!Q477</f>
        <v/>
      </c>
      <c r="AC476" s="625" t="str">
        <f>Exposition!R477</f>
        <v/>
      </c>
      <c r="AD476" s="625" t="str">
        <f>Exposition!S477</f>
        <v/>
      </c>
      <c r="AE476" s="625" t="str">
        <f>Exposition!T477</f>
        <v/>
      </c>
      <c r="AF476" s="625" t="str">
        <f>Exposition!U477</f>
        <v/>
      </c>
      <c r="AG476" s="623"/>
      <c r="AH476" s="621" t="str">
        <f>PRIX!A477</f>
        <v/>
      </c>
      <c r="AI476" s="626" t="str">
        <f>PRIX!B477</f>
        <v/>
      </c>
      <c r="AJ476" s="626" t="str">
        <f>PRIX!C477</f>
        <v/>
      </c>
      <c r="AK476" s="627" t="str">
        <f>PRIX!D477</f>
        <v/>
      </c>
      <c r="AL476" s="626" t="str">
        <f>PRIX!E477</f>
        <v/>
      </c>
      <c r="AM476" s="626" t="str">
        <f>PRIX!F477</f>
        <v/>
      </c>
      <c r="AN476" s="627" t="str">
        <f>PRIX!G477</f>
        <v/>
      </c>
      <c r="AO476" s="627" t="str">
        <f>PRIX!H477</f>
        <v/>
      </c>
      <c r="AP476" s="631" t="str">
        <f>PRIX!I477</f>
        <v/>
      </c>
      <c r="AQ476" s="628" t="str">
        <f>PRIX!J477</f>
        <v/>
      </c>
      <c r="AR476" s="631" t="str">
        <f>PRIX!K477</f>
        <v/>
      </c>
      <c r="AS476" s="631" t="str">
        <f>PRIX!L477</f>
        <v/>
      </c>
      <c r="AT476" s="631" t="str">
        <f>PRIX!M477</f>
        <v/>
      </c>
      <c r="AU476" s="629" t="str">
        <f>PRIX!N477</f>
        <v/>
      </c>
      <c r="AV476" s="631" t="str">
        <f>PRIX!O477</f>
        <v/>
      </c>
      <c r="AW476" s="631" t="str">
        <f>PRIX!P477</f>
        <v/>
      </c>
      <c r="AX476" s="630" t="str">
        <f>PRIX!Q477</f>
        <v/>
      </c>
      <c r="AY476" s="631" t="str">
        <f>PRIX!R477</f>
        <v/>
      </c>
      <c r="AZ476" s="631" t="str">
        <f>PRIX!S477</f>
        <v/>
      </c>
      <c r="BA476" s="623"/>
    </row>
    <row r="477">
      <c r="A477" s="621" t="str">
        <f>ARBITRAGES!E478</f>
        <v/>
      </c>
      <c r="B477" s="623" t="str">
        <f>IF(A477="","",IF(ARBITRAGES!F478="Invest","Achat","Vente"))</f>
        <v/>
      </c>
      <c r="C477" s="623" t="str">
        <f>ARBITRAGES!H478</f>
        <v/>
      </c>
      <c r="D477" s="624" t="str">
        <f>ARBITRAGES!I478</f>
        <v/>
      </c>
      <c r="E477" s="624" t="str">
        <f>ARBITRAGES!J478</f>
        <v/>
      </c>
      <c r="F477" s="623"/>
      <c r="G477" s="623" t="str">
        <f>'PV (%)'!B479</f>
        <v/>
      </c>
      <c r="H477" s="624" t="str">
        <f>'PV (%)'!E479</f>
        <v/>
      </c>
      <c r="I477" s="624" t="str">
        <f>'PV (%)'!F479</f>
        <v/>
      </c>
      <c r="J477" s="624" t="str">
        <f>'PV (%)'!G479</f>
        <v/>
      </c>
      <c r="K477" s="623"/>
      <c r="L477" s="621" t="str">
        <f>Exposition!A478</f>
        <v/>
      </c>
      <c r="M477" s="625" t="str">
        <f>Exposition!B478</f>
        <v/>
      </c>
      <c r="N477" s="625" t="str">
        <f>Exposition!C478</f>
        <v/>
      </c>
      <c r="O477" s="625" t="str">
        <f>Exposition!D478</f>
        <v/>
      </c>
      <c r="P477" s="625" t="str">
        <f>Exposition!E478</f>
        <v/>
      </c>
      <c r="Q477" s="625" t="str">
        <f>Exposition!F478</f>
        <v/>
      </c>
      <c r="R477" s="625" t="str">
        <f>Exposition!G478</f>
        <v/>
      </c>
      <c r="S477" s="625" t="str">
        <f>Exposition!H478</f>
        <v/>
      </c>
      <c r="T477" s="625" t="str">
        <f>Exposition!I478</f>
        <v/>
      </c>
      <c r="U477" s="625" t="str">
        <f>Exposition!J478</f>
        <v/>
      </c>
      <c r="V477" s="625" t="str">
        <f>Exposition!K478</f>
        <v/>
      </c>
      <c r="W477" s="625" t="str">
        <f>Exposition!L478</f>
        <v/>
      </c>
      <c r="X477" s="625" t="str">
        <f>Exposition!M478</f>
        <v/>
      </c>
      <c r="Y477" s="625" t="str">
        <f>Exposition!N478</f>
        <v/>
      </c>
      <c r="Z477" s="625" t="str">
        <f>Exposition!O478</f>
        <v/>
      </c>
      <c r="AA477" s="625" t="str">
        <f>Exposition!P478</f>
        <v/>
      </c>
      <c r="AB477" s="625" t="str">
        <f>Exposition!Q478</f>
        <v/>
      </c>
      <c r="AC477" s="625" t="str">
        <f>Exposition!R478</f>
        <v/>
      </c>
      <c r="AD477" s="625" t="str">
        <f>Exposition!S478</f>
        <v/>
      </c>
      <c r="AE477" s="625" t="str">
        <f>Exposition!T478</f>
        <v/>
      </c>
      <c r="AF477" s="625" t="str">
        <f>Exposition!U478</f>
        <v/>
      </c>
      <c r="AG477" s="623"/>
      <c r="AH477" s="621" t="str">
        <f>PRIX!A478</f>
        <v/>
      </c>
      <c r="AI477" s="626" t="str">
        <f>PRIX!B478</f>
        <v/>
      </c>
      <c r="AJ477" s="626" t="str">
        <f>PRIX!C478</f>
        <v/>
      </c>
      <c r="AK477" s="627" t="str">
        <f>PRIX!D478</f>
        <v/>
      </c>
      <c r="AL477" s="626" t="str">
        <f>PRIX!E478</f>
        <v/>
      </c>
      <c r="AM477" s="626" t="str">
        <f>PRIX!F478</f>
        <v/>
      </c>
      <c r="AN477" s="627" t="str">
        <f>PRIX!G478</f>
        <v/>
      </c>
      <c r="AO477" s="627" t="str">
        <f>PRIX!H478</f>
        <v/>
      </c>
      <c r="AP477" s="631" t="str">
        <f>PRIX!I478</f>
        <v/>
      </c>
      <c r="AQ477" s="628" t="str">
        <f>PRIX!J478</f>
        <v/>
      </c>
      <c r="AR477" s="631" t="str">
        <f>PRIX!K478</f>
        <v/>
      </c>
      <c r="AS477" s="631" t="str">
        <f>PRIX!L478</f>
        <v/>
      </c>
      <c r="AT477" s="631" t="str">
        <f>PRIX!M478</f>
        <v/>
      </c>
      <c r="AU477" s="629" t="str">
        <f>PRIX!N478</f>
        <v/>
      </c>
      <c r="AV477" s="631" t="str">
        <f>PRIX!O478</f>
        <v/>
      </c>
      <c r="AW477" s="631" t="str">
        <f>PRIX!P478</f>
        <v/>
      </c>
      <c r="AX477" s="630" t="str">
        <f>PRIX!Q478</f>
        <v/>
      </c>
      <c r="AY477" s="631" t="str">
        <f>PRIX!R478</f>
        <v/>
      </c>
      <c r="AZ477" s="631" t="str">
        <f>PRIX!S478</f>
        <v/>
      </c>
      <c r="BA477" s="623"/>
    </row>
    <row r="478">
      <c r="A478" s="621" t="str">
        <f>ARBITRAGES!E479</f>
        <v/>
      </c>
      <c r="B478" s="623" t="str">
        <f>IF(A478="","",IF(ARBITRAGES!F479="Invest","Achat","Vente"))</f>
        <v/>
      </c>
      <c r="C478" s="623" t="str">
        <f>ARBITRAGES!H479</f>
        <v/>
      </c>
      <c r="D478" s="624" t="str">
        <f>ARBITRAGES!I479</f>
        <v/>
      </c>
      <c r="E478" s="624" t="str">
        <f>ARBITRAGES!J479</f>
        <v/>
      </c>
      <c r="F478" s="623"/>
      <c r="G478" s="623" t="str">
        <f>'PV (%)'!B480</f>
        <v/>
      </c>
      <c r="H478" s="624" t="str">
        <f>'PV (%)'!E480</f>
        <v/>
      </c>
      <c r="I478" s="624" t="str">
        <f>'PV (%)'!F480</f>
        <v/>
      </c>
      <c r="J478" s="624" t="str">
        <f>'PV (%)'!G480</f>
        <v/>
      </c>
      <c r="K478" s="623"/>
      <c r="L478" s="621" t="str">
        <f>Exposition!A479</f>
        <v/>
      </c>
      <c r="M478" s="625" t="str">
        <f>Exposition!B479</f>
        <v/>
      </c>
      <c r="N478" s="625" t="str">
        <f>Exposition!C479</f>
        <v/>
      </c>
      <c r="O478" s="625" t="str">
        <f>Exposition!D479</f>
        <v/>
      </c>
      <c r="P478" s="625" t="str">
        <f>Exposition!E479</f>
        <v/>
      </c>
      <c r="Q478" s="625" t="str">
        <f>Exposition!F479</f>
        <v/>
      </c>
      <c r="R478" s="625" t="str">
        <f>Exposition!G479</f>
        <v/>
      </c>
      <c r="S478" s="625" t="str">
        <f>Exposition!H479</f>
        <v/>
      </c>
      <c r="T478" s="625" t="str">
        <f>Exposition!I479</f>
        <v/>
      </c>
      <c r="U478" s="625" t="str">
        <f>Exposition!J479</f>
        <v/>
      </c>
      <c r="V478" s="625" t="str">
        <f>Exposition!K479</f>
        <v/>
      </c>
      <c r="W478" s="625" t="str">
        <f>Exposition!L479</f>
        <v/>
      </c>
      <c r="X478" s="625" t="str">
        <f>Exposition!M479</f>
        <v/>
      </c>
      <c r="Y478" s="625" t="str">
        <f>Exposition!N479</f>
        <v/>
      </c>
      <c r="Z478" s="625" t="str">
        <f>Exposition!O479</f>
        <v/>
      </c>
      <c r="AA478" s="625" t="str">
        <f>Exposition!P479</f>
        <v/>
      </c>
      <c r="AB478" s="625" t="str">
        <f>Exposition!Q479</f>
        <v/>
      </c>
      <c r="AC478" s="625" t="str">
        <f>Exposition!R479</f>
        <v/>
      </c>
      <c r="AD478" s="625" t="str">
        <f>Exposition!S479</f>
        <v/>
      </c>
      <c r="AE478" s="625" t="str">
        <f>Exposition!T479</f>
        <v/>
      </c>
      <c r="AF478" s="625" t="str">
        <f>Exposition!U479</f>
        <v/>
      </c>
      <c r="AG478" s="623"/>
      <c r="AH478" s="621" t="str">
        <f>PRIX!A479</f>
        <v/>
      </c>
      <c r="AI478" s="626" t="str">
        <f>PRIX!B479</f>
        <v/>
      </c>
      <c r="AJ478" s="626" t="str">
        <f>PRIX!C479</f>
        <v/>
      </c>
      <c r="AK478" s="627" t="str">
        <f>PRIX!D479</f>
        <v/>
      </c>
      <c r="AL478" s="626" t="str">
        <f>PRIX!E479</f>
        <v/>
      </c>
      <c r="AM478" s="626" t="str">
        <f>PRIX!F479</f>
        <v/>
      </c>
      <c r="AN478" s="627" t="str">
        <f>PRIX!G479</f>
        <v/>
      </c>
      <c r="AO478" s="627" t="str">
        <f>PRIX!H479</f>
        <v/>
      </c>
      <c r="AP478" s="631" t="str">
        <f>PRIX!I479</f>
        <v/>
      </c>
      <c r="AQ478" s="628" t="str">
        <f>PRIX!J479</f>
        <v/>
      </c>
      <c r="AR478" s="631" t="str">
        <f>PRIX!K479</f>
        <v/>
      </c>
      <c r="AS478" s="631" t="str">
        <f>PRIX!L479</f>
        <v/>
      </c>
      <c r="AT478" s="631" t="str">
        <f>PRIX!M479</f>
        <v/>
      </c>
      <c r="AU478" s="629" t="str">
        <f>PRIX!N479</f>
        <v/>
      </c>
      <c r="AV478" s="631" t="str">
        <f>PRIX!O479</f>
        <v/>
      </c>
      <c r="AW478" s="631" t="str">
        <f>PRIX!P479</f>
        <v/>
      </c>
      <c r="AX478" s="630" t="str">
        <f>PRIX!Q479</f>
        <v/>
      </c>
      <c r="AY478" s="631" t="str">
        <f>PRIX!R479</f>
        <v/>
      </c>
      <c r="AZ478" s="631" t="str">
        <f>PRIX!S479</f>
        <v/>
      </c>
      <c r="BA478" s="623"/>
    </row>
    <row r="479">
      <c r="A479" s="621" t="str">
        <f>ARBITRAGES!E480</f>
        <v/>
      </c>
      <c r="B479" s="623" t="str">
        <f>IF(A479="","",IF(ARBITRAGES!F480="Invest","Achat","Vente"))</f>
        <v/>
      </c>
      <c r="C479" s="623" t="str">
        <f>ARBITRAGES!H480</f>
        <v/>
      </c>
      <c r="D479" s="624" t="str">
        <f>ARBITRAGES!I480</f>
        <v/>
      </c>
      <c r="E479" s="624" t="str">
        <f>ARBITRAGES!J480</f>
        <v/>
      </c>
      <c r="F479" s="623"/>
      <c r="G479" s="623" t="str">
        <f>'PV (%)'!B481</f>
        <v/>
      </c>
      <c r="H479" s="624" t="str">
        <f>'PV (%)'!E481</f>
        <v/>
      </c>
      <c r="I479" s="624" t="str">
        <f>'PV (%)'!F481</f>
        <v/>
      </c>
      <c r="J479" s="624" t="str">
        <f>'PV (%)'!G481</f>
        <v/>
      </c>
      <c r="K479" s="623"/>
      <c r="L479" s="621" t="str">
        <f>Exposition!A480</f>
        <v/>
      </c>
      <c r="M479" s="625" t="str">
        <f>Exposition!B480</f>
        <v/>
      </c>
      <c r="N479" s="625" t="str">
        <f>Exposition!C480</f>
        <v/>
      </c>
      <c r="O479" s="625" t="str">
        <f>Exposition!D480</f>
        <v/>
      </c>
      <c r="P479" s="625" t="str">
        <f>Exposition!E480</f>
        <v/>
      </c>
      <c r="Q479" s="625" t="str">
        <f>Exposition!F480</f>
        <v/>
      </c>
      <c r="R479" s="625" t="str">
        <f>Exposition!G480</f>
        <v/>
      </c>
      <c r="S479" s="625" t="str">
        <f>Exposition!H480</f>
        <v/>
      </c>
      <c r="T479" s="625" t="str">
        <f>Exposition!I480</f>
        <v/>
      </c>
      <c r="U479" s="625" t="str">
        <f>Exposition!J480</f>
        <v/>
      </c>
      <c r="V479" s="625" t="str">
        <f>Exposition!K480</f>
        <v/>
      </c>
      <c r="W479" s="625" t="str">
        <f>Exposition!L480</f>
        <v/>
      </c>
      <c r="X479" s="625" t="str">
        <f>Exposition!M480</f>
        <v/>
      </c>
      <c r="Y479" s="625" t="str">
        <f>Exposition!N480</f>
        <v/>
      </c>
      <c r="Z479" s="625" t="str">
        <f>Exposition!O480</f>
        <v/>
      </c>
      <c r="AA479" s="625" t="str">
        <f>Exposition!P480</f>
        <v/>
      </c>
      <c r="AB479" s="625" t="str">
        <f>Exposition!Q480</f>
        <v/>
      </c>
      <c r="AC479" s="625" t="str">
        <f>Exposition!R480</f>
        <v/>
      </c>
      <c r="AD479" s="625" t="str">
        <f>Exposition!S480</f>
        <v/>
      </c>
      <c r="AE479" s="625" t="str">
        <f>Exposition!T480</f>
        <v/>
      </c>
      <c r="AF479" s="625" t="str">
        <f>Exposition!U480</f>
        <v/>
      </c>
      <c r="AG479" s="623"/>
      <c r="AH479" s="621" t="str">
        <f>PRIX!A480</f>
        <v/>
      </c>
      <c r="AI479" s="626" t="str">
        <f>PRIX!B480</f>
        <v/>
      </c>
      <c r="AJ479" s="626" t="str">
        <f>PRIX!C480</f>
        <v/>
      </c>
      <c r="AK479" s="627" t="str">
        <f>PRIX!D480</f>
        <v/>
      </c>
      <c r="AL479" s="626" t="str">
        <f>PRIX!E480</f>
        <v/>
      </c>
      <c r="AM479" s="626" t="str">
        <f>PRIX!F480</f>
        <v/>
      </c>
      <c r="AN479" s="627" t="str">
        <f>PRIX!G480</f>
        <v/>
      </c>
      <c r="AO479" s="627" t="str">
        <f>PRIX!H480</f>
        <v/>
      </c>
      <c r="AP479" s="631" t="str">
        <f>PRIX!I480</f>
        <v/>
      </c>
      <c r="AQ479" s="628" t="str">
        <f>PRIX!J480</f>
        <v/>
      </c>
      <c r="AR479" s="631" t="str">
        <f>PRIX!K480</f>
        <v/>
      </c>
      <c r="AS479" s="631" t="str">
        <f>PRIX!L480</f>
        <v/>
      </c>
      <c r="AT479" s="631" t="str">
        <f>PRIX!M480</f>
        <v/>
      </c>
      <c r="AU479" s="629" t="str">
        <f>PRIX!N480</f>
        <v/>
      </c>
      <c r="AV479" s="631" t="str">
        <f>PRIX!O480</f>
        <v/>
      </c>
      <c r="AW479" s="631" t="str">
        <f>PRIX!P480</f>
        <v/>
      </c>
      <c r="AX479" s="630" t="str">
        <f>PRIX!Q480</f>
        <v/>
      </c>
      <c r="AY479" s="631" t="str">
        <f>PRIX!R480</f>
        <v/>
      </c>
      <c r="AZ479" s="631" t="str">
        <f>PRIX!S480</f>
        <v/>
      </c>
      <c r="BA479" s="623"/>
    </row>
    <row r="480">
      <c r="A480" s="621" t="str">
        <f>ARBITRAGES!E481</f>
        <v/>
      </c>
      <c r="B480" s="623" t="str">
        <f>IF(A480="","",IF(ARBITRAGES!F481="Invest","Achat","Vente"))</f>
        <v/>
      </c>
      <c r="C480" s="623" t="str">
        <f>ARBITRAGES!H481</f>
        <v/>
      </c>
      <c r="D480" s="624" t="str">
        <f>ARBITRAGES!I481</f>
        <v/>
      </c>
      <c r="E480" s="624" t="str">
        <f>ARBITRAGES!J481</f>
        <v/>
      </c>
      <c r="F480" s="623"/>
      <c r="G480" s="623" t="str">
        <f>'PV (%)'!B482</f>
        <v/>
      </c>
      <c r="H480" s="624" t="str">
        <f>'PV (%)'!E482</f>
        <v/>
      </c>
      <c r="I480" s="624" t="str">
        <f>'PV (%)'!F482</f>
        <v/>
      </c>
      <c r="J480" s="624" t="str">
        <f>'PV (%)'!G482</f>
        <v/>
      </c>
      <c r="K480" s="623"/>
      <c r="L480" s="621" t="str">
        <f>Exposition!A481</f>
        <v/>
      </c>
      <c r="M480" s="625" t="str">
        <f>Exposition!B481</f>
        <v/>
      </c>
      <c r="N480" s="625" t="str">
        <f>Exposition!C481</f>
        <v/>
      </c>
      <c r="O480" s="625" t="str">
        <f>Exposition!D481</f>
        <v/>
      </c>
      <c r="P480" s="625" t="str">
        <f>Exposition!E481</f>
        <v/>
      </c>
      <c r="Q480" s="625" t="str">
        <f>Exposition!F481</f>
        <v/>
      </c>
      <c r="R480" s="625" t="str">
        <f>Exposition!G481</f>
        <v/>
      </c>
      <c r="S480" s="625" t="str">
        <f>Exposition!H481</f>
        <v/>
      </c>
      <c r="T480" s="625" t="str">
        <f>Exposition!I481</f>
        <v/>
      </c>
      <c r="U480" s="625" t="str">
        <f>Exposition!J481</f>
        <v/>
      </c>
      <c r="V480" s="625" t="str">
        <f>Exposition!K481</f>
        <v/>
      </c>
      <c r="W480" s="625" t="str">
        <f>Exposition!L481</f>
        <v/>
      </c>
      <c r="X480" s="625" t="str">
        <f>Exposition!M481</f>
        <v/>
      </c>
      <c r="Y480" s="625" t="str">
        <f>Exposition!N481</f>
        <v/>
      </c>
      <c r="Z480" s="625" t="str">
        <f>Exposition!O481</f>
        <v/>
      </c>
      <c r="AA480" s="625" t="str">
        <f>Exposition!P481</f>
        <v/>
      </c>
      <c r="AB480" s="625" t="str">
        <f>Exposition!Q481</f>
        <v/>
      </c>
      <c r="AC480" s="625" t="str">
        <f>Exposition!R481</f>
        <v/>
      </c>
      <c r="AD480" s="625" t="str">
        <f>Exposition!S481</f>
        <v/>
      </c>
      <c r="AE480" s="625" t="str">
        <f>Exposition!T481</f>
        <v/>
      </c>
      <c r="AF480" s="625" t="str">
        <f>Exposition!U481</f>
        <v/>
      </c>
      <c r="AG480" s="623"/>
      <c r="AH480" s="621" t="str">
        <f>PRIX!A481</f>
        <v/>
      </c>
      <c r="AI480" s="626" t="str">
        <f>PRIX!B481</f>
        <v/>
      </c>
      <c r="AJ480" s="626" t="str">
        <f>PRIX!C481</f>
        <v/>
      </c>
      <c r="AK480" s="627" t="str">
        <f>PRIX!D481</f>
        <v/>
      </c>
      <c r="AL480" s="626" t="str">
        <f>PRIX!E481</f>
        <v/>
      </c>
      <c r="AM480" s="626" t="str">
        <f>PRIX!F481</f>
        <v/>
      </c>
      <c r="AN480" s="627" t="str">
        <f>PRIX!G481</f>
        <v/>
      </c>
      <c r="AO480" s="627" t="str">
        <f>PRIX!H481</f>
        <v/>
      </c>
      <c r="AP480" s="631" t="str">
        <f>PRIX!I481</f>
        <v/>
      </c>
      <c r="AQ480" s="628" t="str">
        <f>PRIX!J481</f>
        <v/>
      </c>
      <c r="AR480" s="631" t="str">
        <f>PRIX!K481</f>
        <v/>
      </c>
      <c r="AS480" s="631" t="str">
        <f>PRIX!L481</f>
        <v/>
      </c>
      <c r="AT480" s="631" t="str">
        <f>PRIX!M481</f>
        <v/>
      </c>
      <c r="AU480" s="629" t="str">
        <f>PRIX!N481</f>
        <v/>
      </c>
      <c r="AV480" s="631" t="str">
        <f>PRIX!O481</f>
        <v/>
      </c>
      <c r="AW480" s="631" t="str">
        <f>PRIX!P481</f>
        <v/>
      </c>
      <c r="AX480" s="630" t="str">
        <f>PRIX!Q481</f>
        <v/>
      </c>
      <c r="AY480" s="631" t="str">
        <f>PRIX!R481</f>
        <v/>
      </c>
      <c r="AZ480" s="631" t="str">
        <f>PRIX!S481</f>
        <v/>
      </c>
      <c r="BA480" s="623"/>
    </row>
    <row r="481">
      <c r="A481" s="621" t="str">
        <f>ARBITRAGES!E482</f>
        <v/>
      </c>
      <c r="B481" s="623" t="str">
        <f>IF(A481="","",IF(ARBITRAGES!F482="Invest","Achat","Vente"))</f>
        <v/>
      </c>
      <c r="C481" s="623" t="str">
        <f>ARBITRAGES!H482</f>
        <v/>
      </c>
      <c r="D481" s="624" t="str">
        <f>ARBITRAGES!I482</f>
        <v/>
      </c>
      <c r="E481" s="624" t="str">
        <f>ARBITRAGES!J482</f>
        <v/>
      </c>
      <c r="F481" s="623"/>
      <c r="G481" s="623" t="str">
        <f>'PV (%)'!B483</f>
        <v/>
      </c>
      <c r="H481" s="624" t="str">
        <f>'PV (%)'!E483</f>
        <v/>
      </c>
      <c r="I481" s="624" t="str">
        <f>'PV (%)'!F483</f>
        <v/>
      </c>
      <c r="J481" s="624" t="str">
        <f>'PV (%)'!G483</f>
        <v/>
      </c>
      <c r="K481" s="623"/>
      <c r="L481" s="621" t="str">
        <f>Exposition!A482</f>
        <v/>
      </c>
      <c r="M481" s="625" t="str">
        <f>Exposition!B482</f>
        <v/>
      </c>
      <c r="N481" s="625" t="str">
        <f>Exposition!C482</f>
        <v/>
      </c>
      <c r="O481" s="625" t="str">
        <f>Exposition!D482</f>
        <v/>
      </c>
      <c r="P481" s="625" t="str">
        <f>Exposition!E482</f>
        <v/>
      </c>
      <c r="Q481" s="625" t="str">
        <f>Exposition!F482</f>
        <v/>
      </c>
      <c r="R481" s="625" t="str">
        <f>Exposition!G482</f>
        <v/>
      </c>
      <c r="S481" s="625" t="str">
        <f>Exposition!H482</f>
        <v/>
      </c>
      <c r="T481" s="625" t="str">
        <f>Exposition!I482</f>
        <v/>
      </c>
      <c r="U481" s="625" t="str">
        <f>Exposition!J482</f>
        <v/>
      </c>
      <c r="V481" s="625" t="str">
        <f>Exposition!K482</f>
        <v/>
      </c>
      <c r="W481" s="625" t="str">
        <f>Exposition!L482</f>
        <v/>
      </c>
      <c r="X481" s="625" t="str">
        <f>Exposition!M482</f>
        <v/>
      </c>
      <c r="Y481" s="625" t="str">
        <f>Exposition!N482</f>
        <v/>
      </c>
      <c r="Z481" s="625" t="str">
        <f>Exposition!O482</f>
        <v/>
      </c>
      <c r="AA481" s="625" t="str">
        <f>Exposition!P482</f>
        <v/>
      </c>
      <c r="AB481" s="625" t="str">
        <f>Exposition!Q482</f>
        <v/>
      </c>
      <c r="AC481" s="625" t="str">
        <f>Exposition!R482</f>
        <v/>
      </c>
      <c r="AD481" s="625" t="str">
        <f>Exposition!S482</f>
        <v/>
      </c>
      <c r="AE481" s="625" t="str">
        <f>Exposition!T482</f>
        <v/>
      </c>
      <c r="AF481" s="625" t="str">
        <f>Exposition!U482</f>
        <v/>
      </c>
      <c r="AG481" s="623"/>
      <c r="AH481" s="621" t="str">
        <f>PRIX!A482</f>
        <v/>
      </c>
      <c r="AI481" s="626" t="str">
        <f>PRIX!B482</f>
        <v/>
      </c>
      <c r="AJ481" s="626" t="str">
        <f>PRIX!C482</f>
        <v/>
      </c>
      <c r="AK481" s="627" t="str">
        <f>PRIX!D482</f>
        <v/>
      </c>
      <c r="AL481" s="626" t="str">
        <f>PRIX!E482</f>
        <v/>
      </c>
      <c r="AM481" s="626" t="str">
        <f>PRIX!F482</f>
        <v/>
      </c>
      <c r="AN481" s="627" t="str">
        <f>PRIX!G482</f>
        <v/>
      </c>
      <c r="AO481" s="627" t="str">
        <f>PRIX!H482</f>
        <v/>
      </c>
      <c r="AP481" s="631" t="str">
        <f>PRIX!I482</f>
        <v/>
      </c>
      <c r="AQ481" s="628" t="str">
        <f>PRIX!J482</f>
        <v/>
      </c>
      <c r="AR481" s="631" t="str">
        <f>PRIX!K482</f>
        <v/>
      </c>
      <c r="AS481" s="631" t="str">
        <f>PRIX!L482</f>
        <v/>
      </c>
      <c r="AT481" s="631" t="str">
        <f>PRIX!M482</f>
        <v/>
      </c>
      <c r="AU481" s="629" t="str">
        <f>PRIX!N482</f>
        <v/>
      </c>
      <c r="AV481" s="631" t="str">
        <f>PRIX!O482</f>
        <v/>
      </c>
      <c r="AW481" s="631" t="str">
        <f>PRIX!P482</f>
        <v/>
      </c>
      <c r="AX481" s="630" t="str">
        <f>PRIX!Q482</f>
        <v/>
      </c>
      <c r="AY481" s="631" t="str">
        <f>PRIX!R482</f>
        <v/>
      </c>
      <c r="AZ481" s="631" t="str">
        <f>PRIX!S482</f>
        <v/>
      </c>
      <c r="BA481" s="623"/>
    </row>
    <row r="482">
      <c r="A482" s="621" t="str">
        <f>ARBITRAGES!E483</f>
        <v/>
      </c>
      <c r="B482" s="623" t="str">
        <f>IF(A482="","",IF(ARBITRAGES!F483="Invest","Achat","Vente"))</f>
        <v/>
      </c>
      <c r="C482" s="623" t="str">
        <f>ARBITRAGES!H483</f>
        <v/>
      </c>
      <c r="D482" s="624" t="str">
        <f>ARBITRAGES!I483</f>
        <v/>
      </c>
      <c r="E482" s="624" t="str">
        <f>ARBITRAGES!J483</f>
        <v/>
      </c>
      <c r="F482" s="623"/>
      <c r="G482" s="623" t="str">
        <f>'PV (%)'!B484</f>
        <v/>
      </c>
      <c r="H482" s="624" t="str">
        <f>'PV (%)'!E484</f>
        <v/>
      </c>
      <c r="I482" s="624" t="str">
        <f>'PV (%)'!F484</f>
        <v/>
      </c>
      <c r="J482" s="624" t="str">
        <f>'PV (%)'!G484</f>
        <v/>
      </c>
      <c r="K482" s="623"/>
      <c r="L482" s="621" t="str">
        <f>Exposition!A483</f>
        <v/>
      </c>
      <c r="M482" s="625" t="str">
        <f>Exposition!B483</f>
        <v/>
      </c>
      <c r="N482" s="625" t="str">
        <f>Exposition!C483</f>
        <v/>
      </c>
      <c r="O482" s="625" t="str">
        <f>Exposition!D483</f>
        <v/>
      </c>
      <c r="P482" s="625" t="str">
        <f>Exposition!E483</f>
        <v/>
      </c>
      <c r="Q482" s="625" t="str">
        <f>Exposition!F483</f>
        <v/>
      </c>
      <c r="R482" s="625" t="str">
        <f>Exposition!G483</f>
        <v/>
      </c>
      <c r="S482" s="625" t="str">
        <f>Exposition!H483</f>
        <v/>
      </c>
      <c r="T482" s="625" t="str">
        <f>Exposition!I483</f>
        <v/>
      </c>
      <c r="U482" s="625" t="str">
        <f>Exposition!J483</f>
        <v/>
      </c>
      <c r="V482" s="625" t="str">
        <f>Exposition!K483</f>
        <v/>
      </c>
      <c r="W482" s="625" t="str">
        <f>Exposition!L483</f>
        <v/>
      </c>
      <c r="X482" s="625" t="str">
        <f>Exposition!M483</f>
        <v/>
      </c>
      <c r="Y482" s="625" t="str">
        <f>Exposition!N483</f>
        <v/>
      </c>
      <c r="Z482" s="625" t="str">
        <f>Exposition!O483</f>
        <v/>
      </c>
      <c r="AA482" s="625" t="str">
        <f>Exposition!P483</f>
        <v/>
      </c>
      <c r="AB482" s="625" t="str">
        <f>Exposition!Q483</f>
        <v/>
      </c>
      <c r="AC482" s="625" t="str">
        <f>Exposition!R483</f>
        <v/>
      </c>
      <c r="AD482" s="625" t="str">
        <f>Exposition!S483</f>
        <v/>
      </c>
      <c r="AE482" s="625" t="str">
        <f>Exposition!T483</f>
        <v/>
      </c>
      <c r="AF482" s="625" t="str">
        <f>Exposition!U483</f>
        <v/>
      </c>
      <c r="AG482" s="623"/>
      <c r="AH482" s="621" t="str">
        <f>PRIX!A483</f>
        <v/>
      </c>
      <c r="AI482" s="626" t="str">
        <f>PRIX!B483</f>
        <v/>
      </c>
      <c r="AJ482" s="626" t="str">
        <f>PRIX!C483</f>
        <v/>
      </c>
      <c r="AK482" s="627" t="str">
        <f>PRIX!D483</f>
        <v/>
      </c>
      <c r="AL482" s="626" t="str">
        <f>PRIX!E483</f>
        <v/>
      </c>
      <c r="AM482" s="626" t="str">
        <f>PRIX!F483</f>
        <v/>
      </c>
      <c r="AN482" s="627" t="str">
        <f>PRIX!G483</f>
        <v/>
      </c>
      <c r="AO482" s="627" t="str">
        <f>PRIX!H483</f>
        <v/>
      </c>
      <c r="AP482" s="631" t="str">
        <f>PRIX!I483</f>
        <v/>
      </c>
      <c r="AQ482" s="628" t="str">
        <f>PRIX!J483</f>
        <v/>
      </c>
      <c r="AR482" s="631" t="str">
        <f>PRIX!K483</f>
        <v/>
      </c>
      <c r="AS482" s="631" t="str">
        <f>PRIX!L483</f>
        <v/>
      </c>
      <c r="AT482" s="631" t="str">
        <f>PRIX!M483</f>
        <v/>
      </c>
      <c r="AU482" s="629" t="str">
        <f>PRIX!N483</f>
        <v/>
      </c>
      <c r="AV482" s="631" t="str">
        <f>PRIX!O483</f>
        <v/>
      </c>
      <c r="AW482" s="631" t="str">
        <f>PRIX!P483</f>
        <v/>
      </c>
      <c r="AX482" s="630" t="str">
        <f>PRIX!Q483</f>
        <v/>
      </c>
      <c r="AY482" s="631" t="str">
        <f>PRIX!R483</f>
        <v/>
      </c>
      <c r="AZ482" s="631" t="str">
        <f>PRIX!S483</f>
        <v/>
      </c>
      <c r="BA482" s="623"/>
    </row>
    <row r="483">
      <c r="A483" s="621" t="str">
        <f>ARBITRAGES!E484</f>
        <v/>
      </c>
      <c r="B483" s="623" t="str">
        <f>IF(A483="","",IF(ARBITRAGES!F484="Invest","Achat","Vente"))</f>
        <v/>
      </c>
      <c r="C483" s="623" t="str">
        <f>ARBITRAGES!H484</f>
        <v/>
      </c>
      <c r="D483" s="624" t="str">
        <f>ARBITRAGES!I484</f>
        <v/>
      </c>
      <c r="E483" s="624" t="str">
        <f>ARBITRAGES!J484</f>
        <v/>
      </c>
      <c r="F483" s="623"/>
      <c r="G483" s="623" t="str">
        <f>'PV (%)'!B485</f>
        <v/>
      </c>
      <c r="H483" s="624" t="str">
        <f>'PV (%)'!E485</f>
        <v/>
      </c>
      <c r="I483" s="624" t="str">
        <f>'PV (%)'!F485</f>
        <v/>
      </c>
      <c r="J483" s="624" t="str">
        <f>'PV (%)'!G485</f>
        <v/>
      </c>
      <c r="K483" s="623"/>
      <c r="L483" s="621" t="str">
        <f>Exposition!A484</f>
        <v/>
      </c>
      <c r="M483" s="625" t="str">
        <f>Exposition!B484</f>
        <v/>
      </c>
      <c r="N483" s="625" t="str">
        <f>Exposition!C484</f>
        <v/>
      </c>
      <c r="O483" s="625" t="str">
        <f>Exposition!D484</f>
        <v/>
      </c>
      <c r="P483" s="625" t="str">
        <f>Exposition!E484</f>
        <v/>
      </c>
      <c r="Q483" s="625" t="str">
        <f>Exposition!F484</f>
        <v/>
      </c>
      <c r="R483" s="625" t="str">
        <f>Exposition!G484</f>
        <v/>
      </c>
      <c r="S483" s="625" t="str">
        <f>Exposition!H484</f>
        <v/>
      </c>
      <c r="T483" s="625" t="str">
        <f>Exposition!I484</f>
        <v/>
      </c>
      <c r="U483" s="625" t="str">
        <f>Exposition!J484</f>
        <v/>
      </c>
      <c r="V483" s="625" t="str">
        <f>Exposition!K484</f>
        <v/>
      </c>
      <c r="W483" s="625" t="str">
        <f>Exposition!L484</f>
        <v/>
      </c>
      <c r="X483" s="625" t="str">
        <f>Exposition!M484</f>
        <v/>
      </c>
      <c r="Y483" s="625" t="str">
        <f>Exposition!N484</f>
        <v/>
      </c>
      <c r="Z483" s="625" t="str">
        <f>Exposition!O484</f>
        <v/>
      </c>
      <c r="AA483" s="625" t="str">
        <f>Exposition!P484</f>
        <v/>
      </c>
      <c r="AB483" s="625" t="str">
        <f>Exposition!Q484</f>
        <v/>
      </c>
      <c r="AC483" s="625" t="str">
        <f>Exposition!R484</f>
        <v/>
      </c>
      <c r="AD483" s="625" t="str">
        <f>Exposition!S484</f>
        <v/>
      </c>
      <c r="AE483" s="625" t="str">
        <f>Exposition!T484</f>
        <v/>
      </c>
      <c r="AF483" s="625" t="str">
        <f>Exposition!U484</f>
        <v/>
      </c>
      <c r="AG483" s="623"/>
      <c r="AH483" s="621" t="str">
        <f>PRIX!A484</f>
        <v/>
      </c>
      <c r="AI483" s="626" t="str">
        <f>PRIX!B484</f>
        <v/>
      </c>
      <c r="AJ483" s="626" t="str">
        <f>PRIX!C484</f>
        <v/>
      </c>
      <c r="AK483" s="627" t="str">
        <f>PRIX!D484</f>
        <v/>
      </c>
      <c r="AL483" s="626" t="str">
        <f>PRIX!E484</f>
        <v/>
      </c>
      <c r="AM483" s="626" t="str">
        <f>PRIX!F484</f>
        <v/>
      </c>
      <c r="AN483" s="627" t="str">
        <f>PRIX!G484</f>
        <v/>
      </c>
      <c r="AO483" s="627" t="str">
        <f>PRIX!H484</f>
        <v/>
      </c>
      <c r="AP483" s="631" t="str">
        <f>PRIX!I484</f>
        <v/>
      </c>
      <c r="AQ483" s="628" t="str">
        <f>PRIX!J484</f>
        <v/>
      </c>
      <c r="AR483" s="631" t="str">
        <f>PRIX!K484</f>
        <v/>
      </c>
      <c r="AS483" s="631" t="str">
        <f>PRIX!L484</f>
        <v/>
      </c>
      <c r="AT483" s="631" t="str">
        <f>PRIX!M484</f>
        <v/>
      </c>
      <c r="AU483" s="629" t="str">
        <f>PRIX!N484</f>
        <v/>
      </c>
      <c r="AV483" s="631" t="str">
        <f>PRIX!O484</f>
        <v/>
      </c>
      <c r="AW483" s="631" t="str">
        <f>PRIX!P484</f>
        <v/>
      </c>
      <c r="AX483" s="630" t="str">
        <f>PRIX!Q484</f>
        <v/>
      </c>
      <c r="AY483" s="631" t="str">
        <f>PRIX!R484</f>
        <v/>
      </c>
      <c r="AZ483" s="631" t="str">
        <f>PRIX!S484</f>
        <v/>
      </c>
      <c r="BA483" s="623"/>
    </row>
    <row r="484">
      <c r="A484" s="621" t="str">
        <f>ARBITRAGES!E485</f>
        <v/>
      </c>
      <c r="B484" s="623" t="str">
        <f>IF(A484="","",IF(ARBITRAGES!F485="Invest","Achat","Vente"))</f>
        <v/>
      </c>
      <c r="C484" s="623" t="str">
        <f>ARBITRAGES!H485</f>
        <v/>
      </c>
      <c r="D484" s="624" t="str">
        <f>ARBITRAGES!I485</f>
        <v/>
      </c>
      <c r="E484" s="624" t="str">
        <f>ARBITRAGES!J485</f>
        <v/>
      </c>
      <c r="F484" s="623"/>
      <c r="G484" s="623" t="str">
        <f>'PV (%)'!B486</f>
        <v/>
      </c>
      <c r="H484" s="624" t="str">
        <f>'PV (%)'!E486</f>
        <v/>
      </c>
      <c r="I484" s="624" t="str">
        <f>'PV (%)'!F486</f>
        <v/>
      </c>
      <c r="J484" s="624" t="str">
        <f>'PV (%)'!G486</f>
        <v/>
      </c>
      <c r="K484" s="623"/>
      <c r="L484" s="621" t="str">
        <f>Exposition!A485</f>
        <v/>
      </c>
      <c r="M484" s="625" t="str">
        <f>Exposition!B485</f>
        <v/>
      </c>
      <c r="N484" s="625" t="str">
        <f>Exposition!C485</f>
        <v/>
      </c>
      <c r="O484" s="625" t="str">
        <f>Exposition!D485</f>
        <v/>
      </c>
      <c r="P484" s="625" t="str">
        <f>Exposition!E485</f>
        <v/>
      </c>
      <c r="Q484" s="625" t="str">
        <f>Exposition!F485</f>
        <v/>
      </c>
      <c r="R484" s="625" t="str">
        <f>Exposition!G485</f>
        <v/>
      </c>
      <c r="S484" s="625" t="str">
        <f>Exposition!H485</f>
        <v/>
      </c>
      <c r="T484" s="625" t="str">
        <f>Exposition!I485</f>
        <v/>
      </c>
      <c r="U484" s="625" t="str">
        <f>Exposition!J485</f>
        <v/>
      </c>
      <c r="V484" s="625" t="str">
        <f>Exposition!K485</f>
        <v/>
      </c>
      <c r="W484" s="625" t="str">
        <f>Exposition!L485</f>
        <v/>
      </c>
      <c r="X484" s="625" t="str">
        <f>Exposition!M485</f>
        <v/>
      </c>
      <c r="Y484" s="625" t="str">
        <f>Exposition!N485</f>
        <v/>
      </c>
      <c r="Z484" s="625" t="str">
        <f>Exposition!O485</f>
        <v/>
      </c>
      <c r="AA484" s="625" t="str">
        <f>Exposition!P485</f>
        <v/>
      </c>
      <c r="AB484" s="625" t="str">
        <f>Exposition!Q485</f>
        <v/>
      </c>
      <c r="AC484" s="625" t="str">
        <f>Exposition!R485</f>
        <v/>
      </c>
      <c r="AD484" s="625" t="str">
        <f>Exposition!S485</f>
        <v/>
      </c>
      <c r="AE484" s="625" t="str">
        <f>Exposition!T485</f>
        <v/>
      </c>
      <c r="AF484" s="625" t="str">
        <f>Exposition!U485</f>
        <v/>
      </c>
      <c r="AG484" s="623"/>
      <c r="AH484" s="621" t="str">
        <f>PRIX!A485</f>
        <v/>
      </c>
      <c r="AI484" s="626" t="str">
        <f>PRIX!B485</f>
        <v/>
      </c>
      <c r="AJ484" s="626" t="str">
        <f>PRIX!C485</f>
        <v/>
      </c>
      <c r="AK484" s="627" t="str">
        <f>PRIX!D485</f>
        <v/>
      </c>
      <c r="AL484" s="626" t="str">
        <f>PRIX!E485</f>
        <v/>
      </c>
      <c r="AM484" s="626" t="str">
        <f>PRIX!F485</f>
        <v/>
      </c>
      <c r="AN484" s="627" t="str">
        <f>PRIX!G485</f>
        <v/>
      </c>
      <c r="AO484" s="627" t="str">
        <f>PRIX!H485</f>
        <v/>
      </c>
      <c r="AP484" s="631" t="str">
        <f>PRIX!I485</f>
        <v/>
      </c>
      <c r="AQ484" s="628" t="str">
        <f>PRIX!J485</f>
        <v/>
      </c>
      <c r="AR484" s="631" t="str">
        <f>PRIX!K485</f>
        <v/>
      </c>
      <c r="AS484" s="631" t="str">
        <f>PRIX!L485</f>
        <v/>
      </c>
      <c r="AT484" s="631" t="str">
        <f>PRIX!M485</f>
        <v/>
      </c>
      <c r="AU484" s="629" t="str">
        <f>PRIX!N485</f>
        <v/>
      </c>
      <c r="AV484" s="631" t="str">
        <f>PRIX!O485</f>
        <v/>
      </c>
      <c r="AW484" s="631" t="str">
        <f>PRIX!P485</f>
        <v/>
      </c>
      <c r="AX484" s="630" t="str">
        <f>PRIX!Q485</f>
        <v/>
      </c>
      <c r="AY484" s="631" t="str">
        <f>PRIX!R485</f>
        <v/>
      </c>
      <c r="AZ484" s="631" t="str">
        <f>PRIX!S485</f>
        <v/>
      </c>
      <c r="BA484" s="623"/>
    </row>
    <row r="485">
      <c r="A485" s="621" t="str">
        <f>ARBITRAGES!E486</f>
        <v/>
      </c>
      <c r="B485" s="623" t="str">
        <f>IF(A485="","",IF(ARBITRAGES!F486="Invest","Achat","Vente"))</f>
        <v/>
      </c>
      <c r="C485" s="623" t="str">
        <f>ARBITRAGES!H486</f>
        <v/>
      </c>
      <c r="D485" s="624" t="str">
        <f>ARBITRAGES!I486</f>
        <v/>
      </c>
      <c r="E485" s="624" t="str">
        <f>ARBITRAGES!J486</f>
        <v/>
      </c>
      <c r="F485" s="623"/>
      <c r="G485" s="623" t="str">
        <f>'PV (%)'!B487</f>
        <v/>
      </c>
      <c r="H485" s="624" t="str">
        <f>'PV (%)'!E487</f>
        <v/>
      </c>
      <c r="I485" s="624" t="str">
        <f>'PV (%)'!F487</f>
        <v/>
      </c>
      <c r="J485" s="624" t="str">
        <f>'PV (%)'!G487</f>
        <v/>
      </c>
      <c r="K485" s="623"/>
      <c r="L485" s="621" t="str">
        <f>Exposition!A486</f>
        <v/>
      </c>
      <c r="M485" s="625" t="str">
        <f>Exposition!B486</f>
        <v/>
      </c>
      <c r="N485" s="625" t="str">
        <f>Exposition!C486</f>
        <v/>
      </c>
      <c r="O485" s="625" t="str">
        <f>Exposition!D486</f>
        <v/>
      </c>
      <c r="P485" s="625" t="str">
        <f>Exposition!E486</f>
        <v/>
      </c>
      <c r="Q485" s="625" t="str">
        <f>Exposition!F486</f>
        <v/>
      </c>
      <c r="R485" s="625" t="str">
        <f>Exposition!G486</f>
        <v/>
      </c>
      <c r="S485" s="625" t="str">
        <f>Exposition!H486</f>
        <v/>
      </c>
      <c r="T485" s="625" t="str">
        <f>Exposition!I486</f>
        <v/>
      </c>
      <c r="U485" s="625" t="str">
        <f>Exposition!J486</f>
        <v/>
      </c>
      <c r="V485" s="625" t="str">
        <f>Exposition!K486</f>
        <v/>
      </c>
      <c r="W485" s="625" t="str">
        <f>Exposition!L486</f>
        <v/>
      </c>
      <c r="X485" s="625" t="str">
        <f>Exposition!M486</f>
        <v/>
      </c>
      <c r="Y485" s="625" t="str">
        <f>Exposition!N486</f>
        <v/>
      </c>
      <c r="Z485" s="625" t="str">
        <f>Exposition!O486</f>
        <v/>
      </c>
      <c r="AA485" s="625" t="str">
        <f>Exposition!P486</f>
        <v/>
      </c>
      <c r="AB485" s="625" t="str">
        <f>Exposition!Q486</f>
        <v/>
      </c>
      <c r="AC485" s="625" t="str">
        <f>Exposition!R486</f>
        <v/>
      </c>
      <c r="AD485" s="625" t="str">
        <f>Exposition!S486</f>
        <v/>
      </c>
      <c r="AE485" s="625" t="str">
        <f>Exposition!T486</f>
        <v/>
      </c>
      <c r="AF485" s="625" t="str">
        <f>Exposition!U486</f>
        <v/>
      </c>
      <c r="AG485" s="623"/>
      <c r="AH485" s="621" t="str">
        <f>PRIX!A486</f>
        <v/>
      </c>
      <c r="AI485" s="626" t="str">
        <f>PRIX!B486</f>
        <v/>
      </c>
      <c r="AJ485" s="626" t="str">
        <f>PRIX!C486</f>
        <v/>
      </c>
      <c r="AK485" s="627" t="str">
        <f>PRIX!D486</f>
        <v/>
      </c>
      <c r="AL485" s="626" t="str">
        <f>PRIX!E486</f>
        <v/>
      </c>
      <c r="AM485" s="626" t="str">
        <f>PRIX!F486</f>
        <v/>
      </c>
      <c r="AN485" s="627" t="str">
        <f>PRIX!G486</f>
        <v/>
      </c>
      <c r="AO485" s="627" t="str">
        <f>PRIX!H486</f>
        <v/>
      </c>
      <c r="AP485" s="631" t="str">
        <f>PRIX!I486</f>
        <v/>
      </c>
      <c r="AQ485" s="628" t="str">
        <f>PRIX!J486</f>
        <v/>
      </c>
      <c r="AR485" s="631" t="str">
        <f>PRIX!K486</f>
        <v/>
      </c>
      <c r="AS485" s="631" t="str">
        <f>PRIX!L486</f>
        <v/>
      </c>
      <c r="AT485" s="631" t="str">
        <f>PRIX!M486</f>
        <v/>
      </c>
      <c r="AU485" s="629" t="str">
        <f>PRIX!N486</f>
        <v/>
      </c>
      <c r="AV485" s="631" t="str">
        <f>PRIX!O486</f>
        <v/>
      </c>
      <c r="AW485" s="631" t="str">
        <f>PRIX!P486</f>
        <v/>
      </c>
      <c r="AX485" s="630" t="str">
        <f>PRIX!Q486</f>
        <v/>
      </c>
      <c r="AY485" s="631" t="str">
        <f>PRIX!R486</f>
        <v/>
      </c>
      <c r="AZ485" s="631" t="str">
        <f>PRIX!S486</f>
        <v/>
      </c>
      <c r="BA485" s="623"/>
    </row>
    <row r="486">
      <c r="A486" s="621" t="str">
        <f>ARBITRAGES!E487</f>
        <v/>
      </c>
      <c r="B486" s="623" t="str">
        <f>IF(A486="","",IF(ARBITRAGES!F487="Invest","Achat","Vente"))</f>
        <v/>
      </c>
      <c r="C486" s="623" t="str">
        <f>ARBITRAGES!H487</f>
        <v/>
      </c>
      <c r="D486" s="624" t="str">
        <f>ARBITRAGES!I487</f>
        <v/>
      </c>
      <c r="E486" s="624" t="str">
        <f>ARBITRAGES!J487</f>
        <v/>
      </c>
      <c r="F486" s="623"/>
      <c r="G486" s="623" t="str">
        <f>'PV (%)'!B488</f>
        <v/>
      </c>
      <c r="H486" s="624" t="str">
        <f>'PV (%)'!E488</f>
        <v/>
      </c>
      <c r="I486" s="624" t="str">
        <f>'PV (%)'!F488</f>
        <v/>
      </c>
      <c r="J486" s="624" t="str">
        <f>'PV (%)'!G488</f>
        <v/>
      </c>
      <c r="K486" s="623"/>
      <c r="L486" s="621" t="str">
        <f>Exposition!A487</f>
        <v/>
      </c>
      <c r="M486" s="625" t="str">
        <f>Exposition!B487</f>
        <v/>
      </c>
      <c r="N486" s="625" t="str">
        <f>Exposition!C487</f>
        <v/>
      </c>
      <c r="O486" s="625" t="str">
        <f>Exposition!D487</f>
        <v/>
      </c>
      <c r="P486" s="625" t="str">
        <f>Exposition!E487</f>
        <v/>
      </c>
      <c r="Q486" s="625" t="str">
        <f>Exposition!F487</f>
        <v/>
      </c>
      <c r="R486" s="625" t="str">
        <f>Exposition!G487</f>
        <v/>
      </c>
      <c r="S486" s="625" t="str">
        <f>Exposition!H487</f>
        <v/>
      </c>
      <c r="T486" s="625" t="str">
        <f>Exposition!I487</f>
        <v/>
      </c>
      <c r="U486" s="625" t="str">
        <f>Exposition!J487</f>
        <v/>
      </c>
      <c r="V486" s="625" t="str">
        <f>Exposition!K487</f>
        <v/>
      </c>
      <c r="W486" s="625" t="str">
        <f>Exposition!L487</f>
        <v/>
      </c>
      <c r="X486" s="625" t="str">
        <f>Exposition!M487</f>
        <v/>
      </c>
      <c r="Y486" s="625" t="str">
        <f>Exposition!N487</f>
        <v/>
      </c>
      <c r="Z486" s="625" t="str">
        <f>Exposition!O487</f>
        <v/>
      </c>
      <c r="AA486" s="625" t="str">
        <f>Exposition!P487</f>
        <v/>
      </c>
      <c r="AB486" s="625" t="str">
        <f>Exposition!Q487</f>
        <v/>
      </c>
      <c r="AC486" s="625" t="str">
        <f>Exposition!R487</f>
        <v/>
      </c>
      <c r="AD486" s="625" t="str">
        <f>Exposition!S487</f>
        <v/>
      </c>
      <c r="AE486" s="625" t="str">
        <f>Exposition!T487</f>
        <v/>
      </c>
      <c r="AF486" s="625" t="str">
        <f>Exposition!U487</f>
        <v/>
      </c>
      <c r="AG486" s="623"/>
      <c r="AH486" s="621" t="str">
        <f>PRIX!A487</f>
        <v/>
      </c>
      <c r="AI486" s="626" t="str">
        <f>PRIX!B487</f>
        <v/>
      </c>
      <c r="AJ486" s="626" t="str">
        <f>PRIX!C487</f>
        <v/>
      </c>
      <c r="AK486" s="627" t="str">
        <f>PRIX!D487</f>
        <v/>
      </c>
      <c r="AL486" s="626" t="str">
        <f>PRIX!E487</f>
        <v/>
      </c>
      <c r="AM486" s="626" t="str">
        <f>PRIX!F487</f>
        <v/>
      </c>
      <c r="AN486" s="627" t="str">
        <f>PRIX!G487</f>
        <v/>
      </c>
      <c r="AO486" s="627" t="str">
        <f>PRIX!H487</f>
        <v/>
      </c>
      <c r="AP486" s="631" t="str">
        <f>PRIX!I487</f>
        <v/>
      </c>
      <c r="AQ486" s="628" t="str">
        <f>PRIX!J487</f>
        <v/>
      </c>
      <c r="AR486" s="631" t="str">
        <f>PRIX!K487</f>
        <v/>
      </c>
      <c r="AS486" s="631" t="str">
        <f>PRIX!L487</f>
        <v/>
      </c>
      <c r="AT486" s="631" t="str">
        <f>PRIX!M487</f>
        <v/>
      </c>
      <c r="AU486" s="629" t="str">
        <f>PRIX!N487</f>
        <v/>
      </c>
      <c r="AV486" s="631" t="str">
        <f>PRIX!O487</f>
        <v/>
      </c>
      <c r="AW486" s="631" t="str">
        <f>PRIX!P487</f>
        <v/>
      </c>
      <c r="AX486" s="630" t="str">
        <f>PRIX!Q487</f>
        <v/>
      </c>
      <c r="AY486" s="631" t="str">
        <f>PRIX!R487</f>
        <v/>
      </c>
      <c r="AZ486" s="631" t="str">
        <f>PRIX!S487</f>
        <v/>
      </c>
      <c r="BA486" s="623"/>
    </row>
    <row r="487">
      <c r="A487" s="621" t="str">
        <f>ARBITRAGES!E488</f>
        <v/>
      </c>
      <c r="B487" s="623" t="str">
        <f>IF(A487="","",IF(ARBITRAGES!F488="Invest","Achat","Vente"))</f>
        <v/>
      </c>
      <c r="C487" s="623" t="str">
        <f>ARBITRAGES!H488</f>
        <v/>
      </c>
      <c r="D487" s="624" t="str">
        <f>ARBITRAGES!I488</f>
        <v/>
      </c>
      <c r="E487" s="624" t="str">
        <f>ARBITRAGES!J488</f>
        <v/>
      </c>
      <c r="F487" s="623"/>
      <c r="G487" s="623" t="str">
        <f>'PV (%)'!B489</f>
        <v/>
      </c>
      <c r="H487" s="624" t="str">
        <f>'PV (%)'!E489</f>
        <v/>
      </c>
      <c r="I487" s="624" t="str">
        <f>'PV (%)'!F489</f>
        <v/>
      </c>
      <c r="J487" s="624" t="str">
        <f>'PV (%)'!G489</f>
        <v/>
      </c>
      <c r="K487" s="623"/>
      <c r="L487" s="621" t="str">
        <f>Exposition!A488</f>
        <v/>
      </c>
      <c r="M487" s="625" t="str">
        <f>Exposition!B488</f>
        <v/>
      </c>
      <c r="N487" s="625" t="str">
        <f>Exposition!C488</f>
        <v/>
      </c>
      <c r="O487" s="625" t="str">
        <f>Exposition!D488</f>
        <v/>
      </c>
      <c r="P487" s="625" t="str">
        <f>Exposition!E488</f>
        <v/>
      </c>
      <c r="Q487" s="625" t="str">
        <f>Exposition!F488</f>
        <v/>
      </c>
      <c r="R487" s="625" t="str">
        <f>Exposition!G488</f>
        <v/>
      </c>
      <c r="S487" s="625" t="str">
        <f>Exposition!H488</f>
        <v/>
      </c>
      <c r="T487" s="625" t="str">
        <f>Exposition!I488</f>
        <v/>
      </c>
      <c r="U487" s="625" t="str">
        <f>Exposition!J488</f>
        <v/>
      </c>
      <c r="V487" s="625" t="str">
        <f>Exposition!K488</f>
        <v/>
      </c>
      <c r="W487" s="625" t="str">
        <f>Exposition!L488</f>
        <v/>
      </c>
      <c r="X487" s="625" t="str">
        <f>Exposition!M488</f>
        <v/>
      </c>
      <c r="Y487" s="625" t="str">
        <f>Exposition!N488</f>
        <v/>
      </c>
      <c r="Z487" s="625" t="str">
        <f>Exposition!O488</f>
        <v/>
      </c>
      <c r="AA487" s="625" t="str">
        <f>Exposition!P488</f>
        <v/>
      </c>
      <c r="AB487" s="625" t="str">
        <f>Exposition!Q488</f>
        <v/>
      </c>
      <c r="AC487" s="625" t="str">
        <f>Exposition!R488</f>
        <v/>
      </c>
      <c r="AD487" s="625" t="str">
        <f>Exposition!S488</f>
        <v/>
      </c>
      <c r="AE487" s="625" t="str">
        <f>Exposition!T488</f>
        <v/>
      </c>
      <c r="AF487" s="625" t="str">
        <f>Exposition!U488</f>
        <v/>
      </c>
      <c r="AG487" s="623"/>
      <c r="AH487" s="621" t="str">
        <f>PRIX!A488</f>
        <v/>
      </c>
      <c r="AI487" s="626" t="str">
        <f>PRIX!B488</f>
        <v/>
      </c>
      <c r="AJ487" s="626" t="str">
        <f>PRIX!C488</f>
        <v/>
      </c>
      <c r="AK487" s="627" t="str">
        <f>PRIX!D488</f>
        <v/>
      </c>
      <c r="AL487" s="626" t="str">
        <f>PRIX!E488</f>
        <v/>
      </c>
      <c r="AM487" s="626" t="str">
        <f>PRIX!F488</f>
        <v/>
      </c>
      <c r="AN487" s="627" t="str">
        <f>PRIX!G488</f>
        <v/>
      </c>
      <c r="AO487" s="627" t="str">
        <f>PRIX!H488</f>
        <v/>
      </c>
      <c r="AP487" s="631" t="str">
        <f>PRIX!I488</f>
        <v/>
      </c>
      <c r="AQ487" s="628" t="str">
        <f>PRIX!J488</f>
        <v/>
      </c>
      <c r="AR487" s="631" t="str">
        <f>PRIX!K488</f>
        <v/>
      </c>
      <c r="AS487" s="631" t="str">
        <f>PRIX!L488</f>
        <v/>
      </c>
      <c r="AT487" s="631" t="str">
        <f>PRIX!M488</f>
        <v/>
      </c>
      <c r="AU487" s="629" t="str">
        <f>PRIX!N488</f>
        <v/>
      </c>
      <c r="AV487" s="631" t="str">
        <f>PRIX!O488</f>
        <v/>
      </c>
      <c r="AW487" s="631" t="str">
        <f>PRIX!P488</f>
        <v/>
      </c>
      <c r="AX487" s="630" t="str">
        <f>PRIX!Q488</f>
        <v/>
      </c>
      <c r="AY487" s="631" t="str">
        <f>PRIX!R488</f>
        <v/>
      </c>
      <c r="AZ487" s="631" t="str">
        <f>PRIX!S488</f>
        <v/>
      </c>
      <c r="BA487" s="623"/>
    </row>
    <row r="488">
      <c r="A488" s="621" t="str">
        <f>ARBITRAGES!E489</f>
        <v/>
      </c>
      <c r="B488" s="623" t="str">
        <f>IF(A488="","",IF(ARBITRAGES!F489="Invest","Achat","Vente"))</f>
        <v/>
      </c>
      <c r="C488" s="623" t="str">
        <f>ARBITRAGES!H489</f>
        <v/>
      </c>
      <c r="D488" s="624" t="str">
        <f>ARBITRAGES!I489</f>
        <v/>
      </c>
      <c r="E488" s="624" t="str">
        <f>ARBITRAGES!J489</f>
        <v/>
      </c>
      <c r="F488" s="623"/>
      <c r="G488" s="623" t="str">
        <f>'PV (%)'!B490</f>
        <v/>
      </c>
      <c r="H488" s="624" t="str">
        <f>'PV (%)'!E490</f>
        <v/>
      </c>
      <c r="I488" s="624" t="str">
        <f>'PV (%)'!F490</f>
        <v/>
      </c>
      <c r="J488" s="624" t="str">
        <f>'PV (%)'!G490</f>
        <v/>
      </c>
      <c r="K488" s="623"/>
      <c r="L488" s="621" t="str">
        <f>Exposition!A489</f>
        <v/>
      </c>
      <c r="M488" s="625" t="str">
        <f>Exposition!B489</f>
        <v/>
      </c>
      <c r="N488" s="625" t="str">
        <f>Exposition!C489</f>
        <v/>
      </c>
      <c r="O488" s="625" t="str">
        <f>Exposition!D489</f>
        <v/>
      </c>
      <c r="P488" s="625" t="str">
        <f>Exposition!E489</f>
        <v/>
      </c>
      <c r="Q488" s="625" t="str">
        <f>Exposition!F489</f>
        <v/>
      </c>
      <c r="R488" s="625" t="str">
        <f>Exposition!G489</f>
        <v/>
      </c>
      <c r="S488" s="625" t="str">
        <f>Exposition!H489</f>
        <v/>
      </c>
      <c r="T488" s="625" t="str">
        <f>Exposition!I489</f>
        <v/>
      </c>
      <c r="U488" s="625" t="str">
        <f>Exposition!J489</f>
        <v/>
      </c>
      <c r="V488" s="625" t="str">
        <f>Exposition!K489</f>
        <v/>
      </c>
      <c r="W488" s="625" t="str">
        <f>Exposition!L489</f>
        <v/>
      </c>
      <c r="X488" s="625" t="str">
        <f>Exposition!M489</f>
        <v/>
      </c>
      <c r="Y488" s="625" t="str">
        <f>Exposition!N489</f>
        <v/>
      </c>
      <c r="Z488" s="625" t="str">
        <f>Exposition!O489</f>
        <v/>
      </c>
      <c r="AA488" s="625" t="str">
        <f>Exposition!P489</f>
        <v/>
      </c>
      <c r="AB488" s="625" t="str">
        <f>Exposition!Q489</f>
        <v/>
      </c>
      <c r="AC488" s="625" t="str">
        <f>Exposition!R489</f>
        <v/>
      </c>
      <c r="AD488" s="625" t="str">
        <f>Exposition!S489</f>
        <v/>
      </c>
      <c r="AE488" s="625" t="str">
        <f>Exposition!T489</f>
        <v/>
      </c>
      <c r="AF488" s="625" t="str">
        <f>Exposition!U489</f>
        <v/>
      </c>
      <c r="AG488" s="623"/>
      <c r="AH488" s="621" t="str">
        <f>PRIX!A489</f>
        <v/>
      </c>
      <c r="AI488" s="626" t="str">
        <f>PRIX!B489</f>
        <v/>
      </c>
      <c r="AJ488" s="626" t="str">
        <f>PRIX!C489</f>
        <v/>
      </c>
      <c r="AK488" s="627" t="str">
        <f>PRIX!D489</f>
        <v/>
      </c>
      <c r="AL488" s="626" t="str">
        <f>PRIX!E489</f>
        <v/>
      </c>
      <c r="AM488" s="626" t="str">
        <f>PRIX!F489</f>
        <v/>
      </c>
      <c r="AN488" s="627" t="str">
        <f>PRIX!G489</f>
        <v/>
      </c>
      <c r="AO488" s="627" t="str">
        <f>PRIX!H489</f>
        <v/>
      </c>
      <c r="AP488" s="631" t="str">
        <f>PRIX!I489</f>
        <v/>
      </c>
      <c r="AQ488" s="628" t="str">
        <f>PRIX!J489</f>
        <v/>
      </c>
      <c r="AR488" s="631" t="str">
        <f>PRIX!K489</f>
        <v/>
      </c>
      <c r="AS488" s="631" t="str">
        <f>PRIX!L489</f>
        <v/>
      </c>
      <c r="AT488" s="631" t="str">
        <f>PRIX!M489</f>
        <v/>
      </c>
      <c r="AU488" s="629" t="str">
        <f>PRIX!N489</f>
        <v/>
      </c>
      <c r="AV488" s="631" t="str">
        <f>PRIX!O489</f>
        <v/>
      </c>
      <c r="AW488" s="631" t="str">
        <f>PRIX!P489</f>
        <v/>
      </c>
      <c r="AX488" s="630" t="str">
        <f>PRIX!Q489</f>
        <v/>
      </c>
      <c r="AY488" s="631" t="str">
        <f>PRIX!R489</f>
        <v/>
      </c>
      <c r="AZ488" s="631" t="str">
        <f>PRIX!S489</f>
        <v/>
      </c>
      <c r="BA488" s="623"/>
    </row>
    <row r="489">
      <c r="A489" s="621" t="str">
        <f>ARBITRAGES!E490</f>
        <v/>
      </c>
      <c r="B489" s="623" t="str">
        <f>IF(A489="","",IF(ARBITRAGES!F490="Invest","Achat","Vente"))</f>
        <v/>
      </c>
      <c r="C489" s="623" t="str">
        <f>ARBITRAGES!H490</f>
        <v/>
      </c>
      <c r="D489" s="624" t="str">
        <f>ARBITRAGES!I490</f>
        <v/>
      </c>
      <c r="E489" s="624" t="str">
        <f>ARBITRAGES!J490</f>
        <v/>
      </c>
      <c r="F489" s="623"/>
      <c r="G489" s="623" t="str">
        <f>'PV (%)'!B491</f>
        <v/>
      </c>
      <c r="H489" s="624" t="str">
        <f>'PV (%)'!E491</f>
        <v/>
      </c>
      <c r="I489" s="624" t="str">
        <f>'PV (%)'!F491</f>
        <v/>
      </c>
      <c r="J489" s="624" t="str">
        <f>'PV (%)'!G491</f>
        <v/>
      </c>
      <c r="K489" s="623"/>
      <c r="L489" s="621" t="str">
        <f>Exposition!A490</f>
        <v/>
      </c>
      <c r="M489" s="625" t="str">
        <f>Exposition!B490</f>
        <v/>
      </c>
      <c r="N489" s="625" t="str">
        <f>Exposition!C490</f>
        <v/>
      </c>
      <c r="O489" s="625" t="str">
        <f>Exposition!D490</f>
        <v/>
      </c>
      <c r="P489" s="625" t="str">
        <f>Exposition!E490</f>
        <v/>
      </c>
      <c r="Q489" s="625" t="str">
        <f>Exposition!F490</f>
        <v/>
      </c>
      <c r="R489" s="625" t="str">
        <f>Exposition!G490</f>
        <v/>
      </c>
      <c r="S489" s="625" t="str">
        <f>Exposition!H490</f>
        <v/>
      </c>
      <c r="T489" s="625" t="str">
        <f>Exposition!I490</f>
        <v/>
      </c>
      <c r="U489" s="625" t="str">
        <f>Exposition!J490</f>
        <v/>
      </c>
      <c r="V489" s="625" t="str">
        <f>Exposition!K490</f>
        <v/>
      </c>
      <c r="W489" s="625" t="str">
        <f>Exposition!L490</f>
        <v/>
      </c>
      <c r="X489" s="625" t="str">
        <f>Exposition!M490</f>
        <v/>
      </c>
      <c r="Y489" s="625" t="str">
        <f>Exposition!N490</f>
        <v/>
      </c>
      <c r="Z489" s="625" t="str">
        <f>Exposition!O490</f>
        <v/>
      </c>
      <c r="AA489" s="625" t="str">
        <f>Exposition!P490</f>
        <v/>
      </c>
      <c r="AB489" s="625" t="str">
        <f>Exposition!Q490</f>
        <v/>
      </c>
      <c r="AC489" s="625" t="str">
        <f>Exposition!R490</f>
        <v/>
      </c>
      <c r="AD489" s="625" t="str">
        <f>Exposition!S490</f>
        <v/>
      </c>
      <c r="AE489" s="625" t="str">
        <f>Exposition!T490</f>
        <v/>
      </c>
      <c r="AF489" s="625" t="str">
        <f>Exposition!U490</f>
        <v/>
      </c>
      <c r="AG489" s="623"/>
      <c r="AH489" s="621" t="str">
        <f>PRIX!A490</f>
        <v/>
      </c>
      <c r="AI489" s="626" t="str">
        <f>PRIX!B490</f>
        <v/>
      </c>
      <c r="AJ489" s="626" t="str">
        <f>PRIX!C490</f>
        <v/>
      </c>
      <c r="AK489" s="627" t="str">
        <f>PRIX!D490</f>
        <v/>
      </c>
      <c r="AL489" s="626" t="str">
        <f>PRIX!E490</f>
        <v/>
      </c>
      <c r="AM489" s="626" t="str">
        <f>PRIX!F490</f>
        <v/>
      </c>
      <c r="AN489" s="627" t="str">
        <f>PRIX!G490</f>
        <v/>
      </c>
      <c r="AO489" s="627" t="str">
        <f>PRIX!H490</f>
        <v/>
      </c>
      <c r="AP489" s="631" t="str">
        <f>PRIX!I490</f>
        <v/>
      </c>
      <c r="AQ489" s="628" t="str">
        <f>PRIX!J490</f>
        <v/>
      </c>
      <c r="AR489" s="631" t="str">
        <f>PRIX!K490</f>
        <v/>
      </c>
      <c r="AS489" s="631" t="str">
        <f>PRIX!L490</f>
        <v/>
      </c>
      <c r="AT489" s="631" t="str">
        <f>PRIX!M490</f>
        <v/>
      </c>
      <c r="AU489" s="629" t="str">
        <f>PRIX!N490</f>
        <v/>
      </c>
      <c r="AV489" s="631" t="str">
        <f>PRIX!O490</f>
        <v/>
      </c>
      <c r="AW489" s="631" t="str">
        <f>PRIX!P490</f>
        <v/>
      </c>
      <c r="AX489" s="630" t="str">
        <f>PRIX!Q490</f>
        <v/>
      </c>
      <c r="AY489" s="631" t="str">
        <f>PRIX!R490</f>
        <v/>
      </c>
      <c r="AZ489" s="631" t="str">
        <f>PRIX!S490</f>
        <v/>
      </c>
      <c r="BA489" s="623"/>
    </row>
    <row r="490">
      <c r="A490" s="621" t="str">
        <f>ARBITRAGES!E491</f>
        <v/>
      </c>
      <c r="B490" s="623" t="str">
        <f>IF(A490="","",IF(ARBITRAGES!F491="Invest","Achat","Vente"))</f>
        <v/>
      </c>
      <c r="C490" s="623" t="str">
        <f>ARBITRAGES!H491</f>
        <v/>
      </c>
      <c r="D490" s="624" t="str">
        <f>ARBITRAGES!I491</f>
        <v/>
      </c>
      <c r="E490" s="624" t="str">
        <f>ARBITRAGES!J491</f>
        <v/>
      </c>
      <c r="F490" s="623"/>
      <c r="G490" s="623" t="str">
        <f>'PV (%)'!B492</f>
        <v/>
      </c>
      <c r="H490" s="624" t="str">
        <f>'PV (%)'!E492</f>
        <v/>
      </c>
      <c r="I490" s="624" t="str">
        <f>'PV (%)'!F492</f>
        <v/>
      </c>
      <c r="J490" s="624" t="str">
        <f>'PV (%)'!G492</f>
        <v/>
      </c>
      <c r="K490" s="623"/>
      <c r="L490" s="621" t="str">
        <f>Exposition!A491</f>
        <v/>
      </c>
      <c r="M490" s="625" t="str">
        <f>Exposition!B491</f>
        <v/>
      </c>
      <c r="N490" s="625" t="str">
        <f>Exposition!C491</f>
        <v/>
      </c>
      <c r="O490" s="625" t="str">
        <f>Exposition!D491</f>
        <v/>
      </c>
      <c r="P490" s="625" t="str">
        <f>Exposition!E491</f>
        <v/>
      </c>
      <c r="Q490" s="625" t="str">
        <f>Exposition!F491</f>
        <v/>
      </c>
      <c r="R490" s="625" t="str">
        <f>Exposition!G491</f>
        <v/>
      </c>
      <c r="S490" s="625" t="str">
        <f>Exposition!H491</f>
        <v/>
      </c>
      <c r="T490" s="625" t="str">
        <f>Exposition!I491</f>
        <v/>
      </c>
      <c r="U490" s="625" t="str">
        <f>Exposition!J491</f>
        <v/>
      </c>
      <c r="V490" s="625" t="str">
        <f>Exposition!K491</f>
        <v/>
      </c>
      <c r="W490" s="625" t="str">
        <f>Exposition!L491</f>
        <v/>
      </c>
      <c r="X490" s="625" t="str">
        <f>Exposition!M491</f>
        <v/>
      </c>
      <c r="Y490" s="625" t="str">
        <f>Exposition!N491</f>
        <v/>
      </c>
      <c r="Z490" s="625" t="str">
        <f>Exposition!O491</f>
        <v/>
      </c>
      <c r="AA490" s="625" t="str">
        <f>Exposition!P491</f>
        <v/>
      </c>
      <c r="AB490" s="625" t="str">
        <f>Exposition!Q491</f>
        <v/>
      </c>
      <c r="AC490" s="625" t="str">
        <f>Exposition!R491</f>
        <v/>
      </c>
      <c r="AD490" s="625" t="str">
        <f>Exposition!S491</f>
        <v/>
      </c>
      <c r="AE490" s="625" t="str">
        <f>Exposition!T491</f>
        <v/>
      </c>
      <c r="AF490" s="625" t="str">
        <f>Exposition!U491</f>
        <v/>
      </c>
      <c r="AG490" s="623"/>
      <c r="AH490" s="621" t="str">
        <f>PRIX!A491</f>
        <v/>
      </c>
      <c r="AI490" s="626" t="str">
        <f>PRIX!B491</f>
        <v/>
      </c>
      <c r="AJ490" s="626" t="str">
        <f>PRIX!C491</f>
        <v/>
      </c>
      <c r="AK490" s="627" t="str">
        <f>PRIX!D491</f>
        <v/>
      </c>
      <c r="AL490" s="626" t="str">
        <f>PRIX!E491</f>
        <v/>
      </c>
      <c r="AM490" s="626" t="str">
        <f>PRIX!F491</f>
        <v/>
      </c>
      <c r="AN490" s="627" t="str">
        <f>PRIX!G491</f>
        <v/>
      </c>
      <c r="AO490" s="627" t="str">
        <f>PRIX!H491</f>
        <v/>
      </c>
      <c r="AP490" s="631" t="str">
        <f>PRIX!I491</f>
        <v/>
      </c>
      <c r="AQ490" s="628" t="str">
        <f>PRIX!J491</f>
        <v/>
      </c>
      <c r="AR490" s="631" t="str">
        <f>PRIX!K491</f>
        <v/>
      </c>
      <c r="AS490" s="631" t="str">
        <f>PRIX!L491</f>
        <v/>
      </c>
      <c r="AT490" s="631" t="str">
        <f>PRIX!M491</f>
        <v/>
      </c>
      <c r="AU490" s="629" t="str">
        <f>PRIX!N491</f>
        <v/>
      </c>
      <c r="AV490" s="631" t="str">
        <f>PRIX!O491</f>
        <v/>
      </c>
      <c r="AW490" s="631" t="str">
        <f>PRIX!P491</f>
        <v/>
      </c>
      <c r="AX490" s="630" t="str">
        <f>PRIX!Q491</f>
        <v/>
      </c>
      <c r="AY490" s="631" t="str">
        <f>PRIX!R491</f>
        <v/>
      </c>
      <c r="AZ490" s="631" t="str">
        <f>PRIX!S491</f>
        <v/>
      </c>
      <c r="BA490" s="623"/>
    </row>
    <row r="491">
      <c r="A491" s="621" t="str">
        <f>ARBITRAGES!E492</f>
        <v/>
      </c>
      <c r="B491" s="623" t="str">
        <f>IF(A491="","",IF(ARBITRAGES!F492="Invest","Achat","Vente"))</f>
        <v/>
      </c>
      <c r="C491" s="623" t="str">
        <f>ARBITRAGES!H492</f>
        <v/>
      </c>
      <c r="D491" s="624" t="str">
        <f>ARBITRAGES!I492</f>
        <v/>
      </c>
      <c r="E491" s="624" t="str">
        <f>ARBITRAGES!J492</f>
        <v/>
      </c>
      <c r="F491" s="623"/>
      <c r="G491" s="623" t="str">
        <f>'PV (%)'!B493</f>
        <v/>
      </c>
      <c r="H491" s="624" t="str">
        <f>'PV (%)'!E493</f>
        <v/>
      </c>
      <c r="I491" s="624" t="str">
        <f>'PV (%)'!F493</f>
        <v/>
      </c>
      <c r="J491" s="624" t="str">
        <f>'PV (%)'!G493</f>
        <v/>
      </c>
      <c r="K491" s="623"/>
      <c r="L491" s="621" t="str">
        <f>Exposition!A492</f>
        <v/>
      </c>
      <c r="M491" s="625" t="str">
        <f>Exposition!B492</f>
        <v/>
      </c>
      <c r="N491" s="625" t="str">
        <f>Exposition!C492</f>
        <v/>
      </c>
      <c r="O491" s="625" t="str">
        <f>Exposition!D492</f>
        <v/>
      </c>
      <c r="P491" s="625" t="str">
        <f>Exposition!E492</f>
        <v/>
      </c>
      <c r="Q491" s="625" t="str">
        <f>Exposition!F492</f>
        <v/>
      </c>
      <c r="R491" s="625" t="str">
        <f>Exposition!G492</f>
        <v/>
      </c>
      <c r="S491" s="625" t="str">
        <f>Exposition!H492</f>
        <v/>
      </c>
      <c r="T491" s="625" t="str">
        <f>Exposition!I492</f>
        <v/>
      </c>
      <c r="U491" s="625" t="str">
        <f>Exposition!J492</f>
        <v/>
      </c>
      <c r="V491" s="625" t="str">
        <f>Exposition!K492</f>
        <v/>
      </c>
      <c r="W491" s="625" t="str">
        <f>Exposition!L492</f>
        <v/>
      </c>
      <c r="X491" s="625" t="str">
        <f>Exposition!M492</f>
        <v/>
      </c>
      <c r="Y491" s="625" t="str">
        <f>Exposition!N492</f>
        <v/>
      </c>
      <c r="Z491" s="625" t="str">
        <f>Exposition!O492</f>
        <v/>
      </c>
      <c r="AA491" s="625" t="str">
        <f>Exposition!P492</f>
        <v/>
      </c>
      <c r="AB491" s="625" t="str">
        <f>Exposition!Q492</f>
        <v/>
      </c>
      <c r="AC491" s="625" t="str">
        <f>Exposition!R492</f>
        <v/>
      </c>
      <c r="AD491" s="625" t="str">
        <f>Exposition!S492</f>
        <v/>
      </c>
      <c r="AE491" s="625" t="str">
        <f>Exposition!T492</f>
        <v/>
      </c>
      <c r="AF491" s="625" t="str">
        <f>Exposition!U492</f>
        <v/>
      </c>
      <c r="AG491" s="623"/>
      <c r="AH491" s="621" t="str">
        <f>PRIX!A492</f>
        <v/>
      </c>
      <c r="AI491" s="626" t="str">
        <f>PRIX!B492</f>
        <v/>
      </c>
      <c r="AJ491" s="626" t="str">
        <f>PRIX!C492</f>
        <v/>
      </c>
      <c r="AK491" s="627" t="str">
        <f>PRIX!D492</f>
        <v/>
      </c>
      <c r="AL491" s="626" t="str">
        <f>PRIX!E492</f>
        <v/>
      </c>
      <c r="AM491" s="626" t="str">
        <f>PRIX!F492</f>
        <v/>
      </c>
      <c r="AN491" s="627" t="str">
        <f>PRIX!G492</f>
        <v/>
      </c>
      <c r="AO491" s="627" t="str">
        <f>PRIX!H492</f>
        <v/>
      </c>
      <c r="AP491" s="631" t="str">
        <f>PRIX!I492</f>
        <v/>
      </c>
      <c r="AQ491" s="628" t="str">
        <f>PRIX!J492</f>
        <v/>
      </c>
      <c r="AR491" s="631" t="str">
        <f>PRIX!K492</f>
        <v/>
      </c>
      <c r="AS491" s="631" t="str">
        <f>PRIX!L492</f>
        <v/>
      </c>
      <c r="AT491" s="631" t="str">
        <f>PRIX!M492</f>
        <v/>
      </c>
      <c r="AU491" s="629" t="str">
        <f>PRIX!N492</f>
        <v/>
      </c>
      <c r="AV491" s="631" t="str">
        <f>PRIX!O492</f>
        <v/>
      </c>
      <c r="AW491" s="631" t="str">
        <f>PRIX!P492</f>
        <v/>
      </c>
      <c r="AX491" s="630" t="str">
        <f>PRIX!Q492</f>
        <v/>
      </c>
      <c r="AY491" s="631" t="str">
        <f>PRIX!R492</f>
        <v/>
      </c>
      <c r="AZ491" s="631" t="str">
        <f>PRIX!S492</f>
        <v/>
      </c>
      <c r="BA491" s="623"/>
    </row>
    <row r="492">
      <c r="A492" s="621" t="str">
        <f>ARBITRAGES!E493</f>
        <v/>
      </c>
      <c r="B492" s="623" t="str">
        <f>IF(A492="","",IF(ARBITRAGES!F493="Invest","Achat","Vente"))</f>
        <v/>
      </c>
      <c r="C492" s="623" t="str">
        <f>ARBITRAGES!H493</f>
        <v/>
      </c>
      <c r="D492" s="624" t="str">
        <f>ARBITRAGES!I493</f>
        <v/>
      </c>
      <c r="E492" s="624" t="str">
        <f>ARBITRAGES!J493</f>
        <v/>
      </c>
      <c r="F492" s="623"/>
      <c r="G492" s="623" t="str">
        <f>'PV (%)'!B494</f>
        <v/>
      </c>
      <c r="H492" s="624" t="str">
        <f>'PV (%)'!E494</f>
        <v/>
      </c>
      <c r="I492" s="624" t="str">
        <f>'PV (%)'!F494</f>
        <v/>
      </c>
      <c r="J492" s="624" t="str">
        <f>'PV (%)'!G494</f>
        <v/>
      </c>
      <c r="K492" s="623"/>
      <c r="L492" s="621" t="str">
        <f>Exposition!A493</f>
        <v/>
      </c>
      <c r="M492" s="625" t="str">
        <f>Exposition!B493</f>
        <v/>
      </c>
      <c r="N492" s="625" t="str">
        <f>Exposition!C493</f>
        <v/>
      </c>
      <c r="O492" s="625" t="str">
        <f>Exposition!D493</f>
        <v/>
      </c>
      <c r="P492" s="625" t="str">
        <f>Exposition!E493</f>
        <v/>
      </c>
      <c r="Q492" s="625" t="str">
        <f>Exposition!F493</f>
        <v/>
      </c>
      <c r="R492" s="625" t="str">
        <f>Exposition!G493</f>
        <v/>
      </c>
      <c r="S492" s="625" t="str">
        <f>Exposition!H493</f>
        <v/>
      </c>
      <c r="T492" s="625" t="str">
        <f>Exposition!I493</f>
        <v/>
      </c>
      <c r="U492" s="625" t="str">
        <f>Exposition!J493</f>
        <v/>
      </c>
      <c r="V492" s="625" t="str">
        <f>Exposition!K493</f>
        <v/>
      </c>
      <c r="W492" s="625" t="str">
        <f>Exposition!L493</f>
        <v/>
      </c>
      <c r="X492" s="625" t="str">
        <f>Exposition!M493</f>
        <v/>
      </c>
      <c r="Y492" s="625" t="str">
        <f>Exposition!N493</f>
        <v/>
      </c>
      <c r="Z492" s="625" t="str">
        <f>Exposition!O493</f>
        <v/>
      </c>
      <c r="AA492" s="625" t="str">
        <f>Exposition!P493</f>
        <v/>
      </c>
      <c r="AB492" s="625" t="str">
        <f>Exposition!Q493</f>
        <v/>
      </c>
      <c r="AC492" s="625" t="str">
        <f>Exposition!R493</f>
        <v/>
      </c>
      <c r="AD492" s="625" t="str">
        <f>Exposition!S493</f>
        <v/>
      </c>
      <c r="AE492" s="625" t="str">
        <f>Exposition!T493</f>
        <v/>
      </c>
      <c r="AF492" s="625" t="str">
        <f>Exposition!U493</f>
        <v/>
      </c>
      <c r="AG492" s="623"/>
      <c r="AH492" s="621" t="str">
        <f>PRIX!A493</f>
        <v/>
      </c>
      <c r="AI492" s="626" t="str">
        <f>PRIX!B493</f>
        <v/>
      </c>
      <c r="AJ492" s="626" t="str">
        <f>PRIX!C493</f>
        <v/>
      </c>
      <c r="AK492" s="627" t="str">
        <f>PRIX!D493</f>
        <v/>
      </c>
      <c r="AL492" s="626" t="str">
        <f>PRIX!E493</f>
        <v/>
      </c>
      <c r="AM492" s="626" t="str">
        <f>PRIX!F493</f>
        <v/>
      </c>
      <c r="AN492" s="627" t="str">
        <f>PRIX!G493</f>
        <v/>
      </c>
      <c r="AO492" s="627" t="str">
        <f>PRIX!H493</f>
        <v/>
      </c>
      <c r="AP492" s="631" t="str">
        <f>PRIX!I493</f>
        <v/>
      </c>
      <c r="AQ492" s="628" t="str">
        <f>PRIX!J493</f>
        <v/>
      </c>
      <c r="AR492" s="631" t="str">
        <f>PRIX!K493</f>
        <v/>
      </c>
      <c r="AS492" s="631" t="str">
        <f>PRIX!L493</f>
        <v/>
      </c>
      <c r="AT492" s="631" t="str">
        <f>PRIX!M493</f>
        <v/>
      </c>
      <c r="AU492" s="629" t="str">
        <f>PRIX!N493</f>
        <v/>
      </c>
      <c r="AV492" s="631" t="str">
        <f>PRIX!O493</f>
        <v/>
      </c>
      <c r="AW492" s="631" t="str">
        <f>PRIX!P493</f>
        <v/>
      </c>
      <c r="AX492" s="630" t="str">
        <f>PRIX!Q493</f>
        <v/>
      </c>
      <c r="AY492" s="631" t="str">
        <f>PRIX!R493</f>
        <v/>
      </c>
      <c r="AZ492" s="631" t="str">
        <f>PRIX!S493</f>
        <v/>
      </c>
      <c r="BA492" s="623"/>
    </row>
    <row r="493">
      <c r="A493" s="621" t="str">
        <f>ARBITRAGES!E494</f>
        <v/>
      </c>
      <c r="B493" s="623" t="str">
        <f>IF(A493="","",IF(ARBITRAGES!F494="Invest","Achat","Vente"))</f>
        <v/>
      </c>
      <c r="C493" s="623" t="str">
        <f>ARBITRAGES!H494</f>
        <v/>
      </c>
      <c r="D493" s="624" t="str">
        <f>ARBITRAGES!I494</f>
        <v/>
      </c>
      <c r="E493" s="624" t="str">
        <f>ARBITRAGES!J494</f>
        <v/>
      </c>
      <c r="F493" s="623"/>
      <c r="G493" s="623" t="str">
        <f>'PV (%)'!B495</f>
        <v/>
      </c>
      <c r="H493" s="624" t="str">
        <f>'PV (%)'!E495</f>
        <v/>
      </c>
      <c r="I493" s="624" t="str">
        <f>'PV (%)'!F495</f>
        <v/>
      </c>
      <c r="J493" s="624" t="str">
        <f>'PV (%)'!G495</f>
        <v/>
      </c>
      <c r="K493" s="623"/>
      <c r="L493" s="621" t="str">
        <f>Exposition!A494</f>
        <v/>
      </c>
      <c r="M493" s="625" t="str">
        <f>Exposition!B494</f>
        <v/>
      </c>
      <c r="N493" s="625" t="str">
        <f>Exposition!C494</f>
        <v/>
      </c>
      <c r="O493" s="625" t="str">
        <f>Exposition!D494</f>
        <v/>
      </c>
      <c r="P493" s="625" t="str">
        <f>Exposition!E494</f>
        <v/>
      </c>
      <c r="Q493" s="625" t="str">
        <f>Exposition!F494</f>
        <v/>
      </c>
      <c r="R493" s="625" t="str">
        <f>Exposition!G494</f>
        <v/>
      </c>
      <c r="S493" s="625" t="str">
        <f>Exposition!H494</f>
        <v/>
      </c>
      <c r="T493" s="625" t="str">
        <f>Exposition!I494</f>
        <v/>
      </c>
      <c r="U493" s="625" t="str">
        <f>Exposition!J494</f>
        <v/>
      </c>
      <c r="V493" s="625" t="str">
        <f>Exposition!K494</f>
        <v/>
      </c>
      <c r="W493" s="625" t="str">
        <f>Exposition!L494</f>
        <v/>
      </c>
      <c r="X493" s="625" t="str">
        <f>Exposition!M494</f>
        <v/>
      </c>
      <c r="Y493" s="625" t="str">
        <f>Exposition!N494</f>
        <v/>
      </c>
      <c r="Z493" s="625" t="str">
        <f>Exposition!O494</f>
        <v/>
      </c>
      <c r="AA493" s="625" t="str">
        <f>Exposition!P494</f>
        <v/>
      </c>
      <c r="AB493" s="625" t="str">
        <f>Exposition!Q494</f>
        <v/>
      </c>
      <c r="AC493" s="625" t="str">
        <f>Exposition!R494</f>
        <v/>
      </c>
      <c r="AD493" s="625" t="str">
        <f>Exposition!S494</f>
        <v/>
      </c>
      <c r="AE493" s="625" t="str">
        <f>Exposition!T494</f>
        <v/>
      </c>
      <c r="AF493" s="625" t="str">
        <f>Exposition!U494</f>
        <v/>
      </c>
      <c r="AG493" s="623"/>
      <c r="AH493" s="621" t="str">
        <f>PRIX!A494</f>
        <v/>
      </c>
      <c r="AI493" s="626" t="str">
        <f>PRIX!B494</f>
        <v/>
      </c>
      <c r="AJ493" s="626" t="str">
        <f>PRIX!C494</f>
        <v/>
      </c>
      <c r="AK493" s="627" t="str">
        <f>PRIX!D494</f>
        <v/>
      </c>
      <c r="AL493" s="626" t="str">
        <f>PRIX!E494</f>
        <v/>
      </c>
      <c r="AM493" s="626" t="str">
        <f>PRIX!F494</f>
        <v/>
      </c>
      <c r="AN493" s="627" t="str">
        <f>PRIX!G494</f>
        <v/>
      </c>
      <c r="AO493" s="627" t="str">
        <f>PRIX!H494</f>
        <v/>
      </c>
      <c r="AP493" s="631" t="str">
        <f>PRIX!I494</f>
        <v/>
      </c>
      <c r="AQ493" s="628" t="str">
        <f>PRIX!J494</f>
        <v/>
      </c>
      <c r="AR493" s="631" t="str">
        <f>PRIX!K494</f>
        <v/>
      </c>
      <c r="AS493" s="631" t="str">
        <f>PRIX!L494</f>
        <v/>
      </c>
      <c r="AT493" s="631" t="str">
        <f>PRIX!M494</f>
        <v/>
      </c>
      <c r="AU493" s="629" t="str">
        <f>PRIX!N494</f>
        <v/>
      </c>
      <c r="AV493" s="631" t="str">
        <f>PRIX!O494</f>
        <v/>
      </c>
      <c r="AW493" s="631" t="str">
        <f>PRIX!P494</f>
        <v/>
      </c>
      <c r="AX493" s="630" t="str">
        <f>PRIX!Q494</f>
        <v/>
      </c>
      <c r="AY493" s="631" t="str">
        <f>PRIX!R494</f>
        <v/>
      </c>
      <c r="AZ493" s="631" t="str">
        <f>PRIX!S494</f>
        <v/>
      </c>
      <c r="BA493" s="623"/>
    </row>
    <row r="494">
      <c r="A494" s="621" t="str">
        <f>ARBITRAGES!E495</f>
        <v/>
      </c>
      <c r="B494" s="623" t="str">
        <f>IF(A494="","",IF(ARBITRAGES!F495="Invest","Achat","Vente"))</f>
        <v/>
      </c>
      <c r="C494" s="623" t="str">
        <f>ARBITRAGES!H495</f>
        <v/>
      </c>
      <c r="D494" s="624" t="str">
        <f>ARBITRAGES!I495</f>
        <v/>
      </c>
      <c r="E494" s="624" t="str">
        <f>ARBITRAGES!J495</f>
        <v/>
      </c>
      <c r="F494" s="623"/>
      <c r="G494" s="623" t="str">
        <f>'PV (%)'!B496</f>
        <v/>
      </c>
      <c r="H494" s="624" t="str">
        <f>'PV (%)'!E496</f>
        <v/>
      </c>
      <c r="I494" s="624" t="str">
        <f>'PV (%)'!F496</f>
        <v/>
      </c>
      <c r="J494" s="624" t="str">
        <f>'PV (%)'!G496</f>
        <v/>
      </c>
      <c r="K494" s="623"/>
      <c r="L494" s="621" t="str">
        <f>Exposition!A495</f>
        <v/>
      </c>
      <c r="M494" s="625" t="str">
        <f>Exposition!B495</f>
        <v/>
      </c>
      <c r="N494" s="625" t="str">
        <f>Exposition!C495</f>
        <v/>
      </c>
      <c r="O494" s="625" t="str">
        <f>Exposition!D495</f>
        <v/>
      </c>
      <c r="P494" s="625" t="str">
        <f>Exposition!E495</f>
        <v/>
      </c>
      <c r="Q494" s="625" t="str">
        <f>Exposition!F495</f>
        <v/>
      </c>
      <c r="R494" s="625" t="str">
        <f>Exposition!G495</f>
        <v/>
      </c>
      <c r="S494" s="625" t="str">
        <f>Exposition!H495</f>
        <v/>
      </c>
      <c r="T494" s="625" t="str">
        <f>Exposition!I495</f>
        <v/>
      </c>
      <c r="U494" s="625" t="str">
        <f>Exposition!J495</f>
        <v/>
      </c>
      <c r="V494" s="625" t="str">
        <f>Exposition!K495</f>
        <v/>
      </c>
      <c r="W494" s="625" t="str">
        <f>Exposition!L495</f>
        <v/>
      </c>
      <c r="X494" s="625" t="str">
        <f>Exposition!M495</f>
        <v/>
      </c>
      <c r="Y494" s="625" t="str">
        <f>Exposition!N495</f>
        <v/>
      </c>
      <c r="Z494" s="625" t="str">
        <f>Exposition!O495</f>
        <v/>
      </c>
      <c r="AA494" s="625" t="str">
        <f>Exposition!P495</f>
        <v/>
      </c>
      <c r="AB494" s="625" t="str">
        <f>Exposition!Q495</f>
        <v/>
      </c>
      <c r="AC494" s="625" t="str">
        <f>Exposition!R495</f>
        <v/>
      </c>
      <c r="AD494" s="625" t="str">
        <f>Exposition!S495</f>
        <v/>
      </c>
      <c r="AE494" s="625" t="str">
        <f>Exposition!T495</f>
        <v/>
      </c>
      <c r="AF494" s="625" t="str">
        <f>Exposition!U495</f>
        <v/>
      </c>
      <c r="AG494" s="623"/>
      <c r="AH494" s="621" t="str">
        <f>PRIX!A495</f>
        <v/>
      </c>
      <c r="AI494" s="626" t="str">
        <f>PRIX!B495</f>
        <v/>
      </c>
      <c r="AJ494" s="626" t="str">
        <f>PRIX!C495</f>
        <v/>
      </c>
      <c r="AK494" s="627" t="str">
        <f>PRIX!D495</f>
        <v/>
      </c>
      <c r="AL494" s="626" t="str">
        <f>PRIX!E495</f>
        <v/>
      </c>
      <c r="AM494" s="626" t="str">
        <f>PRIX!F495</f>
        <v/>
      </c>
      <c r="AN494" s="627" t="str">
        <f>PRIX!G495</f>
        <v/>
      </c>
      <c r="AO494" s="627" t="str">
        <f>PRIX!H495</f>
        <v/>
      </c>
      <c r="AP494" s="631" t="str">
        <f>PRIX!I495</f>
        <v/>
      </c>
      <c r="AQ494" s="628" t="str">
        <f>PRIX!J495</f>
        <v/>
      </c>
      <c r="AR494" s="631" t="str">
        <f>PRIX!K495</f>
        <v/>
      </c>
      <c r="AS494" s="631" t="str">
        <f>PRIX!L495</f>
        <v/>
      </c>
      <c r="AT494" s="631" t="str">
        <f>PRIX!M495</f>
        <v/>
      </c>
      <c r="AU494" s="629" t="str">
        <f>PRIX!N495</f>
        <v/>
      </c>
      <c r="AV494" s="631" t="str">
        <f>PRIX!O495</f>
        <v/>
      </c>
      <c r="AW494" s="631" t="str">
        <f>PRIX!P495</f>
        <v/>
      </c>
      <c r="AX494" s="630" t="str">
        <f>PRIX!Q495</f>
        <v/>
      </c>
      <c r="AY494" s="631" t="str">
        <f>PRIX!R495</f>
        <v/>
      </c>
      <c r="AZ494" s="631" t="str">
        <f>PRIX!S495</f>
        <v/>
      </c>
      <c r="BA494" s="623"/>
    </row>
    <row r="495">
      <c r="A495" s="621" t="str">
        <f>ARBITRAGES!E496</f>
        <v/>
      </c>
      <c r="B495" s="623" t="str">
        <f>IF(A495="","",IF(ARBITRAGES!F496="Invest","Achat","Vente"))</f>
        <v/>
      </c>
      <c r="C495" s="623" t="str">
        <f>ARBITRAGES!H496</f>
        <v/>
      </c>
      <c r="D495" s="624" t="str">
        <f>ARBITRAGES!I496</f>
        <v/>
      </c>
      <c r="E495" s="624" t="str">
        <f>ARBITRAGES!J496</f>
        <v/>
      </c>
      <c r="F495" s="623"/>
      <c r="G495" s="623" t="str">
        <f>'PV (%)'!B497</f>
        <v/>
      </c>
      <c r="H495" s="624" t="str">
        <f>'PV (%)'!E497</f>
        <v/>
      </c>
      <c r="I495" s="624" t="str">
        <f>'PV (%)'!F497</f>
        <v/>
      </c>
      <c r="J495" s="624" t="str">
        <f>'PV (%)'!G497</f>
        <v/>
      </c>
      <c r="K495" s="623"/>
      <c r="L495" s="621" t="str">
        <f>Exposition!A496</f>
        <v/>
      </c>
      <c r="M495" s="625" t="str">
        <f>Exposition!B496</f>
        <v/>
      </c>
      <c r="N495" s="625" t="str">
        <f>Exposition!C496</f>
        <v/>
      </c>
      <c r="O495" s="625" t="str">
        <f>Exposition!D496</f>
        <v/>
      </c>
      <c r="P495" s="625" t="str">
        <f>Exposition!E496</f>
        <v/>
      </c>
      <c r="Q495" s="625" t="str">
        <f>Exposition!F496</f>
        <v/>
      </c>
      <c r="R495" s="625" t="str">
        <f>Exposition!G496</f>
        <v/>
      </c>
      <c r="S495" s="625" t="str">
        <f>Exposition!H496</f>
        <v/>
      </c>
      <c r="T495" s="625" t="str">
        <f>Exposition!I496</f>
        <v/>
      </c>
      <c r="U495" s="625" t="str">
        <f>Exposition!J496</f>
        <v/>
      </c>
      <c r="V495" s="625" t="str">
        <f>Exposition!K496</f>
        <v/>
      </c>
      <c r="W495" s="625" t="str">
        <f>Exposition!L496</f>
        <v/>
      </c>
      <c r="X495" s="625" t="str">
        <f>Exposition!M496</f>
        <v/>
      </c>
      <c r="Y495" s="625" t="str">
        <f>Exposition!N496</f>
        <v/>
      </c>
      <c r="Z495" s="625" t="str">
        <f>Exposition!O496</f>
        <v/>
      </c>
      <c r="AA495" s="625" t="str">
        <f>Exposition!P496</f>
        <v/>
      </c>
      <c r="AB495" s="625" t="str">
        <f>Exposition!Q496</f>
        <v/>
      </c>
      <c r="AC495" s="625" t="str">
        <f>Exposition!R496</f>
        <v/>
      </c>
      <c r="AD495" s="625" t="str">
        <f>Exposition!S496</f>
        <v/>
      </c>
      <c r="AE495" s="625" t="str">
        <f>Exposition!T496</f>
        <v/>
      </c>
      <c r="AF495" s="625" t="str">
        <f>Exposition!U496</f>
        <v/>
      </c>
      <c r="AG495" s="623"/>
      <c r="AH495" s="621" t="str">
        <f>PRIX!A496</f>
        <v/>
      </c>
      <c r="AI495" s="626" t="str">
        <f>PRIX!B496</f>
        <v/>
      </c>
      <c r="AJ495" s="626" t="str">
        <f>PRIX!C496</f>
        <v/>
      </c>
      <c r="AK495" s="627" t="str">
        <f>PRIX!D496</f>
        <v/>
      </c>
      <c r="AL495" s="626" t="str">
        <f>PRIX!E496</f>
        <v/>
      </c>
      <c r="AM495" s="626" t="str">
        <f>PRIX!F496</f>
        <v/>
      </c>
      <c r="AN495" s="627" t="str">
        <f>PRIX!G496</f>
        <v/>
      </c>
      <c r="AO495" s="627" t="str">
        <f>PRIX!H496</f>
        <v/>
      </c>
      <c r="AP495" s="631" t="str">
        <f>PRIX!I496</f>
        <v/>
      </c>
      <c r="AQ495" s="628" t="str">
        <f>PRIX!J496</f>
        <v/>
      </c>
      <c r="AR495" s="631" t="str">
        <f>PRIX!K496</f>
        <v/>
      </c>
      <c r="AS495" s="631" t="str">
        <f>PRIX!L496</f>
        <v/>
      </c>
      <c r="AT495" s="631" t="str">
        <f>PRIX!M496</f>
        <v/>
      </c>
      <c r="AU495" s="629" t="str">
        <f>PRIX!N496</f>
        <v/>
      </c>
      <c r="AV495" s="631" t="str">
        <f>PRIX!O496</f>
        <v/>
      </c>
      <c r="AW495" s="631" t="str">
        <f>PRIX!P496</f>
        <v/>
      </c>
      <c r="AX495" s="630" t="str">
        <f>PRIX!Q496</f>
        <v/>
      </c>
      <c r="AY495" s="631" t="str">
        <f>PRIX!R496</f>
        <v/>
      </c>
      <c r="AZ495" s="631" t="str">
        <f>PRIX!S496</f>
        <v/>
      </c>
      <c r="BA495" s="623"/>
    </row>
    <row r="496">
      <c r="A496" s="621" t="str">
        <f>ARBITRAGES!E497</f>
        <v/>
      </c>
      <c r="B496" s="623" t="str">
        <f>IF(A496="","",IF(ARBITRAGES!F497="Invest","Achat","Vente"))</f>
        <v/>
      </c>
      <c r="C496" s="623" t="str">
        <f>ARBITRAGES!H497</f>
        <v/>
      </c>
      <c r="D496" s="624" t="str">
        <f>ARBITRAGES!I497</f>
        <v/>
      </c>
      <c r="E496" s="624" t="str">
        <f>ARBITRAGES!J497</f>
        <v/>
      </c>
      <c r="F496" s="623"/>
      <c r="G496" s="623" t="str">
        <f>'PV (%)'!B498</f>
        <v/>
      </c>
      <c r="H496" s="624" t="str">
        <f>'PV (%)'!E498</f>
        <v/>
      </c>
      <c r="I496" s="624" t="str">
        <f>'PV (%)'!F498</f>
        <v/>
      </c>
      <c r="J496" s="624" t="str">
        <f>'PV (%)'!G498</f>
        <v/>
      </c>
      <c r="K496" s="623"/>
      <c r="L496" s="621" t="str">
        <f>Exposition!A497</f>
        <v/>
      </c>
      <c r="M496" s="625" t="str">
        <f>Exposition!B497</f>
        <v/>
      </c>
      <c r="N496" s="625" t="str">
        <f>Exposition!C497</f>
        <v/>
      </c>
      <c r="O496" s="625" t="str">
        <f>Exposition!D497</f>
        <v/>
      </c>
      <c r="P496" s="625" t="str">
        <f>Exposition!E497</f>
        <v/>
      </c>
      <c r="Q496" s="625" t="str">
        <f>Exposition!F497</f>
        <v/>
      </c>
      <c r="R496" s="625" t="str">
        <f>Exposition!G497</f>
        <v/>
      </c>
      <c r="S496" s="625" t="str">
        <f>Exposition!H497</f>
        <v/>
      </c>
      <c r="T496" s="625" t="str">
        <f>Exposition!I497</f>
        <v/>
      </c>
      <c r="U496" s="625" t="str">
        <f>Exposition!J497</f>
        <v/>
      </c>
      <c r="V496" s="625" t="str">
        <f>Exposition!K497</f>
        <v/>
      </c>
      <c r="W496" s="625" t="str">
        <f>Exposition!L497</f>
        <v/>
      </c>
      <c r="X496" s="625" t="str">
        <f>Exposition!M497</f>
        <v/>
      </c>
      <c r="Y496" s="625" t="str">
        <f>Exposition!N497</f>
        <v/>
      </c>
      <c r="Z496" s="625" t="str">
        <f>Exposition!O497</f>
        <v/>
      </c>
      <c r="AA496" s="625" t="str">
        <f>Exposition!P497</f>
        <v/>
      </c>
      <c r="AB496" s="625" t="str">
        <f>Exposition!Q497</f>
        <v/>
      </c>
      <c r="AC496" s="625" t="str">
        <f>Exposition!R497</f>
        <v/>
      </c>
      <c r="AD496" s="625" t="str">
        <f>Exposition!S497</f>
        <v/>
      </c>
      <c r="AE496" s="625" t="str">
        <f>Exposition!T497</f>
        <v/>
      </c>
      <c r="AF496" s="625" t="str">
        <f>Exposition!U497</f>
        <v/>
      </c>
      <c r="AG496" s="623"/>
      <c r="AH496" s="621" t="str">
        <f>PRIX!A497</f>
        <v/>
      </c>
      <c r="AI496" s="626" t="str">
        <f>PRIX!B497</f>
        <v/>
      </c>
      <c r="AJ496" s="626" t="str">
        <f>PRIX!C497</f>
        <v/>
      </c>
      <c r="AK496" s="627" t="str">
        <f>PRIX!D497</f>
        <v/>
      </c>
      <c r="AL496" s="626" t="str">
        <f>PRIX!E497</f>
        <v/>
      </c>
      <c r="AM496" s="626" t="str">
        <f>PRIX!F497</f>
        <v/>
      </c>
      <c r="AN496" s="627" t="str">
        <f>PRIX!G497</f>
        <v/>
      </c>
      <c r="AO496" s="627" t="str">
        <f>PRIX!H497</f>
        <v/>
      </c>
      <c r="AP496" s="631" t="str">
        <f>PRIX!I497</f>
        <v/>
      </c>
      <c r="AQ496" s="628" t="str">
        <f>PRIX!J497</f>
        <v/>
      </c>
      <c r="AR496" s="631" t="str">
        <f>PRIX!K497</f>
        <v/>
      </c>
      <c r="AS496" s="631" t="str">
        <f>PRIX!L497</f>
        <v/>
      </c>
      <c r="AT496" s="631" t="str">
        <f>PRIX!M497</f>
        <v/>
      </c>
      <c r="AU496" s="629" t="str">
        <f>PRIX!N497</f>
        <v/>
      </c>
      <c r="AV496" s="631" t="str">
        <f>PRIX!O497</f>
        <v/>
      </c>
      <c r="AW496" s="631" t="str">
        <f>PRIX!P497</f>
        <v/>
      </c>
      <c r="AX496" s="630" t="str">
        <f>PRIX!Q497</f>
        <v/>
      </c>
      <c r="AY496" s="631" t="str">
        <f>PRIX!R497</f>
        <v/>
      </c>
      <c r="AZ496" s="631" t="str">
        <f>PRIX!S497</f>
        <v/>
      </c>
      <c r="BA496" s="623"/>
    </row>
    <row r="497">
      <c r="A497" s="621" t="str">
        <f>ARBITRAGES!E498</f>
        <v/>
      </c>
      <c r="B497" s="623" t="str">
        <f>IF(A497="","",IF(ARBITRAGES!F498="Invest","Achat","Vente"))</f>
        <v/>
      </c>
      <c r="C497" s="623" t="str">
        <f>ARBITRAGES!H498</f>
        <v/>
      </c>
      <c r="D497" s="624" t="str">
        <f>ARBITRAGES!I498</f>
        <v/>
      </c>
      <c r="E497" s="624" t="str">
        <f>ARBITRAGES!J498</f>
        <v/>
      </c>
      <c r="F497" s="623"/>
      <c r="G497" s="623" t="str">
        <f>'PV (%)'!B499</f>
        <v/>
      </c>
      <c r="H497" s="624" t="str">
        <f>'PV (%)'!E499</f>
        <v/>
      </c>
      <c r="I497" s="624" t="str">
        <f>'PV (%)'!F499</f>
        <v/>
      </c>
      <c r="J497" s="624" t="str">
        <f>'PV (%)'!G499</f>
        <v/>
      </c>
      <c r="K497" s="623"/>
      <c r="L497" s="621" t="str">
        <f>Exposition!A498</f>
        <v/>
      </c>
      <c r="M497" s="625" t="str">
        <f>Exposition!B498</f>
        <v/>
      </c>
      <c r="N497" s="625" t="str">
        <f>Exposition!C498</f>
        <v/>
      </c>
      <c r="O497" s="625" t="str">
        <f>Exposition!D498</f>
        <v/>
      </c>
      <c r="P497" s="625" t="str">
        <f>Exposition!E498</f>
        <v/>
      </c>
      <c r="Q497" s="625" t="str">
        <f>Exposition!F498</f>
        <v/>
      </c>
      <c r="R497" s="625" t="str">
        <f>Exposition!G498</f>
        <v/>
      </c>
      <c r="S497" s="625" t="str">
        <f>Exposition!H498</f>
        <v/>
      </c>
      <c r="T497" s="625" t="str">
        <f>Exposition!I498</f>
        <v/>
      </c>
      <c r="U497" s="625" t="str">
        <f>Exposition!J498</f>
        <v/>
      </c>
      <c r="V497" s="625" t="str">
        <f>Exposition!K498</f>
        <v/>
      </c>
      <c r="W497" s="625" t="str">
        <f>Exposition!L498</f>
        <v/>
      </c>
      <c r="X497" s="625" t="str">
        <f>Exposition!M498</f>
        <v/>
      </c>
      <c r="Y497" s="625" t="str">
        <f>Exposition!N498</f>
        <v/>
      </c>
      <c r="Z497" s="625" t="str">
        <f>Exposition!O498</f>
        <v/>
      </c>
      <c r="AA497" s="625" t="str">
        <f>Exposition!P498</f>
        <v/>
      </c>
      <c r="AB497" s="625" t="str">
        <f>Exposition!Q498</f>
        <v/>
      </c>
      <c r="AC497" s="625" t="str">
        <f>Exposition!R498</f>
        <v/>
      </c>
      <c r="AD497" s="625" t="str">
        <f>Exposition!S498</f>
        <v/>
      </c>
      <c r="AE497" s="625" t="str">
        <f>Exposition!T498</f>
        <v/>
      </c>
      <c r="AF497" s="625" t="str">
        <f>Exposition!U498</f>
        <v/>
      </c>
      <c r="AG497" s="623"/>
      <c r="AH497" s="621" t="str">
        <f>PRIX!A498</f>
        <v/>
      </c>
      <c r="AI497" s="626" t="str">
        <f>PRIX!B498</f>
        <v/>
      </c>
      <c r="AJ497" s="626" t="str">
        <f>PRIX!C498</f>
        <v/>
      </c>
      <c r="AK497" s="627" t="str">
        <f>PRIX!D498</f>
        <v/>
      </c>
      <c r="AL497" s="626" t="str">
        <f>PRIX!E498</f>
        <v/>
      </c>
      <c r="AM497" s="626" t="str">
        <f>PRIX!F498</f>
        <v/>
      </c>
      <c r="AN497" s="627" t="str">
        <f>PRIX!G498</f>
        <v/>
      </c>
      <c r="AO497" s="627" t="str">
        <f>PRIX!H498</f>
        <v/>
      </c>
      <c r="AP497" s="631" t="str">
        <f>PRIX!I498</f>
        <v/>
      </c>
      <c r="AQ497" s="628" t="str">
        <f>PRIX!J498</f>
        <v/>
      </c>
      <c r="AR497" s="631" t="str">
        <f>PRIX!K498</f>
        <v/>
      </c>
      <c r="AS497" s="631" t="str">
        <f>PRIX!L498</f>
        <v/>
      </c>
      <c r="AT497" s="631" t="str">
        <f>PRIX!M498</f>
        <v/>
      </c>
      <c r="AU497" s="629" t="str">
        <f>PRIX!N498</f>
        <v/>
      </c>
      <c r="AV497" s="631" t="str">
        <f>PRIX!O498</f>
        <v/>
      </c>
      <c r="AW497" s="631" t="str">
        <f>PRIX!P498</f>
        <v/>
      </c>
      <c r="AX497" s="630" t="str">
        <f>PRIX!Q498</f>
        <v/>
      </c>
      <c r="AY497" s="631" t="str">
        <f>PRIX!R498</f>
        <v/>
      </c>
      <c r="AZ497" s="631" t="str">
        <f>PRIX!S498</f>
        <v/>
      </c>
      <c r="BA497" s="623"/>
    </row>
    <row r="498">
      <c r="A498" s="621" t="str">
        <f>ARBITRAGES!E499</f>
        <v/>
      </c>
      <c r="B498" s="623" t="str">
        <f>IF(A498="","",IF(ARBITRAGES!F499="Invest","Achat","Vente"))</f>
        <v/>
      </c>
      <c r="C498" s="623" t="str">
        <f>ARBITRAGES!H499</f>
        <v/>
      </c>
      <c r="D498" s="624" t="str">
        <f>ARBITRAGES!I499</f>
        <v/>
      </c>
      <c r="E498" s="624" t="str">
        <f>ARBITRAGES!J499</f>
        <v/>
      </c>
      <c r="F498" s="623"/>
      <c r="G498" s="623" t="str">
        <f>'PV (%)'!B500</f>
        <v/>
      </c>
      <c r="H498" s="624" t="str">
        <f>'PV (%)'!E500</f>
        <v/>
      </c>
      <c r="I498" s="624" t="str">
        <f>'PV (%)'!F500</f>
        <v/>
      </c>
      <c r="J498" s="624" t="str">
        <f>'PV (%)'!G500</f>
        <v/>
      </c>
      <c r="K498" s="623"/>
      <c r="L498" s="621" t="str">
        <f>Exposition!A499</f>
        <v/>
      </c>
      <c r="M498" s="625" t="str">
        <f>Exposition!B499</f>
        <v/>
      </c>
      <c r="N498" s="625" t="str">
        <f>Exposition!C499</f>
        <v/>
      </c>
      <c r="O498" s="625" t="str">
        <f>Exposition!D499</f>
        <v/>
      </c>
      <c r="P498" s="625" t="str">
        <f>Exposition!E499</f>
        <v/>
      </c>
      <c r="Q498" s="625" t="str">
        <f>Exposition!F499</f>
        <v/>
      </c>
      <c r="R498" s="625" t="str">
        <f>Exposition!G499</f>
        <v/>
      </c>
      <c r="S498" s="625" t="str">
        <f>Exposition!H499</f>
        <v/>
      </c>
      <c r="T498" s="625" t="str">
        <f>Exposition!I499</f>
        <v/>
      </c>
      <c r="U498" s="625" t="str">
        <f>Exposition!J499</f>
        <v/>
      </c>
      <c r="V498" s="625" t="str">
        <f>Exposition!K499</f>
        <v/>
      </c>
      <c r="W498" s="625" t="str">
        <f>Exposition!L499</f>
        <v/>
      </c>
      <c r="X498" s="625" t="str">
        <f>Exposition!M499</f>
        <v/>
      </c>
      <c r="Y498" s="625" t="str">
        <f>Exposition!N499</f>
        <v/>
      </c>
      <c r="Z498" s="625" t="str">
        <f>Exposition!O499</f>
        <v/>
      </c>
      <c r="AA498" s="625" t="str">
        <f>Exposition!P499</f>
        <v/>
      </c>
      <c r="AB498" s="625" t="str">
        <f>Exposition!Q499</f>
        <v/>
      </c>
      <c r="AC498" s="625" t="str">
        <f>Exposition!R499</f>
        <v/>
      </c>
      <c r="AD498" s="625" t="str">
        <f>Exposition!S499</f>
        <v/>
      </c>
      <c r="AE498" s="625" t="str">
        <f>Exposition!T499</f>
        <v/>
      </c>
      <c r="AF498" s="625" t="str">
        <f>Exposition!U499</f>
        <v/>
      </c>
      <c r="AG498" s="623"/>
      <c r="AH498" s="621" t="str">
        <f>PRIX!A499</f>
        <v/>
      </c>
      <c r="AI498" s="626" t="str">
        <f>PRIX!B499</f>
        <v/>
      </c>
      <c r="AJ498" s="626" t="str">
        <f>PRIX!C499</f>
        <v/>
      </c>
      <c r="AK498" s="627" t="str">
        <f>PRIX!D499</f>
        <v/>
      </c>
      <c r="AL498" s="626" t="str">
        <f>PRIX!E499</f>
        <v/>
      </c>
      <c r="AM498" s="626" t="str">
        <f>PRIX!F499</f>
        <v/>
      </c>
      <c r="AN498" s="627" t="str">
        <f>PRIX!G499</f>
        <v/>
      </c>
      <c r="AO498" s="627" t="str">
        <f>PRIX!H499</f>
        <v/>
      </c>
      <c r="AP498" s="631" t="str">
        <f>PRIX!I499</f>
        <v/>
      </c>
      <c r="AQ498" s="628" t="str">
        <f>PRIX!J499</f>
        <v/>
      </c>
      <c r="AR498" s="631" t="str">
        <f>PRIX!K499</f>
        <v/>
      </c>
      <c r="AS498" s="631" t="str">
        <f>PRIX!L499</f>
        <v/>
      </c>
      <c r="AT498" s="631" t="str">
        <f>PRIX!M499</f>
        <v/>
      </c>
      <c r="AU498" s="629" t="str">
        <f>PRIX!N499</f>
        <v/>
      </c>
      <c r="AV498" s="631" t="str">
        <f>PRIX!O499</f>
        <v/>
      </c>
      <c r="AW498" s="631" t="str">
        <f>PRIX!P499</f>
        <v/>
      </c>
      <c r="AX498" s="630" t="str">
        <f>PRIX!Q499</f>
        <v/>
      </c>
      <c r="AY498" s="631" t="str">
        <f>PRIX!R499</f>
        <v/>
      </c>
      <c r="AZ498" s="631" t="str">
        <f>PRIX!S499</f>
        <v/>
      </c>
      <c r="BA498" s="623"/>
    </row>
    <row r="499">
      <c r="A499" s="621" t="str">
        <f>ARBITRAGES!E500</f>
        <v/>
      </c>
      <c r="B499" s="623" t="str">
        <f>IF(A499="","",IF(ARBITRAGES!F500="Invest","Achat","Vente"))</f>
        <v/>
      </c>
      <c r="C499" s="623" t="str">
        <f>ARBITRAGES!H500</f>
        <v/>
      </c>
      <c r="D499" s="624" t="str">
        <f>ARBITRAGES!I500</f>
        <v/>
      </c>
      <c r="E499" s="624" t="str">
        <f>ARBITRAGES!J500</f>
        <v/>
      </c>
      <c r="F499" s="623"/>
      <c r="G499" s="623" t="str">
        <f>'PV (%)'!B501</f>
        <v/>
      </c>
      <c r="H499" s="624" t="str">
        <f>'PV (%)'!E501</f>
        <v/>
      </c>
      <c r="I499" s="624" t="str">
        <f>'PV (%)'!F501</f>
        <v/>
      </c>
      <c r="J499" s="624" t="str">
        <f>'PV (%)'!G501</f>
        <v/>
      </c>
      <c r="K499" s="623"/>
      <c r="L499" s="621" t="str">
        <f>Exposition!A500</f>
        <v/>
      </c>
      <c r="M499" s="625" t="str">
        <f>Exposition!B500</f>
        <v/>
      </c>
      <c r="N499" s="625" t="str">
        <f>Exposition!C500</f>
        <v/>
      </c>
      <c r="O499" s="625" t="str">
        <f>Exposition!D500</f>
        <v/>
      </c>
      <c r="P499" s="625" t="str">
        <f>Exposition!E500</f>
        <v/>
      </c>
      <c r="Q499" s="625" t="str">
        <f>Exposition!F500</f>
        <v/>
      </c>
      <c r="R499" s="625" t="str">
        <f>Exposition!G500</f>
        <v/>
      </c>
      <c r="S499" s="625" t="str">
        <f>Exposition!H500</f>
        <v/>
      </c>
      <c r="T499" s="625" t="str">
        <f>Exposition!I500</f>
        <v/>
      </c>
      <c r="U499" s="625" t="str">
        <f>Exposition!J500</f>
        <v/>
      </c>
      <c r="V499" s="625" t="str">
        <f>Exposition!K500</f>
        <v/>
      </c>
      <c r="W499" s="625" t="str">
        <f>Exposition!L500</f>
        <v/>
      </c>
      <c r="X499" s="625" t="str">
        <f>Exposition!M500</f>
        <v/>
      </c>
      <c r="Y499" s="625" t="str">
        <f>Exposition!N500</f>
        <v/>
      </c>
      <c r="Z499" s="625" t="str">
        <f>Exposition!O500</f>
        <v/>
      </c>
      <c r="AA499" s="625" t="str">
        <f>Exposition!P500</f>
        <v/>
      </c>
      <c r="AB499" s="625" t="str">
        <f>Exposition!Q500</f>
        <v/>
      </c>
      <c r="AC499" s="625" t="str">
        <f>Exposition!R500</f>
        <v/>
      </c>
      <c r="AD499" s="625" t="str">
        <f>Exposition!S500</f>
        <v/>
      </c>
      <c r="AE499" s="625" t="str">
        <f>Exposition!T500</f>
        <v/>
      </c>
      <c r="AF499" s="625" t="str">
        <f>Exposition!U500</f>
        <v/>
      </c>
      <c r="AG499" s="623"/>
      <c r="AH499" s="621" t="str">
        <f>PRIX!A500</f>
        <v/>
      </c>
      <c r="AI499" s="626" t="str">
        <f>PRIX!B500</f>
        <v/>
      </c>
      <c r="AJ499" s="626" t="str">
        <f>PRIX!C500</f>
        <v/>
      </c>
      <c r="AK499" s="627" t="str">
        <f>PRIX!D500</f>
        <v/>
      </c>
      <c r="AL499" s="626" t="str">
        <f>PRIX!E500</f>
        <v/>
      </c>
      <c r="AM499" s="626" t="str">
        <f>PRIX!F500</f>
        <v/>
      </c>
      <c r="AN499" s="627" t="str">
        <f>PRIX!G500</f>
        <v/>
      </c>
      <c r="AO499" s="627" t="str">
        <f>PRIX!H500</f>
        <v/>
      </c>
      <c r="AP499" s="631" t="str">
        <f>PRIX!I500</f>
        <v/>
      </c>
      <c r="AQ499" s="628" t="str">
        <f>PRIX!J500</f>
        <v/>
      </c>
      <c r="AR499" s="631" t="str">
        <f>PRIX!K500</f>
        <v/>
      </c>
      <c r="AS499" s="631" t="str">
        <f>PRIX!L500</f>
        <v/>
      </c>
      <c r="AT499" s="631" t="str">
        <f>PRIX!M500</f>
        <v/>
      </c>
      <c r="AU499" s="629" t="str">
        <f>PRIX!N500</f>
        <v/>
      </c>
      <c r="AV499" s="631" t="str">
        <f>PRIX!O500</f>
        <v/>
      </c>
      <c r="AW499" s="631" t="str">
        <f>PRIX!P500</f>
        <v/>
      </c>
      <c r="AX499" s="630" t="str">
        <f>PRIX!Q500</f>
        <v/>
      </c>
      <c r="AY499" s="631" t="str">
        <f>PRIX!R500</f>
        <v/>
      </c>
      <c r="AZ499" s="631" t="str">
        <f>PRIX!S500</f>
        <v/>
      </c>
      <c r="BA499" s="623"/>
    </row>
    <row r="500">
      <c r="A500" s="621" t="str">
        <f>ARBITRAGES!E501</f>
        <v/>
      </c>
      <c r="B500" s="623" t="str">
        <f>IF(A500="","",IF(ARBITRAGES!F501="Invest","Achat","Vente"))</f>
        <v/>
      </c>
      <c r="C500" s="623" t="str">
        <f>ARBITRAGES!H501</f>
        <v/>
      </c>
      <c r="D500" s="624" t="str">
        <f>ARBITRAGES!I501</f>
        <v/>
      </c>
      <c r="E500" s="624" t="str">
        <f>ARBITRAGES!J501</f>
        <v/>
      </c>
      <c r="F500" s="623"/>
      <c r="G500" s="623" t="str">
        <f>'PV (%)'!B502</f>
        <v/>
      </c>
      <c r="H500" s="624" t="str">
        <f>'PV (%)'!E502</f>
        <v/>
      </c>
      <c r="I500" s="624" t="str">
        <f>'PV (%)'!F502</f>
        <v/>
      </c>
      <c r="J500" s="624" t="str">
        <f>'PV (%)'!G502</f>
        <v/>
      </c>
      <c r="K500" s="623"/>
      <c r="L500" s="621" t="str">
        <f>Exposition!A501</f>
        <v/>
      </c>
      <c r="M500" s="625" t="str">
        <f>Exposition!B501</f>
        <v/>
      </c>
      <c r="N500" s="625" t="str">
        <f>Exposition!C501</f>
        <v/>
      </c>
      <c r="O500" s="625" t="str">
        <f>Exposition!D501</f>
        <v/>
      </c>
      <c r="P500" s="625" t="str">
        <f>Exposition!E501</f>
        <v/>
      </c>
      <c r="Q500" s="625" t="str">
        <f>Exposition!F501</f>
        <v/>
      </c>
      <c r="R500" s="625" t="str">
        <f>Exposition!G501</f>
        <v/>
      </c>
      <c r="S500" s="625" t="str">
        <f>Exposition!H501</f>
        <v/>
      </c>
      <c r="T500" s="625" t="str">
        <f>Exposition!I501</f>
        <v/>
      </c>
      <c r="U500" s="625" t="str">
        <f>Exposition!J501</f>
        <v/>
      </c>
      <c r="V500" s="625" t="str">
        <f>Exposition!K501</f>
        <v/>
      </c>
      <c r="W500" s="625" t="str">
        <f>Exposition!L501</f>
        <v/>
      </c>
      <c r="X500" s="625" t="str">
        <f>Exposition!M501</f>
        <v/>
      </c>
      <c r="Y500" s="625" t="str">
        <f>Exposition!N501</f>
        <v/>
      </c>
      <c r="Z500" s="625" t="str">
        <f>Exposition!O501</f>
        <v/>
      </c>
      <c r="AA500" s="625" t="str">
        <f>Exposition!P501</f>
        <v/>
      </c>
      <c r="AB500" s="625" t="str">
        <f>Exposition!Q501</f>
        <v/>
      </c>
      <c r="AC500" s="625" t="str">
        <f>Exposition!R501</f>
        <v/>
      </c>
      <c r="AD500" s="625" t="str">
        <f>Exposition!S501</f>
        <v/>
      </c>
      <c r="AE500" s="625" t="str">
        <f>Exposition!T501</f>
        <v/>
      </c>
      <c r="AF500" s="625" t="str">
        <f>Exposition!U501</f>
        <v/>
      </c>
      <c r="AG500" s="623"/>
      <c r="AH500" s="621" t="str">
        <f>PRIX!A501</f>
        <v/>
      </c>
      <c r="AI500" s="626" t="str">
        <f>PRIX!B501</f>
        <v/>
      </c>
      <c r="AJ500" s="626" t="str">
        <f>PRIX!C501</f>
        <v/>
      </c>
      <c r="AK500" s="627" t="str">
        <f>PRIX!D501</f>
        <v/>
      </c>
      <c r="AL500" s="626" t="str">
        <f>PRIX!E501</f>
        <v/>
      </c>
      <c r="AM500" s="626" t="str">
        <f>PRIX!F501</f>
        <v/>
      </c>
      <c r="AN500" s="627" t="str">
        <f>PRIX!G501</f>
        <v/>
      </c>
      <c r="AO500" s="627" t="str">
        <f>PRIX!H501</f>
        <v/>
      </c>
      <c r="AP500" s="631" t="str">
        <f>PRIX!I501</f>
        <v/>
      </c>
      <c r="AQ500" s="628" t="str">
        <f>PRIX!J501</f>
        <v/>
      </c>
      <c r="AR500" s="631" t="str">
        <f>PRIX!K501</f>
        <v/>
      </c>
      <c r="AS500" s="631" t="str">
        <f>PRIX!L501</f>
        <v/>
      </c>
      <c r="AT500" s="631" t="str">
        <f>PRIX!M501</f>
        <v/>
      </c>
      <c r="AU500" s="629" t="str">
        <f>PRIX!N501</f>
        <v/>
      </c>
      <c r="AV500" s="631" t="str">
        <f>PRIX!O501</f>
        <v/>
      </c>
      <c r="AW500" s="631" t="str">
        <f>PRIX!P501</f>
        <v/>
      </c>
      <c r="AX500" s="630" t="str">
        <f>PRIX!Q501</f>
        <v/>
      </c>
      <c r="AY500" s="631" t="str">
        <f>PRIX!R501</f>
        <v/>
      </c>
      <c r="AZ500" s="631" t="str">
        <f>PRIX!S501</f>
        <v/>
      </c>
      <c r="BA500" s="623"/>
    </row>
    <row r="501">
      <c r="A501" s="621" t="str">
        <f>ARBITRAGES!E502</f>
        <v/>
      </c>
      <c r="B501" s="623" t="str">
        <f>IF(A501="","",IF(ARBITRAGES!F502="Invest","Achat","Vente"))</f>
        <v/>
      </c>
      <c r="C501" s="623" t="str">
        <f>ARBITRAGES!H502</f>
        <v/>
      </c>
      <c r="D501" s="624" t="str">
        <f>ARBITRAGES!I502</f>
        <v/>
      </c>
      <c r="E501" s="624" t="str">
        <f>ARBITRAGES!J502</f>
        <v/>
      </c>
      <c r="F501" s="623"/>
      <c r="G501" s="623" t="str">
        <f>'PV (%)'!B503</f>
        <v/>
      </c>
      <c r="H501" s="624" t="str">
        <f>'PV (%)'!E503</f>
        <v/>
      </c>
      <c r="I501" s="624" t="str">
        <f>'PV (%)'!F503</f>
        <v/>
      </c>
      <c r="J501" s="624" t="str">
        <f>'PV (%)'!G503</f>
        <v/>
      </c>
      <c r="K501" s="623"/>
      <c r="L501" s="621" t="str">
        <f>Exposition!A502</f>
        <v/>
      </c>
      <c r="M501" s="625" t="str">
        <f>Exposition!B502</f>
        <v/>
      </c>
      <c r="N501" s="625" t="str">
        <f>Exposition!C502</f>
        <v/>
      </c>
      <c r="O501" s="625" t="str">
        <f>Exposition!D502</f>
        <v/>
      </c>
      <c r="P501" s="625" t="str">
        <f>Exposition!E502</f>
        <v/>
      </c>
      <c r="Q501" s="625" t="str">
        <f>Exposition!F502</f>
        <v/>
      </c>
      <c r="R501" s="625" t="str">
        <f>Exposition!G502</f>
        <v/>
      </c>
      <c r="S501" s="625" t="str">
        <f>Exposition!H502</f>
        <v/>
      </c>
      <c r="T501" s="625" t="str">
        <f>Exposition!I502</f>
        <v/>
      </c>
      <c r="U501" s="625" t="str">
        <f>Exposition!J502</f>
        <v/>
      </c>
      <c r="V501" s="625" t="str">
        <f>Exposition!K502</f>
        <v/>
      </c>
      <c r="W501" s="625" t="str">
        <f>Exposition!L502</f>
        <v/>
      </c>
      <c r="X501" s="625" t="str">
        <f>Exposition!M502</f>
        <v/>
      </c>
      <c r="Y501" s="625" t="str">
        <f>Exposition!N502</f>
        <v/>
      </c>
      <c r="Z501" s="625" t="str">
        <f>Exposition!O502</f>
        <v/>
      </c>
      <c r="AA501" s="625" t="str">
        <f>Exposition!P502</f>
        <v/>
      </c>
      <c r="AB501" s="625" t="str">
        <f>Exposition!Q502</f>
        <v/>
      </c>
      <c r="AC501" s="625" t="str">
        <f>Exposition!R502</f>
        <v/>
      </c>
      <c r="AD501" s="625" t="str">
        <f>Exposition!S502</f>
        <v/>
      </c>
      <c r="AE501" s="625" t="str">
        <f>Exposition!T502</f>
        <v/>
      </c>
      <c r="AF501" s="625" t="str">
        <f>Exposition!U502</f>
        <v/>
      </c>
      <c r="AG501" s="623"/>
      <c r="AH501" s="621" t="str">
        <f>PRIX!A502</f>
        <v/>
      </c>
      <c r="AI501" s="626" t="str">
        <f>PRIX!B502</f>
        <v/>
      </c>
      <c r="AJ501" s="626" t="str">
        <f>PRIX!C502</f>
        <v/>
      </c>
      <c r="AK501" s="627" t="str">
        <f>PRIX!D502</f>
        <v/>
      </c>
      <c r="AL501" s="626" t="str">
        <f>PRIX!E502</f>
        <v/>
      </c>
      <c r="AM501" s="626" t="str">
        <f>PRIX!F502</f>
        <v/>
      </c>
      <c r="AN501" s="627" t="str">
        <f>PRIX!G502</f>
        <v/>
      </c>
      <c r="AO501" s="627" t="str">
        <f>PRIX!H502</f>
        <v/>
      </c>
      <c r="AP501" s="631" t="str">
        <f>PRIX!I502</f>
        <v/>
      </c>
      <c r="AQ501" s="628" t="str">
        <f>PRIX!J502</f>
        <v/>
      </c>
      <c r="AR501" s="631" t="str">
        <f>PRIX!K502</f>
        <v/>
      </c>
      <c r="AS501" s="631" t="str">
        <f>PRIX!L502</f>
        <v/>
      </c>
      <c r="AT501" s="631" t="str">
        <f>PRIX!M502</f>
        <v/>
      </c>
      <c r="AU501" s="629" t="str">
        <f>PRIX!N502</f>
        <v/>
      </c>
      <c r="AV501" s="631" t="str">
        <f>PRIX!O502</f>
        <v/>
      </c>
      <c r="AW501" s="631" t="str">
        <f>PRIX!P502</f>
        <v/>
      </c>
      <c r="AX501" s="630" t="str">
        <f>PRIX!Q502</f>
        <v/>
      </c>
      <c r="AY501" s="631" t="str">
        <f>PRIX!R502</f>
        <v/>
      </c>
      <c r="AZ501" s="631" t="str">
        <f>PRIX!S502</f>
        <v/>
      </c>
      <c r="BA501" s="623"/>
    </row>
    <row r="502">
      <c r="A502" s="621" t="str">
        <f>ARBITRAGES!E503</f>
        <v/>
      </c>
      <c r="B502" s="623" t="str">
        <f>IF(A502="","",IF(ARBITRAGES!F503="Invest","Achat","Vente"))</f>
        <v/>
      </c>
      <c r="C502" s="623" t="str">
        <f>ARBITRAGES!H503</f>
        <v/>
      </c>
      <c r="D502" s="624" t="str">
        <f>ARBITRAGES!I503</f>
        <v/>
      </c>
      <c r="E502" s="624" t="str">
        <f>ARBITRAGES!J503</f>
        <v/>
      </c>
      <c r="F502" s="623"/>
      <c r="G502" s="623" t="str">
        <f>'PV (%)'!B504</f>
        <v/>
      </c>
      <c r="H502" s="624" t="str">
        <f>'PV (%)'!E504</f>
        <v/>
      </c>
      <c r="I502" s="624" t="str">
        <f>'PV (%)'!F504</f>
        <v/>
      </c>
      <c r="J502" s="624" t="str">
        <f>'PV (%)'!G504</f>
        <v/>
      </c>
      <c r="K502" s="623"/>
      <c r="L502" s="621" t="str">
        <f>Exposition!A503</f>
        <v/>
      </c>
      <c r="M502" s="625" t="str">
        <f>Exposition!B503</f>
        <v/>
      </c>
      <c r="N502" s="625" t="str">
        <f>Exposition!C503</f>
        <v/>
      </c>
      <c r="O502" s="625" t="str">
        <f>Exposition!D503</f>
        <v/>
      </c>
      <c r="P502" s="625" t="str">
        <f>Exposition!E503</f>
        <v/>
      </c>
      <c r="Q502" s="625" t="str">
        <f>Exposition!F503</f>
        <v/>
      </c>
      <c r="R502" s="625" t="str">
        <f>Exposition!G503</f>
        <v/>
      </c>
      <c r="S502" s="625" t="str">
        <f>Exposition!H503</f>
        <v/>
      </c>
      <c r="T502" s="625" t="str">
        <f>Exposition!I503</f>
        <v/>
      </c>
      <c r="U502" s="625" t="str">
        <f>Exposition!J503</f>
        <v/>
      </c>
      <c r="V502" s="625" t="str">
        <f>Exposition!K503</f>
        <v/>
      </c>
      <c r="W502" s="625" t="str">
        <f>Exposition!L503</f>
        <v/>
      </c>
      <c r="X502" s="625" t="str">
        <f>Exposition!M503</f>
        <v/>
      </c>
      <c r="Y502" s="625" t="str">
        <f>Exposition!N503</f>
        <v/>
      </c>
      <c r="Z502" s="625" t="str">
        <f>Exposition!O503</f>
        <v/>
      </c>
      <c r="AA502" s="625" t="str">
        <f>Exposition!P503</f>
        <v/>
      </c>
      <c r="AB502" s="625" t="str">
        <f>Exposition!Q503</f>
        <v/>
      </c>
      <c r="AC502" s="625" t="str">
        <f>Exposition!R503</f>
        <v/>
      </c>
      <c r="AD502" s="625" t="str">
        <f>Exposition!S503</f>
        <v/>
      </c>
      <c r="AE502" s="625" t="str">
        <f>Exposition!T503</f>
        <v/>
      </c>
      <c r="AF502" s="625" t="str">
        <f>Exposition!U503</f>
        <v/>
      </c>
      <c r="AG502" s="623"/>
      <c r="AH502" s="621" t="str">
        <f>PRIX!A503</f>
        <v/>
      </c>
      <c r="AI502" s="626" t="str">
        <f>PRIX!B503</f>
        <v/>
      </c>
      <c r="AJ502" s="626" t="str">
        <f>PRIX!C503</f>
        <v/>
      </c>
      <c r="AK502" s="627" t="str">
        <f>PRIX!D503</f>
        <v/>
      </c>
      <c r="AL502" s="626" t="str">
        <f>PRIX!E503</f>
        <v/>
      </c>
      <c r="AM502" s="626" t="str">
        <f>PRIX!F503</f>
        <v/>
      </c>
      <c r="AN502" s="627" t="str">
        <f>PRIX!G503</f>
        <v/>
      </c>
      <c r="AO502" s="627" t="str">
        <f>PRIX!H503</f>
        <v/>
      </c>
      <c r="AP502" s="631" t="str">
        <f>PRIX!I503</f>
        <v/>
      </c>
      <c r="AQ502" s="628" t="str">
        <f>PRIX!J503</f>
        <v/>
      </c>
      <c r="AR502" s="631" t="str">
        <f>PRIX!K503</f>
        <v/>
      </c>
      <c r="AS502" s="631" t="str">
        <f>PRIX!L503</f>
        <v/>
      </c>
      <c r="AT502" s="631" t="str">
        <f>PRIX!M503</f>
        <v/>
      </c>
      <c r="AU502" s="629" t="str">
        <f>PRIX!N503</f>
        <v/>
      </c>
      <c r="AV502" s="631" t="str">
        <f>PRIX!O503</f>
        <v/>
      </c>
      <c r="AW502" s="631" t="str">
        <f>PRIX!P503</f>
        <v/>
      </c>
      <c r="AX502" s="630" t="str">
        <f>PRIX!Q503</f>
        <v/>
      </c>
      <c r="AY502" s="631" t="str">
        <f>PRIX!R503</f>
        <v/>
      </c>
      <c r="AZ502" s="631" t="str">
        <f>PRIX!S503</f>
        <v/>
      </c>
      <c r="BA502" s="623"/>
    </row>
    <row r="503">
      <c r="A503" s="621" t="str">
        <f>ARBITRAGES!E504</f>
        <v/>
      </c>
      <c r="B503" s="623" t="str">
        <f>IF(A503="","",IF(ARBITRAGES!F504="Invest","Achat","Vente"))</f>
        <v/>
      </c>
      <c r="C503" s="623" t="str">
        <f>ARBITRAGES!H504</f>
        <v/>
      </c>
      <c r="D503" s="624" t="str">
        <f>ARBITRAGES!I504</f>
        <v/>
      </c>
      <c r="E503" s="624" t="str">
        <f>ARBITRAGES!J504</f>
        <v/>
      </c>
      <c r="F503" s="623"/>
      <c r="G503" s="623" t="str">
        <f>'PV (%)'!B505</f>
        <v/>
      </c>
      <c r="H503" s="624" t="str">
        <f>'PV (%)'!E505</f>
        <v/>
      </c>
      <c r="I503" s="624" t="str">
        <f>'PV (%)'!F505</f>
        <v/>
      </c>
      <c r="J503" s="624" t="str">
        <f>'PV (%)'!G505</f>
        <v/>
      </c>
      <c r="K503" s="623"/>
      <c r="L503" s="621" t="str">
        <f>Exposition!A504</f>
        <v/>
      </c>
      <c r="M503" s="625" t="str">
        <f>Exposition!B504</f>
        <v/>
      </c>
      <c r="N503" s="625" t="str">
        <f>Exposition!C504</f>
        <v/>
      </c>
      <c r="O503" s="625" t="str">
        <f>Exposition!D504</f>
        <v/>
      </c>
      <c r="P503" s="625" t="str">
        <f>Exposition!E504</f>
        <v/>
      </c>
      <c r="Q503" s="625" t="str">
        <f>Exposition!F504</f>
        <v/>
      </c>
      <c r="R503" s="625" t="str">
        <f>Exposition!G504</f>
        <v/>
      </c>
      <c r="S503" s="625" t="str">
        <f>Exposition!H504</f>
        <v/>
      </c>
      <c r="T503" s="625" t="str">
        <f>Exposition!I504</f>
        <v/>
      </c>
      <c r="U503" s="625" t="str">
        <f>Exposition!J504</f>
        <v/>
      </c>
      <c r="V503" s="625" t="str">
        <f>Exposition!K504</f>
        <v/>
      </c>
      <c r="W503" s="625" t="str">
        <f>Exposition!L504</f>
        <v/>
      </c>
      <c r="X503" s="625" t="str">
        <f>Exposition!M504</f>
        <v/>
      </c>
      <c r="Y503" s="625" t="str">
        <f>Exposition!N504</f>
        <v/>
      </c>
      <c r="Z503" s="625" t="str">
        <f>Exposition!O504</f>
        <v/>
      </c>
      <c r="AA503" s="625" t="str">
        <f>Exposition!P504</f>
        <v/>
      </c>
      <c r="AB503" s="625" t="str">
        <f>Exposition!Q504</f>
        <v/>
      </c>
      <c r="AC503" s="625" t="str">
        <f>Exposition!R504</f>
        <v/>
      </c>
      <c r="AD503" s="625" t="str">
        <f>Exposition!S504</f>
        <v/>
      </c>
      <c r="AE503" s="625" t="str">
        <f>Exposition!T504</f>
        <v/>
      </c>
      <c r="AF503" s="625" t="str">
        <f>Exposition!U504</f>
        <v/>
      </c>
      <c r="AG503" s="623"/>
      <c r="AH503" s="621" t="str">
        <f>PRIX!A504</f>
        <v/>
      </c>
      <c r="AI503" s="626" t="str">
        <f>PRIX!B504</f>
        <v/>
      </c>
      <c r="AJ503" s="626" t="str">
        <f>PRIX!C504</f>
        <v/>
      </c>
      <c r="AK503" s="627" t="str">
        <f>PRIX!D504</f>
        <v/>
      </c>
      <c r="AL503" s="626" t="str">
        <f>PRIX!E504</f>
        <v/>
      </c>
      <c r="AM503" s="626" t="str">
        <f>PRIX!F504</f>
        <v/>
      </c>
      <c r="AN503" s="627" t="str">
        <f>PRIX!G504</f>
        <v/>
      </c>
      <c r="AO503" s="627" t="str">
        <f>PRIX!H504</f>
        <v/>
      </c>
      <c r="AP503" s="631" t="str">
        <f>PRIX!I504</f>
        <v/>
      </c>
      <c r="AQ503" s="628" t="str">
        <f>PRIX!J504</f>
        <v/>
      </c>
      <c r="AR503" s="631" t="str">
        <f>PRIX!K504</f>
        <v/>
      </c>
      <c r="AS503" s="631" t="str">
        <f>PRIX!L504</f>
        <v/>
      </c>
      <c r="AT503" s="631" t="str">
        <f>PRIX!M504</f>
        <v/>
      </c>
      <c r="AU503" s="629" t="str">
        <f>PRIX!N504</f>
        <v/>
      </c>
      <c r="AV503" s="631" t="str">
        <f>PRIX!O504</f>
        <v/>
      </c>
      <c r="AW503" s="631" t="str">
        <f>PRIX!P504</f>
        <v/>
      </c>
      <c r="AX503" s="630" t="str">
        <f>PRIX!Q504</f>
        <v/>
      </c>
      <c r="AY503" s="631" t="str">
        <f>PRIX!R504</f>
        <v/>
      </c>
      <c r="AZ503" s="631" t="str">
        <f>PRIX!S504</f>
        <v/>
      </c>
      <c r="BA503" s="623"/>
    </row>
    <row r="504">
      <c r="A504" s="621" t="str">
        <f>ARBITRAGES!E505</f>
        <v/>
      </c>
      <c r="B504" s="623" t="str">
        <f>IF(A504="","",IF(ARBITRAGES!F505="Invest","Achat","Vente"))</f>
        <v/>
      </c>
      <c r="C504" s="623" t="str">
        <f>ARBITRAGES!H505</f>
        <v/>
      </c>
      <c r="D504" s="624" t="str">
        <f>ARBITRAGES!I505</f>
        <v/>
      </c>
      <c r="E504" s="624" t="str">
        <f>ARBITRAGES!J505</f>
        <v/>
      </c>
      <c r="F504" s="623"/>
      <c r="G504" s="623" t="str">
        <f>'PV (%)'!B506</f>
        <v/>
      </c>
      <c r="H504" s="624" t="str">
        <f>'PV (%)'!E506</f>
        <v/>
      </c>
      <c r="I504" s="624" t="str">
        <f>'PV (%)'!F506</f>
        <v/>
      </c>
      <c r="J504" s="624" t="str">
        <f>'PV (%)'!G506</f>
        <v/>
      </c>
      <c r="K504" s="623"/>
      <c r="L504" s="621" t="str">
        <f>Exposition!A505</f>
        <v/>
      </c>
      <c r="M504" s="625" t="str">
        <f>Exposition!B505</f>
        <v/>
      </c>
      <c r="N504" s="625" t="str">
        <f>Exposition!C505</f>
        <v/>
      </c>
      <c r="O504" s="625" t="str">
        <f>Exposition!D505</f>
        <v/>
      </c>
      <c r="P504" s="625" t="str">
        <f>Exposition!E505</f>
        <v/>
      </c>
      <c r="Q504" s="625" t="str">
        <f>Exposition!F505</f>
        <v/>
      </c>
      <c r="R504" s="625" t="str">
        <f>Exposition!G505</f>
        <v/>
      </c>
      <c r="S504" s="625" t="str">
        <f>Exposition!H505</f>
        <v/>
      </c>
      <c r="T504" s="625" t="str">
        <f>Exposition!I505</f>
        <v/>
      </c>
      <c r="U504" s="625" t="str">
        <f>Exposition!J505</f>
        <v/>
      </c>
      <c r="V504" s="625" t="str">
        <f>Exposition!K505</f>
        <v/>
      </c>
      <c r="W504" s="625" t="str">
        <f>Exposition!L505</f>
        <v/>
      </c>
      <c r="X504" s="625" t="str">
        <f>Exposition!M505</f>
        <v/>
      </c>
      <c r="Y504" s="625" t="str">
        <f>Exposition!N505</f>
        <v/>
      </c>
      <c r="Z504" s="625" t="str">
        <f>Exposition!O505</f>
        <v/>
      </c>
      <c r="AA504" s="625" t="str">
        <f>Exposition!P505</f>
        <v/>
      </c>
      <c r="AB504" s="625" t="str">
        <f>Exposition!Q505</f>
        <v/>
      </c>
      <c r="AC504" s="625" t="str">
        <f>Exposition!R505</f>
        <v/>
      </c>
      <c r="AD504" s="625" t="str">
        <f>Exposition!S505</f>
        <v/>
      </c>
      <c r="AE504" s="625" t="str">
        <f>Exposition!T505</f>
        <v/>
      </c>
      <c r="AF504" s="625" t="str">
        <f>Exposition!U505</f>
        <v/>
      </c>
      <c r="AG504" s="623"/>
      <c r="AH504" s="621" t="str">
        <f>PRIX!A505</f>
        <v/>
      </c>
      <c r="AI504" s="626" t="str">
        <f>PRIX!B505</f>
        <v/>
      </c>
      <c r="AJ504" s="626" t="str">
        <f>PRIX!C505</f>
        <v/>
      </c>
      <c r="AK504" s="627" t="str">
        <f>PRIX!D505</f>
        <v/>
      </c>
      <c r="AL504" s="626" t="str">
        <f>PRIX!E505</f>
        <v/>
      </c>
      <c r="AM504" s="626" t="str">
        <f>PRIX!F505</f>
        <v/>
      </c>
      <c r="AN504" s="627" t="str">
        <f>PRIX!G505</f>
        <v/>
      </c>
      <c r="AO504" s="627" t="str">
        <f>PRIX!H505</f>
        <v/>
      </c>
      <c r="AP504" s="631" t="str">
        <f>PRIX!I505</f>
        <v/>
      </c>
      <c r="AQ504" s="628" t="str">
        <f>PRIX!J505</f>
        <v/>
      </c>
      <c r="AR504" s="631" t="str">
        <f>PRIX!K505</f>
        <v/>
      </c>
      <c r="AS504" s="631" t="str">
        <f>PRIX!L505</f>
        <v/>
      </c>
      <c r="AT504" s="631" t="str">
        <f>PRIX!M505</f>
        <v/>
      </c>
      <c r="AU504" s="629" t="str">
        <f>PRIX!N505</f>
        <v/>
      </c>
      <c r="AV504" s="631" t="str">
        <f>PRIX!O505</f>
        <v/>
      </c>
      <c r="AW504" s="631" t="str">
        <f>PRIX!P505</f>
        <v/>
      </c>
      <c r="AX504" s="630" t="str">
        <f>PRIX!Q505</f>
        <v/>
      </c>
      <c r="AY504" s="631" t="str">
        <f>PRIX!R505</f>
        <v/>
      </c>
      <c r="AZ504" s="631" t="str">
        <f>PRIX!S505</f>
        <v/>
      </c>
      <c r="BA504" s="623"/>
    </row>
    <row r="505">
      <c r="A505" s="621" t="str">
        <f>ARBITRAGES!E506</f>
        <v/>
      </c>
      <c r="B505" s="623" t="str">
        <f>IF(A505="","",IF(ARBITRAGES!F506="Invest","Achat","Vente"))</f>
        <v/>
      </c>
      <c r="C505" s="623" t="str">
        <f>ARBITRAGES!H506</f>
        <v/>
      </c>
      <c r="D505" s="624" t="str">
        <f>ARBITRAGES!I506</f>
        <v/>
      </c>
      <c r="E505" s="624" t="str">
        <f>ARBITRAGES!J506</f>
        <v/>
      </c>
      <c r="F505" s="623"/>
      <c r="G505" s="623" t="str">
        <f>'PV (%)'!B507</f>
        <v/>
      </c>
      <c r="H505" s="624" t="str">
        <f>'PV (%)'!E507</f>
        <v/>
      </c>
      <c r="I505" s="624" t="str">
        <f>'PV (%)'!F507</f>
        <v/>
      </c>
      <c r="J505" s="624" t="str">
        <f>'PV (%)'!G507</f>
        <v/>
      </c>
      <c r="K505" s="623"/>
      <c r="L505" s="621" t="str">
        <f>Exposition!A506</f>
        <v/>
      </c>
      <c r="M505" s="625" t="str">
        <f>Exposition!B506</f>
        <v/>
      </c>
      <c r="N505" s="625" t="str">
        <f>Exposition!C506</f>
        <v/>
      </c>
      <c r="O505" s="625" t="str">
        <f>Exposition!D506</f>
        <v/>
      </c>
      <c r="P505" s="625" t="str">
        <f>Exposition!E506</f>
        <v/>
      </c>
      <c r="Q505" s="625" t="str">
        <f>Exposition!F506</f>
        <v/>
      </c>
      <c r="R505" s="625" t="str">
        <f>Exposition!G506</f>
        <v/>
      </c>
      <c r="S505" s="625" t="str">
        <f>Exposition!H506</f>
        <v/>
      </c>
      <c r="T505" s="625" t="str">
        <f>Exposition!I506</f>
        <v/>
      </c>
      <c r="U505" s="625" t="str">
        <f>Exposition!J506</f>
        <v/>
      </c>
      <c r="V505" s="625" t="str">
        <f>Exposition!K506</f>
        <v/>
      </c>
      <c r="W505" s="625" t="str">
        <f>Exposition!L506</f>
        <v/>
      </c>
      <c r="X505" s="625" t="str">
        <f>Exposition!M506</f>
        <v/>
      </c>
      <c r="Y505" s="625" t="str">
        <f>Exposition!N506</f>
        <v/>
      </c>
      <c r="Z505" s="625" t="str">
        <f>Exposition!O506</f>
        <v/>
      </c>
      <c r="AA505" s="625" t="str">
        <f>Exposition!P506</f>
        <v/>
      </c>
      <c r="AB505" s="625" t="str">
        <f>Exposition!Q506</f>
        <v/>
      </c>
      <c r="AC505" s="625" t="str">
        <f>Exposition!R506</f>
        <v/>
      </c>
      <c r="AD505" s="625" t="str">
        <f>Exposition!S506</f>
        <v/>
      </c>
      <c r="AE505" s="625" t="str">
        <f>Exposition!T506</f>
        <v/>
      </c>
      <c r="AF505" s="625" t="str">
        <f>Exposition!U506</f>
        <v/>
      </c>
      <c r="AG505" s="623"/>
      <c r="AH505" s="621" t="str">
        <f>PRIX!A506</f>
        <v/>
      </c>
      <c r="AI505" s="626" t="str">
        <f>PRIX!B506</f>
        <v/>
      </c>
      <c r="AJ505" s="626" t="str">
        <f>PRIX!C506</f>
        <v/>
      </c>
      <c r="AK505" s="627" t="str">
        <f>PRIX!D506</f>
        <v/>
      </c>
      <c r="AL505" s="626" t="str">
        <f>PRIX!E506</f>
        <v/>
      </c>
      <c r="AM505" s="626" t="str">
        <f>PRIX!F506</f>
        <v/>
      </c>
      <c r="AN505" s="627" t="str">
        <f>PRIX!G506</f>
        <v/>
      </c>
      <c r="AO505" s="627" t="str">
        <f>PRIX!H506</f>
        <v/>
      </c>
      <c r="AP505" s="631" t="str">
        <f>PRIX!I506</f>
        <v/>
      </c>
      <c r="AQ505" s="628" t="str">
        <f>PRIX!J506</f>
        <v/>
      </c>
      <c r="AR505" s="631" t="str">
        <f>PRIX!K506</f>
        <v/>
      </c>
      <c r="AS505" s="631" t="str">
        <f>PRIX!L506</f>
        <v/>
      </c>
      <c r="AT505" s="631" t="str">
        <f>PRIX!M506</f>
        <v/>
      </c>
      <c r="AU505" s="629" t="str">
        <f>PRIX!N506</f>
        <v/>
      </c>
      <c r="AV505" s="631" t="str">
        <f>PRIX!O506</f>
        <v/>
      </c>
      <c r="AW505" s="631" t="str">
        <f>PRIX!P506</f>
        <v/>
      </c>
      <c r="AX505" s="630" t="str">
        <f>PRIX!Q506</f>
        <v/>
      </c>
      <c r="AY505" s="631" t="str">
        <f>PRIX!R506</f>
        <v/>
      </c>
      <c r="AZ505" s="631" t="str">
        <f>PRIX!S506</f>
        <v/>
      </c>
      <c r="BA505" s="623"/>
    </row>
    <row r="506">
      <c r="A506" s="621" t="str">
        <f>ARBITRAGES!E507</f>
        <v/>
      </c>
      <c r="B506" s="623" t="str">
        <f>IF(A506="","",IF(ARBITRAGES!F507="Invest","Achat","Vente"))</f>
        <v/>
      </c>
      <c r="C506" s="623" t="str">
        <f>ARBITRAGES!H507</f>
        <v/>
      </c>
      <c r="D506" s="624" t="str">
        <f>ARBITRAGES!I507</f>
        <v/>
      </c>
      <c r="E506" s="624" t="str">
        <f>ARBITRAGES!J507</f>
        <v/>
      </c>
      <c r="F506" s="623"/>
      <c r="G506" s="623" t="str">
        <f>'PV (%)'!B508</f>
        <v/>
      </c>
      <c r="H506" s="624" t="str">
        <f>'PV (%)'!E508</f>
        <v/>
      </c>
      <c r="I506" s="624" t="str">
        <f>'PV (%)'!F508</f>
        <v/>
      </c>
      <c r="J506" s="624" t="str">
        <f>'PV (%)'!G508</f>
        <v/>
      </c>
      <c r="K506" s="623"/>
      <c r="L506" s="621" t="str">
        <f>Exposition!A507</f>
        <v/>
      </c>
      <c r="M506" s="625" t="str">
        <f>Exposition!B507</f>
        <v/>
      </c>
      <c r="N506" s="625" t="str">
        <f>Exposition!C507</f>
        <v/>
      </c>
      <c r="O506" s="625" t="str">
        <f>Exposition!D507</f>
        <v/>
      </c>
      <c r="P506" s="625" t="str">
        <f>Exposition!E507</f>
        <v/>
      </c>
      <c r="Q506" s="625" t="str">
        <f>Exposition!F507</f>
        <v/>
      </c>
      <c r="R506" s="625" t="str">
        <f>Exposition!G507</f>
        <v/>
      </c>
      <c r="S506" s="625" t="str">
        <f>Exposition!H507</f>
        <v/>
      </c>
      <c r="T506" s="625" t="str">
        <f>Exposition!I507</f>
        <v/>
      </c>
      <c r="U506" s="625" t="str">
        <f>Exposition!J507</f>
        <v/>
      </c>
      <c r="V506" s="625" t="str">
        <f>Exposition!K507</f>
        <v/>
      </c>
      <c r="W506" s="625" t="str">
        <f>Exposition!L507</f>
        <v/>
      </c>
      <c r="X506" s="625" t="str">
        <f>Exposition!M507</f>
        <v/>
      </c>
      <c r="Y506" s="625" t="str">
        <f>Exposition!N507</f>
        <v/>
      </c>
      <c r="Z506" s="625" t="str">
        <f>Exposition!O507</f>
        <v/>
      </c>
      <c r="AA506" s="625" t="str">
        <f>Exposition!P507</f>
        <v/>
      </c>
      <c r="AB506" s="625" t="str">
        <f>Exposition!Q507</f>
        <v/>
      </c>
      <c r="AC506" s="625" t="str">
        <f>Exposition!R507</f>
        <v/>
      </c>
      <c r="AD506" s="625" t="str">
        <f>Exposition!S507</f>
        <v/>
      </c>
      <c r="AE506" s="625" t="str">
        <f>Exposition!T507</f>
        <v/>
      </c>
      <c r="AF506" s="625" t="str">
        <f>Exposition!U507</f>
        <v/>
      </c>
      <c r="AG506" s="623"/>
      <c r="AH506" s="621" t="str">
        <f>PRIX!A507</f>
        <v/>
      </c>
      <c r="AI506" s="626" t="str">
        <f>PRIX!B507</f>
        <v/>
      </c>
      <c r="AJ506" s="626" t="str">
        <f>PRIX!C507</f>
        <v/>
      </c>
      <c r="AK506" s="627" t="str">
        <f>PRIX!D507</f>
        <v/>
      </c>
      <c r="AL506" s="626" t="str">
        <f>PRIX!E507</f>
        <v/>
      </c>
      <c r="AM506" s="626" t="str">
        <f>PRIX!F507</f>
        <v/>
      </c>
      <c r="AN506" s="627" t="str">
        <f>PRIX!G507</f>
        <v/>
      </c>
      <c r="AO506" s="627" t="str">
        <f>PRIX!H507</f>
        <v/>
      </c>
      <c r="AP506" s="631" t="str">
        <f>PRIX!I507</f>
        <v/>
      </c>
      <c r="AQ506" s="628" t="str">
        <f>PRIX!J507</f>
        <v/>
      </c>
      <c r="AR506" s="631" t="str">
        <f>PRIX!K507</f>
        <v/>
      </c>
      <c r="AS506" s="631" t="str">
        <f>PRIX!L507</f>
        <v/>
      </c>
      <c r="AT506" s="631" t="str">
        <f>PRIX!M507</f>
        <v/>
      </c>
      <c r="AU506" s="629" t="str">
        <f>PRIX!N507</f>
        <v/>
      </c>
      <c r="AV506" s="631" t="str">
        <f>PRIX!O507</f>
        <v/>
      </c>
      <c r="AW506" s="631" t="str">
        <f>PRIX!P507</f>
        <v/>
      </c>
      <c r="AX506" s="630" t="str">
        <f>PRIX!Q507</f>
        <v/>
      </c>
      <c r="AY506" s="631" t="str">
        <f>PRIX!R507</f>
        <v/>
      </c>
      <c r="AZ506" s="631" t="str">
        <f>PRIX!S507</f>
        <v/>
      </c>
      <c r="BA506" s="623"/>
    </row>
    <row r="507">
      <c r="A507" s="621" t="str">
        <f>ARBITRAGES!E508</f>
        <v/>
      </c>
      <c r="B507" s="623" t="str">
        <f>IF(A507="","",IF(ARBITRAGES!F508="Invest","Achat","Vente"))</f>
        <v/>
      </c>
      <c r="C507" s="623" t="str">
        <f>ARBITRAGES!H508</f>
        <v/>
      </c>
      <c r="D507" s="624" t="str">
        <f>ARBITRAGES!I508</f>
        <v/>
      </c>
      <c r="E507" s="624" t="str">
        <f>ARBITRAGES!J508</f>
        <v/>
      </c>
      <c r="F507" s="623"/>
      <c r="G507" s="623" t="str">
        <f>'PV (%)'!B509</f>
        <v/>
      </c>
      <c r="H507" s="624" t="str">
        <f>'PV (%)'!E509</f>
        <v/>
      </c>
      <c r="I507" s="624" t="str">
        <f>'PV (%)'!F509</f>
        <v/>
      </c>
      <c r="J507" s="624" t="str">
        <f>'PV (%)'!G509</f>
        <v/>
      </c>
      <c r="K507" s="623"/>
      <c r="L507" s="621" t="str">
        <f>Exposition!A508</f>
        <v/>
      </c>
      <c r="M507" s="625" t="str">
        <f>Exposition!B508</f>
        <v/>
      </c>
      <c r="N507" s="625" t="str">
        <f>Exposition!C508</f>
        <v/>
      </c>
      <c r="O507" s="625" t="str">
        <f>Exposition!D508</f>
        <v/>
      </c>
      <c r="P507" s="625" t="str">
        <f>Exposition!E508</f>
        <v/>
      </c>
      <c r="Q507" s="625" t="str">
        <f>Exposition!F508</f>
        <v/>
      </c>
      <c r="R507" s="625" t="str">
        <f>Exposition!G508</f>
        <v/>
      </c>
      <c r="S507" s="625" t="str">
        <f>Exposition!H508</f>
        <v/>
      </c>
      <c r="T507" s="625" t="str">
        <f>Exposition!I508</f>
        <v/>
      </c>
      <c r="U507" s="625" t="str">
        <f>Exposition!J508</f>
        <v/>
      </c>
      <c r="V507" s="625" t="str">
        <f>Exposition!K508</f>
        <v/>
      </c>
      <c r="W507" s="625" t="str">
        <f>Exposition!L508</f>
        <v/>
      </c>
      <c r="X507" s="625" t="str">
        <f>Exposition!M508</f>
        <v/>
      </c>
      <c r="Y507" s="625" t="str">
        <f>Exposition!N508</f>
        <v/>
      </c>
      <c r="Z507" s="625" t="str">
        <f>Exposition!O508</f>
        <v/>
      </c>
      <c r="AA507" s="625" t="str">
        <f>Exposition!P508</f>
        <v/>
      </c>
      <c r="AB507" s="625" t="str">
        <f>Exposition!Q508</f>
        <v/>
      </c>
      <c r="AC507" s="625" t="str">
        <f>Exposition!R508</f>
        <v/>
      </c>
      <c r="AD507" s="625" t="str">
        <f>Exposition!S508</f>
        <v/>
      </c>
      <c r="AE507" s="625" t="str">
        <f>Exposition!T508</f>
        <v/>
      </c>
      <c r="AF507" s="625" t="str">
        <f>Exposition!U508</f>
        <v/>
      </c>
      <c r="AG507" s="623"/>
      <c r="AH507" s="621" t="str">
        <f>PRIX!A508</f>
        <v/>
      </c>
      <c r="AI507" s="626" t="str">
        <f>PRIX!B508</f>
        <v/>
      </c>
      <c r="AJ507" s="626" t="str">
        <f>PRIX!C508</f>
        <v/>
      </c>
      <c r="AK507" s="627" t="str">
        <f>PRIX!D508</f>
        <v/>
      </c>
      <c r="AL507" s="626" t="str">
        <f>PRIX!E508</f>
        <v/>
      </c>
      <c r="AM507" s="626" t="str">
        <f>PRIX!F508</f>
        <v/>
      </c>
      <c r="AN507" s="627" t="str">
        <f>PRIX!G508</f>
        <v/>
      </c>
      <c r="AO507" s="627" t="str">
        <f>PRIX!H508</f>
        <v/>
      </c>
      <c r="AP507" s="631" t="str">
        <f>PRIX!I508</f>
        <v/>
      </c>
      <c r="AQ507" s="628" t="str">
        <f>PRIX!J508</f>
        <v/>
      </c>
      <c r="AR507" s="631" t="str">
        <f>PRIX!K508</f>
        <v/>
      </c>
      <c r="AS507" s="631" t="str">
        <f>PRIX!L508</f>
        <v/>
      </c>
      <c r="AT507" s="631" t="str">
        <f>PRIX!M508</f>
        <v/>
      </c>
      <c r="AU507" s="629" t="str">
        <f>PRIX!N508</f>
        <v/>
      </c>
      <c r="AV507" s="631" t="str">
        <f>PRIX!O508</f>
        <v/>
      </c>
      <c r="AW507" s="631" t="str">
        <f>PRIX!P508</f>
        <v/>
      </c>
      <c r="AX507" s="630" t="str">
        <f>PRIX!Q508</f>
        <v/>
      </c>
      <c r="AY507" s="631" t="str">
        <f>PRIX!R508</f>
        <v/>
      </c>
      <c r="AZ507" s="631" t="str">
        <f>PRIX!S508</f>
        <v/>
      </c>
      <c r="BA507" s="623"/>
    </row>
    <row r="508">
      <c r="A508" s="621" t="str">
        <f>ARBITRAGES!E509</f>
        <v/>
      </c>
      <c r="B508" s="623" t="str">
        <f>IF(A508="","",IF(ARBITRAGES!F509="Invest","Achat","Vente"))</f>
        <v/>
      </c>
      <c r="C508" s="623" t="str">
        <f>ARBITRAGES!H509</f>
        <v/>
      </c>
      <c r="D508" s="624" t="str">
        <f>ARBITRAGES!I509</f>
        <v/>
      </c>
      <c r="E508" s="624" t="str">
        <f>ARBITRAGES!J509</f>
        <v/>
      </c>
      <c r="F508" s="623"/>
      <c r="G508" s="623" t="str">
        <f>'PV (%)'!B510</f>
        <v/>
      </c>
      <c r="H508" s="624" t="str">
        <f>'PV (%)'!E510</f>
        <v/>
      </c>
      <c r="I508" s="624" t="str">
        <f>'PV (%)'!F510</f>
        <v/>
      </c>
      <c r="J508" s="624" t="str">
        <f>'PV (%)'!G510</f>
        <v/>
      </c>
      <c r="K508" s="623"/>
      <c r="L508" s="621" t="str">
        <f>Exposition!A509</f>
        <v/>
      </c>
      <c r="M508" s="625" t="str">
        <f>Exposition!B509</f>
        <v/>
      </c>
      <c r="N508" s="625" t="str">
        <f>Exposition!C509</f>
        <v/>
      </c>
      <c r="O508" s="625" t="str">
        <f>Exposition!D509</f>
        <v/>
      </c>
      <c r="P508" s="625" t="str">
        <f>Exposition!E509</f>
        <v/>
      </c>
      <c r="Q508" s="625" t="str">
        <f>Exposition!F509</f>
        <v/>
      </c>
      <c r="R508" s="625" t="str">
        <f>Exposition!G509</f>
        <v/>
      </c>
      <c r="S508" s="625" t="str">
        <f>Exposition!H509</f>
        <v/>
      </c>
      <c r="T508" s="625" t="str">
        <f>Exposition!I509</f>
        <v/>
      </c>
      <c r="U508" s="625" t="str">
        <f>Exposition!J509</f>
        <v/>
      </c>
      <c r="V508" s="625" t="str">
        <f>Exposition!K509</f>
        <v/>
      </c>
      <c r="W508" s="625" t="str">
        <f>Exposition!L509</f>
        <v/>
      </c>
      <c r="X508" s="625" t="str">
        <f>Exposition!M509</f>
        <v/>
      </c>
      <c r="Y508" s="625" t="str">
        <f>Exposition!N509</f>
        <v/>
      </c>
      <c r="Z508" s="625" t="str">
        <f>Exposition!O509</f>
        <v/>
      </c>
      <c r="AA508" s="625" t="str">
        <f>Exposition!P509</f>
        <v/>
      </c>
      <c r="AB508" s="625" t="str">
        <f>Exposition!Q509</f>
        <v/>
      </c>
      <c r="AC508" s="625" t="str">
        <f>Exposition!R509</f>
        <v/>
      </c>
      <c r="AD508" s="625" t="str">
        <f>Exposition!S509</f>
        <v/>
      </c>
      <c r="AE508" s="625" t="str">
        <f>Exposition!T509</f>
        <v/>
      </c>
      <c r="AF508" s="625" t="str">
        <f>Exposition!U509</f>
        <v/>
      </c>
      <c r="AG508" s="623"/>
      <c r="AH508" s="621" t="str">
        <f>PRIX!A509</f>
        <v/>
      </c>
      <c r="AI508" s="626" t="str">
        <f>PRIX!B509</f>
        <v/>
      </c>
      <c r="AJ508" s="626" t="str">
        <f>PRIX!C509</f>
        <v/>
      </c>
      <c r="AK508" s="627" t="str">
        <f>PRIX!D509</f>
        <v/>
      </c>
      <c r="AL508" s="626" t="str">
        <f>PRIX!E509</f>
        <v/>
      </c>
      <c r="AM508" s="626" t="str">
        <f>PRIX!F509</f>
        <v/>
      </c>
      <c r="AN508" s="627" t="str">
        <f>PRIX!G509</f>
        <v/>
      </c>
      <c r="AO508" s="627" t="str">
        <f>PRIX!H509</f>
        <v/>
      </c>
      <c r="AP508" s="631" t="str">
        <f>PRIX!I509</f>
        <v/>
      </c>
      <c r="AQ508" s="628" t="str">
        <f>PRIX!J509</f>
        <v/>
      </c>
      <c r="AR508" s="631" t="str">
        <f>PRIX!K509</f>
        <v/>
      </c>
      <c r="AS508" s="631" t="str">
        <f>PRIX!L509</f>
        <v/>
      </c>
      <c r="AT508" s="631" t="str">
        <f>PRIX!M509</f>
        <v/>
      </c>
      <c r="AU508" s="629" t="str">
        <f>PRIX!N509</f>
        <v/>
      </c>
      <c r="AV508" s="631" t="str">
        <f>PRIX!O509</f>
        <v/>
      </c>
      <c r="AW508" s="631" t="str">
        <f>PRIX!P509</f>
        <v/>
      </c>
      <c r="AX508" s="630" t="str">
        <f>PRIX!Q509</f>
        <v/>
      </c>
      <c r="AY508" s="631" t="str">
        <f>PRIX!R509</f>
        <v/>
      </c>
      <c r="AZ508" s="631" t="str">
        <f>PRIX!S509</f>
        <v/>
      </c>
      <c r="BA508" s="623"/>
    </row>
    <row r="509">
      <c r="A509" s="621" t="str">
        <f>ARBITRAGES!E510</f>
        <v/>
      </c>
      <c r="B509" s="623" t="str">
        <f>IF(A509="","",IF(ARBITRAGES!F510="Invest","Achat","Vente"))</f>
        <v/>
      </c>
      <c r="C509" s="623" t="str">
        <f>ARBITRAGES!H510</f>
        <v/>
      </c>
      <c r="D509" s="624" t="str">
        <f>ARBITRAGES!I510</f>
        <v/>
      </c>
      <c r="E509" s="624" t="str">
        <f>ARBITRAGES!J510</f>
        <v/>
      </c>
      <c r="F509" s="623"/>
      <c r="G509" s="623" t="str">
        <f>'PV (%)'!B511</f>
        <v/>
      </c>
      <c r="H509" s="624" t="str">
        <f>'PV (%)'!E511</f>
        <v/>
      </c>
      <c r="I509" s="624" t="str">
        <f>'PV (%)'!F511</f>
        <v/>
      </c>
      <c r="J509" s="624" t="str">
        <f>'PV (%)'!G511</f>
        <v/>
      </c>
      <c r="K509" s="623"/>
      <c r="L509" s="621" t="str">
        <f>Exposition!A510</f>
        <v/>
      </c>
      <c r="M509" s="625" t="str">
        <f>Exposition!B510</f>
        <v/>
      </c>
      <c r="N509" s="625" t="str">
        <f>Exposition!C510</f>
        <v/>
      </c>
      <c r="O509" s="625" t="str">
        <f>Exposition!D510</f>
        <v/>
      </c>
      <c r="P509" s="625" t="str">
        <f>Exposition!E510</f>
        <v/>
      </c>
      <c r="Q509" s="625" t="str">
        <f>Exposition!F510</f>
        <v/>
      </c>
      <c r="R509" s="625" t="str">
        <f>Exposition!G510</f>
        <v/>
      </c>
      <c r="S509" s="625" t="str">
        <f>Exposition!H510</f>
        <v/>
      </c>
      <c r="T509" s="625" t="str">
        <f>Exposition!I510</f>
        <v/>
      </c>
      <c r="U509" s="625" t="str">
        <f>Exposition!J510</f>
        <v/>
      </c>
      <c r="V509" s="625" t="str">
        <f>Exposition!K510</f>
        <v/>
      </c>
      <c r="W509" s="625" t="str">
        <f>Exposition!L510</f>
        <v/>
      </c>
      <c r="X509" s="625" t="str">
        <f>Exposition!M510</f>
        <v/>
      </c>
      <c r="Y509" s="625" t="str">
        <f>Exposition!N510</f>
        <v/>
      </c>
      <c r="Z509" s="625" t="str">
        <f>Exposition!O510</f>
        <v/>
      </c>
      <c r="AA509" s="625" t="str">
        <f>Exposition!P510</f>
        <v/>
      </c>
      <c r="AB509" s="625" t="str">
        <f>Exposition!Q510</f>
        <v/>
      </c>
      <c r="AC509" s="625" t="str">
        <f>Exposition!R510</f>
        <v/>
      </c>
      <c r="AD509" s="625" t="str">
        <f>Exposition!S510</f>
        <v/>
      </c>
      <c r="AE509" s="625" t="str">
        <f>Exposition!T510</f>
        <v/>
      </c>
      <c r="AF509" s="625" t="str">
        <f>Exposition!U510</f>
        <v/>
      </c>
      <c r="AG509" s="623"/>
      <c r="AH509" s="621" t="str">
        <f>PRIX!A510</f>
        <v/>
      </c>
      <c r="AI509" s="626" t="str">
        <f>PRIX!B510</f>
        <v/>
      </c>
      <c r="AJ509" s="626" t="str">
        <f>PRIX!C510</f>
        <v/>
      </c>
      <c r="AK509" s="627" t="str">
        <f>PRIX!D510</f>
        <v/>
      </c>
      <c r="AL509" s="626" t="str">
        <f>PRIX!E510</f>
        <v/>
      </c>
      <c r="AM509" s="626" t="str">
        <f>PRIX!F510</f>
        <v/>
      </c>
      <c r="AN509" s="627" t="str">
        <f>PRIX!G510</f>
        <v/>
      </c>
      <c r="AO509" s="627" t="str">
        <f>PRIX!H510</f>
        <v/>
      </c>
      <c r="AP509" s="631" t="str">
        <f>PRIX!I510</f>
        <v/>
      </c>
      <c r="AQ509" s="628" t="str">
        <f>PRIX!J510</f>
        <v/>
      </c>
      <c r="AR509" s="631" t="str">
        <f>PRIX!K510</f>
        <v/>
      </c>
      <c r="AS509" s="631" t="str">
        <f>PRIX!L510</f>
        <v/>
      </c>
      <c r="AT509" s="631" t="str">
        <f>PRIX!M510</f>
        <v/>
      </c>
      <c r="AU509" s="629" t="str">
        <f>PRIX!N510</f>
        <v/>
      </c>
      <c r="AV509" s="631" t="str">
        <f>PRIX!O510</f>
        <v/>
      </c>
      <c r="AW509" s="631" t="str">
        <f>PRIX!P510</f>
        <v/>
      </c>
      <c r="AX509" s="630" t="str">
        <f>PRIX!Q510</f>
        <v/>
      </c>
      <c r="AY509" s="631" t="str">
        <f>PRIX!R510</f>
        <v/>
      </c>
      <c r="AZ509" s="631" t="str">
        <f>PRIX!S510</f>
        <v/>
      </c>
      <c r="BA509" s="623"/>
    </row>
    <row r="510">
      <c r="A510" s="621" t="str">
        <f>ARBITRAGES!E511</f>
        <v/>
      </c>
      <c r="B510" s="623" t="str">
        <f>IF(A510="","",IF(ARBITRAGES!F511="Invest","Achat","Vente"))</f>
        <v/>
      </c>
      <c r="C510" s="623" t="str">
        <f>ARBITRAGES!H511</f>
        <v/>
      </c>
      <c r="D510" s="624" t="str">
        <f>ARBITRAGES!I511</f>
        <v/>
      </c>
      <c r="E510" s="624" t="str">
        <f>ARBITRAGES!J511</f>
        <v/>
      </c>
      <c r="F510" s="623"/>
      <c r="G510" s="623" t="str">
        <f>'PV (%)'!B512</f>
        <v/>
      </c>
      <c r="H510" s="624" t="str">
        <f>'PV (%)'!E512</f>
        <v/>
      </c>
      <c r="I510" s="624" t="str">
        <f>'PV (%)'!F512</f>
        <v/>
      </c>
      <c r="J510" s="624" t="str">
        <f>'PV (%)'!G512</f>
        <v/>
      </c>
      <c r="K510" s="623"/>
      <c r="L510" s="621" t="str">
        <f>Exposition!A511</f>
        <v/>
      </c>
      <c r="M510" s="625" t="str">
        <f>Exposition!B511</f>
        <v/>
      </c>
      <c r="N510" s="625" t="str">
        <f>Exposition!C511</f>
        <v/>
      </c>
      <c r="O510" s="625" t="str">
        <f>Exposition!D511</f>
        <v/>
      </c>
      <c r="P510" s="625" t="str">
        <f>Exposition!E511</f>
        <v/>
      </c>
      <c r="Q510" s="625" t="str">
        <f>Exposition!F511</f>
        <v/>
      </c>
      <c r="R510" s="625" t="str">
        <f>Exposition!G511</f>
        <v/>
      </c>
      <c r="S510" s="625" t="str">
        <f>Exposition!H511</f>
        <v/>
      </c>
      <c r="T510" s="625" t="str">
        <f>Exposition!I511</f>
        <v/>
      </c>
      <c r="U510" s="625" t="str">
        <f>Exposition!J511</f>
        <v/>
      </c>
      <c r="V510" s="625" t="str">
        <f>Exposition!K511</f>
        <v/>
      </c>
      <c r="W510" s="625" t="str">
        <f>Exposition!L511</f>
        <v/>
      </c>
      <c r="X510" s="625" t="str">
        <f>Exposition!M511</f>
        <v/>
      </c>
      <c r="Y510" s="625" t="str">
        <f>Exposition!N511</f>
        <v/>
      </c>
      <c r="Z510" s="625" t="str">
        <f>Exposition!O511</f>
        <v/>
      </c>
      <c r="AA510" s="625" t="str">
        <f>Exposition!P511</f>
        <v/>
      </c>
      <c r="AB510" s="625" t="str">
        <f>Exposition!Q511</f>
        <v/>
      </c>
      <c r="AC510" s="625" t="str">
        <f>Exposition!R511</f>
        <v/>
      </c>
      <c r="AD510" s="625" t="str">
        <f>Exposition!S511</f>
        <v/>
      </c>
      <c r="AE510" s="625" t="str">
        <f>Exposition!T511</f>
        <v/>
      </c>
      <c r="AF510" s="625" t="str">
        <f>Exposition!U511</f>
        <v/>
      </c>
      <c r="AG510" s="623"/>
      <c r="AH510" s="621" t="str">
        <f>PRIX!A511</f>
        <v/>
      </c>
      <c r="AI510" s="626" t="str">
        <f>PRIX!B511</f>
        <v/>
      </c>
      <c r="AJ510" s="626" t="str">
        <f>PRIX!C511</f>
        <v/>
      </c>
      <c r="AK510" s="627" t="str">
        <f>PRIX!D511</f>
        <v/>
      </c>
      <c r="AL510" s="626" t="str">
        <f>PRIX!E511</f>
        <v/>
      </c>
      <c r="AM510" s="626" t="str">
        <f>PRIX!F511</f>
        <v/>
      </c>
      <c r="AN510" s="627" t="str">
        <f>PRIX!G511</f>
        <v/>
      </c>
      <c r="AO510" s="627" t="str">
        <f>PRIX!H511</f>
        <v/>
      </c>
      <c r="AP510" s="631" t="str">
        <f>PRIX!I511</f>
        <v/>
      </c>
      <c r="AQ510" s="628" t="str">
        <f>PRIX!J511</f>
        <v/>
      </c>
      <c r="AR510" s="631" t="str">
        <f>PRIX!K511</f>
        <v/>
      </c>
      <c r="AS510" s="631" t="str">
        <f>PRIX!L511</f>
        <v/>
      </c>
      <c r="AT510" s="631" t="str">
        <f>PRIX!M511</f>
        <v/>
      </c>
      <c r="AU510" s="629" t="str">
        <f>PRIX!N511</f>
        <v/>
      </c>
      <c r="AV510" s="631" t="str">
        <f>PRIX!O511</f>
        <v/>
      </c>
      <c r="AW510" s="631" t="str">
        <f>PRIX!P511</f>
        <v/>
      </c>
      <c r="AX510" s="630" t="str">
        <f>PRIX!Q511</f>
        <v/>
      </c>
      <c r="AY510" s="631" t="str">
        <f>PRIX!R511</f>
        <v/>
      </c>
      <c r="AZ510" s="631" t="str">
        <f>PRIX!S511</f>
        <v/>
      </c>
      <c r="BA510" s="623"/>
    </row>
    <row r="511">
      <c r="A511" s="621" t="str">
        <f>ARBITRAGES!E512</f>
        <v/>
      </c>
      <c r="B511" s="623" t="str">
        <f>IF(A511="","",IF(ARBITRAGES!F512="Invest","Achat","Vente"))</f>
        <v/>
      </c>
      <c r="C511" s="623" t="str">
        <f>ARBITRAGES!H512</f>
        <v/>
      </c>
      <c r="D511" s="624" t="str">
        <f>ARBITRAGES!I512</f>
        <v/>
      </c>
      <c r="E511" s="624" t="str">
        <f>ARBITRAGES!J512</f>
        <v/>
      </c>
      <c r="F511" s="623"/>
      <c r="G511" s="623" t="str">
        <f>'PV (%)'!B513</f>
        <v/>
      </c>
      <c r="H511" s="624" t="str">
        <f>'PV (%)'!E513</f>
        <v/>
      </c>
      <c r="I511" s="624" t="str">
        <f>'PV (%)'!F513</f>
        <v/>
      </c>
      <c r="J511" s="624" t="str">
        <f>'PV (%)'!G513</f>
        <v/>
      </c>
      <c r="K511" s="623"/>
      <c r="L511" s="621" t="str">
        <f>Exposition!A512</f>
        <v/>
      </c>
      <c r="M511" s="625" t="str">
        <f>Exposition!B512</f>
        <v/>
      </c>
      <c r="N511" s="625" t="str">
        <f>Exposition!C512</f>
        <v/>
      </c>
      <c r="O511" s="625" t="str">
        <f>Exposition!D512</f>
        <v/>
      </c>
      <c r="P511" s="625" t="str">
        <f>Exposition!E512</f>
        <v/>
      </c>
      <c r="Q511" s="625" t="str">
        <f>Exposition!F512</f>
        <v/>
      </c>
      <c r="R511" s="625" t="str">
        <f>Exposition!G512</f>
        <v/>
      </c>
      <c r="S511" s="625" t="str">
        <f>Exposition!H512</f>
        <v/>
      </c>
      <c r="T511" s="625" t="str">
        <f>Exposition!I512</f>
        <v/>
      </c>
      <c r="U511" s="625" t="str">
        <f>Exposition!J512</f>
        <v/>
      </c>
      <c r="V511" s="625" t="str">
        <f>Exposition!K512</f>
        <v/>
      </c>
      <c r="W511" s="625" t="str">
        <f>Exposition!L512</f>
        <v/>
      </c>
      <c r="X511" s="625" t="str">
        <f>Exposition!M512</f>
        <v/>
      </c>
      <c r="Y511" s="625" t="str">
        <f>Exposition!N512</f>
        <v/>
      </c>
      <c r="Z511" s="625" t="str">
        <f>Exposition!O512</f>
        <v/>
      </c>
      <c r="AA511" s="625" t="str">
        <f>Exposition!P512</f>
        <v/>
      </c>
      <c r="AB511" s="625" t="str">
        <f>Exposition!Q512</f>
        <v/>
      </c>
      <c r="AC511" s="625" t="str">
        <f>Exposition!R512</f>
        <v/>
      </c>
      <c r="AD511" s="625" t="str">
        <f>Exposition!S512</f>
        <v/>
      </c>
      <c r="AE511" s="625" t="str">
        <f>Exposition!T512</f>
        <v/>
      </c>
      <c r="AF511" s="625" t="str">
        <f>Exposition!U512</f>
        <v/>
      </c>
      <c r="AG511" s="623"/>
      <c r="AH511" s="621" t="str">
        <f>PRIX!A512</f>
        <v/>
      </c>
      <c r="AI511" s="626" t="str">
        <f>PRIX!B512</f>
        <v/>
      </c>
      <c r="AJ511" s="626" t="str">
        <f>PRIX!C512</f>
        <v/>
      </c>
      <c r="AK511" s="627" t="str">
        <f>PRIX!D512</f>
        <v/>
      </c>
      <c r="AL511" s="626" t="str">
        <f>PRIX!E512</f>
        <v/>
      </c>
      <c r="AM511" s="626" t="str">
        <f>PRIX!F512</f>
        <v/>
      </c>
      <c r="AN511" s="627" t="str">
        <f>PRIX!G512</f>
        <v/>
      </c>
      <c r="AO511" s="627" t="str">
        <f>PRIX!H512</f>
        <v/>
      </c>
      <c r="AP511" s="631" t="str">
        <f>PRIX!I512</f>
        <v/>
      </c>
      <c r="AQ511" s="628" t="str">
        <f>PRIX!J512</f>
        <v/>
      </c>
      <c r="AR511" s="631" t="str">
        <f>PRIX!K512</f>
        <v/>
      </c>
      <c r="AS511" s="631" t="str">
        <f>PRIX!L512</f>
        <v/>
      </c>
      <c r="AT511" s="631" t="str">
        <f>PRIX!M512</f>
        <v/>
      </c>
      <c r="AU511" s="629" t="str">
        <f>PRIX!N512</f>
        <v/>
      </c>
      <c r="AV511" s="631" t="str">
        <f>PRIX!O512</f>
        <v/>
      </c>
      <c r="AW511" s="631" t="str">
        <f>PRIX!P512</f>
        <v/>
      </c>
      <c r="AX511" s="630" t="str">
        <f>PRIX!Q512</f>
        <v/>
      </c>
      <c r="AY511" s="631" t="str">
        <f>PRIX!R512</f>
        <v/>
      </c>
      <c r="AZ511" s="631" t="str">
        <f>PRIX!S512</f>
        <v/>
      </c>
      <c r="BA511" s="623"/>
    </row>
    <row r="512">
      <c r="A512" s="621" t="str">
        <f>ARBITRAGES!E513</f>
        <v/>
      </c>
      <c r="B512" s="623" t="str">
        <f>IF(A512="","",IF(ARBITRAGES!F513="Invest","Achat","Vente"))</f>
        <v/>
      </c>
      <c r="C512" s="623" t="str">
        <f>ARBITRAGES!H513</f>
        <v/>
      </c>
      <c r="D512" s="624" t="str">
        <f>ARBITRAGES!I513</f>
        <v/>
      </c>
      <c r="E512" s="624" t="str">
        <f>ARBITRAGES!J513</f>
        <v/>
      </c>
      <c r="F512" s="623"/>
      <c r="G512" s="623" t="str">
        <f>'PV (%)'!B514</f>
        <v/>
      </c>
      <c r="H512" s="624" t="str">
        <f>'PV (%)'!E514</f>
        <v/>
      </c>
      <c r="I512" s="624" t="str">
        <f>'PV (%)'!F514</f>
        <v/>
      </c>
      <c r="J512" s="624" t="str">
        <f>'PV (%)'!G514</f>
        <v/>
      </c>
      <c r="K512" s="623"/>
      <c r="L512" s="621" t="str">
        <f>Exposition!A513</f>
        <v/>
      </c>
      <c r="M512" s="625" t="str">
        <f>Exposition!B513</f>
        <v/>
      </c>
      <c r="N512" s="625" t="str">
        <f>Exposition!C513</f>
        <v/>
      </c>
      <c r="O512" s="625" t="str">
        <f>Exposition!D513</f>
        <v/>
      </c>
      <c r="P512" s="625" t="str">
        <f>Exposition!E513</f>
        <v/>
      </c>
      <c r="Q512" s="625" t="str">
        <f>Exposition!F513</f>
        <v/>
      </c>
      <c r="R512" s="625" t="str">
        <f>Exposition!G513</f>
        <v/>
      </c>
      <c r="S512" s="625" t="str">
        <f>Exposition!H513</f>
        <v/>
      </c>
      <c r="T512" s="625" t="str">
        <f>Exposition!I513</f>
        <v/>
      </c>
      <c r="U512" s="625" t="str">
        <f>Exposition!J513</f>
        <v/>
      </c>
      <c r="V512" s="625" t="str">
        <f>Exposition!K513</f>
        <v/>
      </c>
      <c r="W512" s="625" t="str">
        <f>Exposition!L513</f>
        <v/>
      </c>
      <c r="X512" s="625" t="str">
        <f>Exposition!M513</f>
        <v/>
      </c>
      <c r="Y512" s="625" t="str">
        <f>Exposition!N513</f>
        <v/>
      </c>
      <c r="Z512" s="625" t="str">
        <f>Exposition!O513</f>
        <v/>
      </c>
      <c r="AA512" s="625" t="str">
        <f>Exposition!P513</f>
        <v/>
      </c>
      <c r="AB512" s="625" t="str">
        <f>Exposition!Q513</f>
        <v/>
      </c>
      <c r="AC512" s="625" t="str">
        <f>Exposition!R513</f>
        <v/>
      </c>
      <c r="AD512" s="625" t="str">
        <f>Exposition!S513</f>
        <v/>
      </c>
      <c r="AE512" s="625" t="str">
        <f>Exposition!T513</f>
        <v/>
      </c>
      <c r="AF512" s="625" t="str">
        <f>Exposition!U513</f>
        <v/>
      </c>
      <c r="AG512" s="623"/>
      <c r="AH512" s="621" t="str">
        <f>PRIX!A513</f>
        <v/>
      </c>
      <c r="AI512" s="626" t="str">
        <f>PRIX!B513</f>
        <v/>
      </c>
      <c r="AJ512" s="626" t="str">
        <f>PRIX!C513</f>
        <v/>
      </c>
      <c r="AK512" s="627" t="str">
        <f>PRIX!D513</f>
        <v/>
      </c>
      <c r="AL512" s="626" t="str">
        <f>PRIX!E513</f>
        <v/>
      </c>
      <c r="AM512" s="626" t="str">
        <f>PRIX!F513</f>
        <v/>
      </c>
      <c r="AN512" s="627" t="str">
        <f>PRIX!G513</f>
        <v/>
      </c>
      <c r="AO512" s="627" t="str">
        <f>PRIX!H513</f>
        <v/>
      </c>
      <c r="AP512" s="631" t="str">
        <f>PRIX!I513</f>
        <v/>
      </c>
      <c r="AQ512" s="628" t="str">
        <f>PRIX!J513</f>
        <v/>
      </c>
      <c r="AR512" s="631" t="str">
        <f>PRIX!K513</f>
        <v/>
      </c>
      <c r="AS512" s="631" t="str">
        <f>PRIX!L513</f>
        <v/>
      </c>
      <c r="AT512" s="631" t="str">
        <f>PRIX!M513</f>
        <v/>
      </c>
      <c r="AU512" s="629" t="str">
        <f>PRIX!N513</f>
        <v/>
      </c>
      <c r="AV512" s="631" t="str">
        <f>PRIX!O513</f>
        <v/>
      </c>
      <c r="AW512" s="631" t="str">
        <f>PRIX!P513</f>
        <v/>
      </c>
      <c r="AX512" s="630" t="str">
        <f>PRIX!Q513</f>
        <v/>
      </c>
      <c r="AY512" s="631" t="str">
        <f>PRIX!R513</f>
        <v/>
      </c>
      <c r="AZ512" s="631" t="str">
        <f>PRIX!S513</f>
        <v/>
      </c>
      <c r="BA512" s="623"/>
    </row>
    <row r="513">
      <c r="A513" s="621" t="str">
        <f>ARBITRAGES!E514</f>
        <v/>
      </c>
      <c r="B513" s="623" t="str">
        <f>IF(A513="","",IF(ARBITRAGES!F514="Invest","Achat","Vente"))</f>
        <v/>
      </c>
      <c r="C513" s="623" t="str">
        <f>ARBITRAGES!H514</f>
        <v/>
      </c>
      <c r="D513" s="624" t="str">
        <f>ARBITRAGES!I514</f>
        <v/>
      </c>
      <c r="E513" s="624" t="str">
        <f>ARBITRAGES!J514</f>
        <v/>
      </c>
      <c r="F513" s="623"/>
      <c r="G513" s="623" t="str">
        <f>'PV (%)'!B515</f>
        <v/>
      </c>
      <c r="H513" s="624" t="str">
        <f>'PV (%)'!E515</f>
        <v/>
      </c>
      <c r="I513" s="624" t="str">
        <f>'PV (%)'!F515</f>
        <v/>
      </c>
      <c r="J513" s="624" t="str">
        <f>'PV (%)'!G515</f>
        <v/>
      </c>
      <c r="K513" s="623"/>
      <c r="L513" s="621" t="str">
        <f>Exposition!A514</f>
        <v/>
      </c>
      <c r="M513" s="625" t="str">
        <f>Exposition!B514</f>
        <v/>
      </c>
      <c r="N513" s="625" t="str">
        <f>Exposition!C514</f>
        <v/>
      </c>
      <c r="O513" s="625" t="str">
        <f>Exposition!D514</f>
        <v/>
      </c>
      <c r="P513" s="625" t="str">
        <f>Exposition!E514</f>
        <v/>
      </c>
      <c r="Q513" s="625" t="str">
        <f>Exposition!F514</f>
        <v/>
      </c>
      <c r="R513" s="625" t="str">
        <f>Exposition!G514</f>
        <v/>
      </c>
      <c r="S513" s="625" t="str">
        <f>Exposition!H514</f>
        <v/>
      </c>
      <c r="T513" s="625" t="str">
        <f>Exposition!I514</f>
        <v/>
      </c>
      <c r="U513" s="625" t="str">
        <f>Exposition!J514</f>
        <v/>
      </c>
      <c r="V513" s="625" t="str">
        <f>Exposition!K514</f>
        <v/>
      </c>
      <c r="W513" s="625" t="str">
        <f>Exposition!L514</f>
        <v/>
      </c>
      <c r="X513" s="625" t="str">
        <f>Exposition!M514</f>
        <v/>
      </c>
      <c r="Y513" s="625" t="str">
        <f>Exposition!N514</f>
        <v/>
      </c>
      <c r="Z513" s="625" t="str">
        <f>Exposition!O514</f>
        <v/>
      </c>
      <c r="AA513" s="625" t="str">
        <f>Exposition!P514</f>
        <v/>
      </c>
      <c r="AB513" s="625" t="str">
        <f>Exposition!Q514</f>
        <v/>
      </c>
      <c r="AC513" s="625" t="str">
        <f>Exposition!R514</f>
        <v/>
      </c>
      <c r="AD513" s="625" t="str">
        <f>Exposition!S514</f>
        <v/>
      </c>
      <c r="AE513" s="625" t="str">
        <f>Exposition!T514</f>
        <v/>
      </c>
      <c r="AF513" s="625" t="str">
        <f>Exposition!U514</f>
        <v/>
      </c>
      <c r="AG513" s="623"/>
      <c r="AH513" s="621" t="str">
        <f>PRIX!A514</f>
        <v/>
      </c>
      <c r="AI513" s="626" t="str">
        <f>PRIX!B514</f>
        <v/>
      </c>
      <c r="AJ513" s="626" t="str">
        <f>PRIX!C514</f>
        <v/>
      </c>
      <c r="AK513" s="627" t="str">
        <f>PRIX!D514</f>
        <v/>
      </c>
      <c r="AL513" s="626" t="str">
        <f>PRIX!E514</f>
        <v/>
      </c>
      <c r="AM513" s="626" t="str">
        <f>PRIX!F514</f>
        <v/>
      </c>
      <c r="AN513" s="627" t="str">
        <f>PRIX!G514</f>
        <v/>
      </c>
      <c r="AO513" s="627" t="str">
        <f>PRIX!H514</f>
        <v/>
      </c>
      <c r="AP513" s="631" t="str">
        <f>PRIX!I514</f>
        <v/>
      </c>
      <c r="AQ513" s="628" t="str">
        <f>PRIX!J514</f>
        <v/>
      </c>
      <c r="AR513" s="631" t="str">
        <f>PRIX!K514</f>
        <v/>
      </c>
      <c r="AS513" s="631" t="str">
        <f>PRIX!L514</f>
        <v/>
      </c>
      <c r="AT513" s="631" t="str">
        <f>PRIX!M514</f>
        <v/>
      </c>
      <c r="AU513" s="629" t="str">
        <f>PRIX!N514</f>
        <v/>
      </c>
      <c r="AV513" s="631" t="str">
        <f>PRIX!O514</f>
        <v/>
      </c>
      <c r="AW513" s="631" t="str">
        <f>PRIX!P514</f>
        <v/>
      </c>
      <c r="AX513" s="630" t="str">
        <f>PRIX!Q514</f>
        <v/>
      </c>
      <c r="AY513" s="631" t="str">
        <f>PRIX!R514</f>
        <v/>
      </c>
      <c r="AZ513" s="631" t="str">
        <f>PRIX!S514</f>
        <v/>
      </c>
      <c r="BA513" s="623"/>
    </row>
    <row r="514">
      <c r="A514" s="621" t="str">
        <f>ARBITRAGES!E515</f>
        <v/>
      </c>
      <c r="B514" s="623" t="str">
        <f>IF(A514="","",IF(ARBITRAGES!F515="Invest","Achat","Vente"))</f>
        <v/>
      </c>
      <c r="C514" s="623" t="str">
        <f>ARBITRAGES!H515</f>
        <v/>
      </c>
      <c r="D514" s="624" t="str">
        <f>ARBITRAGES!I515</f>
        <v/>
      </c>
      <c r="E514" s="624" t="str">
        <f>ARBITRAGES!J515</f>
        <v/>
      </c>
      <c r="F514" s="623"/>
      <c r="G514" s="623" t="str">
        <f>'PV (%)'!B516</f>
        <v/>
      </c>
      <c r="H514" s="624" t="str">
        <f>'PV (%)'!E516</f>
        <v/>
      </c>
      <c r="I514" s="624" t="str">
        <f>'PV (%)'!F516</f>
        <v/>
      </c>
      <c r="J514" s="624" t="str">
        <f>'PV (%)'!G516</f>
        <v/>
      </c>
      <c r="K514" s="623"/>
      <c r="L514" s="621" t="str">
        <f>Exposition!A515</f>
        <v/>
      </c>
      <c r="M514" s="625" t="str">
        <f>Exposition!B515</f>
        <v/>
      </c>
      <c r="N514" s="625" t="str">
        <f>Exposition!C515</f>
        <v/>
      </c>
      <c r="O514" s="625" t="str">
        <f>Exposition!D515</f>
        <v/>
      </c>
      <c r="P514" s="625" t="str">
        <f>Exposition!E515</f>
        <v/>
      </c>
      <c r="Q514" s="625" t="str">
        <f>Exposition!F515</f>
        <v/>
      </c>
      <c r="R514" s="625" t="str">
        <f>Exposition!G515</f>
        <v/>
      </c>
      <c r="S514" s="625" t="str">
        <f>Exposition!H515</f>
        <v/>
      </c>
      <c r="T514" s="625" t="str">
        <f>Exposition!I515</f>
        <v/>
      </c>
      <c r="U514" s="625" t="str">
        <f>Exposition!J515</f>
        <v/>
      </c>
      <c r="V514" s="625" t="str">
        <f>Exposition!K515</f>
        <v/>
      </c>
      <c r="W514" s="625" t="str">
        <f>Exposition!L515</f>
        <v/>
      </c>
      <c r="X514" s="625" t="str">
        <f>Exposition!M515</f>
        <v/>
      </c>
      <c r="Y514" s="625" t="str">
        <f>Exposition!N515</f>
        <v/>
      </c>
      <c r="Z514" s="625" t="str">
        <f>Exposition!O515</f>
        <v/>
      </c>
      <c r="AA514" s="625" t="str">
        <f>Exposition!P515</f>
        <v/>
      </c>
      <c r="AB514" s="625" t="str">
        <f>Exposition!Q515</f>
        <v/>
      </c>
      <c r="AC514" s="625" t="str">
        <f>Exposition!R515</f>
        <v/>
      </c>
      <c r="AD514" s="625" t="str">
        <f>Exposition!S515</f>
        <v/>
      </c>
      <c r="AE514" s="625" t="str">
        <f>Exposition!T515</f>
        <v/>
      </c>
      <c r="AF514" s="625" t="str">
        <f>Exposition!U515</f>
        <v/>
      </c>
      <c r="AG514" s="623"/>
      <c r="AH514" s="621" t="str">
        <f>PRIX!A515</f>
        <v/>
      </c>
      <c r="AI514" s="626" t="str">
        <f>PRIX!B515</f>
        <v/>
      </c>
      <c r="AJ514" s="626" t="str">
        <f>PRIX!C515</f>
        <v/>
      </c>
      <c r="AK514" s="627" t="str">
        <f>PRIX!D515</f>
        <v/>
      </c>
      <c r="AL514" s="626" t="str">
        <f>PRIX!E515</f>
        <v/>
      </c>
      <c r="AM514" s="626" t="str">
        <f>PRIX!F515</f>
        <v/>
      </c>
      <c r="AN514" s="627" t="str">
        <f>PRIX!G515</f>
        <v/>
      </c>
      <c r="AO514" s="627" t="str">
        <f>PRIX!H515</f>
        <v/>
      </c>
      <c r="AP514" s="631" t="str">
        <f>PRIX!I515</f>
        <v/>
      </c>
      <c r="AQ514" s="628" t="str">
        <f>PRIX!J515</f>
        <v/>
      </c>
      <c r="AR514" s="631" t="str">
        <f>PRIX!K515</f>
        <v/>
      </c>
      <c r="AS514" s="631" t="str">
        <f>PRIX!L515</f>
        <v/>
      </c>
      <c r="AT514" s="631" t="str">
        <f>PRIX!M515</f>
        <v/>
      </c>
      <c r="AU514" s="629" t="str">
        <f>PRIX!N515</f>
        <v/>
      </c>
      <c r="AV514" s="631" t="str">
        <f>PRIX!O515</f>
        <v/>
      </c>
      <c r="AW514" s="631" t="str">
        <f>PRIX!P515</f>
        <v/>
      </c>
      <c r="AX514" s="630" t="str">
        <f>PRIX!Q515</f>
        <v/>
      </c>
      <c r="AY514" s="631" t="str">
        <f>PRIX!R515</f>
        <v/>
      </c>
      <c r="AZ514" s="631" t="str">
        <f>PRIX!S515</f>
        <v/>
      </c>
      <c r="BA514" s="623"/>
    </row>
    <row r="515">
      <c r="A515" s="621" t="str">
        <f>ARBITRAGES!E516</f>
        <v/>
      </c>
      <c r="B515" s="623" t="str">
        <f>IF(A515="","",IF(ARBITRAGES!F516="Invest","Achat","Vente"))</f>
        <v/>
      </c>
      <c r="C515" s="623" t="str">
        <f>ARBITRAGES!H516</f>
        <v/>
      </c>
      <c r="D515" s="624" t="str">
        <f>ARBITRAGES!I516</f>
        <v/>
      </c>
      <c r="E515" s="624" t="str">
        <f>ARBITRAGES!J516</f>
        <v/>
      </c>
      <c r="F515" s="623"/>
      <c r="G515" s="623" t="str">
        <f>'PV (%)'!B517</f>
        <v/>
      </c>
      <c r="H515" s="624" t="str">
        <f>'PV (%)'!E517</f>
        <v/>
      </c>
      <c r="I515" s="624" t="str">
        <f>'PV (%)'!F517</f>
        <v/>
      </c>
      <c r="J515" s="624" t="str">
        <f>'PV (%)'!G517</f>
        <v/>
      </c>
      <c r="K515" s="623"/>
      <c r="L515" s="621" t="str">
        <f>Exposition!A516</f>
        <v/>
      </c>
      <c r="M515" s="625" t="str">
        <f>Exposition!B516</f>
        <v/>
      </c>
      <c r="N515" s="625" t="str">
        <f>Exposition!C516</f>
        <v/>
      </c>
      <c r="O515" s="625" t="str">
        <f>Exposition!D516</f>
        <v/>
      </c>
      <c r="P515" s="625" t="str">
        <f>Exposition!E516</f>
        <v/>
      </c>
      <c r="Q515" s="625" t="str">
        <f>Exposition!F516</f>
        <v/>
      </c>
      <c r="R515" s="625" t="str">
        <f>Exposition!G516</f>
        <v/>
      </c>
      <c r="S515" s="625" t="str">
        <f>Exposition!H516</f>
        <v/>
      </c>
      <c r="T515" s="625" t="str">
        <f>Exposition!I516</f>
        <v/>
      </c>
      <c r="U515" s="625" t="str">
        <f>Exposition!J516</f>
        <v/>
      </c>
      <c r="V515" s="625" t="str">
        <f>Exposition!K516</f>
        <v/>
      </c>
      <c r="W515" s="625" t="str">
        <f>Exposition!L516</f>
        <v/>
      </c>
      <c r="X515" s="625" t="str">
        <f>Exposition!M516</f>
        <v/>
      </c>
      <c r="Y515" s="625" t="str">
        <f>Exposition!N516</f>
        <v/>
      </c>
      <c r="Z515" s="625" t="str">
        <f>Exposition!O516</f>
        <v/>
      </c>
      <c r="AA515" s="625" t="str">
        <f>Exposition!P516</f>
        <v/>
      </c>
      <c r="AB515" s="625" t="str">
        <f>Exposition!Q516</f>
        <v/>
      </c>
      <c r="AC515" s="625" t="str">
        <f>Exposition!R516</f>
        <v/>
      </c>
      <c r="AD515" s="625" t="str">
        <f>Exposition!S516</f>
        <v/>
      </c>
      <c r="AE515" s="625" t="str">
        <f>Exposition!T516</f>
        <v/>
      </c>
      <c r="AF515" s="625" t="str">
        <f>Exposition!U516</f>
        <v/>
      </c>
      <c r="AG515" s="623"/>
      <c r="AH515" s="621" t="str">
        <f>PRIX!A516</f>
        <v/>
      </c>
      <c r="AI515" s="626" t="str">
        <f>PRIX!B516</f>
        <v/>
      </c>
      <c r="AJ515" s="626" t="str">
        <f>PRIX!C516</f>
        <v/>
      </c>
      <c r="AK515" s="627" t="str">
        <f>PRIX!D516</f>
        <v/>
      </c>
      <c r="AL515" s="626" t="str">
        <f>PRIX!E516</f>
        <v/>
      </c>
      <c r="AM515" s="626" t="str">
        <f>PRIX!F516</f>
        <v/>
      </c>
      <c r="AN515" s="627" t="str">
        <f>PRIX!G516</f>
        <v/>
      </c>
      <c r="AO515" s="627" t="str">
        <f>PRIX!H516</f>
        <v/>
      </c>
      <c r="AP515" s="631" t="str">
        <f>PRIX!I516</f>
        <v/>
      </c>
      <c r="AQ515" s="628" t="str">
        <f>PRIX!J516</f>
        <v/>
      </c>
      <c r="AR515" s="631" t="str">
        <f>PRIX!K516</f>
        <v/>
      </c>
      <c r="AS515" s="631" t="str">
        <f>PRIX!L516</f>
        <v/>
      </c>
      <c r="AT515" s="631" t="str">
        <f>PRIX!M516</f>
        <v/>
      </c>
      <c r="AU515" s="629" t="str">
        <f>PRIX!N516</f>
        <v/>
      </c>
      <c r="AV515" s="631" t="str">
        <f>PRIX!O516</f>
        <v/>
      </c>
      <c r="AW515" s="631" t="str">
        <f>PRIX!P516</f>
        <v/>
      </c>
      <c r="AX515" s="630" t="str">
        <f>PRIX!Q516</f>
        <v/>
      </c>
      <c r="AY515" s="631" t="str">
        <f>PRIX!R516</f>
        <v/>
      </c>
      <c r="AZ515" s="631" t="str">
        <f>PRIX!S516</f>
        <v/>
      </c>
      <c r="BA515" s="623"/>
    </row>
    <row r="516">
      <c r="A516" s="621" t="str">
        <f>ARBITRAGES!E517</f>
        <v/>
      </c>
      <c r="B516" s="623" t="str">
        <f>IF(A516="","",IF(ARBITRAGES!F517="Invest","Achat","Vente"))</f>
        <v/>
      </c>
      <c r="C516" s="623" t="str">
        <f>ARBITRAGES!H517</f>
        <v/>
      </c>
      <c r="D516" s="624" t="str">
        <f>ARBITRAGES!I517</f>
        <v/>
      </c>
      <c r="E516" s="624" t="str">
        <f>ARBITRAGES!J517</f>
        <v/>
      </c>
      <c r="F516" s="623"/>
      <c r="G516" s="623" t="str">
        <f>'PV (%)'!B518</f>
        <v/>
      </c>
      <c r="H516" s="624" t="str">
        <f>'PV (%)'!E518</f>
        <v/>
      </c>
      <c r="I516" s="624" t="str">
        <f>'PV (%)'!F518</f>
        <v/>
      </c>
      <c r="J516" s="624" t="str">
        <f>'PV (%)'!G518</f>
        <v/>
      </c>
      <c r="K516" s="623"/>
      <c r="L516" s="621" t="str">
        <f>Exposition!A517</f>
        <v/>
      </c>
      <c r="M516" s="625" t="str">
        <f>Exposition!B517</f>
        <v/>
      </c>
      <c r="N516" s="625" t="str">
        <f>Exposition!C517</f>
        <v/>
      </c>
      <c r="O516" s="625" t="str">
        <f>Exposition!D517</f>
        <v/>
      </c>
      <c r="P516" s="625" t="str">
        <f>Exposition!E517</f>
        <v/>
      </c>
      <c r="Q516" s="625" t="str">
        <f>Exposition!F517</f>
        <v/>
      </c>
      <c r="R516" s="625" t="str">
        <f>Exposition!G517</f>
        <v/>
      </c>
      <c r="S516" s="625" t="str">
        <f>Exposition!H517</f>
        <v/>
      </c>
      <c r="T516" s="625" t="str">
        <f>Exposition!I517</f>
        <v/>
      </c>
      <c r="U516" s="625" t="str">
        <f>Exposition!J517</f>
        <v/>
      </c>
      <c r="V516" s="625" t="str">
        <f>Exposition!K517</f>
        <v/>
      </c>
      <c r="W516" s="625" t="str">
        <f>Exposition!L517</f>
        <v/>
      </c>
      <c r="X516" s="625" t="str">
        <f>Exposition!M517</f>
        <v/>
      </c>
      <c r="Y516" s="625" t="str">
        <f>Exposition!N517</f>
        <v/>
      </c>
      <c r="Z516" s="625" t="str">
        <f>Exposition!O517</f>
        <v/>
      </c>
      <c r="AA516" s="625" t="str">
        <f>Exposition!P517</f>
        <v/>
      </c>
      <c r="AB516" s="625" t="str">
        <f>Exposition!Q517</f>
        <v/>
      </c>
      <c r="AC516" s="625" t="str">
        <f>Exposition!R517</f>
        <v/>
      </c>
      <c r="AD516" s="625" t="str">
        <f>Exposition!S517</f>
        <v/>
      </c>
      <c r="AE516" s="625" t="str">
        <f>Exposition!T517</f>
        <v/>
      </c>
      <c r="AF516" s="625" t="str">
        <f>Exposition!U517</f>
        <v/>
      </c>
      <c r="AG516" s="623"/>
      <c r="AH516" s="621" t="str">
        <f>PRIX!A517</f>
        <v/>
      </c>
      <c r="AI516" s="626" t="str">
        <f>PRIX!B517</f>
        <v/>
      </c>
      <c r="AJ516" s="626" t="str">
        <f>PRIX!C517</f>
        <v/>
      </c>
      <c r="AK516" s="627" t="str">
        <f>PRIX!D517</f>
        <v/>
      </c>
      <c r="AL516" s="626" t="str">
        <f>PRIX!E517</f>
        <v/>
      </c>
      <c r="AM516" s="626" t="str">
        <f>PRIX!F517</f>
        <v/>
      </c>
      <c r="AN516" s="627" t="str">
        <f>PRIX!G517</f>
        <v/>
      </c>
      <c r="AO516" s="627" t="str">
        <f>PRIX!H517</f>
        <v/>
      </c>
      <c r="AP516" s="631" t="str">
        <f>PRIX!I517</f>
        <v/>
      </c>
      <c r="AQ516" s="628" t="str">
        <f>PRIX!J517</f>
        <v/>
      </c>
      <c r="AR516" s="631" t="str">
        <f>PRIX!K517</f>
        <v/>
      </c>
      <c r="AS516" s="631" t="str">
        <f>PRIX!L517</f>
        <v/>
      </c>
      <c r="AT516" s="631" t="str">
        <f>PRIX!M517</f>
        <v/>
      </c>
      <c r="AU516" s="629" t="str">
        <f>PRIX!N517</f>
        <v/>
      </c>
      <c r="AV516" s="631" t="str">
        <f>PRIX!O517</f>
        <v/>
      </c>
      <c r="AW516" s="631" t="str">
        <f>PRIX!P517</f>
        <v/>
      </c>
      <c r="AX516" s="630" t="str">
        <f>PRIX!Q517</f>
        <v/>
      </c>
      <c r="AY516" s="631" t="str">
        <f>PRIX!R517</f>
        <v/>
      </c>
      <c r="AZ516" s="631" t="str">
        <f>PRIX!S517</f>
        <v/>
      </c>
      <c r="BA516" s="623"/>
    </row>
    <row r="517">
      <c r="A517" s="621" t="str">
        <f>ARBITRAGES!E518</f>
        <v/>
      </c>
      <c r="B517" s="623" t="str">
        <f>IF(A517="","",IF(ARBITRAGES!F518="Invest","Achat","Vente"))</f>
        <v/>
      </c>
      <c r="C517" s="623" t="str">
        <f>ARBITRAGES!H518</f>
        <v/>
      </c>
      <c r="D517" s="624" t="str">
        <f>ARBITRAGES!I518</f>
        <v/>
      </c>
      <c r="E517" s="624" t="str">
        <f>ARBITRAGES!J518</f>
        <v/>
      </c>
      <c r="F517" s="623"/>
      <c r="G517" s="623" t="str">
        <f>'PV (%)'!B519</f>
        <v/>
      </c>
      <c r="H517" s="624" t="str">
        <f>'PV (%)'!E519</f>
        <v/>
      </c>
      <c r="I517" s="624" t="str">
        <f>'PV (%)'!F519</f>
        <v/>
      </c>
      <c r="J517" s="624" t="str">
        <f>'PV (%)'!G519</f>
        <v/>
      </c>
      <c r="K517" s="623"/>
      <c r="L517" s="621" t="str">
        <f>Exposition!A518</f>
        <v/>
      </c>
      <c r="M517" s="625" t="str">
        <f>Exposition!B518</f>
        <v/>
      </c>
      <c r="N517" s="625" t="str">
        <f>Exposition!C518</f>
        <v/>
      </c>
      <c r="O517" s="625" t="str">
        <f>Exposition!D518</f>
        <v/>
      </c>
      <c r="P517" s="625" t="str">
        <f>Exposition!E518</f>
        <v/>
      </c>
      <c r="Q517" s="625" t="str">
        <f>Exposition!F518</f>
        <v/>
      </c>
      <c r="R517" s="625" t="str">
        <f>Exposition!G518</f>
        <v/>
      </c>
      <c r="S517" s="625" t="str">
        <f>Exposition!H518</f>
        <v/>
      </c>
      <c r="T517" s="625" t="str">
        <f>Exposition!I518</f>
        <v/>
      </c>
      <c r="U517" s="625" t="str">
        <f>Exposition!J518</f>
        <v/>
      </c>
      <c r="V517" s="625" t="str">
        <f>Exposition!K518</f>
        <v/>
      </c>
      <c r="W517" s="625" t="str">
        <f>Exposition!L518</f>
        <v/>
      </c>
      <c r="X517" s="625" t="str">
        <f>Exposition!M518</f>
        <v/>
      </c>
      <c r="Y517" s="625" t="str">
        <f>Exposition!N518</f>
        <v/>
      </c>
      <c r="Z517" s="625" t="str">
        <f>Exposition!O518</f>
        <v/>
      </c>
      <c r="AA517" s="625" t="str">
        <f>Exposition!P518</f>
        <v/>
      </c>
      <c r="AB517" s="625" t="str">
        <f>Exposition!Q518</f>
        <v/>
      </c>
      <c r="AC517" s="625" t="str">
        <f>Exposition!R518</f>
        <v/>
      </c>
      <c r="AD517" s="625" t="str">
        <f>Exposition!S518</f>
        <v/>
      </c>
      <c r="AE517" s="625" t="str">
        <f>Exposition!T518</f>
        <v/>
      </c>
      <c r="AF517" s="625" t="str">
        <f>Exposition!U518</f>
        <v/>
      </c>
      <c r="AG517" s="623"/>
      <c r="AH517" s="621" t="str">
        <f>PRIX!A518</f>
        <v/>
      </c>
      <c r="AI517" s="626" t="str">
        <f>PRIX!B518</f>
        <v/>
      </c>
      <c r="AJ517" s="626" t="str">
        <f>PRIX!C518</f>
        <v/>
      </c>
      <c r="AK517" s="627" t="str">
        <f>PRIX!D518</f>
        <v/>
      </c>
      <c r="AL517" s="626" t="str">
        <f>PRIX!E518</f>
        <v/>
      </c>
      <c r="AM517" s="626" t="str">
        <f>PRIX!F518</f>
        <v/>
      </c>
      <c r="AN517" s="627" t="str">
        <f>PRIX!G518</f>
        <v/>
      </c>
      <c r="AO517" s="627" t="str">
        <f>PRIX!H518</f>
        <v/>
      </c>
      <c r="AP517" s="631" t="str">
        <f>PRIX!I518</f>
        <v/>
      </c>
      <c r="AQ517" s="628" t="str">
        <f>PRIX!J518</f>
        <v/>
      </c>
      <c r="AR517" s="631" t="str">
        <f>PRIX!K518</f>
        <v/>
      </c>
      <c r="AS517" s="631" t="str">
        <f>PRIX!L518</f>
        <v/>
      </c>
      <c r="AT517" s="631" t="str">
        <f>PRIX!M518</f>
        <v/>
      </c>
      <c r="AU517" s="629" t="str">
        <f>PRIX!N518</f>
        <v/>
      </c>
      <c r="AV517" s="631" t="str">
        <f>PRIX!O518</f>
        <v/>
      </c>
      <c r="AW517" s="631" t="str">
        <f>PRIX!P518</f>
        <v/>
      </c>
      <c r="AX517" s="630" t="str">
        <f>PRIX!Q518</f>
        <v/>
      </c>
      <c r="AY517" s="631" t="str">
        <f>PRIX!R518</f>
        <v/>
      </c>
      <c r="AZ517" s="631" t="str">
        <f>PRIX!S518</f>
        <v/>
      </c>
      <c r="BA517" s="623"/>
    </row>
    <row r="518">
      <c r="A518" s="621" t="str">
        <f>ARBITRAGES!E519</f>
        <v/>
      </c>
      <c r="B518" s="623" t="str">
        <f>IF(A518="","",IF(ARBITRAGES!F519="Invest","Achat","Vente"))</f>
        <v/>
      </c>
      <c r="C518" s="623" t="str">
        <f>ARBITRAGES!H519</f>
        <v/>
      </c>
      <c r="D518" s="624" t="str">
        <f>ARBITRAGES!I519</f>
        <v/>
      </c>
      <c r="E518" s="624" t="str">
        <f>ARBITRAGES!J519</f>
        <v/>
      </c>
      <c r="F518" s="623"/>
      <c r="G518" s="623" t="str">
        <f>'PV (%)'!B520</f>
        <v/>
      </c>
      <c r="H518" s="624" t="str">
        <f>'PV (%)'!E520</f>
        <v/>
      </c>
      <c r="I518" s="624" t="str">
        <f>'PV (%)'!F520</f>
        <v/>
      </c>
      <c r="J518" s="624" t="str">
        <f>'PV (%)'!G520</f>
        <v/>
      </c>
      <c r="K518" s="623"/>
      <c r="L518" s="621" t="str">
        <f>Exposition!A519</f>
        <v/>
      </c>
      <c r="M518" s="625" t="str">
        <f>Exposition!B519</f>
        <v/>
      </c>
      <c r="N518" s="625" t="str">
        <f>Exposition!C519</f>
        <v/>
      </c>
      <c r="O518" s="625" t="str">
        <f>Exposition!D519</f>
        <v/>
      </c>
      <c r="P518" s="625" t="str">
        <f>Exposition!E519</f>
        <v/>
      </c>
      <c r="Q518" s="625" t="str">
        <f>Exposition!F519</f>
        <v/>
      </c>
      <c r="R518" s="625" t="str">
        <f>Exposition!G519</f>
        <v/>
      </c>
      <c r="S518" s="625" t="str">
        <f>Exposition!H519</f>
        <v/>
      </c>
      <c r="T518" s="625" t="str">
        <f>Exposition!I519</f>
        <v/>
      </c>
      <c r="U518" s="625" t="str">
        <f>Exposition!J519</f>
        <v/>
      </c>
      <c r="V518" s="625" t="str">
        <f>Exposition!K519</f>
        <v/>
      </c>
      <c r="W518" s="625" t="str">
        <f>Exposition!L519</f>
        <v/>
      </c>
      <c r="X518" s="625" t="str">
        <f>Exposition!M519</f>
        <v/>
      </c>
      <c r="Y518" s="625" t="str">
        <f>Exposition!N519</f>
        <v/>
      </c>
      <c r="Z518" s="625" t="str">
        <f>Exposition!O519</f>
        <v/>
      </c>
      <c r="AA518" s="625" t="str">
        <f>Exposition!P519</f>
        <v/>
      </c>
      <c r="AB518" s="625" t="str">
        <f>Exposition!Q519</f>
        <v/>
      </c>
      <c r="AC518" s="625" t="str">
        <f>Exposition!R519</f>
        <v/>
      </c>
      <c r="AD518" s="625" t="str">
        <f>Exposition!S519</f>
        <v/>
      </c>
      <c r="AE518" s="625" t="str">
        <f>Exposition!T519</f>
        <v/>
      </c>
      <c r="AF518" s="625" t="str">
        <f>Exposition!U519</f>
        <v/>
      </c>
      <c r="AG518" s="623"/>
      <c r="AH518" s="621" t="str">
        <f>PRIX!A519</f>
        <v/>
      </c>
      <c r="AI518" s="626" t="str">
        <f>PRIX!B519</f>
        <v/>
      </c>
      <c r="AJ518" s="626" t="str">
        <f>PRIX!C519</f>
        <v/>
      </c>
      <c r="AK518" s="627" t="str">
        <f>PRIX!D519</f>
        <v/>
      </c>
      <c r="AL518" s="626" t="str">
        <f>PRIX!E519</f>
        <v/>
      </c>
      <c r="AM518" s="626" t="str">
        <f>PRIX!F519</f>
        <v/>
      </c>
      <c r="AN518" s="627" t="str">
        <f>PRIX!G519</f>
        <v/>
      </c>
      <c r="AO518" s="627" t="str">
        <f>PRIX!H519</f>
        <v/>
      </c>
      <c r="AP518" s="631" t="str">
        <f>PRIX!I519</f>
        <v/>
      </c>
      <c r="AQ518" s="628" t="str">
        <f>PRIX!J519</f>
        <v/>
      </c>
      <c r="AR518" s="631" t="str">
        <f>PRIX!K519</f>
        <v/>
      </c>
      <c r="AS518" s="631" t="str">
        <f>PRIX!L519</f>
        <v/>
      </c>
      <c r="AT518" s="631" t="str">
        <f>PRIX!M519</f>
        <v/>
      </c>
      <c r="AU518" s="629" t="str">
        <f>PRIX!N519</f>
        <v/>
      </c>
      <c r="AV518" s="631" t="str">
        <f>PRIX!O519</f>
        <v/>
      </c>
      <c r="AW518" s="631" t="str">
        <f>PRIX!P519</f>
        <v/>
      </c>
      <c r="AX518" s="630" t="str">
        <f>PRIX!Q519</f>
        <v/>
      </c>
      <c r="AY518" s="631" t="str">
        <f>PRIX!R519</f>
        <v/>
      </c>
      <c r="AZ518" s="631" t="str">
        <f>PRIX!S519</f>
        <v/>
      </c>
      <c r="BA518" s="623"/>
    </row>
    <row r="519">
      <c r="A519" s="621" t="str">
        <f>ARBITRAGES!E520</f>
        <v/>
      </c>
      <c r="B519" s="623" t="str">
        <f>IF(A519="","",IF(ARBITRAGES!F520="Invest","Achat","Vente"))</f>
        <v/>
      </c>
      <c r="C519" s="623" t="str">
        <f>ARBITRAGES!H520</f>
        <v/>
      </c>
      <c r="D519" s="624" t="str">
        <f>ARBITRAGES!I520</f>
        <v/>
      </c>
      <c r="E519" s="624" t="str">
        <f>ARBITRAGES!J520</f>
        <v/>
      </c>
      <c r="F519" s="623"/>
      <c r="G519" s="623" t="str">
        <f>'PV (%)'!B521</f>
        <v/>
      </c>
      <c r="H519" s="624" t="str">
        <f>'PV (%)'!E521</f>
        <v/>
      </c>
      <c r="I519" s="624" t="str">
        <f>'PV (%)'!F521</f>
        <v/>
      </c>
      <c r="J519" s="624" t="str">
        <f>'PV (%)'!G521</f>
        <v/>
      </c>
      <c r="K519" s="623"/>
      <c r="L519" s="621" t="str">
        <f>Exposition!A520</f>
        <v/>
      </c>
      <c r="M519" s="625" t="str">
        <f>Exposition!B520</f>
        <v/>
      </c>
      <c r="N519" s="625" t="str">
        <f>Exposition!C520</f>
        <v/>
      </c>
      <c r="O519" s="625" t="str">
        <f>Exposition!D520</f>
        <v/>
      </c>
      <c r="P519" s="625" t="str">
        <f>Exposition!E520</f>
        <v/>
      </c>
      <c r="Q519" s="625" t="str">
        <f>Exposition!F520</f>
        <v/>
      </c>
      <c r="R519" s="625" t="str">
        <f>Exposition!G520</f>
        <v/>
      </c>
      <c r="S519" s="625" t="str">
        <f>Exposition!H520</f>
        <v/>
      </c>
      <c r="T519" s="625" t="str">
        <f>Exposition!I520</f>
        <v/>
      </c>
      <c r="U519" s="625" t="str">
        <f>Exposition!J520</f>
        <v/>
      </c>
      <c r="V519" s="625" t="str">
        <f>Exposition!K520</f>
        <v/>
      </c>
      <c r="W519" s="625" t="str">
        <f>Exposition!L520</f>
        <v/>
      </c>
      <c r="X519" s="625" t="str">
        <f>Exposition!M520</f>
        <v/>
      </c>
      <c r="Y519" s="625" t="str">
        <f>Exposition!N520</f>
        <v/>
      </c>
      <c r="Z519" s="625" t="str">
        <f>Exposition!O520</f>
        <v/>
      </c>
      <c r="AA519" s="625" t="str">
        <f>Exposition!P520</f>
        <v/>
      </c>
      <c r="AB519" s="625" t="str">
        <f>Exposition!Q520</f>
        <v/>
      </c>
      <c r="AC519" s="625" t="str">
        <f>Exposition!R520</f>
        <v/>
      </c>
      <c r="AD519" s="625" t="str">
        <f>Exposition!S520</f>
        <v/>
      </c>
      <c r="AE519" s="625" t="str">
        <f>Exposition!T520</f>
        <v/>
      </c>
      <c r="AF519" s="625" t="str">
        <f>Exposition!U520</f>
        <v/>
      </c>
      <c r="AG519" s="623"/>
      <c r="AH519" s="621" t="str">
        <f>PRIX!A520</f>
        <v/>
      </c>
      <c r="AI519" s="626" t="str">
        <f>PRIX!B520</f>
        <v/>
      </c>
      <c r="AJ519" s="626" t="str">
        <f>PRIX!C520</f>
        <v/>
      </c>
      <c r="AK519" s="627" t="str">
        <f>PRIX!D520</f>
        <v/>
      </c>
      <c r="AL519" s="626" t="str">
        <f>PRIX!E520</f>
        <v/>
      </c>
      <c r="AM519" s="626" t="str">
        <f>PRIX!F520</f>
        <v/>
      </c>
      <c r="AN519" s="627" t="str">
        <f>PRIX!G520</f>
        <v/>
      </c>
      <c r="AO519" s="627" t="str">
        <f>PRIX!H520</f>
        <v/>
      </c>
      <c r="AP519" s="631" t="str">
        <f>PRIX!I520</f>
        <v/>
      </c>
      <c r="AQ519" s="628" t="str">
        <f>PRIX!J520</f>
        <v/>
      </c>
      <c r="AR519" s="631" t="str">
        <f>PRIX!K520</f>
        <v/>
      </c>
      <c r="AS519" s="631" t="str">
        <f>PRIX!L520</f>
        <v/>
      </c>
      <c r="AT519" s="631" t="str">
        <f>PRIX!M520</f>
        <v/>
      </c>
      <c r="AU519" s="629" t="str">
        <f>PRIX!N520</f>
        <v/>
      </c>
      <c r="AV519" s="631" t="str">
        <f>PRIX!O520</f>
        <v/>
      </c>
      <c r="AW519" s="631" t="str">
        <f>PRIX!P520</f>
        <v/>
      </c>
      <c r="AX519" s="630" t="str">
        <f>PRIX!Q520</f>
        <v/>
      </c>
      <c r="AY519" s="631" t="str">
        <f>PRIX!R520</f>
        <v/>
      </c>
      <c r="AZ519" s="631" t="str">
        <f>PRIX!S520</f>
        <v/>
      </c>
      <c r="BA519" s="623"/>
    </row>
    <row r="520">
      <c r="A520" s="621" t="str">
        <f>ARBITRAGES!E521</f>
        <v/>
      </c>
      <c r="B520" s="623" t="str">
        <f>IF(A520="","",IF(ARBITRAGES!F521="Invest","Achat","Vente"))</f>
        <v/>
      </c>
      <c r="C520" s="623" t="str">
        <f>ARBITRAGES!H521</f>
        <v/>
      </c>
      <c r="D520" s="624" t="str">
        <f>ARBITRAGES!I521</f>
        <v/>
      </c>
      <c r="E520" s="624" t="str">
        <f>ARBITRAGES!J521</f>
        <v/>
      </c>
      <c r="F520" s="623"/>
      <c r="G520" s="623" t="str">
        <f>'PV (%)'!B522</f>
        <v/>
      </c>
      <c r="H520" s="624" t="str">
        <f>'PV (%)'!E522</f>
        <v/>
      </c>
      <c r="I520" s="624" t="str">
        <f>'PV (%)'!F522</f>
        <v/>
      </c>
      <c r="J520" s="624" t="str">
        <f>'PV (%)'!G522</f>
        <v/>
      </c>
      <c r="K520" s="623"/>
      <c r="L520" s="621" t="str">
        <f>Exposition!A521</f>
        <v/>
      </c>
      <c r="M520" s="625" t="str">
        <f>Exposition!B521</f>
        <v/>
      </c>
      <c r="N520" s="625" t="str">
        <f>Exposition!C521</f>
        <v/>
      </c>
      <c r="O520" s="625" t="str">
        <f>Exposition!D521</f>
        <v/>
      </c>
      <c r="P520" s="625" t="str">
        <f>Exposition!E521</f>
        <v/>
      </c>
      <c r="Q520" s="625" t="str">
        <f>Exposition!F521</f>
        <v/>
      </c>
      <c r="R520" s="625" t="str">
        <f>Exposition!G521</f>
        <v/>
      </c>
      <c r="S520" s="625" t="str">
        <f>Exposition!H521</f>
        <v/>
      </c>
      <c r="T520" s="625" t="str">
        <f>Exposition!I521</f>
        <v/>
      </c>
      <c r="U520" s="625" t="str">
        <f>Exposition!J521</f>
        <v/>
      </c>
      <c r="V520" s="625" t="str">
        <f>Exposition!K521</f>
        <v/>
      </c>
      <c r="W520" s="625" t="str">
        <f>Exposition!L521</f>
        <v/>
      </c>
      <c r="X520" s="625" t="str">
        <f>Exposition!M521</f>
        <v/>
      </c>
      <c r="Y520" s="625" t="str">
        <f>Exposition!N521</f>
        <v/>
      </c>
      <c r="Z520" s="625" t="str">
        <f>Exposition!O521</f>
        <v/>
      </c>
      <c r="AA520" s="625" t="str">
        <f>Exposition!P521</f>
        <v/>
      </c>
      <c r="AB520" s="625" t="str">
        <f>Exposition!Q521</f>
        <v/>
      </c>
      <c r="AC520" s="625" t="str">
        <f>Exposition!R521</f>
        <v/>
      </c>
      <c r="AD520" s="625" t="str">
        <f>Exposition!S521</f>
        <v/>
      </c>
      <c r="AE520" s="625" t="str">
        <f>Exposition!T521</f>
        <v/>
      </c>
      <c r="AF520" s="625" t="str">
        <f>Exposition!U521</f>
        <v/>
      </c>
      <c r="AG520" s="623"/>
      <c r="AH520" s="621" t="str">
        <f>PRIX!A521</f>
        <v/>
      </c>
      <c r="AI520" s="626" t="str">
        <f>PRIX!B521</f>
        <v/>
      </c>
      <c r="AJ520" s="626" t="str">
        <f>PRIX!C521</f>
        <v/>
      </c>
      <c r="AK520" s="627" t="str">
        <f>PRIX!D521</f>
        <v/>
      </c>
      <c r="AL520" s="626" t="str">
        <f>PRIX!E521</f>
        <v/>
      </c>
      <c r="AM520" s="626" t="str">
        <f>PRIX!F521</f>
        <v/>
      </c>
      <c r="AN520" s="627" t="str">
        <f>PRIX!G521</f>
        <v/>
      </c>
      <c r="AO520" s="627" t="str">
        <f>PRIX!H521</f>
        <v/>
      </c>
      <c r="AP520" s="631" t="str">
        <f>PRIX!I521</f>
        <v/>
      </c>
      <c r="AQ520" s="628" t="str">
        <f>PRIX!J521</f>
        <v/>
      </c>
      <c r="AR520" s="631" t="str">
        <f>PRIX!K521</f>
        <v/>
      </c>
      <c r="AS520" s="631" t="str">
        <f>PRIX!L521</f>
        <v/>
      </c>
      <c r="AT520" s="631" t="str">
        <f>PRIX!M521</f>
        <v/>
      </c>
      <c r="AU520" s="629" t="str">
        <f>PRIX!N521</f>
        <v/>
      </c>
      <c r="AV520" s="631" t="str">
        <f>PRIX!O521</f>
        <v/>
      </c>
      <c r="AW520" s="631" t="str">
        <f>PRIX!P521</f>
        <v/>
      </c>
      <c r="AX520" s="630" t="str">
        <f>PRIX!Q521</f>
        <v/>
      </c>
      <c r="AY520" s="631" t="str">
        <f>PRIX!R521</f>
        <v/>
      </c>
      <c r="AZ520" s="631" t="str">
        <f>PRIX!S521</f>
        <v/>
      </c>
      <c r="BA520" s="623"/>
    </row>
    <row r="521">
      <c r="A521" s="621" t="str">
        <f>ARBITRAGES!E522</f>
        <v/>
      </c>
      <c r="B521" s="623" t="str">
        <f>IF(A521="","",IF(ARBITRAGES!F522="Invest","Achat","Vente"))</f>
        <v/>
      </c>
      <c r="C521" s="623" t="str">
        <f>ARBITRAGES!H522</f>
        <v/>
      </c>
      <c r="D521" s="624" t="str">
        <f>ARBITRAGES!I522</f>
        <v/>
      </c>
      <c r="E521" s="624" t="str">
        <f>ARBITRAGES!J522</f>
        <v/>
      </c>
      <c r="F521" s="623"/>
      <c r="G521" s="623" t="str">
        <f>'PV (%)'!B523</f>
        <v/>
      </c>
      <c r="H521" s="624" t="str">
        <f>'PV (%)'!E523</f>
        <v/>
      </c>
      <c r="I521" s="624" t="str">
        <f>'PV (%)'!F523</f>
        <v/>
      </c>
      <c r="J521" s="624" t="str">
        <f>'PV (%)'!G523</f>
        <v/>
      </c>
      <c r="K521" s="623"/>
      <c r="L521" s="621" t="str">
        <f>Exposition!A522</f>
        <v/>
      </c>
      <c r="M521" s="625" t="str">
        <f>Exposition!B522</f>
        <v/>
      </c>
      <c r="N521" s="625" t="str">
        <f>Exposition!C522</f>
        <v/>
      </c>
      <c r="O521" s="625" t="str">
        <f>Exposition!D522</f>
        <v/>
      </c>
      <c r="P521" s="625" t="str">
        <f>Exposition!E522</f>
        <v/>
      </c>
      <c r="Q521" s="625" t="str">
        <f>Exposition!F522</f>
        <v/>
      </c>
      <c r="R521" s="625" t="str">
        <f>Exposition!G522</f>
        <v/>
      </c>
      <c r="S521" s="625" t="str">
        <f>Exposition!H522</f>
        <v/>
      </c>
      <c r="T521" s="625" t="str">
        <f>Exposition!I522</f>
        <v/>
      </c>
      <c r="U521" s="625" t="str">
        <f>Exposition!J522</f>
        <v/>
      </c>
      <c r="V521" s="625" t="str">
        <f>Exposition!K522</f>
        <v/>
      </c>
      <c r="W521" s="625" t="str">
        <f>Exposition!L522</f>
        <v/>
      </c>
      <c r="X521" s="625" t="str">
        <f>Exposition!M522</f>
        <v/>
      </c>
      <c r="Y521" s="625" t="str">
        <f>Exposition!N522</f>
        <v/>
      </c>
      <c r="Z521" s="625" t="str">
        <f>Exposition!O522</f>
        <v/>
      </c>
      <c r="AA521" s="625" t="str">
        <f>Exposition!P522</f>
        <v/>
      </c>
      <c r="AB521" s="625" t="str">
        <f>Exposition!Q522</f>
        <v/>
      </c>
      <c r="AC521" s="625" t="str">
        <f>Exposition!R522</f>
        <v/>
      </c>
      <c r="AD521" s="625" t="str">
        <f>Exposition!S522</f>
        <v/>
      </c>
      <c r="AE521" s="625" t="str">
        <f>Exposition!T522</f>
        <v/>
      </c>
      <c r="AF521" s="625" t="str">
        <f>Exposition!U522</f>
        <v/>
      </c>
      <c r="AG521" s="623"/>
      <c r="AH521" s="621" t="str">
        <f>PRIX!A522</f>
        <v/>
      </c>
      <c r="AI521" s="626" t="str">
        <f>PRIX!B522</f>
        <v/>
      </c>
      <c r="AJ521" s="626" t="str">
        <f>PRIX!C522</f>
        <v/>
      </c>
      <c r="AK521" s="627" t="str">
        <f>PRIX!D522</f>
        <v/>
      </c>
      <c r="AL521" s="626" t="str">
        <f>PRIX!E522</f>
        <v/>
      </c>
      <c r="AM521" s="626" t="str">
        <f>PRIX!F522</f>
        <v/>
      </c>
      <c r="AN521" s="627" t="str">
        <f>PRIX!G522</f>
        <v/>
      </c>
      <c r="AO521" s="627" t="str">
        <f>PRIX!H522</f>
        <v/>
      </c>
      <c r="AP521" s="631" t="str">
        <f>PRIX!I522</f>
        <v/>
      </c>
      <c r="AQ521" s="628" t="str">
        <f>PRIX!J522</f>
        <v/>
      </c>
      <c r="AR521" s="631" t="str">
        <f>PRIX!K522</f>
        <v/>
      </c>
      <c r="AS521" s="631" t="str">
        <f>PRIX!L522</f>
        <v/>
      </c>
      <c r="AT521" s="631" t="str">
        <f>PRIX!M522</f>
        <v/>
      </c>
      <c r="AU521" s="629" t="str">
        <f>PRIX!N522</f>
        <v/>
      </c>
      <c r="AV521" s="631" t="str">
        <f>PRIX!O522</f>
        <v/>
      </c>
      <c r="AW521" s="631" t="str">
        <f>PRIX!P522</f>
        <v/>
      </c>
      <c r="AX521" s="630" t="str">
        <f>PRIX!Q522</f>
        <v/>
      </c>
      <c r="AY521" s="631" t="str">
        <f>PRIX!R522</f>
        <v/>
      </c>
      <c r="AZ521" s="631" t="str">
        <f>PRIX!S522</f>
        <v/>
      </c>
      <c r="BA521" s="623"/>
    </row>
    <row r="522">
      <c r="A522" s="621" t="str">
        <f>ARBITRAGES!E523</f>
        <v/>
      </c>
      <c r="B522" s="623" t="str">
        <f>IF(A522="","",IF(ARBITRAGES!F523="Invest","Achat","Vente"))</f>
        <v/>
      </c>
      <c r="C522" s="623" t="str">
        <f>ARBITRAGES!H523</f>
        <v/>
      </c>
      <c r="D522" s="624" t="str">
        <f>ARBITRAGES!I523</f>
        <v/>
      </c>
      <c r="E522" s="624" t="str">
        <f>ARBITRAGES!J523</f>
        <v/>
      </c>
      <c r="F522" s="623"/>
      <c r="G522" s="623" t="str">
        <f>'PV (%)'!B524</f>
        <v/>
      </c>
      <c r="H522" s="624" t="str">
        <f>'PV (%)'!E524</f>
        <v/>
      </c>
      <c r="I522" s="624" t="str">
        <f>'PV (%)'!F524</f>
        <v/>
      </c>
      <c r="J522" s="624" t="str">
        <f>'PV (%)'!G524</f>
        <v/>
      </c>
      <c r="K522" s="623"/>
      <c r="L522" s="621" t="str">
        <f>Exposition!A523</f>
        <v/>
      </c>
      <c r="M522" s="625" t="str">
        <f>Exposition!B523</f>
        <v/>
      </c>
      <c r="N522" s="625" t="str">
        <f>Exposition!C523</f>
        <v/>
      </c>
      <c r="O522" s="625" t="str">
        <f>Exposition!D523</f>
        <v/>
      </c>
      <c r="P522" s="625" t="str">
        <f>Exposition!E523</f>
        <v/>
      </c>
      <c r="Q522" s="625" t="str">
        <f>Exposition!F523</f>
        <v/>
      </c>
      <c r="R522" s="625" t="str">
        <f>Exposition!G523</f>
        <v/>
      </c>
      <c r="S522" s="625" t="str">
        <f>Exposition!H523</f>
        <v/>
      </c>
      <c r="T522" s="625" t="str">
        <f>Exposition!I523</f>
        <v/>
      </c>
      <c r="U522" s="625" t="str">
        <f>Exposition!J523</f>
        <v/>
      </c>
      <c r="V522" s="625" t="str">
        <f>Exposition!K523</f>
        <v/>
      </c>
      <c r="W522" s="625" t="str">
        <f>Exposition!L523</f>
        <v/>
      </c>
      <c r="X522" s="625" t="str">
        <f>Exposition!M523</f>
        <v/>
      </c>
      <c r="Y522" s="625" t="str">
        <f>Exposition!N523</f>
        <v/>
      </c>
      <c r="Z522" s="625" t="str">
        <f>Exposition!O523</f>
        <v/>
      </c>
      <c r="AA522" s="625" t="str">
        <f>Exposition!P523</f>
        <v/>
      </c>
      <c r="AB522" s="625" t="str">
        <f>Exposition!Q523</f>
        <v/>
      </c>
      <c r="AC522" s="625" t="str">
        <f>Exposition!R523</f>
        <v/>
      </c>
      <c r="AD522" s="625" t="str">
        <f>Exposition!S523</f>
        <v/>
      </c>
      <c r="AE522" s="625" t="str">
        <f>Exposition!T523</f>
        <v/>
      </c>
      <c r="AF522" s="625" t="str">
        <f>Exposition!U523</f>
        <v/>
      </c>
      <c r="AG522" s="623"/>
      <c r="AH522" s="623"/>
      <c r="AI522" s="623"/>
      <c r="AJ522" s="623"/>
      <c r="AK522" s="623"/>
      <c r="AL522" s="623"/>
      <c r="AM522" s="623"/>
      <c r="AN522" s="623"/>
      <c r="AO522" s="623"/>
      <c r="AP522" s="623"/>
      <c r="AQ522" s="623"/>
      <c r="AR522" s="623"/>
      <c r="AS522" s="623"/>
      <c r="AT522" s="623"/>
      <c r="AU522" s="623"/>
      <c r="AV522" s="623"/>
      <c r="AW522" s="623"/>
      <c r="AX522" s="623"/>
      <c r="AY522" s="623"/>
      <c r="AZ522" s="623"/>
      <c r="BA522" s="623"/>
    </row>
    <row r="523">
      <c r="A523" s="621" t="str">
        <f>ARBITRAGES!E524</f>
        <v/>
      </c>
      <c r="B523" s="623" t="str">
        <f>IF(A523="","",IF(ARBITRAGES!F524="Invest","Achat","Vente"))</f>
        <v/>
      </c>
      <c r="C523" s="623" t="str">
        <f>ARBITRAGES!H524</f>
        <v/>
      </c>
      <c r="D523" s="624" t="str">
        <f>ARBITRAGES!I524</f>
        <v/>
      </c>
      <c r="E523" s="624" t="str">
        <f>ARBITRAGES!J524</f>
        <v/>
      </c>
      <c r="F523" s="623"/>
      <c r="G523" s="623" t="str">
        <f>'PV (%)'!B525</f>
        <v/>
      </c>
      <c r="H523" s="624" t="str">
        <f>'PV (%)'!E525</f>
        <v/>
      </c>
      <c r="I523" s="624" t="str">
        <f>'PV (%)'!F525</f>
        <v/>
      </c>
      <c r="J523" s="624" t="str">
        <f>'PV (%)'!G525</f>
        <v/>
      </c>
      <c r="K523" s="623"/>
      <c r="L523" s="621" t="str">
        <f>Exposition!A524</f>
        <v/>
      </c>
      <c r="M523" s="625" t="str">
        <f>Exposition!B524</f>
        <v/>
      </c>
      <c r="N523" s="625" t="str">
        <f>Exposition!C524</f>
        <v/>
      </c>
      <c r="O523" s="625" t="str">
        <f>Exposition!D524</f>
        <v/>
      </c>
      <c r="P523" s="625" t="str">
        <f>Exposition!E524</f>
        <v/>
      </c>
      <c r="Q523" s="625" t="str">
        <f>Exposition!F524</f>
        <v/>
      </c>
      <c r="R523" s="625" t="str">
        <f>Exposition!G524</f>
        <v/>
      </c>
      <c r="S523" s="625" t="str">
        <f>Exposition!H524</f>
        <v/>
      </c>
      <c r="T523" s="625" t="str">
        <f>Exposition!I524</f>
        <v/>
      </c>
      <c r="U523" s="625" t="str">
        <f>Exposition!J524</f>
        <v/>
      </c>
      <c r="V523" s="625" t="str">
        <f>Exposition!K524</f>
        <v/>
      </c>
      <c r="W523" s="625" t="str">
        <f>Exposition!L524</f>
        <v/>
      </c>
      <c r="X523" s="625" t="str">
        <f>Exposition!M524</f>
        <v/>
      </c>
      <c r="Y523" s="625" t="str">
        <f>Exposition!N524</f>
        <v/>
      </c>
      <c r="Z523" s="625" t="str">
        <f>Exposition!O524</f>
        <v/>
      </c>
      <c r="AA523" s="625" t="str">
        <f>Exposition!P524</f>
        <v/>
      </c>
      <c r="AB523" s="625" t="str">
        <f>Exposition!Q524</f>
        <v/>
      </c>
      <c r="AC523" s="625" t="str">
        <f>Exposition!R524</f>
        <v/>
      </c>
      <c r="AD523" s="625" t="str">
        <f>Exposition!S524</f>
        <v/>
      </c>
      <c r="AE523" s="625" t="str">
        <f>Exposition!T524</f>
        <v/>
      </c>
      <c r="AF523" s="625" t="str">
        <f>Exposition!U524</f>
        <v/>
      </c>
      <c r="AG523" s="623"/>
      <c r="AH523" s="623"/>
      <c r="AI523" s="623"/>
      <c r="AJ523" s="623"/>
      <c r="AK523" s="623"/>
      <c r="AL523" s="623"/>
      <c r="AM523" s="623"/>
      <c r="AN523" s="623"/>
      <c r="AO523" s="623"/>
      <c r="AP523" s="623"/>
      <c r="AQ523" s="623"/>
      <c r="AR523" s="623"/>
      <c r="AS523" s="623"/>
      <c r="AT523" s="623"/>
      <c r="AU523" s="623"/>
      <c r="AV523" s="623"/>
      <c r="AW523" s="623"/>
      <c r="AX523" s="623"/>
      <c r="AY523" s="623"/>
      <c r="AZ523" s="623"/>
      <c r="BA523" s="623"/>
    </row>
    <row r="524">
      <c r="A524" s="621" t="str">
        <f>ARBITRAGES!E525</f>
        <v/>
      </c>
      <c r="B524" s="623" t="str">
        <f>IF(A524="","",IF(ARBITRAGES!F525="Invest","Achat","Vente"))</f>
        <v/>
      </c>
      <c r="C524" s="623" t="str">
        <f>ARBITRAGES!H525</f>
        <v/>
      </c>
      <c r="D524" s="624" t="str">
        <f>ARBITRAGES!I525</f>
        <v/>
      </c>
      <c r="E524" s="624" t="str">
        <f>ARBITRAGES!J525</f>
        <v/>
      </c>
      <c r="F524" s="623"/>
      <c r="G524" s="623" t="str">
        <f>'PV (%)'!B526</f>
        <v/>
      </c>
      <c r="H524" s="624" t="str">
        <f>'PV (%)'!E526</f>
        <v/>
      </c>
      <c r="I524" s="624" t="str">
        <f>'PV (%)'!F526</f>
        <v/>
      </c>
      <c r="J524" s="624" t="str">
        <f>'PV (%)'!G526</f>
        <v/>
      </c>
      <c r="K524" s="623"/>
      <c r="L524" s="621" t="str">
        <f>Exposition!A525</f>
        <v/>
      </c>
      <c r="M524" s="625" t="str">
        <f>Exposition!B525</f>
        <v/>
      </c>
      <c r="N524" s="625" t="str">
        <f>Exposition!C525</f>
        <v/>
      </c>
      <c r="O524" s="625" t="str">
        <f>Exposition!D525</f>
        <v/>
      </c>
      <c r="P524" s="625" t="str">
        <f>Exposition!E525</f>
        <v/>
      </c>
      <c r="Q524" s="625" t="str">
        <f>Exposition!F525</f>
        <v/>
      </c>
      <c r="R524" s="625" t="str">
        <f>Exposition!G525</f>
        <v/>
      </c>
      <c r="S524" s="625" t="str">
        <f>Exposition!H525</f>
        <v/>
      </c>
      <c r="T524" s="625" t="str">
        <f>Exposition!I525</f>
        <v/>
      </c>
      <c r="U524" s="625" t="str">
        <f>Exposition!J525</f>
        <v/>
      </c>
      <c r="V524" s="625" t="str">
        <f>Exposition!K525</f>
        <v/>
      </c>
      <c r="W524" s="625" t="str">
        <f>Exposition!L525</f>
        <v/>
      </c>
      <c r="X524" s="625" t="str">
        <f>Exposition!M525</f>
        <v/>
      </c>
      <c r="Y524" s="625" t="str">
        <f>Exposition!N525</f>
        <v/>
      </c>
      <c r="Z524" s="625" t="str">
        <f>Exposition!O525</f>
        <v/>
      </c>
      <c r="AA524" s="625" t="str">
        <f>Exposition!P525</f>
        <v/>
      </c>
      <c r="AB524" s="625" t="str">
        <f>Exposition!Q525</f>
        <v/>
      </c>
      <c r="AC524" s="625" t="str">
        <f>Exposition!R525</f>
        <v/>
      </c>
      <c r="AD524" s="625" t="str">
        <f>Exposition!S525</f>
        <v/>
      </c>
      <c r="AE524" s="625" t="str">
        <f>Exposition!T525</f>
        <v/>
      </c>
      <c r="AF524" s="625" t="str">
        <f>Exposition!U525</f>
        <v/>
      </c>
      <c r="AG524" s="623"/>
      <c r="AH524" s="623"/>
      <c r="AI524" s="623"/>
      <c r="AJ524" s="623"/>
      <c r="AK524" s="623"/>
      <c r="AL524" s="623"/>
      <c r="AM524" s="623"/>
      <c r="AN524" s="623"/>
      <c r="AO524" s="623"/>
      <c r="AP524" s="623"/>
      <c r="AQ524" s="623"/>
      <c r="AR524" s="623"/>
      <c r="AS524" s="623"/>
      <c r="AT524" s="623"/>
      <c r="AU524" s="623"/>
      <c r="AV524" s="623"/>
      <c r="AW524" s="623"/>
      <c r="AX524" s="623"/>
      <c r="AY524" s="623"/>
      <c r="AZ524" s="623"/>
      <c r="BA524" s="623"/>
    </row>
    <row r="525">
      <c r="A525" s="621" t="str">
        <f>ARBITRAGES!E526</f>
        <v/>
      </c>
      <c r="B525" s="623" t="str">
        <f>IF(A525="","",IF(ARBITRAGES!F526="Invest","Achat","Vente"))</f>
        <v/>
      </c>
      <c r="C525" s="623" t="str">
        <f>ARBITRAGES!H526</f>
        <v/>
      </c>
      <c r="D525" s="624" t="str">
        <f>ARBITRAGES!I526</f>
        <v/>
      </c>
      <c r="E525" s="624" t="str">
        <f>ARBITRAGES!J526</f>
        <v/>
      </c>
      <c r="F525" s="623"/>
      <c r="G525" s="623" t="str">
        <f>'PV (%)'!B527</f>
        <v/>
      </c>
      <c r="H525" s="624" t="str">
        <f>'PV (%)'!E527</f>
        <v/>
      </c>
      <c r="I525" s="624" t="str">
        <f>'PV (%)'!F527</f>
        <v/>
      </c>
      <c r="J525" s="624" t="str">
        <f>'PV (%)'!G527</f>
        <v/>
      </c>
      <c r="K525" s="623"/>
      <c r="L525" s="621" t="str">
        <f>Exposition!A526</f>
        <v/>
      </c>
      <c r="M525" s="625" t="str">
        <f>Exposition!B526</f>
        <v/>
      </c>
      <c r="N525" s="625" t="str">
        <f>Exposition!C526</f>
        <v/>
      </c>
      <c r="O525" s="625" t="str">
        <f>Exposition!D526</f>
        <v/>
      </c>
      <c r="P525" s="625" t="str">
        <f>Exposition!E526</f>
        <v/>
      </c>
      <c r="Q525" s="625" t="str">
        <f>Exposition!F526</f>
        <v/>
      </c>
      <c r="R525" s="625" t="str">
        <f>Exposition!G526</f>
        <v/>
      </c>
      <c r="S525" s="625" t="str">
        <f>Exposition!H526</f>
        <v/>
      </c>
      <c r="T525" s="625" t="str">
        <f>Exposition!I526</f>
        <v/>
      </c>
      <c r="U525" s="625" t="str">
        <f>Exposition!J526</f>
        <v/>
      </c>
      <c r="V525" s="625" t="str">
        <f>Exposition!K526</f>
        <v/>
      </c>
      <c r="W525" s="625" t="str">
        <f>Exposition!L526</f>
        <v/>
      </c>
      <c r="X525" s="625" t="str">
        <f>Exposition!M526</f>
        <v/>
      </c>
      <c r="Y525" s="625" t="str">
        <f>Exposition!N526</f>
        <v/>
      </c>
      <c r="Z525" s="625" t="str">
        <f>Exposition!O526</f>
        <v/>
      </c>
      <c r="AA525" s="625" t="str">
        <f>Exposition!P526</f>
        <v/>
      </c>
      <c r="AB525" s="625" t="str">
        <f>Exposition!Q526</f>
        <v/>
      </c>
      <c r="AC525" s="625" t="str">
        <f>Exposition!R526</f>
        <v/>
      </c>
      <c r="AD525" s="625" t="str">
        <f>Exposition!S526</f>
        <v/>
      </c>
      <c r="AE525" s="625" t="str">
        <f>Exposition!T526</f>
        <v/>
      </c>
      <c r="AF525" s="625" t="str">
        <f>Exposition!U526</f>
        <v/>
      </c>
      <c r="AG525" s="623"/>
      <c r="AH525" s="623"/>
      <c r="AI525" s="623"/>
      <c r="AJ525" s="623"/>
      <c r="AK525" s="623"/>
      <c r="AL525" s="623"/>
      <c r="AM525" s="623"/>
      <c r="AN525" s="623"/>
      <c r="AO525" s="623"/>
      <c r="AP525" s="623"/>
      <c r="AQ525" s="623"/>
      <c r="AR525" s="623"/>
      <c r="AS525" s="623"/>
      <c r="AT525" s="623"/>
      <c r="AU525" s="623"/>
      <c r="AV525" s="623"/>
      <c r="AW525" s="623"/>
      <c r="AX525" s="623"/>
      <c r="AY525" s="623"/>
      <c r="AZ525" s="623"/>
      <c r="BA525" s="623"/>
    </row>
    <row r="526">
      <c r="A526" s="621" t="str">
        <f>ARBITRAGES!E527</f>
        <v/>
      </c>
      <c r="B526" s="623" t="str">
        <f>IF(A526="","",IF(ARBITRAGES!F527="Invest","Achat","Vente"))</f>
        <v/>
      </c>
      <c r="C526" s="623" t="str">
        <f>ARBITRAGES!H527</f>
        <v/>
      </c>
      <c r="D526" s="624" t="str">
        <f>ARBITRAGES!I527</f>
        <v/>
      </c>
      <c r="E526" s="624" t="str">
        <f>ARBITRAGES!J527</f>
        <v/>
      </c>
      <c r="F526" s="623"/>
      <c r="G526" s="623" t="str">
        <f>'PV (%)'!B528</f>
        <v/>
      </c>
      <c r="H526" s="624" t="str">
        <f>'PV (%)'!E528</f>
        <v/>
      </c>
      <c r="I526" s="624" t="str">
        <f>'PV (%)'!F528</f>
        <v/>
      </c>
      <c r="J526" s="624" t="str">
        <f>'PV (%)'!G528</f>
        <v/>
      </c>
      <c r="K526" s="623"/>
      <c r="L526" s="621" t="str">
        <f>Exposition!A527</f>
        <v/>
      </c>
      <c r="M526" s="625" t="str">
        <f>Exposition!B527</f>
        <v/>
      </c>
      <c r="N526" s="625" t="str">
        <f>Exposition!C527</f>
        <v/>
      </c>
      <c r="O526" s="625" t="str">
        <f>Exposition!D527</f>
        <v/>
      </c>
      <c r="P526" s="625" t="str">
        <f>Exposition!E527</f>
        <v/>
      </c>
      <c r="Q526" s="625" t="str">
        <f>Exposition!F527</f>
        <v/>
      </c>
      <c r="R526" s="625" t="str">
        <f>Exposition!G527</f>
        <v/>
      </c>
      <c r="S526" s="625" t="str">
        <f>Exposition!H527</f>
        <v/>
      </c>
      <c r="T526" s="625" t="str">
        <f>Exposition!I527</f>
        <v/>
      </c>
      <c r="U526" s="625" t="str">
        <f>Exposition!J527</f>
        <v/>
      </c>
      <c r="V526" s="625" t="str">
        <f>Exposition!K527</f>
        <v/>
      </c>
      <c r="W526" s="625" t="str">
        <f>Exposition!L527</f>
        <v/>
      </c>
      <c r="X526" s="625" t="str">
        <f>Exposition!M527</f>
        <v/>
      </c>
      <c r="Y526" s="625" t="str">
        <f>Exposition!N527</f>
        <v/>
      </c>
      <c r="Z526" s="625" t="str">
        <f>Exposition!O527</f>
        <v/>
      </c>
      <c r="AA526" s="625" t="str">
        <f>Exposition!P527</f>
        <v/>
      </c>
      <c r="AB526" s="625" t="str">
        <f>Exposition!Q527</f>
        <v/>
      </c>
      <c r="AC526" s="625" t="str">
        <f>Exposition!R527</f>
        <v/>
      </c>
      <c r="AD526" s="625" t="str">
        <f>Exposition!S527</f>
        <v/>
      </c>
      <c r="AE526" s="625" t="str">
        <f>Exposition!T527</f>
        <v/>
      </c>
      <c r="AF526" s="625" t="str">
        <f>Exposition!U527</f>
        <v/>
      </c>
      <c r="AG526" s="623"/>
      <c r="AH526" s="623"/>
      <c r="AI526" s="623"/>
      <c r="AJ526" s="623"/>
      <c r="AK526" s="623"/>
      <c r="AL526" s="623"/>
      <c r="AM526" s="623"/>
      <c r="AN526" s="623"/>
      <c r="AO526" s="623"/>
      <c r="AP526" s="623"/>
      <c r="AQ526" s="623"/>
      <c r="AR526" s="623"/>
      <c r="AS526" s="623"/>
      <c r="AT526" s="623"/>
      <c r="AU526" s="623"/>
      <c r="AV526" s="623"/>
      <c r="AW526" s="623"/>
      <c r="AX526" s="623"/>
      <c r="AY526" s="623"/>
      <c r="AZ526" s="623"/>
      <c r="BA526" s="623"/>
    </row>
    <row r="527">
      <c r="A527" s="621" t="str">
        <f>ARBITRAGES!E528</f>
        <v/>
      </c>
      <c r="B527" s="623" t="str">
        <f>IF(A527="","",IF(ARBITRAGES!F528="Invest","Achat","Vente"))</f>
        <v/>
      </c>
      <c r="C527" s="623" t="str">
        <f>ARBITRAGES!H528</f>
        <v/>
      </c>
      <c r="D527" s="624" t="str">
        <f>ARBITRAGES!I528</f>
        <v/>
      </c>
      <c r="E527" s="624" t="str">
        <f>ARBITRAGES!J528</f>
        <v/>
      </c>
      <c r="F527" s="623"/>
      <c r="G527" s="623" t="str">
        <f>'PV (%)'!B529</f>
        <v/>
      </c>
      <c r="H527" s="624" t="str">
        <f>'PV (%)'!E529</f>
        <v/>
      </c>
      <c r="I527" s="624" t="str">
        <f>'PV (%)'!F529</f>
        <v/>
      </c>
      <c r="J527" s="624" t="str">
        <f>'PV (%)'!G529</f>
        <v/>
      </c>
      <c r="K527" s="623"/>
      <c r="L527" s="621" t="str">
        <f>Exposition!A528</f>
        <v/>
      </c>
      <c r="M527" s="625" t="str">
        <f>Exposition!B528</f>
        <v/>
      </c>
      <c r="N527" s="625" t="str">
        <f>Exposition!C528</f>
        <v/>
      </c>
      <c r="O527" s="625" t="str">
        <f>Exposition!D528</f>
        <v/>
      </c>
      <c r="P527" s="625" t="str">
        <f>Exposition!E528</f>
        <v/>
      </c>
      <c r="Q527" s="625" t="str">
        <f>Exposition!F528</f>
        <v/>
      </c>
      <c r="R527" s="625" t="str">
        <f>Exposition!G528</f>
        <v/>
      </c>
      <c r="S527" s="625" t="str">
        <f>Exposition!H528</f>
        <v/>
      </c>
      <c r="T527" s="625" t="str">
        <f>Exposition!I528</f>
        <v/>
      </c>
      <c r="U527" s="625" t="str">
        <f>Exposition!J528</f>
        <v/>
      </c>
      <c r="V527" s="625" t="str">
        <f>Exposition!K528</f>
        <v/>
      </c>
      <c r="W527" s="625" t="str">
        <f>Exposition!L528</f>
        <v/>
      </c>
      <c r="X527" s="625" t="str">
        <f>Exposition!M528</f>
        <v/>
      </c>
      <c r="Y527" s="625" t="str">
        <f>Exposition!N528</f>
        <v/>
      </c>
      <c r="Z527" s="625" t="str">
        <f>Exposition!O528</f>
        <v/>
      </c>
      <c r="AA527" s="625" t="str">
        <f>Exposition!P528</f>
        <v/>
      </c>
      <c r="AB527" s="625" t="str">
        <f>Exposition!Q528</f>
        <v/>
      </c>
      <c r="AC527" s="625" t="str">
        <f>Exposition!R528</f>
        <v/>
      </c>
      <c r="AD527" s="625" t="str">
        <f>Exposition!S528</f>
        <v/>
      </c>
      <c r="AE527" s="625" t="str">
        <f>Exposition!T528</f>
        <v/>
      </c>
      <c r="AF527" s="625" t="str">
        <f>Exposition!U528</f>
        <v/>
      </c>
      <c r="AG527" s="623"/>
      <c r="AH527" s="623"/>
      <c r="AI527" s="623"/>
      <c r="AJ527" s="623"/>
      <c r="AK527" s="623"/>
      <c r="AL527" s="623"/>
      <c r="AM527" s="623"/>
      <c r="AN527" s="623"/>
      <c r="AO527" s="623"/>
      <c r="AP527" s="623"/>
      <c r="AQ527" s="623"/>
      <c r="AR527" s="623"/>
      <c r="AS527" s="623"/>
      <c r="AT527" s="623"/>
      <c r="AU527" s="623"/>
      <c r="AV527" s="623"/>
      <c r="AW527" s="623"/>
      <c r="AX527" s="623"/>
      <c r="AY527" s="623"/>
      <c r="AZ527" s="623"/>
      <c r="BA527" s="623"/>
    </row>
    <row r="528">
      <c r="A528" s="621" t="str">
        <f>ARBITRAGES!E529</f>
        <v/>
      </c>
      <c r="B528" s="623" t="str">
        <f>IF(A528="","",IF(ARBITRAGES!F529="Invest","Achat","Vente"))</f>
        <v/>
      </c>
      <c r="C528" s="623" t="str">
        <f>ARBITRAGES!H529</f>
        <v/>
      </c>
      <c r="D528" s="624" t="str">
        <f>ARBITRAGES!I529</f>
        <v/>
      </c>
      <c r="E528" s="624" t="str">
        <f>ARBITRAGES!J529</f>
        <v/>
      </c>
      <c r="F528" s="623"/>
      <c r="G528" s="623" t="str">
        <f>'PV (%)'!B530</f>
        <v/>
      </c>
      <c r="H528" s="624" t="str">
        <f>'PV (%)'!E530</f>
        <v/>
      </c>
      <c r="I528" s="624" t="str">
        <f>'PV (%)'!F530</f>
        <v/>
      </c>
      <c r="J528" s="624" t="str">
        <f>'PV (%)'!G530</f>
        <v/>
      </c>
      <c r="K528" s="623"/>
      <c r="L528" s="621" t="str">
        <f>Exposition!A529</f>
        <v/>
      </c>
      <c r="M528" s="625" t="str">
        <f>Exposition!B529</f>
        <v/>
      </c>
      <c r="N528" s="625" t="str">
        <f>Exposition!C529</f>
        <v/>
      </c>
      <c r="O528" s="625" t="str">
        <f>Exposition!D529</f>
        <v/>
      </c>
      <c r="P528" s="625" t="str">
        <f>Exposition!E529</f>
        <v/>
      </c>
      <c r="Q528" s="625" t="str">
        <f>Exposition!F529</f>
        <v/>
      </c>
      <c r="R528" s="625" t="str">
        <f>Exposition!G529</f>
        <v/>
      </c>
      <c r="S528" s="625" t="str">
        <f>Exposition!H529</f>
        <v/>
      </c>
      <c r="T528" s="625" t="str">
        <f>Exposition!I529</f>
        <v/>
      </c>
      <c r="U528" s="625" t="str">
        <f>Exposition!J529</f>
        <v/>
      </c>
      <c r="V528" s="625" t="str">
        <f>Exposition!K529</f>
        <v/>
      </c>
      <c r="W528" s="625" t="str">
        <f>Exposition!L529</f>
        <v/>
      </c>
      <c r="X528" s="625" t="str">
        <f>Exposition!M529</f>
        <v/>
      </c>
      <c r="Y528" s="625" t="str">
        <f>Exposition!N529</f>
        <v/>
      </c>
      <c r="Z528" s="625" t="str">
        <f>Exposition!O529</f>
        <v/>
      </c>
      <c r="AA528" s="625" t="str">
        <f>Exposition!P529</f>
        <v/>
      </c>
      <c r="AB528" s="625" t="str">
        <f>Exposition!Q529</f>
        <v/>
      </c>
      <c r="AC528" s="625" t="str">
        <f>Exposition!R529</f>
        <v/>
      </c>
      <c r="AD528" s="625" t="str">
        <f>Exposition!S529</f>
        <v/>
      </c>
      <c r="AE528" s="625" t="str">
        <f>Exposition!T529</f>
        <v/>
      </c>
      <c r="AF528" s="625" t="str">
        <f>Exposition!U529</f>
        <v/>
      </c>
      <c r="AG528" s="623"/>
      <c r="AH528" s="623"/>
      <c r="AI528" s="623"/>
      <c r="AJ528" s="623"/>
      <c r="AK528" s="623"/>
      <c r="AL528" s="623"/>
      <c r="AM528" s="623"/>
      <c r="AN528" s="623"/>
      <c r="AO528" s="623"/>
      <c r="AP528" s="623"/>
      <c r="AQ528" s="623"/>
      <c r="AR528" s="623"/>
      <c r="AS528" s="623"/>
      <c r="AT528" s="623"/>
      <c r="AU528" s="623"/>
      <c r="AV528" s="623"/>
      <c r="AW528" s="623"/>
      <c r="AX528" s="623"/>
      <c r="AY528" s="623"/>
      <c r="AZ528" s="623"/>
      <c r="BA528" s="623"/>
    </row>
    <row r="529">
      <c r="A529" s="621" t="str">
        <f>ARBITRAGES!E530</f>
        <v/>
      </c>
      <c r="B529" s="623" t="str">
        <f>IF(A529="","",IF(ARBITRAGES!F530="Invest","Achat","Vente"))</f>
        <v/>
      </c>
      <c r="C529" s="623" t="str">
        <f>ARBITRAGES!H530</f>
        <v/>
      </c>
      <c r="D529" s="624" t="str">
        <f>ARBITRAGES!I530</f>
        <v/>
      </c>
      <c r="E529" s="624" t="str">
        <f>ARBITRAGES!J530</f>
        <v/>
      </c>
      <c r="F529" s="623"/>
      <c r="G529" s="623" t="str">
        <f>'PV (%)'!B531</f>
        <v/>
      </c>
      <c r="H529" s="624" t="str">
        <f>'PV (%)'!E531</f>
        <v/>
      </c>
      <c r="I529" s="624" t="str">
        <f>'PV (%)'!F531</f>
        <v/>
      </c>
      <c r="J529" s="624" t="str">
        <f>'PV (%)'!G531</f>
        <v/>
      </c>
      <c r="K529" s="623"/>
      <c r="L529" s="621" t="str">
        <f>Exposition!A530</f>
        <v/>
      </c>
      <c r="M529" s="625" t="str">
        <f>Exposition!B530</f>
        <v/>
      </c>
      <c r="N529" s="625" t="str">
        <f>Exposition!C530</f>
        <v/>
      </c>
      <c r="O529" s="625" t="str">
        <f>Exposition!D530</f>
        <v/>
      </c>
      <c r="P529" s="625" t="str">
        <f>Exposition!E530</f>
        <v/>
      </c>
      <c r="Q529" s="625" t="str">
        <f>Exposition!F530</f>
        <v/>
      </c>
      <c r="R529" s="625" t="str">
        <f>Exposition!G530</f>
        <v/>
      </c>
      <c r="S529" s="625" t="str">
        <f>Exposition!H530</f>
        <v/>
      </c>
      <c r="T529" s="625" t="str">
        <f>Exposition!I530</f>
        <v/>
      </c>
      <c r="U529" s="625" t="str">
        <f>Exposition!J530</f>
        <v/>
      </c>
      <c r="V529" s="625" t="str">
        <f>Exposition!K530</f>
        <v/>
      </c>
      <c r="W529" s="625" t="str">
        <f>Exposition!L530</f>
        <v/>
      </c>
      <c r="X529" s="625" t="str">
        <f>Exposition!M530</f>
        <v/>
      </c>
      <c r="Y529" s="625" t="str">
        <f>Exposition!N530</f>
        <v/>
      </c>
      <c r="Z529" s="625" t="str">
        <f>Exposition!O530</f>
        <v/>
      </c>
      <c r="AA529" s="625" t="str">
        <f>Exposition!P530</f>
        <v/>
      </c>
      <c r="AB529" s="625" t="str">
        <f>Exposition!Q530</f>
        <v/>
      </c>
      <c r="AC529" s="625" t="str">
        <f>Exposition!R530</f>
        <v/>
      </c>
      <c r="AD529" s="625" t="str">
        <f>Exposition!S530</f>
        <v/>
      </c>
      <c r="AE529" s="625" t="str">
        <f>Exposition!T530</f>
        <v/>
      </c>
      <c r="AF529" s="625" t="str">
        <f>Exposition!U530</f>
        <v/>
      </c>
      <c r="AG529" s="623"/>
      <c r="AH529" s="623"/>
      <c r="AI529" s="623"/>
      <c r="AJ529" s="623"/>
      <c r="AK529" s="623"/>
      <c r="AL529" s="623"/>
      <c r="AM529" s="623"/>
      <c r="AN529" s="623"/>
      <c r="AO529" s="623"/>
      <c r="AP529" s="623"/>
      <c r="AQ529" s="623"/>
      <c r="AR529" s="623"/>
      <c r="AS529" s="623"/>
      <c r="AT529" s="623"/>
      <c r="AU529" s="623"/>
      <c r="AV529" s="623"/>
      <c r="AW529" s="623"/>
      <c r="AX529" s="623"/>
      <c r="AY529" s="623"/>
      <c r="AZ529" s="623"/>
      <c r="BA529" s="623"/>
    </row>
    <row r="530">
      <c r="A530" s="621" t="str">
        <f>ARBITRAGES!E531</f>
        <v/>
      </c>
      <c r="B530" s="623" t="str">
        <f>IF(A530="","",IF(ARBITRAGES!F531="Invest","Achat","Vente"))</f>
        <v/>
      </c>
      <c r="C530" s="623" t="str">
        <f>ARBITRAGES!H531</f>
        <v/>
      </c>
      <c r="D530" s="624" t="str">
        <f>ARBITRAGES!I531</f>
        <v/>
      </c>
      <c r="E530" s="624" t="str">
        <f>ARBITRAGES!J531</f>
        <v/>
      </c>
      <c r="F530" s="623"/>
      <c r="G530" s="623" t="str">
        <f>'PV (%)'!B532</f>
        <v/>
      </c>
      <c r="H530" s="624" t="str">
        <f>'PV (%)'!E532</f>
        <v/>
      </c>
      <c r="I530" s="624" t="str">
        <f>'PV (%)'!F532</f>
        <v/>
      </c>
      <c r="J530" s="624" t="str">
        <f>'PV (%)'!G532</f>
        <v/>
      </c>
      <c r="K530" s="623"/>
      <c r="L530" s="621" t="str">
        <f>Exposition!A531</f>
        <v/>
      </c>
      <c r="M530" s="625" t="str">
        <f>Exposition!B531</f>
        <v/>
      </c>
      <c r="N530" s="625" t="str">
        <f>Exposition!C531</f>
        <v/>
      </c>
      <c r="O530" s="625" t="str">
        <f>Exposition!D531</f>
        <v/>
      </c>
      <c r="P530" s="625" t="str">
        <f>Exposition!E531</f>
        <v/>
      </c>
      <c r="Q530" s="625" t="str">
        <f>Exposition!F531</f>
        <v/>
      </c>
      <c r="R530" s="625" t="str">
        <f>Exposition!G531</f>
        <v/>
      </c>
      <c r="S530" s="625" t="str">
        <f>Exposition!H531</f>
        <v/>
      </c>
      <c r="T530" s="625" t="str">
        <f>Exposition!I531</f>
        <v/>
      </c>
      <c r="U530" s="625" t="str">
        <f>Exposition!J531</f>
        <v/>
      </c>
      <c r="V530" s="625" t="str">
        <f>Exposition!K531</f>
        <v/>
      </c>
      <c r="W530" s="625" t="str">
        <f>Exposition!L531</f>
        <v/>
      </c>
      <c r="X530" s="625" t="str">
        <f>Exposition!M531</f>
        <v/>
      </c>
      <c r="Y530" s="625" t="str">
        <f>Exposition!N531</f>
        <v/>
      </c>
      <c r="Z530" s="625" t="str">
        <f>Exposition!O531</f>
        <v/>
      </c>
      <c r="AA530" s="625" t="str">
        <f>Exposition!P531</f>
        <v/>
      </c>
      <c r="AB530" s="625" t="str">
        <f>Exposition!Q531</f>
        <v/>
      </c>
      <c r="AC530" s="625" t="str">
        <f>Exposition!R531</f>
        <v/>
      </c>
      <c r="AD530" s="625" t="str">
        <f>Exposition!S531</f>
        <v/>
      </c>
      <c r="AE530" s="625" t="str">
        <f>Exposition!T531</f>
        <v/>
      </c>
      <c r="AF530" s="625" t="str">
        <f>Exposition!U531</f>
        <v/>
      </c>
      <c r="AG530" s="623"/>
      <c r="AH530" s="623"/>
      <c r="AI530" s="623"/>
      <c r="AJ530" s="623"/>
      <c r="AK530" s="623"/>
      <c r="AL530" s="623"/>
      <c r="AM530" s="623"/>
      <c r="AN530" s="623"/>
      <c r="AO530" s="623"/>
      <c r="AP530" s="623"/>
      <c r="AQ530" s="623"/>
      <c r="AR530" s="623"/>
      <c r="AS530" s="623"/>
      <c r="AT530" s="623"/>
      <c r="AU530" s="623"/>
      <c r="AV530" s="623"/>
      <c r="AW530" s="623"/>
      <c r="AX530" s="623"/>
      <c r="AY530" s="623"/>
      <c r="AZ530" s="623"/>
      <c r="BA530" s="623"/>
    </row>
    <row r="531">
      <c r="A531" s="621" t="str">
        <f>ARBITRAGES!E532</f>
        <v/>
      </c>
      <c r="B531" s="623" t="str">
        <f>IF(A531="","",IF(ARBITRAGES!F532="Invest","Achat","Vente"))</f>
        <v/>
      </c>
      <c r="C531" s="623" t="str">
        <f>ARBITRAGES!H532</f>
        <v/>
      </c>
      <c r="D531" s="624" t="str">
        <f>ARBITRAGES!I532</f>
        <v/>
      </c>
      <c r="E531" s="624" t="str">
        <f>ARBITRAGES!J532</f>
        <v/>
      </c>
      <c r="F531" s="623"/>
      <c r="G531" s="623" t="str">
        <f>'PV (%)'!B533</f>
        <v/>
      </c>
      <c r="H531" s="624" t="str">
        <f>'PV (%)'!E533</f>
        <v/>
      </c>
      <c r="I531" s="624" t="str">
        <f>'PV (%)'!F533</f>
        <v/>
      </c>
      <c r="J531" s="624" t="str">
        <f>'PV (%)'!G533</f>
        <v/>
      </c>
      <c r="K531" s="623"/>
      <c r="L531" s="621" t="str">
        <f>Exposition!A532</f>
        <v/>
      </c>
      <c r="M531" s="625" t="str">
        <f>Exposition!B532</f>
        <v/>
      </c>
      <c r="N531" s="625" t="str">
        <f>Exposition!C532</f>
        <v/>
      </c>
      <c r="O531" s="625" t="str">
        <f>Exposition!D532</f>
        <v/>
      </c>
      <c r="P531" s="625" t="str">
        <f>Exposition!E532</f>
        <v/>
      </c>
      <c r="Q531" s="625" t="str">
        <f>Exposition!F532</f>
        <v/>
      </c>
      <c r="R531" s="625" t="str">
        <f>Exposition!G532</f>
        <v/>
      </c>
      <c r="S531" s="625" t="str">
        <f>Exposition!H532</f>
        <v/>
      </c>
      <c r="T531" s="625" t="str">
        <f>Exposition!I532</f>
        <v/>
      </c>
      <c r="U531" s="625" t="str">
        <f>Exposition!J532</f>
        <v/>
      </c>
      <c r="V531" s="625" t="str">
        <f>Exposition!K532</f>
        <v/>
      </c>
      <c r="W531" s="625" t="str">
        <f>Exposition!L532</f>
        <v/>
      </c>
      <c r="X531" s="625" t="str">
        <f>Exposition!M532</f>
        <v/>
      </c>
      <c r="Y531" s="625" t="str">
        <f>Exposition!N532</f>
        <v/>
      </c>
      <c r="Z531" s="625" t="str">
        <f>Exposition!O532</f>
        <v/>
      </c>
      <c r="AA531" s="625" t="str">
        <f>Exposition!P532</f>
        <v/>
      </c>
      <c r="AB531" s="625" t="str">
        <f>Exposition!Q532</f>
        <v/>
      </c>
      <c r="AC531" s="625" t="str">
        <f>Exposition!R532</f>
        <v/>
      </c>
      <c r="AD531" s="625" t="str">
        <f>Exposition!S532</f>
        <v/>
      </c>
      <c r="AE531" s="625" t="str">
        <f>Exposition!T532</f>
        <v/>
      </c>
      <c r="AF531" s="625" t="str">
        <f>Exposition!U532</f>
        <v/>
      </c>
      <c r="AG531" s="623"/>
      <c r="AH531" s="623"/>
      <c r="AI531" s="623"/>
      <c r="AJ531" s="623"/>
      <c r="AK531" s="623"/>
      <c r="AL531" s="623"/>
      <c r="AM531" s="623"/>
      <c r="AN531" s="623"/>
      <c r="AO531" s="623"/>
      <c r="AP531" s="623"/>
      <c r="AQ531" s="623"/>
      <c r="AR531" s="623"/>
      <c r="AS531" s="623"/>
      <c r="AT531" s="623"/>
      <c r="AU531" s="623"/>
      <c r="AV531" s="623"/>
      <c r="AW531" s="623"/>
      <c r="AX531" s="623"/>
      <c r="AY531" s="623"/>
      <c r="AZ531" s="623"/>
      <c r="BA531" s="623"/>
    </row>
    <row r="532">
      <c r="A532" s="621" t="str">
        <f>ARBITRAGES!E533</f>
        <v/>
      </c>
      <c r="B532" s="623" t="str">
        <f>IF(A532="","",IF(ARBITRAGES!F533="Invest","Achat","Vente"))</f>
        <v/>
      </c>
      <c r="C532" s="623" t="str">
        <f>ARBITRAGES!H533</f>
        <v/>
      </c>
      <c r="D532" s="624" t="str">
        <f>ARBITRAGES!I533</f>
        <v/>
      </c>
      <c r="E532" s="624" t="str">
        <f>ARBITRAGES!J533</f>
        <v/>
      </c>
      <c r="F532" s="623"/>
      <c r="G532" s="623" t="str">
        <f>'PV (%)'!B534</f>
        <v/>
      </c>
      <c r="H532" s="624" t="str">
        <f>'PV (%)'!E534</f>
        <v/>
      </c>
      <c r="I532" s="624" t="str">
        <f>'PV (%)'!F534</f>
        <v/>
      </c>
      <c r="J532" s="624" t="str">
        <f>'PV (%)'!G534</f>
        <v/>
      </c>
      <c r="K532" s="623"/>
      <c r="L532" s="621" t="str">
        <f>Exposition!A533</f>
        <v/>
      </c>
      <c r="M532" s="625" t="str">
        <f>Exposition!B533</f>
        <v/>
      </c>
      <c r="N532" s="625" t="str">
        <f>Exposition!C533</f>
        <v/>
      </c>
      <c r="O532" s="625" t="str">
        <f>Exposition!D533</f>
        <v/>
      </c>
      <c r="P532" s="625" t="str">
        <f>Exposition!E533</f>
        <v/>
      </c>
      <c r="Q532" s="625" t="str">
        <f>Exposition!F533</f>
        <v/>
      </c>
      <c r="R532" s="625" t="str">
        <f>Exposition!G533</f>
        <v/>
      </c>
      <c r="S532" s="625" t="str">
        <f>Exposition!H533</f>
        <v/>
      </c>
      <c r="T532" s="625" t="str">
        <f>Exposition!I533</f>
        <v/>
      </c>
      <c r="U532" s="625" t="str">
        <f>Exposition!J533</f>
        <v/>
      </c>
      <c r="V532" s="625" t="str">
        <f>Exposition!K533</f>
        <v/>
      </c>
      <c r="W532" s="625" t="str">
        <f>Exposition!L533</f>
        <v/>
      </c>
      <c r="X532" s="625" t="str">
        <f>Exposition!M533</f>
        <v/>
      </c>
      <c r="Y532" s="625" t="str">
        <f>Exposition!N533</f>
        <v/>
      </c>
      <c r="Z532" s="625" t="str">
        <f>Exposition!O533</f>
        <v/>
      </c>
      <c r="AA532" s="625" t="str">
        <f>Exposition!P533</f>
        <v/>
      </c>
      <c r="AB532" s="625" t="str">
        <f>Exposition!Q533</f>
        <v/>
      </c>
      <c r="AC532" s="625" t="str">
        <f>Exposition!R533</f>
        <v/>
      </c>
      <c r="AD532" s="625" t="str">
        <f>Exposition!S533</f>
        <v/>
      </c>
      <c r="AE532" s="625" t="str">
        <f>Exposition!T533</f>
        <v/>
      </c>
      <c r="AF532" s="625" t="str">
        <f>Exposition!U533</f>
        <v/>
      </c>
      <c r="AG532" s="623"/>
      <c r="AH532" s="623"/>
      <c r="AI532" s="623"/>
      <c r="AJ532" s="623"/>
      <c r="AK532" s="623"/>
      <c r="AL532" s="623"/>
      <c r="AM532" s="623"/>
      <c r="AN532" s="623"/>
      <c r="AO532" s="623"/>
      <c r="AP532" s="623"/>
      <c r="AQ532" s="623"/>
      <c r="AR532" s="623"/>
      <c r="AS532" s="623"/>
      <c r="AT532" s="623"/>
      <c r="AU532" s="623"/>
      <c r="AV532" s="623"/>
      <c r="AW532" s="623"/>
      <c r="AX532" s="623"/>
      <c r="AY532" s="623"/>
      <c r="AZ532" s="623"/>
      <c r="BA532" s="623"/>
    </row>
    <row r="533">
      <c r="A533" s="621" t="str">
        <f>ARBITRAGES!E534</f>
        <v/>
      </c>
      <c r="B533" s="623" t="str">
        <f>IF(A533="","",IF(ARBITRAGES!F534="Invest","Achat","Vente"))</f>
        <v/>
      </c>
      <c r="C533" s="624" t="str">
        <f>ARBITRAGES!G534</f>
        <v/>
      </c>
      <c r="D533" s="623" t="str">
        <f>ARBITRAGES!H534</f>
        <v/>
      </c>
      <c r="E533" s="624" t="str">
        <f>ARBITRAGES!I534</f>
        <v/>
      </c>
      <c r="F533" s="623"/>
      <c r="G533" s="623" t="str">
        <f>'PV (%)'!B535</f>
        <v/>
      </c>
      <c r="H533" s="624" t="str">
        <f>'PV (%)'!E535</f>
        <v/>
      </c>
      <c r="I533" s="624" t="str">
        <f>'PV (%)'!F535</f>
        <v/>
      </c>
      <c r="J533" s="624" t="str">
        <f>'PV (%)'!G535</f>
        <v/>
      </c>
      <c r="K533" s="623"/>
      <c r="L533" s="621" t="str">
        <f>Exposition!A534</f>
        <v/>
      </c>
      <c r="M533" s="625" t="str">
        <f>Exposition!B534</f>
        <v/>
      </c>
      <c r="N533" s="625" t="str">
        <f>Exposition!C534</f>
        <v/>
      </c>
      <c r="O533" s="625" t="str">
        <f>Exposition!D534</f>
        <v/>
      </c>
      <c r="P533" s="625" t="str">
        <f>Exposition!E534</f>
        <v/>
      </c>
      <c r="Q533" s="625" t="str">
        <f>Exposition!F534</f>
        <v/>
      </c>
      <c r="R533" s="625" t="str">
        <f>Exposition!G534</f>
        <v/>
      </c>
      <c r="S533" s="625" t="str">
        <f>Exposition!H534</f>
        <v/>
      </c>
      <c r="T533" s="625" t="str">
        <f>Exposition!I534</f>
        <v/>
      </c>
      <c r="U533" s="625" t="str">
        <f>Exposition!J534</f>
        <v/>
      </c>
      <c r="V533" s="625" t="str">
        <f>Exposition!K534</f>
        <v/>
      </c>
      <c r="W533" s="625" t="str">
        <f>Exposition!L534</f>
        <v/>
      </c>
      <c r="X533" s="625" t="str">
        <f>Exposition!M534</f>
        <v/>
      </c>
      <c r="Y533" s="625" t="str">
        <f>Exposition!N534</f>
        <v/>
      </c>
      <c r="Z533" s="625" t="str">
        <f>Exposition!O534</f>
        <v/>
      </c>
      <c r="AA533" s="625" t="str">
        <f>Exposition!P534</f>
        <v/>
      </c>
      <c r="AB533" s="625" t="str">
        <f>Exposition!Q534</f>
        <v/>
      </c>
      <c r="AC533" s="625" t="str">
        <f>Exposition!R534</f>
        <v/>
      </c>
      <c r="AD533" s="625" t="str">
        <f>Exposition!S534</f>
        <v/>
      </c>
      <c r="AE533" s="625" t="str">
        <f>Exposition!T534</f>
        <v/>
      </c>
      <c r="AF533" s="625" t="str">
        <f>Exposition!U534</f>
        <v/>
      </c>
      <c r="AG533" s="623"/>
      <c r="AH533" s="623"/>
      <c r="AI533" s="623"/>
      <c r="AJ533" s="623"/>
      <c r="AK533" s="623"/>
      <c r="AL533" s="623"/>
      <c r="AM533" s="623"/>
      <c r="AN533" s="623"/>
      <c r="AO533" s="623"/>
      <c r="AP533" s="623"/>
      <c r="AQ533" s="623"/>
      <c r="AR533" s="623"/>
      <c r="AS533" s="623"/>
      <c r="AT533" s="623"/>
      <c r="AU533" s="623"/>
      <c r="AV533" s="623"/>
      <c r="AW533" s="623"/>
      <c r="AX533" s="623"/>
      <c r="AY533" s="623"/>
      <c r="AZ533" s="623"/>
      <c r="BA533" s="623"/>
    </row>
    <row r="534">
      <c r="A534" s="621" t="str">
        <f>ARBITRAGES!E535</f>
        <v/>
      </c>
      <c r="B534" s="623" t="str">
        <f>IF(A534="","",IF(ARBITRAGES!F535="Invest","Achat","Vente"))</f>
        <v/>
      </c>
      <c r="C534" s="624" t="str">
        <f>ARBITRAGES!G535</f>
        <v/>
      </c>
      <c r="D534" s="623" t="str">
        <f>ARBITRAGES!H535</f>
        <v/>
      </c>
      <c r="E534" s="624" t="str">
        <f>ARBITRAGES!I535</f>
        <v/>
      </c>
      <c r="F534" s="623"/>
      <c r="G534" s="623" t="str">
        <f>'PV (%)'!B536</f>
        <v/>
      </c>
      <c r="H534" s="624" t="str">
        <f>'PV (%)'!E536</f>
        <v/>
      </c>
      <c r="I534" s="624" t="str">
        <f>'PV (%)'!F536</f>
        <v/>
      </c>
      <c r="J534" s="624" t="str">
        <f>'PV (%)'!G536</f>
        <v/>
      </c>
      <c r="K534" s="623"/>
      <c r="L534" s="621" t="str">
        <f>Exposition!A535</f>
        <v/>
      </c>
      <c r="M534" s="625" t="str">
        <f>Exposition!B535</f>
        <v/>
      </c>
      <c r="N534" s="625" t="str">
        <f>Exposition!C535</f>
        <v/>
      </c>
      <c r="O534" s="625" t="str">
        <f>Exposition!D535</f>
        <v/>
      </c>
      <c r="P534" s="625" t="str">
        <f>Exposition!E535</f>
        <v/>
      </c>
      <c r="Q534" s="625" t="str">
        <f>Exposition!F535</f>
        <v/>
      </c>
      <c r="R534" s="625" t="str">
        <f>Exposition!G535</f>
        <v/>
      </c>
      <c r="S534" s="625" t="str">
        <f>Exposition!H535</f>
        <v/>
      </c>
      <c r="T534" s="625" t="str">
        <f>Exposition!I535</f>
        <v/>
      </c>
      <c r="U534" s="625" t="str">
        <f>Exposition!J535</f>
        <v/>
      </c>
      <c r="V534" s="625" t="str">
        <f>Exposition!K535</f>
        <v/>
      </c>
      <c r="W534" s="625" t="str">
        <f>Exposition!L535</f>
        <v/>
      </c>
      <c r="X534" s="625" t="str">
        <f>Exposition!M535</f>
        <v/>
      </c>
      <c r="Y534" s="625" t="str">
        <f>Exposition!N535</f>
        <v/>
      </c>
      <c r="Z534" s="625" t="str">
        <f>Exposition!O535</f>
        <v/>
      </c>
      <c r="AA534" s="625" t="str">
        <f>Exposition!P535</f>
        <v/>
      </c>
      <c r="AB534" s="625" t="str">
        <f>Exposition!Q535</f>
        <v/>
      </c>
      <c r="AC534" s="625" t="str">
        <f>Exposition!R535</f>
        <v/>
      </c>
      <c r="AD534" s="625" t="str">
        <f>Exposition!S535</f>
        <v/>
      </c>
      <c r="AE534" s="625" t="str">
        <f>Exposition!T535</f>
        <v/>
      </c>
      <c r="AF534" s="625" t="str">
        <f>Exposition!U535</f>
        <v/>
      </c>
      <c r="AG534" s="623"/>
      <c r="AH534" s="623"/>
      <c r="AI534" s="623"/>
      <c r="AJ534" s="623"/>
      <c r="AK534" s="623"/>
      <c r="AL534" s="623"/>
      <c r="AM534" s="623"/>
      <c r="AN534" s="623"/>
      <c r="AO534" s="623"/>
      <c r="AP534" s="623"/>
      <c r="AQ534" s="623"/>
      <c r="AR534" s="623"/>
      <c r="AS534" s="623"/>
      <c r="AT534" s="623"/>
      <c r="AU534" s="623"/>
      <c r="AV534" s="623"/>
      <c r="AW534" s="623"/>
      <c r="AX534" s="623"/>
      <c r="AY534" s="623"/>
      <c r="AZ534" s="623"/>
      <c r="BA534" s="623"/>
    </row>
    <row r="535">
      <c r="A535" s="621" t="str">
        <f>ARBITRAGES!E536</f>
        <v/>
      </c>
      <c r="B535" s="623" t="str">
        <f>IF(A535="","",IF(ARBITRAGES!F536="Invest","Achat","Vente"))</f>
        <v/>
      </c>
      <c r="C535" s="624" t="str">
        <f>ARBITRAGES!G536</f>
        <v/>
      </c>
      <c r="D535" s="623" t="str">
        <f>ARBITRAGES!H536</f>
        <v/>
      </c>
      <c r="E535" s="624" t="str">
        <f>ARBITRAGES!I536</f>
        <v/>
      </c>
      <c r="F535" s="623"/>
      <c r="G535" s="623" t="str">
        <f>'PV (%)'!B537</f>
        <v/>
      </c>
      <c r="H535" s="624" t="str">
        <f>'PV (%)'!E537</f>
        <v/>
      </c>
      <c r="I535" s="624" t="str">
        <f>'PV (%)'!F537</f>
        <v/>
      </c>
      <c r="J535" s="624" t="str">
        <f>'PV (%)'!G537</f>
        <v/>
      </c>
      <c r="K535" s="623"/>
      <c r="L535" s="621" t="str">
        <f>Exposition!A536</f>
        <v/>
      </c>
      <c r="M535" s="625" t="str">
        <f>Exposition!B536</f>
        <v/>
      </c>
      <c r="N535" s="625" t="str">
        <f>Exposition!C536</f>
        <v/>
      </c>
      <c r="O535" s="625" t="str">
        <f>Exposition!D536</f>
        <v/>
      </c>
      <c r="P535" s="625" t="str">
        <f>Exposition!E536</f>
        <v/>
      </c>
      <c r="Q535" s="625" t="str">
        <f>Exposition!F536</f>
        <v/>
      </c>
      <c r="R535" s="625" t="str">
        <f>Exposition!G536</f>
        <v/>
      </c>
      <c r="S535" s="625" t="str">
        <f>Exposition!H536</f>
        <v/>
      </c>
      <c r="T535" s="625" t="str">
        <f>Exposition!I536</f>
        <v/>
      </c>
      <c r="U535" s="625" t="str">
        <f>Exposition!J536</f>
        <v/>
      </c>
      <c r="V535" s="625" t="str">
        <f>Exposition!K536</f>
        <v/>
      </c>
      <c r="W535" s="625" t="str">
        <f>Exposition!L536</f>
        <v/>
      </c>
      <c r="X535" s="625" t="str">
        <f>Exposition!M536</f>
        <v/>
      </c>
      <c r="Y535" s="625" t="str">
        <f>Exposition!N536</f>
        <v/>
      </c>
      <c r="Z535" s="625" t="str">
        <f>Exposition!O536</f>
        <v/>
      </c>
      <c r="AA535" s="625" t="str">
        <f>Exposition!P536</f>
        <v/>
      </c>
      <c r="AB535" s="625" t="str">
        <f>Exposition!Q536</f>
        <v/>
      </c>
      <c r="AC535" s="625" t="str">
        <f>Exposition!R536</f>
        <v/>
      </c>
      <c r="AD535" s="625" t="str">
        <f>Exposition!S536</f>
        <v/>
      </c>
      <c r="AE535" s="625" t="str">
        <f>Exposition!T536</f>
        <v/>
      </c>
      <c r="AF535" s="625" t="str">
        <f>Exposition!U536</f>
        <v/>
      </c>
      <c r="AG535" s="623"/>
      <c r="AH535" s="623"/>
      <c r="AI535" s="623"/>
      <c r="AJ535" s="623"/>
      <c r="AK535" s="623"/>
      <c r="AL535" s="623"/>
      <c r="AM535" s="623"/>
      <c r="AN535" s="623"/>
      <c r="AO535" s="623"/>
      <c r="AP535" s="623"/>
      <c r="AQ535" s="623"/>
      <c r="AR535" s="623"/>
      <c r="AS535" s="623"/>
      <c r="AT535" s="623"/>
      <c r="AU535" s="623"/>
      <c r="AV535" s="623"/>
      <c r="AW535" s="623"/>
      <c r="AX535" s="623"/>
      <c r="AY535" s="623"/>
      <c r="AZ535" s="623"/>
      <c r="BA535" s="623"/>
    </row>
    <row r="536">
      <c r="A536" s="621" t="str">
        <f>ARBITRAGES!E537</f>
        <v/>
      </c>
      <c r="B536" s="623" t="str">
        <f>IF(A536="","",IF(ARBITRAGES!F537="Invest","Achat","Vente"))</f>
        <v/>
      </c>
      <c r="C536" s="624" t="str">
        <f>ARBITRAGES!G537</f>
        <v/>
      </c>
      <c r="D536" s="623" t="str">
        <f>ARBITRAGES!H537</f>
        <v/>
      </c>
      <c r="E536" s="624" t="str">
        <f>ARBITRAGES!I537</f>
        <v/>
      </c>
      <c r="F536" s="623"/>
      <c r="G536" s="623" t="str">
        <f>'PV (%)'!B538</f>
        <v/>
      </c>
      <c r="H536" s="624" t="str">
        <f>'PV (%)'!E538</f>
        <v/>
      </c>
      <c r="I536" s="624" t="str">
        <f>'PV (%)'!F538</f>
        <v/>
      </c>
      <c r="J536" s="624" t="str">
        <f>'PV (%)'!G538</f>
        <v/>
      </c>
      <c r="K536" s="623"/>
      <c r="L536" s="621" t="str">
        <f>Exposition!A537</f>
        <v/>
      </c>
      <c r="M536" s="625" t="str">
        <f>Exposition!B537</f>
        <v/>
      </c>
      <c r="N536" s="625" t="str">
        <f>Exposition!C537</f>
        <v/>
      </c>
      <c r="O536" s="625" t="str">
        <f>Exposition!D537</f>
        <v/>
      </c>
      <c r="P536" s="625" t="str">
        <f>Exposition!E537</f>
        <v/>
      </c>
      <c r="Q536" s="625" t="str">
        <f>Exposition!F537</f>
        <v/>
      </c>
      <c r="R536" s="625" t="str">
        <f>Exposition!G537</f>
        <v/>
      </c>
      <c r="S536" s="625" t="str">
        <f>Exposition!H537</f>
        <v/>
      </c>
      <c r="T536" s="625" t="str">
        <f>Exposition!I537</f>
        <v/>
      </c>
      <c r="U536" s="625" t="str">
        <f>Exposition!J537</f>
        <v/>
      </c>
      <c r="V536" s="625" t="str">
        <f>Exposition!K537</f>
        <v/>
      </c>
      <c r="W536" s="625" t="str">
        <f>Exposition!L537</f>
        <v/>
      </c>
      <c r="X536" s="625" t="str">
        <f>Exposition!M537</f>
        <v/>
      </c>
      <c r="Y536" s="625" t="str">
        <f>Exposition!N537</f>
        <v/>
      </c>
      <c r="Z536" s="625" t="str">
        <f>Exposition!O537</f>
        <v/>
      </c>
      <c r="AA536" s="625" t="str">
        <f>Exposition!P537</f>
        <v/>
      </c>
      <c r="AB536" s="625" t="str">
        <f>Exposition!Q537</f>
        <v/>
      </c>
      <c r="AC536" s="625" t="str">
        <f>Exposition!R537</f>
        <v/>
      </c>
      <c r="AD536" s="625" t="str">
        <f>Exposition!S537</f>
        <v/>
      </c>
      <c r="AE536" s="625" t="str">
        <f>Exposition!T537</f>
        <v/>
      </c>
      <c r="AF536" s="625" t="str">
        <f>Exposition!U537</f>
        <v/>
      </c>
      <c r="AG536" s="623"/>
      <c r="AH536" s="623"/>
      <c r="AI536" s="623"/>
      <c r="AJ536" s="623"/>
      <c r="AK536" s="623"/>
      <c r="AL536" s="623"/>
      <c r="AM536" s="623"/>
      <c r="AN536" s="623"/>
      <c r="AO536" s="623"/>
      <c r="AP536" s="623"/>
      <c r="AQ536" s="623"/>
      <c r="AR536" s="623"/>
      <c r="AS536" s="623"/>
      <c r="AT536" s="623"/>
      <c r="AU536" s="623"/>
      <c r="AV536" s="623"/>
      <c r="AW536" s="623"/>
      <c r="AX536" s="623"/>
      <c r="AY536" s="623"/>
      <c r="AZ536" s="623"/>
      <c r="BA536" s="623"/>
    </row>
    <row r="537">
      <c r="A537" s="621" t="str">
        <f>ARBITRAGES!E538</f>
        <v/>
      </c>
      <c r="B537" s="623" t="str">
        <f>IF(A537="","",IF(ARBITRAGES!F538="Invest","Achat","Vente"))</f>
        <v/>
      </c>
      <c r="C537" s="624" t="str">
        <f>ARBITRAGES!G538</f>
        <v/>
      </c>
      <c r="D537" s="623" t="str">
        <f>ARBITRAGES!H538</f>
        <v/>
      </c>
      <c r="E537" s="624" t="str">
        <f>ARBITRAGES!I538</f>
        <v/>
      </c>
      <c r="F537" s="623"/>
      <c r="G537" s="623" t="str">
        <f>'PV (%)'!B539</f>
        <v/>
      </c>
      <c r="H537" s="624" t="str">
        <f>'PV (%)'!E539</f>
        <v/>
      </c>
      <c r="I537" s="624" t="str">
        <f>'PV (%)'!F539</f>
        <v/>
      </c>
      <c r="J537" s="624" t="str">
        <f>'PV (%)'!G539</f>
        <v/>
      </c>
      <c r="K537" s="623"/>
      <c r="L537" s="621" t="str">
        <f>Exposition!A538</f>
        <v/>
      </c>
      <c r="M537" s="625" t="str">
        <f>Exposition!B538</f>
        <v/>
      </c>
      <c r="N537" s="625" t="str">
        <f>Exposition!C538</f>
        <v/>
      </c>
      <c r="O537" s="625" t="str">
        <f>Exposition!D538</f>
        <v/>
      </c>
      <c r="P537" s="625" t="str">
        <f>Exposition!E538</f>
        <v/>
      </c>
      <c r="Q537" s="625" t="str">
        <f>Exposition!F538</f>
        <v/>
      </c>
      <c r="R537" s="625" t="str">
        <f>Exposition!G538</f>
        <v/>
      </c>
      <c r="S537" s="625" t="str">
        <f>Exposition!H538</f>
        <v/>
      </c>
      <c r="T537" s="625" t="str">
        <f>Exposition!I538</f>
        <v/>
      </c>
      <c r="U537" s="625" t="str">
        <f>Exposition!J538</f>
        <v/>
      </c>
      <c r="V537" s="625" t="str">
        <f>Exposition!K538</f>
        <v/>
      </c>
      <c r="W537" s="625" t="str">
        <f>Exposition!L538</f>
        <v/>
      </c>
      <c r="X537" s="625" t="str">
        <f>Exposition!M538</f>
        <v/>
      </c>
      <c r="Y537" s="625" t="str">
        <f>Exposition!N538</f>
        <v/>
      </c>
      <c r="Z537" s="625" t="str">
        <f>Exposition!O538</f>
        <v/>
      </c>
      <c r="AA537" s="625" t="str">
        <f>Exposition!P538</f>
        <v/>
      </c>
      <c r="AB537" s="625" t="str">
        <f>Exposition!Q538</f>
        <v/>
      </c>
      <c r="AC537" s="625" t="str">
        <f>Exposition!R538</f>
        <v/>
      </c>
      <c r="AD537" s="625" t="str">
        <f>Exposition!S538</f>
        <v/>
      </c>
      <c r="AE537" s="625" t="str">
        <f>Exposition!T538</f>
        <v/>
      </c>
      <c r="AF537" s="625" t="str">
        <f>Exposition!U538</f>
        <v/>
      </c>
      <c r="AG537" s="623"/>
      <c r="AH537" s="623"/>
      <c r="AI537" s="623"/>
      <c r="AJ537" s="623"/>
      <c r="AK537" s="623"/>
      <c r="AL537" s="623"/>
      <c r="AM537" s="623"/>
      <c r="AN537" s="623"/>
      <c r="AO537" s="623"/>
      <c r="AP537" s="623"/>
      <c r="AQ537" s="623"/>
      <c r="AR537" s="623"/>
      <c r="AS537" s="623"/>
      <c r="AT537" s="623"/>
      <c r="AU537" s="623"/>
      <c r="AV537" s="623"/>
      <c r="AW537" s="623"/>
      <c r="AX537" s="623"/>
      <c r="AY537" s="623"/>
      <c r="AZ537" s="623"/>
      <c r="BA537" s="623"/>
    </row>
    <row r="538">
      <c r="A538" s="621" t="str">
        <f>ARBITRAGES!E539</f>
        <v/>
      </c>
      <c r="B538" s="623" t="str">
        <f>IF(A538="","",IF(ARBITRAGES!F539="Invest","Achat","Vente"))</f>
        <v/>
      </c>
      <c r="C538" s="624" t="str">
        <f>ARBITRAGES!G539</f>
        <v/>
      </c>
      <c r="D538" s="623" t="str">
        <f>ARBITRAGES!H539</f>
        <v/>
      </c>
      <c r="E538" s="624" t="str">
        <f>ARBITRAGES!I539</f>
        <v/>
      </c>
      <c r="F538" s="623"/>
      <c r="G538" s="623" t="str">
        <f>'PV (%)'!B540</f>
        <v/>
      </c>
      <c r="H538" s="624" t="str">
        <f>'PV (%)'!E540</f>
        <v/>
      </c>
      <c r="I538" s="624" t="str">
        <f>'PV (%)'!F540</f>
        <v/>
      </c>
      <c r="J538" s="624" t="str">
        <f>'PV (%)'!G540</f>
        <v/>
      </c>
      <c r="K538" s="623"/>
      <c r="L538" s="621" t="str">
        <f>Exposition!A539</f>
        <v/>
      </c>
      <c r="M538" s="625" t="str">
        <f>Exposition!B539</f>
        <v/>
      </c>
      <c r="N538" s="625" t="str">
        <f>Exposition!C539</f>
        <v/>
      </c>
      <c r="O538" s="625" t="str">
        <f>Exposition!D539</f>
        <v/>
      </c>
      <c r="P538" s="625" t="str">
        <f>Exposition!E539</f>
        <v/>
      </c>
      <c r="Q538" s="625" t="str">
        <f>Exposition!F539</f>
        <v/>
      </c>
      <c r="R538" s="625" t="str">
        <f>Exposition!G539</f>
        <v/>
      </c>
      <c r="S538" s="625" t="str">
        <f>Exposition!H539</f>
        <v/>
      </c>
      <c r="T538" s="625" t="str">
        <f>Exposition!I539</f>
        <v/>
      </c>
      <c r="U538" s="625" t="str">
        <f>Exposition!J539</f>
        <v/>
      </c>
      <c r="V538" s="625" t="str">
        <f>Exposition!K539</f>
        <v/>
      </c>
      <c r="W538" s="625" t="str">
        <f>Exposition!L539</f>
        <v/>
      </c>
      <c r="X538" s="625" t="str">
        <f>Exposition!M539</f>
        <v/>
      </c>
      <c r="Y538" s="625" t="str">
        <f>Exposition!N539</f>
        <v/>
      </c>
      <c r="Z538" s="625" t="str">
        <f>Exposition!O539</f>
        <v/>
      </c>
      <c r="AA538" s="625" t="str">
        <f>Exposition!P539</f>
        <v/>
      </c>
      <c r="AB538" s="625" t="str">
        <f>Exposition!Q539</f>
        <v/>
      </c>
      <c r="AC538" s="625" t="str">
        <f>Exposition!R539</f>
        <v/>
      </c>
      <c r="AD538" s="625" t="str">
        <f>Exposition!S539</f>
        <v/>
      </c>
      <c r="AE538" s="625" t="str">
        <f>Exposition!T539</f>
        <v/>
      </c>
      <c r="AF538" s="625" t="str">
        <f>Exposition!U539</f>
        <v/>
      </c>
      <c r="AG538" s="623"/>
      <c r="AH538" s="623"/>
      <c r="AI538" s="623"/>
      <c r="AJ538" s="623"/>
      <c r="AK538" s="623"/>
      <c r="AL538" s="623"/>
      <c r="AM538" s="623"/>
      <c r="AN538" s="623"/>
      <c r="AO538" s="623"/>
      <c r="AP538" s="623"/>
      <c r="AQ538" s="623"/>
      <c r="AR538" s="623"/>
      <c r="AS538" s="623"/>
      <c r="AT538" s="623"/>
      <c r="AU538" s="623"/>
      <c r="AV538" s="623"/>
      <c r="AW538" s="623"/>
      <c r="AX538" s="623"/>
      <c r="AY538" s="623"/>
      <c r="AZ538" s="623"/>
      <c r="BA538" s="623"/>
    </row>
    <row r="539">
      <c r="A539" s="621" t="str">
        <f>ARBITRAGES!E540</f>
        <v/>
      </c>
      <c r="B539" s="623" t="str">
        <f>IF(A539="","",IF(ARBITRAGES!F540="Invest","Achat","Vente"))</f>
        <v/>
      </c>
      <c r="C539" s="624" t="str">
        <f>ARBITRAGES!G540</f>
        <v/>
      </c>
      <c r="D539" s="623" t="str">
        <f>ARBITRAGES!H540</f>
        <v/>
      </c>
      <c r="E539" s="624" t="str">
        <f>ARBITRAGES!I540</f>
        <v/>
      </c>
      <c r="F539" s="623"/>
      <c r="G539" s="623" t="str">
        <f>'PV (%)'!B541</f>
        <v/>
      </c>
      <c r="H539" s="624" t="str">
        <f>'PV (%)'!E541</f>
        <v/>
      </c>
      <c r="I539" s="624" t="str">
        <f>'PV (%)'!F541</f>
        <v/>
      </c>
      <c r="J539" s="624" t="str">
        <f>'PV (%)'!G541</f>
        <v/>
      </c>
      <c r="K539" s="623"/>
      <c r="L539" s="621" t="str">
        <f>Exposition!A540</f>
        <v/>
      </c>
      <c r="M539" s="625" t="str">
        <f>Exposition!B540</f>
        <v/>
      </c>
      <c r="N539" s="625" t="str">
        <f>Exposition!C540</f>
        <v/>
      </c>
      <c r="O539" s="625" t="str">
        <f>Exposition!D540</f>
        <v/>
      </c>
      <c r="P539" s="625" t="str">
        <f>Exposition!E540</f>
        <v/>
      </c>
      <c r="Q539" s="625" t="str">
        <f>Exposition!F540</f>
        <v/>
      </c>
      <c r="R539" s="625" t="str">
        <f>Exposition!G540</f>
        <v/>
      </c>
      <c r="S539" s="625" t="str">
        <f>Exposition!H540</f>
        <v/>
      </c>
      <c r="T539" s="625" t="str">
        <f>Exposition!I540</f>
        <v/>
      </c>
      <c r="U539" s="625" t="str">
        <f>Exposition!J540</f>
        <v/>
      </c>
      <c r="V539" s="625" t="str">
        <f>Exposition!K540</f>
        <v/>
      </c>
      <c r="W539" s="625" t="str">
        <f>Exposition!L540</f>
        <v/>
      </c>
      <c r="X539" s="625" t="str">
        <f>Exposition!M540</f>
        <v/>
      </c>
      <c r="Y539" s="625" t="str">
        <f>Exposition!N540</f>
        <v/>
      </c>
      <c r="Z539" s="625" t="str">
        <f>Exposition!O540</f>
        <v/>
      </c>
      <c r="AA539" s="625" t="str">
        <f>Exposition!P540</f>
        <v/>
      </c>
      <c r="AB539" s="625" t="str">
        <f>Exposition!Q540</f>
        <v/>
      </c>
      <c r="AC539" s="625" t="str">
        <f>Exposition!R540</f>
        <v/>
      </c>
      <c r="AD539" s="625" t="str">
        <f>Exposition!S540</f>
        <v/>
      </c>
      <c r="AE539" s="625" t="str">
        <f>Exposition!T540</f>
        <v/>
      </c>
      <c r="AF539" s="625" t="str">
        <f>Exposition!U540</f>
        <v/>
      </c>
      <c r="AG539" s="623"/>
      <c r="AH539" s="623"/>
      <c r="AI539" s="623"/>
      <c r="AJ539" s="623"/>
      <c r="AK539" s="623"/>
      <c r="AL539" s="623"/>
      <c r="AM539" s="623"/>
      <c r="AN539" s="623"/>
      <c r="AO539" s="623"/>
      <c r="AP539" s="623"/>
      <c r="AQ539" s="623"/>
      <c r="AR539" s="623"/>
      <c r="AS539" s="623"/>
      <c r="AT539" s="623"/>
      <c r="AU539" s="623"/>
      <c r="AV539" s="623"/>
      <c r="AW539" s="623"/>
      <c r="AX539" s="623"/>
      <c r="AY539" s="623"/>
      <c r="AZ539" s="623"/>
      <c r="BA539" s="623"/>
    </row>
    <row r="540">
      <c r="A540" s="621" t="str">
        <f>ARBITRAGES!E541</f>
        <v/>
      </c>
      <c r="B540" s="623" t="str">
        <f>IF(A540="","",IF(ARBITRAGES!F541="Invest","Achat","Vente"))</f>
        <v/>
      </c>
      <c r="C540" s="624" t="str">
        <f>ARBITRAGES!G541</f>
        <v/>
      </c>
      <c r="D540" s="623" t="str">
        <f>ARBITRAGES!H541</f>
        <v/>
      </c>
      <c r="E540" s="624" t="str">
        <f>ARBITRAGES!I541</f>
        <v/>
      </c>
      <c r="F540" s="623"/>
      <c r="G540" s="623" t="str">
        <f>'PV (%)'!B542</f>
        <v/>
      </c>
      <c r="H540" s="624" t="str">
        <f>'PV (%)'!E542</f>
        <v/>
      </c>
      <c r="I540" s="624" t="str">
        <f>'PV (%)'!F542</f>
        <v/>
      </c>
      <c r="J540" s="624" t="str">
        <f>'PV (%)'!G542</f>
        <v/>
      </c>
      <c r="K540" s="623"/>
      <c r="L540" s="621" t="str">
        <f>Exposition!A541</f>
        <v/>
      </c>
      <c r="M540" s="625" t="str">
        <f>Exposition!B541</f>
        <v/>
      </c>
      <c r="N540" s="625" t="str">
        <f>Exposition!C541</f>
        <v/>
      </c>
      <c r="O540" s="625" t="str">
        <f>Exposition!D541</f>
        <v/>
      </c>
      <c r="P540" s="625" t="str">
        <f>Exposition!E541</f>
        <v/>
      </c>
      <c r="Q540" s="625" t="str">
        <f>Exposition!F541</f>
        <v/>
      </c>
      <c r="R540" s="625" t="str">
        <f>Exposition!G541</f>
        <v/>
      </c>
      <c r="S540" s="625" t="str">
        <f>Exposition!H541</f>
        <v/>
      </c>
      <c r="T540" s="625" t="str">
        <f>Exposition!I541</f>
        <v/>
      </c>
      <c r="U540" s="625" t="str">
        <f>Exposition!J541</f>
        <v/>
      </c>
      <c r="V540" s="625" t="str">
        <f>Exposition!K541</f>
        <v/>
      </c>
      <c r="W540" s="625" t="str">
        <f>Exposition!L541</f>
        <v/>
      </c>
      <c r="X540" s="625" t="str">
        <f>Exposition!M541</f>
        <v/>
      </c>
      <c r="Y540" s="625" t="str">
        <f>Exposition!N541</f>
        <v/>
      </c>
      <c r="Z540" s="625" t="str">
        <f>Exposition!O541</f>
        <v/>
      </c>
      <c r="AA540" s="625" t="str">
        <f>Exposition!P541</f>
        <v/>
      </c>
      <c r="AB540" s="625" t="str">
        <f>Exposition!Q541</f>
        <v/>
      </c>
      <c r="AC540" s="625" t="str">
        <f>Exposition!R541</f>
        <v/>
      </c>
      <c r="AD540" s="625" t="str">
        <f>Exposition!S541</f>
        <v/>
      </c>
      <c r="AE540" s="625" t="str">
        <f>Exposition!T541</f>
        <v/>
      </c>
      <c r="AF540" s="625" t="str">
        <f>Exposition!U541</f>
        <v/>
      </c>
      <c r="AG540" s="623"/>
      <c r="AH540" s="623"/>
      <c r="AI540" s="623"/>
      <c r="AJ540" s="623"/>
      <c r="AK540" s="623"/>
      <c r="AL540" s="623"/>
      <c r="AM540" s="623"/>
      <c r="AN540" s="623"/>
      <c r="AO540" s="623"/>
      <c r="AP540" s="623"/>
      <c r="AQ540" s="623"/>
      <c r="AR540" s="623"/>
      <c r="AS540" s="623"/>
      <c r="AT540" s="623"/>
      <c r="AU540" s="623"/>
      <c r="AV540" s="623"/>
      <c r="AW540" s="623"/>
      <c r="AX540" s="623"/>
      <c r="AY540" s="623"/>
      <c r="AZ540" s="623"/>
      <c r="BA540" s="623"/>
    </row>
    <row r="541">
      <c r="A541" s="621" t="str">
        <f>ARBITRAGES!E542</f>
        <v/>
      </c>
      <c r="B541" s="623" t="str">
        <f>ARBITRAGES!F542</f>
        <v/>
      </c>
      <c r="C541" s="624" t="str">
        <f>ARBITRAGES!G542</f>
        <v/>
      </c>
      <c r="D541" s="623" t="str">
        <f>ARBITRAGES!H542</f>
        <v/>
      </c>
      <c r="E541" s="624" t="str">
        <f>ARBITRAGES!I542</f>
        <v/>
      </c>
      <c r="F541" s="623"/>
      <c r="G541" s="623" t="str">
        <f>'PV (%)'!B543</f>
        <v/>
      </c>
      <c r="H541" s="624" t="str">
        <f>'PV (%)'!E543</f>
        <v/>
      </c>
      <c r="I541" s="624" t="str">
        <f>'PV (%)'!F543</f>
        <v/>
      </c>
      <c r="J541" s="624" t="str">
        <f>'PV (%)'!G543</f>
        <v/>
      </c>
      <c r="K541" s="623"/>
      <c r="L541" s="621" t="str">
        <f>Exposition!A542</f>
        <v/>
      </c>
      <c r="M541" s="625" t="str">
        <f>Exposition!B542</f>
        <v/>
      </c>
      <c r="N541" s="625" t="str">
        <f>Exposition!C542</f>
        <v/>
      </c>
      <c r="O541" s="625" t="str">
        <f>Exposition!D542</f>
        <v/>
      </c>
      <c r="P541" s="625" t="str">
        <f>Exposition!E542</f>
        <v/>
      </c>
      <c r="Q541" s="625" t="str">
        <f>Exposition!F542</f>
        <v/>
      </c>
      <c r="R541" s="625" t="str">
        <f>Exposition!G542</f>
        <v/>
      </c>
      <c r="S541" s="625" t="str">
        <f>Exposition!H542</f>
        <v/>
      </c>
      <c r="T541" s="625" t="str">
        <f>Exposition!I542</f>
        <v/>
      </c>
      <c r="U541" s="625" t="str">
        <f>Exposition!J542</f>
        <v/>
      </c>
      <c r="V541" s="625" t="str">
        <f>Exposition!K542</f>
        <v/>
      </c>
      <c r="W541" s="625" t="str">
        <f>Exposition!L542</f>
        <v/>
      </c>
      <c r="X541" s="625" t="str">
        <f>Exposition!M542</f>
        <v/>
      </c>
      <c r="Y541" s="625" t="str">
        <f>Exposition!N542</f>
        <v/>
      </c>
      <c r="Z541" s="625" t="str">
        <f>Exposition!O542</f>
        <v/>
      </c>
      <c r="AA541" s="625" t="str">
        <f>Exposition!P542</f>
        <v/>
      </c>
      <c r="AB541" s="625" t="str">
        <f>Exposition!Q542</f>
        <v/>
      </c>
      <c r="AC541" s="625" t="str">
        <f>Exposition!R542</f>
        <v/>
      </c>
      <c r="AD541" s="625" t="str">
        <f>Exposition!S542</f>
        <v/>
      </c>
      <c r="AE541" s="625" t="str">
        <f>Exposition!T542</f>
        <v/>
      </c>
      <c r="AF541" s="625" t="str">
        <f>Exposition!U542</f>
        <v/>
      </c>
      <c r="AG541" s="623"/>
      <c r="AH541" s="623"/>
      <c r="AI541" s="623"/>
      <c r="AJ541" s="623"/>
      <c r="AK541" s="623"/>
      <c r="AL541" s="623"/>
      <c r="AM541" s="623"/>
      <c r="AN541" s="623"/>
      <c r="AO541" s="623"/>
      <c r="AP541" s="623"/>
      <c r="AQ541" s="623"/>
      <c r="AR541" s="623"/>
      <c r="AS541" s="623"/>
      <c r="AT541" s="623"/>
      <c r="AU541" s="623"/>
      <c r="AV541" s="623"/>
      <c r="AW541" s="623"/>
      <c r="AX541" s="623"/>
      <c r="AY541" s="623"/>
      <c r="AZ541" s="623"/>
      <c r="BA541" s="623"/>
    </row>
    <row r="542">
      <c r="A542" s="621" t="str">
        <f>ARBITRAGES!E543</f>
        <v/>
      </c>
      <c r="B542" s="623" t="str">
        <f>ARBITRAGES!F543</f>
        <v/>
      </c>
      <c r="C542" s="624" t="str">
        <f>ARBITRAGES!G543</f>
        <v/>
      </c>
      <c r="D542" s="623" t="str">
        <f>ARBITRAGES!H543</f>
        <v/>
      </c>
      <c r="E542" s="624" t="str">
        <f>ARBITRAGES!I543</f>
        <v/>
      </c>
      <c r="F542" s="623"/>
      <c r="G542" s="623" t="str">
        <f>'PV (%)'!B544</f>
        <v/>
      </c>
      <c r="H542" s="624" t="str">
        <f>'PV (%)'!E544</f>
        <v/>
      </c>
      <c r="I542" s="624" t="str">
        <f>'PV (%)'!F544</f>
        <v/>
      </c>
      <c r="J542" s="624" t="str">
        <f>'PV (%)'!G544</f>
        <v/>
      </c>
      <c r="K542" s="623"/>
      <c r="L542" s="623"/>
      <c r="M542" s="623"/>
      <c r="N542" s="623"/>
      <c r="O542" s="623"/>
      <c r="P542" s="623"/>
      <c r="Q542" s="623"/>
      <c r="R542" s="623"/>
      <c r="S542" s="623"/>
      <c r="T542" s="623"/>
      <c r="U542" s="623"/>
      <c r="V542" s="623"/>
      <c r="W542" s="623"/>
      <c r="X542" s="623"/>
      <c r="Y542" s="623"/>
      <c r="Z542" s="623"/>
      <c r="AA542" s="623"/>
      <c r="AB542" s="623"/>
      <c r="AC542" s="623"/>
      <c r="AD542" s="623"/>
      <c r="AE542" s="623"/>
      <c r="AF542" s="623"/>
      <c r="AG542" s="623"/>
      <c r="AH542" s="623"/>
      <c r="AI542" s="623"/>
      <c r="AJ542" s="623"/>
      <c r="AK542" s="623"/>
      <c r="AL542" s="623"/>
      <c r="AM542" s="623"/>
      <c r="AN542" s="623"/>
      <c r="AO542" s="623"/>
      <c r="AP542" s="623"/>
      <c r="AQ542" s="623"/>
      <c r="AR542" s="623"/>
      <c r="AS542" s="623"/>
      <c r="AT542" s="623"/>
      <c r="AU542" s="623"/>
      <c r="AV542" s="623"/>
      <c r="AW542" s="623"/>
      <c r="AX542" s="623"/>
      <c r="AY542" s="623"/>
      <c r="AZ542" s="623"/>
      <c r="BA542" s="623"/>
    </row>
    <row r="543">
      <c r="A543" s="621" t="str">
        <f>ARBITRAGES!E544</f>
        <v/>
      </c>
      <c r="B543" s="623" t="str">
        <f>ARBITRAGES!F544</f>
        <v/>
      </c>
      <c r="C543" s="624" t="str">
        <f>ARBITRAGES!G544</f>
        <v/>
      </c>
      <c r="D543" s="623" t="str">
        <f>ARBITRAGES!H544</f>
        <v/>
      </c>
      <c r="E543" s="624" t="str">
        <f>ARBITRAGES!I544</f>
        <v/>
      </c>
      <c r="F543" s="623"/>
      <c r="G543" s="623" t="str">
        <f>'PV (%)'!B545</f>
        <v/>
      </c>
      <c r="H543" s="624" t="str">
        <f>'PV (%)'!E545</f>
        <v/>
      </c>
      <c r="I543" s="624" t="str">
        <f>'PV (%)'!F545</f>
        <v/>
      </c>
      <c r="J543" s="624" t="str">
        <f>'PV (%)'!G545</f>
        <v/>
      </c>
      <c r="K543" s="623"/>
      <c r="L543" s="623"/>
      <c r="M543" s="623"/>
      <c r="N543" s="623"/>
      <c r="O543" s="623"/>
      <c r="P543" s="623"/>
      <c r="Q543" s="623"/>
      <c r="R543" s="623"/>
      <c r="S543" s="623"/>
      <c r="T543" s="623"/>
      <c r="U543" s="623"/>
      <c r="V543" s="623"/>
      <c r="W543" s="623"/>
      <c r="X543" s="623"/>
      <c r="Y543" s="623"/>
      <c r="Z543" s="623"/>
      <c r="AA543" s="623"/>
      <c r="AB543" s="623"/>
      <c r="AC543" s="623"/>
      <c r="AD543" s="623"/>
      <c r="AE543" s="623"/>
      <c r="AF543" s="623"/>
      <c r="AG543" s="623"/>
      <c r="AH543" s="623"/>
      <c r="AI543" s="623"/>
      <c r="AJ543" s="623"/>
      <c r="AK543" s="623"/>
      <c r="AL543" s="623"/>
      <c r="AM543" s="623"/>
      <c r="AN543" s="623"/>
      <c r="AO543" s="623"/>
      <c r="AP543" s="623"/>
      <c r="AQ543" s="623"/>
      <c r="AR543" s="623"/>
      <c r="AS543" s="623"/>
      <c r="AT543" s="623"/>
      <c r="AU543" s="623"/>
      <c r="AV543" s="623"/>
      <c r="AW543" s="623"/>
      <c r="AX543" s="623"/>
      <c r="AY543" s="623"/>
      <c r="AZ543" s="623"/>
      <c r="BA543" s="623"/>
    </row>
    <row r="544">
      <c r="A544" s="621" t="str">
        <f>ARBITRAGES!E545</f>
        <v/>
      </c>
      <c r="B544" s="623" t="str">
        <f>ARBITRAGES!F545</f>
        <v/>
      </c>
      <c r="C544" s="624" t="str">
        <f>ARBITRAGES!G545</f>
        <v/>
      </c>
      <c r="D544" s="623" t="str">
        <f>ARBITRAGES!H545</f>
        <v/>
      </c>
      <c r="E544" s="624" t="str">
        <f>ARBITRAGES!I545</f>
        <v/>
      </c>
      <c r="F544" s="623"/>
      <c r="G544" s="623" t="str">
        <f>'PV (%)'!B546</f>
        <v/>
      </c>
      <c r="H544" s="624" t="str">
        <f>'PV (%)'!E546</f>
        <v/>
      </c>
      <c r="I544" s="624" t="str">
        <f>'PV (%)'!F546</f>
        <v/>
      </c>
      <c r="J544" s="624" t="str">
        <f>'PV (%)'!G546</f>
        <v/>
      </c>
      <c r="K544" s="623"/>
      <c r="L544" s="623"/>
      <c r="M544" s="623"/>
      <c r="N544" s="623"/>
      <c r="O544" s="623"/>
      <c r="P544" s="623"/>
      <c r="Q544" s="623"/>
      <c r="R544" s="623"/>
      <c r="S544" s="623"/>
      <c r="T544" s="623"/>
      <c r="U544" s="623"/>
      <c r="V544" s="623"/>
      <c r="W544" s="623"/>
      <c r="X544" s="623"/>
      <c r="Y544" s="623"/>
      <c r="Z544" s="623"/>
      <c r="AA544" s="623"/>
      <c r="AB544" s="623"/>
      <c r="AC544" s="623"/>
      <c r="AD544" s="623"/>
      <c r="AE544" s="623"/>
      <c r="AF544" s="623"/>
      <c r="AG544" s="623"/>
      <c r="AH544" s="623"/>
      <c r="AI544" s="623"/>
      <c r="AJ544" s="623"/>
      <c r="AK544" s="623"/>
      <c r="AL544" s="623"/>
      <c r="AM544" s="623"/>
      <c r="AN544" s="623"/>
      <c r="AO544" s="623"/>
      <c r="AP544" s="623"/>
      <c r="AQ544" s="623"/>
      <c r="AR544" s="623"/>
      <c r="AS544" s="623"/>
      <c r="AT544" s="623"/>
      <c r="AU544" s="623"/>
      <c r="AV544" s="623"/>
      <c r="AW544" s="623"/>
      <c r="AX544" s="623"/>
      <c r="AY544" s="623"/>
      <c r="AZ544" s="623"/>
      <c r="BA544" s="623"/>
    </row>
    <row r="545">
      <c r="A545" s="621" t="str">
        <f>ARBITRAGES!E546</f>
        <v/>
      </c>
      <c r="B545" s="623" t="str">
        <f>ARBITRAGES!F546</f>
        <v/>
      </c>
      <c r="C545" s="624" t="str">
        <f>ARBITRAGES!G546</f>
        <v/>
      </c>
      <c r="D545" s="623" t="str">
        <f>ARBITRAGES!H546</f>
        <v/>
      </c>
      <c r="E545" s="624" t="str">
        <f>ARBITRAGES!I546</f>
        <v/>
      </c>
      <c r="F545" s="623"/>
      <c r="G545" s="623" t="str">
        <f>'PV (%)'!B547</f>
        <v/>
      </c>
      <c r="H545" s="624" t="str">
        <f>'PV (%)'!E547</f>
        <v/>
      </c>
      <c r="I545" s="624" t="str">
        <f>'PV (%)'!F547</f>
        <v/>
      </c>
      <c r="J545" s="624" t="str">
        <f>'PV (%)'!G547</f>
        <v/>
      </c>
      <c r="K545" s="623"/>
      <c r="L545" s="623"/>
      <c r="M545" s="623"/>
      <c r="N545" s="623"/>
      <c r="O545" s="623"/>
      <c r="P545" s="623"/>
      <c r="Q545" s="623"/>
      <c r="R545" s="623"/>
      <c r="S545" s="623"/>
      <c r="T545" s="623"/>
      <c r="U545" s="623"/>
      <c r="V545" s="623"/>
      <c r="W545" s="623"/>
      <c r="X545" s="623"/>
      <c r="Y545" s="623"/>
      <c r="Z545" s="623"/>
      <c r="AA545" s="623"/>
      <c r="AB545" s="623"/>
      <c r="AC545" s="623"/>
      <c r="AD545" s="623"/>
      <c r="AE545" s="623"/>
      <c r="AF545" s="623"/>
      <c r="AG545" s="623"/>
      <c r="AH545" s="623"/>
      <c r="AI545" s="623"/>
      <c r="AJ545" s="623"/>
      <c r="AK545" s="623"/>
      <c r="AL545" s="623"/>
      <c r="AM545" s="623"/>
      <c r="AN545" s="623"/>
      <c r="AO545" s="623"/>
      <c r="AP545" s="623"/>
      <c r="AQ545" s="623"/>
      <c r="AR545" s="623"/>
      <c r="AS545" s="623"/>
      <c r="AT545" s="623"/>
      <c r="AU545" s="623"/>
      <c r="AV545" s="623"/>
      <c r="AW545" s="623"/>
      <c r="AX545" s="623"/>
      <c r="AY545" s="623"/>
      <c r="AZ545" s="623"/>
      <c r="BA545" s="623"/>
    </row>
    <row r="546">
      <c r="A546" s="621" t="str">
        <f>ARBITRAGES!E547</f>
        <v/>
      </c>
      <c r="B546" s="623" t="str">
        <f>ARBITRAGES!F547</f>
        <v/>
      </c>
      <c r="C546" s="624" t="str">
        <f>ARBITRAGES!G547</f>
        <v/>
      </c>
      <c r="D546" s="623" t="str">
        <f>ARBITRAGES!H547</f>
        <v/>
      </c>
      <c r="E546" s="624" t="str">
        <f>ARBITRAGES!I547</f>
        <v/>
      </c>
      <c r="F546" s="623"/>
      <c r="G546" s="623" t="str">
        <f>'PV (%)'!B548</f>
        <v/>
      </c>
      <c r="H546" s="624" t="str">
        <f>'PV (%)'!E548</f>
        <v/>
      </c>
      <c r="I546" s="624" t="str">
        <f>'PV (%)'!F548</f>
        <v/>
      </c>
      <c r="J546" s="624" t="str">
        <f>'PV (%)'!G548</f>
        <v/>
      </c>
      <c r="K546" s="623"/>
      <c r="L546" s="623"/>
      <c r="M546" s="623"/>
      <c r="N546" s="623"/>
      <c r="O546" s="623"/>
      <c r="P546" s="623"/>
      <c r="Q546" s="623"/>
      <c r="R546" s="623"/>
      <c r="S546" s="623"/>
      <c r="T546" s="623"/>
      <c r="U546" s="623"/>
      <c r="V546" s="623"/>
      <c r="W546" s="623"/>
      <c r="X546" s="623"/>
      <c r="Y546" s="623"/>
      <c r="Z546" s="623"/>
      <c r="AA546" s="623"/>
      <c r="AB546" s="623"/>
      <c r="AC546" s="623"/>
      <c r="AD546" s="623"/>
      <c r="AE546" s="623"/>
      <c r="AF546" s="623"/>
      <c r="AG546" s="623"/>
      <c r="AH546" s="623"/>
      <c r="AI546" s="623"/>
      <c r="AJ546" s="623"/>
      <c r="AK546" s="623"/>
      <c r="AL546" s="623"/>
      <c r="AM546" s="623"/>
      <c r="AN546" s="623"/>
      <c r="AO546" s="623"/>
      <c r="AP546" s="623"/>
      <c r="AQ546" s="623"/>
      <c r="AR546" s="623"/>
      <c r="AS546" s="623"/>
      <c r="AT546" s="623"/>
      <c r="AU546" s="623"/>
      <c r="AV546" s="623"/>
      <c r="AW546" s="623"/>
      <c r="AX546" s="623"/>
      <c r="AY546" s="623"/>
      <c r="AZ546" s="623"/>
      <c r="BA546" s="623"/>
    </row>
    <row r="547">
      <c r="A547" s="621" t="str">
        <f>ARBITRAGES!E548</f>
        <v/>
      </c>
      <c r="B547" s="623" t="str">
        <f>ARBITRAGES!F548</f>
        <v/>
      </c>
      <c r="C547" s="624" t="str">
        <f>ARBITRAGES!G548</f>
        <v/>
      </c>
      <c r="D547" s="623" t="str">
        <f>ARBITRAGES!H548</f>
        <v/>
      </c>
      <c r="E547" s="624" t="str">
        <f>ARBITRAGES!I548</f>
        <v/>
      </c>
      <c r="F547" s="623"/>
      <c r="G547" s="623" t="str">
        <f>'PV (%)'!B549</f>
        <v/>
      </c>
      <c r="H547" s="624" t="str">
        <f>'PV (%)'!E549</f>
        <v/>
      </c>
      <c r="I547" s="624" t="str">
        <f>'PV (%)'!F549</f>
        <v/>
      </c>
      <c r="J547" s="624" t="str">
        <f>'PV (%)'!G549</f>
        <v/>
      </c>
      <c r="K547" s="623"/>
      <c r="L547" s="623"/>
      <c r="M547" s="623"/>
      <c r="N547" s="623"/>
      <c r="O547" s="623"/>
      <c r="P547" s="623"/>
      <c r="Q547" s="623"/>
      <c r="R547" s="623"/>
      <c r="S547" s="623"/>
      <c r="T547" s="623"/>
      <c r="U547" s="623"/>
      <c r="V547" s="623"/>
      <c r="W547" s="623"/>
      <c r="X547" s="623"/>
      <c r="Y547" s="623"/>
      <c r="Z547" s="623"/>
      <c r="AA547" s="623"/>
      <c r="AB547" s="623"/>
      <c r="AC547" s="623"/>
      <c r="AD547" s="623"/>
      <c r="AE547" s="623"/>
      <c r="AF547" s="623"/>
      <c r="AG547" s="623"/>
      <c r="AH547" s="623"/>
      <c r="AI547" s="623"/>
      <c r="AJ547" s="623"/>
      <c r="AK547" s="623"/>
      <c r="AL547" s="623"/>
      <c r="AM547" s="623"/>
      <c r="AN547" s="623"/>
      <c r="AO547" s="623"/>
      <c r="AP547" s="623"/>
      <c r="AQ547" s="623"/>
      <c r="AR547" s="623"/>
      <c r="AS547" s="623"/>
      <c r="AT547" s="623"/>
      <c r="AU547" s="623"/>
      <c r="AV547" s="623"/>
      <c r="AW547" s="623"/>
      <c r="AX547" s="623"/>
      <c r="AY547" s="623"/>
      <c r="AZ547" s="623"/>
      <c r="BA547" s="623"/>
    </row>
    <row r="548">
      <c r="A548" s="621" t="str">
        <f>ARBITRAGES!E549</f>
        <v/>
      </c>
      <c r="B548" s="623" t="str">
        <f>ARBITRAGES!F549</f>
        <v/>
      </c>
      <c r="C548" s="624" t="str">
        <f>ARBITRAGES!G549</f>
        <v/>
      </c>
      <c r="D548" s="623" t="str">
        <f>ARBITRAGES!H549</f>
        <v/>
      </c>
      <c r="E548" s="624" t="str">
        <f>ARBITRAGES!I549</f>
        <v/>
      </c>
      <c r="F548" s="623"/>
      <c r="G548" s="623" t="str">
        <f>'PV (%)'!B550</f>
        <v/>
      </c>
      <c r="H548" s="624" t="str">
        <f>'PV (%)'!E550</f>
        <v/>
      </c>
      <c r="I548" s="624" t="str">
        <f>'PV (%)'!F550</f>
        <v/>
      </c>
      <c r="J548" s="624" t="str">
        <f>'PV (%)'!G550</f>
        <v/>
      </c>
      <c r="K548" s="623"/>
      <c r="L548" s="623"/>
      <c r="M548" s="623"/>
      <c r="N548" s="623"/>
      <c r="O548" s="623"/>
      <c r="P548" s="623"/>
      <c r="Q548" s="623"/>
      <c r="R548" s="623"/>
      <c r="S548" s="623"/>
      <c r="T548" s="623"/>
      <c r="U548" s="623"/>
      <c r="V548" s="623"/>
      <c r="W548" s="623"/>
      <c r="X548" s="623"/>
      <c r="Y548" s="623"/>
      <c r="Z548" s="623"/>
      <c r="AA548" s="623"/>
      <c r="AB548" s="623"/>
      <c r="AC548" s="623"/>
      <c r="AD548" s="623"/>
      <c r="AE548" s="623"/>
      <c r="AF548" s="623"/>
      <c r="AG548" s="623"/>
      <c r="AH548" s="623"/>
      <c r="AI548" s="623"/>
      <c r="AJ548" s="623"/>
      <c r="AK548" s="623"/>
      <c r="AL548" s="623"/>
      <c r="AM548" s="623"/>
      <c r="AN548" s="623"/>
      <c r="AO548" s="623"/>
      <c r="AP548" s="623"/>
      <c r="AQ548" s="623"/>
      <c r="AR548" s="623"/>
      <c r="AS548" s="623"/>
      <c r="AT548" s="623"/>
      <c r="AU548" s="623"/>
      <c r="AV548" s="623"/>
      <c r="AW548" s="623"/>
      <c r="AX548" s="623"/>
      <c r="AY548" s="623"/>
      <c r="AZ548" s="623"/>
      <c r="BA548" s="623"/>
    </row>
    <row r="549">
      <c r="A549" s="621" t="str">
        <f>ARBITRAGES!E550</f>
        <v/>
      </c>
      <c r="B549" s="623" t="str">
        <f>ARBITRAGES!F550</f>
        <v/>
      </c>
      <c r="C549" s="624" t="str">
        <f>ARBITRAGES!G550</f>
        <v/>
      </c>
      <c r="D549" s="623" t="str">
        <f>ARBITRAGES!H550</f>
        <v/>
      </c>
      <c r="E549" s="624" t="str">
        <f>ARBITRAGES!I550</f>
        <v/>
      </c>
      <c r="F549" s="623"/>
      <c r="G549" s="623" t="str">
        <f>'PV (%)'!B551</f>
        <v/>
      </c>
      <c r="H549" s="624" t="str">
        <f>'PV (%)'!E551</f>
        <v/>
      </c>
      <c r="I549" s="624" t="str">
        <f>'PV (%)'!F551</f>
        <v/>
      </c>
      <c r="J549" s="624" t="str">
        <f>'PV (%)'!G551</f>
        <v/>
      </c>
      <c r="K549" s="623"/>
      <c r="L549" s="623"/>
      <c r="M549" s="623"/>
      <c r="N549" s="623"/>
      <c r="O549" s="623"/>
      <c r="P549" s="623"/>
      <c r="Q549" s="623"/>
      <c r="R549" s="623"/>
      <c r="S549" s="623"/>
      <c r="T549" s="623"/>
      <c r="U549" s="623"/>
      <c r="V549" s="623"/>
      <c r="W549" s="623"/>
      <c r="X549" s="623"/>
      <c r="Y549" s="623"/>
      <c r="Z549" s="623"/>
      <c r="AA549" s="623"/>
      <c r="AB549" s="623"/>
      <c r="AC549" s="623"/>
      <c r="AD549" s="623"/>
      <c r="AE549" s="623"/>
      <c r="AF549" s="623"/>
      <c r="AG549" s="623"/>
      <c r="AH549" s="623"/>
      <c r="AI549" s="623"/>
      <c r="AJ549" s="623"/>
      <c r="AK549" s="623"/>
      <c r="AL549" s="623"/>
      <c r="AM549" s="623"/>
      <c r="AN549" s="623"/>
      <c r="AO549" s="623"/>
      <c r="AP549" s="623"/>
      <c r="AQ549" s="623"/>
      <c r="AR549" s="623"/>
      <c r="AS549" s="623"/>
      <c r="AT549" s="623"/>
      <c r="AU549" s="623"/>
      <c r="AV549" s="623"/>
      <c r="AW549" s="623"/>
      <c r="AX549" s="623"/>
      <c r="AY549" s="623"/>
      <c r="AZ549" s="623"/>
      <c r="BA549" s="623"/>
    </row>
    <row r="550">
      <c r="A550" s="621" t="str">
        <f>ARBITRAGES!E551</f>
        <v/>
      </c>
      <c r="B550" s="623" t="str">
        <f>ARBITRAGES!F551</f>
        <v/>
      </c>
      <c r="C550" s="624" t="str">
        <f>ARBITRAGES!G551</f>
        <v/>
      </c>
      <c r="D550" s="623" t="str">
        <f>ARBITRAGES!H551</f>
        <v/>
      </c>
      <c r="E550" s="624" t="str">
        <f>ARBITRAGES!I551</f>
        <v/>
      </c>
      <c r="F550" s="623"/>
      <c r="G550" s="623" t="str">
        <f>'PV (%)'!B552</f>
        <v/>
      </c>
      <c r="H550" s="624" t="str">
        <f>'PV (%)'!E552</f>
        <v/>
      </c>
      <c r="I550" s="624" t="str">
        <f>'PV (%)'!F552</f>
        <v/>
      </c>
      <c r="J550" s="624" t="str">
        <f>'PV (%)'!G552</f>
        <v/>
      </c>
      <c r="K550" s="623"/>
      <c r="L550" s="623"/>
      <c r="M550" s="623"/>
      <c r="N550" s="623"/>
      <c r="O550" s="623"/>
      <c r="P550" s="623"/>
      <c r="Q550" s="623"/>
      <c r="R550" s="623"/>
      <c r="S550" s="623"/>
      <c r="T550" s="623"/>
      <c r="U550" s="623"/>
      <c r="V550" s="623"/>
      <c r="W550" s="623"/>
      <c r="X550" s="623"/>
      <c r="Y550" s="623"/>
      <c r="Z550" s="623"/>
      <c r="AA550" s="623"/>
      <c r="AB550" s="623"/>
      <c r="AC550" s="623"/>
      <c r="AD550" s="623"/>
      <c r="AE550" s="623"/>
      <c r="AF550" s="623"/>
      <c r="AG550" s="623"/>
      <c r="AH550" s="623"/>
      <c r="AI550" s="623"/>
      <c r="AJ550" s="623"/>
      <c r="AK550" s="623"/>
      <c r="AL550" s="623"/>
      <c r="AM550" s="623"/>
      <c r="AN550" s="623"/>
      <c r="AO550" s="623"/>
      <c r="AP550" s="623"/>
      <c r="AQ550" s="623"/>
      <c r="AR550" s="623"/>
      <c r="AS550" s="623"/>
      <c r="AT550" s="623"/>
      <c r="AU550" s="623"/>
      <c r="AV550" s="623"/>
      <c r="AW550" s="623"/>
      <c r="AX550" s="623"/>
      <c r="AY550" s="623"/>
      <c r="AZ550" s="623"/>
      <c r="BA550" s="623"/>
    </row>
    <row r="551">
      <c r="A551" s="621" t="str">
        <f>ARBITRAGES!E552</f>
        <v/>
      </c>
      <c r="B551" s="623" t="str">
        <f>ARBITRAGES!F552</f>
        <v/>
      </c>
      <c r="C551" s="624" t="str">
        <f>ARBITRAGES!G552</f>
        <v/>
      </c>
      <c r="D551" s="623" t="str">
        <f>ARBITRAGES!H552</f>
        <v/>
      </c>
      <c r="E551" s="624" t="str">
        <f>ARBITRAGES!I552</f>
        <v/>
      </c>
      <c r="F551" s="623"/>
      <c r="G551" s="623" t="str">
        <f>'PV (%)'!B553</f>
        <v/>
      </c>
      <c r="H551" s="624" t="str">
        <f>'PV (%)'!E553</f>
        <v/>
      </c>
      <c r="I551" s="624" t="str">
        <f>'PV (%)'!F553</f>
        <v/>
      </c>
      <c r="J551" s="624" t="str">
        <f>'PV (%)'!G553</f>
        <v/>
      </c>
      <c r="K551" s="623"/>
      <c r="L551" s="623"/>
      <c r="M551" s="623"/>
      <c r="N551" s="623"/>
      <c r="O551" s="623"/>
      <c r="P551" s="623"/>
      <c r="Q551" s="623"/>
      <c r="R551" s="623"/>
      <c r="S551" s="623"/>
      <c r="T551" s="623"/>
      <c r="U551" s="623"/>
      <c r="V551" s="623"/>
      <c r="W551" s="623"/>
      <c r="X551" s="623"/>
      <c r="Y551" s="623"/>
      <c r="Z551" s="623"/>
      <c r="AA551" s="623"/>
      <c r="AB551" s="623"/>
      <c r="AC551" s="623"/>
      <c r="AD551" s="623"/>
      <c r="AE551" s="623"/>
      <c r="AF551" s="623"/>
      <c r="AG551" s="623"/>
      <c r="AH551" s="623"/>
      <c r="AI551" s="623"/>
      <c r="AJ551" s="623"/>
      <c r="AK551" s="623"/>
      <c r="AL551" s="623"/>
      <c r="AM551" s="623"/>
      <c r="AN551" s="623"/>
      <c r="AO551" s="623"/>
      <c r="AP551" s="623"/>
      <c r="AQ551" s="623"/>
      <c r="AR551" s="623"/>
      <c r="AS551" s="623"/>
      <c r="AT551" s="623"/>
      <c r="AU551" s="623"/>
      <c r="AV551" s="623"/>
      <c r="AW551" s="623"/>
      <c r="AX551" s="623"/>
      <c r="AY551" s="623"/>
      <c r="AZ551" s="623"/>
      <c r="BA551" s="623"/>
    </row>
    <row r="552">
      <c r="A552" s="621" t="str">
        <f>ARBITRAGES!E553</f>
        <v/>
      </c>
      <c r="B552" s="623" t="str">
        <f>ARBITRAGES!F553</f>
        <v/>
      </c>
      <c r="C552" s="624" t="str">
        <f>ARBITRAGES!G553</f>
        <v/>
      </c>
      <c r="D552" s="623" t="str">
        <f>ARBITRAGES!H553</f>
        <v/>
      </c>
      <c r="E552" s="624" t="str">
        <f>ARBITRAGES!I553</f>
        <v/>
      </c>
      <c r="F552" s="623"/>
      <c r="G552" s="623" t="str">
        <f>'PV (%)'!B554</f>
        <v/>
      </c>
      <c r="H552" s="624" t="str">
        <f>'PV (%)'!E554</f>
        <v/>
      </c>
      <c r="I552" s="624" t="str">
        <f>'PV (%)'!F554</f>
        <v/>
      </c>
      <c r="J552" s="624" t="str">
        <f>'PV (%)'!G554</f>
        <v/>
      </c>
      <c r="K552" s="623"/>
      <c r="L552" s="623"/>
      <c r="M552" s="623"/>
      <c r="N552" s="623"/>
      <c r="O552" s="623"/>
      <c r="P552" s="623"/>
      <c r="Q552" s="623"/>
      <c r="R552" s="623"/>
      <c r="S552" s="623"/>
      <c r="T552" s="623"/>
      <c r="U552" s="623"/>
      <c r="V552" s="623"/>
      <c r="W552" s="623"/>
      <c r="X552" s="623"/>
      <c r="Y552" s="623"/>
      <c r="Z552" s="623"/>
      <c r="AA552" s="623"/>
      <c r="AB552" s="623"/>
      <c r="AC552" s="623"/>
      <c r="AD552" s="623"/>
      <c r="AE552" s="623"/>
      <c r="AF552" s="623"/>
      <c r="AG552" s="623"/>
      <c r="AH552" s="623"/>
      <c r="AI552" s="623"/>
      <c r="AJ552" s="623"/>
      <c r="AK552" s="623"/>
      <c r="AL552" s="623"/>
      <c r="AM552" s="623"/>
      <c r="AN552" s="623"/>
      <c r="AO552" s="623"/>
      <c r="AP552" s="623"/>
      <c r="AQ552" s="623"/>
      <c r="AR552" s="623"/>
      <c r="AS552" s="623"/>
      <c r="AT552" s="623"/>
      <c r="AU552" s="623"/>
      <c r="AV552" s="623"/>
      <c r="AW552" s="623"/>
      <c r="AX552" s="623"/>
      <c r="AY552" s="623"/>
      <c r="AZ552" s="623"/>
      <c r="BA552" s="623"/>
    </row>
    <row r="553">
      <c r="A553" s="621" t="str">
        <f>ARBITRAGES!E554</f>
        <v/>
      </c>
      <c r="B553" s="623" t="str">
        <f>ARBITRAGES!F554</f>
        <v/>
      </c>
      <c r="C553" s="624" t="str">
        <f>ARBITRAGES!G554</f>
        <v/>
      </c>
      <c r="D553" s="623" t="str">
        <f>ARBITRAGES!H554</f>
        <v/>
      </c>
      <c r="E553" s="624" t="str">
        <f>ARBITRAGES!I554</f>
        <v/>
      </c>
      <c r="F553" s="623"/>
      <c r="G553" s="623" t="str">
        <f>'PV (%)'!B555</f>
        <v/>
      </c>
      <c r="H553" s="624" t="str">
        <f>'PV (%)'!E555</f>
        <v/>
      </c>
      <c r="I553" s="624" t="str">
        <f>'PV (%)'!F555</f>
        <v/>
      </c>
      <c r="J553" s="624" t="str">
        <f>'PV (%)'!G555</f>
        <v/>
      </c>
      <c r="K553" s="623"/>
      <c r="L553" s="623"/>
      <c r="M553" s="623"/>
      <c r="N553" s="623"/>
      <c r="O553" s="623"/>
      <c r="P553" s="623"/>
      <c r="Q553" s="623"/>
      <c r="R553" s="623"/>
      <c r="S553" s="623"/>
      <c r="T553" s="623"/>
      <c r="U553" s="623"/>
      <c r="V553" s="623"/>
      <c r="W553" s="623"/>
      <c r="X553" s="623"/>
      <c r="Y553" s="623"/>
      <c r="Z553" s="623"/>
      <c r="AA553" s="623"/>
      <c r="AB553" s="623"/>
      <c r="AC553" s="623"/>
      <c r="AD553" s="623"/>
      <c r="AE553" s="623"/>
      <c r="AF553" s="623"/>
      <c r="AG553" s="623"/>
      <c r="AH553" s="623"/>
      <c r="AI553" s="623"/>
      <c r="AJ553" s="623"/>
      <c r="AK553" s="623"/>
      <c r="AL553" s="623"/>
      <c r="AM553" s="623"/>
      <c r="AN553" s="623"/>
      <c r="AO553" s="623"/>
      <c r="AP553" s="623"/>
      <c r="AQ553" s="623"/>
      <c r="AR553" s="623"/>
      <c r="AS553" s="623"/>
      <c r="AT553" s="623"/>
      <c r="AU553" s="623"/>
      <c r="AV553" s="623"/>
      <c r="AW553" s="623"/>
      <c r="AX553" s="623"/>
      <c r="AY553" s="623"/>
      <c r="AZ553" s="623"/>
      <c r="BA553" s="623"/>
    </row>
    <row r="554">
      <c r="A554" s="621" t="str">
        <f>ARBITRAGES!E555</f>
        <v/>
      </c>
      <c r="B554" s="623" t="str">
        <f>ARBITRAGES!F555</f>
        <v/>
      </c>
      <c r="C554" s="624" t="str">
        <f>ARBITRAGES!G555</f>
        <v/>
      </c>
      <c r="D554" s="623" t="str">
        <f>ARBITRAGES!H555</f>
        <v/>
      </c>
      <c r="E554" s="624" t="str">
        <f>ARBITRAGES!I555</f>
        <v/>
      </c>
      <c r="F554" s="623"/>
      <c r="G554" s="623" t="str">
        <f>'PV (%)'!B556</f>
        <v/>
      </c>
      <c r="H554" s="624" t="str">
        <f>'PV (%)'!E556</f>
        <v/>
      </c>
      <c r="I554" s="624" t="str">
        <f>'PV (%)'!F556</f>
        <v/>
      </c>
      <c r="J554" s="624" t="str">
        <f>'PV (%)'!G556</f>
        <v/>
      </c>
      <c r="K554" s="623"/>
      <c r="L554" s="623"/>
      <c r="M554" s="623"/>
      <c r="N554" s="623"/>
      <c r="O554" s="623"/>
      <c r="P554" s="623"/>
      <c r="Q554" s="623"/>
      <c r="R554" s="623"/>
      <c r="S554" s="623"/>
      <c r="T554" s="623"/>
      <c r="U554" s="623"/>
      <c r="V554" s="623"/>
      <c r="W554" s="623"/>
      <c r="X554" s="623"/>
      <c r="Y554" s="623"/>
      <c r="Z554" s="623"/>
      <c r="AA554" s="623"/>
      <c r="AB554" s="623"/>
      <c r="AC554" s="623"/>
      <c r="AD554" s="623"/>
      <c r="AE554" s="623"/>
      <c r="AF554" s="623"/>
      <c r="AG554" s="623"/>
      <c r="AH554" s="623"/>
      <c r="AI554" s="623"/>
      <c r="AJ554" s="623"/>
      <c r="AK554" s="623"/>
      <c r="AL554" s="623"/>
      <c r="AM554" s="623"/>
      <c r="AN554" s="623"/>
      <c r="AO554" s="623"/>
      <c r="AP554" s="623"/>
      <c r="AQ554" s="623"/>
      <c r="AR554" s="623"/>
      <c r="AS554" s="623"/>
      <c r="AT554" s="623"/>
      <c r="AU554" s="623"/>
      <c r="AV554" s="623"/>
      <c r="AW554" s="623"/>
      <c r="AX554" s="623"/>
      <c r="AY554" s="623"/>
      <c r="AZ554" s="623"/>
      <c r="BA554" s="623"/>
    </row>
    <row r="555">
      <c r="A555" s="621" t="str">
        <f>ARBITRAGES!E556</f>
        <v/>
      </c>
      <c r="B555" s="623" t="str">
        <f>ARBITRAGES!F556</f>
        <v/>
      </c>
      <c r="C555" s="624" t="str">
        <f>ARBITRAGES!G556</f>
        <v/>
      </c>
      <c r="D555" s="623" t="str">
        <f>ARBITRAGES!H556</f>
        <v/>
      </c>
      <c r="E555" s="624" t="str">
        <f>ARBITRAGES!I556</f>
        <v/>
      </c>
      <c r="F555" s="623"/>
      <c r="G555" s="623" t="str">
        <f>'PV (%)'!B557</f>
        <v/>
      </c>
      <c r="H555" s="624" t="str">
        <f>'PV (%)'!E557</f>
        <v/>
      </c>
      <c r="I555" s="624" t="str">
        <f>'PV (%)'!F557</f>
        <v/>
      </c>
      <c r="J555" s="624" t="str">
        <f>'PV (%)'!G557</f>
        <v/>
      </c>
      <c r="K555" s="623"/>
      <c r="L555" s="623"/>
      <c r="M555" s="623"/>
      <c r="N555" s="623"/>
      <c r="O555" s="623"/>
      <c r="P555" s="623"/>
      <c r="Q555" s="623"/>
      <c r="R555" s="623"/>
      <c r="S555" s="623"/>
      <c r="T555" s="623"/>
      <c r="U555" s="623"/>
      <c r="V555" s="623"/>
      <c r="W555" s="623"/>
      <c r="X555" s="623"/>
      <c r="Y555" s="623"/>
      <c r="Z555" s="623"/>
      <c r="AA555" s="623"/>
      <c r="AB555" s="623"/>
      <c r="AC555" s="623"/>
      <c r="AD555" s="623"/>
      <c r="AE555" s="623"/>
      <c r="AF555" s="623"/>
      <c r="AG555" s="623"/>
      <c r="AH555" s="623"/>
      <c r="AI555" s="623"/>
      <c r="AJ555" s="623"/>
      <c r="AK555" s="623"/>
      <c r="AL555" s="623"/>
      <c r="AM555" s="623"/>
      <c r="AN555" s="623"/>
      <c r="AO555" s="623"/>
      <c r="AP555" s="623"/>
      <c r="AQ555" s="623"/>
      <c r="AR555" s="623"/>
      <c r="AS555" s="623"/>
      <c r="AT555" s="623"/>
      <c r="AU555" s="623"/>
      <c r="AV555" s="623"/>
      <c r="AW555" s="623"/>
      <c r="AX555" s="623"/>
      <c r="AY555" s="623"/>
      <c r="AZ555" s="623"/>
      <c r="BA555" s="623"/>
    </row>
    <row r="556">
      <c r="A556" s="621" t="str">
        <f>ARBITRAGES!E557</f>
        <v/>
      </c>
      <c r="B556" s="623" t="str">
        <f>ARBITRAGES!F557</f>
        <v/>
      </c>
      <c r="C556" s="624" t="str">
        <f>ARBITRAGES!G557</f>
        <v/>
      </c>
      <c r="D556" s="623" t="str">
        <f>ARBITRAGES!H557</f>
        <v/>
      </c>
      <c r="E556" s="624" t="str">
        <f>ARBITRAGES!I557</f>
        <v/>
      </c>
      <c r="F556" s="623"/>
      <c r="G556" s="623" t="str">
        <f>'PV (%)'!B558</f>
        <v/>
      </c>
      <c r="H556" s="624" t="str">
        <f>'PV (%)'!E558</f>
        <v/>
      </c>
      <c r="I556" s="624" t="str">
        <f>'PV (%)'!F558</f>
        <v/>
      </c>
      <c r="J556" s="624" t="str">
        <f>'PV (%)'!G558</f>
        <v/>
      </c>
      <c r="K556" s="623"/>
      <c r="L556" s="623"/>
      <c r="M556" s="623"/>
      <c r="N556" s="623"/>
      <c r="O556" s="623"/>
      <c r="P556" s="623"/>
      <c r="Q556" s="623"/>
      <c r="R556" s="623"/>
      <c r="S556" s="623"/>
      <c r="T556" s="623"/>
      <c r="U556" s="623"/>
      <c r="V556" s="623"/>
      <c r="W556" s="623"/>
      <c r="X556" s="623"/>
      <c r="Y556" s="623"/>
      <c r="Z556" s="623"/>
      <c r="AA556" s="623"/>
      <c r="AB556" s="623"/>
      <c r="AC556" s="623"/>
      <c r="AD556" s="623"/>
      <c r="AE556" s="623"/>
      <c r="AF556" s="623"/>
      <c r="AG556" s="623"/>
      <c r="AH556" s="623"/>
      <c r="AI556" s="623"/>
      <c r="AJ556" s="623"/>
      <c r="AK556" s="623"/>
      <c r="AL556" s="623"/>
      <c r="AM556" s="623"/>
      <c r="AN556" s="623"/>
      <c r="AO556" s="623"/>
      <c r="AP556" s="623"/>
      <c r="AQ556" s="623"/>
      <c r="AR556" s="623"/>
      <c r="AS556" s="623"/>
      <c r="AT556" s="623"/>
      <c r="AU556" s="623"/>
      <c r="AV556" s="623"/>
      <c r="AW556" s="623"/>
      <c r="AX556" s="623"/>
      <c r="AY556" s="623"/>
      <c r="AZ556" s="623"/>
      <c r="BA556" s="623"/>
    </row>
    <row r="557">
      <c r="A557" s="621" t="str">
        <f>ARBITRAGES!E558</f>
        <v/>
      </c>
      <c r="B557" s="623" t="str">
        <f>ARBITRAGES!F558</f>
        <v/>
      </c>
      <c r="C557" s="624" t="str">
        <f>ARBITRAGES!G558</f>
        <v/>
      </c>
      <c r="D557" s="623" t="str">
        <f>ARBITRAGES!H558</f>
        <v/>
      </c>
      <c r="E557" s="624" t="str">
        <f>ARBITRAGES!I558</f>
        <v/>
      </c>
      <c r="F557" s="623"/>
      <c r="G557" s="623" t="str">
        <f>'PV (%)'!B559</f>
        <v/>
      </c>
      <c r="H557" s="624" t="str">
        <f>'PV (%)'!E559</f>
        <v/>
      </c>
      <c r="I557" s="624" t="str">
        <f>'PV (%)'!F559</f>
        <v/>
      </c>
      <c r="J557" s="624" t="str">
        <f>'PV (%)'!G559</f>
        <v/>
      </c>
      <c r="K557" s="623"/>
      <c r="L557" s="623"/>
      <c r="M557" s="623"/>
      <c r="N557" s="623"/>
      <c r="O557" s="623"/>
      <c r="P557" s="623"/>
      <c r="Q557" s="623"/>
      <c r="R557" s="623"/>
      <c r="S557" s="623"/>
      <c r="T557" s="623"/>
      <c r="U557" s="623"/>
      <c r="V557" s="623"/>
      <c r="W557" s="623"/>
      <c r="X557" s="623"/>
      <c r="Y557" s="623"/>
      <c r="Z557" s="623"/>
      <c r="AA557" s="623"/>
      <c r="AB557" s="623"/>
      <c r="AC557" s="623"/>
      <c r="AD557" s="623"/>
      <c r="AE557" s="623"/>
      <c r="AF557" s="623"/>
      <c r="AG557" s="623"/>
      <c r="AH557" s="623"/>
      <c r="AI557" s="623"/>
      <c r="AJ557" s="623"/>
      <c r="AK557" s="623"/>
      <c r="AL557" s="623"/>
      <c r="AM557" s="623"/>
      <c r="AN557" s="623"/>
      <c r="AO557" s="623"/>
      <c r="AP557" s="623"/>
      <c r="AQ557" s="623"/>
      <c r="AR557" s="623"/>
      <c r="AS557" s="623"/>
      <c r="AT557" s="623"/>
      <c r="AU557" s="623"/>
      <c r="AV557" s="623"/>
      <c r="AW557" s="623"/>
      <c r="AX557" s="623"/>
      <c r="AY557" s="623"/>
      <c r="AZ557" s="623"/>
      <c r="BA557" s="623"/>
    </row>
    <row r="558">
      <c r="A558" s="621" t="str">
        <f>ARBITRAGES!E559</f>
        <v/>
      </c>
      <c r="B558" s="623" t="str">
        <f>ARBITRAGES!F559</f>
        <v/>
      </c>
      <c r="C558" s="624" t="str">
        <f>ARBITRAGES!G559</f>
        <v/>
      </c>
      <c r="D558" s="623" t="str">
        <f>ARBITRAGES!H559</f>
        <v/>
      </c>
      <c r="E558" s="624" t="str">
        <f>ARBITRAGES!I559</f>
        <v/>
      </c>
      <c r="F558" s="623"/>
      <c r="G558" s="623" t="str">
        <f>'PV (%)'!B560</f>
        <v/>
      </c>
      <c r="H558" s="624" t="str">
        <f>'PV (%)'!E560</f>
        <v/>
      </c>
      <c r="I558" s="624" t="str">
        <f>'PV (%)'!F560</f>
        <v/>
      </c>
      <c r="J558" s="624" t="str">
        <f>'PV (%)'!G560</f>
        <v/>
      </c>
      <c r="K558" s="623"/>
      <c r="L558" s="623"/>
      <c r="M558" s="623"/>
      <c r="N558" s="623"/>
      <c r="O558" s="623"/>
      <c r="P558" s="623"/>
      <c r="Q558" s="623"/>
      <c r="R558" s="623"/>
      <c r="S558" s="623"/>
      <c r="T558" s="623"/>
      <c r="U558" s="623"/>
      <c r="V558" s="623"/>
      <c r="W558" s="623"/>
      <c r="X558" s="623"/>
      <c r="Y558" s="623"/>
      <c r="Z558" s="623"/>
      <c r="AA558" s="623"/>
      <c r="AB558" s="623"/>
      <c r="AC558" s="623"/>
      <c r="AD558" s="623"/>
      <c r="AE558" s="623"/>
      <c r="AF558" s="623"/>
      <c r="AG558" s="623"/>
      <c r="AH558" s="623"/>
      <c r="AI558" s="623"/>
      <c r="AJ558" s="623"/>
      <c r="AK558" s="623"/>
      <c r="AL558" s="623"/>
      <c r="AM558" s="623"/>
      <c r="AN558" s="623"/>
      <c r="AO558" s="623"/>
      <c r="AP558" s="623"/>
      <c r="AQ558" s="623"/>
      <c r="AR558" s="623"/>
      <c r="AS558" s="623"/>
      <c r="AT558" s="623"/>
      <c r="AU558" s="623"/>
      <c r="AV558" s="623"/>
      <c r="AW558" s="623"/>
      <c r="AX558" s="623"/>
      <c r="AY558" s="623"/>
      <c r="AZ558" s="623"/>
      <c r="BA558" s="623"/>
    </row>
    <row r="559">
      <c r="A559" s="621" t="str">
        <f>ARBITRAGES!E560</f>
        <v/>
      </c>
      <c r="B559" s="623" t="str">
        <f>ARBITRAGES!F560</f>
        <v/>
      </c>
      <c r="C559" s="624" t="str">
        <f>ARBITRAGES!G560</f>
        <v/>
      </c>
      <c r="D559" s="623" t="str">
        <f>ARBITRAGES!H560</f>
        <v/>
      </c>
      <c r="E559" s="624" t="str">
        <f>ARBITRAGES!I560</f>
        <v/>
      </c>
      <c r="F559" s="623"/>
      <c r="G559" s="623" t="str">
        <f>'PV (%)'!B561</f>
        <v/>
      </c>
      <c r="H559" s="624" t="str">
        <f>'PV (%)'!E561</f>
        <v/>
      </c>
      <c r="I559" s="624" t="str">
        <f>'PV (%)'!F561</f>
        <v/>
      </c>
      <c r="J559" s="624" t="str">
        <f>'PV (%)'!G561</f>
        <v/>
      </c>
      <c r="K559" s="623"/>
      <c r="L559" s="623"/>
      <c r="M559" s="623"/>
      <c r="N559" s="623"/>
      <c r="O559" s="623"/>
      <c r="P559" s="623"/>
      <c r="Q559" s="623"/>
      <c r="R559" s="623"/>
      <c r="S559" s="623"/>
      <c r="T559" s="623"/>
      <c r="U559" s="623"/>
      <c r="V559" s="623"/>
      <c r="W559" s="623"/>
      <c r="X559" s="623"/>
      <c r="Y559" s="623"/>
      <c r="Z559" s="623"/>
      <c r="AA559" s="623"/>
      <c r="AB559" s="623"/>
      <c r="AC559" s="623"/>
      <c r="AD559" s="623"/>
      <c r="AE559" s="623"/>
      <c r="AF559" s="623"/>
      <c r="AG559" s="623"/>
      <c r="AH559" s="623"/>
      <c r="AI559" s="623"/>
      <c r="AJ559" s="623"/>
      <c r="AK559" s="623"/>
      <c r="AL559" s="623"/>
      <c r="AM559" s="623"/>
      <c r="AN559" s="623"/>
      <c r="AO559" s="623"/>
      <c r="AP559" s="623"/>
      <c r="AQ559" s="623"/>
      <c r="AR559" s="623"/>
      <c r="AS559" s="623"/>
      <c r="AT559" s="623"/>
      <c r="AU559" s="623"/>
      <c r="AV559" s="623"/>
      <c r="AW559" s="623"/>
      <c r="AX559" s="623"/>
      <c r="AY559" s="623"/>
      <c r="AZ559" s="623"/>
      <c r="BA559" s="623"/>
    </row>
    <row r="560">
      <c r="A560" s="621" t="str">
        <f>ARBITRAGES!E561</f>
        <v/>
      </c>
      <c r="B560" s="623" t="str">
        <f>ARBITRAGES!F561</f>
        <v/>
      </c>
      <c r="C560" s="624" t="str">
        <f>ARBITRAGES!G561</f>
        <v/>
      </c>
      <c r="D560" s="623" t="str">
        <f>ARBITRAGES!H561</f>
        <v/>
      </c>
      <c r="E560" s="624" t="str">
        <f>ARBITRAGES!I561</f>
        <v/>
      </c>
      <c r="F560" s="623"/>
      <c r="G560" s="623" t="str">
        <f>'PV (%)'!B562</f>
        <v/>
      </c>
      <c r="H560" s="624" t="str">
        <f>'PV (%)'!E562</f>
        <v/>
      </c>
      <c r="I560" s="624" t="str">
        <f>'PV (%)'!F562</f>
        <v/>
      </c>
      <c r="J560" s="624" t="str">
        <f>'PV (%)'!G562</f>
        <v/>
      </c>
      <c r="K560" s="623"/>
      <c r="L560" s="623"/>
      <c r="M560" s="623"/>
      <c r="N560" s="623"/>
      <c r="O560" s="623"/>
      <c r="P560" s="623"/>
      <c r="Q560" s="623"/>
      <c r="R560" s="623"/>
      <c r="S560" s="623"/>
      <c r="T560" s="623"/>
      <c r="U560" s="623"/>
      <c r="V560" s="623"/>
      <c r="W560" s="623"/>
      <c r="X560" s="623"/>
      <c r="Y560" s="623"/>
      <c r="Z560" s="623"/>
      <c r="AA560" s="623"/>
      <c r="AB560" s="623"/>
      <c r="AC560" s="623"/>
      <c r="AD560" s="623"/>
      <c r="AE560" s="623"/>
      <c r="AF560" s="623"/>
      <c r="AG560" s="623"/>
      <c r="AH560" s="623"/>
      <c r="AI560" s="623"/>
      <c r="AJ560" s="623"/>
      <c r="AK560" s="623"/>
      <c r="AL560" s="623"/>
      <c r="AM560" s="623"/>
      <c r="AN560" s="623"/>
      <c r="AO560" s="623"/>
      <c r="AP560" s="623"/>
      <c r="AQ560" s="623"/>
      <c r="AR560" s="623"/>
      <c r="AS560" s="623"/>
      <c r="AT560" s="623"/>
      <c r="AU560" s="623"/>
      <c r="AV560" s="623"/>
      <c r="AW560" s="623"/>
      <c r="AX560" s="623"/>
      <c r="AY560" s="623"/>
      <c r="AZ560" s="623"/>
      <c r="BA560" s="623"/>
    </row>
    <row r="561">
      <c r="A561" s="621" t="str">
        <f>ARBITRAGES!E562</f>
        <v/>
      </c>
      <c r="B561" s="623" t="str">
        <f>ARBITRAGES!F562</f>
        <v/>
      </c>
      <c r="C561" s="624" t="str">
        <f>ARBITRAGES!G562</f>
        <v/>
      </c>
      <c r="D561" s="623" t="str">
        <f>ARBITRAGES!H562</f>
        <v/>
      </c>
      <c r="E561" s="624" t="str">
        <f>ARBITRAGES!I562</f>
        <v/>
      </c>
      <c r="F561" s="623"/>
      <c r="G561" s="623" t="str">
        <f>'PV (%)'!B563</f>
        <v/>
      </c>
      <c r="H561" s="624" t="str">
        <f>'PV (%)'!E563</f>
        <v/>
      </c>
      <c r="I561" s="624" t="str">
        <f>'PV (%)'!F563</f>
        <v/>
      </c>
      <c r="J561" s="624" t="str">
        <f>'PV (%)'!G563</f>
        <v/>
      </c>
      <c r="K561" s="623"/>
      <c r="L561" s="623"/>
      <c r="M561" s="623"/>
      <c r="N561" s="623"/>
      <c r="O561" s="623"/>
      <c r="P561" s="623"/>
      <c r="Q561" s="623"/>
      <c r="R561" s="623"/>
      <c r="S561" s="623"/>
      <c r="T561" s="623"/>
      <c r="U561" s="623"/>
      <c r="V561" s="623"/>
      <c r="W561" s="623"/>
      <c r="X561" s="623"/>
      <c r="Y561" s="623"/>
      <c r="Z561" s="623"/>
      <c r="AA561" s="623"/>
      <c r="AB561" s="623"/>
      <c r="AC561" s="623"/>
      <c r="AD561" s="623"/>
      <c r="AE561" s="623"/>
      <c r="AF561" s="623"/>
      <c r="AG561" s="623"/>
      <c r="AH561" s="623"/>
      <c r="AI561" s="623"/>
      <c r="AJ561" s="623"/>
      <c r="AK561" s="623"/>
      <c r="AL561" s="623"/>
      <c r="AM561" s="623"/>
      <c r="AN561" s="623"/>
      <c r="AO561" s="623"/>
      <c r="AP561" s="623"/>
      <c r="AQ561" s="623"/>
      <c r="AR561" s="623"/>
      <c r="AS561" s="623"/>
      <c r="AT561" s="623"/>
      <c r="AU561" s="623"/>
      <c r="AV561" s="623"/>
      <c r="AW561" s="623"/>
      <c r="AX561" s="623"/>
      <c r="AY561" s="623"/>
      <c r="AZ561" s="623"/>
      <c r="BA561" s="623"/>
    </row>
    <row r="562">
      <c r="A562" s="621" t="str">
        <f>ARBITRAGES!E563</f>
        <v/>
      </c>
      <c r="B562" s="623" t="str">
        <f>ARBITRAGES!F563</f>
        <v/>
      </c>
      <c r="C562" s="624" t="str">
        <f>ARBITRAGES!G563</f>
        <v/>
      </c>
      <c r="D562" s="623" t="str">
        <f>ARBITRAGES!H563</f>
        <v/>
      </c>
      <c r="E562" s="624" t="str">
        <f>ARBITRAGES!I563</f>
        <v/>
      </c>
      <c r="F562" s="623"/>
      <c r="G562" s="623" t="str">
        <f>'PV (%)'!B564</f>
        <v/>
      </c>
      <c r="H562" s="624" t="str">
        <f>'PV (%)'!E564</f>
        <v/>
      </c>
      <c r="I562" s="624" t="str">
        <f>'PV (%)'!F564</f>
        <v/>
      </c>
      <c r="J562" s="624" t="str">
        <f>'PV (%)'!G564</f>
        <v/>
      </c>
      <c r="K562" s="623"/>
      <c r="L562" s="623"/>
      <c r="M562" s="623"/>
      <c r="N562" s="623"/>
      <c r="O562" s="623"/>
      <c r="P562" s="623"/>
      <c r="Q562" s="623"/>
      <c r="R562" s="623"/>
      <c r="S562" s="623"/>
      <c r="T562" s="623"/>
      <c r="U562" s="623"/>
      <c r="V562" s="623"/>
      <c r="W562" s="623"/>
      <c r="X562" s="623"/>
      <c r="Y562" s="623"/>
      <c r="Z562" s="623"/>
      <c r="AA562" s="623"/>
      <c r="AB562" s="623"/>
      <c r="AC562" s="623"/>
      <c r="AD562" s="623"/>
      <c r="AE562" s="623"/>
      <c r="AF562" s="623"/>
      <c r="AG562" s="623"/>
      <c r="AH562" s="623"/>
      <c r="AI562" s="623"/>
      <c r="AJ562" s="623"/>
      <c r="AK562" s="623"/>
      <c r="AL562" s="623"/>
      <c r="AM562" s="623"/>
      <c r="AN562" s="623"/>
      <c r="AO562" s="623"/>
      <c r="AP562" s="623"/>
      <c r="AQ562" s="623"/>
      <c r="AR562" s="623"/>
      <c r="AS562" s="623"/>
      <c r="AT562" s="623"/>
      <c r="AU562" s="623"/>
      <c r="AV562" s="623"/>
      <c r="AW562" s="623"/>
      <c r="AX562" s="623"/>
      <c r="AY562" s="623"/>
      <c r="AZ562" s="623"/>
      <c r="BA562" s="623"/>
    </row>
    <row r="563">
      <c r="A563" s="621" t="str">
        <f>ARBITRAGES!E564</f>
        <v/>
      </c>
      <c r="B563" s="623" t="str">
        <f>ARBITRAGES!F564</f>
        <v/>
      </c>
      <c r="C563" s="624" t="str">
        <f>ARBITRAGES!G564</f>
        <v/>
      </c>
      <c r="D563" s="623" t="str">
        <f>ARBITRAGES!H564</f>
        <v/>
      </c>
      <c r="E563" s="624" t="str">
        <f>ARBITRAGES!I564</f>
        <v/>
      </c>
      <c r="F563" s="623"/>
      <c r="G563" s="623" t="str">
        <f>'PV (%)'!B565</f>
        <v/>
      </c>
      <c r="H563" s="624" t="str">
        <f>'PV (%)'!E565</f>
        <v/>
      </c>
      <c r="I563" s="624" t="str">
        <f>'PV (%)'!F565</f>
        <v/>
      </c>
      <c r="J563" s="624" t="str">
        <f>'PV (%)'!G565</f>
        <v/>
      </c>
      <c r="K563" s="623"/>
      <c r="L563" s="623"/>
      <c r="M563" s="623"/>
      <c r="N563" s="623"/>
      <c r="O563" s="623"/>
      <c r="P563" s="623"/>
      <c r="Q563" s="623"/>
      <c r="R563" s="623"/>
      <c r="S563" s="623"/>
      <c r="T563" s="623"/>
      <c r="U563" s="623"/>
      <c r="V563" s="623"/>
      <c r="W563" s="623"/>
      <c r="X563" s="623"/>
      <c r="Y563" s="623"/>
      <c r="Z563" s="623"/>
      <c r="AA563" s="623"/>
      <c r="AB563" s="623"/>
      <c r="AC563" s="623"/>
      <c r="AD563" s="623"/>
      <c r="AE563" s="623"/>
      <c r="AF563" s="623"/>
      <c r="AG563" s="623"/>
      <c r="AH563" s="623"/>
      <c r="AI563" s="623"/>
      <c r="AJ563" s="623"/>
      <c r="AK563" s="623"/>
      <c r="AL563" s="623"/>
      <c r="AM563" s="623"/>
      <c r="AN563" s="623"/>
      <c r="AO563" s="623"/>
      <c r="AP563" s="623"/>
      <c r="AQ563" s="623"/>
      <c r="AR563" s="623"/>
      <c r="AS563" s="623"/>
      <c r="AT563" s="623"/>
      <c r="AU563" s="623"/>
      <c r="AV563" s="623"/>
      <c r="AW563" s="623"/>
      <c r="AX563" s="623"/>
      <c r="AY563" s="623"/>
      <c r="AZ563" s="623"/>
      <c r="BA563" s="623"/>
    </row>
    <row r="564">
      <c r="A564" s="621" t="str">
        <f>ARBITRAGES!E565</f>
        <v/>
      </c>
      <c r="B564" s="623" t="str">
        <f>ARBITRAGES!F565</f>
        <v/>
      </c>
      <c r="C564" s="624" t="str">
        <f>ARBITRAGES!G565</f>
        <v/>
      </c>
      <c r="D564" s="623" t="str">
        <f>ARBITRAGES!H565</f>
        <v/>
      </c>
      <c r="E564" s="624" t="str">
        <f>ARBITRAGES!I565</f>
        <v/>
      </c>
      <c r="F564" s="623"/>
      <c r="G564" s="623" t="str">
        <f>'PV (%)'!B566</f>
        <v/>
      </c>
      <c r="H564" s="624" t="str">
        <f>'PV (%)'!E566</f>
        <v/>
      </c>
      <c r="I564" s="624" t="str">
        <f>'PV (%)'!F566</f>
        <v/>
      </c>
      <c r="J564" s="624" t="str">
        <f>'PV (%)'!G566</f>
        <v/>
      </c>
      <c r="K564" s="623"/>
      <c r="L564" s="623"/>
      <c r="M564" s="623"/>
      <c r="N564" s="623"/>
      <c r="O564" s="623"/>
      <c r="P564" s="623"/>
      <c r="Q564" s="623"/>
      <c r="R564" s="623"/>
      <c r="S564" s="623"/>
      <c r="T564" s="623"/>
      <c r="U564" s="623"/>
      <c r="V564" s="623"/>
      <c r="W564" s="623"/>
      <c r="X564" s="623"/>
      <c r="Y564" s="623"/>
      <c r="Z564" s="623"/>
      <c r="AA564" s="623"/>
      <c r="AB564" s="623"/>
      <c r="AC564" s="623"/>
      <c r="AD564" s="623"/>
      <c r="AE564" s="623"/>
      <c r="AF564" s="623"/>
      <c r="AG564" s="623"/>
      <c r="AH564" s="623"/>
      <c r="AI564" s="623"/>
      <c r="AJ564" s="623"/>
      <c r="AK564" s="623"/>
      <c r="AL564" s="623"/>
      <c r="AM564" s="623"/>
      <c r="AN564" s="623"/>
      <c r="AO564" s="623"/>
      <c r="AP564" s="623"/>
      <c r="AQ564" s="623"/>
      <c r="AR564" s="623"/>
      <c r="AS564" s="623"/>
      <c r="AT564" s="623"/>
      <c r="AU564" s="623"/>
      <c r="AV564" s="623"/>
      <c r="AW564" s="623"/>
      <c r="AX564" s="623"/>
      <c r="AY564" s="623"/>
      <c r="AZ564" s="623"/>
      <c r="BA564" s="623"/>
    </row>
    <row r="565">
      <c r="A565" s="621" t="str">
        <f>ARBITRAGES!E566</f>
        <v/>
      </c>
      <c r="B565" s="623" t="str">
        <f>ARBITRAGES!F566</f>
        <v/>
      </c>
      <c r="C565" s="624" t="str">
        <f>ARBITRAGES!G566</f>
        <v/>
      </c>
      <c r="D565" s="623" t="str">
        <f>ARBITRAGES!H566</f>
        <v/>
      </c>
      <c r="E565" s="624" t="str">
        <f>ARBITRAGES!I566</f>
        <v/>
      </c>
      <c r="F565" s="623"/>
      <c r="G565" s="623" t="str">
        <f>'PV (%)'!B567</f>
        <v/>
      </c>
      <c r="H565" s="624" t="str">
        <f>'PV (%)'!E567</f>
        <v/>
      </c>
      <c r="I565" s="624" t="str">
        <f>'PV (%)'!F567</f>
        <v/>
      </c>
      <c r="J565" s="624" t="str">
        <f>'PV (%)'!G567</f>
        <v/>
      </c>
      <c r="K565" s="623"/>
      <c r="L565" s="623"/>
      <c r="M565" s="623"/>
      <c r="N565" s="623"/>
      <c r="O565" s="623"/>
      <c r="P565" s="623"/>
      <c r="Q565" s="623"/>
      <c r="R565" s="623"/>
      <c r="S565" s="623"/>
      <c r="T565" s="623"/>
      <c r="U565" s="623"/>
      <c r="V565" s="623"/>
      <c r="W565" s="623"/>
      <c r="X565" s="623"/>
      <c r="Y565" s="623"/>
      <c r="Z565" s="623"/>
      <c r="AA565" s="623"/>
      <c r="AB565" s="623"/>
      <c r="AC565" s="623"/>
      <c r="AD565" s="623"/>
      <c r="AE565" s="623"/>
      <c r="AF565" s="623"/>
      <c r="AG565" s="623"/>
      <c r="AH565" s="623"/>
      <c r="AI565" s="623"/>
      <c r="AJ565" s="623"/>
      <c r="AK565" s="623"/>
      <c r="AL565" s="623"/>
      <c r="AM565" s="623"/>
      <c r="AN565" s="623"/>
      <c r="AO565" s="623"/>
      <c r="AP565" s="623"/>
      <c r="AQ565" s="623"/>
      <c r="AR565" s="623"/>
      <c r="AS565" s="623"/>
      <c r="AT565" s="623"/>
      <c r="AU565" s="623"/>
      <c r="AV565" s="623"/>
      <c r="AW565" s="623"/>
      <c r="AX565" s="623"/>
      <c r="AY565" s="623"/>
      <c r="AZ565" s="623"/>
      <c r="BA565" s="623"/>
    </row>
    <row r="566">
      <c r="A566" s="621" t="str">
        <f>ARBITRAGES!E567</f>
        <v/>
      </c>
      <c r="B566" s="623" t="str">
        <f>ARBITRAGES!F567</f>
        <v/>
      </c>
      <c r="C566" s="624" t="str">
        <f>ARBITRAGES!G567</f>
        <v/>
      </c>
      <c r="D566" s="623" t="str">
        <f>ARBITRAGES!H567</f>
        <v/>
      </c>
      <c r="E566" s="624" t="str">
        <f>ARBITRAGES!I567</f>
        <v/>
      </c>
      <c r="F566" s="623"/>
      <c r="G566" s="623" t="str">
        <f>'PV (%)'!B568</f>
        <v/>
      </c>
      <c r="H566" s="624" t="str">
        <f>'PV (%)'!E568</f>
        <v/>
      </c>
      <c r="I566" s="624" t="str">
        <f>'PV (%)'!F568</f>
        <v/>
      </c>
      <c r="J566" s="624" t="str">
        <f>'PV (%)'!G568</f>
        <v/>
      </c>
      <c r="K566" s="623"/>
      <c r="L566" s="623"/>
      <c r="M566" s="623"/>
      <c r="N566" s="623"/>
      <c r="O566" s="623"/>
      <c r="P566" s="623"/>
      <c r="Q566" s="623"/>
      <c r="R566" s="623"/>
      <c r="S566" s="623"/>
      <c r="T566" s="623"/>
      <c r="U566" s="623"/>
      <c r="V566" s="623"/>
      <c r="W566" s="623"/>
      <c r="X566" s="623"/>
      <c r="Y566" s="623"/>
      <c r="Z566" s="623"/>
      <c r="AA566" s="623"/>
      <c r="AB566" s="623"/>
      <c r="AC566" s="623"/>
      <c r="AD566" s="623"/>
      <c r="AE566" s="623"/>
      <c r="AF566" s="623"/>
      <c r="AG566" s="623"/>
      <c r="AH566" s="623"/>
      <c r="AI566" s="623"/>
      <c r="AJ566" s="623"/>
      <c r="AK566" s="623"/>
      <c r="AL566" s="623"/>
      <c r="AM566" s="623"/>
      <c r="AN566" s="623"/>
      <c r="AO566" s="623"/>
      <c r="AP566" s="623"/>
      <c r="AQ566" s="623"/>
      <c r="AR566" s="623"/>
      <c r="AS566" s="623"/>
      <c r="AT566" s="623"/>
      <c r="AU566" s="623"/>
      <c r="AV566" s="623"/>
      <c r="AW566" s="623"/>
      <c r="AX566" s="623"/>
      <c r="AY566" s="623"/>
      <c r="AZ566" s="623"/>
      <c r="BA566" s="623"/>
    </row>
    <row r="567">
      <c r="A567" s="623"/>
      <c r="B567" s="623"/>
      <c r="C567" s="623"/>
      <c r="D567" s="623"/>
      <c r="E567" s="623"/>
      <c r="F567" s="623"/>
      <c r="G567" s="623" t="str">
        <f>'PV (%)'!B569</f>
        <v/>
      </c>
      <c r="H567" s="624" t="str">
        <f>'PV (%)'!E569</f>
        <v/>
      </c>
      <c r="I567" s="624" t="str">
        <f>'PV (%)'!F569</f>
        <v/>
      </c>
      <c r="J567" s="624" t="str">
        <f>'PV (%)'!G569</f>
        <v/>
      </c>
      <c r="K567" s="623"/>
      <c r="L567" s="623"/>
      <c r="M567" s="623"/>
      <c r="N567" s="623"/>
      <c r="O567" s="623"/>
      <c r="P567" s="623"/>
      <c r="Q567" s="623"/>
      <c r="R567" s="623"/>
      <c r="S567" s="623"/>
      <c r="T567" s="623"/>
      <c r="U567" s="623"/>
      <c r="V567" s="623"/>
      <c r="W567" s="623"/>
      <c r="X567" s="623"/>
      <c r="Y567" s="623"/>
      <c r="Z567" s="623"/>
      <c r="AA567" s="623"/>
      <c r="AB567" s="623"/>
      <c r="AC567" s="623"/>
      <c r="AD567" s="623"/>
      <c r="AE567" s="623"/>
      <c r="AF567" s="623"/>
      <c r="AG567" s="623"/>
      <c r="AH567" s="623"/>
      <c r="AI567" s="623"/>
      <c r="AJ567" s="623"/>
      <c r="AK567" s="623"/>
      <c r="AL567" s="623"/>
      <c r="AM567" s="623"/>
      <c r="AN567" s="623"/>
      <c r="AO567" s="623"/>
      <c r="AP567" s="623"/>
      <c r="AQ567" s="623"/>
      <c r="AR567" s="623"/>
      <c r="AS567" s="623"/>
      <c r="AT567" s="623"/>
      <c r="AU567" s="623"/>
      <c r="AV567" s="623"/>
      <c r="AW567" s="623"/>
      <c r="AX567" s="623"/>
      <c r="AY567" s="623"/>
      <c r="AZ567" s="623"/>
      <c r="BA567" s="623"/>
    </row>
    <row r="568">
      <c r="A568" s="623"/>
      <c r="B568" s="623"/>
      <c r="C568" s="623"/>
      <c r="D568" s="623"/>
      <c r="E568" s="623"/>
      <c r="F568" s="623"/>
      <c r="G568" s="623" t="str">
        <f>'PV (%)'!B570</f>
        <v/>
      </c>
      <c r="H568" s="624" t="str">
        <f>'PV (%)'!E570</f>
        <v/>
      </c>
      <c r="I568" s="624" t="str">
        <f>'PV (%)'!F570</f>
        <v/>
      </c>
      <c r="J568" s="624" t="str">
        <f>'PV (%)'!G570</f>
        <v/>
      </c>
      <c r="K568" s="623"/>
      <c r="L568" s="623"/>
      <c r="M568" s="623"/>
      <c r="N568" s="623"/>
      <c r="O568" s="623"/>
      <c r="P568" s="623"/>
      <c r="Q568" s="623"/>
      <c r="R568" s="623"/>
      <c r="S568" s="623"/>
      <c r="T568" s="623"/>
      <c r="U568" s="623"/>
      <c r="V568" s="623"/>
      <c r="W568" s="623"/>
      <c r="X568" s="623"/>
      <c r="Y568" s="623"/>
      <c r="Z568" s="623"/>
      <c r="AA568" s="623"/>
      <c r="AB568" s="623"/>
      <c r="AC568" s="623"/>
      <c r="AD568" s="623"/>
      <c r="AE568" s="623"/>
      <c r="AF568" s="623"/>
      <c r="AG568" s="623"/>
      <c r="AH568" s="623"/>
      <c r="AI568" s="623"/>
      <c r="AJ568" s="623"/>
      <c r="AK568" s="623"/>
      <c r="AL568" s="623"/>
      <c r="AM568" s="623"/>
      <c r="AN568" s="623"/>
      <c r="AO568" s="623"/>
      <c r="AP568" s="623"/>
      <c r="AQ568" s="623"/>
      <c r="AR568" s="623"/>
      <c r="AS568" s="623"/>
      <c r="AT568" s="623"/>
      <c r="AU568" s="623"/>
      <c r="AV568" s="623"/>
      <c r="AW568" s="623"/>
      <c r="AX568" s="623"/>
      <c r="AY568" s="623"/>
      <c r="AZ568" s="623"/>
      <c r="BA568" s="623"/>
    </row>
    <row r="569">
      <c r="A569" s="623"/>
      <c r="B569" s="623"/>
      <c r="C569" s="623"/>
      <c r="D569" s="623"/>
      <c r="E569" s="623"/>
      <c r="F569" s="623"/>
      <c r="G569" s="623" t="str">
        <f>'PV (%)'!B571</f>
        <v/>
      </c>
      <c r="H569" s="624" t="str">
        <f>'PV (%)'!E571</f>
        <v/>
      </c>
      <c r="I569" s="624" t="str">
        <f>'PV (%)'!F571</f>
        <v/>
      </c>
      <c r="J569" s="624" t="str">
        <f>'PV (%)'!G571</f>
        <v/>
      </c>
      <c r="K569" s="623"/>
      <c r="L569" s="623"/>
      <c r="M569" s="623"/>
      <c r="N569" s="623"/>
      <c r="O569" s="623"/>
      <c r="P569" s="623"/>
      <c r="Q569" s="623"/>
      <c r="R569" s="623"/>
      <c r="S569" s="623"/>
      <c r="T569" s="623"/>
      <c r="U569" s="623"/>
      <c r="V569" s="623"/>
      <c r="W569" s="623"/>
      <c r="X569" s="623"/>
      <c r="Y569" s="623"/>
      <c r="Z569" s="623"/>
      <c r="AA569" s="623"/>
      <c r="AB569" s="623"/>
      <c r="AC569" s="623"/>
      <c r="AD569" s="623"/>
      <c r="AE569" s="623"/>
      <c r="AF569" s="623"/>
      <c r="AG569" s="623"/>
      <c r="AH569" s="623"/>
      <c r="AI569" s="623"/>
      <c r="AJ569" s="623"/>
      <c r="AK569" s="623"/>
      <c r="AL569" s="623"/>
      <c r="AM569" s="623"/>
      <c r="AN569" s="623"/>
      <c r="AO569" s="623"/>
      <c r="AP569" s="623"/>
      <c r="AQ569" s="623"/>
      <c r="AR569" s="623"/>
      <c r="AS569" s="623"/>
      <c r="AT569" s="623"/>
      <c r="AU569" s="623"/>
      <c r="AV569" s="623"/>
      <c r="AW569" s="623"/>
      <c r="AX569" s="623"/>
      <c r="AY569" s="623"/>
      <c r="AZ569" s="623"/>
      <c r="BA569" s="623"/>
    </row>
    <row r="570">
      <c r="A570" s="623"/>
      <c r="B570" s="623"/>
      <c r="C570" s="623"/>
      <c r="D570" s="623"/>
      <c r="E570" s="623"/>
      <c r="F570" s="623"/>
      <c r="G570" s="623" t="str">
        <f>'PV (%)'!B572</f>
        <v/>
      </c>
      <c r="H570" s="624" t="str">
        <f>'PV (%)'!E572</f>
        <v/>
      </c>
      <c r="I570" s="624" t="str">
        <f>'PV (%)'!F572</f>
        <v/>
      </c>
      <c r="J570" s="624" t="str">
        <f>'PV (%)'!G572</f>
        <v/>
      </c>
      <c r="K570" s="623"/>
      <c r="L570" s="623"/>
      <c r="M570" s="623"/>
      <c r="N570" s="623"/>
      <c r="O570" s="623"/>
      <c r="P570" s="623"/>
      <c r="Q570" s="623"/>
      <c r="R570" s="623"/>
      <c r="S570" s="623"/>
      <c r="T570" s="623"/>
      <c r="U570" s="623"/>
      <c r="V570" s="623"/>
      <c r="W570" s="623"/>
      <c r="X570" s="623"/>
      <c r="Y570" s="623"/>
      <c r="Z570" s="623"/>
      <c r="AA570" s="623"/>
      <c r="AB570" s="623"/>
      <c r="AC570" s="623"/>
      <c r="AD570" s="623"/>
      <c r="AE570" s="623"/>
      <c r="AF570" s="623"/>
      <c r="AG570" s="623"/>
      <c r="AH570" s="623"/>
      <c r="AI570" s="623"/>
      <c r="AJ570" s="623"/>
      <c r="AK570" s="623"/>
      <c r="AL570" s="623"/>
      <c r="AM570" s="623"/>
      <c r="AN570" s="623"/>
      <c r="AO570" s="623"/>
      <c r="AP570" s="623"/>
      <c r="AQ570" s="623"/>
      <c r="AR570" s="623"/>
      <c r="AS570" s="623"/>
      <c r="AT570" s="623"/>
      <c r="AU570" s="623"/>
      <c r="AV570" s="623"/>
      <c r="AW570" s="623"/>
      <c r="AX570" s="623"/>
      <c r="AY570" s="623"/>
      <c r="AZ570" s="623"/>
      <c r="BA570" s="623"/>
    </row>
    <row r="571">
      <c r="A571" s="623"/>
      <c r="B571" s="623"/>
      <c r="C571" s="623"/>
      <c r="D571" s="623"/>
      <c r="E571" s="623"/>
      <c r="F571" s="623"/>
      <c r="G571" s="623" t="str">
        <f>'PV (%)'!B573</f>
        <v/>
      </c>
      <c r="H571" s="624" t="str">
        <f>'PV (%)'!E573</f>
        <v/>
      </c>
      <c r="I571" s="624" t="str">
        <f>'PV (%)'!F573</f>
        <v/>
      </c>
      <c r="J571" s="624" t="str">
        <f>'PV (%)'!G573</f>
        <v/>
      </c>
      <c r="K571" s="623"/>
      <c r="L571" s="623"/>
      <c r="M571" s="623"/>
      <c r="N571" s="623"/>
      <c r="O571" s="623"/>
      <c r="P571" s="623"/>
      <c r="Q571" s="623"/>
      <c r="R571" s="623"/>
      <c r="S571" s="623"/>
      <c r="T571" s="623"/>
      <c r="U571" s="623"/>
      <c r="V571" s="623"/>
      <c r="W571" s="623"/>
      <c r="X571" s="623"/>
      <c r="Y571" s="623"/>
      <c r="Z571" s="623"/>
      <c r="AA571" s="623"/>
      <c r="AB571" s="623"/>
      <c r="AC571" s="623"/>
      <c r="AD571" s="623"/>
      <c r="AE571" s="623"/>
      <c r="AF571" s="623"/>
      <c r="AG571" s="623"/>
      <c r="AH571" s="623"/>
      <c r="AI571" s="623"/>
      <c r="AJ571" s="623"/>
      <c r="AK571" s="623"/>
      <c r="AL571" s="623"/>
      <c r="AM571" s="623"/>
      <c r="AN571" s="623"/>
      <c r="AO571" s="623"/>
      <c r="AP571" s="623"/>
      <c r="AQ571" s="623"/>
      <c r="AR571" s="623"/>
      <c r="AS571" s="623"/>
      <c r="AT571" s="623"/>
      <c r="AU571" s="623"/>
      <c r="AV571" s="623"/>
      <c r="AW571" s="623"/>
      <c r="AX571" s="623"/>
      <c r="AY571" s="623"/>
      <c r="AZ571" s="623"/>
      <c r="BA571" s="623"/>
    </row>
    <row r="572">
      <c r="A572" s="623"/>
      <c r="B572" s="623"/>
      <c r="C572" s="623"/>
      <c r="D572" s="623"/>
      <c r="E572" s="623"/>
      <c r="F572" s="623"/>
      <c r="G572" s="623" t="str">
        <f>'PV (%)'!B574</f>
        <v/>
      </c>
      <c r="H572" s="624" t="str">
        <f>'PV (%)'!E574</f>
        <v/>
      </c>
      <c r="I572" s="624" t="str">
        <f>'PV (%)'!F574</f>
        <v/>
      </c>
      <c r="J572" s="624" t="str">
        <f>'PV (%)'!G574</f>
        <v/>
      </c>
      <c r="K572" s="623"/>
      <c r="L572" s="623"/>
      <c r="M572" s="623"/>
      <c r="N572" s="623"/>
      <c r="O572" s="623"/>
      <c r="P572" s="623"/>
      <c r="Q572" s="623"/>
      <c r="R572" s="623"/>
      <c r="S572" s="623"/>
      <c r="T572" s="623"/>
      <c r="U572" s="623"/>
      <c r="V572" s="623"/>
      <c r="W572" s="623"/>
      <c r="X572" s="623"/>
      <c r="Y572" s="623"/>
      <c r="Z572" s="623"/>
      <c r="AA572" s="623"/>
      <c r="AB572" s="623"/>
      <c r="AC572" s="623"/>
      <c r="AD572" s="623"/>
      <c r="AE572" s="623"/>
      <c r="AF572" s="623"/>
      <c r="AG572" s="623"/>
      <c r="AH572" s="623"/>
      <c r="AI572" s="623"/>
      <c r="AJ572" s="623"/>
      <c r="AK572" s="623"/>
      <c r="AL572" s="623"/>
      <c r="AM572" s="623"/>
      <c r="AN572" s="623"/>
      <c r="AO572" s="623"/>
      <c r="AP572" s="623"/>
      <c r="AQ572" s="623"/>
      <c r="AR572" s="623"/>
      <c r="AS572" s="623"/>
      <c r="AT572" s="623"/>
      <c r="AU572" s="623"/>
      <c r="AV572" s="623"/>
      <c r="AW572" s="623"/>
      <c r="AX572" s="623"/>
      <c r="AY572" s="623"/>
      <c r="AZ572" s="623"/>
      <c r="BA572" s="623"/>
    </row>
    <row r="573">
      <c r="A573" s="623"/>
      <c r="B573" s="623"/>
      <c r="C573" s="623"/>
      <c r="D573" s="623"/>
      <c r="E573" s="623"/>
      <c r="F573" s="623"/>
      <c r="G573" s="623" t="str">
        <f>'PV (%)'!B575</f>
        <v/>
      </c>
      <c r="H573" s="624" t="str">
        <f>'PV (%)'!E575</f>
        <v/>
      </c>
      <c r="I573" s="624" t="str">
        <f>'PV (%)'!F575</f>
        <v/>
      </c>
      <c r="J573" s="624" t="str">
        <f>'PV (%)'!G575</f>
        <v/>
      </c>
      <c r="K573" s="623"/>
      <c r="L573" s="623"/>
      <c r="M573" s="623"/>
      <c r="N573" s="623"/>
      <c r="O573" s="623"/>
      <c r="P573" s="623"/>
      <c r="Q573" s="623"/>
      <c r="R573" s="623"/>
      <c r="S573" s="623"/>
      <c r="T573" s="623"/>
      <c r="U573" s="623"/>
      <c r="V573" s="623"/>
      <c r="W573" s="623"/>
      <c r="X573" s="623"/>
      <c r="Y573" s="623"/>
      <c r="Z573" s="623"/>
      <c r="AA573" s="623"/>
      <c r="AB573" s="623"/>
      <c r="AC573" s="623"/>
      <c r="AD573" s="623"/>
      <c r="AE573" s="623"/>
      <c r="AF573" s="623"/>
      <c r="AG573" s="623"/>
      <c r="AH573" s="623"/>
      <c r="AI573" s="623"/>
      <c r="AJ573" s="623"/>
      <c r="AK573" s="623"/>
      <c r="AL573" s="623"/>
      <c r="AM573" s="623"/>
      <c r="AN573" s="623"/>
      <c r="AO573" s="623"/>
      <c r="AP573" s="623"/>
      <c r="AQ573" s="623"/>
      <c r="AR573" s="623"/>
      <c r="AS573" s="623"/>
      <c r="AT573" s="623"/>
      <c r="AU573" s="623"/>
      <c r="AV573" s="623"/>
      <c r="AW573" s="623"/>
      <c r="AX573" s="623"/>
      <c r="AY573" s="623"/>
      <c r="AZ573" s="623"/>
      <c r="BA573" s="623"/>
    </row>
    <row r="574">
      <c r="A574" s="623"/>
      <c r="B574" s="623"/>
      <c r="C574" s="623"/>
      <c r="D574" s="623"/>
      <c r="E574" s="623"/>
      <c r="F574" s="623"/>
      <c r="G574" s="623" t="str">
        <f>'PV (%)'!B576</f>
        <v/>
      </c>
      <c r="H574" s="624" t="str">
        <f>'PV (%)'!E576</f>
        <v/>
      </c>
      <c r="I574" s="624" t="str">
        <f>'PV (%)'!F576</f>
        <v/>
      </c>
      <c r="J574" s="624" t="str">
        <f>'PV (%)'!G576</f>
        <v/>
      </c>
      <c r="K574" s="623"/>
      <c r="L574" s="623"/>
      <c r="M574" s="623"/>
      <c r="N574" s="623"/>
      <c r="O574" s="623"/>
      <c r="P574" s="623"/>
      <c r="Q574" s="623"/>
      <c r="R574" s="623"/>
      <c r="S574" s="623"/>
      <c r="T574" s="623"/>
      <c r="U574" s="623"/>
      <c r="V574" s="623"/>
      <c r="W574" s="623"/>
      <c r="X574" s="623"/>
      <c r="Y574" s="623"/>
      <c r="Z574" s="623"/>
      <c r="AA574" s="623"/>
      <c r="AB574" s="623"/>
      <c r="AC574" s="623"/>
      <c r="AD574" s="623"/>
      <c r="AE574" s="623"/>
      <c r="AF574" s="623"/>
      <c r="AG574" s="623"/>
      <c r="AH574" s="623"/>
      <c r="AI574" s="623"/>
      <c r="AJ574" s="623"/>
      <c r="AK574" s="623"/>
      <c r="AL574" s="623"/>
      <c r="AM574" s="623"/>
      <c r="AN574" s="623"/>
      <c r="AO574" s="623"/>
      <c r="AP574" s="623"/>
      <c r="AQ574" s="623"/>
      <c r="AR574" s="623"/>
      <c r="AS574" s="623"/>
      <c r="AT574" s="623"/>
      <c r="AU574" s="623"/>
      <c r="AV574" s="623"/>
      <c r="AW574" s="623"/>
      <c r="AX574" s="623"/>
      <c r="AY574" s="623"/>
      <c r="AZ574" s="623"/>
      <c r="BA574" s="623"/>
    </row>
    <row r="575">
      <c r="A575" s="623"/>
      <c r="B575" s="623"/>
      <c r="C575" s="623"/>
      <c r="D575" s="623"/>
      <c r="E575" s="623"/>
      <c r="F575" s="623"/>
      <c r="G575" s="623" t="str">
        <f>'PV (%)'!B577</f>
        <v/>
      </c>
      <c r="H575" s="624" t="str">
        <f>'PV (%)'!E577</f>
        <v/>
      </c>
      <c r="I575" s="624" t="str">
        <f>'PV (%)'!F577</f>
        <v/>
      </c>
      <c r="J575" s="624" t="str">
        <f>'PV (%)'!G577</f>
        <v/>
      </c>
      <c r="K575" s="623"/>
      <c r="L575" s="623"/>
      <c r="M575" s="623"/>
      <c r="N575" s="623"/>
      <c r="O575" s="623"/>
      <c r="P575" s="623"/>
      <c r="Q575" s="623"/>
      <c r="R575" s="623"/>
      <c r="S575" s="623"/>
      <c r="T575" s="623"/>
      <c r="U575" s="623"/>
      <c r="V575" s="623"/>
      <c r="W575" s="623"/>
      <c r="X575" s="623"/>
      <c r="Y575" s="623"/>
      <c r="Z575" s="623"/>
      <c r="AA575" s="623"/>
      <c r="AB575" s="623"/>
      <c r="AC575" s="623"/>
      <c r="AD575" s="623"/>
      <c r="AE575" s="623"/>
      <c r="AF575" s="623"/>
      <c r="AG575" s="623"/>
      <c r="AH575" s="623"/>
      <c r="AI575" s="623"/>
      <c r="AJ575" s="623"/>
      <c r="AK575" s="623"/>
      <c r="AL575" s="623"/>
      <c r="AM575" s="623"/>
      <c r="AN575" s="623"/>
      <c r="AO575" s="623"/>
      <c r="AP575" s="623"/>
      <c r="AQ575" s="623"/>
      <c r="AR575" s="623"/>
      <c r="AS575" s="623"/>
      <c r="AT575" s="623"/>
      <c r="AU575" s="623"/>
      <c r="AV575" s="623"/>
      <c r="AW575" s="623"/>
      <c r="AX575" s="623"/>
      <c r="AY575" s="623"/>
      <c r="AZ575" s="623"/>
      <c r="BA575" s="623"/>
    </row>
    <row r="576">
      <c r="A576" s="623"/>
      <c r="B576" s="623"/>
      <c r="C576" s="623"/>
      <c r="D576" s="623"/>
      <c r="E576" s="623"/>
      <c r="F576" s="623"/>
      <c r="G576" s="623" t="str">
        <f>'PV (%)'!B578</f>
        <v/>
      </c>
      <c r="H576" s="624" t="str">
        <f>'PV (%)'!E578</f>
        <v/>
      </c>
      <c r="I576" s="624" t="str">
        <f>'PV (%)'!F578</f>
        <v/>
      </c>
      <c r="J576" s="624" t="str">
        <f>'PV (%)'!G578</f>
        <v/>
      </c>
      <c r="K576" s="623"/>
      <c r="L576" s="623"/>
      <c r="M576" s="623"/>
      <c r="N576" s="623"/>
      <c r="O576" s="623"/>
      <c r="P576" s="623"/>
      <c r="Q576" s="623"/>
      <c r="R576" s="623"/>
      <c r="S576" s="623"/>
      <c r="T576" s="623"/>
      <c r="U576" s="623"/>
      <c r="V576" s="623"/>
      <c r="W576" s="623"/>
      <c r="X576" s="623"/>
      <c r="Y576" s="623"/>
      <c r="Z576" s="623"/>
      <c r="AA576" s="623"/>
      <c r="AB576" s="623"/>
      <c r="AC576" s="623"/>
      <c r="AD576" s="623"/>
      <c r="AE576" s="623"/>
      <c r="AF576" s="623"/>
      <c r="AG576" s="623"/>
      <c r="AH576" s="623"/>
      <c r="AI576" s="623"/>
      <c r="AJ576" s="623"/>
      <c r="AK576" s="623"/>
      <c r="AL576" s="623"/>
      <c r="AM576" s="623"/>
      <c r="AN576" s="623"/>
      <c r="AO576" s="623"/>
      <c r="AP576" s="623"/>
      <c r="AQ576" s="623"/>
      <c r="AR576" s="623"/>
      <c r="AS576" s="623"/>
      <c r="AT576" s="623"/>
      <c r="AU576" s="623"/>
      <c r="AV576" s="623"/>
      <c r="AW576" s="623"/>
      <c r="AX576" s="623"/>
      <c r="AY576" s="623"/>
      <c r="AZ576" s="623"/>
      <c r="BA576" s="623"/>
    </row>
    <row r="577">
      <c r="A577" s="623"/>
      <c r="B577" s="623"/>
      <c r="C577" s="623"/>
      <c r="D577" s="623"/>
      <c r="E577" s="623"/>
      <c r="F577" s="623"/>
      <c r="G577" s="623" t="str">
        <f>'PV (%)'!B579</f>
        <v/>
      </c>
      <c r="H577" s="624" t="str">
        <f>'PV (%)'!E579</f>
        <v/>
      </c>
      <c r="I577" s="624" t="str">
        <f>'PV (%)'!F579</f>
        <v/>
      </c>
      <c r="J577" s="624" t="str">
        <f>'PV (%)'!G579</f>
        <v/>
      </c>
      <c r="K577" s="623"/>
      <c r="L577" s="623"/>
      <c r="M577" s="623"/>
      <c r="N577" s="623"/>
      <c r="O577" s="623"/>
      <c r="P577" s="623"/>
      <c r="Q577" s="623"/>
      <c r="R577" s="623"/>
      <c r="S577" s="623"/>
      <c r="T577" s="623"/>
      <c r="U577" s="623"/>
      <c r="V577" s="623"/>
      <c r="W577" s="623"/>
      <c r="X577" s="623"/>
      <c r="Y577" s="623"/>
      <c r="Z577" s="623"/>
      <c r="AA577" s="623"/>
      <c r="AB577" s="623"/>
      <c r="AC577" s="623"/>
      <c r="AD577" s="623"/>
      <c r="AE577" s="623"/>
      <c r="AF577" s="623"/>
      <c r="AG577" s="623"/>
      <c r="AH577" s="623"/>
      <c r="AI577" s="623"/>
      <c r="AJ577" s="623"/>
      <c r="AK577" s="623"/>
      <c r="AL577" s="623"/>
      <c r="AM577" s="623"/>
      <c r="AN577" s="623"/>
      <c r="AO577" s="623"/>
      <c r="AP577" s="623"/>
      <c r="AQ577" s="623"/>
      <c r="AR577" s="623"/>
      <c r="AS577" s="623"/>
      <c r="AT577" s="623"/>
      <c r="AU577" s="623"/>
      <c r="AV577" s="623"/>
      <c r="AW577" s="623"/>
      <c r="AX577" s="623"/>
      <c r="AY577" s="623"/>
      <c r="AZ577" s="623"/>
      <c r="BA577" s="623"/>
    </row>
    <row r="578">
      <c r="A578" s="623"/>
      <c r="B578" s="623"/>
      <c r="C578" s="623"/>
      <c r="D578" s="623"/>
      <c r="E578" s="623"/>
      <c r="F578" s="623"/>
      <c r="G578" s="623" t="str">
        <f>'PV (%)'!B580</f>
        <v/>
      </c>
      <c r="H578" s="624" t="str">
        <f>'PV (%)'!E580</f>
        <v/>
      </c>
      <c r="I578" s="624" t="str">
        <f>'PV (%)'!F580</f>
        <v/>
      </c>
      <c r="J578" s="624" t="str">
        <f>'PV (%)'!G580</f>
        <v/>
      </c>
      <c r="K578" s="623"/>
      <c r="L578" s="623"/>
      <c r="M578" s="623"/>
      <c r="N578" s="623"/>
      <c r="O578" s="623"/>
      <c r="P578" s="623"/>
      <c r="Q578" s="623"/>
      <c r="R578" s="623"/>
      <c r="S578" s="623"/>
      <c r="T578" s="623"/>
      <c r="U578" s="623"/>
      <c r="V578" s="623"/>
      <c r="W578" s="623"/>
      <c r="X578" s="623"/>
      <c r="Y578" s="623"/>
      <c r="Z578" s="623"/>
      <c r="AA578" s="623"/>
      <c r="AB578" s="623"/>
      <c r="AC578" s="623"/>
      <c r="AD578" s="623"/>
      <c r="AE578" s="623"/>
      <c r="AF578" s="623"/>
      <c r="AG578" s="623"/>
      <c r="AH578" s="623"/>
      <c r="AI578" s="623"/>
      <c r="AJ578" s="623"/>
      <c r="AK578" s="623"/>
      <c r="AL578" s="623"/>
      <c r="AM578" s="623"/>
      <c r="AN578" s="623"/>
      <c r="AO578" s="623"/>
      <c r="AP578" s="623"/>
      <c r="AQ578" s="623"/>
      <c r="AR578" s="623"/>
      <c r="AS578" s="623"/>
      <c r="AT578" s="623"/>
      <c r="AU578" s="623"/>
      <c r="AV578" s="623"/>
      <c r="AW578" s="623"/>
      <c r="AX578" s="623"/>
      <c r="AY578" s="623"/>
      <c r="AZ578" s="623"/>
      <c r="BA578" s="623"/>
    </row>
    <row r="579">
      <c r="A579" s="623"/>
      <c r="B579" s="623"/>
      <c r="C579" s="623"/>
      <c r="D579" s="623"/>
      <c r="E579" s="623"/>
      <c r="F579" s="623"/>
      <c r="G579" s="623" t="str">
        <f>'PV (%)'!B581</f>
        <v/>
      </c>
      <c r="H579" s="624" t="str">
        <f>'PV (%)'!E581</f>
        <v/>
      </c>
      <c r="I579" s="624" t="str">
        <f>'PV (%)'!F581</f>
        <v/>
      </c>
      <c r="J579" s="624" t="str">
        <f>'PV (%)'!G581</f>
        <v/>
      </c>
      <c r="K579" s="623"/>
      <c r="L579" s="623"/>
      <c r="M579" s="623"/>
      <c r="N579" s="623"/>
      <c r="O579" s="623"/>
      <c r="P579" s="623"/>
      <c r="Q579" s="623"/>
      <c r="R579" s="623"/>
      <c r="S579" s="623"/>
      <c r="T579" s="623"/>
      <c r="U579" s="623"/>
      <c r="V579" s="623"/>
      <c r="W579" s="623"/>
      <c r="X579" s="623"/>
      <c r="Y579" s="623"/>
      <c r="Z579" s="623"/>
      <c r="AA579" s="623"/>
      <c r="AB579" s="623"/>
      <c r="AC579" s="623"/>
      <c r="AD579" s="623"/>
      <c r="AE579" s="623"/>
      <c r="AF579" s="623"/>
      <c r="AG579" s="623"/>
      <c r="AH579" s="623"/>
      <c r="AI579" s="623"/>
      <c r="AJ579" s="623"/>
      <c r="AK579" s="623"/>
      <c r="AL579" s="623"/>
      <c r="AM579" s="623"/>
      <c r="AN579" s="623"/>
      <c r="AO579" s="623"/>
      <c r="AP579" s="623"/>
      <c r="AQ579" s="623"/>
      <c r="AR579" s="623"/>
      <c r="AS579" s="623"/>
      <c r="AT579" s="623"/>
      <c r="AU579" s="623"/>
      <c r="AV579" s="623"/>
      <c r="AW579" s="623"/>
      <c r="AX579" s="623"/>
      <c r="AY579" s="623"/>
      <c r="AZ579" s="623"/>
      <c r="BA579" s="623"/>
    </row>
    <row r="580">
      <c r="A580" s="623"/>
      <c r="B580" s="623"/>
      <c r="C580" s="623"/>
      <c r="D580" s="623"/>
      <c r="E580" s="623"/>
      <c r="F580" s="623"/>
      <c r="G580" s="623" t="str">
        <f>'PV (%)'!B582</f>
        <v/>
      </c>
      <c r="H580" s="624" t="str">
        <f>'PV (%)'!E582</f>
        <v/>
      </c>
      <c r="I580" s="624" t="str">
        <f>'PV (%)'!F582</f>
        <v/>
      </c>
      <c r="J580" s="624" t="str">
        <f>'PV (%)'!G582</f>
        <v/>
      </c>
      <c r="K580" s="623"/>
      <c r="L580" s="623"/>
      <c r="M580" s="623"/>
      <c r="N580" s="623"/>
      <c r="O580" s="623"/>
      <c r="P580" s="623"/>
      <c r="Q580" s="623"/>
      <c r="R580" s="623"/>
      <c r="S580" s="623"/>
      <c r="T580" s="623"/>
      <c r="U580" s="623"/>
      <c r="V580" s="623"/>
      <c r="W580" s="623"/>
      <c r="X580" s="623"/>
      <c r="Y580" s="623"/>
      <c r="Z580" s="623"/>
      <c r="AA580" s="623"/>
      <c r="AB580" s="623"/>
      <c r="AC580" s="623"/>
      <c r="AD580" s="623"/>
      <c r="AE580" s="623"/>
      <c r="AF580" s="623"/>
      <c r="AG580" s="623"/>
      <c r="AH580" s="623"/>
      <c r="AI580" s="623"/>
      <c r="AJ580" s="623"/>
      <c r="AK580" s="623"/>
      <c r="AL580" s="623"/>
      <c r="AM580" s="623"/>
      <c r="AN580" s="623"/>
      <c r="AO580" s="623"/>
      <c r="AP580" s="623"/>
      <c r="AQ580" s="623"/>
      <c r="AR580" s="623"/>
      <c r="AS580" s="623"/>
      <c r="AT580" s="623"/>
      <c r="AU580" s="623"/>
      <c r="AV580" s="623"/>
      <c r="AW580" s="623"/>
      <c r="AX580" s="623"/>
      <c r="AY580" s="623"/>
      <c r="AZ580" s="623"/>
      <c r="BA580" s="623"/>
    </row>
    <row r="581">
      <c r="A581" s="623"/>
      <c r="B581" s="623"/>
      <c r="C581" s="623"/>
      <c r="D581" s="623"/>
      <c r="E581" s="623"/>
      <c r="F581" s="623"/>
      <c r="G581" s="623" t="str">
        <f>'PV (%)'!B583</f>
        <v/>
      </c>
      <c r="H581" s="624" t="str">
        <f>'PV (%)'!E583</f>
        <v/>
      </c>
      <c r="I581" s="624" t="str">
        <f>'PV (%)'!F583</f>
        <v/>
      </c>
      <c r="J581" s="624" t="str">
        <f>'PV (%)'!G583</f>
        <v/>
      </c>
      <c r="K581" s="623"/>
      <c r="L581" s="623"/>
      <c r="M581" s="623"/>
      <c r="N581" s="623"/>
      <c r="O581" s="623"/>
      <c r="P581" s="623"/>
      <c r="Q581" s="623"/>
      <c r="R581" s="623"/>
      <c r="S581" s="623"/>
      <c r="T581" s="623"/>
      <c r="U581" s="623"/>
      <c r="V581" s="623"/>
      <c r="W581" s="623"/>
      <c r="X581" s="623"/>
      <c r="Y581" s="623"/>
      <c r="Z581" s="623"/>
      <c r="AA581" s="623"/>
      <c r="AB581" s="623"/>
      <c r="AC581" s="623"/>
      <c r="AD581" s="623"/>
      <c r="AE581" s="623"/>
      <c r="AF581" s="623"/>
      <c r="AG581" s="623"/>
      <c r="AH581" s="623"/>
      <c r="AI581" s="623"/>
      <c r="AJ581" s="623"/>
      <c r="AK581" s="623"/>
      <c r="AL581" s="623"/>
      <c r="AM581" s="623"/>
      <c r="AN581" s="623"/>
      <c r="AO581" s="623"/>
      <c r="AP581" s="623"/>
      <c r="AQ581" s="623"/>
      <c r="AR581" s="623"/>
      <c r="AS581" s="623"/>
      <c r="AT581" s="623"/>
      <c r="AU581" s="623"/>
      <c r="AV581" s="623"/>
      <c r="AW581" s="623"/>
      <c r="AX581" s="623"/>
      <c r="AY581" s="623"/>
      <c r="AZ581" s="623"/>
      <c r="BA581" s="623"/>
    </row>
    <row r="582">
      <c r="A582" s="623"/>
      <c r="B582" s="623"/>
      <c r="C582" s="623"/>
      <c r="D582" s="623"/>
      <c r="E582" s="623"/>
      <c r="F582" s="623"/>
      <c r="G582" s="623" t="str">
        <f>'PV (%)'!B584</f>
        <v/>
      </c>
      <c r="H582" s="624" t="str">
        <f>'PV (%)'!E584</f>
        <v/>
      </c>
      <c r="I582" s="624" t="str">
        <f>'PV (%)'!F584</f>
        <v/>
      </c>
      <c r="J582" s="624" t="str">
        <f>'PV (%)'!G584</f>
        <v/>
      </c>
      <c r="K582" s="623"/>
      <c r="L582" s="623"/>
      <c r="M582" s="623"/>
      <c r="N582" s="623"/>
      <c r="O582" s="623"/>
      <c r="P582" s="623"/>
      <c r="Q582" s="623"/>
      <c r="R582" s="623"/>
      <c r="S582" s="623"/>
      <c r="T582" s="623"/>
      <c r="U582" s="623"/>
      <c r="V582" s="623"/>
      <c r="W582" s="623"/>
      <c r="X582" s="623"/>
      <c r="Y582" s="623"/>
      <c r="Z582" s="623"/>
      <c r="AA582" s="623"/>
      <c r="AB582" s="623"/>
      <c r="AC582" s="623"/>
      <c r="AD582" s="623"/>
      <c r="AE582" s="623"/>
      <c r="AF582" s="623"/>
      <c r="AG582" s="623"/>
      <c r="AH582" s="623"/>
      <c r="AI582" s="623"/>
      <c r="AJ582" s="623"/>
      <c r="AK582" s="623"/>
      <c r="AL582" s="623"/>
      <c r="AM582" s="623"/>
      <c r="AN582" s="623"/>
      <c r="AO582" s="623"/>
      <c r="AP582" s="623"/>
      <c r="AQ582" s="623"/>
      <c r="AR582" s="623"/>
      <c r="AS582" s="623"/>
      <c r="AT582" s="623"/>
      <c r="AU582" s="623"/>
      <c r="AV582" s="623"/>
      <c r="AW582" s="623"/>
      <c r="AX582" s="623"/>
      <c r="AY582" s="623"/>
      <c r="AZ582" s="623"/>
      <c r="BA582" s="623"/>
    </row>
    <row r="583">
      <c r="A583" s="623"/>
      <c r="B583" s="623"/>
      <c r="C583" s="623"/>
      <c r="D583" s="623"/>
      <c r="E583" s="623"/>
      <c r="F583" s="623"/>
      <c r="G583" s="623" t="str">
        <f>'PV (%)'!B585</f>
        <v/>
      </c>
      <c r="H583" s="624" t="str">
        <f>'PV (%)'!E585</f>
        <v/>
      </c>
      <c r="I583" s="624" t="str">
        <f>'PV (%)'!F585</f>
        <v/>
      </c>
      <c r="J583" s="624" t="str">
        <f>'PV (%)'!G585</f>
        <v/>
      </c>
      <c r="K583" s="623"/>
      <c r="L583" s="623"/>
      <c r="M583" s="623"/>
      <c r="N583" s="623"/>
      <c r="O583" s="623"/>
      <c r="P583" s="623"/>
      <c r="Q583" s="623"/>
      <c r="R583" s="623"/>
      <c r="S583" s="623"/>
      <c r="T583" s="623"/>
      <c r="U583" s="623"/>
      <c r="V583" s="623"/>
      <c r="W583" s="623"/>
      <c r="X583" s="623"/>
      <c r="Y583" s="623"/>
      <c r="Z583" s="623"/>
      <c r="AA583" s="623"/>
      <c r="AB583" s="623"/>
      <c r="AC583" s="623"/>
      <c r="AD583" s="623"/>
      <c r="AE583" s="623"/>
      <c r="AF583" s="623"/>
      <c r="AG583" s="623"/>
      <c r="AH583" s="623"/>
      <c r="AI583" s="623"/>
      <c r="AJ583" s="623"/>
      <c r="AK583" s="623"/>
      <c r="AL583" s="623"/>
      <c r="AM583" s="623"/>
      <c r="AN583" s="623"/>
      <c r="AO583" s="623"/>
      <c r="AP583" s="623"/>
      <c r="AQ583" s="623"/>
      <c r="AR583" s="623"/>
      <c r="AS583" s="623"/>
      <c r="AT583" s="623"/>
      <c r="AU583" s="623"/>
      <c r="AV583" s="623"/>
      <c r="AW583" s="623"/>
      <c r="AX583" s="623"/>
      <c r="AY583" s="623"/>
      <c r="AZ583" s="623"/>
      <c r="BA583" s="623"/>
    </row>
    <row r="584">
      <c r="A584" s="623"/>
      <c r="B584" s="623"/>
      <c r="C584" s="623"/>
      <c r="D584" s="623"/>
      <c r="E584" s="623"/>
      <c r="F584" s="623"/>
      <c r="G584" s="623" t="str">
        <f>'PV (%)'!B586</f>
        <v/>
      </c>
      <c r="H584" s="624" t="str">
        <f>'PV (%)'!E586</f>
        <v/>
      </c>
      <c r="I584" s="624" t="str">
        <f>'PV (%)'!F586</f>
        <v/>
      </c>
      <c r="J584" s="624" t="str">
        <f>'PV (%)'!G586</f>
        <v/>
      </c>
      <c r="K584" s="623"/>
      <c r="L584" s="623"/>
      <c r="M584" s="623"/>
      <c r="N584" s="623"/>
      <c r="O584" s="623"/>
      <c r="P584" s="623"/>
      <c r="Q584" s="623"/>
      <c r="R584" s="623"/>
      <c r="S584" s="623"/>
      <c r="T584" s="623"/>
      <c r="U584" s="623"/>
      <c r="V584" s="623"/>
      <c r="W584" s="623"/>
      <c r="X584" s="623"/>
      <c r="Y584" s="623"/>
      <c r="Z584" s="623"/>
      <c r="AA584" s="623"/>
      <c r="AB584" s="623"/>
      <c r="AC584" s="623"/>
      <c r="AD584" s="623"/>
      <c r="AE584" s="623"/>
      <c r="AF584" s="623"/>
      <c r="AG584" s="623"/>
      <c r="AH584" s="623"/>
      <c r="AI584" s="623"/>
      <c r="AJ584" s="623"/>
      <c r="AK584" s="623"/>
      <c r="AL584" s="623"/>
      <c r="AM584" s="623"/>
      <c r="AN584" s="623"/>
      <c r="AO584" s="623"/>
      <c r="AP584" s="623"/>
      <c r="AQ584" s="623"/>
      <c r="AR584" s="623"/>
      <c r="AS584" s="623"/>
      <c r="AT584" s="623"/>
      <c r="AU584" s="623"/>
      <c r="AV584" s="623"/>
      <c r="AW584" s="623"/>
      <c r="AX584" s="623"/>
      <c r="AY584" s="623"/>
      <c r="AZ584" s="623"/>
      <c r="BA584" s="623"/>
    </row>
    <row r="585">
      <c r="A585" s="623"/>
      <c r="B585" s="623"/>
      <c r="C585" s="623"/>
      <c r="D585" s="623"/>
      <c r="E585" s="623"/>
      <c r="F585" s="623"/>
      <c r="G585" s="623" t="str">
        <f>'PV (%)'!B587</f>
        <v/>
      </c>
      <c r="H585" s="624" t="str">
        <f>'PV (%)'!E587</f>
        <v/>
      </c>
      <c r="I585" s="624" t="str">
        <f>'PV (%)'!F587</f>
        <v/>
      </c>
      <c r="J585" s="624" t="str">
        <f>'PV (%)'!G587</f>
        <v/>
      </c>
      <c r="K585" s="623"/>
      <c r="L585" s="623"/>
      <c r="M585" s="623"/>
      <c r="N585" s="623"/>
      <c r="O585" s="623"/>
      <c r="P585" s="623"/>
      <c r="Q585" s="623"/>
      <c r="R585" s="623"/>
      <c r="S585" s="623"/>
      <c r="T585" s="623"/>
      <c r="U585" s="623"/>
      <c r="V585" s="623"/>
      <c r="W585" s="623"/>
      <c r="X585" s="623"/>
      <c r="Y585" s="623"/>
      <c r="Z585" s="623"/>
      <c r="AA585" s="623"/>
      <c r="AB585" s="623"/>
      <c r="AC585" s="623"/>
      <c r="AD585" s="623"/>
      <c r="AE585" s="623"/>
      <c r="AF585" s="623"/>
      <c r="AG585" s="623"/>
      <c r="AH585" s="623"/>
      <c r="AI585" s="623"/>
      <c r="AJ585" s="623"/>
      <c r="AK585" s="623"/>
      <c r="AL585" s="623"/>
      <c r="AM585" s="623"/>
      <c r="AN585" s="623"/>
      <c r="AO585" s="623"/>
      <c r="AP585" s="623"/>
      <c r="AQ585" s="623"/>
      <c r="AR585" s="623"/>
      <c r="AS585" s="623"/>
      <c r="AT585" s="623"/>
      <c r="AU585" s="623"/>
      <c r="AV585" s="623"/>
      <c r="AW585" s="623"/>
      <c r="AX585" s="623"/>
      <c r="AY585" s="623"/>
      <c r="AZ585" s="623"/>
      <c r="BA585" s="623"/>
    </row>
    <row r="586">
      <c r="A586" s="623"/>
      <c r="B586" s="623"/>
      <c r="C586" s="623"/>
      <c r="D586" s="623"/>
      <c r="E586" s="623"/>
      <c r="F586" s="623"/>
      <c r="G586" s="623" t="str">
        <f>'PV (%)'!B588</f>
        <v/>
      </c>
      <c r="H586" s="624" t="str">
        <f>'PV (%)'!E588</f>
        <v/>
      </c>
      <c r="I586" s="624" t="str">
        <f>'PV (%)'!F588</f>
        <v/>
      </c>
      <c r="J586" s="624" t="str">
        <f>'PV (%)'!G588</f>
        <v/>
      </c>
      <c r="K586" s="623"/>
      <c r="L586" s="623"/>
      <c r="M586" s="623"/>
      <c r="N586" s="623"/>
      <c r="O586" s="623"/>
      <c r="P586" s="623"/>
      <c r="Q586" s="623"/>
      <c r="R586" s="623"/>
      <c r="S586" s="623"/>
      <c r="T586" s="623"/>
      <c r="U586" s="623"/>
      <c r="V586" s="623"/>
      <c r="W586" s="623"/>
      <c r="X586" s="623"/>
      <c r="Y586" s="623"/>
      <c r="Z586" s="623"/>
      <c r="AA586" s="623"/>
      <c r="AB586" s="623"/>
      <c r="AC586" s="623"/>
      <c r="AD586" s="623"/>
      <c r="AE586" s="623"/>
      <c r="AF586" s="623"/>
      <c r="AG586" s="623"/>
      <c r="AH586" s="623"/>
      <c r="AI586" s="623"/>
      <c r="AJ586" s="623"/>
      <c r="AK586" s="623"/>
      <c r="AL586" s="623"/>
      <c r="AM586" s="623"/>
      <c r="AN586" s="623"/>
      <c r="AO586" s="623"/>
      <c r="AP586" s="623"/>
      <c r="AQ586" s="623"/>
      <c r="AR586" s="623"/>
      <c r="AS586" s="623"/>
      <c r="AT586" s="623"/>
      <c r="AU586" s="623"/>
      <c r="AV586" s="623"/>
      <c r="AW586" s="623"/>
      <c r="AX586" s="623"/>
      <c r="AY586" s="623"/>
      <c r="AZ586" s="623"/>
      <c r="BA586" s="623"/>
    </row>
    <row r="587">
      <c r="A587" s="623"/>
      <c r="B587" s="623"/>
      <c r="C587" s="623"/>
      <c r="D587" s="623"/>
      <c r="E587" s="623"/>
      <c r="F587" s="623"/>
      <c r="G587" s="623" t="str">
        <f>'PV (%)'!B589</f>
        <v/>
      </c>
      <c r="H587" s="624" t="str">
        <f>'PV (%)'!E589</f>
        <v/>
      </c>
      <c r="I587" s="624" t="str">
        <f>'PV (%)'!F589</f>
        <v/>
      </c>
      <c r="J587" s="624" t="str">
        <f>'PV (%)'!G589</f>
        <v/>
      </c>
      <c r="K587" s="623"/>
      <c r="L587" s="623"/>
      <c r="M587" s="623"/>
      <c r="N587" s="623"/>
      <c r="O587" s="623"/>
      <c r="P587" s="623"/>
      <c r="Q587" s="623"/>
      <c r="R587" s="623"/>
      <c r="S587" s="623"/>
      <c r="T587" s="623"/>
      <c r="U587" s="623"/>
      <c r="V587" s="623"/>
      <c r="W587" s="623"/>
      <c r="X587" s="623"/>
      <c r="Y587" s="623"/>
      <c r="Z587" s="623"/>
      <c r="AA587" s="623"/>
      <c r="AB587" s="623"/>
      <c r="AC587" s="623"/>
      <c r="AD587" s="623"/>
      <c r="AE587" s="623"/>
      <c r="AF587" s="623"/>
      <c r="AG587" s="623"/>
      <c r="AH587" s="623"/>
      <c r="AI587" s="623"/>
      <c r="AJ587" s="623"/>
      <c r="AK587" s="623"/>
      <c r="AL587" s="623"/>
      <c r="AM587" s="623"/>
      <c r="AN587" s="623"/>
      <c r="AO587" s="623"/>
      <c r="AP587" s="623"/>
      <c r="AQ587" s="623"/>
      <c r="AR587" s="623"/>
      <c r="AS587" s="623"/>
      <c r="AT587" s="623"/>
      <c r="AU587" s="623"/>
      <c r="AV587" s="623"/>
      <c r="AW587" s="623"/>
      <c r="AX587" s="623"/>
      <c r="AY587" s="623"/>
      <c r="AZ587" s="623"/>
      <c r="BA587" s="623"/>
    </row>
    <row r="588">
      <c r="A588" s="623"/>
      <c r="B588" s="623"/>
      <c r="C588" s="623"/>
      <c r="D588" s="623"/>
      <c r="E588" s="623"/>
      <c r="F588" s="623"/>
      <c r="G588" s="623" t="str">
        <f>'PV (%)'!B590</f>
        <v/>
      </c>
      <c r="H588" s="624" t="str">
        <f>'PV (%)'!E590</f>
        <v/>
      </c>
      <c r="I588" s="624" t="str">
        <f>'PV (%)'!F590</f>
        <v/>
      </c>
      <c r="J588" s="624" t="str">
        <f>'PV (%)'!G590</f>
        <v/>
      </c>
      <c r="K588" s="623"/>
      <c r="L588" s="623"/>
      <c r="M588" s="623"/>
      <c r="N588" s="623"/>
      <c r="O588" s="623"/>
      <c r="P588" s="623"/>
      <c r="Q588" s="623"/>
      <c r="R588" s="623"/>
      <c r="S588" s="623"/>
      <c r="T588" s="623"/>
      <c r="U588" s="623"/>
      <c r="V588" s="623"/>
      <c r="W588" s="623"/>
      <c r="X588" s="623"/>
      <c r="Y588" s="623"/>
      <c r="Z588" s="623"/>
      <c r="AA588" s="623"/>
      <c r="AB588" s="623"/>
      <c r="AC588" s="623"/>
      <c r="AD588" s="623"/>
      <c r="AE588" s="623"/>
      <c r="AF588" s="623"/>
      <c r="AG588" s="623"/>
      <c r="AH588" s="623"/>
      <c r="AI588" s="623"/>
      <c r="AJ588" s="623"/>
      <c r="AK588" s="623"/>
      <c r="AL588" s="623"/>
      <c r="AM588" s="623"/>
      <c r="AN588" s="623"/>
      <c r="AO588" s="623"/>
      <c r="AP588" s="623"/>
      <c r="AQ588" s="623"/>
      <c r="AR588" s="623"/>
      <c r="AS588" s="623"/>
      <c r="AT588" s="623"/>
      <c r="AU588" s="623"/>
      <c r="AV588" s="623"/>
      <c r="AW588" s="623"/>
      <c r="AX588" s="623"/>
      <c r="AY588" s="623"/>
      <c r="AZ588" s="623"/>
      <c r="BA588" s="623"/>
    </row>
    <row r="589">
      <c r="A589" s="623"/>
      <c r="B589" s="623"/>
      <c r="C589" s="623"/>
      <c r="D589" s="623"/>
      <c r="E589" s="623"/>
      <c r="F589" s="623"/>
      <c r="G589" s="623" t="str">
        <f>'PV (%)'!B591</f>
        <v/>
      </c>
      <c r="H589" s="624" t="str">
        <f>'PV (%)'!E591</f>
        <v/>
      </c>
      <c r="I589" s="624" t="str">
        <f>'PV (%)'!F591</f>
        <v/>
      </c>
      <c r="J589" s="624" t="str">
        <f>'PV (%)'!G591</f>
        <v/>
      </c>
      <c r="K589" s="623"/>
      <c r="L589" s="623"/>
      <c r="M589" s="623"/>
      <c r="N589" s="623"/>
      <c r="O589" s="623"/>
      <c r="P589" s="623"/>
      <c r="Q589" s="623"/>
      <c r="R589" s="623"/>
      <c r="S589" s="623"/>
      <c r="T589" s="623"/>
      <c r="U589" s="623"/>
      <c r="V589" s="623"/>
      <c r="W589" s="623"/>
      <c r="X589" s="623"/>
      <c r="Y589" s="623"/>
      <c r="Z589" s="623"/>
      <c r="AA589" s="623"/>
      <c r="AB589" s="623"/>
      <c r="AC589" s="623"/>
      <c r="AD589" s="623"/>
      <c r="AE589" s="623"/>
      <c r="AF589" s="623"/>
      <c r="AG589" s="623"/>
      <c r="AH589" s="623"/>
      <c r="AI589" s="623"/>
      <c r="AJ589" s="623"/>
      <c r="AK589" s="623"/>
      <c r="AL589" s="623"/>
      <c r="AM589" s="623"/>
      <c r="AN589" s="623"/>
      <c r="AO589" s="623"/>
      <c r="AP589" s="623"/>
      <c r="AQ589" s="623"/>
      <c r="AR589" s="623"/>
      <c r="AS589" s="623"/>
      <c r="AT589" s="623"/>
      <c r="AU589" s="623"/>
      <c r="AV589" s="623"/>
      <c r="AW589" s="623"/>
      <c r="AX589" s="623"/>
      <c r="AY589" s="623"/>
      <c r="AZ589" s="623"/>
      <c r="BA589" s="623"/>
    </row>
    <row r="590">
      <c r="A590" s="623"/>
      <c r="B590" s="623"/>
      <c r="C590" s="623"/>
      <c r="D590" s="623"/>
      <c r="E590" s="623"/>
      <c r="F590" s="623"/>
      <c r="G590" s="623" t="str">
        <f>'PV (%)'!B592</f>
        <v/>
      </c>
      <c r="H590" s="624" t="str">
        <f>'PV (%)'!E592</f>
        <v/>
      </c>
      <c r="I590" s="624" t="str">
        <f>'PV (%)'!F592</f>
        <v/>
      </c>
      <c r="J590" s="624" t="str">
        <f>'PV (%)'!G592</f>
        <v/>
      </c>
      <c r="K590" s="623"/>
      <c r="L590" s="623"/>
      <c r="M590" s="623"/>
      <c r="N590" s="623"/>
      <c r="O590" s="623"/>
      <c r="P590" s="623"/>
      <c r="Q590" s="623"/>
      <c r="R590" s="623"/>
      <c r="S590" s="623"/>
      <c r="T590" s="623"/>
      <c r="U590" s="623"/>
      <c r="V590" s="623"/>
      <c r="W590" s="623"/>
      <c r="X590" s="623"/>
      <c r="Y590" s="623"/>
      <c r="Z590" s="623"/>
      <c r="AA590" s="623"/>
      <c r="AB590" s="623"/>
      <c r="AC590" s="623"/>
      <c r="AD590" s="623"/>
      <c r="AE590" s="623"/>
      <c r="AF590" s="623"/>
      <c r="AG590" s="623"/>
      <c r="AH590" s="623"/>
      <c r="AI590" s="623"/>
      <c r="AJ590" s="623"/>
      <c r="AK590" s="623"/>
      <c r="AL590" s="623"/>
      <c r="AM590" s="623"/>
      <c r="AN590" s="623"/>
      <c r="AO590" s="623"/>
      <c r="AP590" s="623"/>
      <c r="AQ590" s="623"/>
      <c r="AR590" s="623"/>
      <c r="AS590" s="623"/>
      <c r="AT590" s="623"/>
      <c r="AU590" s="623"/>
      <c r="AV590" s="623"/>
      <c r="AW590" s="623"/>
      <c r="AX590" s="623"/>
      <c r="AY590" s="623"/>
      <c r="AZ590" s="623"/>
      <c r="BA590" s="623"/>
    </row>
    <row r="591">
      <c r="A591" s="623"/>
      <c r="B591" s="623"/>
      <c r="C591" s="623"/>
      <c r="D591" s="623"/>
      <c r="E591" s="623"/>
      <c r="F591" s="623"/>
      <c r="G591" s="623" t="str">
        <f>'PV (%)'!B593</f>
        <v/>
      </c>
      <c r="H591" s="624" t="str">
        <f>'PV (%)'!E593</f>
        <v/>
      </c>
      <c r="I591" s="624" t="str">
        <f>'PV (%)'!F593</f>
        <v/>
      </c>
      <c r="J591" s="624" t="str">
        <f>'PV (%)'!G593</f>
        <v/>
      </c>
      <c r="K591" s="623"/>
      <c r="L591" s="623"/>
      <c r="M591" s="623"/>
      <c r="N591" s="623"/>
      <c r="O591" s="623"/>
      <c r="P591" s="623"/>
      <c r="Q591" s="623"/>
      <c r="R591" s="623"/>
      <c r="S591" s="623"/>
      <c r="T591" s="623"/>
      <c r="U591" s="623"/>
      <c r="V591" s="623"/>
      <c r="W591" s="623"/>
      <c r="X591" s="623"/>
      <c r="Y591" s="623"/>
      <c r="Z591" s="623"/>
      <c r="AA591" s="623"/>
      <c r="AB591" s="623"/>
      <c r="AC591" s="623"/>
      <c r="AD591" s="623"/>
      <c r="AE591" s="623"/>
      <c r="AF591" s="623"/>
      <c r="AG591" s="623"/>
      <c r="AH591" s="623"/>
      <c r="AI591" s="623"/>
      <c r="AJ591" s="623"/>
      <c r="AK591" s="623"/>
      <c r="AL591" s="623"/>
      <c r="AM591" s="623"/>
      <c r="AN591" s="623"/>
      <c r="AO591" s="623"/>
      <c r="AP591" s="623"/>
      <c r="AQ591" s="623"/>
      <c r="AR591" s="623"/>
      <c r="AS591" s="623"/>
      <c r="AT591" s="623"/>
      <c r="AU591" s="623"/>
      <c r="AV591" s="623"/>
      <c r="AW591" s="623"/>
      <c r="AX591" s="623"/>
      <c r="AY591" s="623"/>
      <c r="AZ591" s="623"/>
      <c r="BA591" s="623"/>
    </row>
    <row r="592">
      <c r="A592" s="623"/>
      <c r="B592" s="623"/>
      <c r="C592" s="623"/>
      <c r="D592" s="623"/>
      <c r="E592" s="623"/>
      <c r="F592" s="623"/>
      <c r="G592" s="623" t="str">
        <f>'PV (%)'!B594</f>
        <v/>
      </c>
      <c r="H592" s="624" t="str">
        <f>'PV (%)'!E594</f>
        <v/>
      </c>
      <c r="I592" s="624" t="str">
        <f>'PV (%)'!F594</f>
        <v/>
      </c>
      <c r="J592" s="624" t="str">
        <f>'PV (%)'!G594</f>
        <v/>
      </c>
      <c r="K592" s="623"/>
      <c r="L592" s="623"/>
      <c r="M592" s="623"/>
      <c r="N592" s="623"/>
      <c r="O592" s="623"/>
      <c r="P592" s="623"/>
      <c r="Q592" s="623"/>
      <c r="R592" s="623"/>
      <c r="S592" s="623"/>
      <c r="T592" s="623"/>
      <c r="U592" s="623"/>
      <c r="V592" s="623"/>
      <c r="W592" s="623"/>
      <c r="X592" s="623"/>
      <c r="Y592" s="623"/>
      <c r="Z592" s="623"/>
      <c r="AA592" s="623"/>
      <c r="AB592" s="623"/>
      <c r="AC592" s="623"/>
      <c r="AD592" s="623"/>
      <c r="AE592" s="623"/>
      <c r="AF592" s="623"/>
      <c r="AG592" s="623"/>
      <c r="AH592" s="623"/>
      <c r="AI592" s="623"/>
      <c r="AJ592" s="623"/>
      <c r="AK592" s="623"/>
      <c r="AL592" s="623"/>
      <c r="AM592" s="623"/>
      <c r="AN592" s="623"/>
      <c r="AO592" s="623"/>
      <c r="AP592" s="623"/>
      <c r="AQ592" s="623"/>
      <c r="AR592" s="623"/>
      <c r="AS592" s="623"/>
      <c r="AT592" s="623"/>
      <c r="AU592" s="623"/>
      <c r="AV592" s="623"/>
      <c r="AW592" s="623"/>
      <c r="AX592" s="623"/>
      <c r="AY592" s="623"/>
      <c r="AZ592" s="623"/>
      <c r="BA592" s="623"/>
    </row>
    <row r="593">
      <c r="A593" s="623"/>
      <c r="B593" s="623"/>
      <c r="C593" s="623"/>
      <c r="D593" s="623"/>
      <c r="E593" s="623"/>
      <c r="F593" s="623"/>
      <c r="G593" s="623" t="str">
        <f>'PV (%)'!B595</f>
        <v/>
      </c>
      <c r="H593" s="624" t="str">
        <f>'PV (%)'!E595</f>
        <v/>
      </c>
      <c r="I593" s="624" t="str">
        <f>'PV (%)'!F595</f>
        <v/>
      </c>
      <c r="J593" s="624" t="str">
        <f>'PV (%)'!G595</f>
        <v/>
      </c>
      <c r="K593" s="623"/>
      <c r="L593" s="623"/>
      <c r="M593" s="623"/>
      <c r="N593" s="623"/>
      <c r="O593" s="623"/>
      <c r="P593" s="623"/>
      <c r="Q593" s="623"/>
      <c r="R593" s="623"/>
      <c r="S593" s="623"/>
      <c r="T593" s="623"/>
      <c r="U593" s="623"/>
      <c r="V593" s="623"/>
      <c r="W593" s="623"/>
      <c r="X593" s="623"/>
      <c r="Y593" s="623"/>
      <c r="Z593" s="623"/>
      <c r="AA593" s="623"/>
      <c r="AB593" s="623"/>
      <c r="AC593" s="623"/>
      <c r="AD593" s="623"/>
      <c r="AE593" s="623"/>
      <c r="AF593" s="623"/>
      <c r="AG593" s="623"/>
      <c r="AH593" s="623"/>
      <c r="AI593" s="623"/>
      <c r="AJ593" s="623"/>
      <c r="AK593" s="623"/>
      <c r="AL593" s="623"/>
      <c r="AM593" s="623"/>
      <c r="AN593" s="623"/>
      <c r="AO593" s="623"/>
      <c r="AP593" s="623"/>
      <c r="AQ593" s="623"/>
      <c r="AR593" s="623"/>
      <c r="AS593" s="623"/>
      <c r="AT593" s="623"/>
      <c r="AU593" s="623"/>
      <c r="AV593" s="623"/>
      <c r="AW593" s="623"/>
      <c r="AX593" s="623"/>
      <c r="AY593" s="623"/>
      <c r="AZ593" s="623"/>
      <c r="BA593" s="623"/>
    </row>
    <row r="594">
      <c r="A594" s="623"/>
      <c r="B594" s="623"/>
      <c r="C594" s="623"/>
      <c r="D594" s="623"/>
      <c r="E594" s="623"/>
      <c r="F594" s="623"/>
      <c r="G594" s="623" t="str">
        <f>'PV (%)'!B596</f>
        <v/>
      </c>
      <c r="H594" s="624" t="str">
        <f>'PV (%)'!E596</f>
        <v/>
      </c>
      <c r="I594" s="624" t="str">
        <f>'PV (%)'!F596</f>
        <v/>
      </c>
      <c r="J594" s="624" t="str">
        <f>'PV (%)'!G596</f>
        <v/>
      </c>
      <c r="K594" s="623"/>
      <c r="L594" s="623"/>
      <c r="M594" s="623"/>
      <c r="N594" s="623"/>
      <c r="O594" s="623"/>
      <c r="P594" s="623"/>
      <c r="Q594" s="623"/>
      <c r="R594" s="623"/>
      <c r="S594" s="623"/>
      <c r="T594" s="623"/>
      <c r="U594" s="623"/>
      <c r="V594" s="623"/>
      <c r="W594" s="623"/>
      <c r="X594" s="623"/>
      <c r="Y594" s="623"/>
      <c r="Z594" s="623"/>
      <c r="AA594" s="623"/>
      <c r="AB594" s="623"/>
      <c r="AC594" s="623"/>
      <c r="AD594" s="623"/>
      <c r="AE594" s="623"/>
      <c r="AF594" s="623"/>
      <c r="AG594" s="623"/>
      <c r="AH594" s="623"/>
      <c r="AI594" s="623"/>
      <c r="AJ594" s="623"/>
      <c r="AK594" s="623"/>
      <c r="AL594" s="623"/>
      <c r="AM594" s="623"/>
      <c r="AN594" s="623"/>
      <c r="AO594" s="623"/>
      <c r="AP594" s="623"/>
      <c r="AQ594" s="623"/>
      <c r="AR594" s="623"/>
      <c r="AS594" s="623"/>
      <c r="AT594" s="623"/>
      <c r="AU594" s="623"/>
      <c r="AV594" s="623"/>
      <c r="AW594" s="623"/>
      <c r="AX594" s="623"/>
      <c r="AY594" s="623"/>
      <c r="AZ594" s="623"/>
      <c r="BA594" s="623"/>
    </row>
    <row r="595">
      <c r="A595" s="623"/>
      <c r="B595" s="623"/>
      <c r="C595" s="623"/>
      <c r="D595" s="623"/>
      <c r="E595" s="623"/>
      <c r="F595" s="623"/>
      <c r="G595" s="623" t="str">
        <f>'PV (%)'!B597</f>
        <v/>
      </c>
      <c r="H595" s="624" t="str">
        <f>'PV (%)'!E597</f>
        <v/>
      </c>
      <c r="I595" s="624" t="str">
        <f>'PV (%)'!F597</f>
        <v/>
      </c>
      <c r="J595" s="624" t="str">
        <f>'PV (%)'!G597</f>
        <v/>
      </c>
      <c r="K595" s="623"/>
      <c r="L595" s="623"/>
      <c r="M595" s="623"/>
      <c r="N595" s="623"/>
      <c r="O595" s="623"/>
      <c r="P595" s="623"/>
      <c r="Q595" s="623"/>
      <c r="R595" s="623"/>
      <c r="S595" s="623"/>
      <c r="T595" s="623"/>
      <c r="U595" s="623"/>
      <c r="V595" s="623"/>
      <c r="W595" s="623"/>
      <c r="X595" s="623"/>
      <c r="Y595" s="623"/>
      <c r="Z595" s="623"/>
      <c r="AA595" s="623"/>
      <c r="AB595" s="623"/>
      <c r="AC595" s="623"/>
      <c r="AD595" s="623"/>
      <c r="AE595" s="623"/>
      <c r="AF595" s="623"/>
      <c r="AG595" s="623"/>
      <c r="AH595" s="623"/>
      <c r="AI595" s="623"/>
      <c r="AJ595" s="623"/>
      <c r="AK595" s="623"/>
      <c r="AL595" s="623"/>
      <c r="AM595" s="623"/>
      <c r="AN595" s="623"/>
      <c r="AO595" s="623"/>
      <c r="AP595" s="623"/>
      <c r="AQ595" s="623"/>
      <c r="AR595" s="623"/>
      <c r="AS595" s="623"/>
      <c r="AT595" s="623"/>
      <c r="AU595" s="623"/>
      <c r="AV595" s="623"/>
      <c r="AW595" s="623"/>
      <c r="AX595" s="623"/>
      <c r="AY595" s="623"/>
      <c r="AZ595" s="623"/>
      <c r="BA595" s="623"/>
    </row>
    <row r="596">
      <c r="A596" s="623"/>
      <c r="B596" s="623"/>
      <c r="C596" s="623"/>
      <c r="D596" s="623"/>
      <c r="E596" s="623"/>
      <c r="F596" s="623"/>
      <c r="G596" s="623" t="str">
        <f>'PV (%)'!B598</f>
        <v/>
      </c>
      <c r="H596" s="624" t="str">
        <f>'PV (%)'!E598</f>
        <v/>
      </c>
      <c r="I596" s="624" t="str">
        <f>'PV (%)'!F598</f>
        <v/>
      </c>
      <c r="J596" s="624" t="str">
        <f>'PV (%)'!G598</f>
        <v/>
      </c>
      <c r="K596" s="623"/>
      <c r="L596" s="623"/>
      <c r="M596" s="623"/>
      <c r="N596" s="623"/>
      <c r="O596" s="623"/>
      <c r="P596" s="623"/>
      <c r="Q596" s="623"/>
      <c r="R596" s="623"/>
      <c r="S596" s="623"/>
      <c r="T596" s="623"/>
      <c r="U596" s="623"/>
      <c r="V596" s="623"/>
      <c r="W596" s="623"/>
      <c r="X596" s="623"/>
      <c r="Y596" s="623"/>
      <c r="Z596" s="623"/>
      <c r="AA596" s="623"/>
      <c r="AB596" s="623"/>
      <c r="AC596" s="623"/>
      <c r="AD596" s="623"/>
      <c r="AE596" s="623"/>
      <c r="AF596" s="623"/>
      <c r="AG596" s="623"/>
      <c r="AH596" s="623"/>
      <c r="AI596" s="623"/>
      <c r="AJ596" s="623"/>
      <c r="AK596" s="623"/>
      <c r="AL596" s="623"/>
      <c r="AM596" s="623"/>
      <c r="AN596" s="623"/>
      <c r="AO596" s="623"/>
      <c r="AP596" s="623"/>
      <c r="AQ596" s="623"/>
      <c r="AR596" s="623"/>
      <c r="AS596" s="623"/>
      <c r="AT596" s="623"/>
      <c r="AU596" s="623"/>
      <c r="AV596" s="623"/>
      <c r="AW596" s="623"/>
      <c r="AX596" s="623"/>
      <c r="AY596" s="623"/>
      <c r="AZ596" s="623"/>
      <c r="BA596" s="623"/>
    </row>
    <row r="597">
      <c r="A597" s="623"/>
      <c r="B597" s="623"/>
      <c r="C597" s="623"/>
      <c r="D597" s="623"/>
      <c r="E597" s="623"/>
      <c r="F597" s="623"/>
      <c r="G597" s="623" t="str">
        <f>'PV (%)'!B599</f>
        <v/>
      </c>
      <c r="H597" s="624" t="str">
        <f>'PV (%)'!E599</f>
        <v/>
      </c>
      <c r="I597" s="624" t="str">
        <f>'PV (%)'!F599</f>
        <v/>
      </c>
      <c r="J597" s="624" t="str">
        <f>'PV (%)'!G599</f>
        <v/>
      </c>
      <c r="K597" s="623"/>
      <c r="L597" s="623"/>
      <c r="M597" s="623"/>
      <c r="N597" s="623"/>
      <c r="O597" s="623"/>
      <c r="P597" s="623"/>
      <c r="Q597" s="623"/>
      <c r="R597" s="623"/>
      <c r="S597" s="623"/>
      <c r="T597" s="623"/>
      <c r="U597" s="623"/>
      <c r="V597" s="623"/>
      <c r="W597" s="623"/>
      <c r="X597" s="623"/>
      <c r="Y597" s="623"/>
      <c r="Z597" s="623"/>
      <c r="AA597" s="623"/>
      <c r="AB597" s="623"/>
      <c r="AC597" s="623"/>
      <c r="AD597" s="623"/>
      <c r="AE597" s="623"/>
      <c r="AF597" s="623"/>
      <c r="AG597" s="623"/>
      <c r="AH597" s="623"/>
      <c r="AI597" s="623"/>
      <c r="AJ597" s="623"/>
      <c r="AK597" s="623"/>
      <c r="AL597" s="623"/>
      <c r="AM597" s="623"/>
      <c r="AN597" s="623"/>
      <c r="AO597" s="623"/>
      <c r="AP597" s="623"/>
      <c r="AQ597" s="623"/>
      <c r="AR597" s="623"/>
      <c r="AS597" s="623"/>
      <c r="AT597" s="623"/>
      <c r="AU597" s="623"/>
      <c r="AV597" s="623"/>
      <c r="AW597" s="623"/>
      <c r="AX597" s="623"/>
      <c r="AY597" s="623"/>
      <c r="AZ597" s="623"/>
      <c r="BA597" s="623"/>
    </row>
    <row r="598">
      <c r="A598" s="623"/>
      <c r="B598" s="623"/>
      <c r="C598" s="623"/>
      <c r="D598" s="623"/>
      <c r="E598" s="623"/>
      <c r="F598" s="623"/>
      <c r="G598" s="623" t="str">
        <f>'PV (%)'!B600</f>
        <v/>
      </c>
      <c r="H598" s="624" t="str">
        <f>'PV (%)'!E600</f>
        <v/>
      </c>
      <c r="I598" s="624" t="str">
        <f>'PV (%)'!F600</f>
        <v/>
      </c>
      <c r="J598" s="624" t="str">
        <f>'PV (%)'!G600</f>
        <v/>
      </c>
      <c r="K598" s="623"/>
      <c r="L598" s="623"/>
      <c r="M598" s="623"/>
      <c r="N598" s="623"/>
      <c r="O598" s="623"/>
      <c r="P598" s="623"/>
      <c r="Q598" s="623"/>
      <c r="R598" s="623"/>
      <c r="S598" s="623"/>
      <c r="T598" s="623"/>
      <c r="U598" s="623"/>
      <c r="V598" s="623"/>
      <c r="W598" s="623"/>
      <c r="X598" s="623"/>
      <c r="Y598" s="623"/>
      <c r="Z598" s="623"/>
      <c r="AA598" s="623"/>
      <c r="AB598" s="623"/>
      <c r="AC598" s="623"/>
      <c r="AD598" s="623"/>
      <c r="AE598" s="623"/>
      <c r="AF598" s="623"/>
      <c r="AG598" s="623"/>
      <c r="AH598" s="623"/>
      <c r="AI598" s="623"/>
      <c r="AJ598" s="623"/>
      <c r="AK598" s="623"/>
      <c r="AL598" s="623"/>
      <c r="AM598" s="623"/>
      <c r="AN598" s="623"/>
      <c r="AO598" s="623"/>
      <c r="AP598" s="623"/>
      <c r="AQ598" s="623"/>
      <c r="AR598" s="623"/>
      <c r="AS598" s="623"/>
      <c r="AT598" s="623"/>
      <c r="AU598" s="623"/>
      <c r="AV598" s="623"/>
      <c r="AW598" s="623"/>
      <c r="AX598" s="623"/>
      <c r="AY598" s="623"/>
      <c r="AZ598" s="623"/>
      <c r="BA598" s="623"/>
    </row>
    <row r="599">
      <c r="A599" s="623"/>
      <c r="B599" s="623"/>
      <c r="C599" s="623"/>
      <c r="D599" s="623"/>
      <c r="E599" s="623"/>
      <c r="F599" s="623"/>
      <c r="G599" s="623" t="str">
        <f>'PV (%)'!B601</f>
        <v/>
      </c>
      <c r="H599" s="624" t="str">
        <f>'PV (%)'!E601</f>
        <v/>
      </c>
      <c r="I599" s="624" t="str">
        <f>'PV (%)'!F601</f>
        <v/>
      </c>
      <c r="J599" s="624" t="str">
        <f>'PV (%)'!G601</f>
        <v/>
      </c>
      <c r="K599" s="623"/>
      <c r="L599" s="623"/>
      <c r="M599" s="623"/>
      <c r="N599" s="623"/>
      <c r="O599" s="623"/>
      <c r="P599" s="623"/>
      <c r="Q599" s="623"/>
      <c r="R599" s="623"/>
      <c r="S599" s="623"/>
      <c r="T599" s="623"/>
      <c r="U599" s="623"/>
      <c r="V599" s="623"/>
      <c r="W599" s="623"/>
      <c r="X599" s="623"/>
      <c r="Y599" s="623"/>
      <c r="Z599" s="623"/>
      <c r="AA599" s="623"/>
      <c r="AB599" s="623"/>
      <c r="AC599" s="623"/>
      <c r="AD599" s="623"/>
      <c r="AE599" s="623"/>
      <c r="AF599" s="623"/>
      <c r="AG599" s="623"/>
      <c r="AH599" s="623"/>
      <c r="AI599" s="623"/>
      <c r="AJ599" s="623"/>
      <c r="AK599" s="623"/>
      <c r="AL599" s="623"/>
      <c r="AM599" s="623"/>
      <c r="AN599" s="623"/>
      <c r="AO599" s="623"/>
      <c r="AP599" s="623"/>
      <c r="AQ599" s="623"/>
      <c r="AR599" s="623"/>
      <c r="AS599" s="623"/>
      <c r="AT599" s="623"/>
      <c r="AU599" s="623"/>
      <c r="AV599" s="623"/>
      <c r="AW599" s="623"/>
      <c r="AX599" s="623"/>
      <c r="AY599" s="623"/>
      <c r="AZ599" s="623"/>
      <c r="BA599" s="623"/>
    </row>
    <row r="600">
      <c r="A600" s="623"/>
      <c r="B600" s="623"/>
      <c r="C600" s="623"/>
      <c r="D600" s="623"/>
      <c r="E600" s="623"/>
      <c r="F600" s="623"/>
      <c r="G600" s="623"/>
      <c r="H600" s="623"/>
      <c r="I600" s="623"/>
      <c r="J600" s="623"/>
      <c r="K600" s="623"/>
      <c r="L600" s="623"/>
      <c r="M600" s="623"/>
      <c r="N600" s="623"/>
      <c r="O600" s="623"/>
      <c r="P600" s="623"/>
      <c r="Q600" s="623"/>
      <c r="R600" s="623"/>
      <c r="S600" s="623"/>
      <c r="T600" s="623"/>
      <c r="U600" s="623"/>
      <c r="V600" s="623"/>
      <c r="W600" s="623"/>
      <c r="X600" s="623"/>
      <c r="Y600" s="623"/>
      <c r="Z600" s="623"/>
      <c r="AA600" s="623"/>
      <c r="AB600" s="623"/>
      <c r="AC600" s="623"/>
      <c r="AD600" s="623"/>
      <c r="AE600" s="623"/>
      <c r="AF600" s="623"/>
      <c r="AG600" s="623"/>
      <c r="AH600" s="623"/>
      <c r="AI600" s="623"/>
      <c r="AJ600" s="623"/>
      <c r="AK600" s="623"/>
      <c r="AL600" s="623"/>
      <c r="AM600" s="623"/>
      <c r="AN600" s="623"/>
      <c r="AO600" s="623"/>
      <c r="AP600" s="623"/>
      <c r="AQ600" s="623"/>
      <c r="AR600" s="623"/>
      <c r="AS600" s="623"/>
      <c r="AT600" s="623"/>
      <c r="AU600" s="623"/>
      <c r="AV600" s="623"/>
      <c r="AW600" s="623"/>
      <c r="AX600" s="623"/>
      <c r="AY600" s="623"/>
      <c r="AZ600" s="623"/>
      <c r="BA600" s="623"/>
    </row>
    <row r="601">
      <c r="A601" s="623"/>
      <c r="B601" s="623"/>
      <c r="C601" s="623"/>
      <c r="D601" s="623"/>
      <c r="E601" s="623"/>
      <c r="F601" s="623"/>
      <c r="G601" s="623"/>
      <c r="H601" s="623"/>
      <c r="I601" s="623"/>
      <c r="J601" s="623"/>
      <c r="K601" s="623"/>
      <c r="L601" s="623"/>
      <c r="M601" s="623"/>
      <c r="N601" s="623"/>
      <c r="O601" s="623"/>
      <c r="P601" s="623"/>
      <c r="Q601" s="623"/>
      <c r="R601" s="623"/>
      <c r="S601" s="623"/>
      <c r="T601" s="623"/>
      <c r="U601" s="623"/>
      <c r="V601" s="623"/>
      <c r="W601" s="623"/>
      <c r="X601" s="623"/>
      <c r="Y601" s="623"/>
      <c r="Z601" s="623"/>
      <c r="AA601" s="623"/>
      <c r="AB601" s="623"/>
      <c r="AC601" s="623"/>
      <c r="AD601" s="623"/>
      <c r="AE601" s="623"/>
      <c r="AF601" s="623"/>
      <c r="AG601" s="623"/>
      <c r="AH601" s="623"/>
      <c r="AI601" s="623"/>
      <c r="AJ601" s="623"/>
      <c r="AK601" s="623"/>
      <c r="AL601" s="623"/>
      <c r="AM601" s="623"/>
      <c r="AN601" s="623"/>
      <c r="AO601" s="623"/>
      <c r="AP601" s="623"/>
      <c r="AQ601" s="623"/>
      <c r="AR601" s="623"/>
      <c r="AS601" s="623"/>
      <c r="AT601" s="623"/>
      <c r="AU601" s="623"/>
      <c r="AV601" s="623"/>
      <c r="AW601" s="623"/>
      <c r="AX601" s="623"/>
      <c r="AY601" s="623"/>
      <c r="AZ601" s="623"/>
      <c r="BA601" s="623"/>
    </row>
    <row r="602">
      <c r="A602" s="623"/>
      <c r="B602" s="623"/>
      <c r="C602" s="623"/>
      <c r="D602" s="623"/>
      <c r="E602" s="623"/>
      <c r="F602" s="623"/>
      <c r="G602" s="623"/>
      <c r="H602" s="623"/>
      <c r="I602" s="623"/>
      <c r="J602" s="623"/>
      <c r="K602" s="623"/>
      <c r="L602" s="623"/>
      <c r="M602" s="623"/>
      <c r="N602" s="623"/>
      <c r="O602" s="623"/>
      <c r="P602" s="623"/>
      <c r="Q602" s="623"/>
      <c r="R602" s="623"/>
      <c r="S602" s="623"/>
      <c r="T602" s="623"/>
      <c r="U602" s="623"/>
      <c r="V602" s="623"/>
      <c r="W602" s="623"/>
      <c r="X602" s="623"/>
      <c r="Y602" s="623"/>
      <c r="Z602" s="623"/>
      <c r="AA602" s="623"/>
      <c r="AB602" s="623"/>
      <c r="AC602" s="623"/>
      <c r="AD602" s="623"/>
      <c r="AE602" s="623"/>
      <c r="AF602" s="623"/>
      <c r="AG602" s="623"/>
      <c r="AH602" s="623"/>
      <c r="AI602" s="623"/>
      <c r="AJ602" s="623"/>
      <c r="AK602" s="623"/>
      <c r="AL602" s="623"/>
      <c r="AM602" s="623"/>
      <c r="AN602" s="623"/>
      <c r="AO602" s="623"/>
      <c r="AP602" s="623"/>
      <c r="AQ602" s="623"/>
      <c r="AR602" s="623"/>
      <c r="AS602" s="623"/>
      <c r="AT602" s="623"/>
      <c r="AU602" s="623"/>
      <c r="AV602" s="623"/>
      <c r="AW602" s="623"/>
      <c r="AX602" s="623"/>
      <c r="AY602" s="623"/>
      <c r="AZ602" s="623"/>
      <c r="BA602" s="623"/>
    </row>
    <row r="603">
      <c r="A603" s="623"/>
      <c r="B603" s="623"/>
      <c r="C603" s="623"/>
      <c r="D603" s="623"/>
      <c r="E603" s="623"/>
      <c r="F603" s="623"/>
      <c r="G603" s="623"/>
      <c r="H603" s="623"/>
      <c r="I603" s="623"/>
      <c r="J603" s="623"/>
      <c r="K603" s="623"/>
      <c r="L603" s="623"/>
      <c r="M603" s="623"/>
      <c r="N603" s="623"/>
      <c r="O603" s="623"/>
      <c r="P603" s="623"/>
      <c r="Q603" s="623"/>
      <c r="R603" s="623"/>
      <c r="S603" s="623"/>
      <c r="T603" s="623"/>
      <c r="U603" s="623"/>
      <c r="V603" s="623"/>
      <c r="W603" s="623"/>
      <c r="X603" s="623"/>
      <c r="Y603" s="623"/>
      <c r="Z603" s="623"/>
      <c r="AA603" s="623"/>
      <c r="AB603" s="623"/>
      <c r="AC603" s="623"/>
      <c r="AD603" s="623"/>
      <c r="AE603" s="623"/>
      <c r="AF603" s="623"/>
      <c r="AG603" s="623"/>
      <c r="AH603" s="623"/>
      <c r="AI603" s="623"/>
      <c r="AJ603" s="623"/>
      <c r="AK603" s="623"/>
      <c r="AL603" s="623"/>
      <c r="AM603" s="623"/>
      <c r="AN603" s="623"/>
      <c r="AO603" s="623"/>
      <c r="AP603" s="623"/>
      <c r="AQ603" s="623"/>
      <c r="AR603" s="623"/>
      <c r="AS603" s="623"/>
      <c r="AT603" s="623"/>
      <c r="AU603" s="623"/>
      <c r="AV603" s="623"/>
      <c r="AW603" s="623"/>
      <c r="AX603" s="623"/>
      <c r="AY603" s="623"/>
      <c r="AZ603" s="623"/>
      <c r="BA603" s="623"/>
    </row>
    <row r="604">
      <c r="A604" s="623"/>
      <c r="B604" s="623"/>
      <c r="C604" s="623"/>
      <c r="D604" s="623"/>
      <c r="E604" s="623"/>
      <c r="F604" s="623"/>
      <c r="G604" s="623"/>
      <c r="H604" s="623"/>
      <c r="I604" s="623"/>
      <c r="J604" s="623"/>
      <c r="K604" s="623"/>
      <c r="L604" s="623"/>
      <c r="M604" s="623"/>
      <c r="N604" s="623"/>
      <c r="O604" s="623"/>
      <c r="P604" s="623"/>
      <c r="Q604" s="623"/>
      <c r="R604" s="623"/>
      <c r="S604" s="623"/>
      <c r="T604" s="623"/>
      <c r="U604" s="623"/>
      <c r="V604" s="623"/>
      <c r="W604" s="623"/>
      <c r="X604" s="623"/>
      <c r="Y604" s="623"/>
      <c r="Z604" s="623"/>
      <c r="AA604" s="623"/>
      <c r="AB604" s="623"/>
      <c r="AC604" s="623"/>
      <c r="AD604" s="623"/>
      <c r="AE604" s="623"/>
      <c r="AF604" s="623"/>
      <c r="AG604" s="623"/>
      <c r="AH604" s="623"/>
      <c r="AI604" s="623"/>
      <c r="AJ604" s="623"/>
      <c r="AK604" s="623"/>
      <c r="AL604" s="623"/>
      <c r="AM604" s="623"/>
      <c r="AN604" s="623"/>
      <c r="AO604" s="623"/>
      <c r="AP604" s="623"/>
      <c r="AQ604" s="623"/>
      <c r="AR604" s="623"/>
      <c r="AS604" s="623"/>
      <c r="AT604" s="623"/>
      <c r="AU604" s="623"/>
      <c r="AV604" s="623"/>
      <c r="AW604" s="623"/>
      <c r="AX604" s="623"/>
      <c r="AY604" s="623"/>
      <c r="AZ604" s="623"/>
      <c r="BA604" s="623"/>
    </row>
    <row r="605">
      <c r="A605" s="623"/>
      <c r="B605" s="623"/>
      <c r="C605" s="623"/>
      <c r="D605" s="623"/>
      <c r="E605" s="623"/>
      <c r="F605" s="623"/>
      <c r="G605" s="623"/>
      <c r="H605" s="623"/>
      <c r="I605" s="623"/>
      <c r="J605" s="623"/>
      <c r="K605" s="623"/>
      <c r="L605" s="623"/>
      <c r="M605" s="623"/>
      <c r="N605" s="623"/>
      <c r="O605" s="623"/>
      <c r="P605" s="623"/>
      <c r="Q605" s="623"/>
      <c r="R605" s="623"/>
      <c r="S605" s="623"/>
      <c r="T605" s="623"/>
      <c r="U605" s="623"/>
      <c r="V605" s="623"/>
      <c r="W605" s="623"/>
      <c r="X605" s="623"/>
      <c r="Y605" s="623"/>
      <c r="Z605" s="623"/>
      <c r="AA605" s="623"/>
      <c r="AB605" s="623"/>
      <c r="AC605" s="623"/>
      <c r="AD605" s="623"/>
      <c r="AE605" s="623"/>
      <c r="AF605" s="623"/>
      <c r="AG605" s="623"/>
      <c r="AH605" s="623"/>
      <c r="AI605" s="623"/>
      <c r="AJ605" s="623"/>
      <c r="AK605" s="623"/>
      <c r="AL605" s="623"/>
      <c r="AM605" s="623"/>
      <c r="AN605" s="623"/>
      <c r="AO605" s="623"/>
      <c r="AP605" s="623"/>
      <c r="AQ605" s="623"/>
      <c r="AR605" s="623"/>
      <c r="AS605" s="623"/>
      <c r="AT605" s="623"/>
      <c r="AU605" s="623"/>
      <c r="AV605" s="623"/>
      <c r="AW605" s="623"/>
      <c r="AX605" s="623"/>
      <c r="AY605" s="623"/>
      <c r="AZ605" s="623"/>
      <c r="BA605" s="623"/>
    </row>
    <row r="606">
      <c r="A606" s="623"/>
      <c r="B606" s="623"/>
      <c r="C606" s="623"/>
      <c r="D606" s="623"/>
      <c r="E606" s="623"/>
      <c r="F606" s="623"/>
      <c r="G606" s="623"/>
      <c r="H606" s="623"/>
      <c r="I606" s="623"/>
      <c r="J606" s="623"/>
      <c r="K606" s="623"/>
      <c r="L606" s="623"/>
      <c r="M606" s="623"/>
      <c r="N606" s="623"/>
      <c r="O606" s="623"/>
      <c r="P606" s="623"/>
      <c r="Q606" s="623"/>
      <c r="R606" s="623"/>
      <c r="S606" s="623"/>
      <c r="T606" s="623"/>
      <c r="U606" s="623"/>
      <c r="V606" s="623"/>
      <c r="W606" s="623"/>
      <c r="X606" s="623"/>
      <c r="Y606" s="623"/>
      <c r="Z606" s="623"/>
      <c r="AA606" s="623"/>
      <c r="AB606" s="623"/>
      <c r="AC606" s="623"/>
      <c r="AD606" s="623"/>
      <c r="AE606" s="623"/>
      <c r="AF606" s="623"/>
      <c r="AG606" s="623"/>
      <c r="AH606" s="623"/>
      <c r="AI606" s="623"/>
      <c r="AJ606" s="623"/>
      <c r="AK606" s="623"/>
      <c r="AL606" s="623"/>
      <c r="AM606" s="623"/>
      <c r="AN606" s="623"/>
      <c r="AO606" s="623"/>
      <c r="AP606" s="623"/>
      <c r="AQ606" s="623"/>
      <c r="AR606" s="623"/>
      <c r="AS606" s="623"/>
      <c r="AT606" s="623"/>
      <c r="AU606" s="623"/>
      <c r="AV606" s="623"/>
      <c r="AW606" s="623"/>
      <c r="AX606" s="623"/>
      <c r="AY606" s="623"/>
      <c r="AZ606" s="623"/>
      <c r="BA606" s="623"/>
    </row>
    <row r="607">
      <c r="A607" s="623"/>
      <c r="B607" s="623"/>
      <c r="C607" s="623"/>
      <c r="D607" s="623"/>
      <c r="E607" s="623"/>
      <c r="F607" s="623"/>
      <c r="G607" s="623"/>
      <c r="H607" s="623"/>
      <c r="I607" s="623"/>
      <c r="J607" s="623"/>
      <c r="K607" s="623"/>
      <c r="L607" s="623"/>
      <c r="M607" s="623"/>
      <c r="N607" s="623"/>
      <c r="O607" s="623"/>
      <c r="P607" s="623"/>
      <c r="Q607" s="623"/>
      <c r="R607" s="623"/>
      <c r="S607" s="623"/>
      <c r="T607" s="623"/>
      <c r="U607" s="623"/>
      <c r="V607" s="623"/>
      <c r="W607" s="623"/>
      <c r="X607" s="623"/>
      <c r="Y607" s="623"/>
      <c r="Z607" s="623"/>
      <c r="AA607" s="623"/>
      <c r="AB607" s="623"/>
      <c r="AC607" s="623"/>
      <c r="AD607" s="623"/>
      <c r="AE607" s="623"/>
      <c r="AF607" s="623"/>
      <c r="AG607" s="623"/>
      <c r="AH607" s="623"/>
      <c r="AI607" s="623"/>
      <c r="AJ607" s="623"/>
      <c r="AK607" s="623"/>
      <c r="AL607" s="623"/>
      <c r="AM607" s="623"/>
      <c r="AN607" s="623"/>
      <c r="AO607" s="623"/>
      <c r="AP607" s="623"/>
      <c r="AQ607" s="623"/>
      <c r="AR607" s="623"/>
      <c r="AS607" s="623"/>
      <c r="AT607" s="623"/>
      <c r="AU607" s="623"/>
      <c r="AV607" s="623"/>
      <c r="AW607" s="623"/>
      <c r="AX607" s="623"/>
      <c r="AY607" s="623"/>
      <c r="AZ607" s="623"/>
      <c r="BA607" s="623"/>
    </row>
    <row r="608">
      <c r="A608" s="623"/>
      <c r="B608" s="623"/>
      <c r="C608" s="623"/>
      <c r="D608" s="623"/>
      <c r="E608" s="623"/>
      <c r="F608" s="623"/>
      <c r="G608" s="623"/>
      <c r="H608" s="623"/>
      <c r="I608" s="623"/>
      <c r="J608" s="623"/>
      <c r="K608" s="623"/>
      <c r="L608" s="623"/>
      <c r="M608" s="623"/>
      <c r="N608" s="623"/>
      <c r="O608" s="623"/>
      <c r="P608" s="623"/>
      <c r="Q608" s="623"/>
      <c r="R608" s="623"/>
      <c r="S608" s="623"/>
      <c r="T608" s="623"/>
      <c r="U608" s="623"/>
      <c r="V608" s="623"/>
      <c r="W608" s="623"/>
      <c r="X608" s="623"/>
      <c r="Y608" s="623"/>
      <c r="Z608" s="623"/>
      <c r="AA608" s="623"/>
      <c r="AB608" s="623"/>
      <c r="AC608" s="623"/>
      <c r="AD608" s="623"/>
      <c r="AE608" s="623"/>
      <c r="AF608" s="623"/>
      <c r="AG608" s="623"/>
      <c r="AH608" s="623"/>
      <c r="AI608" s="623"/>
      <c r="AJ608" s="623"/>
      <c r="AK608" s="623"/>
      <c r="AL608" s="623"/>
      <c r="AM608" s="623"/>
      <c r="AN608" s="623"/>
      <c r="AO608" s="623"/>
      <c r="AP608" s="623"/>
      <c r="AQ608" s="623"/>
      <c r="AR608" s="623"/>
      <c r="AS608" s="623"/>
      <c r="AT608" s="623"/>
      <c r="AU608" s="623"/>
      <c r="AV608" s="623"/>
      <c r="AW608" s="623"/>
      <c r="AX608" s="623"/>
      <c r="AY608" s="623"/>
      <c r="AZ608" s="623"/>
      <c r="BA608" s="623"/>
    </row>
    <row r="609">
      <c r="A609" s="623"/>
      <c r="B609" s="623"/>
      <c r="C609" s="623"/>
      <c r="D609" s="623"/>
      <c r="E609" s="623"/>
      <c r="F609" s="623"/>
      <c r="G609" s="623"/>
      <c r="H609" s="623"/>
      <c r="I609" s="623"/>
      <c r="J609" s="623"/>
      <c r="K609" s="623"/>
      <c r="L609" s="623"/>
      <c r="M609" s="623"/>
      <c r="N609" s="623"/>
      <c r="O609" s="623"/>
      <c r="P609" s="623"/>
      <c r="Q609" s="623"/>
      <c r="R609" s="623"/>
      <c r="S609" s="623"/>
      <c r="T609" s="623"/>
      <c r="U609" s="623"/>
      <c r="V609" s="623"/>
      <c r="W609" s="623"/>
      <c r="X609" s="623"/>
      <c r="Y609" s="623"/>
      <c r="Z609" s="623"/>
      <c r="AA609" s="623"/>
      <c r="AB609" s="623"/>
      <c r="AC609" s="623"/>
      <c r="AD609" s="623"/>
      <c r="AE609" s="623"/>
      <c r="AF609" s="623"/>
      <c r="AG609" s="623"/>
      <c r="AH609" s="623"/>
      <c r="AI609" s="623"/>
      <c r="AJ609" s="623"/>
      <c r="AK609" s="623"/>
      <c r="AL609" s="623"/>
      <c r="AM609" s="623"/>
      <c r="AN609" s="623"/>
      <c r="AO609" s="623"/>
      <c r="AP609" s="623"/>
      <c r="AQ609" s="623"/>
      <c r="AR609" s="623"/>
      <c r="AS609" s="623"/>
      <c r="AT609" s="623"/>
      <c r="AU609" s="623"/>
      <c r="AV609" s="623"/>
      <c r="AW609" s="623"/>
      <c r="AX609" s="623"/>
      <c r="AY609" s="623"/>
      <c r="AZ609" s="623"/>
      <c r="BA609" s="623"/>
    </row>
    <row r="610">
      <c r="A610" s="623"/>
      <c r="B610" s="623"/>
      <c r="C610" s="623"/>
      <c r="D610" s="623"/>
      <c r="E610" s="623"/>
      <c r="F610" s="623"/>
      <c r="G610" s="623"/>
      <c r="H610" s="623"/>
      <c r="I610" s="623"/>
      <c r="J610" s="623"/>
      <c r="K610" s="623"/>
      <c r="L610" s="623"/>
      <c r="M610" s="623"/>
      <c r="N610" s="623"/>
      <c r="O610" s="623"/>
      <c r="P610" s="623"/>
      <c r="Q610" s="623"/>
      <c r="R610" s="623"/>
      <c r="S610" s="623"/>
      <c r="T610" s="623"/>
      <c r="U610" s="623"/>
      <c r="V610" s="623"/>
      <c r="W610" s="623"/>
      <c r="X610" s="623"/>
      <c r="Y610" s="623"/>
      <c r="Z610" s="623"/>
      <c r="AA610" s="623"/>
      <c r="AB610" s="623"/>
      <c r="AC610" s="623"/>
      <c r="AD610" s="623"/>
      <c r="AE610" s="623"/>
      <c r="AF610" s="623"/>
      <c r="AG610" s="623"/>
      <c r="AH610" s="623"/>
      <c r="AI610" s="623"/>
      <c r="AJ610" s="623"/>
      <c r="AK610" s="623"/>
      <c r="AL610" s="623"/>
      <c r="AM610" s="623"/>
      <c r="AN610" s="623"/>
      <c r="AO610" s="623"/>
      <c r="AP610" s="623"/>
      <c r="AQ610" s="623"/>
      <c r="AR610" s="623"/>
      <c r="AS610" s="623"/>
      <c r="AT610" s="623"/>
      <c r="AU610" s="623"/>
      <c r="AV610" s="623"/>
      <c r="AW610" s="623"/>
      <c r="AX610" s="623"/>
      <c r="AY610" s="623"/>
      <c r="AZ610" s="623"/>
      <c r="BA610" s="623"/>
    </row>
    <row r="611">
      <c r="A611" s="623"/>
      <c r="B611" s="623"/>
      <c r="C611" s="623"/>
      <c r="D611" s="623"/>
      <c r="E611" s="623"/>
      <c r="F611" s="623"/>
      <c r="G611" s="623"/>
      <c r="H611" s="623"/>
      <c r="I611" s="623"/>
      <c r="J611" s="623"/>
      <c r="K611" s="623"/>
      <c r="L611" s="623"/>
      <c r="M611" s="623"/>
      <c r="N611" s="623"/>
      <c r="O611" s="623"/>
      <c r="P611" s="623"/>
      <c r="Q611" s="623"/>
      <c r="R611" s="623"/>
      <c r="S611" s="623"/>
      <c r="T611" s="623"/>
      <c r="U611" s="623"/>
      <c r="V611" s="623"/>
      <c r="W611" s="623"/>
      <c r="X611" s="623"/>
      <c r="Y611" s="623"/>
      <c r="Z611" s="623"/>
      <c r="AA611" s="623"/>
      <c r="AB611" s="623"/>
      <c r="AC611" s="623"/>
      <c r="AD611" s="623"/>
      <c r="AE611" s="623"/>
      <c r="AF611" s="623"/>
      <c r="AG611" s="623"/>
      <c r="AH611" s="623"/>
      <c r="AI611" s="623"/>
      <c r="AJ611" s="623"/>
      <c r="AK611" s="623"/>
      <c r="AL611" s="623"/>
      <c r="AM611" s="623"/>
      <c r="AN611" s="623"/>
      <c r="AO611" s="623"/>
      <c r="AP611" s="623"/>
      <c r="AQ611" s="623"/>
      <c r="AR611" s="623"/>
      <c r="AS611" s="623"/>
      <c r="AT611" s="623"/>
      <c r="AU611" s="623"/>
      <c r="AV611" s="623"/>
      <c r="AW611" s="623"/>
      <c r="AX611" s="623"/>
      <c r="AY611" s="623"/>
      <c r="AZ611" s="623"/>
      <c r="BA611" s="623"/>
    </row>
    <row r="612">
      <c r="A612" s="623"/>
      <c r="B612" s="623"/>
      <c r="C612" s="623"/>
      <c r="D612" s="623"/>
      <c r="E612" s="623"/>
      <c r="F612" s="623"/>
      <c r="G612" s="623"/>
      <c r="H612" s="623"/>
      <c r="I612" s="623"/>
      <c r="J612" s="623"/>
      <c r="K612" s="623"/>
      <c r="L612" s="623"/>
      <c r="M612" s="623"/>
      <c r="N612" s="623"/>
      <c r="O612" s="623"/>
      <c r="P612" s="623"/>
      <c r="Q612" s="623"/>
      <c r="R612" s="623"/>
      <c r="S612" s="623"/>
      <c r="T612" s="623"/>
      <c r="U612" s="623"/>
      <c r="V612" s="623"/>
      <c r="W612" s="623"/>
      <c r="X612" s="623"/>
      <c r="Y612" s="623"/>
      <c r="Z612" s="623"/>
      <c r="AA612" s="623"/>
      <c r="AB612" s="623"/>
      <c r="AC612" s="623"/>
      <c r="AD612" s="623"/>
      <c r="AE612" s="623"/>
      <c r="AF612" s="623"/>
      <c r="AG612" s="623"/>
      <c r="AH612" s="623"/>
      <c r="AI612" s="623"/>
      <c r="AJ612" s="623"/>
      <c r="AK612" s="623"/>
      <c r="AL612" s="623"/>
      <c r="AM612" s="623"/>
      <c r="AN612" s="623"/>
      <c r="AO612" s="623"/>
      <c r="AP612" s="623"/>
      <c r="AQ612" s="623"/>
      <c r="AR612" s="623"/>
      <c r="AS612" s="623"/>
      <c r="AT612" s="623"/>
      <c r="AU612" s="623"/>
      <c r="AV612" s="623"/>
      <c r="AW612" s="623"/>
      <c r="AX612" s="623"/>
      <c r="AY612" s="623"/>
      <c r="AZ612" s="623"/>
      <c r="BA612" s="623"/>
    </row>
    <row r="613">
      <c r="A613" s="623"/>
      <c r="B613" s="623"/>
      <c r="C613" s="623"/>
      <c r="D613" s="623"/>
      <c r="E613" s="623"/>
      <c r="F613" s="623"/>
      <c r="G613" s="623"/>
      <c r="H613" s="623"/>
      <c r="I613" s="623"/>
      <c r="J613" s="623"/>
      <c r="K613" s="623"/>
      <c r="L613" s="623"/>
      <c r="M613" s="623"/>
      <c r="N613" s="623"/>
      <c r="O613" s="623"/>
      <c r="P613" s="623"/>
      <c r="Q613" s="623"/>
      <c r="R613" s="623"/>
      <c r="S613" s="623"/>
      <c r="T613" s="623"/>
      <c r="U613" s="623"/>
      <c r="V613" s="623"/>
      <c r="W613" s="623"/>
      <c r="X613" s="623"/>
      <c r="Y613" s="623"/>
      <c r="Z613" s="623"/>
      <c r="AA613" s="623"/>
      <c r="AB613" s="623"/>
      <c r="AC613" s="623"/>
      <c r="AD613" s="623"/>
      <c r="AE613" s="623"/>
      <c r="AF613" s="623"/>
      <c r="AG613" s="623"/>
      <c r="AH613" s="623"/>
      <c r="AI613" s="623"/>
      <c r="AJ613" s="623"/>
      <c r="AK613" s="623"/>
      <c r="AL613" s="623"/>
      <c r="AM613" s="623"/>
      <c r="AN613" s="623"/>
      <c r="AO613" s="623"/>
      <c r="AP613" s="623"/>
      <c r="AQ613" s="623"/>
      <c r="AR613" s="623"/>
      <c r="AS613" s="623"/>
      <c r="AT613" s="623"/>
      <c r="AU613" s="623"/>
      <c r="AV613" s="623"/>
      <c r="AW613" s="623"/>
      <c r="AX613" s="623"/>
      <c r="AY613" s="623"/>
      <c r="AZ613" s="623"/>
      <c r="BA613" s="623"/>
    </row>
    <row r="614">
      <c r="A614" s="623"/>
      <c r="B614" s="623"/>
      <c r="C614" s="623"/>
      <c r="D614" s="623"/>
      <c r="E614" s="623"/>
      <c r="F614" s="623"/>
      <c r="G614" s="623"/>
      <c r="H614" s="623"/>
      <c r="I614" s="623"/>
      <c r="J614" s="623"/>
      <c r="K614" s="623"/>
      <c r="L614" s="623"/>
      <c r="M614" s="623"/>
      <c r="N614" s="623"/>
      <c r="O614" s="623"/>
      <c r="P614" s="623"/>
      <c r="Q614" s="623"/>
      <c r="R614" s="623"/>
      <c r="S614" s="623"/>
      <c r="T614" s="623"/>
      <c r="U614" s="623"/>
      <c r="V614" s="623"/>
      <c r="W614" s="623"/>
      <c r="X614" s="623"/>
      <c r="Y614" s="623"/>
      <c r="Z614" s="623"/>
      <c r="AA614" s="623"/>
      <c r="AB614" s="623"/>
      <c r="AC614" s="623"/>
      <c r="AD614" s="623"/>
      <c r="AE614" s="623"/>
      <c r="AF614" s="623"/>
      <c r="AG614" s="623"/>
      <c r="AH614" s="623"/>
      <c r="AI614" s="623"/>
      <c r="AJ614" s="623"/>
      <c r="AK614" s="623"/>
      <c r="AL614" s="623"/>
      <c r="AM614" s="623"/>
      <c r="AN614" s="623"/>
      <c r="AO614" s="623"/>
      <c r="AP614" s="623"/>
      <c r="AQ614" s="623"/>
      <c r="AR614" s="623"/>
      <c r="AS614" s="623"/>
      <c r="AT614" s="623"/>
      <c r="AU614" s="623"/>
      <c r="AV614" s="623"/>
      <c r="AW614" s="623"/>
      <c r="AX614" s="623"/>
      <c r="AY614" s="623"/>
      <c r="AZ614" s="623"/>
      <c r="BA614" s="623"/>
    </row>
    <row r="615">
      <c r="A615" s="623"/>
      <c r="B615" s="623"/>
      <c r="C615" s="623"/>
      <c r="D615" s="623"/>
      <c r="E615" s="623"/>
      <c r="F615" s="623"/>
      <c r="G615" s="623"/>
      <c r="H615" s="623"/>
      <c r="I615" s="623"/>
      <c r="J615" s="623"/>
      <c r="K615" s="623"/>
      <c r="L615" s="623"/>
      <c r="M615" s="623"/>
      <c r="N615" s="623"/>
      <c r="O615" s="623"/>
      <c r="P615" s="623"/>
      <c r="Q615" s="623"/>
      <c r="R615" s="623"/>
      <c r="S615" s="623"/>
      <c r="T615" s="623"/>
      <c r="U615" s="623"/>
      <c r="V615" s="623"/>
      <c r="W615" s="623"/>
      <c r="X615" s="623"/>
      <c r="Y615" s="623"/>
      <c r="Z615" s="623"/>
      <c r="AA615" s="623"/>
      <c r="AB615" s="623"/>
      <c r="AC615" s="623"/>
      <c r="AD615" s="623"/>
      <c r="AE615" s="623"/>
      <c r="AF615" s="623"/>
      <c r="AG615" s="623"/>
      <c r="AH615" s="623"/>
      <c r="AI615" s="623"/>
      <c r="AJ615" s="623"/>
      <c r="AK615" s="623"/>
      <c r="AL615" s="623"/>
      <c r="AM615" s="623"/>
      <c r="AN615" s="623"/>
      <c r="AO615" s="623"/>
      <c r="AP615" s="623"/>
      <c r="AQ615" s="623"/>
      <c r="AR615" s="623"/>
      <c r="AS615" s="623"/>
      <c r="AT615" s="623"/>
      <c r="AU615" s="623"/>
      <c r="AV615" s="623"/>
      <c r="AW615" s="623"/>
      <c r="AX615" s="623"/>
      <c r="AY615" s="623"/>
      <c r="AZ615" s="623"/>
      <c r="BA615" s="623"/>
    </row>
    <row r="616">
      <c r="A616" s="623"/>
      <c r="B616" s="623"/>
      <c r="C616" s="623"/>
      <c r="D616" s="623"/>
      <c r="E616" s="623"/>
      <c r="F616" s="623"/>
      <c r="G616" s="623"/>
      <c r="H616" s="623"/>
      <c r="I616" s="623"/>
      <c r="J616" s="623"/>
      <c r="K616" s="623"/>
      <c r="L616" s="623"/>
      <c r="M616" s="623"/>
      <c r="N616" s="623"/>
      <c r="O616" s="623"/>
      <c r="P616" s="623"/>
      <c r="Q616" s="623"/>
      <c r="R616" s="623"/>
      <c r="S616" s="623"/>
      <c r="T616" s="623"/>
      <c r="U616" s="623"/>
      <c r="V616" s="623"/>
      <c r="W616" s="623"/>
      <c r="X616" s="623"/>
      <c r="Y616" s="623"/>
      <c r="Z616" s="623"/>
      <c r="AA616" s="623"/>
      <c r="AB616" s="623"/>
      <c r="AC616" s="623"/>
      <c r="AD616" s="623"/>
      <c r="AE616" s="623"/>
      <c r="AF616" s="623"/>
      <c r="AG616" s="623"/>
      <c r="AH616" s="623"/>
      <c r="AI616" s="623"/>
      <c r="AJ616" s="623"/>
      <c r="AK616" s="623"/>
      <c r="AL616" s="623"/>
      <c r="AM616" s="623"/>
      <c r="AN616" s="623"/>
      <c r="AO616" s="623"/>
      <c r="AP616" s="623"/>
      <c r="AQ616" s="623"/>
      <c r="AR616" s="623"/>
      <c r="AS616" s="623"/>
      <c r="AT616" s="623"/>
      <c r="AU616" s="623"/>
      <c r="AV616" s="623"/>
      <c r="AW616" s="623"/>
      <c r="AX616" s="623"/>
      <c r="AY616" s="623"/>
      <c r="AZ616" s="623"/>
      <c r="BA616" s="623"/>
    </row>
    <row r="617">
      <c r="A617" s="623"/>
      <c r="B617" s="623"/>
      <c r="C617" s="623"/>
      <c r="D617" s="623"/>
      <c r="E617" s="623"/>
      <c r="F617" s="623"/>
      <c r="G617" s="623"/>
      <c r="H617" s="623"/>
      <c r="I617" s="623"/>
      <c r="J617" s="623"/>
      <c r="K617" s="623"/>
      <c r="L617" s="623"/>
      <c r="M617" s="623"/>
      <c r="N617" s="623"/>
      <c r="O617" s="623"/>
      <c r="P617" s="623"/>
      <c r="Q617" s="623"/>
      <c r="R617" s="623"/>
      <c r="S617" s="623"/>
      <c r="T617" s="623"/>
      <c r="U617" s="623"/>
      <c r="V617" s="623"/>
      <c r="W617" s="623"/>
      <c r="X617" s="623"/>
      <c r="Y617" s="623"/>
      <c r="Z617" s="623"/>
      <c r="AA617" s="623"/>
      <c r="AB617" s="623"/>
      <c r="AC617" s="623"/>
      <c r="AD617" s="623"/>
      <c r="AE617" s="623"/>
      <c r="AF617" s="623"/>
      <c r="AG617" s="623"/>
      <c r="AH617" s="623"/>
      <c r="AI617" s="623"/>
      <c r="AJ617" s="623"/>
      <c r="AK617" s="623"/>
      <c r="AL617" s="623"/>
      <c r="AM617" s="623"/>
      <c r="AN617" s="623"/>
      <c r="AO617" s="623"/>
      <c r="AP617" s="623"/>
      <c r="AQ617" s="623"/>
      <c r="AR617" s="623"/>
      <c r="AS617" s="623"/>
      <c r="AT617" s="623"/>
      <c r="AU617" s="623"/>
      <c r="AV617" s="623"/>
      <c r="AW617" s="623"/>
      <c r="AX617" s="623"/>
      <c r="AY617" s="623"/>
      <c r="AZ617" s="623"/>
      <c r="BA617" s="623"/>
    </row>
    <row r="618">
      <c r="A618" s="623"/>
      <c r="B618" s="623"/>
      <c r="C618" s="623"/>
      <c r="D618" s="623"/>
      <c r="E618" s="623"/>
      <c r="F618" s="623"/>
      <c r="G618" s="623"/>
      <c r="H618" s="623"/>
      <c r="I618" s="623"/>
      <c r="J618" s="623"/>
      <c r="K618" s="623"/>
      <c r="L618" s="623"/>
      <c r="M618" s="623"/>
      <c r="N618" s="623"/>
      <c r="O618" s="623"/>
      <c r="P618" s="623"/>
      <c r="Q618" s="623"/>
      <c r="R618" s="623"/>
      <c r="S618" s="623"/>
      <c r="T618" s="623"/>
      <c r="U618" s="623"/>
      <c r="V618" s="623"/>
      <c r="W618" s="623"/>
      <c r="X618" s="623"/>
      <c r="Y618" s="623"/>
      <c r="Z618" s="623"/>
      <c r="AA618" s="623"/>
      <c r="AB618" s="623"/>
      <c r="AC618" s="623"/>
      <c r="AD618" s="623"/>
      <c r="AE618" s="623"/>
      <c r="AF618" s="623"/>
      <c r="AG618" s="623"/>
      <c r="AH618" s="623"/>
      <c r="AI618" s="623"/>
      <c r="AJ618" s="623"/>
      <c r="AK618" s="623"/>
      <c r="AL618" s="623"/>
      <c r="AM618" s="623"/>
      <c r="AN618" s="623"/>
      <c r="AO618" s="623"/>
      <c r="AP618" s="623"/>
      <c r="AQ618" s="623"/>
      <c r="AR618" s="623"/>
      <c r="AS618" s="623"/>
      <c r="AT618" s="623"/>
      <c r="AU618" s="623"/>
      <c r="AV618" s="623"/>
      <c r="AW618" s="623"/>
      <c r="AX618" s="623"/>
      <c r="AY618" s="623"/>
      <c r="AZ618" s="623"/>
      <c r="BA618" s="623"/>
    </row>
    <row r="619">
      <c r="A619" s="623"/>
      <c r="B619" s="623"/>
      <c r="C619" s="623"/>
      <c r="D619" s="623"/>
      <c r="E619" s="623"/>
      <c r="F619" s="623"/>
      <c r="G619" s="623"/>
      <c r="H619" s="623"/>
      <c r="I619" s="623"/>
      <c r="J619" s="623"/>
      <c r="K619" s="623"/>
      <c r="L619" s="623"/>
      <c r="M619" s="623"/>
      <c r="N619" s="623"/>
      <c r="O619" s="623"/>
      <c r="P619" s="623"/>
      <c r="Q619" s="623"/>
      <c r="R619" s="623"/>
      <c r="S619" s="623"/>
      <c r="T619" s="623"/>
      <c r="U619" s="623"/>
      <c r="V619" s="623"/>
      <c r="W619" s="623"/>
      <c r="X619" s="623"/>
      <c r="Y619" s="623"/>
      <c r="Z619" s="623"/>
      <c r="AA619" s="623"/>
      <c r="AB619" s="623"/>
      <c r="AC619" s="623"/>
      <c r="AD619" s="623"/>
      <c r="AE619" s="623"/>
      <c r="AF619" s="623"/>
      <c r="AG619" s="623"/>
      <c r="AH619" s="623"/>
      <c r="AI619" s="623"/>
      <c r="AJ619" s="623"/>
      <c r="AK619" s="623"/>
      <c r="AL619" s="623"/>
      <c r="AM619" s="623"/>
      <c r="AN619" s="623"/>
      <c r="AO619" s="623"/>
      <c r="AP619" s="623"/>
      <c r="AQ619" s="623"/>
      <c r="AR619" s="623"/>
      <c r="AS619" s="623"/>
      <c r="AT619" s="623"/>
      <c r="AU619" s="623"/>
      <c r="AV619" s="623"/>
      <c r="AW619" s="623"/>
      <c r="AX619" s="623"/>
      <c r="AY619" s="623"/>
      <c r="AZ619" s="623"/>
      <c r="BA619" s="623"/>
    </row>
    <row r="620">
      <c r="A620" s="623"/>
      <c r="B620" s="623"/>
      <c r="C620" s="623"/>
      <c r="D620" s="623"/>
      <c r="E620" s="623"/>
      <c r="F620" s="623"/>
      <c r="G620" s="623"/>
      <c r="H620" s="623"/>
      <c r="I620" s="623"/>
      <c r="J620" s="623"/>
      <c r="K620" s="623"/>
      <c r="L620" s="623"/>
      <c r="M620" s="623"/>
      <c r="N620" s="623"/>
      <c r="O620" s="623"/>
      <c r="P620" s="623"/>
      <c r="Q620" s="623"/>
      <c r="R620" s="623"/>
      <c r="S620" s="623"/>
      <c r="T620" s="623"/>
      <c r="U620" s="623"/>
      <c r="V620" s="623"/>
      <c r="W620" s="623"/>
      <c r="X620" s="623"/>
      <c r="Y620" s="623"/>
      <c r="Z620" s="623"/>
      <c r="AA620" s="623"/>
      <c r="AB620" s="623"/>
      <c r="AC620" s="623"/>
      <c r="AD620" s="623"/>
      <c r="AE620" s="623"/>
      <c r="AF620" s="623"/>
      <c r="AG620" s="623"/>
      <c r="AH620" s="623"/>
      <c r="AI620" s="623"/>
      <c r="AJ620" s="623"/>
      <c r="AK620" s="623"/>
      <c r="AL620" s="623"/>
      <c r="AM620" s="623"/>
      <c r="AN620" s="623"/>
      <c r="AO620" s="623"/>
      <c r="AP620" s="623"/>
      <c r="AQ620" s="623"/>
      <c r="AR620" s="623"/>
      <c r="AS620" s="623"/>
      <c r="AT620" s="623"/>
      <c r="AU620" s="623"/>
      <c r="AV620" s="623"/>
      <c r="AW620" s="623"/>
      <c r="AX620" s="623"/>
      <c r="AY620" s="623"/>
      <c r="AZ620" s="623"/>
      <c r="BA620" s="623"/>
    </row>
    <row r="621">
      <c r="A621" s="623"/>
      <c r="B621" s="623"/>
      <c r="C621" s="623"/>
      <c r="D621" s="623"/>
      <c r="E621" s="623"/>
      <c r="F621" s="623"/>
      <c r="G621" s="623"/>
      <c r="H621" s="623"/>
      <c r="I621" s="623"/>
      <c r="J621" s="623"/>
      <c r="K621" s="623"/>
      <c r="L621" s="623"/>
      <c r="M621" s="623"/>
      <c r="N621" s="623"/>
      <c r="O621" s="623"/>
      <c r="P621" s="623"/>
      <c r="Q621" s="623"/>
      <c r="R621" s="623"/>
      <c r="S621" s="623"/>
      <c r="T621" s="623"/>
      <c r="U621" s="623"/>
      <c r="V621" s="623"/>
      <c r="W621" s="623"/>
      <c r="X621" s="623"/>
      <c r="Y621" s="623"/>
      <c r="Z621" s="623"/>
      <c r="AA621" s="623"/>
      <c r="AB621" s="623"/>
      <c r="AC621" s="623"/>
      <c r="AD621" s="623"/>
      <c r="AE621" s="623"/>
      <c r="AF621" s="623"/>
      <c r="AG621" s="623"/>
      <c r="AH621" s="623"/>
      <c r="AI621" s="623"/>
      <c r="AJ621" s="623"/>
      <c r="AK621" s="623"/>
      <c r="AL621" s="623"/>
      <c r="AM621" s="623"/>
      <c r="AN621" s="623"/>
      <c r="AO621" s="623"/>
      <c r="AP621" s="623"/>
      <c r="AQ621" s="623"/>
      <c r="AR621" s="623"/>
      <c r="AS621" s="623"/>
      <c r="AT621" s="623"/>
      <c r="AU621" s="623"/>
      <c r="AV621" s="623"/>
      <c r="AW621" s="623"/>
      <c r="AX621" s="623"/>
      <c r="AY621" s="623"/>
      <c r="AZ621" s="623"/>
      <c r="BA621" s="623"/>
    </row>
    <row r="622">
      <c r="A622" s="623"/>
      <c r="B622" s="623"/>
      <c r="C622" s="623"/>
      <c r="D622" s="623"/>
      <c r="E622" s="623"/>
      <c r="F622" s="623"/>
      <c r="G622" s="623"/>
      <c r="H622" s="623"/>
      <c r="I622" s="623"/>
      <c r="J622" s="623"/>
      <c r="K622" s="623"/>
      <c r="L622" s="623"/>
      <c r="M622" s="623"/>
      <c r="N622" s="623"/>
      <c r="O622" s="623"/>
      <c r="P622" s="623"/>
      <c r="Q622" s="623"/>
      <c r="R622" s="623"/>
      <c r="S622" s="623"/>
      <c r="T622" s="623"/>
      <c r="U622" s="623"/>
      <c r="V622" s="623"/>
      <c r="W622" s="623"/>
      <c r="X622" s="623"/>
      <c r="Y622" s="623"/>
      <c r="Z622" s="623"/>
      <c r="AA622" s="623"/>
      <c r="AB622" s="623"/>
      <c r="AC622" s="623"/>
      <c r="AD622" s="623"/>
      <c r="AE622" s="623"/>
      <c r="AF622" s="623"/>
      <c r="AG622" s="623"/>
      <c r="AH622" s="623"/>
      <c r="AI622" s="623"/>
      <c r="AJ622" s="623"/>
      <c r="AK622" s="623"/>
      <c r="AL622" s="623"/>
      <c r="AM622" s="623"/>
      <c r="AN622" s="623"/>
      <c r="AO622" s="623"/>
      <c r="AP622" s="623"/>
      <c r="AQ622" s="623"/>
      <c r="AR622" s="623"/>
      <c r="AS622" s="623"/>
      <c r="AT622" s="623"/>
      <c r="AU622" s="623"/>
      <c r="AV622" s="623"/>
      <c r="AW622" s="623"/>
      <c r="AX622" s="623"/>
      <c r="AY622" s="623"/>
      <c r="AZ622" s="623"/>
      <c r="BA622" s="623"/>
    </row>
    <row r="623">
      <c r="A623" s="623"/>
      <c r="B623" s="623"/>
      <c r="C623" s="623"/>
      <c r="D623" s="623"/>
      <c r="E623" s="623"/>
      <c r="F623" s="623"/>
      <c r="G623" s="623"/>
      <c r="H623" s="623"/>
      <c r="I623" s="623"/>
      <c r="J623" s="623"/>
      <c r="K623" s="623"/>
      <c r="L623" s="623"/>
      <c r="M623" s="623"/>
      <c r="N623" s="623"/>
      <c r="O623" s="623"/>
      <c r="P623" s="623"/>
      <c r="Q623" s="623"/>
      <c r="R623" s="623"/>
      <c r="S623" s="623"/>
      <c r="T623" s="623"/>
      <c r="U623" s="623"/>
      <c r="V623" s="623"/>
      <c r="W623" s="623"/>
      <c r="X623" s="623"/>
      <c r="Y623" s="623"/>
      <c r="Z623" s="623"/>
      <c r="AA623" s="623"/>
      <c r="AB623" s="623"/>
      <c r="AC623" s="623"/>
      <c r="AD623" s="623"/>
      <c r="AE623" s="623"/>
      <c r="AF623" s="623"/>
      <c r="AG623" s="623"/>
      <c r="AH623" s="623"/>
      <c r="AI623" s="623"/>
      <c r="AJ623" s="623"/>
      <c r="AK623" s="623"/>
      <c r="AL623" s="623"/>
      <c r="AM623" s="623"/>
      <c r="AN623" s="623"/>
      <c r="AO623" s="623"/>
      <c r="AP623" s="623"/>
      <c r="AQ623" s="623"/>
      <c r="AR623" s="623"/>
      <c r="AS623" s="623"/>
      <c r="AT623" s="623"/>
      <c r="AU623" s="623"/>
      <c r="AV623" s="623"/>
      <c r="AW623" s="623"/>
      <c r="AX623" s="623"/>
      <c r="AY623" s="623"/>
      <c r="AZ623" s="623"/>
      <c r="BA623" s="623"/>
    </row>
    <row r="624">
      <c r="A624" s="623"/>
      <c r="B624" s="623"/>
      <c r="C624" s="623"/>
      <c r="D624" s="623"/>
      <c r="E624" s="623"/>
      <c r="F624" s="623"/>
      <c r="G624" s="623"/>
      <c r="H624" s="623"/>
      <c r="I624" s="623"/>
      <c r="J624" s="623"/>
      <c r="K624" s="623"/>
      <c r="L624" s="623"/>
      <c r="M624" s="623"/>
      <c r="N624" s="623"/>
      <c r="O624" s="623"/>
      <c r="P624" s="623"/>
      <c r="Q624" s="623"/>
      <c r="R624" s="623"/>
      <c r="S624" s="623"/>
      <c r="T624" s="623"/>
      <c r="U624" s="623"/>
      <c r="V624" s="623"/>
      <c r="W624" s="623"/>
      <c r="X624" s="623"/>
      <c r="Y624" s="623"/>
      <c r="Z624" s="623"/>
      <c r="AA624" s="623"/>
      <c r="AB624" s="623"/>
      <c r="AC624" s="623"/>
      <c r="AD624" s="623"/>
      <c r="AE624" s="623"/>
      <c r="AF624" s="623"/>
      <c r="AG624" s="623"/>
      <c r="AH624" s="623"/>
      <c r="AI624" s="623"/>
      <c r="AJ624" s="623"/>
      <c r="AK624" s="623"/>
      <c r="AL624" s="623"/>
      <c r="AM624" s="623"/>
      <c r="AN624" s="623"/>
      <c r="AO624" s="623"/>
      <c r="AP624" s="623"/>
      <c r="AQ624" s="623"/>
      <c r="AR624" s="623"/>
      <c r="AS624" s="623"/>
      <c r="AT624" s="623"/>
      <c r="AU624" s="623"/>
      <c r="AV624" s="623"/>
      <c r="AW624" s="623"/>
      <c r="AX624" s="623"/>
      <c r="AY624" s="623"/>
      <c r="AZ624" s="623"/>
      <c r="BA624" s="623"/>
    </row>
    <row r="625">
      <c r="A625" s="623"/>
      <c r="B625" s="623"/>
      <c r="C625" s="623"/>
      <c r="D625" s="623"/>
      <c r="E625" s="623"/>
      <c r="F625" s="623"/>
      <c r="G625" s="623"/>
      <c r="H625" s="623"/>
      <c r="I625" s="623"/>
      <c r="J625" s="623"/>
      <c r="K625" s="623"/>
      <c r="L625" s="623"/>
      <c r="M625" s="623"/>
      <c r="N625" s="623"/>
      <c r="O625" s="623"/>
      <c r="P625" s="623"/>
      <c r="Q625" s="623"/>
      <c r="R625" s="623"/>
      <c r="S625" s="623"/>
      <c r="T625" s="623"/>
      <c r="U625" s="623"/>
      <c r="V625" s="623"/>
      <c r="W625" s="623"/>
      <c r="X625" s="623"/>
      <c r="Y625" s="623"/>
      <c r="Z625" s="623"/>
      <c r="AA625" s="623"/>
      <c r="AB625" s="623"/>
      <c r="AC625" s="623"/>
      <c r="AD625" s="623"/>
      <c r="AE625" s="623"/>
      <c r="AF625" s="623"/>
      <c r="AG625" s="623"/>
      <c r="AH625" s="623"/>
      <c r="AI625" s="623"/>
      <c r="AJ625" s="623"/>
      <c r="AK625" s="623"/>
      <c r="AL625" s="623"/>
      <c r="AM625" s="623"/>
      <c r="AN625" s="623"/>
      <c r="AO625" s="623"/>
      <c r="AP625" s="623"/>
      <c r="AQ625" s="623"/>
      <c r="AR625" s="623"/>
      <c r="AS625" s="623"/>
      <c r="AT625" s="623"/>
      <c r="AU625" s="623"/>
      <c r="AV625" s="623"/>
      <c r="AW625" s="623"/>
      <c r="AX625" s="623"/>
      <c r="AY625" s="623"/>
      <c r="AZ625" s="623"/>
      <c r="BA625" s="623"/>
    </row>
    <row r="626">
      <c r="A626" s="623"/>
      <c r="B626" s="623"/>
      <c r="C626" s="623"/>
      <c r="D626" s="623"/>
      <c r="E626" s="623"/>
      <c r="F626" s="623"/>
      <c r="G626" s="623"/>
      <c r="H626" s="623"/>
      <c r="I626" s="623"/>
      <c r="J626" s="623"/>
      <c r="K626" s="623"/>
      <c r="L626" s="623"/>
      <c r="M626" s="623"/>
      <c r="N626" s="623"/>
      <c r="O626" s="623"/>
      <c r="P626" s="623"/>
      <c r="Q626" s="623"/>
      <c r="R626" s="623"/>
      <c r="S626" s="623"/>
      <c r="T626" s="623"/>
      <c r="U626" s="623"/>
      <c r="V626" s="623"/>
      <c r="W626" s="623"/>
      <c r="X626" s="623"/>
      <c r="Y626" s="623"/>
      <c r="Z626" s="623"/>
      <c r="AA626" s="623"/>
      <c r="AB626" s="623"/>
      <c r="AC626" s="623"/>
      <c r="AD626" s="623"/>
      <c r="AE626" s="623"/>
      <c r="AF626" s="623"/>
      <c r="AG626" s="623"/>
      <c r="AH626" s="623"/>
      <c r="AI626" s="623"/>
      <c r="AJ626" s="623"/>
      <c r="AK626" s="623"/>
      <c r="AL626" s="623"/>
      <c r="AM626" s="623"/>
      <c r="AN626" s="623"/>
      <c r="AO626" s="623"/>
      <c r="AP626" s="623"/>
      <c r="AQ626" s="623"/>
      <c r="AR626" s="623"/>
      <c r="AS626" s="623"/>
      <c r="AT626" s="623"/>
      <c r="AU626" s="623"/>
      <c r="AV626" s="623"/>
      <c r="AW626" s="623"/>
      <c r="AX626" s="623"/>
      <c r="AY626" s="623"/>
      <c r="AZ626" s="623"/>
      <c r="BA626" s="623"/>
    </row>
    <row r="627">
      <c r="A627" s="623"/>
      <c r="B627" s="623"/>
      <c r="C627" s="623"/>
      <c r="D627" s="623"/>
      <c r="E627" s="623"/>
      <c r="F627" s="623"/>
      <c r="G627" s="623"/>
      <c r="H627" s="623"/>
      <c r="I627" s="623"/>
      <c r="J627" s="623"/>
      <c r="K627" s="623"/>
      <c r="L627" s="623"/>
      <c r="M627" s="623"/>
      <c r="N627" s="623"/>
      <c r="O627" s="623"/>
      <c r="P627" s="623"/>
      <c r="Q627" s="623"/>
      <c r="R627" s="623"/>
      <c r="S627" s="623"/>
      <c r="T627" s="623"/>
      <c r="U627" s="623"/>
      <c r="V627" s="623"/>
      <c r="W627" s="623"/>
      <c r="X627" s="623"/>
      <c r="Y627" s="623"/>
      <c r="Z627" s="623"/>
      <c r="AA627" s="623"/>
      <c r="AB627" s="623"/>
      <c r="AC627" s="623"/>
      <c r="AD627" s="623"/>
      <c r="AE627" s="623"/>
      <c r="AF627" s="623"/>
      <c r="AG627" s="623"/>
      <c r="AH627" s="623"/>
      <c r="AI627" s="623"/>
      <c r="AJ627" s="623"/>
      <c r="AK627" s="623"/>
      <c r="AL627" s="623"/>
      <c r="AM627" s="623"/>
      <c r="AN627" s="623"/>
      <c r="AO627" s="623"/>
      <c r="AP627" s="623"/>
      <c r="AQ627" s="623"/>
      <c r="AR627" s="623"/>
      <c r="AS627" s="623"/>
      <c r="AT627" s="623"/>
      <c r="AU627" s="623"/>
      <c r="AV627" s="623"/>
      <c r="AW627" s="623"/>
      <c r="AX627" s="623"/>
      <c r="AY627" s="623"/>
      <c r="AZ627" s="623"/>
      <c r="BA627" s="623"/>
    </row>
    <row r="628">
      <c r="A628" s="623"/>
      <c r="B628" s="623"/>
      <c r="C628" s="623"/>
      <c r="D628" s="623"/>
      <c r="E628" s="623"/>
      <c r="F628" s="623"/>
      <c r="G628" s="623"/>
      <c r="H628" s="623"/>
      <c r="I628" s="623"/>
      <c r="J628" s="623"/>
      <c r="K628" s="623"/>
      <c r="L628" s="623"/>
      <c r="M628" s="623"/>
      <c r="N628" s="623"/>
      <c r="O628" s="623"/>
      <c r="P628" s="623"/>
      <c r="Q628" s="623"/>
      <c r="R628" s="623"/>
      <c r="S628" s="623"/>
      <c r="T628" s="623"/>
      <c r="U628" s="623"/>
      <c r="V628" s="623"/>
      <c r="W628" s="623"/>
      <c r="X628" s="623"/>
      <c r="Y628" s="623"/>
      <c r="Z628" s="623"/>
      <c r="AA628" s="623"/>
      <c r="AB628" s="623"/>
      <c r="AC628" s="623"/>
      <c r="AD628" s="623"/>
      <c r="AE628" s="623"/>
      <c r="AF628" s="623"/>
      <c r="AG628" s="623"/>
      <c r="AH628" s="623"/>
      <c r="AI628" s="623"/>
      <c r="AJ628" s="623"/>
      <c r="AK628" s="623"/>
      <c r="AL628" s="623"/>
      <c r="AM628" s="623"/>
      <c r="AN628" s="623"/>
      <c r="AO628" s="623"/>
      <c r="AP628" s="623"/>
      <c r="AQ628" s="623"/>
      <c r="AR628" s="623"/>
      <c r="AS628" s="623"/>
      <c r="AT628" s="623"/>
      <c r="AU628" s="623"/>
      <c r="AV628" s="623"/>
      <c r="AW628" s="623"/>
      <c r="AX628" s="623"/>
      <c r="AY628" s="623"/>
      <c r="AZ628" s="623"/>
      <c r="BA628" s="623"/>
    </row>
    <row r="629">
      <c r="A629" s="623"/>
      <c r="B629" s="623"/>
      <c r="C629" s="623"/>
      <c r="D629" s="623"/>
      <c r="E629" s="623"/>
      <c r="F629" s="623"/>
      <c r="G629" s="623"/>
      <c r="H629" s="623"/>
      <c r="I629" s="623"/>
      <c r="J629" s="623"/>
      <c r="K629" s="623"/>
      <c r="L629" s="623"/>
      <c r="M629" s="623"/>
      <c r="N629" s="623"/>
      <c r="O629" s="623"/>
      <c r="P629" s="623"/>
      <c r="Q629" s="623"/>
      <c r="R629" s="623"/>
      <c r="S629" s="623"/>
      <c r="T629" s="623"/>
      <c r="U629" s="623"/>
      <c r="V629" s="623"/>
      <c r="W629" s="623"/>
      <c r="X629" s="623"/>
      <c r="Y629" s="623"/>
      <c r="Z629" s="623"/>
      <c r="AA629" s="623"/>
      <c r="AB629" s="623"/>
      <c r="AC629" s="623"/>
      <c r="AD629" s="623"/>
      <c r="AE629" s="623"/>
      <c r="AF629" s="623"/>
      <c r="AG629" s="623"/>
      <c r="AH629" s="623"/>
      <c r="AI629" s="623"/>
      <c r="AJ629" s="623"/>
      <c r="AK629" s="623"/>
      <c r="AL629" s="623"/>
      <c r="AM629" s="623"/>
      <c r="AN629" s="623"/>
      <c r="AO629" s="623"/>
      <c r="AP629" s="623"/>
      <c r="AQ629" s="623"/>
      <c r="AR629" s="623"/>
      <c r="AS629" s="623"/>
      <c r="AT629" s="623"/>
      <c r="AU629" s="623"/>
      <c r="AV629" s="623"/>
      <c r="AW629" s="623"/>
      <c r="AX629" s="623"/>
      <c r="AY629" s="623"/>
      <c r="AZ629" s="623"/>
      <c r="BA629" s="623"/>
    </row>
    <row r="630">
      <c r="A630" s="623"/>
      <c r="B630" s="623"/>
      <c r="C630" s="623"/>
      <c r="D630" s="623"/>
      <c r="E630" s="623"/>
      <c r="F630" s="623"/>
      <c r="G630" s="623"/>
      <c r="H630" s="623"/>
      <c r="I630" s="623"/>
      <c r="J630" s="623"/>
      <c r="K630" s="623"/>
      <c r="L630" s="623"/>
      <c r="M630" s="623"/>
      <c r="N630" s="623"/>
      <c r="O630" s="623"/>
      <c r="P630" s="623"/>
      <c r="Q630" s="623"/>
      <c r="R630" s="623"/>
      <c r="S630" s="623"/>
      <c r="T630" s="623"/>
      <c r="U630" s="623"/>
      <c r="V630" s="623"/>
      <c r="W630" s="623"/>
      <c r="X630" s="623"/>
      <c r="Y630" s="623"/>
      <c r="Z630" s="623"/>
      <c r="AA630" s="623"/>
      <c r="AB630" s="623"/>
      <c r="AC630" s="623"/>
      <c r="AD630" s="623"/>
      <c r="AE630" s="623"/>
      <c r="AF630" s="623"/>
      <c r="AG630" s="623"/>
      <c r="AH630" s="623"/>
      <c r="AI630" s="623"/>
      <c r="AJ630" s="623"/>
      <c r="AK630" s="623"/>
      <c r="AL630" s="623"/>
      <c r="AM630" s="623"/>
      <c r="AN630" s="623"/>
      <c r="AO630" s="623"/>
      <c r="AP630" s="623"/>
      <c r="AQ630" s="623"/>
      <c r="AR630" s="623"/>
      <c r="AS630" s="623"/>
      <c r="AT630" s="623"/>
      <c r="AU630" s="623"/>
      <c r="AV630" s="623"/>
      <c r="AW630" s="623"/>
      <c r="AX630" s="623"/>
      <c r="AY630" s="623"/>
      <c r="AZ630" s="623"/>
      <c r="BA630" s="623"/>
    </row>
    <row r="631">
      <c r="A631" s="623"/>
      <c r="B631" s="623"/>
      <c r="C631" s="623"/>
      <c r="D631" s="623"/>
      <c r="E631" s="623"/>
      <c r="F631" s="623"/>
      <c r="G631" s="623"/>
      <c r="H631" s="623"/>
      <c r="I631" s="623"/>
      <c r="J631" s="623"/>
      <c r="K631" s="623"/>
      <c r="L631" s="623"/>
      <c r="M631" s="623"/>
      <c r="N631" s="623"/>
      <c r="O631" s="623"/>
      <c r="P631" s="623"/>
      <c r="Q631" s="623"/>
      <c r="R631" s="623"/>
      <c r="S631" s="623"/>
      <c r="T631" s="623"/>
      <c r="U631" s="623"/>
      <c r="V631" s="623"/>
      <c r="W631" s="623"/>
      <c r="X631" s="623"/>
      <c r="Y631" s="623"/>
      <c r="Z631" s="623"/>
      <c r="AA631" s="623"/>
      <c r="AB631" s="623"/>
      <c r="AC631" s="623"/>
      <c r="AD631" s="623"/>
      <c r="AE631" s="623"/>
      <c r="AF631" s="623"/>
      <c r="AG631" s="623"/>
      <c r="AH631" s="623"/>
      <c r="AI631" s="623"/>
      <c r="AJ631" s="623"/>
      <c r="AK631" s="623"/>
      <c r="AL631" s="623"/>
      <c r="AM631" s="623"/>
      <c r="AN631" s="623"/>
      <c r="AO631" s="623"/>
      <c r="AP631" s="623"/>
      <c r="AQ631" s="623"/>
      <c r="AR631" s="623"/>
      <c r="AS631" s="623"/>
      <c r="AT631" s="623"/>
      <c r="AU631" s="623"/>
      <c r="AV631" s="623"/>
      <c r="AW631" s="623"/>
      <c r="AX631" s="623"/>
      <c r="AY631" s="623"/>
      <c r="AZ631" s="623"/>
      <c r="BA631" s="623"/>
    </row>
    <row r="632">
      <c r="A632" s="623"/>
      <c r="B632" s="623"/>
      <c r="C632" s="623"/>
      <c r="D632" s="623"/>
      <c r="E632" s="623"/>
      <c r="F632" s="623"/>
      <c r="G632" s="623"/>
      <c r="H632" s="623"/>
      <c r="I632" s="623"/>
      <c r="J632" s="623"/>
      <c r="K632" s="623"/>
      <c r="L632" s="623"/>
      <c r="M632" s="623"/>
      <c r="N632" s="623"/>
      <c r="O632" s="623"/>
      <c r="P632" s="623"/>
      <c r="Q632" s="623"/>
      <c r="R632" s="623"/>
      <c r="S632" s="623"/>
      <c r="T632" s="623"/>
      <c r="U632" s="623"/>
      <c r="V632" s="623"/>
      <c r="W632" s="623"/>
      <c r="X632" s="623"/>
      <c r="Y632" s="623"/>
      <c r="Z632" s="623"/>
      <c r="AA632" s="623"/>
      <c r="AB632" s="623"/>
      <c r="AC632" s="623"/>
      <c r="AD632" s="623"/>
      <c r="AE632" s="623"/>
      <c r="AF632" s="623"/>
      <c r="AG632" s="623"/>
      <c r="AH632" s="623"/>
      <c r="AI632" s="623"/>
      <c r="AJ632" s="623"/>
      <c r="AK632" s="623"/>
      <c r="AL632" s="623"/>
      <c r="AM632" s="623"/>
      <c r="AN632" s="623"/>
      <c r="AO632" s="623"/>
      <c r="AP632" s="623"/>
      <c r="AQ632" s="623"/>
      <c r="AR632" s="623"/>
      <c r="AS632" s="623"/>
      <c r="AT632" s="623"/>
      <c r="AU632" s="623"/>
      <c r="AV632" s="623"/>
      <c r="AW632" s="623"/>
      <c r="AX632" s="623"/>
      <c r="AY632" s="623"/>
      <c r="AZ632" s="623"/>
      <c r="BA632" s="623"/>
    </row>
    <row r="633">
      <c r="A633" s="623"/>
      <c r="B633" s="623"/>
      <c r="C633" s="623"/>
      <c r="D633" s="623"/>
      <c r="E633" s="623"/>
      <c r="F633" s="623"/>
      <c r="G633" s="623"/>
      <c r="H633" s="623"/>
      <c r="I633" s="623"/>
      <c r="J633" s="623"/>
      <c r="K633" s="623"/>
      <c r="L633" s="623"/>
      <c r="M633" s="623"/>
      <c r="N633" s="623"/>
      <c r="O633" s="623"/>
      <c r="P633" s="623"/>
      <c r="Q633" s="623"/>
      <c r="R633" s="623"/>
      <c r="S633" s="623"/>
      <c r="T633" s="623"/>
      <c r="U633" s="623"/>
      <c r="V633" s="623"/>
      <c r="W633" s="623"/>
      <c r="X633" s="623"/>
      <c r="Y633" s="623"/>
      <c r="Z633" s="623"/>
      <c r="AA633" s="623"/>
      <c r="AB633" s="623"/>
      <c r="AC633" s="623"/>
      <c r="AD633" s="623"/>
      <c r="AE633" s="623"/>
      <c r="AF633" s="623"/>
      <c r="AG633" s="623"/>
      <c r="AH633" s="623"/>
      <c r="AI633" s="623"/>
      <c r="AJ633" s="623"/>
      <c r="AK633" s="623"/>
      <c r="AL633" s="623"/>
      <c r="AM633" s="623"/>
      <c r="AN633" s="623"/>
      <c r="AO633" s="623"/>
      <c r="AP633" s="623"/>
      <c r="AQ633" s="623"/>
      <c r="AR633" s="623"/>
      <c r="AS633" s="623"/>
      <c r="AT633" s="623"/>
      <c r="AU633" s="623"/>
      <c r="AV633" s="623"/>
      <c r="AW633" s="623"/>
      <c r="AX633" s="623"/>
      <c r="AY633" s="623"/>
      <c r="AZ633" s="623"/>
      <c r="BA633" s="623"/>
    </row>
    <row r="634">
      <c r="A634" s="623"/>
      <c r="B634" s="623"/>
      <c r="C634" s="623"/>
      <c r="D634" s="623"/>
      <c r="E634" s="623"/>
      <c r="F634" s="623"/>
      <c r="G634" s="623"/>
      <c r="H634" s="623"/>
      <c r="I634" s="623"/>
      <c r="J634" s="623"/>
      <c r="K634" s="623"/>
      <c r="L634" s="623"/>
      <c r="M634" s="623"/>
      <c r="N634" s="623"/>
      <c r="O634" s="623"/>
      <c r="P634" s="623"/>
      <c r="Q634" s="623"/>
      <c r="R634" s="623"/>
      <c r="S634" s="623"/>
      <c r="T634" s="623"/>
      <c r="U634" s="623"/>
      <c r="V634" s="623"/>
      <c r="W634" s="623"/>
      <c r="X634" s="623"/>
      <c r="Y634" s="623"/>
      <c r="Z634" s="623"/>
      <c r="AA634" s="623"/>
      <c r="AB634" s="623"/>
      <c r="AC634" s="623"/>
      <c r="AD634" s="623"/>
      <c r="AE634" s="623"/>
      <c r="AF634" s="623"/>
      <c r="AG634" s="623"/>
      <c r="AH634" s="623"/>
      <c r="AI634" s="623"/>
      <c r="AJ634" s="623"/>
      <c r="AK634" s="623"/>
      <c r="AL634" s="623"/>
      <c r="AM634" s="623"/>
      <c r="AN634" s="623"/>
      <c r="AO634" s="623"/>
      <c r="AP634" s="623"/>
      <c r="AQ634" s="623"/>
      <c r="AR634" s="623"/>
      <c r="AS634" s="623"/>
      <c r="AT634" s="623"/>
      <c r="AU634" s="623"/>
      <c r="AV634" s="623"/>
      <c r="AW634" s="623"/>
      <c r="AX634" s="623"/>
      <c r="AY634" s="623"/>
      <c r="AZ634" s="623"/>
      <c r="BA634" s="623"/>
    </row>
    <row r="635">
      <c r="A635" s="623"/>
      <c r="B635" s="623"/>
      <c r="C635" s="623"/>
      <c r="D635" s="623"/>
      <c r="E635" s="623"/>
      <c r="F635" s="623"/>
      <c r="G635" s="623"/>
      <c r="H635" s="623"/>
      <c r="I635" s="623"/>
      <c r="J635" s="623"/>
      <c r="K635" s="623"/>
      <c r="L635" s="623"/>
      <c r="M635" s="623"/>
      <c r="N635" s="623"/>
      <c r="O635" s="623"/>
      <c r="P635" s="623"/>
      <c r="Q635" s="623"/>
      <c r="R635" s="623"/>
      <c r="S635" s="623"/>
      <c r="T635" s="623"/>
      <c r="U635" s="623"/>
      <c r="V635" s="623"/>
      <c r="W635" s="623"/>
      <c r="X635" s="623"/>
      <c r="Y635" s="623"/>
      <c r="Z635" s="623"/>
      <c r="AA635" s="623"/>
      <c r="AB635" s="623"/>
      <c r="AC635" s="623"/>
      <c r="AD635" s="623"/>
      <c r="AE635" s="623"/>
      <c r="AF635" s="623"/>
      <c r="AG635" s="623"/>
      <c r="AH635" s="623"/>
      <c r="AI635" s="623"/>
      <c r="AJ635" s="623"/>
      <c r="AK635" s="623"/>
      <c r="AL635" s="623"/>
      <c r="AM635" s="623"/>
      <c r="AN635" s="623"/>
      <c r="AO635" s="623"/>
      <c r="AP635" s="623"/>
      <c r="AQ635" s="623"/>
      <c r="AR635" s="623"/>
      <c r="AS635" s="623"/>
      <c r="AT635" s="623"/>
      <c r="AU635" s="623"/>
      <c r="AV635" s="623"/>
      <c r="AW635" s="623"/>
      <c r="AX635" s="623"/>
      <c r="AY635" s="623"/>
      <c r="AZ635" s="623"/>
      <c r="BA635" s="623"/>
    </row>
    <row r="636">
      <c r="A636" s="623"/>
      <c r="B636" s="623"/>
      <c r="C636" s="623"/>
      <c r="D636" s="623"/>
      <c r="E636" s="623"/>
      <c r="F636" s="623"/>
      <c r="G636" s="623"/>
      <c r="H636" s="623"/>
      <c r="I636" s="623"/>
      <c r="J636" s="623"/>
      <c r="K636" s="623"/>
      <c r="L636" s="623"/>
      <c r="M636" s="623"/>
      <c r="N636" s="623"/>
      <c r="O636" s="623"/>
      <c r="P636" s="623"/>
      <c r="Q636" s="623"/>
      <c r="R636" s="623"/>
      <c r="S636" s="623"/>
      <c r="T636" s="623"/>
      <c r="U636" s="623"/>
      <c r="V636" s="623"/>
      <c r="W636" s="623"/>
      <c r="X636" s="623"/>
      <c r="Y636" s="623"/>
      <c r="Z636" s="623"/>
      <c r="AA636" s="623"/>
      <c r="AB636" s="623"/>
      <c r="AC636" s="623"/>
      <c r="AD636" s="623"/>
      <c r="AE636" s="623"/>
      <c r="AF636" s="623"/>
      <c r="AG636" s="623"/>
      <c r="AH636" s="623"/>
      <c r="AI636" s="623"/>
      <c r="AJ636" s="623"/>
      <c r="AK636" s="623"/>
      <c r="AL636" s="623"/>
      <c r="AM636" s="623"/>
      <c r="AN636" s="623"/>
      <c r="AO636" s="623"/>
      <c r="AP636" s="623"/>
      <c r="AQ636" s="623"/>
      <c r="AR636" s="623"/>
      <c r="AS636" s="623"/>
      <c r="AT636" s="623"/>
      <c r="AU636" s="623"/>
      <c r="AV636" s="623"/>
      <c r="AW636" s="623"/>
      <c r="AX636" s="623"/>
      <c r="AY636" s="623"/>
      <c r="AZ636" s="623"/>
      <c r="BA636" s="623"/>
    </row>
    <row r="637">
      <c r="A637" s="623"/>
      <c r="B637" s="623"/>
      <c r="C637" s="623"/>
      <c r="D637" s="623"/>
      <c r="E637" s="623"/>
      <c r="F637" s="623"/>
      <c r="G637" s="623"/>
      <c r="H637" s="623"/>
      <c r="I637" s="623"/>
      <c r="J637" s="623"/>
      <c r="K637" s="623"/>
      <c r="L637" s="623"/>
      <c r="M637" s="623"/>
      <c r="N637" s="623"/>
      <c r="O637" s="623"/>
      <c r="P637" s="623"/>
      <c r="Q637" s="623"/>
      <c r="R637" s="623"/>
      <c r="S637" s="623"/>
      <c r="T637" s="623"/>
      <c r="U637" s="623"/>
      <c r="V637" s="623"/>
      <c r="W637" s="623"/>
      <c r="X637" s="623"/>
      <c r="Y637" s="623"/>
      <c r="Z637" s="623"/>
      <c r="AA637" s="623"/>
      <c r="AB637" s="623"/>
      <c r="AC637" s="623"/>
      <c r="AD637" s="623"/>
      <c r="AE637" s="623"/>
      <c r="AF637" s="623"/>
      <c r="AG637" s="623"/>
      <c r="AH637" s="623"/>
      <c r="AI637" s="623"/>
      <c r="AJ637" s="623"/>
      <c r="AK637" s="623"/>
      <c r="AL637" s="623"/>
      <c r="AM637" s="623"/>
      <c r="AN637" s="623"/>
      <c r="AO637" s="623"/>
      <c r="AP637" s="623"/>
      <c r="AQ637" s="623"/>
      <c r="AR637" s="623"/>
      <c r="AS637" s="623"/>
      <c r="AT637" s="623"/>
      <c r="AU637" s="623"/>
      <c r="AV637" s="623"/>
      <c r="AW637" s="623"/>
      <c r="AX637" s="623"/>
      <c r="AY637" s="623"/>
      <c r="AZ637" s="623"/>
      <c r="BA637" s="623"/>
    </row>
    <row r="638">
      <c r="A638" s="623"/>
      <c r="B638" s="623"/>
      <c r="C638" s="623"/>
      <c r="D638" s="623"/>
      <c r="E638" s="623"/>
      <c r="F638" s="623"/>
      <c r="G638" s="623"/>
      <c r="H638" s="623"/>
      <c r="I638" s="623"/>
      <c r="J638" s="623"/>
      <c r="K638" s="623"/>
      <c r="L638" s="623"/>
      <c r="M638" s="623"/>
      <c r="N638" s="623"/>
      <c r="O638" s="623"/>
      <c r="P638" s="623"/>
      <c r="Q638" s="623"/>
      <c r="R638" s="623"/>
      <c r="S638" s="623"/>
      <c r="T638" s="623"/>
      <c r="U638" s="623"/>
      <c r="V638" s="623"/>
      <c r="W638" s="623"/>
      <c r="X638" s="623"/>
      <c r="Y638" s="623"/>
      <c r="Z638" s="623"/>
      <c r="AA638" s="623"/>
      <c r="AB638" s="623"/>
      <c r="AC638" s="623"/>
      <c r="AD638" s="623"/>
      <c r="AE638" s="623"/>
      <c r="AF638" s="623"/>
      <c r="AG638" s="623"/>
      <c r="AH638" s="623"/>
      <c r="AI638" s="623"/>
      <c r="AJ638" s="623"/>
      <c r="AK638" s="623"/>
      <c r="AL638" s="623"/>
      <c r="AM638" s="623"/>
      <c r="AN638" s="623"/>
      <c r="AO638" s="623"/>
      <c r="AP638" s="623"/>
      <c r="AQ638" s="623"/>
      <c r="AR638" s="623"/>
      <c r="AS638" s="623"/>
      <c r="AT638" s="623"/>
      <c r="AU638" s="623"/>
      <c r="AV638" s="623"/>
      <c r="AW638" s="623"/>
      <c r="AX638" s="623"/>
      <c r="AY638" s="623"/>
      <c r="AZ638" s="623"/>
      <c r="BA638" s="623"/>
    </row>
    <row r="639">
      <c r="A639" s="623"/>
      <c r="B639" s="623"/>
      <c r="C639" s="623"/>
      <c r="D639" s="623"/>
      <c r="E639" s="623"/>
      <c r="F639" s="623"/>
      <c r="G639" s="623"/>
      <c r="H639" s="623"/>
      <c r="I639" s="623"/>
      <c r="J639" s="623"/>
      <c r="K639" s="623"/>
      <c r="L639" s="623"/>
      <c r="M639" s="623"/>
      <c r="N639" s="623"/>
      <c r="O639" s="623"/>
      <c r="P639" s="623"/>
      <c r="Q639" s="623"/>
      <c r="R639" s="623"/>
      <c r="S639" s="623"/>
      <c r="T639" s="623"/>
      <c r="U639" s="623"/>
      <c r="V639" s="623"/>
      <c r="W639" s="623"/>
      <c r="X639" s="623"/>
      <c r="Y639" s="623"/>
      <c r="Z639" s="623"/>
      <c r="AA639" s="623"/>
      <c r="AB639" s="623"/>
      <c r="AC639" s="623"/>
      <c r="AD639" s="623"/>
      <c r="AE639" s="623"/>
      <c r="AF639" s="623"/>
      <c r="AG639" s="623"/>
      <c r="AH639" s="623"/>
      <c r="AI639" s="623"/>
      <c r="AJ639" s="623"/>
      <c r="AK639" s="623"/>
      <c r="AL639" s="623"/>
      <c r="AM639" s="623"/>
      <c r="AN639" s="623"/>
      <c r="AO639" s="623"/>
      <c r="AP639" s="623"/>
      <c r="AQ639" s="623"/>
      <c r="AR639" s="623"/>
      <c r="AS639" s="623"/>
      <c r="AT639" s="623"/>
      <c r="AU639" s="623"/>
      <c r="AV639" s="623"/>
      <c r="AW639" s="623"/>
      <c r="AX639" s="623"/>
      <c r="AY639" s="623"/>
      <c r="AZ639" s="623"/>
      <c r="BA639" s="623"/>
    </row>
    <row r="640">
      <c r="A640" s="623"/>
      <c r="B640" s="623"/>
      <c r="C640" s="623"/>
      <c r="D640" s="623"/>
      <c r="E640" s="623"/>
      <c r="F640" s="623"/>
      <c r="G640" s="623"/>
      <c r="H640" s="623"/>
      <c r="I640" s="623"/>
      <c r="J640" s="623"/>
      <c r="K640" s="623"/>
      <c r="L640" s="623"/>
      <c r="M640" s="623"/>
      <c r="N640" s="623"/>
      <c r="O640" s="623"/>
      <c r="P640" s="623"/>
      <c r="Q640" s="623"/>
      <c r="R640" s="623"/>
      <c r="S640" s="623"/>
      <c r="T640" s="623"/>
      <c r="U640" s="623"/>
      <c r="V640" s="623"/>
      <c r="W640" s="623"/>
      <c r="X640" s="623"/>
      <c r="Y640" s="623"/>
      <c r="Z640" s="623"/>
      <c r="AA640" s="623"/>
      <c r="AB640" s="623"/>
      <c r="AC640" s="623"/>
      <c r="AD640" s="623"/>
      <c r="AE640" s="623"/>
      <c r="AF640" s="623"/>
      <c r="AG640" s="623"/>
      <c r="AH640" s="623"/>
      <c r="AI640" s="623"/>
      <c r="AJ640" s="623"/>
      <c r="AK640" s="623"/>
      <c r="AL640" s="623"/>
      <c r="AM640" s="623"/>
      <c r="AN640" s="623"/>
      <c r="AO640" s="623"/>
      <c r="AP640" s="623"/>
      <c r="AQ640" s="623"/>
      <c r="AR640" s="623"/>
      <c r="AS640" s="623"/>
      <c r="AT640" s="623"/>
      <c r="AU640" s="623"/>
      <c r="AV640" s="623"/>
      <c r="AW640" s="623"/>
      <c r="AX640" s="623"/>
      <c r="AY640" s="623"/>
      <c r="AZ640" s="623"/>
      <c r="BA640" s="623"/>
    </row>
    <row r="641">
      <c r="A641" s="623"/>
      <c r="B641" s="623"/>
      <c r="C641" s="623"/>
      <c r="D641" s="623"/>
      <c r="E641" s="623"/>
      <c r="F641" s="623"/>
      <c r="G641" s="623"/>
      <c r="H641" s="623"/>
      <c r="I641" s="623"/>
      <c r="J641" s="623"/>
      <c r="K641" s="623"/>
      <c r="L641" s="623"/>
      <c r="M641" s="623"/>
      <c r="N641" s="623"/>
      <c r="O641" s="623"/>
      <c r="P641" s="623"/>
      <c r="Q641" s="623"/>
      <c r="R641" s="623"/>
      <c r="S641" s="623"/>
      <c r="T641" s="623"/>
      <c r="U641" s="623"/>
      <c r="V641" s="623"/>
      <c r="W641" s="623"/>
      <c r="X641" s="623"/>
      <c r="Y641" s="623"/>
      <c r="Z641" s="623"/>
      <c r="AA641" s="623"/>
      <c r="AB641" s="623"/>
      <c r="AC641" s="623"/>
      <c r="AD641" s="623"/>
      <c r="AE641" s="623"/>
      <c r="AF641" s="623"/>
      <c r="AG641" s="623"/>
      <c r="AH641" s="623"/>
      <c r="AI641" s="623"/>
      <c r="AJ641" s="623"/>
      <c r="AK641" s="623"/>
      <c r="AL641" s="623"/>
      <c r="AM641" s="623"/>
      <c r="AN641" s="623"/>
      <c r="AO641" s="623"/>
      <c r="AP641" s="623"/>
      <c r="AQ641" s="623"/>
      <c r="AR641" s="623"/>
      <c r="AS641" s="623"/>
      <c r="AT641" s="623"/>
      <c r="AU641" s="623"/>
      <c r="AV641" s="623"/>
      <c r="AW641" s="623"/>
      <c r="AX641" s="623"/>
      <c r="AY641" s="623"/>
      <c r="AZ641" s="623"/>
      <c r="BA641" s="623"/>
    </row>
    <row r="642">
      <c r="A642" s="623"/>
      <c r="B642" s="623"/>
      <c r="C642" s="623"/>
      <c r="D642" s="623"/>
      <c r="E642" s="623"/>
      <c r="F642" s="623"/>
      <c r="G642" s="623"/>
      <c r="H642" s="623"/>
      <c r="I642" s="623"/>
      <c r="J642" s="623"/>
      <c r="K642" s="623"/>
      <c r="L642" s="623"/>
      <c r="M642" s="623"/>
      <c r="N642" s="623"/>
      <c r="O642" s="623"/>
      <c r="P642" s="623"/>
      <c r="Q642" s="623"/>
      <c r="R642" s="623"/>
      <c r="S642" s="623"/>
      <c r="T642" s="623"/>
      <c r="U642" s="623"/>
      <c r="V642" s="623"/>
      <c r="W642" s="623"/>
      <c r="X642" s="623"/>
      <c r="Y642" s="623"/>
      <c r="Z642" s="623"/>
      <c r="AA642" s="623"/>
      <c r="AB642" s="623"/>
      <c r="AC642" s="623"/>
      <c r="AD642" s="623"/>
      <c r="AE642" s="623"/>
      <c r="AF642" s="623"/>
      <c r="AG642" s="623"/>
      <c r="AH642" s="623"/>
      <c r="AI642" s="623"/>
      <c r="AJ642" s="623"/>
      <c r="AK642" s="623"/>
      <c r="AL642" s="623"/>
      <c r="AM642" s="623"/>
      <c r="AN642" s="623"/>
      <c r="AO642" s="623"/>
      <c r="AP642" s="623"/>
      <c r="AQ642" s="623"/>
      <c r="AR642" s="623"/>
      <c r="AS642" s="623"/>
      <c r="AT642" s="623"/>
      <c r="AU642" s="623"/>
      <c r="AV642" s="623"/>
      <c r="AW642" s="623"/>
      <c r="AX642" s="623"/>
      <c r="AY642" s="623"/>
      <c r="AZ642" s="623"/>
      <c r="BA642" s="623"/>
    </row>
    <row r="643">
      <c r="A643" s="623"/>
      <c r="B643" s="623"/>
      <c r="C643" s="623"/>
      <c r="D643" s="623"/>
      <c r="E643" s="623"/>
      <c r="F643" s="623"/>
      <c r="G643" s="623"/>
      <c r="H643" s="623"/>
      <c r="I643" s="623"/>
      <c r="J643" s="623"/>
      <c r="K643" s="623"/>
      <c r="L643" s="623"/>
      <c r="M643" s="623"/>
      <c r="N643" s="623"/>
      <c r="O643" s="623"/>
      <c r="P643" s="623"/>
      <c r="Q643" s="623"/>
      <c r="R643" s="623"/>
      <c r="S643" s="623"/>
      <c r="T643" s="623"/>
      <c r="U643" s="623"/>
      <c r="V643" s="623"/>
      <c r="W643" s="623"/>
      <c r="X643" s="623"/>
      <c r="Y643" s="623"/>
      <c r="Z643" s="623"/>
      <c r="AA643" s="623"/>
      <c r="AB643" s="623"/>
      <c r="AC643" s="623"/>
      <c r="AD643" s="623"/>
      <c r="AE643" s="623"/>
      <c r="AF643" s="623"/>
      <c r="AG643" s="623"/>
      <c r="AH643" s="623"/>
      <c r="AI643" s="623"/>
      <c r="AJ643" s="623"/>
      <c r="AK643" s="623"/>
      <c r="AL643" s="623"/>
      <c r="AM643" s="623"/>
      <c r="AN643" s="623"/>
      <c r="AO643" s="623"/>
      <c r="AP643" s="623"/>
      <c r="AQ643" s="623"/>
      <c r="AR643" s="623"/>
      <c r="AS643" s="623"/>
      <c r="AT643" s="623"/>
      <c r="AU643" s="623"/>
      <c r="AV643" s="623"/>
      <c r="AW643" s="623"/>
      <c r="AX643" s="623"/>
      <c r="AY643" s="623"/>
      <c r="AZ643" s="623"/>
      <c r="BA643" s="623"/>
    </row>
    <row r="644">
      <c r="A644" s="623"/>
      <c r="B644" s="623"/>
      <c r="C644" s="623"/>
      <c r="D644" s="623"/>
      <c r="E644" s="623"/>
      <c r="F644" s="623"/>
      <c r="G644" s="623"/>
      <c r="H644" s="623"/>
      <c r="I644" s="623"/>
      <c r="J644" s="623"/>
      <c r="K644" s="623"/>
      <c r="L644" s="623"/>
      <c r="M644" s="623"/>
      <c r="N644" s="623"/>
      <c r="O644" s="623"/>
      <c r="P644" s="623"/>
      <c r="Q644" s="623"/>
      <c r="R644" s="623"/>
      <c r="S644" s="623"/>
      <c r="T644" s="623"/>
      <c r="U644" s="623"/>
      <c r="V644" s="623"/>
      <c r="W644" s="623"/>
      <c r="X644" s="623"/>
      <c r="Y644" s="623"/>
      <c r="Z644" s="623"/>
      <c r="AA644" s="623"/>
      <c r="AB644" s="623"/>
      <c r="AC644" s="623"/>
      <c r="AD644" s="623"/>
      <c r="AE644" s="623"/>
      <c r="AF644" s="623"/>
      <c r="AG644" s="623"/>
      <c r="AH644" s="623"/>
      <c r="AI644" s="623"/>
      <c r="AJ644" s="623"/>
      <c r="AK644" s="623"/>
      <c r="AL644" s="623"/>
      <c r="AM644" s="623"/>
      <c r="AN644" s="623"/>
      <c r="AO644" s="623"/>
      <c r="AP644" s="623"/>
      <c r="AQ644" s="623"/>
      <c r="AR644" s="623"/>
      <c r="AS644" s="623"/>
      <c r="AT644" s="623"/>
      <c r="AU644" s="623"/>
      <c r="AV644" s="623"/>
      <c r="AW644" s="623"/>
      <c r="AX644" s="623"/>
      <c r="AY644" s="623"/>
      <c r="AZ644" s="623"/>
      <c r="BA644" s="623"/>
    </row>
    <row r="645">
      <c r="A645" s="623"/>
      <c r="B645" s="623"/>
      <c r="C645" s="623"/>
      <c r="D645" s="623"/>
      <c r="E645" s="623"/>
      <c r="F645" s="623"/>
      <c r="G645" s="623"/>
      <c r="H645" s="623"/>
      <c r="I645" s="623"/>
      <c r="J645" s="623"/>
      <c r="K645" s="623"/>
      <c r="L645" s="623"/>
      <c r="M645" s="623"/>
      <c r="N645" s="623"/>
      <c r="O645" s="623"/>
      <c r="P645" s="623"/>
      <c r="Q645" s="623"/>
      <c r="R645" s="623"/>
      <c r="S645" s="623"/>
      <c r="T645" s="623"/>
      <c r="U645" s="623"/>
      <c r="V645" s="623"/>
      <c r="W645" s="623"/>
      <c r="X645" s="623"/>
      <c r="Y645" s="623"/>
      <c r="Z645" s="623"/>
      <c r="AA645" s="623"/>
      <c r="AB645" s="623"/>
      <c r="AC645" s="623"/>
      <c r="AD645" s="623"/>
      <c r="AE645" s="623"/>
      <c r="AF645" s="623"/>
      <c r="AG645" s="623"/>
      <c r="AH645" s="623"/>
      <c r="AI645" s="623"/>
      <c r="AJ645" s="623"/>
      <c r="AK645" s="623"/>
      <c r="AL645" s="623"/>
      <c r="AM645" s="623"/>
      <c r="AN645" s="623"/>
      <c r="AO645" s="623"/>
      <c r="AP645" s="623"/>
      <c r="AQ645" s="623"/>
      <c r="AR645" s="623"/>
      <c r="AS645" s="623"/>
      <c r="AT645" s="623"/>
      <c r="AU645" s="623"/>
      <c r="AV645" s="623"/>
      <c r="AW645" s="623"/>
      <c r="AX645" s="623"/>
      <c r="AY645" s="623"/>
      <c r="AZ645" s="623"/>
      <c r="BA645" s="623"/>
    </row>
    <row r="646">
      <c r="A646" s="623"/>
      <c r="B646" s="623"/>
      <c r="C646" s="623"/>
      <c r="D646" s="623"/>
      <c r="E646" s="623"/>
      <c r="F646" s="623"/>
      <c r="G646" s="623"/>
      <c r="H646" s="623"/>
      <c r="I646" s="623"/>
      <c r="J646" s="623"/>
      <c r="K646" s="623"/>
      <c r="L646" s="623"/>
      <c r="M646" s="623"/>
      <c r="N646" s="623"/>
      <c r="O646" s="623"/>
      <c r="P646" s="623"/>
      <c r="Q646" s="623"/>
      <c r="R646" s="623"/>
      <c r="S646" s="623"/>
      <c r="T646" s="623"/>
      <c r="U646" s="623"/>
      <c r="V646" s="623"/>
      <c r="W646" s="623"/>
      <c r="X646" s="623"/>
      <c r="Y646" s="623"/>
      <c r="Z646" s="623"/>
      <c r="AA646" s="623"/>
      <c r="AB646" s="623"/>
      <c r="AC646" s="623"/>
      <c r="AD646" s="623"/>
      <c r="AE646" s="623"/>
      <c r="AF646" s="623"/>
      <c r="AG646" s="623"/>
      <c r="AH646" s="623"/>
      <c r="AI646" s="623"/>
      <c r="AJ646" s="623"/>
      <c r="AK646" s="623"/>
      <c r="AL646" s="623"/>
      <c r="AM646" s="623"/>
      <c r="AN646" s="623"/>
      <c r="AO646" s="623"/>
      <c r="AP646" s="623"/>
      <c r="AQ646" s="623"/>
      <c r="AR646" s="623"/>
      <c r="AS646" s="623"/>
      <c r="AT646" s="623"/>
      <c r="AU646" s="623"/>
      <c r="AV646" s="623"/>
      <c r="AW646" s="623"/>
      <c r="AX646" s="623"/>
      <c r="AY646" s="623"/>
      <c r="AZ646" s="623"/>
      <c r="BA646" s="623"/>
    </row>
    <row r="647">
      <c r="A647" s="623"/>
      <c r="B647" s="623"/>
      <c r="C647" s="623"/>
      <c r="D647" s="623"/>
      <c r="E647" s="623"/>
      <c r="F647" s="623"/>
      <c r="G647" s="623"/>
      <c r="H647" s="623"/>
      <c r="I647" s="623"/>
      <c r="J647" s="623"/>
      <c r="K647" s="623"/>
      <c r="L647" s="623"/>
      <c r="M647" s="623"/>
      <c r="N647" s="623"/>
      <c r="O647" s="623"/>
      <c r="P647" s="623"/>
      <c r="Q647" s="623"/>
      <c r="R647" s="623"/>
      <c r="S647" s="623"/>
      <c r="T647" s="623"/>
      <c r="U647" s="623"/>
      <c r="V647" s="623"/>
      <c r="W647" s="623"/>
      <c r="X647" s="623"/>
      <c r="Y647" s="623"/>
      <c r="Z647" s="623"/>
      <c r="AA647" s="623"/>
      <c r="AB647" s="623"/>
      <c r="AC647" s="623"/>
      <c r="AD647" s="623"/>
      <c r="AE647" s="623"/>
      <c r="AF647" s="623"/>
      <c r="AG647" s="623"/>
      <c r="AH647" s="623"/>
      <c r="AI647" s="623"/>
      <c r="AJ647" s="623"/>
      <c r="AK647" s="623"/>
      <c r="AL647" s="623"/>
      <c r="AM647" s="623"/>
      <c r="AN647" s="623"/>
      <c r="AO647" s="623"/>
      <c r="AP647" s="623"/>
      <c r="AQ647" s="623"/>
      <c r="AR647" s="623"/>
      <c r="AS647" s="623"/>
      <c r="AT647" s="623"/>
      <c r="AU647" s="623"/>
      <c r="AV647" s="623"/>
      <c r="AW647" s="623"/>
      <c r="AX647" s="623"/>
      <c r="AY647" s="623"/>
      <c r="AZ647" s="623"/>
      <c r="BA647" s="623"/>
    </row>
    <row r="648">
      <c r="A648" s="623"/>
      <c r="B648" s="623"/>
      <c r="C648" s="623"/>
      <c r="D648" s="623"/>
      <c r="E648" s="623"/>
      <c r="F648" s="623"/>
      <c r="G648" s="623"/>
      <c r="H648" s="623"/>
      <c r="I648" s="623"/>
      <c r="J648" s="623"/>
      <c r="K648" s="623"/>
      <c r="L648" s="623"/>
      <c r="M648" s="623"/>
      <c r="N648" s="623"/>
      <c r="O648" s="623"/>
      <c r="P648" s="623"/>
      <c r="Q648" s="623"/>
      <c r="R648" s="623"/>
      <c r="S648" s="623"/>
      <c r="T648" s="623"/>
      <c r="U648" s="623"/>
      <c r="V648" s="623"/>
      <c r="W648" s="623"/>
      <c r="X648" s="623"/>
      <c r="Y648" s="623"/>
      <c r="Z648" s="623"/>
      <c r="AA648" s="623"/>
      <c r="AB648" s="623"/>
      <c r="AC648" s="623"/>
      <c r="AD648" s="623"/>
      <c r="AE648" s="623"/>
      <c r="AF648" s="623"/>
      <c r="AG648" s="623"/>
      <c r="AH648" s="623"/>
      <c r="AI648" s="623"/>
      <c r="AJ648" s="623"/>
      <c r="AK648" s="623"/>
      <c r="AL648" s="623"/>
      <c r="AM648" s="623"/>
      <c r="AN648" s="623"/>
      <c r="AO648" s="623"/>
      <c r="AP648" s="623"/>
      <c r="AQ648" s="623"/>
      <c r="AR648" s="623"/>
      <c r="AS648" s="623"/>
      <c r="AT648" s="623"/>
      <c r="AU648" s="623"/>
      <c r="AV648" s="623"/>
      <c r="AW648" s="623"/>
      <c r="AX648" s="623"/>
      <c r="AY648" s="623"/>
      <c r="AZ648" s="623"/>
      <c r="BA648" s="623"/>
    </row>
    <row r="649">
      <c r="A649" s="623"/>
      <c r="B649" s="623"/>
      <c r="C649" s="623"/>
      <c r="D649" s="623"/>
      <c r="E649" s="623"/>
      <c r="F649" s="623"/>
      <c r="G649" s="623"/>
      <c r="H649" s="623"/>
      <c r="I649" s="623"/>
      <c r="J649" s="623"/>
      <c r="K649" s="623"/>
      <c r="L649" s="623"/>
      <c r="M649" s="623"/>
      <c r="N649" s="623"/>
      <c r="O649" s="623"/>
      <c r="P649" s="623"/>
      <c r="Q649" s="623"/>
      <c r="R649" s="623"/>
      <c r="S649" s="623"/>
      <c r="T649" s="623"/>
      <c r="U649" s="623"/>
      <c r="V649" s="623"/>
      <c r="W649" s="623"/>
      <c r="X649" s="623"/>
      <c r="Y649" s="623"/>
      <c r="Z649" s="623"/>
      <c r="AA649" s="623"/>
      <c r="AB649" s="623"/>
      <c r="AC649" s="623"/>
      <c r="AD649" s="623"/>
      <c r="AE649" s="623"/>
      <c r="AF649" s="623"/>
      <c r="AG649" s="623"/>
      <c r="AH649" s="623"/>
      <c r="AI649" s="623"/>
      <c r="AJ649" s="623"/>
      <c r="AK649" s="623"/>
      <c r="AL649" s="623"/>
      <c r="AM649" s="623"/>
      <c r="AN649" s="623"/>
      <c r="AO649" s="623"/>
      <c r="AP649" s="623"/>
      <c r="AQ649" s="623"/>
      <c r="AR649" s="623"/>
      <c r="AS649" s="623"/>
      <c r="AT649" s="623"/>
      <c r="AU649" s="623"/>
      <c r="AV649" s="623"/>
      <c r="AW649" s="623"/>
      <c r="AX649" s="623"/>
      <c r="AY649" s="623"/>
      <c r="AZ649" s="623"/>
      <c r="BA649" s="623"/>
    </row>
    <row r="650">
      <c r="A650" s="623"/>
      <c r="B650" s="623"/>
      <c r="C650" s="623"/>
      <c r="D650" s="623"/>
      <c r="E650" s="623"/>
      <c r="F650" s="623"/>
      <c r="G650" s="623"/>
      <c r="H650" s="623"/>
      <c r="I650" s="623"/>
      <c r="J650" s="623"/>
      <c r="K650" s="623"/>
      <c r="L650" s="623"/>
      <c r="M650" s="623"/>
      <c r="N650" s="623"/>
      <c r="O650" s="623"/>
      <c r="P650" s="623"/>
      <c r="Q650" s="623"/>
      <c r="R650" s="623"/>
      <c r="S650" s="623"/>
      <c r="T650" s="623"/>
      <c r="U650" s="623"/>
      <c r="V650" s="623"/>
      <c r="W650" s="623"/>
      <c r="X650" s="623"/>
      <c r="Y650" s="623"/>
      <c r="Z650" s="623"/>
      <c r="AA650" s="623"/>
      <c r="AB650" s="623"/>
      <c r="AC650" s="623"/>
      <c r="AD650" s="623"/>
      <c r="AE650" s="623"/>
      <c r="AF650" s="623"/>
      <c r="AG650" s="623"/>
      <c r="AH650" s="623"/>
      <c r="AI650" s="623"/>
      <c r="AJ650" s="623"/>
      <c r="AK650" s="623"/>
      <c r="AL650" s="623"/>
      <c r="AM650" s="623"/>
      <c r="AN650" s="623"/>
      <c r="AO650" s="623"/>
      <c r="AP650" s="623"/>
      <c r="AQ650" s="623"/>
      <c r="AR650" s="623"/>
      <c r="AS650" s="623"/>
      <c r="AT650" s="623"/>
      <c r="AU650" s="623"/>
      <c r="AV650" s="623"/>
      <c r="AW650" s="623"/>
      <c r="AX650" s="623"/>
      <c r="AY650" s="623"/>
      <c r="AZ650" s="623"/>
      <c r="BA650" s="623"/>
    </row>
    <row r="651">
      <c r="A651" s="623"/>
      <c r="B651" s="623"/>
      <c r="C651" s="623"/>
      <c r="D651" s="623"/>
      <c r="E651" s="623"/>
      <c r="F651" s="623"/>
      <c r="G651" s="623"/>
      <c r="H651" s="623"/>
      <c r="I651" s="623"/>
      <c r="J651" s="623"/>
      <c r="K651" s="623"/>
      <c r="L651" s="623"/>
      <c r="M651" s="623"/>
      <c r="N651" s="623"/>
      <c r="O651" s="623"/>
      <c r="P651" s="623"/>
      <c r="Q651" s="623"/>
      <c r="R651" s="623"/>
      <c r="S651" s="623"/>
      <c r="T651" s="623"/>
      <c r="U651" s="623"/>
      <c r="V651" s="623"/>
      <c r="W651" s="623"/>
      <c r="X651" s="623"/>
      <c r="Y651" s="623"/>
      <c r="Z651" s="623"/>
      <c r="AA651" s="623"/>
      <c r="AB651" s="623"/>
      <c r="AC651" s="623"/>
      <c r="AD651" s="623"/>
      <c r="AE651" s="623"/>
      <c r="AF651" s="623"/>
      <c r="AG651" s="623"/>
      <c r="AH651" s="623"/>
      <c r="AI651" s="623"/>
      <c r="AJ651" s="623"/>
      <c r="AK651" s="623"/>
      <c r="AL651" s="623"/>
      <c r="AM651" s="623"/>
      <c r="AN651" s="623"/>
      <c r="AO651" s="623"/>
      <c r="AP651" s="623"/>
      <c r="AQ651" s="623"/>
      <c r="AR651" s="623"/>
      <c r="AS651" s="623"/>
      <c r="AT651" s="623"/>
      <c r="AU651" s="623"/>
      <c r="AV651" s="623"/>
      <c r="AW651" s="623"/>
      <c r="AX651" s="623"/>
      <c r="AY651" s="623"/>
      <c r="AZ651" s="623"/>
      <c r="BA651" s="623"/>
    </row>
    <row r="652">
      <c r="A652" s="623"/>
      <c r="B652" s="623"/>
      <c r="C652" s="623"/>
      <c r="D652" s="623"/>
      <c r="E652" s="623"/>
      <c r="F652" s="623"/>
      <c r="G652" s="623"/>
      <c r="H652" s="623"/>
      <c r="I652" s="623"/>
      <c r="J652" s="623"/>
      <c r="K652" s="623"/>
      <c r="L652" s="623"/>
      <c r="M652" s="623"/>
      <c r="N652" s="623"/>
      <c r="O652" s="623"/>
      <c r="P652" s="623"/>
      <c r="Q652" s="623"/>
      <c r="R652" s="623"/>
      <c r="S652" s="623"/>
      <c r="T652" s="623"/>
      <c r="U652" s="623"/>
      <c r="V652" s="623"/>
      <c r="W652" s="623"/>
      <c r="X652" s="623"/>
      <c r="Y652" s="623"/>
      <c r="Z652" s="623"/>
      <c r="AA652" s="623"/>
      <c r="AB652" s="623"/>
      <c r="AC652" s="623"/>
      <c r="AD652" s="623"/>
      <c r="AE652" s="623"/>
      <c r="AF652" s="623"/>
      <c r="AG652" s="623"/>
      <c r="AH652" s="623"/>
      <c r="AI652" s="623"/>
      <c r="AJ652" s="623"/>
      <c r="AK652" s="623"/>
      <c r="AL652" s="623"/>
      <c r="AM652" s="623"/>
      <c r="AN652" s="623"/>
      <c r="AO652" s="623"/>
      <c r="AP652" s="623"/>
      <c r="AQ652" s="623"/>
      <c r="AR652" s="623"/>
      <c r="AS652" s="623"/>
      <c r="AT652" s="623"/>
      <c r="AU652" s="623"/>
      <c r="AV652" s="623"/>
      <c r="AW652" s="623"/>
      <c r="AX652" s="623"/>
      <c r="AY652" s="623"/>
      <c r="AZ652" s="623"/>
      <c r="BA652" s="623"/>
    </row>
    <row r="653">
      <c r="A653" s="623"/>
      <c r="B653" s="623"/>
      <c r="C653" s="623"/>
      <c r="D653" s="623"/>
      <c r="E653" s="623"/>
      <c r="F653" s="623"/>
      <c r="G653" s="623"/>
      <c r="H653" s="623"/>
      <c r="I653" s="623"/>
      <c r="J653" s="623"/>
      <c r="K653" s="623"/>
      <c r="L653" s="623"/>
      <c r="M653" s="623"/>
      <c r="N653" s="623"/>
      <c r="O653" s="623"/>
      <c r="P653" s="623"/>
      <c r="Q653" s="623"/>
      <c r="R653" s="623"/>
      <c r="S653" s="623"/>
      <c r="T653" s="623"/>
      <c r="U653" s="623"/>
      <c r="V653" s="623"/>
      <c r="W653" s="623"/>
      <c r="X653" s="623"/>
      <c r="Y653" s="623"/>
      <c r="Z653" s="623"/>
      <c r="AA653" s="623"/>
      <c r="AB653" s="623"/>
      <c r="AC653" s="623"/>
      <c r="AD653" s="623"/>
      <c r="AE653" s="623"/>
      <c r="AF653" s="623"/>
      <c r="AG653" s="623"/>
      <c r="AH653" s="623"/>
      <c r="AI653" s="623"/>
      <c r="AJ653" s="623"/>
      <c r="AK653" s="623"/>
      <c r="AL653" s="623"/>
      <c r="AM653" s="623"/>
      <c r="AN653" s="623"/>
      <c r="AO653" s="623"/>
      <c r="AP653" s="623"/>
      <c r="AQ653" s="623"/>
      <c r="AR653" s="623"/>
      <c r="AS653" s="623"/>
      <c r="AT653" s="623"/>
      <c r="AU653" s="623"/>
      <c r="AV653" s="623"/>
      <c r="AW653" s="623"/>
      <c r="AX653" s="623"/>
      <c r="AY653" s="623"/>
      <c r="AZ653" s="623"/>
      <c r="BA653" s="623"/>
    </row>
    <row r="654">
      <c r="A654" s="623"/>
      <c r="B654" s="623"/>
      <c r="C654" s="623"/>
      <c r="D654" s="623"/>
      <c r="E654" s="623"/>
      <c r="F654" s="623"/>
      <c r="G654" s="623"/>
      <c r="H654" s="623"/>
      <c r="I654" s="623"/>
      <c r="J654" s="623"/>
      <c r="K654" s="623"/>
      <c r="L654" s="623"/>
      <c r="M654" s="623"/>
      <c r="N654" s="623"/>
      <c r="O654" s="623"/>
      <c r="P654" s="623"/>
      <c r="Q654" s="623"/>
      <c r="R654" s="623"/>
      <c r="S654" s="623"/>
      <c r="T654" s="623"/>
      <c r="U654" s="623"/>
      <c r="V654" s="623"/>
      <c r="W654" s="623"/>
      <c r="X654" s="623"/>
      <c r="Y654" s="623"/>
      <c r="Z654" s="623"/>
      <c r="AA654" s="623"/>
      <c r="AB654" s="623"/>
      <c r="AC654" s="623"/>
      <c r="AD654" s="623"/>
      <c r="AE654" s="623"/>
      <c r="AF654" s="623"/>
      <c r="AG654" s="623"/>
      <c r="AH654" s="623"/>
      <c r="AI654" s="623"/>
      <c r="AJ654" s="623"/>
      <c r="AK654" s="623"/>
      <c r="AL654" s="623"/>
      <c r="AM654" s="623"/>
      <c r="AN654" s="623"/>
      <c r="AO654" s="623"/>
      <c r="AP654" s="623"/>
      <c r="AQ654" s="623"/>
      <c r="AR654" s="623"/>
      <c r="AS654" s="623"/>
      <c r="AT654" s="623"/>
      <c r="AU654" s="623"/>
      <c r="AV654" s="623"/>
      <c r="AW654" s="623"/>
      <c r="AX654" s="623"/>
      <c r="AY654" s="623"/>
      <c r="AZ654" s="623"/>
      <c r="BA654" s="623"/>
    </row>
    <row r="655">
      <c r="A655" s="623"/>
      <c r="B655" s="623"/>
      <c r="C655" s="623"/>
      <c r="D655" s="623"/>
      <c r="E655" s="623"/>
      <c r="F655" s="623"/>
      <c r="G655" s="623"/>
      <c r="H655" s="623"/>
      <c r="I655" s="623"/>
      <c r="J655" s="623"/>
      <c r="K655" s="623"/>
      <c r="L655" s="623"/>
      <c r="M655" s="623"/>
      <c r="N655" s="623"/>
      <c r="O655" s="623"/>
      <c r="P655" s="623"/>
      <c r="Q655" s="623"/>
      <c r="R655" s="623"/>
      <c r="S655" s="623"/>
      <c r="T655" s="623"/>
      <c r="U655" s="623"/>
      <c r="V655" s="623"/>
      <c r="W655" s="623"/>
      <c r="X655" s="623"/>
      <c r="Y655" s="623"/>
      <c r="Z655" s="623"/>
      <c r="AA655" s="623"/>
      <c r="AB655" s="623"/>
      <c r="AC655" s="623"/>
      <c r="AD655" s="623"/>
      <c r="AE655" s="623"/>
      <c r="AF655" s="623"/>
      <c r="AG655" s="623"/>
      <c r="AH655" s="623"/>
      <c r="AI655" s="623"/>
      <c r="AJ655" s="623"/>
      <c r="AK655" s="623"/>
      <c r="AL655" s="623"/>
      <c r="AM655" s="623"/>
      <c r="AN655" s="623"/>
      <c r="AO655" s="623"/>
      <c r="AP655" s="623"/>
      <c r="AQ655" s="623"/>
      <c r="AR655" s="623"/>
      <c r="AS655" s="623"/>
      <c r="AT655" s="623"/>
      <c r="AU655" s="623"/>
      <c r="AV655" s="623"/>
      <c r="AW655" s="623"/>
      <c r="AX655" s="623"/>
      <c r="AY655" s="623"/>
      <c r="AZ655" s="623"/>
      <c r="BA655" s="623"/>
    </row>
    <row r="656">
      <c r="A656" s="623"/>
      <c r="B656" s="623"/>
      <c r="C656" s="623"/>
      <c r="D656" s="623"/>
      <c r="E656" s="623"/>
      <c r="F656" s="623"/>
      <c r="G656" s="623"/>
      <c r="H656" s="623"/>
      <c r="I656" s="623"/>
      <c r="J656" s="623"/>
      <c r="K656" s="623"/>
      <c r="L656" s="623"/>
      <c r="M656" s="623"/>
      <c r="N656" s="623"/>
      <c r="O656" s="623"/>
      <c r="P656" s="623"/>
      <c r="Q656" s="623"/>
      <c r="R656" s="623"/>
      <c r="S656" s="623"/>
      <c r="T656" s="623"/>
      <c r="U656" s="623"/>
      <c r="V656" s="623"/>
      <c r="W656" s="623"/>
      <c r="X656" s="623"/>
      <c r="Y656" s="623"/>
      <c r="Z656" s="623"/>
      <c r="AA656" s="623"/>
      <c r="AB656" s="623"/>
      <c r="AC656" s="623"/>
      <c r="AD656" s="623"/>
      <c r="AE656" s="623"/>
      <c r="AF656" s="623"/>
      <c r="AG656" s="623"/>
      <c r="AH656" s="623"/>
      <c r="AI656" s="623"/>
      <c r="AJ656" s="623"/>
      <c r="AK656" s="623"/>
      <c r="AL656" s="623"/>
      <c r="AM656" s="623"/>
      <c r="AN656" s="623"/>
      <c r="AO656" s="623"/>
      <c r="AP656" s="623"/>
      <c r="AQ656" s="623"/>
      <c r="AR656" s="623"/>
      <c r="AS656" s="623"/>
      <c r="AT656" s="623"/>
      <c r="AU656" s="623"/>
      <c r="AV656" s="623"/>
      <c r="AW656" s="623"/>
      <c r="AX656" s="623"/>
      <c r="AY656" s="623"/>
      <c r="AZ656" s="623"/>
      <c r="BA656" s="623"/>
    </row>
    <row r="657">
      <c r="A657" s="623"/>
      <c r="B657" s="623"/>
      <c r="C657" s="623"/>
      <c r="D657" s="623"/>
      <c r="E657" s="623"/>
      <c r="F657" s="623"/>
      <c r="G657" s="623"/>
      <c r="H657" s="623"/>
      <c r="I657" s="623"/>
      <c r="J657" s="623"/>
      <c r="K657" s="623"/>
      <c r="L657" s="623"/>
      <c r="M657" s="623"/>
      <c r="N657" s="623"/>
      <c r="O657" s="623"/>
      <c r="P657" s="623"/>
      <c r="Q657" s="623"/>
      <c r="R657" s="623"/>
      <c r="S657" s="623"/>
      <c r="T657" s="623"/>
      <c r="U657" s="623"/>
      <c r="V657" s="623"/>
      <c r="W657" s="623"/>
      <c r="X657" s="623"/>
      <c r="Y657" s="623"/>
      <c r="Z657" s="623"/>
      <c r="AA657" s="623"/>
      <c r="AB657" s="623"/>
      <c r="AC657" s="623"/>
      <c r="AD657" s="623"/>
      <c r="AE657" s="623"/>
      <c r="AF657" s="623"/>
      <c r="AG657" s="623"/>
      <c r="AH657" s="623"/>
      <c r="AI657" s="623"/>
      <c r="AJ657" s="623"/>
      <c r="AK657" s="623"/>
      <c r="AL657" s="623"/>
      <c r="AM657" s="623"/>
      <c r="AN657" s="623"/>
      <c r="AO657" s="623"/>
      <c r="AP657" s="623"/>
      <c r="AQ657" s="623"/>
      <c r="AR657" s="623"/>
      <c r="AS657" s="623"/>
      <c r="AT657" s="623"/>
      <c r="AU657" s="623"/>
      <c r="AV657" s="623"/>
      <c r="AW657" s="623"/>
      <c r="AX657" s="623"/>
      <c r="AY657" s="623"/>
      <c r="AZ657" s="623"/>
      <c r="BA657" s="623"/>
    </row>
    <row r="658">
      <c r="A658" s="623"/>
      <c r="B658" s="623"/>
      <c r="C658" s="623"/>
      <c r="D658" s="623"/>
      <c r="E658" s="623"/>
      <c r="F658" s="623"/>
      <c r="G658" s="623"/>
      <c r="H658" s="623"/>
      <c r="I658" s="623"/>
      <c r="J658" s="623"/>
      <c r="K658" s="623"/>
      <c r="L658" s="623"/>
      <c r="M658" s="623"/>
      <c r="N658" s="623"/>
      <c r="O658" s="623"/>
      <c r="P658" s="623"/>
      <c r="Q658" s="623"/>
      <c r="R658" s="623"/>
      <c r="S658" s="623"/>
      <c r="T658" s="623"/>
      <c r="U658" s="623"/>
      <c r="V658" s="623"/>
      <c r="W658" s="623"/>
      <c r="X658" s="623"/>
      <c r="Y658" s="623"/>
      <c r="Z658" s="623"/>
      <c r="AA658" s="623"/>
      <c r="AB658" s="623"/>
      <c r="AC658" s="623"/>
      <c r="AD658" s="623"/>
      <c r="AE658" s="623"/>
      <c r="AF658" s="623"/>
      <c r="AG658" s="623"/>
      <c r="AH658" s="623"/>
      <c r="AI658" s="623"/>
      <c r="AJ658" s="623"/>
      <c r="AK658" s="623"/>
      <c r="AL658" s="623"/>
      <c r="AM658" s="623"/>
      <c r="AN658" s="623"/>
      <c r="AO658" s="623"/>
      <c r="AP658" s="623"/>
      <c r="AQ658" s="623"/>
      <c r="AR658" s="623"/>
      <c r="AS658" s="623"/>
      <c r="AT658" s="623"/>
      <c r="AU658" s="623"/>
      <c r="AV658" s="623"/>
      <c r="AW658" s="623"/>
      <c r="AX658" s="623"/>
      <c r="AY658" s="623"/>
      <c r="AZ658" s="623"/>
      <c r="BA658" s="623"/>
    </row>
    <row r="659">
      <c r="A659" s="623"/>
      <c r="B659" s="623"/>
      <c r="C659" s="623"/>
      <c r="D659" s="623"/>
      <c r="E659" s="623"/>
      <c r="F659" s="623"/>
      <c r="G659" s="623"/>
      <c r="H659" s="623"/>
      <c r="I659" s="623"/>
      <c r="J659" s="623"/>
      <c r="K659" s="623"/>
      <c r="L659" s="623"/>
      <c r="M659" s="623"/>
      <c r="N659" s="623"/>
      <c r="O659" s="623"/>
      <c r="P659" s="623"/>
      <c r="Q659" s="623"/>
      <c r="R659" s="623"/>
      <c r="S659" s="623"/>
      <c r="T659" s="623"/>
      <c r="U659" s="623"/>
      <c r="V659" s="623"/>
      <c r="W659" s="623"/>
      <c r="X659" s="623"/>
      <c r="Y659" s="623"/>
      <c r="Z659" s="623"/>
      <c r="AA659" s="623"/>
      <c r="AB659" s="623"/>
      <c r="AC659" s="623"/>
      <c r="AD659" s="623"/>
      <c r="AE659" s="623"/>
      <c r="AF659" s="623"/>
      <c r="AG659" s="623"/>
      <c r="AH659" s="623"/>
      <c r="AI659" s="623"/>
      <c r="AJ659" s="623"/>
      <c r="AK659" s="623"/>
      <c r="AL659" s="623"/>
      <c r="AM659" s="623"/>
      <c r="AN659" s="623"/>
      <c r="AO659" s="623"/>
      <c r="AP659" s="623"/>
      <c r="AQ659" s="623"/>
      <c r="AR659" s="623"/>
      <c r="AS659" s="623"/>
      <c r="AT659" s="623"/>
      <c r="AU659" s="623"/>
      <c r="AV659" s="623"/>
      <c r="AW659" s="623"/>
      <c r="AX659" s="623"/>
      <c r="AY659" s="623"/>
      <c r="AZ659" s="623"/>
      <c r="BA659" s="623"/>
    </row>
    <row r="660">
      <c r="A660" s="623"/>
      <c r="B660" s="623"/>
      <c r="C660" s="623"/>
      <c r="D660" s="623"/>
      <c r="E660" s="623"/>
      <c r="F660" s="623"/>
      <c r="G660" s="623"/>
      <c r="H660" s="623"/>
      <c r="I660" s="623"/>
      <c r="J660" s="623"/>
      <c r="K660" s="623"/>
      <c r="L660" s="623"/>
      <c r="M660" s="623"/>
      <c r="N660" s="623"/>
      <c r="O660" s="623"/>
      <c r="P660" s="623"/>
      <c r="Q660" s="623"/>
      <c r="R660" s="623"/>
      <c r="S660" s="623"/>
      <c r="T660" s="623"/>
      <c r="U660" s="623"/>
      <c r="V660" s="623"/>
      <c r="W660" s="623"/>
      <c r="X660" s="623"/>
      <c r="Y660" s="623"/>
      <c r="Z660" s="623"/>
      <c r="AA660" s="623"/>
      <c r="AB660" s="623"/>
      <c r="AC660" s="623"/>
      <c r="AD660" s="623"/>
      <c r="AE660" s="623"/>
      <c r="AF660" s="623"/>
      <c r="AG660" s="623"/>
      <c r="AH660" s="623"/>
      <c r="AI660" s="623"/>
      <c r="AJ660" s="623"/>
      <c r="AK660" s="623"/>
      <c r="AL660" s="623"/>
      <c r="AM660" s="623"/>
      <c r="AN660" s="623"/>
      <c r="AO660" s="623"/>
      <c r="AP660" s="623"/>
      <c r="AQ660" s="623"/>
      <c r="AR660" s="623"/>
      <c r="AS660" s="623"/>
      <c r="AT660" s="623"/>
      <c r="AU660" s="623"/>
      <c r="AV660" s="623"/>
      <c r="AW660" s="623"/>
      <c r="AX660" s="623"/>
      <c r="AY660" s="623"/>
      <c r="AZ660" s="623"/>
      <c r="BA660" s="623"/>
    </row>
    <row r="661">
      <c r="A661" s="623"/>
      <c r="B661" s="623"/>
      <c r="C661" s="623"/>
      <c r="D661" s="623"/>
      <c r="E661" s="623"/>
      <c r="F661" s="623"/>
      <c r="G661" s="623"/>
      <c r="H661" s="623"/>
      <c r="I661" s="623"/>
      <c r="J661" s="623"/>
      <c r="K661" s="623"/>
      <c r="L661" s="623"/>
      <c r="M661" s="623"/>
      <c r="N661" s="623"/>
      <c r="O661" s="623"/>
      <c r="P661" s="623"/>
      <c r="Q661" s="623"/>
      <c r="R661" s="623"/>
      <c r="S661" s="623"/>
      <c r="T661" s="623"/>
      <c r="U661" s="623"/>
      <c r="V661" s="623"/>
      <c r="W661" s="623"/>
      <c r="X661" s="623"/>
      <c r="Y661" s="623"/>
      <c r="Z661" s="623"/>
      <c r="AA661" s="623"/>
      <c r="AB661" s="623"/>
      <c r="AC661" s="623"/>
      <c r="AD661" s="623"/>
      <c r="AE661" s="623"/>
      <c r="AF661" s="623"/>
      <c r="AG661" s="623"/>
      <c r="AH661" s="623"/>
      <c r="AI661" s="623"/>
      <c r="AJ661" s="623"/>
      <c r="AK661" s="623"/>
      <c r="AL661" s="623"/>
      <c r="AM661" s="623"/>
      <c r="AN661" s="623"/>
      <c r="AO661" s="623"/>
      <c r="AP661" s="623"/>
      <c r="AQ661" s="623"/>
      <c r="AR661" s="623"/>
      <c r="AS661" s="623"/>
      <c r="AT661" s="623"/>
      <c r="AU661" s="623"/>
      <c r="AV661" s="623"/>
      <c r="AW661" s="623"/>
      <c r="AX661" s="623"/>
      <c r="AY661" s="623"/>
      <c r="AZ661" s="623"/>
      <c r="BA661" s="623"/>
    </row>
    <row r="662">
      <c r="A662" s="623"/>
      <c r="B662" s="623"/>
      <c r="C662" s="623"/>
      <c r="D662" s="623"/>
      <c r="E662" s="623"/>
      <c r="F662" s="623"/>
      <c r="G662" s="623"/>
      <c r="H662" s="623"/>
      <c r="I662" s="623"/>
      <c r="J662" s="623"/>
      <c r="K662" s="623"/>
      <c r="L662" s="623"/>
      <c r="M662" s="623"/>
      <c r="N662" s="623"/>
      <c r="O662" s="623"/>
      <c r="P662" s="623"/>
      <c r="Q662" s="623"/>
      <c r="R662" s="623"/>
      <c r="S662" s="623"/>
      <c r="T662" s="623"/>
      <c r="U662" s="623"/>
      <c r="V662" s="623"/>
      <c r="W662" s="623"/>
      <c r="X662" s="623"/>
      <c r="Y662" s="623"/>
      <c r="Z662" s="623"/>
      <c r="AA662" s="623"/>
      <c r="AB662" s="623"/>
      <c r="AC662" s="623"/>
      <c r="AD662" s="623"/>
      <c r="AE662" s="623"/>
      <c r="AF662" s="623"/>
      <c r="AG662" s="623"/>
      <c r="AH662" s="623"/>
      <c r="AI662" s="623"/>
      <c r="AJ662" s="623"/>
      <c r="AK662" s="623"/>
      <c r="AL662" s="623"/>
      <c r="AM662" s="623"/>
      <c r="AN662" s="623"/>
      <c r="AO662" s="623"/>
      <c r="AP662" s="623"/>
      <c r="AQ662" s="623"/>
      <c r="AR662" s="623"/>
      <c r="AS662" s="623"/>
      <c r="AT662" s="623"/>
      <c r="AU662" s="623"/>
      <c r="AV662" s="623"/>
      <c r="AW662" s="623"/>
      <c r="AX662" s="623"/>
      <c r="AY662" s="623"/>
      <c r="AZ662" s="623"/>
      <c r="BA662" s="623"/>
    </row>
    <row r="663">
      <c r="A663" s="623"/>
      <c r="B663" s="623"/>
      <c r="C663" s="623"/>
      <c r="D663" s="623"/>
      <c r="E663" s="623"/>
      <c r="F663" s="623"/>
      <c r="G663" s="623"/>
      <c r="H663" s="623"/>
      <c r="I663" s="623"/>
      <c r="J663" s="623"/>
      <c r="K663" s="623"/>
      <c r="L663" s="623"/>
      <c r="M663" s="623"/>
      <c r="N663" s="623"/>
      <c r="O663" s="623"/>
      <c r="P663" s="623"/>
      <c r="Q663" s="623"/>
      <c r="R663" s="623"/>
      <c r="S663" s="623"/>
      <c r="T663" s="623"/>
      <c r="U663" s="623"/>
      <c r="V663" s="623"/>
      <c r="W663" s="623"/>
      <c r="X663" s="623"/>
      <c r="Y663" s="623"/>
      <c r="Z663" s="623"/>
      <c r="AA663" s="623"/>
      <c r="AB663" s="623"/>
      <c r="AC663" s="623"/>
      <c r="AD663" s="623"/>
      <c r="AE663" s="623"/>
      <c r="AF663" s="623"/>
      <c r="AG663" s="623"/>
      <c r="AH663" s="623"/>
      <c r="AI663" s="623"/>
      <c r="AJ663" s="623"/>
      <c r="AK663" s="623"/>
      <c r="AL663" s="623"/>
      <c r="AM663" s="623"/>
      <c r="AN663" s="623"/>
      <c r="AO663" s="623"/>
      <c r="AP663" s="623"/>
      <c r="AQ663" s="623"/>
      <c r="AR663" s="623"/>
      <c r="AS663" s="623"/>
      <c r="AT663" s="623"/>
      <c r="AU663" s="623"/>
      <c r="AV663" s="623"/>
      <c r="AW663" s="623"/>
      <c r="AX663" s="623"/>
      <c r="AY663" s="623"/>
      <c r="AZ663" s="623"/>
      <c r="BA663" s="623"/>
    </row>
    <row r="664">
      <c r="A664" s="623"/>
      <c r="B664" s="623"/>
      <c r="C664" s="623"/>
      <c r="D664" s="623"/>
      <c r="E664" s="623"/>
      <c r="F664" s="623"/>
      <c r="G664" s="623"/>
      <c r="H664" s="623"/>
      <c r="I664" s="623"/>
      <c r="J664" s="623"/>
      <c r="K664" s="623"/>
      <c r="L664" s="623"/>
      <c r="M664" s="623"/>
      <c r="N664" s="623"/>
      <c r="O664" s="623"/>
      <c r="P664" s="623"/>
      <c r="Q664" s="623"/>
      <c r="R664" s="623"/>
      <c r="S664" s="623"/>
      <c r="T664" s="623"/>
      <c r="U664" s="623"/>
      <c r="V664" s="623"/>
      <c r="W664" s="623"/>
      <c r="X664" s="623"/>
      <c r="Y664" s="623"/>
      <c r="Z664" s="623"/>
      <c r="AA664" s="623"/>
      <c r="AB664" s="623"/>
      <c r="AC664" s="623"/>
      <c r="AD664" s="623"/>
      <c r="AE664" s="623"/>
      <c r="AF664" s="623"/>
      <c r="AG664" s="623"/>
      <c r="AH664" s="623"/>
      <c r="AI664" s="623"/>
      <c r="AJ664" s="623"/>
      <c r="AK664" s="623"/>
      <c r="AL664" s="623"/>
      <c r="AM664" s="623"/>
      <c r="AN664" s="623"/>
      <c r="AO664" s="623"/>
      <c r="AP664" s="623"/>
      <c r="AQ664" s="623"/>
      <c r="AR664" s="623"/>
      <c r="AS664" s="623"/>
      <c r="AT664" s="623"/>
      <c r="AU664" s="623"/>
      <c r="AV664" s="623"/>
      <c r="AW664" s="623"/>
      <c r="AX664" s="623"/>
      <c r="AY664" s="623"/>
      <c r="AZ664" s="623"/>
      <c r="BA664" s="623"/>
    </row>
    <row r="665">
      <c r="A665" s="623"/>
      <c r="B665" s="623"/>
      <c r="C665" s="623"/>
      <c r="D665" s="623"/>
      <c r="E665" s="623"/>
      <c r="F665" s="623"/>
      <c r="G665" s="623"/>
      <c r="H665" s="623"/>
      <c r="I665" s="623"/>
      <c r="J665" s="623"/>
      <c r="K665" s="623"/>
      <c r="L665" s="623"/>
      <c r="M665" s="623"/>
      <c r="N665" s="623"/>
      <c r="O665" s="623"/>
      <c r="P665" s="623"/>
      <c r="Q665" s="623"/>
      <c r="R665" s="623"/>
      <c r="S665" s="623"/>
      <c r="T665" s="623"/>
      <c r="U665" s="623"/>
      <c r="V665" s="623"/>
      <c r="W665" s="623"/>
      <c r="X665" s="623"/>
      <c r="Y665" s="623"/>
      <c r="Z665" s="623"/>
      <c r="AA665" s="623"/>
      <c r="AB665" s="623"/>
      <c r="AC665" s="623"/>
      <c r="AD665" s="623"/>
      <c r="AE665" s="623"/>
      <c r="AF665" s="623"/>
      <c r="AG665" s="623"/>
      <c r="AH665" s="623"/>
      <c r="AI665" s="623"/>
      <c r="AJ665" s="623"/>
      <c r="AK665" s="623"/>
      <c r="AL665" s="623"/>
      <c r="AM665" s="623"/>
      <c r="AN665" s="623"/>
      <c r="AO665" s="623"/>
      <c r="AP665" s="623"/>
      <c r="AQ665" s="623"/>
      <c r="AR665" s="623"/>
      <c r="AS665" s="623"/>
      <c r="AT665" s="623"/>
      <c r="AU665" s="623"/>
      <c r="AV665" s="623"/>
      <c r="AW665" s="623"/>
      <c r="AX665" s="623"/>
      <c r="AY665" s="623"/>
      <c r="AZ665" s="623"/>
      <c r="BA665" s="623"/>
    </row>
    <row r="666">
      <c r="A666" s="623"/>
      <c r="B666" s="623"/>
      <c r="C666" s="623"/>
      <c r="D666" s="623"/>
      <c r="E666" s="623"/>
      <c r="F666" s="623"/>
      <c r="G666" s="623"/>
      <c r="H666" s="623"/>
      <c r="I666" s="623"/>
      <c r="J666" s="623"/>
      <c r="K666" s="623"/>
      <c r="L666" s="623"/>
      <c r="M666" s="623"/>
      <c r="N666" s="623"/>
      <c r="O666" s="623"/>
      <c r="P666" s="623"/>
      <c r="Q666" s="623"/>
      <c r="R666" s="623"/>
      <c r="S666" s="623"/>
      <c r="T666" s="623"/>
      <c r="U666" s="623"/>
      <c r="V666" s="623"/>
      <c r="W666" s="623"/>
      <c r="X666" s="623"/>
      <c r="Y666" s="623"/>
      <c r="Z666" s="623"/>
      <c r="AA666" s="623"/>
      <c r="AB666" s="623"/>
      <c r="AC666" s="623"/>
      <c r="AD666" s="623"/>
      <c r="AE666" s="623"/>
      <c r="AF666" s="623"/>
      <c r="AG666" s="623"/>
      <c r="AH666" s="623"/>
      <c r="AI666" s="623"/>
      <c r="AJ666" s="623"/>
      <c r="AK666" s="623"/>
      <c r="AL666" s="623"/>
      <c r="AM666" s="623"/>
      <c r="AN666" s="623"/>
      <c r="AO666" s="623"/>
      <c r="AP666" s="623"/>
      <c r="AQ666" s="623"/>
      <c r="AR666" s="623"/>
      <c r="AS666" s="623"/>
      <c r="AT666" s="623"/>
      <c r="AU666" s="623"/>
      <c r="AV666" s="623"/>
      <c r="AW666" s="623"/>
      <c r="AX666" s="623"/>
      <c r="AY666" s="623"/>
      <c r="AZ666" s="623"/>
      <c r="BA666" s="623"/>
    </row>
    <row r="667">
      <c r="A667" s="623"/>
      <c r="B667" s="623"/>
      <c r="C667" s="623"/>
      <c r="D667" s="623"/>
      <c r="E667" s="623"/>
      <c r="F667" s="623"/>
      <c r="G667" s="623"/>
      <c r="H667" s="623"/>
      <c r="I667" s="623"/>
      <c r="J667" s="623"/>
      <c r="K667" s="623"/>
      <c r="L667" s="623"/>
      <c r="M667" s="623"/>
      <c r="N667" s="623"/>
      <c r="O667" s="623"/>
      <c r="P667" s="623"/>
      <c r="Q667" s="623"/>
      <c r="R667" s="623"/>
      <c r="S667" s="623"/>
      <c r="T667" s="623"/>
      <c r="U667" s="623"/>
      <c r="V667" s="623"/>
      <c r="W667" s="623"/>
      <c r="X667" s="623"/>
      <c r="Y667" s="623"/>
      <c r="Z667" s="623"/>
      <c r="AA667" s="623"/>
      <c r="AB667" s="623"/>
      <c r="AC667" s="623"/>
      <c r="AD667" s="623"/>
      <c r="AE667" s="623"/>
      <c r="AF667" s="623"/>
      <c r="AG667" s="623"/>
      <c r="AH667" s="623"/>
      <c r="AI667" s="623"/>
      <c r="AJ667" s="623"/>
      <c r="AK667" s="623"/>
      <c r="AL667" s="623"/>
      <c r="AM667" s="623"/>
      <c r="AN667" s="623"/>
      <c r="AO667" s="623"/>
      <c r="AP667" s="623"/>
      <c r="AQ667" s="623"/>
      <c r="AR667" s="623"/>
      <c r="AS667" s="623"/>
      <c r="AT667" s="623"/>
      <c r="AU667" s="623"/>
      <c r="AV667" s="623"/>
      <c r="AW667" s="623"/>
      <c r="AX667" s="623"/>
      <c r="AY667" s="623"/>
      <c r="AZ667" s="623"/>
      <c r="BA667" s="623"/>
    </row>
    <row r="668">
      <c r="A668" s="623"/>
      <c r="B668" s="623"/>
      <c r="C668" s="623"/>
      <c r="D668" s="623"/>
      <c r="E668" s="623"/>
      <c r="F668" s="623"/>
      <c r="G668" s="623"/>
      <c r="H668" s="623"/>
      <c r="I668" s="623"/>
      <c r="J668" s="623"/>
      <c r="K668" s="623"/>
      <c r="L668" s="623"/>
      <c r="M668" s="623"/>
      <c r="N668" s="623"/>
      <c r="O668" s="623"/>
      <c r="P668" s="623"/>
      <c r="Q668" s="623"/>
      <c r="R668" s="623"/>
      <c r="S668" s="623"/>
      <c r="T668" s="623"/>
      <c r="U668" s="623"/>
      <c r="V668" s="623"/>
      <c r="W668" s="623"/>
      <c r="X668" s="623"/>
      <c r="Y668" s="623"/>
      <c r="Z668" s="623"/>
      <c r="AA668" s="623"/>
      <c r="AB668" s="623"/>
      <c r="AC668" s="623"/>
      <c r="AD668" s="623"/>
      <c r="AE668" s="623"/>
      <c r="AF668" s="623"/>
      <c r="AG668" s="623"/>
      <c r="AH668" s="623"/>
      <c r="AI668" s="623"/>
      <c r="AJ668" s="623"/>
      <c r="AK668" s="623"/>
      <c r="AL668" s="623"/>
      <c r="AM668" s="623"/>
      <c r="AN668" s="623"/>
      <c r="AO668" s="623"/>
      <c r="AP668" s="623"/>
      <c r="AQ668" s="623"/>
      <c r="AR668" s="623"/>
      <c r="AS668" s="623"/>
      <c r="AT668" s="623"/>
      <c r="AU668" s="623"/>
      <c r="AV668" s="623"/>
      <c r="AW668" s="623"/>
      <c r="AX668" s="623"/>
      <c r="AY668" s="623"/>
      <c r="AZ668" s="623"/>
      <c r="BA668" s="623"/>
    </row>
    <row r="669">
      <c r="A669" s="623"/>
      <c r="B669" s="623"/>
      <c r="C669" s="623"/>
      <c r="D669" s="623"/>
      <c r="E669" s="623"/>
      <c r="F669" s="623"/>
      <c r="G669" s="623"/>
      <c r="H669" s="623"/>
      <c r="I669" s="623"/>
      <c r="J669" s="623"/>
      <c r="K669" s="623"/>
      <c r="L669" s="623"/>
      <c r="M669" s="623"/>
      <c r="N669" s="623"/>
      <c r="O669" s="623"/>
      <c r="P669" s="623"/>
      <c r="Q669" s="623"/>
      <c r="R669" s="623"/>
      <c r="S669" s="623"/>
      <c r="T669" s="623"/>
      <c r="U669" s="623"/>
      <c r="V669" s="623"/>
      <c r="W669" s="623"/>
      <c r="X669" s="623"/>
      <c r="Y669" s="623"/>
      <c r="Z669" s="623"/>
      <c r="AA669" s="623"/>
      <c r="AB669" s="623"/>
      <c r="AC669" s="623"/>
      <c r="AD669" s="623"/>
      <c r="AE669" s="623"/>
      <c r="AF669" s="623"/>
      <c r="AG669" s="623"/>
      <c r="AH669" s="623"/>
      <c r="AI669" s="623"/>
      <c r="AJ669" s="623"/>
      <c r="AK669" s="623"/>
      <c r="AL669" s="623"/>
      <c r="AM669" s="623"/>
      <c r="AN669" s="623"/>
      <c r="AO669" s="623"/>
      <c r="AP669" s="623"/>
      <c r="AQ669" s="623"/>
      <c r="AR669" s="623"/>
      <c r="AS669" s="623"/>
      <c r="AT669" s="623"/>
      <c r="AU669" s="623"/>
      <c r="AV669" s="623"/>
      <c r="AW669" s="623"/>
      <c r="AX669" s="623"/>
      <c r="AY669" s="623"/>
      <c r="AZ669" s="623"/>
      <c r="BA669" s="623"/>
    </row>
    <row r="670">
      <c r="A670" s="623"/>
      <c r="B670" s="623"/>
      <c r="C670" s="623"/>
      <c r="D670" s="623"/>
      <c r="E670" s="623"/>
      <c r="F670" s="623"/>
      <c r="G670" s="623"/>
      <c r="H670" s="623"/>
      <c r="I670" s="623"/>
      <c r="J670" s="623"/>
      <c r="K670" s="623"/>
      <c r="L670" s="623"/>
      <c r="M670" s="623"/>
      <c r="N670" s="623"/>
      <c r="O670" s="623"/>
      <c r="P670" s="623"/>
      <c r="Q670" s="623"/>
      <c r="R670" s="623"/>
      <c r="S670" s="623"/>
      <c r="T670" s="623"/>
      <c r="U670" s="623"/>
      <c r="V670" s="623"/>
      <c r="W670" s="623"/>
      <c r="X670" s="623"/>
      <c r="Y670" s="623"/>
      <c r="Z670" s="623"/>
      <c r="AA670" s="623"/>
      <c r="AB670" s="623"/>
      <c r="AC670" s="623"/>
      <c r="AD670" s="623"/>
      <c r="AE670" s="623"/>
      <c r="AF670" s="623"/>
      <c r="AG670" s="623"/>
      <c r="AH670" s="623"/>
      <c r="AI670" s="623"/>
      <c r="AJ670" s="623"/>
      <c r="AK670" s="623"/>
      <c r="AL670" s="623"/>
      <c r="AM670" s="623"/>
      <c r="AN670" s="623"/>
      <c r="AO670" s="623"/>
      <c r="AP670" s="623"/>
      <c r="AQ670" s="623"/>
      <c r="AR670" s="623"/>
      <c r="AS670" s="623"/>
      <c r="AT670" s="623"/>
      <c r="AU670" s="623"/>
      <c r="AV670" s="623"/>
      <c r="AW670" s="623"/>
      <c r="AX670" s="623"/>
      <c r="AY670" s="623"/>
      <c r="AZ670" s="623"/>
      <c r="BA670" s="623"/>
    </row>
    <row r="671">
      <c r="A671" s="623"/>
      <c r="B671" s="623"/>
      <c r="C671" s="623"/>
      <c r="D671" s="623"/>
      <c r="E671" s="623"/>
      <c r="F671" s="623"/>
      <c r="G671" s="623"/>
      <c r="H671" s="623"/>
      <c r="I671" s="623"/>
      <c r="J671" s="623"/>
      <c r="K671" s="623"/>
      <c r="L671" s="623"/>
      <c r="M671" s="623"/>
      <c r="N671" s="623"/>
      <c r="O671" s="623"/>
      <c r="P671" s="623"/>
      <c r="Q671" s="623"/>
      <c r="R671" s="623"/>
      <c r="S671" s="623"/>
      <c r="T671" s="623"/>
      <c r="U671" s="623"/>
      <c r="V671" s="623"/>
      <c r="W671" s="623"/>
      <c r="X671" s="623"/>
      <c r="Y671" s="623"/>
      <c r="Z671" s="623"/>
      <c r="AA671" s="623"/>
      <c r="AB671" s="623"/>
      <c r="AC671" s="623"/>
      <c r="AD671" s="623"/>
      <c r="AE671" s="623"/>
      <c r="AF671" s="623"/>
      <c r="AG671" s="623"/>
      <c r="AH671" s="623"/>
      <c r="AI671" s="623"/>
      <c r="AJ671" s="623"/>
      <c r="AK671" s="623"/>
      <c r="AL671" s="623"/>
      <c r="AM671" s="623"/>
      <c r="AN671" s="623"/>
      <c r="AO671" s="623"/>
      <c r="AP671" s="623"/>
      <c r="AQ671" s="623"/>
      <c r="AR671" s="623"/>
      <c r="AS671" s="623"/>
      <c r="AT671" s="623"/>
      <c r="AU671" s="623"/>
      <c r="AV671" s="623"/>
      <c r="AW671" s="623"/>
      <c r="AX671" s="623"/>
      <c r="AY671" s="623"/>
      <c r="AZ671" s="623"/>
      <c r="BA671" s="623"/>
    </row>
    <row r="672">
      <c r="A672" s="623"/>
      <c r="B672" s="623"/>
      <c r="C672" s="623"/>
      <c r="D672" s="623"/>
      <c r="E672" s="623"/>
      <c r="F672" s="623"/>
      <c r="G672" s="623"/>
      <c r="H672" s="623"/>
      <c r="I672" s="623"/>
      <c r="J672" s="623"/>
      <c r="K672" s="623"/>
      <c r="L672" s="623"/>
      <c r="M672" s="623"/>
      <c r="N672" s="623"/>
      <c r="O672" s="623"/>
      <c r="P672" s="623"/>
      <c r="Q672" s="623"/>
      <c r="R672" s="623"/>
      <c r="S672" s="623"/>
      <c r="T672" s="623"/>
      <c r="U672" s="623"/>
      <c r="V672" s="623"/>
      <c r="W672" s="623"/>
      <c r="X672" s="623"/>
      <c r="Y672" s="623"/>
      <c r="Z672" s="623"/>
      <c r="AA672" s="623"/>
      <c r="AB672" s="623"/>
      <c r="AC672" s="623"/>
      <c r="AD672" s="623"/>
      <c r="AE672" s="623"/>
      <c r="AF672" s="623"/>
      <c r="AG672" s="623"/>
      <c r="AH672" s="623"/>
      <c r="AI672" s="623"/>
      <c r="AJ672" s="623"/>
      <c r="AK672" s="623"/>
      <c r="AL672" s="623"/>
      <c r="AM672" s="623"/>
      <c r="AN672" s="623"/>
      <c r="AO672" s="623"/>
      <c r="AP672" s="623"/>
      <c r="AQ672" s="623"/>
      <c r="AR672" s="623"/>
      <c r="AS672" s="623"/>
      <c r="AT672" s="623"/>
      <c r="AU672" s="623"/>
      <c r="AV672" s="623"/>
      <c r="AW672" s="623"/>
      <c r="AX672" s="623"/>
      <c r="AY672" s="623"/>
      <c r="AZ672" s="623"/>
      <c r="BA672" s="623"/>
    </row>
    <row r="673">
      <c r="A673" s="623"/>
      <c r="B673" s="623"/>
      <c r="C673" s="623"/>
      <c r="D673" s="623"/>
      <c r="E673" s="623"/>
      <c r="F673" s="623"/>
      <c r="G673" s="623"/>
      <c r="H673" s="623"/>
      <c r="I673" s="623"/>
      <c r="J673" s="623"/>
      <c r="K673" s="623"/>
      <c r="L673" s="623"/>
      <c r="M673" s="623"/>
      <c r="N673" s="623"/>
      <c r="O673" s="623"/>
      <c r="P673" s="623"/>
      <c r="Q673" s="623"/>
      <c r="R673" s="623"/>
      <c r="S673" s="623"/>
      <c r="T673" s="623"/>
      <c r="U673" s="623"/>
      <c r="V673" s="623"/>
      <c r="W673" s="623"/>
      <c r="X673" s="623"/>
      <c r="Y673" s="623"/>
      <c r="Z673" s="623"/>
      <c r="AA673" s="623"/>
      <c r="AB673" s="623"/>
      <c r="AC673" s="623"/>
      <c r="AD673" s="623"/>
      <c r="AE673" s="623"/>
      <c r="AF673" s="623"/>
      <c r="AG673" s="623"/>
      <c r="AH673" s="623"/>
      <c r="AI673" s="623"/>
      <c r="AJ673" s="623"/>
      <c r="AK673" s="623"/>
      <c r="AL673" s="623"/>
      <c r="AM673" s="623"/>
      <c r="AN673" s="623"/>
      <c r="AO673" s="623"/>
      <c r="AP673" s="623"/>
      <c r="AQ673" s="623"/>
      <c r="AR673" s="623"/>
      <c r="AS673" s="623"/>
      <c r="AT673" s="623"/>
      <c r="AU673" s="623"/>
      <c r="AV673" s="623"/>
      <c r="AW673" s="623"/>
      <c r="AX673" s="623"/>
      <c r="AY673" s="623"/>
      <c r="AZ673" s="623"/>
      <c r="BA673" s="623"/>
    </row>
    <row r="674">
      <c r="A674" s="623"/>
      <c r="B674" s="623"/>
      <c r="C674" s="623"/>
      <c r="D674" s="623"/>
      <c r="E674" s="623"/>
      <c r="F674" s="623"/>
      <c r="G674" s="623"/>
      <c r="H674" s="623"/>
      <c r="I674" s="623"/>
      <c r="J674" s="623"/>
      <c r="K674" s="623"/>
      <c r="L674" s="623"/>
      <c r="M674" s="623"/>
      <c r="N674" s="623"/>
      <c r="O674" s="623"/>
      <c r="P674" s="623"/>
      <c r="Q674" s="623"/>
      <c r="R674" s="623"/>
      <c r="S674" s="623"/>
      <c r="T674" s="623"/>
      <c r="U674" s="623"/>
      <c r="V674" s="623"/>
      <c r="W674" s="623"/>
      <c r="X674" s="623"/>
      <c r="Y674" s="623"/>
      <c r="Z674" s="623"/>
      <c r="AA674" s="623"/>
      <c r="AB674" s="623"/>
      <c r="AC674" s="623"/>
      <c r="AD674" s="623"/>
      <c r="AE674" s="623"/>
      <c r="AF674" s="623"/>
      <c r="AG674" s="623"/>
      <c r="AH674" s="623"/>
      <c r="AI674" s="623"/>
      <c r="AJ674" s="623"/>
      <c r="AK674" s="623"/>
      <c r="AL674" s="623"/>
      <c r="AM674" s="623"/>
      <c r="AN674" s="623"/>
      <c r="AO674" s="623"/>
      <c r="AP674" s="623"/>
      <c r="AQ674" s="623"/>
      <c r="AR674" s="623"/>
      <c r="AS674" s="623"/>
      <c r="AT674" s="623"/>
      <c r="AU674" s="623"/>
      <c r="AV674" s="623"/>
      <c r="AW674" s="623"/>
      <c r="AX674" s="623"/>
      <c r="AY674" s="623"/>
      <c r="AZ674" s="623"/>
      <c r="BA674" s="623"/>
    </row>
    <row r="675">
      <c r="A675" s="623"/>
      <c r="B675" s="623"/>
      <c r="C675" s="623"/>
      <c r="D675" s="623"/>
      <c r="E675" s="623"/>
      <c r="F675" s="623"/>
      <c r="G675" s="623"/>
      <c r="H675" s="623"/>
      <c r="I675" s="623"/>
      <c r="J675" s="623"/>
      <c r="K675" s="623"/>
      <c r="L675" s="623"/>
      <c r="M675" s="623"/>
      <c r="N675" s="623"/>
      <c r="O675" s="623"/>
      <c r="P675" s="623"/>
      <c r="Q675" s="623"/>
      <c r="R675" s="623"/>
      <c r="S675" s="623"/>
      <c r="T675" s="623"/>
      <c r="U675" s="623"/>
      <c r="V675" s="623"/>
      <c r="W675" s="623"/>
      <c r="X675" s="623"/>
      <c r="Y675" s="623"/>
      <c r="Z675" s="623"/>
      <c r="AA675" s="623"/>
      <c r="AB675" s="623"/>
      <c r="AC675" s="623"/>
      <c r="AD675" s="623"/>
      <c r="AE675" s="623"/>
      <c r="AF675" s="623"/>
      <c r="AG675" s="623"/>
      <c r="AH675" s="623"/>
      <c r="AI675" s="623"/>
      <c r="AJ675" s="623"/>
      <c r="AK675" s="623"/>
      <c r="AL675" s="623"/>
      <c r="AM675" s="623"/>
      <c r="AN675" s="623"/>
      <c r="AO675" s="623"/>
      <c r="AP675" s="623"/>
      <c r="AQ675" s="623"/>
      <c r="AR675" s="623"/>
      <c r="AS675" s="623"/>
      <c r="AT675" s="623"/>
      <c r="AU675" s="623"/>
      <c r="AV675" s="623"/>
      <c r="AW675" s="623"/>
      <c r="AX675" s="623"/>
      <c r="AY675" s="623"/>
      <c r="AZ675" s="623"/>
      <c r="BA675" s="623"/>
    </row>
    <row r="676">
      <c r="A676" s="623"/>
      <c r="B676" s="623"/>
      <c r="C676" s="623"/>
      <c r="D676" s="623"/>
      <c r="E676" s="623"/>
      <c r="F676" s="623"/>
      <c r="G676" s="623"/>
      <c r="H676" s="623"/>
      <c r="I676" s="623"/>
      <c r="J676" s="623"/>
      <c r="K676" s="623"/>
      <c r="L676" s="623"/>
      <c r="M676" s="623"/>
      <c r="N676" s="623"/>
      <c r="O676" s="623"/>
      <c r="P676" s="623"/>
      <c r="Q676" s="623"/>
      <c r="R676" s="623"/>
      <c r="S676" s="623"/>
      <c r="T676" s="623"/>
      <c r="U676" s="623"/>
      <c r="V676" s="623"/>
      <c r="W676" s="623"/>
      <c r="X676" s="623"/>
      <c r="Y676" s="623"/>
      <c r="Z676" s="623"/>
      <c r="AA676" s="623"/>
      <c r="AB676" s="623"/>
      <c r="AC676" s="623"/>
      <c r="AD676" s="623"/>
      <c r="AE676" s="623"/>
      <c r="AF676" s="623"/>
      <c r="AG676" s="623"/>
      <c r="AH676" s="623"/>
      <c r="AI676" s="623"/>
      <c r="AJ676" s="623"/>
      <c r="AK676" s="623"/>
      <c r="AL676" s="623"/>
      <c r="AM676" s="623"/>
      <c r="AN676" s="623"/>
      <c r="AO676" s="623"/>
      <c r="AP676" s="623"/>
      <c r="AQ676" s="623"/>
      <c r="AR676" s="623"/>
      <c r="AS676" s="623"/>
      <c r="AT676" s="623"/>
      <c r="AU676" s="623"/>
      <c r="AV676" s="623"/>
      <c r="AW676" s="623"/>
      <c r="AX676" s="623"/>
      <c r="AY676" s="623"/>
      <c r="AZ676" s="623"/>
      <c r="BA676" s="623"/>
    </row>
    <row r="677">
      <c r="A677" s="623"/>
      <c r="B677" s="623"/>
      <c r="C677" s="623"/>
      <c r="D677" s="623"/>
      <c r="E677" s="623"/>
      <c r="F677" s="623"/>
      <c r="G677" s="623"/>
      <c r="H677" s="623"/>
      <c r="I677" s="623"/>
      <c r="J677" s="623"/>
      <c r="K677" s="623"/>
      <c r="L677" s="623"/>
      <c r="M677" s="623"/>
      <c r="N677" s="623"/>
      <c r="O677" s="623"/>
      <c r="P677" s="623"/>
      <c r="Q677" s="623"/>
      <c r="R677" s="623"/>
      <c r="S677" s="623"/>
      <c r="T677" s="623"/>
      <c r="U677" s="623"/>
      <c r="V677" s="623"/>
      <c r="W677" s="623"/>
      <c r="X677" s="623"/>
      <c r="Y677" s="623"/>
      <c r="Z677" s="623"/>
      <c r="AA677" s="623"/>
      <c r="AB677" s="623"/>
      <c r="AC677" s="623"/>
      <c r="AD677" s="623"/>
      <c r="AE677" s="623"/>
      <c r="AF677" s="623"/>
      <c r="AG677" s="623"/>
      <c r="AH677" s="623"/>
      <c r="AI677" s="623"/>
      <c r="AJ677" s="623"/>
      <c r="AK677" s="623"/>
      <c r="AL677" s="623"/>
      <c r="AM677" s="623"/>
      <c r="AN677" s="623"/>
      <c r="AO677" s="623"/>
      <c r="AP677" s="623"/>
      <c r="AQ677" s="623"/>
      <c r="AR677" s="623"/>
      <c r="AS677" s="623"/>
      <c r="AT677" s="623"/>
      <c r="AU677" s="623"/>
      <c r="AV677" s="623"/>
      <c r="AW677" s="623"/>
      <c r="AX677" s="623"/>
      <c r="AY677" s="623"/>
      <c r="AZ677" s="623"/>
      <c r="BA677" s="623"/>
    </row>
    <row r="678">
      <c r="A678" s="623"/>
      <c r="B678" s="623"/>
      <c r="C678" s="623"/>
      <c r="D678" s="623"/>
      <c r="E678" s="623"/>
      <c r="F678" s="623"/>
      <c r="G678" s="623"/>
      <c r="H678" s="623"/>
      <c r="I678" s="623"/>
      <c r="J678" s="623"/>
      <c r="K678" s="623"/>
      <c r="L678" s="623"/>
      <c r="M678" s="623"/>
      <c r="N678" s="623"/>
      <c r="O678" s="623"/>
      <c r="P678" s="623"/>
      <c r="Q678" s="623"/>
      <c r="R678" s="623"/>
      <c r="S678" s="623"/>
      <c r="T678" s="623"/>
      <c r="U678" s="623"/>
      <c r="V678" s="623"/>
      <c r="W678" s="623"/>
      <c r="X678" s="623"/>
      <c r="Y678" s="623"/>
      <c r="Z678" s="623"/>
      <c r="AA678" s="623"/>
      <c r="AB678" s="623"/>
      <c r="AC678" s="623"/>
      <c r="AD678" s="623"/>
      <c r="AE678" s="623"/>
      <c r="AF678" s="623"/>
      <c r="AG678" s="623"/>
      <c r="AH678" s="623"/>
      <c r="AI678" s="623"/>
      <c r="AJ678" s="623"/>
      <c r="AK678" s="623"/>
      <c r="AL678" s="623"/>
      <c r="AM678" s="623"/>
      <c r="AN678" s="623"/>
      <c r="AO678" s="623"/>
      <c r="AP678" s="623"/>
      <c r="AQ678" s="623"/>
      <c r="AR678" s="623"/>
      <c r="AS678" s="623"/>
      <c r="AT678" s="623"/>
      <c r="AU678" s="623"/>
      <c r="AV678" s="623"/>
      <c r="AW678" s="623"/>
      <c r="AX678" s="623"/>
      <c r="AY678" s="623"/>
      <c r="AZ678" s="623"/>
      <c r="BA678" s="623"/>
    </row>
    <row r="679">
      <c r="A679" s="623"/>
      <c r="B679" s="623"/>
      <c r="C679" s="623"/>
      <c r="D679" s="623"/>
      <c r="E679" s="623"/>
      <c r="F679" s="623"/>
      <c r="G679" s="623"/>
      <c r="H679" s="623"/>
      <c r="I679" s="623"/>
      <c r="J679" s="623"/>
      <c r="K679" s="623"/>
      <c r="L679" s="623"/>
      <c r="M679" s="623"/>
      <c r="N679" s="623"/>
      <c r="O679" s="623"/>
      <c r="P679" s="623"/>
      <c r="Q679" s="623"/>
      <c r="R679" s="623"/>
      <c r="S679" s="623"/>
      <c r="T679" s="623"/>
      <c r="U679" s="623"/>
      <c r="V679" s="623"/>
      <c r="W679" s="623"/>
      <c r="X679" s="623"/>
      <c r="Y679" s="623"/>
      <c r="Z679" s="623"/>
      <c r="AA679" s="623"/>
      <c r="AB679" s="623"/>
      <c r="AC679" s="623"/>
      <c r="AD679" s="623"/>
      <c r="AE679" s="623"/>
      <c r="AF679" s="623"/>
      <c r="AG679" s="623"/>
      <c r="AH679" s="623"/>
      <c r="AI679" s="623"/>
      <c r="AJ679" s="623"/>
      <c r="AK679" s="623"/>
      <c r="AL679" s="623"/>
      <c r="AM679" s="623"/>
      <c r="AN679" s="623"/>
      <c r="AO679" s="623"/>
      <c r="AP679" s="623"/>
      <c r="AQ679" s="623"/>
      <c r="AR679" s="623"/>
      <c r="AS679" s="623"/>
      <c r="AT679" s="623"/>
      <c r="AU679" s="623"/>
      <c r="AV679" s="623"/>
      <c r="AW679" s="623"/>
      <c r="AX679" s="623"/>
      <c r="AY679" s="623"/>
      <c r="AZ679" s="623"/>
      <c r="BA679" s="623"/>
    </row>
    <row r="680">
      <c r="A680" s="623"/>
      <c r="B680" s="623"/>
      <c r="C680" s="623"/>
      <c r="D680" s="623"/>
      <c r="E680" s="623"/>
      <c r="F680" s="623"/>
      <c r="G680" s="623"/>
      <c r="H680" s="623"/>
      <c r="I680" s="623"/>
      <c r="J680" s="623"/>
      <c r="K680" s="623"/>
      <c r="L680" s="623"/>
      <c r="M680" s="623"/>
      <c r="N680" s="623"/>
      <c r="O680" s="623"/>
      <c r="P680" s="623"/>
      <c r="Q680" s="623"/>
      <c r="R680" s="623"/>
      <c r="S680" s="623"/>
      <c r="T680" s="623"/>
      <c r="U680" s="623"/>
      <c r="V680" s="623"/>
      <c r="W680" s="623"/>
      <c r="X680" s="623"/>
      <c r="Y680" s="623"/>
      <c r="Z680" s="623"/>
      <c r="AA680" s="623"/>
      <c r="AB680" s="623"/>
      <c r="AC680" s="623"/>
      <c r="AD680" s="623"/>
      <c r="AE680" s="623"/>
      <c r="AF680" s="623"/>
      <c r="AG680" s="623"/>
      <c r="AH680" s="623"/>
      <c r="AI680" s="623"/>
      <c r="AJ680" s="623"/>
      <c r="AK680" s="623"/>
      <c r="AL680" s="623"/>
      <c r="AM680" s="623"/>
      <c r="AN680" s="623"/>
      <c r="AO680" s="623"/>
      <c r="AP680" s="623"/>
      <c r="AQ680" s="623"/>
      <c r="AR680" s="623"/>
      <c r="AS680" s="623"/>
      <c r="AT680" s="623"/>
      <c r="AU680" s="623"/>
      <c r="AV680" s="623"/>
      <c r="AW680" s="623"/>
      <c r="AX680" s="623"/>
      <c r="AY680" s="623"/>
      <c r="AZ680" s="623"/>
      <c r="BA680" s="623"/>
    </row>
    <row r="681">
      <c r="A681" s="623"/>
      <c r="B681" s="623"/>
      <c r="C681" s="623"/>
      <c r="D681" s="623"/>
      <c r="E681" s="623"/>
      <c r="F681" s="623"/>
      <c r="G681" s="623"/>
      <c r="H681" s="623"/>
      <c r="I681" s="623"/>
      <c r="J681" s="623"/>
      <c r="K681" s="623"/>
      <c r="L681" s="623"/>
      <c r="M681" s="623"/>
      <c r="N681" s="623"/>
      <c r="O681" s="623"/>
      <c r="P681" s="623"/>
      <c r="Q681" s="623"/>
      <c r="R681" s="623"/>
      <c r="S681" s="623"/>
      <c r="T681" s="623"/>
      <c r="U681" s="623"/>
      <c r="V681" s="623"/>
      <c r="W681" s="623"/>
      <c r="X681" s="623"/>
      <c r="Y681" s="623"/>
      <c r="Z681" s="623"/>
      <c r="AA681" s="623"/>
      <c r="AB681" s="623"/>
      <c r="AC681" s="623"/>
      <c r="AD681" s="623"/>
      <c r="AE681" s="623"/>
      <c r="AF681" s="623"/>
      <c r="AG681" s="623"/>
      <c r="AH681" s="623"/>
      <c r="AI681" s="623"/>
      <c r="AJ681" s="623"/>
      <c r="AK681" s="623"/>
      <c r="AL681" s="623"/>
      <c r="AM681" s="623"/>
      <c r="AN681" s="623"/>
      <c r="AO681" s="623"/>
      <c r="AP681" s="623"/>
      <c r="AQ681" s="623"/>
      <c r="AR681" s="623"/>
      <c r="AS681" s="623"/>
      <c r="AT681" s="623"/>
      <c r="AU681" s="623"/>
      <c r="AV681" s="623"/>
      <c r="AW681" s="623"/>
      <c r="AX681" s="623"/>
      <c r="AY681" s="623"/>
      <c r="AZ681" s="623"/>
      <c r="BA681" s="623"/>
    </row>
    <row r="682">
      <c r="A682" s="623"/>
      <c r="B682" s="623"/>
      <c r="C682" s="623"/>
      <c r="D682" s="623"/>
      <c r="E682" s="623"/>
      <c r="F682" s="623"/>
      <c r="G682" s="623"/>
      <c r="H682" s="623"/>
      <c r="I682" s="623"/>
      <c r="J682" s="623"/>
      <c r="K682" s="623"/>
      <c r="L682" s="623"/>
      <c r="M682" s="623"/>
      <c r="N682" s="623"/>
      <c r="O682" s="623"/>
      <c r="P682" s="623"/>
      <c r="Q682" s="623"/>
      <c r="R682" s="623"/>
      <c r="S682" s="623"/>
      <c r="T682" s="623"/>
      <c r="U682" s="623"/>
      <c r="V682" s="623"/>
      <c r="W682" s="623"/>
      <c r="X682" s="623"/>
      <c r="Y682" s="623"/>
      <c r="Z682" s="623"/>
      <c r="AA682" s="623"/>
      <c r="AB682" s="623"/>
      <c r="AC682" s="623"/>
      <c r="AD682" s="623"/>
      <c r="AE682" s="623"/>
      <c r="AF682" s="623"/>
      <c r="AG682" s="623"/>
      <c r="AH682" s="623"/>
      <c r="AI682" s="623"/>
      <c r="AJ682" s="623"/>
      <c r="AK682" s="623"/>
      <c r="AL682" s="623"/>
      <c r="AM682" s="623"/>
      <c r="AN682" s="623"/>
      <c r="AO682" s="623"/>
      <c r="AP682" s="623"/>
      <c r="AQ682" s="623"/>
      <c r="AR682" s="623"/>
      <c r="AS682" s="623"/>
      <c r="AT682" s="623"/>
      <c r="AU682" s="623"/>
      <c r="AV682" s="623"/>
      <c r="AW682" s="623"/>
      <c r="AX682" s="623"/>
      <c r="AY682" s="623"/>
      <c r="AZ682" s="623"/>
      <c r="BA682" s="623"/>
    </row>
    <row r="683">
      <c r="A683" s="623"/>
      <c r="B683" s="623"/>
      <c r="C683" s="623"/>
      <c r="D683" s="623"/>
      <c r="E683" s="623"/>
      <c r="F683" s="623"/>
      <c r="G683" s="623"/>
      <c r="H683" s="623"/>
      <c r="I683" s="623"/>
      <c r="J683" s="623"/>
      <c r="K683" s="623"/>
      <c r="L683" s="623"/>
      <c r="M683" s="623"/>
      <c r="N683" s="623"/>
      <c r="O683" s="623"/>
      <c r="P683" s="623"/>
      <c r="Q683" s="623"/>
      <c r="R683" s="623"/>
      <c r="S683" s="623"/>
      <c r="T683" s="623"/>
      <c r="U683" s="623"/>
      <c r="V683" s="623"/>
      <c r="W683" s="623"/>
      <c r="X683" s="623"/>
      <c r="Y683" s="623"/>
      <c r="Z683" s="623"/>
      <c r="AA683" s="623"/>
      <c r="AB683" s="623"/>
      <c r="AC683" s="623"/>
      <c r="AD683" s="623"/>
      <c r="AE683" s="623"/>
      <c r="AF683" s="623"/>
      <c r="AG683" s="623"/>
      <c r="AH683" s="623"/>
      <c r="AI683" s="623"/>
      <c r="AJ683" s="623"/>
      <c r="AK683" s="623"/>
      <c r="AL683" s="623"/>
      <c r="AM683" s="623"/>
      <c r="AN683" s="623"/>
      <c r="AO683" s="623"/>
      <c r="AP683" s="623"/>
      <c r="AQ683" s="623"/>
      <c r="AR683" s="623"/>
      <c r="AS683" s="623"/>
      <c r="AT683" s="623"/>
      <c r="AU683" s="623"/>
      <c r="AV683" s="623"/>
      <c r="AW683" s="623"/>
      <c r="AX683" s="623"/>
      <c r="AY683" s="623"/>
      <c r="AZ683" s="623"/>
      <c r="BA683" s="623"/>
    </row>
    <row r="684">
      <c r="A684" s="623"/>
      <c r="B684" s="623"/>
      <c r="C684" s="623"/>
      <c r="D684" s="623"/>
      <c r="E684" s="623"/>
      <c r="F684" s="623"/>
      <c r="G684" s="623"/>
      <c r="H684" s="623"/>
      <c r="I684" s="623"/>
      <c r="J684" s="623"/>
      <c r="K684" s="623"/>
      <c r="L684" s="623"/>
      <c r="M684" s="623"/>
      <c r="N684" s="623"/>
      <c r="O684" s="623"/>
      <c r="P684" s="623"/>
      <c r="Q684" s="623"/>
      <c r="R684" s="623"/>
      <c r="S684" s="623"/>
      <c r="T684" s="623"/>
      <c r="U684" s="623"/>
      <c r="V684" s="623"/>
      <c r="W684" s="623"/>
      <c r="X684" s="623"/>
      <c r="Y684" s="623"/>
      <c r="Z684" s="623"/>
      <c r="AA684" s="623"/>
      <c r="AB684" s="623"/>
      <c r="AC684" s="623"/>
      <c r="AD684" s="623"/>
      <c r="AE684" s="623"/>
      <c r="AF684" s="623"/>
      <c r="AG684" s="623"/>
      <c r="AH684" s="623"/>
      <c r="AI684" s="623"/>
      <c r="AJ684" s="623"/>
      <c r="AK684" s="623"/>
      <c r="AL684" s="623"/>
      <c r="AM684" s="623"/>
      <c r="AN684" s="623"/>
      <c r="AO684" s="623"/>
      <c r="AP684" s="623"/>
      <c r="AQ684" s="623"/>
      <c r="AR684" s="623"/>
      <c r="AS684" s="623"/>
      <c r="AT684" s="623"/>
      <c r="AU684" s="623"/>
      <c r="AV684" s="623"/>
      <c r="AW684" s="623"/>
      <c r="AX684" s="623"/>
      <c r="AY684" s="623"/>
      <c r="AZ684" s="623"/>
      <c r="BA684" s="623"/>
    </row>
    <row r="685">
      <c r="A685" s="623"/>
      <c r="B685" s="623"/>
      <c r="C685" s="623"/>
      <c r="D685" s="623"/>
      <c r="E685" s="623"/>
      <c r="F685" s="623"/>
      <c r="G685" s="623"/>
      <c r="H685" s="623"/>
      <c r="I685" s="623"/>
      <c r="J685" s="623"/>
      <c r="K685" s="623"/>
      <c r="L685" s="623"/>
      <c r="M685" s="623"/>
      <c r="N685" s="623"/>
      <c r="O685" s="623"/>
      <c r="P685" s="623"/>
      <c r="Q685" s="623"/>
      <c r="R685" s="623"/>
      <c r="S685" s="623"/>
      <c r="T685" s="623"/>
      <c r="U685" s="623"/>
      <c r="V685" s="623"/>
      <c r="W685" s="623"/>
      <c r="X685" s="623"/>
      <c r="Y685" s="623"/>
      <c r="Z685" s="623"/>
      <c r="AA685" s="623"/>
      <c r="AB685" s="623"/>
      <c r="AC685" s="623"/>
      <c r="AD685" s="623"/>
      <c r="AE685" s="623"/>
      <c r="AF685" s="623"/>
      <c r="AG685" s="623"/>
      <c r="AH685" s="623"/>
      <c r="AI685" s="623"/>
      <c r="AJ685" s="623"/>
      <c r="AK685" s="623"/>
      <c r="AL685" s="623"/>
      <c r="AM685" s="623"/>
      <c r="AN685" s="623"/>
      <c r="AO685" s="623"/>
      <c r="AP685" s="623"/>
      <c r="AQ685" s="623"/>
      <c r="AR685" s="623"/>
      <c r="AS685" s="623"/>
      <c r="AT685" s="623"/>
      <c r="AU685" s="623"/>
      <c r="AV685" s="623"/>
      <c r="AW685" s="623"/>
      <c r="AX685" s="623"/>
      <c r="AY685" s="623"/>
      <c r="AZ685" s="623"/>
      <c r="BA685" s="623"/>
    </row>
    <row r="686">
      <c r="A686" s="623"/>
      <c r="B686" s="623"/>
      <c r="C686" s="623"/>
      <c r="D686" s="623"/>
      <c r="E686" s="623"/>
      <c r="F686" s="623"/>
      <c r="G686" s="623"/>
      <c r="H686" s="623"/>
      <c r="I686" s="623"/>
      <c r="J686" s="623"/>
      <c r="K686" s="623"/>
      <c r="L686" s="623"/>
      <c r="M686" s="623"/>
      <c r="N686" s="623"/>
      <c r="O686" s="623"/>
      <c r="P686" s="623"/>
      <c r="Q686" s="623"/>
      <c r="R686" s="623"/>
      <c r="S686" s="623"/>
      <c r="T686" s="623"/>
      <c r="U686" s="623"/>
      <c r="V686" s="623"/>
      <c r="W686" s="623"/>
      <c r="X686" s="623"/>
      <c r="Y686" s="623"/>
      <c r="Z686" s="623"/>
      <c r="AA686" s="623"/>
      <c r="AB686" s="623"/>
      <c r="AC686" s="623"/>
      <c r="AD686" s="623"/>
      <c r="AE686" s="623"/>
      <c r="AF686" s="623"/>
      <c r="AG686" s="623"/>
      <c r="AH686" s="623"/>
      <c r="AI686" s="623"/>
      <c r="AJ686" s="623"/>
      <c r="AK686" s="623"/>
      <c r="AL686" s="623"/>
      <c r="AM686" s="623"/>
      <c r="AN686" s="623"/>
      <c r="AO686" s="623"/>
      <c r="AP686" s="623"/>
      <c r="AQ686" s="623"/>
      <c r="AR686" s="623"/>
      <c r="AS686" s="623"/>
      <c r="AT686" s="623"/>
      <c r="AU686" s="623"/>
      <c r="AV686" s="623"/>
      <c r="AW686" s="623"/>
      <c r="AX686" s="623"/>
      <c r="AY686" s="623"/>
      <c r="AZ686" s="623"/>
      <c r="BA686" s="623"/>
    </row>
    <row r="687">
      <c r="A687" s="623"/>
      <c r="B687" s="623"/>
      <c r="C687" s="623"/>
      <c r="D687" s="623"/>
      <c r="E687" s="623"/>
      <c r="F687" s="623"/>
      <c r="G687" s="623"/>
      <c r="H687" s="623"/>
      <c r="I687" s="623"/>
      <c r="J687" s="623"/>
      <c r="K687" s="623"/>
      <c r="L687" s="623"/>
      <c r="M687" s="623"/>
      <c r="N687" s="623"/>
      <c r="O687" s="623"/>
      <c r="P687" s="623"/>
      <c r="Q687" s="623"/>
      <c r="R687" s="623"/>
      <c r="S687" s="623"/>
      <c r="T687" s="623"/>
      <c r="U687" s="623"/>
      <c r="V687" s="623"/>
      <c r="W687" s="623"/>
      <c r="X687" s="623"/>
      <c r="Y687" s="623"/>
      <c r="Z687" s="623"/>
      <c r="AA687" s="623"/>
      <c r="AB687" s="623"/>
      <c r="AC687" s="623"/>
      <c r="AD687" s="623"/>
      <c r="AE687" s="623"/>
      <c r="AF687" s="623"/>
      <c r="AG687" s="623"/>
      <c r="AH687" s="623"/>
      <c r="AI687" s="623"/>
      <c r="AJ687" s="623"/>
      <c r="AK687" s="623"/>
      <c r="AL687" s="623"/>
      <c r="AM687" s="623"/>
      <c r="AN687" s="623"/>
      <c r="AO687" s="623"/>
      <c r="AP687" s="623"/>
      <c r="AQ687" s="623"/>
      <c r="AR687" s="623"/>
      <c r="AS687" s="623"/>
      <c r="AT687" s="623"/>
      <c r="AU687" s="623"/>
      <c r="AV687" s="623"/>
      <c r="AW687" s="623"/>
      <c r="AX687" s="623"/>
      <c r="AY687" s="623"/>
      <c r="AZ687" s="623"/>
      <c r="BA687" s="623"/>
    </row>
    <row r="688">
      <c r="A688" s="623"/>
      <c r="B688" s="623"/>
      <c r="C688" s="623"/>
      <c r="D688" s="623"/>
      <c r="E688" s="623"/>
      <c r="F688" s="623"/>
      <c r="G688" s="623"/>
      <c r="H688" s="623"/>
      <c r="I688" s="623"/>
      <c r="J688" s="623"/>
      <c r="K688" s="623"/>
      <c r="L688" s="623"/>
      <c r="M688" s="623"/>
      <c r="N688" s="623"/>
      <c r="O688" s="623"/>
      <c r="P688" s="623"/>
      <c r="Q688" s="623"/>
      <c r="R688" s="623"/>
      <c r="S688" s="623"/>
      <c r="T688" s="623"/>
      <c r="U688" s="623"/>
      <c r="V688" s="623"/>
      <c r="W688" s="623"/>
      <c r="X688" s="623"/>
      <c r="Y688" s="623"/>
      <c r="Z688" s="623"/>
      <c r="AA688" s="623"/>
      <c r="AB688" s="623"/>
      <c r="AC688" s="623"/>
      <c r="AD688" s="623"/>
      <c r="AE688" s="623"/>
      <c r="AF688" s="623"/>
      <c r="AG688" s="623"/>
      <c r="AH688" s="623"/>
      <c r="AI688" s="623"/>
      <c r="AJ688" s="623"/>
      <c r="AK688" s="623"/>
      <c r="AL688" s="623"/>
      <c r="AM688" s="623"/>
      <c r="AN688" s="623"/>
      <c r="AO688" s="623"/>
      <c r="AP688" s="623"/>
      <c r="AQ688" s="623"/>
      <c r="AR688" s="623"/>
      <c r="AS688" s="623"/>
      <c r="AT688" s="623"/>
      <c r="AU688" s="623"/>
      <c r="AV688" s="623"/>
      <c r="AW688" s="623"/>
      <c r="AX688" s="623"/>
      <c r="AY688" s="623"/>
      <c r="AZ688" s="623"/>
      <c r="BA688" s="623"/>
    </row>
    <row r="689">
      <c r="A689" s="623"/>
      <c r="B689" s="623"/>
      <c r="C689" s="623"/>
      <c r="D689" s="623"/>
      <c r="E689" s="623"/>
      <c r="F689" s="623"/>
      <c r="G689" s="623"/>
      <c r="H689" s="623"/>
      <c r="I689" s="623"/>
      <c r="J689" s="623"/>
      <c r="K689" s="623"/>
      <c r="L689" s="623"/>
      <c r="M689" s="623"/>
      <c r="N689" s="623"/>
      <c r="O689" s="623"/>
      <c r="P689" s="623"/>
      <c r="Q689" s="623"/>
      <c r="R689" s="623"/>
      <c r="S689" s="623"/>
      <c r="T689" s="623"/>
      <c r="U689" s="623"/>
      <c r="V689" s="623"/>
      <c r="W689" s="623"/>
      <c r="X689" s="623"/>
      <c r="Y689" s="623"/>
      <c r="Z689" s="623"/>
      <c r="AA689" s="623"/>
      <c r="AB689" s="623"/>
      <c r="AC689" s="623"/>
      <c r="AD689" s="623"/>
      <c r="AE689" s="623"/>
      <c r="AF689" s="623"/>
      <c r="AG689" s="623"/>
      <c r="AH689" s="623"/>
      <c r="AI689" s="623"/>
      <c r="AJ689" s="623"/>
      <c r="AK689" s="623"/>
      <c r="AL689" s="623"/>
      <c r="AM689" s="623"/>
      <c r="AN689" s="623"/>
      <c r="AO689" s="623"/>
      <c r="AP689" s="623"/>
      <c r="AQ689" s="623"/>
      <c r="AR689" s="623"/>
      <c r="AS689" s="623"/>
      <c r="AT689" s="623"/>
      <c r="AU689" s="623"/>
      <c r="AV689" s="623"/>
      <c r="AW689" s="623"/>
      <c r="AX689" s="623"/>
      <c r="AY689" s="623"/>
      <c r="AZ689" s="623"/>
      <c r="BA689" s="623"/>
    </row>
    <row r="690">
      <c r="A690" s="623"/>
      <c r="B690" s="623"/>
      <c r="C690" s="623"/>
      <c r="D690" s="623"/>
      <c r="E690" s="623"/>
      <c r="F690" s="623"/>
      <c r="G690" s="623"/>
      <c r="H690" s="623"/>
      <c r="I690" s="623"/>
      <c r="J690" s="623"/>
      <c r="K690" s="623"/>
      <c r="L690" s="623"/>
      <c r="M690" s="623"/>
      <c r="N690" s="623"/>
      <c r="O690" s="623"/>
      <c r="P690" s="623"/>
      <c r="Q690" s="623"/>
      <c r="R690" s="623"/>
      <c r="S690" s="623"/>
      <c r="T690" s="623"/>
      <c r="U690" s="623"/>
      <c r="V690" s="623"/>
      <c r="W690" s="623"/>
      <c r="X690" s="623"/>
      <c r="Y690" s="623"/>
      <c r="Z690" s="623"/>
      <c r="AA690" s="623"/>
      <c r="AB690" s="623"/>
      <c r="AC690" s="623"/>
      <c r="AD690" s="623"/>
      <c r="AE690" s="623"/>
      <c r="AF690" s="623"/>
      <c r="AG690" s="623"/>
      <c r="AH690" s="623"/>
      <c r="AI690" s="623"/>
      <c r="AJ690" s="623"/>
      <c r="AK690" s="623"/>
      <c r="AL690" s="623"/>
      <c r="AM690" s="623"/>
      <c r="AN690" s="623"/>
      <c r="AO690" s="623"/>
      <c r="AP690" s="623"/>
      <c r="AQ690" s="623"/>
      <c r="AR690" s="623"/>
      <c r="AS690" s="623"/>
      <c r="AT690" s="623"/>
      <c r="AU690" s="623"/>
      <c r="AV690" s="623"/>
      <c r="AW690" s="623"/>
      <c r="AX690" s="623"/>
      <c r="AY690" s="623"/>
      <c r="AZ690" s="623"/>
      <c r="BA690" s="623"/>
    </row>
    <row r="691">
      <c r="A691" s="623"/>
      <c r="B691" s="623"/>
      <c r="C691" s="623"/>
      <c r="D691" s="623"/>
      <c r="E691" s="623"/>
      <c r="F691" s="623"/>
      <c r="G691" s="623"/>
      <c r="H691" s="623"/>
      <c r="I691" s="623"/>
      <c r="J691" s="623"/>
      <c r="K691" s="623"/>
      <c r="L691" s="623"/>
      <c r="M691" s="623"/>
      <c r="N691" s="623"/>
      <c r="O691" s="623"/>
      <c r="P691" s="623"/>
      <c r="Q691" s="623"/>
      <c r="R691" s="623"/>
      <c r="S691" s="623"/>
      <c r="T691" s="623"/>
      <c r="U691" s="623"/>
      <c r="V691" s="623"/>
      <c r="W691" s="623"/>
      <c r="X691" s="623"/>
      <c r="Y691" s="623"/>
      <c r="Z691" s="623"/>
      <c r="AA691" s="623"/>
      <c r="AB691" s="623"/>
      <c r="AC691" s="623"/>
      <c r="AD691" s="623"/>
      <c r="AE691" s="623"/>
      <c r="AF691" s="623"/>
      <c r="AG691" s="623"/>
      <c r="AH691" s="623"/>
      <c r="AI691" s="623"/>
      <c r="AJ691" s="623"/>
      <c r="AK691" s="623"/>
      <c r="AL691" s="623"/>
      <c r="AM691" s="623"/>
      <c r="AN691" s="623"/>
      <c r="AO691" s="623"/>
      <c r="AP691" s="623"/>
      <c r="AQ691" s="623"/>
      <c r="AR691" s="623"/>
      <c r="AS691" s="623"/>
      <c r="AT691" s="623"/>
      <c r="AU691" s="623"/>
      <c r="AV691" s="623"/>
      <c r="AW691" s="623"/>
      <c r="AX691" s="623"/>
      <c r="AY691" s="623"/>
      <c r="AZ691" s="623"/>
      <c r="BA691" s="623"/>
    </row>
    <row r="692">
      <c r="A692" s="623"/>
      <c r="B692" s="623"/>
      <c r="C692" s="623"/>
      <c r="D692" s="623"/>
      <c r="E692" s="623"/>
      <c r="F692" s="623"/>
      <c r="G692" s="623"/>
      <c r="H692" s="623"/>
      <c r="I692" s="623"/>
      <c r="J692" s="623"/>
      <c r="K692" s="623"/>
      <c r="L692" s="623"/>
      <c r="M692" s="623"/>
      <c r="N692" s="623"/>
      <c r="O692" s="623"/>
      <c r="P692" s="623"/>
      <c r="Q692" s="623"/>
      <c r="R692" s="623"/>
      <c r="S692" s="623"/>
      <c r="T692" s="623"/>
      <c r="U692" s="623"/>
      <c r="V692" s="623"/>
      <c r="W692" s="623"/>
      <c r="X692" s="623"/>
      <c r="Y692" s="623"/>
      <c r="Z692" s="623"/>
      <c r="AA692" s="623"/>
      <c r="AB692" s="623"/>
      <c r="AC692" s="623"/>
      <c r="AD692" s="623"/>
      <c r="AE692" s="623"/>
      <c r="AF692" s="623"/>
      <c r="AG692" s="623"/>
      <c r="AH692" s="623"/>
      <c r="AI692" s="623"/>
      <c r="AJ692" s="623"/>
      <c r="AK692" s="623"/>
      <c r="AL692" s="623"/>
      <c r="AM692" s="623"/>
      <c r="AN692" s="623"/>
      <c r="AO692" s="623"/>
      <c r="AP692" s="623"/>
      <c r="AQ692" s="623"/>
      <c r="AR692" s="623"/>
      <c r="AS692" s="623"/>
      <c r="AT692" s="623"/>
      <c r="AU692" s="623"/>
      <c r="AV692" s="623"/>
      <c r="AW692" s="623"/>
      <c r="AX692" s="623"/>
      <c r="AY692" s="623"/>
      <c r="AZ692" s="623"/>
      <c r="BA692" s="623"/>
    </row>
    <row r="693">
      <c r="A693" s="623"/>
      <c r="B693" s="623"/>
      <c r="C693" s="623"/>
      <c r="D693" s="623"/>
      <c r="E693" s="623"/>
      <c r="F693" s="623"/>
      <c r="G693" s="623"/>
      <c r="H693" s="623"/>
      <c r="I693" s="623"/>
      <c r="J693" s="623"/>
      <c r="K693" s="623"/>
      <c r="L693" s="623"/>
      <c r="M693" s="623"/>
      <c r="N693" s="623"/>
      <c r="O693" s="623"/>
      <c r="P693" s="623"/>
      <c r="Q693" s="623"/>
      <c r="R693" s="623"/>
      <c r="S693" s="623"/>
      <c r="T693" s="623"/>
      <c r="U693" s="623"/>
      <c r="V693" s="623"/>
      <c r="W693" s="623"/>
      <c r="X693" s="623"/>
      <c r="Y693" s="623"/>
      <c r="Z693" s="623"/>
      <c r="AA693" s="623"/>
      <c r="AB693" s="623"/>
      <c r="AC693" s="623"/>
      <c r="AD693" s="623"/>
      <c r="AE693" s="623"/>
      <c r="AF693" s="623"/>
      <c r="AG693" s="623"/>
      <c r="AH693" s="623"/>
      <c r="AI693" s="623"/>
      <c r="AJ693" s="623"/>
      <c r="AK693" s="623"/>
      <c r="AL693" s="623"/>
      <c r="AM693" s="623"/>
      <c r="AN693" s="623"/>
      <c r="AO693" s="623"/>
      <c r="AP693" s="623"/>
      <c r="AQ693" s="623"/>
      <c r="AR693" s="623"/>
      <c r="AS693" s="623"/>
      <c r="AT693" s="623"/>
      <c r="AU693" s="623"/>
      <c r="AV693" s="623"/>
      <c r="AW693" s="623"/>
      <c r="AX693" s="623"/>
      <c r="AY693" s="623"/>
      <c r="AZ693" s="623"/>
      <c r="BA693" s="623"/>
    </row>
    <row r="694">
      <c r="A694" s="623"/>
      <c r="B694" s="623"/>
      <c r="C694" s="623"/>
      <c r="D694" s="623"/>
      <c r="E694" s="623"/>
      <c r="F694" s="623"/>
      <c r="G694" s="623"/>
      <c r="H694" s="623"/>
      <c r="I694" s="623"/>
      <c r="J694" s="623"/>
      <c r="K694" s="623"/>
      <c r="L694" s="623"/>
      <c r="M694" s="623"/>
      <c r="N694" s="623"/>
      <c r="O694" s="623"/>
      <c r="P694" s="623"/>
      <c r="Q694" s="623"/>
      <c r="R694" s="623"/>
      <c r="S694" s="623"/>
      <c r="T694" s="623"/>
      <c r="U694" s="623"/>
      <c r="V694" s="623"/>
      <c r="W694" s="623"/>
      <c r="X694" s="623"/>
      <c r="Y694" s="623"/>
      <c r="Z694" s="623"/>
      <c r="AA694" s="623"/>
      <c r="AB694" s="623"/>
      <c r="AC694" s="623"/>
      <c r="AD694" s="623"/>
      <c r="AE694" s="623"/>
      <c r="AF694" s="623"/>
      <c r="AG694" s="623"/>
      <c r="AH694" s="623"/>
      <c r="AI694" s="623"/>
      <c r="AJ694" s="623"/>
      <c r="AK694" s="623"/>
      <c r="AL694" s="623"/>
      <c r="AM694" s="623"/>
      <c r="AN694" s="623"/>
      <c r="AO694" s="623"/>
      <c r="AP694" s="623"/>
      <c r="AQ694" s="623"/>
      <c r="AR694" s="623"/>
      <c r="AS694" s="623"/>
      <c r="AT694" s="623"/>
      <c r="AU694" s="623"/>
      <c r="AV694" s="623"/>
      <c r="AW694" s="623"/>
      <c r="AX694" s="623"/>
      <c r="AY694" s="623"/>
      <c r="AZ694" s="623"/>
      <c r="BA694" s="623"/>
    </row>
    <row r="695">
      <c r="A695" s="623"/>
      <c r="B695" s="623"/>
      <c r="C695" s="623"/>
      <c r="D695" s="623"/>
      <c r="E695" s="623"/>
      <c r="F695" s="623"/>
      <c r="G695" s="623"/>
      <c r="H695" s="623"/>
      <c r="I695" s="623"/>
      <c r="J695" s="623"/>
      <c r="K695" s="623"/>
      <c r="L695" s="623"/>
      <c r="M695" s="623"/>
      <c r="N695" s="623"/>
      <c r="O695" s="623"/>
      <c r="P695" s="623"/>
      <c r="Q695" s="623"/>
      <c r="R695" s="623"/>
      <c r="S695" s="623"/>
      <c r="T695" s="623"/>
      <c r="U695" s="623"/>
      <c r="V695" s="623"/>
      <c r="W695" s="623"/>
      <c r="X695" s="623"/>
      <c r="Y695" s="623"/>
      <c r="Z695" s="623"/>
      <c r="AA695" s="623"/>
      <c r="AB695" s="623"/>
      <c r="AC695" s="623"/>
      <c r="AD695" s="623"/>
      <c r="AE695" s="623"/>
      <c r="AF695" s="623"/>
      <c r="AG695" s="623"/>
      <c r="AH695" s="623"/>
      <c r="AI695" s="623"/>
      <c r="AJ695" s="623"/>
      <c r="AK695" s="623"/>
      <c r="AL695" s="623"/>
      <c r="AM695" s="623"/>
      <c r="AN695" s="623"/>
      <c r="AO695" s="623"/>
      <c r="AP695" s="623"/>
      <c r="AQ695" s="623"/>
      <c r="AR695" s="623"/>
      <c r="AS695" s="623"/>
      <c r="AT695" s="623"/>
      <c r="AU695" s="623"/>
      <c r="AV695" s="623"/>
      <c r="AW695" s="623"/>
      <c r="AX695" s="623"/>
      <c r="AY695" s="623"/>
      <c r="AZ695" s="623"/>
      <c r="BA695" s="623"/>
    </row>
    <row r="696">
      <c r="A696" s="623"/>
      <c r="B696" s="623"/>
      <c r="C696" s="623"/>
      <c r="D696" s="623"/>
      <c r="E696" s="623"/>
      <c r="F696" s="623"/>
      <c r="G696" s="623"/>
      <c r="H696" s="623"/>
      <c r="I696" s="623"/>
      <c r="J696" s="623"/>
      <c r="K696" s="623"/>
      <c r="L696" s="623"/>
      <c r="M696" s="623"/>
      <c r="N696" s="623"/>
      <c r="O696" s="623"/>
      <c r="P696" s="623"/>
      <c r="Q696" s="623"/>
      <c r="R696" s="623"/>
      <c r="S696" s="623"/>
      <c r="T696" s="623"/>
      <c r="U696" s="623"/>
      <c r="V696" s="623"/>
      <c r="W696" s="623"/>
      <c r="X696" s="623"/>
      <c r="Y696" s="623"/>
      <c r="Z696" s="623"/>
      <c r="AA696" s="623"/>
      <c r="AB696" s="623"/>
      <c r="AC696" s="623"/>
      <c r="AD696" s="623"/>
      <c r="AE696" s="623"/>
      <c r="AF696" s="623"/>
      <c r="AG696" s="623"/>
      <c r="AH696" s="623"/>
      <c r="AI696" s="623"/>
      <c r="AJ696" s="623"/>
      <c r="AK696" s="623"/>
      <c r="AL696" s="623"/>
      <c r="AM696" s="623"/>
      <c r="AN696" s="623"/>
      <c r="AO696" s="623"/>
      <c r="AP696" s="623"/>
      <c r="AQ696" s="623"/>
      <c r="AR696" s="623"/>
      <c r="AS696" s="623"/>
      <c r="AT696" s="623"/>
      <c r="AU696" s="623"/>
      <c r="AV696" s="623"/>
      <c r="AW696" s="623"/>
      <c r="AX696" s="623"/>
      <c r="AY696" s="623"/>
      <c r="AZ696" s="623"/>
      <c r="BA696" s="623"/>
    </row>
    <row r="697">
      <c r="A697" s="623"/>
      <c r="B697" s="623"/>
      <c r="C697" s="623"/>
      <c r="D697" s="623"/>
      <c r="E697" s="623"/>
      <c r="F697" s="623"/>
      <c r="G697" s="623"/>
      <c r="H697" s="623"/>
      <c r="I697" s="623"/>
      <c r="J697" s="623"/>
      <c r="K697" s="623"/>
      <c r="L697" s="623"/>
      <c r="M697" s="623"/>
      <c r="N697" s="623"/>
      <c r="O697" s="623"/>
      <c r="P697" s="623"/>
      <c r="Q697" s="623"/>
      <c r="R697" s="623"/>
      <c r="S697" s="623"/>
      <c r="T697" s="623"/>
      <c r="U697" s="623"/>
      <c r="V697" s="623"/>
      <c r="W697" s="623"/>
      <c r="X697" s="623"/>
      <c r="Y697" s="623"/>
      <c r="Z697" s="623"/>
      <c r="AA697" s="623"/>
      <c r="AB697" s="623"/>
      <c r="AC697" s="623"/>
      <c r="AD697" s="623"/>
      <c r="AE697" s="623"/>
      <c r="AF697" s="623"/>
      <c r="AG697" s="623"/>
      <c r="AH697" s="623"/>
      <c r="AI697" s="623"/>
      <c r="AJ697" s="623"/>
      <c r="AK697" s="623"/>
      <c r="AL697" s="623"/>
      <c r="AM697" s="623"/>
      <c r="AN697" s="623"/>
      <c r="AO697" s="623"/>
      <c r="AP697" s="623"/>
      <c r="AQ697" s="623"/>
      <c r="AR697" s="623"/>
      <c r="AS697" s="623"/>
      <c r="AT697" s="623"/>
      <c r="AU697" s="623"/>
      <c r="AV697" s="623"/>
      <c r="AW697" s="623"/>
      <c r="AX697" s="623"/>
      <c r="AY697" s="623"/>
      <c r="AZ697" s="623"/>
      <c r="BA697" s="623"/>
    </row>
    <row r="698">
      <c r="A698" s="623"/>
      <c r="B698" s="623"/>
      <c r="C698" s="623"/>
      <c r="D698" s="623"/>
      <c r="E698" s="623"/>
      <c r="F698" s="623"/>
      <c r="G698" s="623"/>
      <c r="H698" s="623"/>
      <c r="I698" s="623"/>
      <c r="J698" s="623"/>
      <c r="K698" s="623"/>
      <c r="L698" s="623"/>
      <c r="M698" s="623"/>
      <c r="N698" s="623"/>
      <c r="O698" s="623"/>
      <c r="P698" s="623"/>
      <c r="Q698" s="623"/>
      <c r="R698" s="623"/>
      <c r="S698" s="623"/>
      <c r="T698" s="623"/>
      <c r="U698" s="623"/>
      <c r="V698" s="623"/>
      <c r="W698" s="623"/>
      <c r="X698" s="623"/>
      <c r="Y698" s="623"/>
      <c r="Z698" s="623"/>
      <c r="AA698" s="623"/>
      <c r="AB698" s="623"/>
      <c r="AC698" s="623"/>
      <c r="AD698" s="623"/>
      <c r="AE698" s="623"/>
      <c r="AF698" s="623"/>
      <c r="AG698" s="623"/>
      <c r="AH698" s="623"/>
      <c r="AI698" s="623"/>
      <c r="AJ698" s="623"/>
      <c r="AK698" s="623"/>
      <c r="AL698" s="623"/>
      <c r="AM698" s="623"/>
      <c r="AN698" s="623"/>
      <c r="AO698" s="623"/>
      <c r="AP698" s="623"/>
      <c r="AQ698" s="623"/>
      <c r="AR698" s="623"/>
      <c r="AS698" s="623"/>
      <c r="AT698" s="623"/>
      <c r="AU698" s="623"/>
      <c r="AV698" s="623"/>
      <c r="AW698" s="623"/>
      <c r="AX698" s="623"/>
      <c r="AY698" s="623"/>
      <c r="AZ698" s="623"/>
      <c r="BA698" s="623"/>
    </row>
    <row r="699">
      <c r="A699" s="623"/>
      <c r="B699" s="623"/>
      <c r="C699" s="623"/>
      <c r="D699" s="623"/>
      <c r="E699" s="623"/>
      <c r="F699" s="623"/>
      <c r="G699" s="623"/>
      <c r="H699" s="623"/>
      <c r="I699" s="623"/>
      <c r="J699" s="623"/>
      <c r="K699" s="623"/>
      <c r="L699" s="623"/>
      <c r="M699" s="623"/>
      <c r="N699" s="623"/>
      <c r="O699" s="623"/>
      <c r="P699" s="623"/>
      <c r="Q699" s="623"/>
      <c r="R699" s="623"/>
      <c r="S699" s="623"/>
      <c r="T699" s="623"/>
      <c r="U699" s="623"/>
      <c r="V699" s="623"/>
      <c r="W699" s="623"/>
      <c r="X699" s="623"/>
      <c r="Y699" s="623"/>
      <c r="Z699" s="623"/>
      <c r="AA699" s="623"/>
      <c r="AB699" s="623"/>
      <c r="AC699" s="623"/>
      <c r="AD699" s="623"/>
      <c r="AE699" s="623"/>
      <c r="AF699" s="623"/>
      <c r="AG699" s="623"/>
      <c r="AH699" s="623"/>
      <c r="AI699" s="623"/>
      <c r="AJ699" s="623"/>
      <c r="AK699" s="623"/>
      <c r="AL699" s="623"/>
      <c r="AM699" s="623"/>
      <c r="AN699" s="623"/>
      <c r="AO699" s="623"/>
      <c r="AP699" s="623"/>
      <c r="AQ699" s="623"/>
      <c r="AR699" s="623"/>
      <c r="AS699" s="623"/>
      <c r="AT699" s="623"/>
      <c r="AU699" s="623"/>
      <c r="AV699" s="623"/>
      <c r="AW699" s="623"/>
      <c r="AX699" s="623"/>
      <c r="AY699" s="623"/>
      <c r="AZ699" s="623"/>
      <c r="BA699" s="623"/>
    </row>
    <row r="700">
      <c r="A700" s="623"/>
      <c r="B700" s="623"/>
      <c r="C700" s="623"/>
      <c r="D700" s="623"/>
      <c r="E700" s="623"/>
      <c r="F700" s="623"/>
      <c r="G700" s="623"/>
      <c r="H700" s="623"/>
      <c r="I700" s="623"/>
      <c r="J700" s="623"/>
      <c r="K700" s="623"/>
      <c r="L700" s="623"/>
      <c r="M700" s="623"/>
      <c r="N700" s="623"/>
      <c r="O700" s="623"/>
      <c r="P700" s="623"/>
      <c r="Q700" s="623"/>
      <c r="R700" s="623"/>
      <c r="S700" s="623"/>
      <c r="T700" s="623"/>
      <c r="U700" s="623"/>
      <c r="V700" s="623"/>
      <c r="W700" s="623"/>
      <c r="X700" s="623"/>
      <c r="Y700" s="623"/>
      <c r="Z700" s="623"/>
      <c r="AA700" s="623"/>
      <c r="AB700" s="623"/>
      <c r="AC700" s="623"/>
      <c r="AD700" s="623"/>
      <c r="AE700" s="623"/>
      <c r="AF700" s="623"/>
      <c r="AG700" s="623"/>
      <c r="AH700" s="623"/>
      <c r="AI700" s="623"/>
      <c r="AJ700" s="623"/>
      <c r="AK700" s="623"/>
      <c r="AL700" s="623"/>
      <c r="AM700" s="623"/>
      <c r="AN700" s="623"/>
      <c r="AO700" s="623"/>
      <c r="AP700" s="623"/>
      <c r="AQ700" s="623"/>
      <c r="AR700" s="623"/>
      <c r="AS700" s="623"/>
      <c r="AT700" s="623"/>
      <c r="AU700" s="623"/>
      <c r="AV700" s="623"/>
      <c r="AW700" s="623"/>
      <c r="AX700" s="623"/>
      <c r="AY700" s="623"/>
      <c r="AZ700" s="623"/>
      <c r="BA700" s="623"/>
    </row>
    <row r="701">
      <c r="A701" s="623"/>
      <c r="B701" s="623"/>
      <c r="C701" s="623"/>
      <c r="D701" s="623"/>
      <c r="E701" s="623"/>
      <c r="F701" s="623"/>
      <c r="G701" s="623"/>
      <c r="H701" s="623"/>
      <c r="I701" s="623"/>
      <c r="J701" s="623"/>
      <c r="K701" s="623"/>
      <c r="L701" s="623"/>
      <c r="M701" s="623"/>
      <c r="N701" s="623"/>
      <c r="O701" s="623"/>
      <c r="P701" s="623"/>
      <c r="Q701" s="623"/>
      <c r="R701" s="623"/>
      <c r="S701" s="623"/>
      <c r="T701" s="623"/>
      <c r="U701" s="623"/>
      <c r="V701" s="623"/>
      <c r="W701" s="623"/>
      <c r="X701" s="623"/>
      <c r="Y701" s="623"/>
      <c r="Z701" s="623"/>
      <c r="AA701" s="623"/>
      <c r="AB701" s="623"/>
      <c r="AC701" s="623"/>
      <c r="AD701" s="623"/>
      <c r="AE701" s="623"/>
      <c r="AF701" s="623"/>
      <c r="AG701" s="623"/>
      <c r="AH701" s="623"/>
      <c r="AI701" s="623"/>
      <c r="AJ701" s="623"/>
      <c r="AK701" s="623"/>
      <c r="AL701" s="623"/>
      <c r="AM701" s="623"/>
      <c r="AN701" s="623"/>
      <c r="AO701" s="623"/>
      <c r="AP701" s="623"/>
      <c r="AQ701" s="623"/>
      <c r="AR701" s="623"/>
      <c r="AS701" s="623"/>
      <c r="AT701" s="623"/>
      <c r="AU701" s="623"/>
      <c r="AV701" s="623"/>
      <c r="AW701" s="623"/>
      <c r="AX701" s="623"/>
      <c r="AY701" s="623"/>
      <c r="AZ701" s="623"/>
      <c r="BA701" s="623"/>
    </row>
    <row r="702">
      <c r="A702" s="623"/>
      <c r="B702" s="623"/>
      <c r="C702" s="623"/>
      <c r="D702" s="623"/>
      <c r="E702" s="623"/>
      <c r="F702" s="623"/>
      <c r="G702" s="623"/>
      <c r="H702" s="623"/>
      <c r="I702" s="623"/>
      <c r="J702" s="623"/>
      <c r="K702" s="623"/>
      <c r="L702" s="623"/>
      <c r="M702" s="623"/>
      <c r="N702" s="623"/>
      <c r="O702" s="623"/>
      <c r="P702" s="623"/>
      <c r="Q702" s="623"/>
      <c r="R702" s="623"/>
      <c r="S702" s="623"/>
      <c r="T702" s="623"/>
      <c r="U702" s="623"/>
      <c r="V702" s="623"/>
      <c r="W702" s="623"/>
      <c r="X702" s="623"/>
      <c r="Y702" s="623"/>
      <c r="Z702" s="623"/>
      <c r="AA702" s="623"/>
      <c r="AB702" s="623"/>
      <c r="AC702" s="623"/>
      <c r="AD702" s="623"/>
      <c r="AE702" s="623"/>
      <c r="AF702" s="623"/>
      <c r="AG702" s="623"/>
      <c r="AH702" s="623"/>
      <c r="AI702" s="623"/>
      <c r="AJ702" s="623"/>
      <c r="AK702" s="623"/>
      <c r="AL702" s="623"/>
      <c r="AM702" s="623"/>
      <c r="AN702" s="623"/>
      <c r="AO702" s="623"/>
      <c r="AP702" s="623"/>
      <c r="AQ702" s="623"/>
      <c r="AR702" s="623"/>
      <c r="AS702" s="623"/>
      <c r="AT702" s="623"/>
      <c r="AU702" s="623"/>
      <c r="AV702" s="623"/>
      <c r="AW702" s="623"/>
      <c r="AX702" s="623"/>
      <c r="AY702" s="623"/>
      <c r="AZ702" s="623"/>
      <c r="BA702" s="623"/>
    </row>
    <row r="703">
      <c r="A703" s="623"/>
      <c r="B703" s="623"/>
      <c r="C703" s="623"/>
      <c r="D703" s="623"/>
      <c r="E703" s="623"/>
      <c r="F703" s="623"/>
      <c r="G703" s="623"/>
      <c r="H703" s="623"/>
      <c r="I703" s="623"/>
      <c r="J703" s="623"/>
      <c r="K703" s="623"/>
      <c r="L703" s="623"/>
      <c r="M703" s="623"/>
      <c r="N703" s="623"/>
      <c r="O703" s="623"/>
      <c r="P703" s="623"/>
      <c r="Q703" s="623"/>
      <c r="R703" s="623"/>
      <c r="S703" s="623"/>
      <c r="T703" s="623"/>
      <c r="U703" s="623"/>
      <c r="V703" s="623"/>
      <c r="W703" s="623"/>
      <c r="X703" s="623"/>
      <c r="Y703" s="623"/>
      <c r="Z703" s="623"/>
      <c r="AA703" s="623"/>
      <c r="AB703" s="623"/>
      <c r="AC703" s="623"/>
      <c r="AD703" s="623"/>
      <c r="AE703" s="623"/>
      <c r="AF703" s="623"/>
      <c r="AG703" s="623"/>
      <c r="AH703" s="623"/>
      <c r="AI703" s="623"/>
      <c r="AJ703" s="623"/>
      <c r="AK703" s="623"/>
      <c r="AL703" s="623"/>
      <c r="AM703" s="623"/>
      <c r="AN703" s="623"/>
      <c r="AO703" s="623"/>
      <c r="AP703" s="623"/>
      <c r="AQ703" s="623"/>
      <c r="AR703" s="623"/>
      <c r="AS703" s="623"/>
      <c r="AT703" s="623"/>
      <c r="AU703" s="623"/>
      <c r="AV703" s="623"/>
      <c r="AW703" s="623"/>
      <c r="AX703" s="623"/>
      <c r="AY703" s="623"/>
      <c r="AZ703" s="623"/>
      <c r="BA703" s="623"/>
    </row>
    <row r="704">
      <c r="A704" s="623"/>
      <c r="B704" s="623"/>
      <c r="C704" s="623"/>
      <c r="D704" s="623"/>
      <c r="E704" s="623"/>
      <c r="F704" s="623"/>
      <c r="G704" s="623"/>
      <c r="H704" s="623"/>
      <c r="I704" s="623"/>
      <c r="J704" s="623"/>
      <c r="K704" s="623"/>
      <c r="L704" s="623"/>
      <c r="M704" s="623"/>
      <c r="N704" s="623"/>
      <c r="O704" s="623"/>
      <c r="P704" s="623"/>
      <c r="Q704" s="623"/>
      <c r="R704" s="623"/>
      <c r="S704" s="623"/>
      <c r="T704" s="623"/>
      <c r="U704" s="623"/>
      <c r="V704" s="623"/>
      <c r="W704" s="623"/>
      <c r="X704" s="623"/>
      <c r="Y704" s="623"/>
      <c r="Z704" s="623"/>
      <c r="AA704" s="623"/>
      <c r="AB704" s="623"/>
      <c r="AC704" s="623"/>
      <c r="AD704" s="623"/>
      <c r="AE704" s="623"/>
      <c r="AF704" s="623"/>
      <c r="AG704" s="623"/>
      <c r="AH704" s="623"/>
      <c r="AI704" s="623"/>
      <c r="AJ704" s="623"/>
      <c r="AK704" s="623"/>
      <c r="AL704" s="623"/>
      <c r="AM704" s="623"/>
      <c r="AN704" s="623"/>
      <c r="AO704" s="623"/>
      <c r="AP704" s="623"/>
      <c r="AQ704" s="623"/>
      <c r="AR704" s="623"/>
      <c r="AS704" s="623"/>
      <c r="AT704" s="623"/>
      <c r="AU704" s="623"/>
      <c r="AV704" s="623"/>
      <c r="AW704" s="623"/>
      <c r="AX704" s="623"/>
      <c r="AY704" s="623"/>
      <c r="AZ704" s="623"/>
      <c r="BA704" s="623"/>
    </row>
    <row r="705">
      <c r="A705" s="623"/>
      <c r="B705" s="623"/>
      <c r="C705" s="623"/>
      <c r="D705" s="623"/>
      <c r="E705" s="623"/>
      <c r="F705" s="623"/>
      <c r="G705" s="623"/>
      <c r="H705" s="623"/>
      <c r="I705" s="623"/>
      <c r="J705" s="623"/>
      <c r="K705" s="623"/>
      <c r="L705" s="623"/>
      <c r="M705" s="623"/>
      <c r="N705" s="623"/>
      <c r="O705" s="623"/>
      <c r="P705" s="623"/>
      <c r="Q705" s="623"/>
      <c r="R705" s="623"/>
      <c r="S705" s="623"/>
      <c r="T705" s="623"/>
      <c r="U705" s="623"/>
      <c r="V705" s="623"/>
      <c r="W705" s="623"/>
      <c r="X705" s="623"/>
      <c r="Y705" s="623"/>
      <c r="Z705" s="623"/>
      <c r="AA705" s="623"/>
      <c r="AB705" s="623"/>
      <c r="AC705" s="623"/>
      <c r="AD705" s="623"/>
      <c r="AE705" s="623"/>
      <c r="AF705" s="623"/>
      <c r="AG705" s="623"/>
      <c r="AH705" s="623"/>
      <c r="AI705" s="623"/>
      <c r="AJ705" s="623"/>
      <c r="AK705" s="623"/>
      <c r="AL705" s="623"/>
      <c r="AM705" s="623"/>
      <c r="AN705" s="623"/>
      <c r="AO705" s="623"/>
      <c r="AP705" s="623"/>
      <c r="AQ705" s="623"/>
      <c r="AR705" s="623"/>
      <c r="AS705" s="623"/>
      <c r="AT705" s="623"/>
      <c r="AU705" s="623"/>
      <c r="AV705" s="623"/>
      <c r="AW705" s="623"/>
      <c r="AX705" s="623"/>
      <c r="AY705" s="623"/>
      <c r="AZ705" s="623"/>
      <c r="BA705" s="623"/>
    </row>
    <row r="706">
      <c r="A706" s="623"/>
      <c r="B706" s="623"/>
      <c r="C706" s="623"/>
      <c r="D706" s="623"/>
      <c r="E706" s="623"/>
      <c r="F706" s="623"/>
      <c r="G706" s="623"/>
      <c r="H706" s="623"/>
      <c r="I706" s="623"/>
      <c r="J706" s="623"/>
      <c r="K706" s="623"/>
      <c r="L706" s="623"/>
      <c r="M706" s="623"/>
      <c r="N706" s="623"/>
      <c r="O706" s="623"/>
      <c r="P706" s="623"/>
      <c r="Q706" s="623"/>
      <c r="R706" s="623"/>
      <c r="S706" s="623"/>
      <c r="T706" s="623"/>
      <c r="U706" s="623"/>
      <c r="V706" s="623"/>
      <c r="W706" s="623"/>
      <c r="X706" s="623"/>
      <c r="Y706" s="623"/>
      <c r="Z706" s="623"/>
      <c r="AA706" s="623"/>
      <c r="AB706" s="623"/>
      <c r="AC706" s="623"/>
      <c r="AD706" s="623"/>
      <c r="AE706" s="623"/>
      <c r="AF706" s="623"/>
      <c r="AG706" s="623"/>
      <c r="AH706" s="623"/>
      <c r="AI706" s="623"/>
      <c r="AJ706" s="623"/>
      <c r="AK706" s="623"/>
      <c r="AL706" s="623"/>
      <c r="AM706" s="623"/>
      <c r="AN706" s="623"/>
      <c r="AO706" s="623"/>
      <c r="AP706" s="623"/>
      <c r="AQ706" s="623"/>
      <c r="AR706" s="623"/>
      <c r="AS706" s="623"/>
      <c r="AT706" s="623"/>
      <c r="AU706" s="623"/>
      <c r="AV706" s="623"/>
      <c r="AW706" s="623"/>
      <c r="AX706" s="623"/>
      <c r="AY706" s="623"/>
      <c r="AZ706" s="623"/>
      <c r="BA706" s="623"/>
    </row>
    <row r="707">
      <c r="A707" s="623"/>
      <c r="B707" s="623"/>
      <c r="C707" s="623"/>
      <c r="D707" s="623"/>
      <c r="E707" s="623"/>
      <c r="F707" s="623"/>
      <c r="G707" s="623"/>
      <c r="H707" s="623"/>
      <c r="I707" s="623"/>
      <c r="J707" s="623"/>
      <c r="K707" s="623"/>
      <c r="L707" s="623"/>
      <c r="M707" s="623"/>
      <c r="N707" s="623"/>
      <c r="O707" s="623"/>
      <c r="P707" s="623"/>
      <c r="Q707" s="623"/>
      <c r="R707" s="623"/>
      <c r="S707" s="623"/>
      <c r="T707" s="623"/>
      <c r="U707" s="623"/>
      <c r="V707" s="623"/>
      <c r="W707" s="623"/>
      <c r="X707" s="623"/>
      <c r="Y707" s="623"/>
      <c r="Z707" s="623"/>
      <c r="AA707" s="623"/>
      <c r="AB707" s="623"/>
      <c r="AC707" s="623"/>
      <c r="AD707" s="623"/>
      <c r="AE707" s="623"/>
      <c r="AF707" s="623"/>
      <c r="AG707" s="623"/>
      <c r="AH707" s="623"/>
      <c r="AI707" s="623"/>
      <c r="AJ707" s="623"/>
      <c r="AK707" s="623"/>
      <c r="AL707" s="623"/>
      <c r="AM707" s="623"/>
      <c r="AN707" s="623"/>
      <c r="AO707" s="623"/>
      <c r="AP707" s="623"/>
      <c r="AQ707" s="623"/>
      <c r="AR707" s="623"/>
      <c r="AS707" s="623"/>
      <c r="AT707" s="623"/>
      <c r="AU707" s="623"/>
      <c r="AV707" s="623"/>
      <c r="AW707" s="623"/>
      <c r="AX707" s="623"/>
      <c r="AY707" s="623"/>
      <c r="AZ707" s="623"/>
      <c r="BA707" s="623"/>
    </row>
    <row r="708">
      <c r="A708" s="623"/>
      <c r="B708" s="623"/>
      <c r="C708" s="623"/>
      <c r="D708" s="623"/>
      <c r="E708" s="623"/>
      <c r="F708" s="623"/>
      <c r="G708" s="623"/>
      <c r="H708" s="623"/>
      <c r="I708" s="623"/>
      <c r="J708" s="623"/>
      <c r="K708" s="623"/>
      <c r="L708" s="623"/>
      <c r="M708" s="623"/>
      <c r="N708" s="623"/>
      <c r="O708" s="623"/>
      <c r="P708" s="623"/>
      <c r="Q708" s="623"/>
      <c r="R708" s="623"/>
      <c r="S708" s="623"/>
      <c r="T708" s="623"/>
      <c r="U708" s="623"/>
      <c r="V708" s="623"/>
      <c r="W708" s="623"/>
      <c r="X708" s="623"/>
      <c r="Y708" s="623"/>
      <c r="Z708" s="623"/>
      <c r="AA708" s="623"/>
      <c r="AB708" s="623"/>
      <c r="AC708" s="623"/>
      <c r="AD708" s="623"/>
      <c r="AE708" s="623"/>
      <c r="AF708" s="623"/>
      <c r="AG708" s="623"/>
      <c r="AH708" s="623"/>
      <c r="AI708" s="623"/>
      <c r="AJ708" s="623"/>
      <c r="AK708" s="623"/>
      <c r="AL708" s="623"/>
      <c r="AM708" s="623"/>
      <c r="AN708" s="623"/>
      <c r="AO708" s="623"/>
      <c r="AP708" s="623"/>
      <c r="AQ708" s="623"/>
      <c r="AR708" s="623"/>
      <c r="AS708" s="623"/>
      <c r="AT708" s="623"/>
      <c r="AU708" s="623"/>
      <c r="AV708" s="623"/>
      <c r="AW708" s="623"/>
      <c r="AX708" s="623"/>
      <c r="AY708" s="623"/>
      <c r="AZ708" s="623"/>
      <c r="BA708" s="623"/>
    </row>
    <row r="709">
      <c r="A709" s="623"/>
      <c r="B709" s="623"/>
      <c r="C709" s="623"/>
      <c r="D709" s="623"/>
      <c r="E709" s="623"/>
      <c r="F709" s="623"/>
      <c r="G709" s="623"/>
      <c r="H709" s="623"/>
      <c r="I709" s="623"/>
      <c r="J709" s="623"/>
      <c r="K709" s="623"/>
      <c r="L709" s="623"/>
      <c r="M709" s="623"/>
      <c r="N709" s="623"/>
      <c r="O709" s="623"/>
      <c r="P709" s="623"/>
      <c r="Q709" s="623"/>
      <c r="R709" s="623"/>
      <c r="S709" s="623"/>
      <c r="T709" s="623"/>
      <c r="U709" s="623"/>
      <c r="V709" s="623"/>
      <c r="W709" s="623"/>
      <c r="X709" s="623"/>
      <c r="Y709" s="623"/>
      <c r="Z709" s="623"/>
      <c r="AA709" s="623"/>
      <c r="AB709" s="623"/>
      <c r="AC709" s="623"/>
      <c r="AD709" s="623"/>
      <c r="AE709" s="623"/>
      <c r="AF709" s="623"/>
      <c r="AG709" s="623"/>
      <c r="AH709" s="623"/>
      <c r="AI709" s="623"/>
      <c r="AJ709" s="623"/>
      <c r="AK709" s="623"/>
      <c r="AL709" s="623"/>
      <c r="AM709" s="623"/>
      <c r="AN709" s="623"/>
      <c r="AO709" s="623"/>
      <c r="AP709" s="623"/>
      <c r="AQ709" s="623"/>
      <c r="AR709" s="623"/>
      <c r="AS709" s="623"/>
      <c r="AT709" s="623"/>
      <c r="AU709" s="623"/>
      <c r="AV709" s="623"/>
      <c r="AW709" s="623"/>
      <c r="AX709" s="623"/>
      <c r="AY709" s="623"/>
      <c r="AZ709" s="623"/>
      <c r="BA709" s="623"/>
    </row>
    <row r="710">
      <c r="A710" s="623"/>
      <c r="B710" s="623"/>
      <c r="C710" s="623"/>
      <c r="D710" s="623"/>
      <c r="E710" s="623"/>
      <c r="F710" s="623"/>
      <c r="G710" s="623"/>
      <c r="H710" s="623"/>
      <c r="I710" s="623"/>
      <c r="J710" s="623"/>
      <c r="K710" s="623"/>
      <c r="L710" s="623"/>
      <c r="M710" s="623"/>
      <c r="N710" s="623"/>
      <c r="O710" s="623"/>
      <c r="P710" s="623"/>
      <c r="Q710" s="623"/>
      <c r="R710" s="623"/>
      <c r="S710" s="623"/>
      <c r="T710" s="623"/>
      <c r="U710" s="623"/>
      <c r="V710" s="623"/>
      <c r="W710" s="623"/>
      <c r="X710" s="623"/>
      <c r="Y710" s="623"/>
      <c r="Z710" s="623"/>
      <c r="AA710" s="623"/>
      <c r="AB710" s="623"/>
      <c r="AC710" s="623"/>
      <c r="AD710" s="623"/>
      <c r="AE710" s="623"/>
      <c r="AF710" s="623"/>
      <c r="AG710" s="623"/>
      <c r="AH710" s="623"/>
      <c r="AI710" s="623"/>
      <c r="AJ710" s="623"/>
      <c r="AK710" s="623"/>
      <c r="AL710" s="623"/>
      <c r="AM710" s="623"/>
      <c r="AN710" s="623"/>
      <c r="AO710" s="623"/>
      <c r="AP710" s="623"/>
      <c r="AQ710" s="623"/>
      <c r="AR710" s="623"/>
      <c r="AS710" s="623"/>
      <c r="AT710" s="623"/>
      <c r="AU710" s="623"/>
      <c r="AV710" s="623"/>
      <c r="AW710" s="623"/>
      <c r="AX710" s="623"/>
      <c r="AY710" s="623"/>
      <c r="AZ710" s="623"/>
      <c r="BA710" s="623"/>
    </row>
    <row r="711">
      <c r="A711" s="623"/>
      <c r="B711" s="623"/>
      <c r="C711" s="623"/>
      <c r="D711" s="623"/>
      <c r="E711" s="623"/>
      <c r="F711" s="623"/>
      <c r="G711" s="623"/>
      <c r="H711" s="623"/>
      <c r="I711" s="623"/>
      <c r="J711" s="623"/>
      <c r="K711" s="623"/>
      <c r="L711" s="623"/>
      <c r="M711" s="623"/>
      <c r="N711" s="623"/>
      <c r="O711" s="623"/>
      <c r="P711" s="623"/>
      <c r="Q711" s="623"/>
      <c r="R711" s="623"/>
      <c r="S711" s="623"/>
      <c r="T711" s="623"/>
      <c r="U711" s="623"/>
      <c r="V711" s="623"/>
      <c r="W711" s="623"/>
      <c r="X711" s="623"/>
      <c r="Y711" s="623"/>
      <c r="Z711" s="623"/>
      <c r="AA711" s="623"/>
      <c r="AB711" s="623"/>
      <c r="AC711" s="623"/>
      <c r="AD711" s="623"/>
      <c r="AE711" s="623"/>
      <c r="AF711" s="623"/>
      <c r="AG711" s="623"/>
      <c r="AH711" s="623"/>
      <c r="AI711" s="623"/>
      <c r="AJ711" s="623"/>
      <c r="AK711" s="623"/>
      <c r="AL711" s="623"/>
      <c r="AM711" s="623"/>
      <c r="AN711" s="623"/>
      <c r="AO711" s="623"/>
      <c r="AP711" s="623"/>
      <c r="AQ711" s="623"/>
      <c r="AR711" s="623"/>
      <c r="AS711" s="623"/>
      <c r="AT711" s="623"/>
      <c r="AU711" s="623"/>
      <c r="AV711" s="623"/>
      <c r="AW711" s="623"/>
      <c r="AX711" s="623"/>
      <c r="AY711" s="623"/>
      <c r="AZ711" s="623"/>
      <c r="BA711" s="623"/>
    </row>
    <row r="712">
      <c r="A712" s="623"/>
      <c r="B712" s="623"/>
      <c r="C712" s="623"/>
      <c r="D712" s="623"/>
      <c r="E712" s="623"/>
      <c r="F712" s="623"/>
      <c r="G712" s="623"/>
      <c r="H712" s="623"/>
      <c r="I712" s="623"/>
      <c r="J712" s="623"/>
      <c r="K712" s="623"/>
      <c r="L712" s="623"/>
      <c r="M712" s="623"/>
      <c r="N712" s="623"/>
      <c r="O712" s="623"/>
      <c r="P712" s="623"/>
      <c r="Q712" s="623"/>
      <c r="R712" s="623"/>
      <c r="S712" s="623"/>
      <c r="T712" s="623"/>
      <c r="U712" s="623"/>
      <c r="V712" s="623"/>
      <c r="W712" s="623"/>
      <c r="X712" s="623"/>
      <c r="Y712" s="623"/>
      <c r="Z712" s="623"/>
      <c r="AA712" s="623"/>
      <c r="AB712" s="623"/>
      <c r="AC712" s="623"/>
      <c r="AD712" s="623"/>
      <c r="AE712" s="623"/>
      <c r="AF712" s="623"/>
      <c r="AG712" s="623"/>
      <c r="AH712" s="623"/>
      <c r="AI712" s="623"/>
      <c r="AJ712" s="623"/>
      <c r="AK712" s="623"/>
      <c r="AL712" s="623"/>
      <c r="AM712" s="623"/>
      <c r="AN712" s="623"/>
      <c r="AO712" s="623"/>
      <c r="AP712" s="623"/>
      <c r="AQ712" s="623"/>
      <c r="AR712" s="623"/>
      <c r="AS712" s="623"/>
      <c r="AT712" s="623"/>
      <c r="AU712" s="623"/>
      <c r="AV712" s="623"/>
      <c r="AW712" s="623"/>
      <c r="AX712" s="623"/>
      <c r="AY712" s="623"/>
      <c r="AZ712" s="623"/>
      <c r="BA712" s="623"/>
    </row>
    <row r="713">
      <c r="A713" s="623"/>
      <c r="B713" s="623"/>
      <c r="C713" s="623"/>
      <c r="D713" s="623"/>
      <c r="E713" s="623"/>
      <c r="F713" s="623"/>
      <c r="G713" s="623"/>
      <c r="H713" s="623"/>
      <c r="I713" s="623"/>
      <c r="J713" s="623"/>
      <c r="K713" s="623"/>
      <c r="L713" s="623"/>
      <c r="M713" s="623"/>
      <c r="N713" s="623"/>
      <c r="O713" s="623"/>
      <c r="P713" s="623"/>
      <c r="Q713" s="623"/>
      <c r="R713" s="623"/>
      <c r="S713" s="623"/>
      <c r="T713" s="623"/>
      <c r="U713" s="623"/>
      <c r="V713" s="623"/>
      <c r="W713" s="623"/>
      <c r="X713" s="623"/>
      <c r="Y713" s="623"/>
      <c r="Z713" s="623"/>
      <c r="AA713" s="623"/>
      <c r="AB713" s="623"/>
      <c r="AC713" s="623"/>
      <c r="AD713" s="623"/>
      <c r="AE713" s="623"/>
      <c r="AF713" s="623"/>
      <c r="AG713" s="623"/>
      <c r="AH713" s="623"/>
      <c r="AI713" s="623"/>
      <c r="AJ713" s="623"/>
      <c r="AK713" s="623"/>
      <c r="AL713" s="623"/>
      <c r="AM713" s="623"/>
      <c r="AN713" s="623"/>
      <c r="AO713" s="623"/>
      <c r="AP713" s="623"/>
      <c r="AQ713" s="623"/>
      <c r="AR713" s="623"/>
      <c r="AS713" s="623"/>
      <c r="AT713" s="623"/>
      <c r="AU713" s="623"/>
      <c r="AV713" s="623"/>
      <c r="AW713" s="623"/>
      <c r="AX713" s="623"/>
      <c r="AY713" s="623"/>
      <c r="AZ713" s="623"/>
      <c r="BA713" s="623"/>
    </row>
    <row r="714">
      <c r="A714" s="623"/>
      <c r="B714" s="623"/>
      <c r="C714" s="623"/>
      <c r="D714" s="623"/>
      <c r="E714" s="623"/>
      <c r="F714" s="623"/>
      <c r="G714" s="623"/>
      <c r="H714" s="623"/>
      <c r="I714" s="623"/>
      <c r="J714" s="623"/>
      <c r="K714" s="623"/>
      <c r="L714" s="623"/>
      <c r="M714" s="623"/>
      <c r="N714" s="623"/>
      <c r="O714" s="623"/>
      <c r="P714" s="623"/>
      <c r="Q714" s="623"/>
      <c r="R714" s="623"/>
      <c r="S714" s="623"/>
      <c r="T714" s="623"/>
      <c r="U714" s="623"/>
      <c r="V714" s="623"/>
      <c r="W714" s="623"/>
      <c r="X714" s="623"/>
      <c r="Y714" s="623"/>
      <c r="Z714" s="623"/>
      <c r="AA714" s="623"/>
      <c r="AB714" s="623"/>
      <c r="AC714" s="623"/>
      <c r="AD714" s="623"/>
      <c r="AE714" s="623"/>
      <c r="AF714" s="623"/>
      <c r="AG714" s="623"/>
      <c r="AH714" s="623"/>
      <c r="AI714" s="623"/>
      <c r="AJ714" s="623"/>
      <c r="AK714" s="623"/>
      <c r="AL714" s="623"/>
      <c r="AM714" s="623"/>
      <c r="AN714" s="623"/>
      <c r="AO714" s="623"/>
      <c r="AP714" s="623"/>
      <c r="AQ714" s="623"/>
      <c r="AR714" s="623"/>
      <c r="AS714" s="623"/>
      <c r="AT714" s="623"/>
      <c r="AU714" s="623"/>
      <c r="AV714" s="623"/>
      <c r="AW714" s="623"/>
      <c r="AX714" s="623"/>
      <c r="AY714" s="623"/>
      <c r="AZ714" s="623"/>
      <c r="BA714" s="623"/>
    </row>
    <row r="715">
      <c r="A715" s="623"/>
      <c r="B715" s="623"/>
      <c r="C715" s="623"/>
      <c r="D715" s="623"/>
      <c r="E715" s="623"/>
      <c r="F715" s="623"/>
      <c r="G715" s="623"/>
      <c r="H715" s="623"/>
      <c r="I715" s="623"/>
      <c r="J715" s="623"/>
      <c r="K715" s="623"/>
      <c r="L715" s="623"/>
      <c r="M715" s="623"/>
      <c r="N715" s="623"/>
      <c r="O715" s="623"/>
      <c r="P715" s="623"/>
      <c r="Q715" s="623"/>
      <c r="R715" s="623"/>
      <c r="S715" s="623"/>
      <c r="T715" s="623"/>
      <c r="U715" s="623"/>
      <c r="V715" s="623"/>
      <c r="W715" s="623"/>
      <c r="X715" s="623"/>
      <c r="Y715" s="623"/>
      <c r="Z715" s="623"/>
      <c r="AA715" s="623"/>
      <c r="AB715" s="623"/>
      <c r="AC715" s="623"/>
      <c r="AD715" s="623"/>
      <c r="AE715" s="623"/>
      <c r="AF715" s="623"/>
      <c r="AG715" s="623"/>
      <c r="AH715" s="623"/>
      <c r="AI715" s="623"/>
      <c r="AJ715" s="623"/>
      <c r="AK715" s="623"/>
      <c r="AL715" s="623"/>
      <c r="AM715" s="623"/>
      <c r="AN715" s="623"/>
      <c r="AO715" s="623"/>
      <c r="AP715" s="623"/>
      <c r="AQ715" s="623"/>
      <c r="AR715" s="623"/>
      <c r="AS715" s="623"/>
      <c r="AT715" s="623"/>
      <c r="AU715" s="623"/>
      <c r="AV715" s="623"/>
      <c r="AW715" s="623"/>
      <c r="AX715" s="623"/>
      <c r="AY715" s="623"/>
      <c r="AZ715" s="623"/>
      <c r="BA715" s="623"/>
    </row>
    <row r="716">
      <c r="A716" s="623"/>
      <c r="B716" s="623"/>
      <c r="C716" s="623"/>
      <c r="D716" s="623"/>
      <c r="E716" s="623"/>
      <c r="F716" s="623"/>
      <c r="G716" s="623"/>
      <c r="H716" s="623"/>
      <c r="I716" s="623"/>
      <c r="J716" s="623"/>
      <c r="K716" s="623"/>
      <c r="L716" s="623"/>
      <c r="M716" s="623"/>
      <c r="N716" s="623"/>
      <c r="O716" s="623"/>
      <c r="P716" s="623"/>
      <c r="Q716" s="623"/>
      <c r="R716" s="623"/>
      <c r="S716" s="623"/>
      <c r="T716" s="623"/>
      <c r="U716" s="623"/>
      <c r="V716" s="623"/>
      <c r="W716" s="623"/>
      <c r="X716" s="623"/>
      <c r="Y716" s="623"/>
      <c r="Z716" s="623"/>
      <c r="AA716" s="623"/>
      <c r="AB716" s="623"/>
      <c r="AC716" s="623"/>
      <c r="AD716" s="623"/>
      <c r="AE716" s="623"/>
      <c r="AF716" s="623"/>
      <c r="AG716" s="623"/>
      <c r="AH716" s="623"/>
      <c r="AI716" s="623"/>
      <c r="AJ716" s="623"/>
      <c r="AK716" s="623"/>
      <c r="AL716" s="623"/>
      <c r="AM716" s="623"/>
      <c r="AN716" s="623"/>
      <c r="AO716" s="623"/>
      <c r="AP716" s="623"/>
      <c r="AQ716" s="623"/>
      <c r="AR716" s="623"/>
      <c r="AS716" s="623"/>
      <c r="AT716" s="623"/>
      <c r="AU716" s="623"/>
      <c r="AV716" s="623"/>
      <c r="AW716" s="623"/>
      <c r="AX716" s="623"/>
      <c r="AY716" s="623"/>
      <c r="AZ716" s="623"/>
      <c r="BA716" s="623"/>
    </row>
    <row r="717">
      <c r="A717" s="623"/>
      <c r="B717" s="623"/>
      <c r="C717" s="623"/>
      <c r="D717" s="623"/>
      <c r="E717" s="623"/>
      <c r="F717" s="623"/>
      <c r="G717" s="623"/>
      <c r="H717" s="623"/>
      <c r="I717" s="623"/>
      <c r="J717" s="623"/>
      <c r="K717" s="623"/>
      <c r="L717" s="623"/>
      <c r="M717" s="623"/>
      <c r="N717" s="623"/>
      <c r="O717" s="623"/>
      <c r="P717" s="623"/>
      <c r="Q717" s="623"/>
      <c r="R717" s="623"/>
      <c r="S717" s="623"/>
      <c r="T717" s="623"/>
      <c r="U717" s="623"/>
      <c r="V717" s="623"/>
      <c r="W717" s="623"/>
      <c r="X717" s="623"/>
      <c r="Y717" s="623"/>
      <c r="Z717" s="623"/>
      <c r="AA717" s="623"/>
      <c r="AB717" s="623"/>
      <c r="AC717" s="623"/>
      <c r="AD717" s="623"/>
      <c r="AE717" s="623"/>
      <c r="AF717" s="623"/>
      <c r="AG717" s="623"/>
      <c r="AH717" s="623"/>
      <c r="AI717" s="623"/>
      <c r="AJ717" s="623"/>
      <c r="AK717" s="623"/>
      <c r="AL717" s="623"/>
      <c r="AM717" s="623"/>
      <c r="AN717" s="623"/>
      <c r="AO717" s="623"/>
      <c r="AP717" s="623"/>
      <c r="AQ717" s="623"/>
      <c r="AR717" s="623"/>
      <c r="AS717" s="623"/>
      <c r="AT717" s="623"/>
      <c r="AU717" s="623"/>
      <c r="AV717" s="623"/>
      <c r="AW717" s="623"/>
      <c r="AX717" s="623"/>
      <c r="AY717" s="623"/>
      <c r="AZ717" s="623"/>
      <c r="BA717" s="623"/>
    </row>
    <row r="718">
      <c r="A718" s="623"/>
      <c r="B718" s="623"/>
      <c r="C718" s="623"/>
      <c r="D718" s="623"/>
      <c r="E718" s="623"/>
      <c r="F718" s="623"/>
      <c r="G718" s="623"/>
      <c r="H718" s="623"/>
      <c r="I718" s="623"/>
      <c r="J718" s="623"/>
      <c r="K718" s="623"/>
      <c r="L718" s="623"/>
      <c r="M718" s="623"/>
      <c r="N718" s="623"/>
      <c r="O718" s="623"/>
      <c r="P718" s="623"/>
      <c r="Q718" s="623"/>
      <c r="R718" s="623"/>
      <c r="S718" s="623"/>
      <c r="T718" s="623"/>
      <c r="U718" s="623"/>
      <c r="V718" s="623"/>
      <c r="W718" s="623"/>
      <c r="X718" s="623"/>
      <c r="Y718" s="623"/>
      <c r="Z718" s="623"/>
      <c r="AA718" s="623"/>
      <c r="AB718" s="623"/>
      <c r="AC718" s="623"/>
      <c r="AD718" s="623"/>
      <c r="AE718" s="623"/>
      <c r="AF718" s="623"/>
      <c r="AG718" s="623"/>
      <c r="AH718" s="623"/>
      <c r="AI718" s="623"/>
      <c r="AJ718" s="623"/>
      <c r="AK718" s="623"/>
      <c r="AL718" s="623"/>
      <c r="AM718" s="623"/>
      <c r="AN718" s="623"/>
      <c r="AO718" s="623"/>
      <c r="AP718" s="623"/>
      <c r="AQ718" s="623"/>
      <c r="AR718" s="623"/>
      <c r="AS718" s="623"/>
      <c r="AT718" s="623"/>
      <c r="AU718" s="623"/>
      <c r="AV718" s="623"/>
      <c r="AW718" s="623"/>
      <c r="AX718" s="623"/>
      <c r="AY718" s="623"/>
      <c r="AZ718" s="623"/>
      <c r="BA718" s="623"/>
    </row>
    <row r="719">
      <c r="A719" s="623"/>
      <c r="B719" s="623"/>
      <c r="C719" s="623"/>
      <c r="D719" s="623"/>
      <c r="E719" s="623"/>
      <c r="F719" s="623"/>
      <c r="G719" s="623"/>
      <c r="H719" s="623"/>
      <c r="I719" s="623"/>
      <c r="J719" s="623"/>
      <c r="K719" s="623"/>
      <c r="L719" s="623"/>
      <c r="M719" s="623"/>
      <c r="N719" s="623"/>
      <c r="O719" s="623"/>
      <c r="P719" s="623"/>
      <c r="Q719" s="623"/>
      <c r="R719" s="623"/>
      <c r="S719" s="623"/>
      <c r="T719" s="623"/>
      <c r="U719" s="623"/>
      <c r="V719" s="623"/>
      <c r="W719" s="623"/>
      <c r="X719" s="623"/>
      <c r="Y719" s="623"/>
      <c r="Z719" s="623"/>
      <c r="AA719" s="623"/>
      <c r="AB719" s="623"/>
      <c r="AC719" s="623"/>
      <c r="AD719" s="623"/>
      <c r="AE719" s="623"/>
      <c r="AF719" s="623"/>
      <c r="AG719" s="623"/>
      <c r="AH719" s="623"/>
      <c r="AI719" s="623"/>
      <c r="AJ719" s="623"/>
      <c r="AK719" s="623"/>
      <c r="AL719" s="623"/>
      <c r="AM719" s="623"/>
      <c r="AN719" s="623"/>
      <c r="AO719" s="623"/>
      <c r="AP719" s="623"/>
      <c r="AQ719" s="623"/>
      <c r="AR719" s="623"/>
      <c r="AS719" s="623"/>
      <c r="AT719" s="623"/>
      <c r="AU719" s="623"/>
      <c r="AV719" s="623"/>
      <c r="AW719" s="623"/>
      <c r="AX719" s="623"/>
      <c r="AY719" s="623"/>
      <c r="AZ719" s="623"/>
      <c r="BA719" s="623"/>
    </row>
    <row r="720">
      <c r="A720" s="623"/>
      <c r="B720" s="623"/>
      <c r="C720" s="623"/>
      <c r="D720" s="623"/>
      <c r="E720" s="623"/>
      <c r="F720" s="623"/>
      <c r="G720" s="623"/>
      <c r="H720" s="623"/>
      <c r="I720" s="623"/>
      <c r="J720" s="623"/>
      <c r="K720" s="623"/>
      <c r="L720" s="623"/>
      <c r="M720" s="623"/>
      <c r="N720" s="623"/>
      <c r="O720" s="623"/>
      <c r="P720" s="623"/>
      <c r="Q720" s="623"/>
      <c r="R720" s="623"/>
      <c r="S720" s="623"/>
      <c r="T720" s="623"/>
      <c r="U720" s="623"/>
      <c r="V720" s="623"/>
      <c r="W720" s="623"/>
      <c r="X720" s="623"/>
      <c r="Y720" s="623"/>
      <c r="Z720" s="623"/>
      <c r="AA720" s="623"/>
      <c r="AB720" s="623"/>
      <c r="AC720" s="623"/>
      <c r="AD720" s="623"/>
      <c r="AE720" s="623"/>
      <c r="AF720" s="623"/>
      <c r="AG720" s="623"/>
      <c r="AH720" s="623"/>
      <c r="AI720" s="623"/>
      <c r="AJ720" s="623"/>
      <c r="AK720" s="623"/>
      <c r="AL720" s="623"/>
      <c r="AM720" s="623"/>
      <c r="AN720" s="623"/>
      <c r="AO720" s="623"/>
      <c r="AP720" s="623"/>
      <c r="AQ720" s="623"/>
      <c r="AR720" s="623"/>
      <c r="AS720" s="623"/>
      <c r="AT720" s="623"/>
      <c r="AU720" s="623"/>
      <c r="AV720" s="623"/>
      <c r="AW720" s="623"/>
      <c r="AX720" s="623"/>
      <c r="AY720" s="623"/>
      <c r="AZ720" s="623"/>
      <c r="BA720" s="623"/>
    </row>
    <row r="721">
      <c r="A721" s="623"/>
      <c r="B721" s="623"/>
      <c r="C721" s="623"/>
      <c r="D721" s="623"/>
      <c r="E721" s="623"/>
      <c r="F721" s="623"/>
      <c r="G721" s="623"/>
      <c r="H721" s="623"/>
      <c r="I721" s="623"/>
      <c r="J721" s="623"/>
      <c r="K721" s="623"/>
      <c r="L721" s="623"/>
      <c r="M721" s="623"/>
      <c r="N721" s="623"/>
      <c r="O721" s="623"/>
      <c r="P721" s="623"/>
      <c r="Q721" s="623"/>
      <c r="R721" s="623"/>
      <c r="S721" s="623"/>
      <c r="T721" s="623"/>
      <c r="U721" s="623"/>
      <c r="V721" s="623"/>
      <c r="W721" s="623"/>
      <c r="X721" s="623"/>
      <c r="Y721" s="623"/>
      <c r="Z721" s="623"/>
      <c r="AA721" s="623"/>
      <c r="AB721" s="623"/>
      <c r="AC721" s="623"/>
      <c r="AD721" s="623"/>
      <c r="AE721" s="623"/>
      <c r="AF721" s="623"/>
      <c r="AG721" s="623"/>
      <c r="AH721" s="623"/>
      <c r="AI721" s="623"/>
      <c r="AJ721" s="623"/>
      <c r="AK721" s="623"/>
      <c r="AL721" s="623"/>
      <c r="AM721" s="623"/>
      <c r="AN721" s="623"/>
      <c r="AO721" s="623"/>
      <c r="AP721" s="623"/>
      <c r="AQ721" s="623"/>
      <c r="AR721" s="623"/>
      <c r="AS721" s="623"/>
      <c r="AT721" s="623"/>
      <c r="AU721" s="623"/>
      <c r="AV721" s="623"/>
      <c r="AW721" s="623"/>
      <c r="AX721" s="623"/>
      <c r="AY721" s="623"/>
      <c r="AZ721" s="623"/>
      <c r="BA721" s="623"/>
    </row>
    <row r="722">
      <c r="A722" s="623"/>
      <c r="B722" s="623"/>
      <c r="C722" s="623"/>
      <c r="D722" s="623"/>
      <c r="E722" s="623"/>
      <c r="F722" s="623"/>
      <c r="G722" s="623"/>
      <c r="H722" s="623"/>
      <c r="I722" s="623"/>
      <c r="J722" s="623"/>
      <c r="K722" s="623"/>
      <c r="L722" s="623"/>
      <c r="M722" s="623"/>
      <c r="N722" s="623"/>
      <c r="O722" s="623"/>
      <c r="P722" s="623"/>
      <c r="Q722" s="623"/>
      <c r="R722" s="623"/>
      <c r="S722" s="623"/>
      <c r="T722" s="623"/>
      <c r="U722" s="623"/>
      <c r="V722" s="623"/>
      <c r="W722" s="623"/>
      <c r="X722" s="623"/>
      <c r="Y722" s="623"/>
      <c r="Z722" s="623"/>
      <c r="AA722" s="623"/>
      <c r="AB722" s="623"/>
      <c r="AC722" s="623"/>
      <c r="AD722" s="623"/>
      <c r="AE722" s="623"/>
      <c r="AF722" s="623"/>
      <c r="AG722" s="623"/>
      <c r="AH722" s="623"/>
      <c r="AI722" s="623"/>
      <c r="AJ722" s="623"/>
      <c r="AK722" s="623"/>
      <c r="AL722" s="623"/>
      <c r="AM722" s="623"/>
      <c r="AN722" s="623"/>
      <c r="AO722" s="623"/>
      <c r="AP722" s="623"/>
      <c r="AQ722" s="623"/>
      <c r="AR722" s="623"/>
      <c r="AS722" s="623"/>
      <c r="AT722" s="623"/>
      <c r="AU722" s="623"/>
      <c r="AV722" s="623"/>
      <c r="AW722" s="623"/>
      <c r="AX722" s="623"/>
      <c r="AY722" s="623"/>
      <c r="AZ722" s="623"/>
      <c r="BA722" s="623"/>
    </row>
    <row r="723">
      <c r="A723" s="623"/>
      <c r="B723" s="623"/>
      <c r="C723" s="623"/>
      <c r="D723" s="623"/>
      <c r="E723" s="623"/>
      <c r="F723" s="623"/>
      <c r="G723" s="623"/>
      <c r="H723" s="623"/>
      <c r="I723" s="623"/>
      <c r="J723" s="623"/>
      <c r="K723" s="623"/>
      <c r="L723" s="623"/>
      <c r="M723" s="623"/>
      <c r="N723" s="623"/>
      <c r="O723" s="623"/>
      <c r="P723" s="623"/>
      <c r="Q723" s="623"/>
      <c r="R723" s="623"/>
      <c r="S723" s="623"/>
      <c r="T723" s="623"/>
      <c r="U723" s="623"/>
      <c r="V723" s="623"/>
      <c r="W723" s="623"/>
      <c r="X723" s="623"/>
      <c r="Y723" s="623"/>
      <c r="Z723" s="623"/>
      <c r="AA723" s="623"/>
      <c r="AB723" s="623"/>
      <c r="AC723" s="623"/>
      <c r="AD723" s="623"/>
      <c r="AE723" s="623"/>
      <c r="AF723" s="623"/>
      <c r="AG723" s="623"/>
      <c r="AH723" s="623"/>
      <c r="AI723" s="623"/>
      <c r="AJ723" s="623"/>
      <c r="AK723" s="623"/>
      <c r="AL723" s="623"/>
      <c r="AM723" s="623"/>
      <c r="AN723" s="623"/>
      <c r="AO723" s="623"/>
      <c r="AP723" s="623"/>
      <c r="AQ723" s="623"/>
      <c r="AR723" s="623"/>
      <c r="AS723" s="623"/>
      <c r="AT723" s="623"/>
      <c r="AU723" s="623"/>
      <c r="AV723" s="623"/>
      <c r="AW723" s="623"/>
      <c r="AX723" s="623"/>
      <c r="AY723" s="623"/>
      <c r="AZ723" s="623"/>
      <c r="BA723" s="623"/>
    </row>
    <row r="724">
      <c r="A724" s="623"/>
      <c r="B724" s="623"/>
      <c r="C724" s="623"/>
      <c r="D724" s="623"/>
      <c r="E724" s="623"/>
      <c r="F724" s="623"/>
      <c r="G724" s="623"/>
      <c r="H724" s="623"/>
      <c r="I724" s="623"/>
      <c r="J724" s="623"/>
      <c r="K724" s="623"/>
      <c r="L724" s="623"/>
      <c r="M724" s="623"/>
      <c r="N724" s="623"/>
      <c r="O724" s="623"/>
      <c r="P724" s="623"/>
      <c r="Q724" s="623"/>
      <c r="R724" s="623"/>
      <c r="S724" s="623"/>
      <c r="T724" s="623"/>
      <c r="U724" s="623"/>
      <c r="V724" s="623"/>
      <c r="W724" s="623"/>
      <c r="X724" s="623"/>
      <c r="Y724" s="623"/>
      <c r="Z724" s="623"/>
      <c r="AA724" s="623"/>
      <c r="AB724" s="623"/>
      <c r="AC724" s="623"/>
      <c r="AD724" s="623"/>
      <c r="AE724" s="623"/>
      <c r="AF724" s="623"/>
      <c r="AG724" s="623"/>
      <c r="AH724" s="623"/>
      <c r="AI724" s="623"/>
      <c r="AJ724" s="623"/>
      <c r="AK724" s="623"/>
      <c r="AL724" s="623"/>
      <c r="AM724" s="623"/>
      <c r="AN724" s="623"/>
      <c r="AO724" s="623"/>
      <c r="AP724" s="623"/>
      <c r="AQ724" s="623"/>
      <c r="AR724" s="623"/>
      <c r="AS724" s="623"/>
      <c r="AT724" s="623"/>
      <c r="AU724" s="623"/>
      <c r="AV724" s="623"/>
      <c r="AW724" s="623"/>
      <c r="AX724" s="623"/>
      <c r="AY724" s="623"/>
      <c r="AZ724" s="623"/>
      <c r="BA724" s="623"/>
    </row>
    <row r="725">
      <c r="A725" s="623"/>
      <c r="B725" s="623"/>
      <c r="C725" s="623"/>
      <c r="D725" s="623"/>
      <c r="E725" s="623"/>
      <c r="F725" s="623"/>
      <c r="G725" s="623"/>
      <c r="H725" s="623"/>
      <c r="I725" s="623"/>
      <c r="J725" s="623"/>
      <c r="K725" s="623"/>
      <c r="L725" s="623"/>
      <c r="M725" s="623"/>
      <c r="N725" s="623"/>
      <c r="O725" s="623"/>
      <c r="P725" s="623"/>
      <c r="Q725" s="623"/>
      <c r="R725" s="623"/>
      <c r="S725" s="623"/>
      <c r="T725" s="623"/>
      <c r="U725" s="623"/>
      <c r="V725" s="623"/>
      <c r="W725" s="623"/>
      <c r="X725" s="623"/>
      <c r="Y725" s="623"/>
      <c r="Z725" s="623"/>
      <c r="AA725" s="623"/>
      <c r="AB725" s="623"/>
      <c r="AC725" s="623"/>
      <c r="AD725" s="623"/>
      <c r="AE725" s="623"/>
      <c r="AF725" s="623"/>
      <c r="AG725" s="623"/>
      <c r="AH725" s="623"/>
      <c r="AI725" s="623"/>
      <c r="AJ725" s="623"/>
      <c r="AK725" s="623"/>
      <c r="AL725" s="623"/>
      <c r="AM725" s="623"/>
      <c r="AN725" s="623"/>
      <c r="AO725" s="623"/>
      <c r="AP725" s="623"/>
      <c r="AQ725" s="623"/>
      <c r="AR725" s="623"/>
      <c r="AS725" s="623"/>
      <c r="AT725" s="623"/>
      <c r="AU725" s="623"/>
      <c r="AV725" s="623"/>
      <c r="AW725" s="623"/>
      <c r="AX725" s="623"/>
      <c r="AY725" s="623"/>
      <c r="AZ725" s="623"/>
      <c r="BA725" s="623"/>
    </row>
    <row r="726">
      <c r="A726" s="623"/>
      <c r="B726" s="623"/>
      <c r="C726" s="623"/>
      <c r="D726" s="623"/>
      <c r="E726" s="623"/>
      <c r="F726" s="623"/>
      <c r="G726" s="623"/>
      <c r="H726" s="623"/>
      <c r="I726" s="623"/>
      <c r="J726" s="623"/>
      <c r="K726" s="623"/>
      <c r="L726" s="623"/>
      <c r="M726" s="623"/>
      <c r="N726" s="623"/>
      <c r="O726" s="623"/>
      <c r="P726" s="623"/>
      <c r="Q726" s="623"/>
      <c r="R726" s="623"/>
      <c r="S726" s="623"/>
      <c r="T726" s="623"/>
      <c r="U726" s="623"/>
      <c r="V726" s="623"/>
      <c r="W726" s="623"/>
      <c r="X726" s="623"/>
      <c r="Y726" s="623"/>
      <c r="Z726" s="623"/>
      <c r="AA726" s="623"/>
      <c r="AB726" s="623"/>
      <c r="AC726" s="623"/>
      <c r="AD726" s="623"/>
      <c r="AE726" s="623"/>
      <c r="AF726" s="623"/>
      <c r="AG726" s="623"/>
      <c r="AH726" s="623"/>
      <c r="AI726" s="623"/>
      <c r="AJ726" s="623"/>
      <c r="AK726" s="623"/>
      <c r="AL726" s="623"/>
      <c r="AM726" s="623"/>
      <c r="AN726" s="623"/>
      <c r="AO726" s="623"/>
      <c r="AP726" s="623"/>
      <c r="AQ726" s="623"/>
      <c r="AR726" s="623"/>
      <c r="AS726" s="623"/>
      <c r="AT726" s="623"/>
      <c r="AU726" s="623"/>
      <c r="AV726" s="623"/>
      <c r="AW726" s="623"/>
      <c r="AX726" s="623"/>
      <c r="AY726" s="623"/>
      <c r="AZ726" s="623"/>
      <c r="BA726" s="623"/>
    </row>
    <row r="727">
      <c r="A727" s="623"/>
      <c r="B727" s="623"/>
      <c r="C727" s="623"/>
      <c r="D727" s="623"/>
      <c r="E727" s="623"/>
      <c r="F727" s="623"/>
      <c r="G727" s="623"/>
      <c r="H727" s="623"/>
      <c r="I727" s="623"/>
      <c r="J727" s="623"/>
      <c r="K727" s="623"/>
      <c r="L727" s="623"/>
      <c r="M727" s="623"/>
      <c r="N727" s="623"/>
      <c r="O727" s="623"/>
      <c r="P727" s="623"/>
      <c r="Q727" s="623"/>
      <c r="R727" s="623"/>
      <c r="S727" s="623"/>
      <c r="T727" s="623"/>
      <c r="U727" s="623"/>
      <c r="V727" s="623"/>
      <c r="W727" s="623"/>
      <c r="X727" s="623"/>
      <c r="Y727" s="623"/>
      <c r="Z727" s="623"/>
      <c r="AA727" s="623"/>
      <c r="AB727" s="623"/>
      <c r="AC727" s="623"/>
      <c r="AD727" s="623"/>
      <c r="AE727" s="623"/>
      <c r="AF727" s="623"/>
      <c r="AG727" s="623"/>
      <c r="AH727" s="623"/>
      <c r="AI727" s="623"/>
      <c r="AJ727" s="623"/>
      <c r="AK727" s="623"/>
      <c r="AL727" s="623"/>
      <c r="AM727" s="623"/>
      <c r="AN727" s="623"/>
      <c r="AO727" s="623"/>
      <c r="AP727" s="623"/>
      <c r="AQ727" s="623"/>
      <c r="AR727" s="623"/>
      <c r="AS727" s="623"/>
      <c r="AT727" s="623"/>
      <c r="AU727" s="623"/>
      <c r="AV727" s="623"/>
      <c r="AW727" s="623"/>
      <c r="AX727" s="623"/>
      <c r="AY727" s="623"/>
      <c r="AZ727" s="623"/>
      <c r="BA727" s="623"/>
    </row>
    <row r="728">
      <c r="A728" s="623"/>
      <c r="B728" s="623"/>
      <c r="C728" s="623"/>
      <c r="D728" s="623"/>
      <c r="E728" s="623"/>
      <c r="F728" s="623"/>
      <c r="G728" s="623"/>
      <c r="H728" s="623"/>
      <c r="I728" s="623"/>
      <c r="J728" s="623"/>
      <c r="K728" s="623"/>
      <c r="L728" s="623"/>
      <c r="M728" s="623"/>
      <c r="N728" s="623"/>
      <c r="O728" s="623"/>
      <c r="P728" s="623"/>
      <c r="Q728" s="623"/>
      <c r="R728" s="623"/>
      <c r="S728" s="623"/>
      <c r="T728" s="623"/>
      <c r="U728" s="623"/>
      <c r="V728" s="623"/>
      <c r="W728" s="623"/>
      <c r="X728" s="623"/>
      <c r="Y728" s="623"/>
      <c r="Z728" s="623"/>
      <c r="AA728" s="623"/>
      <c r="AB728" s="623"/>
      <c r="AC728" s="623"/>
      <c r="AD728" s="623"/>
      <c r="AE728" s="623"/>
      <c r="AF728" s="623"/>
      <c r="AG728" s="623"/>
      <c r="AH728" s="623"/>
      <c r="AI728" s="623"/>
      <c r="AJ728" s="623"/>
      <c r="AK728" s="623"/>
      <c r="AL728" s="623"/>
      <c r="AM728" s="623"/>
      <c r="AN728" s="623"/>
      <c r="AO728" s="623"/>
      <c r="AP728" s="623"/>
      <c r="AQ728" s="623"/>
      <c r="AR728" s="623"/>
      <c r="AS728" s="623"/>
      <c r="AT728" s="623"/>
      <c r="AU728" s="623"/>
      <c r="AV728" s="623"/>
      <c r="AW728" s="623"/>
      <c r="AX728" s="623"/>
      <c r="AY728" s="623"/>
      <c r="AZ728" s="623"/>
      <c r="BA728" s="623"/>
    </row>
    <row r="729">
      <c r="A729" s="623"/>
      <c r="B729" s="623"/>
      <c r="C729" s="623"/>
      <c r="D729" s="623"/>
      <c r="E729" s="623"/>
      <c r="F729" s="623"/>
      <c r="G729" s="623"/>
      <c r="H729" s="623"/>
      <c r="I729" s="623"/>
      <c r="J729" s="623"/>
      <c r="K729" s="623"/>
      <c r="L729" s="623"/>
      <c r="M729" s="623"/>
      <c r="N729" s="623"/>
      <c r="O729" s="623"/>
      <c r="P729" s="623"/>
      <c r="Q729" s="623"/>
      <c r="R729" s="623"/>
      <c r="S729" s="623"/>
      <c r="T729" s="623"/>
      <c r="U729" s="623"/>
      <c r="V729" s="623"/>
      <c r="W729" s="623"/>
      <c r="X729" s="623"/>
      <c r="Y729" s="623"/>
      <c r="Z729" s="623"/>
      <c r="AA729" s="623"/>
      <c r="AB729" s="623"/>
      <c r="AC729" s="623"/>
      <c r="AD729" s="623"/>
      <c r="AE729" s="623"/>
      <c r="AF729" s="623"/>
      <c r="AG729" s="623"/>
      <c r="AH729" s="623"/>
      <c r="AI729" s="623"/>
      <c r="AJ729" s="623"/>
      <c r="AK729" s="623"/>
      <c r="AL729" s="623"/>
      <c r="AM729" s="623"/>
      <c r="AN729" s="623"/>
      <c r="AO729" s="623"/>
      <c r="AP729" s="623"/>
      <c r="AQ729" s="623"/>
      <c r="AR729" s="623"/>
      <c r="AS729" s="623"/>
      <c r="AT729" s="623"/>
      <c r="AU729" s="623"/>
      <c r="AV729" s="623"/>
      <c r="AW729" s="623"/>
      <c r="AX729" s="623"/>
      <c r="AY729" s="623"/>
      <c r="AZ729" s="623"/>
      <c r="BA729" s="623"/>
    </row>
    <row r="730">
      <c r="A730" s="623"/>
      <c r="B730" s="623"/>
      <c r="C730" s="623"/>
      <c r="D730" s="623"/>
      <c r="E730" s="623"/>
      <c r="F730" s="623"/>
      <c r="G730" s="623"/>
      <c r="H730" s="623"/>
      <c r="I730" s="623"/>
      <c r="J730" s="623"/>
      <c r="K730" s="623"/>
      <c r="L730" s="623"/>
      <c r="M730" s="623"/>
      <c r="N730" s="623"/>
      <c r="O730" s="623"/>
      <c r="P730" s="623"/>
      <c r="Q730" s="623"/>
      <c r="R730" s="623"/>
      <c r="S730" s="623"/>
      <c r="T730" s="623"/>
      <c r="U730" s="623"/>
      <c r="V730" s="623"/>
      <c r="W730" s="623"/>
      <c r="X730" s="623"/>
      <c r="Y730" s="623"/>
      <c r="Z730" s="623"/>
      <c r="AA730" s="623"/>
      <c r="AB730" s="623"/>
      <c r="AC730" s="623"/>
      <c r="AD730" s="623"/>
      <c r="AE730" s="623"/>
      <c r="AF730" s="623"/>
      <c r="AG730" s="623"/>
      <c r="AH730" s="623"/>
      <c r="AI730" s="623"/>
      <c r="AJ730" s="623"/>
      <c r="AK730" s="623"/>
      <c r="AL730" s="623"/>
      <c r="AM730" s="623"/>
      <c r="AN730" s="623"/>
      <c r="AO730" s="623"/>
      <c r="AP730" s="623"/>
      <c r="AQ730" s="623"/>
      <c r="AR730" s="623"/>
      <c r="AS730" s="623"/>
      <c r="AT730" s="623"/>
      <c r="AU730" s="623"/>
      <c r="AV730" s="623"/>
      <c r="AW730" s="623"/>
      <c r="AX730" s="623"/>
      <c r="AY730" s="623"/>
      <c r="AZ730" s="623"/>
      <c r="BA730" s="623"/>
    </row>
    <row r="731">
      <c r="A731" s="623"/>
      <c r="B731" s="623"/>
      <c r="C731" s="623"/>
      <c r="D731" s="623"/>
      <c r="E731" s="623"/>
      <c r="F731" s="623"/>
      <c r="G731" s="623"/>
      <c r="H731" s="623"/>
      <c r="I731" s="623"/>
      <c r="J731" s="623"/>
      <c r="K731" s="623"/>
      <c r="L731" s="623"/>
      <c r="M731" s="623"/>
      <c r="N731" s="623"/>
      <c r="O731" s="623"/>
      <c r="P731" s="623"/>
      <c r="Q731" s="623"/>
      <c r="R731" s="623"/>
      <c r="S731" s="623"/>
      <c r="T731" s="623"/>
      <c r="U731" s="623"/>
      <c r="V731" s="623"/>
      <c r="W731" s="623"/>
      <c r="X731" s="623"/>
      <c r="Y731" s="623"/>
      <c r="Z731" s="623"/>
      <c r="AA731" s="623"/>
      <c r="AB731" s="623"/>
      <c r="AC731" s="623"/>
      <c r="AD731" s="623"/>
      <c r="AE731" s="623"/>
      <c r="AF731" s="623"/>
      <c r="AG731" s="623"/>
      <c r="AH731" s="623"/>
      <c r="AI731" s="623"/>
      <c r="AJ731" s="623"/>
      <c r="AK731" s="623"/>
      <c r="AL731" s="623"/>
      <c r="AM731" s="623"/>
      <c r="AN731" s="623"/>
      <c r="AO731" s="623"/>
      <c r="AP731" s="623"/>
      <c r="AQ731" s="623"/>
      <c r="AR731" s="623"/>
      <c r="AS731" s="623"/>
      <c r="AT731" s="623"/>
      <c r="AU731" s="623"/>
      <c r="AV731" s="623"/>
      <c r="AW731" s="623"/>
      <c r="AX731" s="623"/>
      <c r="AY731" s="623"/>
      <c r="AZ731" s="623"/>
      <c r="BA731" s="623"/>
    </row>
    <row r="732">
      <c r="A732" s="623"/>
      <c r="B732" s="623"/>
      <c r="C732" s="623"/>
      <c r="D732" s="623"/>
      <c r="E732" s="623"/>
      <c r="F732" s="623"/>
      <c r="G732" s="623"/>
      <c r="H732" s="623"/>
      <c r="I732" s="623"/>
      <c r="J732" s="623"/>
      <c r="K732" s="623"/>
      <c r="L732" s="623"/>
      <c r="M732" s="623"/>
      <c r="N732" s="623"/>
      <c r="O732" s="623"/>
      <c r="P732" s="623"/>
      <c r="Q732" s="623"/>
      <c r="R732" s="623"/>
      <c r="S732" s="623"/>
      <c r="T732" s="623"/>
      <c r="U732" s="623"/>
      <c r="V732" s="623"/>
      <c r="W732" s="623"/>
      <c r="X732" s="623"/>
      <c r="Y732" s="623"/>
      <c r="Z732" s="623"/>
      <c r="AA732" s="623"/>
      <c r="AB732" s="623"/>
      <c r="AC732" s="623"/>
      <c r="AD732" s="623"/>
      <c r="AE732" s="623"/>
      <c r="AF732" s="623"/>
      <c r="AG732" s="623"/>
      <c r="AH732" s="623"/>
      <c r="AI732" s="623"/>
      <c r="AJ732" s="623"/>
      <c r="AK732" s="623"/>
      <c r="AL732" s="623"/>
      <c r="AM732" s="623"/>
      <c r="AN732" s="623"/>
      <c r="AO732" s="623"/>
      <c r="AP732" s="623"/>
      <c r="AQ732" s="623"/>
      <c r="AR732" s="623"/>
      <c r="AS732" s="623"/>
      <c r="AT732" s="623"/>
      <c r="AU732" s="623"/>
      <c r="AV732" s="623"/>
      <c r="AW732" s="623"/>
      <c r="AX732" s="623"/>
      <c r="AY732" s="623"/>
      <c r="AZ732" s="623"/>
      <c r="BA732" s="623"/>
    </row>
    <row r="733">
      <c r="A733" s="623"/>
      <c r="B733" s="623"/>
      <c r="C733" s="623"/>
      <c r="D733" s="623"/>
      <c r="E733" s="623"/>
      <c r="F733" s="623"/>
      <c r="G733" s="623"/>
      <c r="H733" s="623"/>
      <c r="I733" s="623"/>
      <c r="J733" s="623"/>
      <c r="K733" s="623"/>
      <c r="L733" s="623"/>
      <c r="M733" s="623"/>
      <c r="N733" s="623"/>
      <c r="O733" s="623"/>
      <c r="P733" s="623"/>
      <c r="Q733" s="623"/>
      <c r="R733" s="623"/>
      <c r="S733" s="623"/>
      <c r="T733" s="623"/>
      <c r="U733" s="623"/>
      <c r="V733" s="623"/>
      <c r="W733" s="623"/>
      <c r="X733" s="623"/>
      <c r="Y733" s="623"/>
      <c r="Z733" s="623"/>
      <c r="AA733" s="623"/>
      <c r="AB733" s="623"/>
      <c r="AC733" s="623"/>
      <c r="AD733" s="623"/>
      <c r="AE733" s="623"/>
      <c r="AF733" s="623"/>
      <c r="AG733" s="623"/>
      <c r="AH733" s="623"/>
      <c r="AI733" s="623"/>
      <c r="AJ733" s="623"/>
      <c r="AK733" s="623"/>
      <c r="AL733" s="623"/>
      <c r="AM733" s="623"/>
      <c r="AN733" s="623"/>
      <c r="AO733" s="623"/>
      <c r="AP733" s="623"/>
      <c r="AQ733" s="623"/>
      <c r="AR733" s="623"/>
      <c r="AS733" s="623"/>
      <c r="AT733" s="623"/>
      <c r="AU733" s="623"/>
      <c r="AV733" s="623"/>
      <c r="AW733" s="623"/>
      <c r="AX733" s="623"/>
      <c r="AY733" s="623"/>
      <c r="AZ733" s="623"/>
      <c r="BA733" s="623"/>
    </row>
    <row r="734">
      <c r="A734" s="623"/>
      <c r="B734" s="623"/>
      <c r="C734" s="623"/>
      <c r="D734" s="623"/>
      <c r="E734" s="623"/>
      <c r="F734" s="623"/>
      <c r="G734" s="623"/>
      <c r="H734" s="623"/>
      <c r="I734" s="623"/>
      <c r="J734" s="623"/>
      <c r="K734" s="623"/>
      <c r="L734" s="623"/>
      <c r="M734" s="623"/>
      <c r="N734" s="623"/>
      <c r="O734" s="623"/>
      <c r="P734" s="623"/>
      <c r="Q734" s="623"/>
      <c r="R734" s="623"/>
      <c r="S734" s="623"/>
      <c r="T734" s="623"/>
      <c r="U734" s="623"/>
      <c r="V734" s="623"/>
      <c r="W734" s="623"/>
      <c r="X734" s="623"/>
      <c r="Y734" s="623"/>
      <c r="Z734" s="623"/>
      <c r="AA734" s="623"/>
      <c r="AB734" s="623"/>
      <c r="AC734" s="623"/>
      <c r="AD734" s="623"/>
      <c r="AE734" s="623"/>
      <c r="AF734" s="623"/>
      <c r="AG734" s="623"/>
      <c r="AH734" s="623"/>
      <c r="AI734" s="623"/>
      <c r="AJ734" s="623"/>
      <c r="AK734" s="623"/>
      <c r="AL734" s="623"/>
      <c r="AM734" s="623"/>
      <c r="AN734" s="623"/>
      <c r="AO734" s="623"/>
      <c r="AP734" s="623"/>
      <c r="AQ734" s="623"/>
      <c r="AR734" s="623"/>
      <c r="AS734" s="623"/>
      <c r="AT734" s="623"/>
      <c r="AU734" s="623"/>
      <c r="AV734" s="623"/>
      <c r="AW734" s="623"/>
      <c r="AX734" s="623"/>
      <c r="AY734" s="623"/>
      <c r="AZ734" s="623"/>
      <c r="BA734" s="623"/>
    </row>
    <row r="735">
      <c r="A735" s="623"/>
      <c r="B735" s="623"/>
      <c r="C735" s="623"/>
      <c r="D735" s="623"/>
      <c r="E735" s="623"/>
      <c r="F735" s="623"/>
      <c r="G735" s="623"/>
      <c r="H735" s="623"/>
      <c r="I735" s="623"/>
      <c r="J735" s="623"/>
      <c r="K735" s="623"/>
      <c r="L735" s="623"/>
      <c r="M735" s="623"/>
      <c r="N735" s="623"/>
      <c r="O735" s="623"/>
      <c r="P735" s="623"/>
      <c r="Q735" s="623"/>
      <c r="R735" s="623"/>
      <c r="S735" s="623"/>
      <c r="T735" s="623"/>
      <c r="U735" s="623"/>
      <c r="V735" s="623"/>
      <c r="W735" s="623"/>
      <c r="X735" s="623"/>
      <c r="Y735" s="623"/>
      <c r="Z735" s="623"/>
      <c r="AA735" s="623"/>
      <c r="AB735" s="623"/>
      <c r="AC735" s="623"/>
      <c r="AD735" s="623"/>
      <c r="AE735" s="623"/>
      <c r="AF735" s="623"/>
      <c r="AG735" s="623"/>
      <c r="AH735" s="623"/>
      <c r="AI735" s="623"/>
      <c r="AJ735" s="623"/>
      <c r="AK735" s="623"/>
      <c r="AL735" s="623"/>
      <c r="AM735" s="623"/>
      <c r="AN735" s="623"/>
      <c r="AO735" s="623"/>
      <c r="AP735" s="623"/>
      <c r="AQ735" s="623"/>
      <c r="AR735" s="623"/>
      <c r="AS735" s="623"/>
      <c r="AT735" s="623"/>
      <c r="AU735" s="623"/>
      <c r="AV735" s="623"/>
      <c r="AW735" s="623"/>
      <c r="AX735" s="623"/>
      <c r="AY735" s="623"/>
      <c r="AZ735" s="623"/>
      <c r="BA735" s="623"/>
    </row>
    <row r="736">
      <c r="A736" s="623"/>
      <c r="B736" s="623"/>
      <c r="C736" s="623"/>
      <c r="D736" s="623"/>
      <c r="E736" s="623"/>
      <c r="F736" s="623"/>
      <c r="G736" s="623"/>
      <c r="H736" s="623"/>
      <c r="I736" s="623"/>
      <c r="J736" s="623"/>
      <c r="K736" s="623"/>
      <c r="L736" s="623"/>
      <c r="M736" s="623"/>
      <c r="N736" s="623"/>
      <c r="O736" s="623"/>
      <c r="P736" s="623"/>
      <c r="Q736" s="623"/>
      <c r="R736" s="623"/>
      <c r="S736" s="623"/>
      <c r="T736" s="623"/>
      <c r="U736" s="623"/>
      <c r="V736" s="623"/>
      <c r="W736" s="623"/>
      <c r="X736" s="623"/>
      <c r="Y736" s="623"/>
      <c r="Z736" s="623"/>
      <c r="AA736" s="623"/>
      <c r="AB736" s="623"/>
      <c r="AC736" s="623"/>
      <c r="AD736" s="623"/>
      <c r="AE736" s="623"/>
      <c r="AF736" s="623"/>
      <c r="AG736" s="623"/>
      <c r="AH736" s="623"/>
      <c r="AI736" s="623"/>
      <c r="AJ736" s="623"/>
      <c r="AK736" s="623"/>
      <c r="AL736" s="623"/>
      <c r="AM736" s="623"/>
      <c r="AN736" s="623"/>
      <c r="AO736" s="623"/>
      <c r="AP736" s="623"/>
      <c r="AQ736" s="623"/>
      <c r="AR736" s="623"/>
      <c r="AS736" s="623"/>
      <c r="AT736" s="623"/>
      <c r="AU736" s="623"/>
      <c r="AV736" s="623"/>
      <c r="AW736" s="623"/>
      <c r="AX736" s="623"/>
      <c r="AY736" s="623"/>
      <c r="AZ736" s="623"/>
      <c r="BA736" s="623"/>
    </row>
    <row r="737">
      <c r="A737" s="623"/>
      <c r="B737" s="623"/>
      <c r="C737" s="623"/>
      <c r="D737" s="623"/>
      <c r="E737" s="623"/>
      <c r="F737" s="623"/>
      <c r="G737" s="623"/>
      <c r="H737" s="623"/>
      <c r="I737" s="623"/>
      <c r="J737" s="623"/>
      <c r="K737" s="623"/>
      <c r="L737" s="623"/>
      <c r="M737" s="623"/>
      <c r="N737" s="623"/>
      <c r="O737" s="623"/>
      <c r="P737" s="623"/>
      <c r="Q737" s="623"/>
      <c r="R737" s="623"/>
      <c r="S737" s="623"/>
      <c r="T737" s="623"/>
      <c r="U737" s="623"/>
      <c r="V737" s="623"/>
      <c r="W737" s="623"/>
      <c r="X737" s="623"/>
      <c r="Y737" s="623"/>
      <c r="Z737" s="623"/>
      <c r="AA737" s="623"/>
      <c r="AB737" s="623"/>
      <c r="AC737" s="623"/>
      <c r="AD737" s="623"/>
      <c r="AE737" s="623"/>
      <c r="AF737" s="623"/>
      <c r="AG737" s="623"/>
      <c r="AH737" s="623"/>
      <c r="AI737" s="623"/>
      <c r="AJ737" s="623"/>
      <c r="AK737" s="623"/>
      <c r="AL737" s="623"/>
      <c r="AM737" s="623"/>
      <c r="AN737" s="623"/>
      <c r="AO737" s="623"/>
      <c r="AP737" s="623"/>
      <c r="AQ737" s="623"/>
      <c r="AR737" s="623"/>
      <c r="AS737" s="623"/>
      <c r="AT737" s="623"/>
      <c r="AU737" s="623"/>
      <c r="AV737" s="623"/>
      <c r="AW737" s="623"/>
      <c r="AX737" s="623"/>
      <c r="AY737" s="623"/>
      <c r="AZ737" s="623"/>
      <c r="BA737" s="623"/>
    </row>
    <row r="738">
      <c r="A738" s="623"/>
      <c r="B738" s="623"/>
      <c r="C738" s="623"/>
      <c r="D738" s="623"/>
      <c r="E738" s="623"/>
      <c r="F738" s="623"/>
      <c r="G738" s="623"/>
      <c r="H738" s="623"/>
      <c r="I738" s="623"/>
      <c r="J738" s="623"/>
      <c r="K738" s="623"/>
      <c r="L738" s="623"/>
      <c r="M738" s="623"/>
      <c r="N738" s="623"/>
      <c r="O738" s="623"/>
      <c r="P738" s="623"/>
      <c r="Q738" s="623"/>
      <c r="R738" s="623"/>
      <c r="S738" s="623"/>
      <c r="T738" s="623"/>
      <c r="U738" s="623"/>
      <c r="V738" s="623"/>
      <c r="W738" s="623"/>
      <c r="X738" s="623"/>
      <c r="Y738" s="623"/>
      <c r="Z738" s="623"/>
      <c r="AA738" s="623"/>
      <c r="AB738" s="623"/>
      <c r="AC738" s="623"/>
      <c r="AD738" s="623"/>
      <c r="AE738" s="623"/>
      <c r="AF738" s="623"/>
      <c r="AG738" s="623"/>
      <c r="AH738" s="623"/>
      <c r="AI738" s="623"/>
      <c r="AJ738" s="623"/>
      <c r="AK738" s="623"/>
      <c r="AL738" s="623"/>
      <c r="AM738" s="623"/>
      <c r="AN738" s="623"/>
      <c r="AO738" s="623"/>
      <c r="AP738" s="623"/>
      <c r="AQ738" s="623"/>
      <c r="AR738" s="623"/>
      <c r="AS738" s="623"/>
      <c r="AT738" s="623"/>
      <c r="AU738" s="623"/>
      <c r="AV738" s="623"/>
      <c r="AW738" s="623"/>
      <c r="AX738" s="623"/>
      <c r="AY738" s="623"/>
      <c r="AZ738" s="623"/>
      <c r="BA738" s="623"/>
    </row>
    <row r="739">
      <c r="A739" s="623"/>
      <c r="B739" s="623"/>
      <c r="C739" s="623"/>
      <c r="D739" s="623"/>
      <c r="E739" s="623"/>
      <c r="F739" s="623"/>
      <c r="G739" s="623"/>
      <c r="H739" s="623"/>
      <c r="I739" s="623"/>
      <c r="J739" s="623"/>
      <c r="K739" s="623"/>
      <c r="L739" s="623"/>
      <c r="M739" s="623"/>
      <c r="N739" s="623"/>
      <c r="O739" s="623"/>
      <c r="P739" s="623"/>
      <c r="Q739" s="623"/>
      <c r="R739" s="623"/>
      <c r="S739" s="623"/>
      <c r="T739" s="623"/>
      <c r="U739" s="623"/>
      <c r="V739" s="623"/>
      <c r="W739" s="623"/>
      <c r="X739" s="623"/>
      <c r="Y739" s="623"/>
      <c r="Z739" s="623"/>
      <c r="AA739" s="623"/>
      <c r="AB739" s="623"/>
      <c r="AC739" s="623"/>
      <c r="AD739" s="623"/>
      <c r="AE739" s="623"/>
      <c r="AF739" s="623"/>
      <c r="AG739" s="623"/>
      <c r="AH739" s="623"/>
      <c r="AI739" s="623"/>
      <c r="AJ739" s="623"/>
      <c r="AK739" s="623"/>
      <c r="AL739" s="623"/>
      <c r="AM739" s="623"/>
      <c r="AN739" s="623"/>
      <c r="AO739" s="623"/>
      <c r="AP739" s="623"/>
      <c r="AQ739" s="623"/>
      <c r="AR739" s="623"/>
      <c r="AS739" s="623"/>
      <c r="AT739" s="623"/>
      <c r="AU739" s="623"/>
      <c r="AV739" s="623"/>
      <c r="AW739" s="623"/>
      <c r="AX739" s="623"/>
      <c r="AY739" s="623"/>
      <c r="AZ739" s="623"/>
      <c r="BA739" s="623"/>
    </row>
    <row r="740">
      <c r="A740" s="623"/>
      <c r="B740" s="623"/>
      <c r="C740" s="623"/>
      <c r="D740" s="623"/>
      <c r="E740" s="623"/>
      <c r="F740" s="623"/>
      <c r="G740" s="623"/>
      <c r="H740" s="623"/>
      <c r="I740" s="623"/>
      <c r="J740" s="623"/>
      <c r="K740" s="623"/>
      <c r="L740" s="623"/>
      <c r="M740" s="623"/>
      <c r="N740" s="623"/>
      <c r="O740" s="623"/>
      <c r="P740" s="623"/>
      <c r="Q740" s="623"/>
      <c r="R740" s="623"/>
      <c r="S740" s="623"/>
      <c r="T740" s="623"/>
      <c r="U740" s="623"/>
      <c r="V740" s="623"/>
      <c r="W740" s="623"/>
      <c r="X740" s="623"/>
      <c r="Y740" s="623"/>
      <c r="Z740" s="623"/>
      <c r="AA740" s="623"/>
      <c r="AB740" s="623"/>
      <c r="AC740" s="623"/>
      <c r="AD740" s="623"/>
      <c r="AE740" s="623"/>
      <c r="AF740" s="623"/>
      <c r="AG740" s="623"/>
      <c r="AH740" s="623"/>
      <c r="AI740" s="623"/>
      <c r="AJ740" s="623"/>
      <c r="AK740" s="623"/>
      <c r="AL740" s="623"/>
      <c r="AM740" s="623"/>
      <c r="AN740" s="623"/>
      <c r="AO740" s="623"/>
      <c r="AP740" s="623"/>
      <c r="AQ740" s="623"/>
      <c r="AR740" s="623"/>
      <c r="AS740" s="623"/>
      <c r="AT740" s="623"/>
      <c r="AU740" s="623"/>
      <c r="AV740" s="623"/>
      <c r="AW740" s="623"/>
      <c r="AX740" s="623"/>
      <c r="AY740" s="623"/>
      <c r="AZ740" s="623"/>
      <c r="BA740" s="623"/>
    </row>
    <row r="741">
      <c r="A741" s="623"/>
      <c r="B741" s="623"/>
      <c r="C741" s="623"/>
      <c r="D741" s="623"/>
      <c r="E741" s="623"/>
      <c r="F741" s="623"/>
      <c r="G741" s="623"/>
      <c r="H741" s="623"/>
      <c r="I741" s="623"/>
      <c r="J741" s="623"/>
      <c r="K741" s="623"/>
      <c r="L741" s="623"/>
      <c r="M741" s="623"/>
      <c r="N741" s="623"/>
      <c r="O741" s="623"/>
      <c r="P741" s="623"/>
      <c r="Q741" s="623"/>
      <c r="R741" s="623"/>
      <c r="S741" s="623"/>
      <c r="T741" s="623"/>
      <c r="U741" s="623"/>
      <c r="V741" s="623"/>
      <c r="W741" s="623"/>
      <c r="X741" s="623"/>
      <c r="Y741" s="623"/>
      <c r="Z741" s="623"/>
      <c r="AA741" s="623"/>
      <c r="AB741" s="623"/>
      <c r="AC741" s="623"/>
      <c r="AD741" s="623"/>
      <c r="AE741" s="623"/>
      <c r="AF741" s="623"/>
      <c r="AG741" s="623"/>
      <c r="AH741" s="623"/>
      <c r="AI741" s="623"/>
      <c r="AJ741" s="623"/>
      <c r="AK741" s="623"/>
      <c r="AL741" s="623"/>
      <c r="AM741" s="623"/>
      <c r="AN741" s="623"/>
      <c r="AO741" s="623"/>
      <c r="AP741" s="623"/>
      <c r="AQ741" s="623"/>
      <c r="AR741" s="623"/>
      <c r="AS741" s="623"/>
      <c r="AT741" s="623"/>
      <c r="AU741" s="623"/>
      <c r="AV741" s="623"/>
      <c r="AW741" s="623"/>
      <c r="AX741" s="623"/>
      <c r="AY741" s="623"/>
      <c r="AZ741" s="623"/>
      <c r="BA741" s="623"/>
    </row>
    <row r="742">
      <c r="A742" s="623"/>
      <c r="B742" s="623"/>
      <c r="C742" s="623"/>
      <c r="D742" s="623"/>
      <c r="E742" s="623"/>
      <c r="F742" s="623"/>
      <c r="G742" s="623"/>
      <c r="H742" s="623"/>
      <c r="I742" s="623"/>
      <c r="J742" s="623"/>
      <c r="K742" s="623"/>
      <c r="L742" s="623"/>
      <c r="M742" s="623"/>
      <c r="N742" s="623"/>
      <c r="O742" s="623"/>
      <c r="P742" s="623"/>
      <c r="Q742" s="623"/>
      <c r="R742" s="623"/>
      <c r="S742" s="623"/>
      <c r="T742" s="623"/>
      <c r="U742" s="623"/>
      <c r="V742" s="623"/>
      <c r="W742" s="623"/>
      <c r="X742" s="623"/>
      <c r="Y742" s="623"/>
      <c r="Z742" s="623"/>
      <c r="AA742" s="623"/>
      <c r="AB742" s="623"/>
      <c r="AC742" s="623"/>
      <c r="AD742" s="623"/>
      <c r="AE742" s="623"/>
      <c r="AF742" s="623"/>
      <c r="AG742" s="623"/>
      <c r="AH742" s="623"/>
      <c r="AI742" s="623"/>
      <c r="AJ742" s="623"/>
      <c r="AK742" s="623"/>
      <c r="AL742" s="623"/>
      <c r="AM742" s="623"/>
      <c r="AN742" s="623"/>
      <c r="AO742" s="623"/>
      <c r="AP742" s="623"/>
      <c r="AQ742" s="623"/>
      <c r="AR742" s="623"/>
      <c r="AS742" s="623"/>
      <c r="AT742" s="623"/>
      <c r="AU742" s="623"/>
      <c r="AV742" s="623"/>
      <c r="AW742" s="623"/>
      <c r="AX742" s="623"/>
      <c r="AY742" s="623"/>
      <c r="AZ742" s="623"/>
      <c r="BA742" s="623"/>
    </row>
    <row r="743">
      <c r="A743" s="623"/>
      <c r="B743" s="623"/>
      <c r="C743" s="623"/>
      <c r="D743" s="623"/>
      <c r="E743" s="623"/>
      <c r="F743" s="623"/>
      <c r="G743" s="623"/>
      <c r="H743" s="623"/>
      <c r="I743" s="623"/>
      <c r="J743" s="623"/>
      <c r="K743" s="623"/>
      <c r="L743" s="623"/>
      <c r="M743" s="623"/>
      <c r="N743" s="623"/>
      <c r="O743" s="623"/>
      <c r="P743" s="623"/>
      <c r="Q743" s="623"/>
      <c r="R743" s="623"/>
      <c r="S743" s="623"/>
      <c r="T743" s="623"/>
      <c r="U743" s="623"/>
      <c r="V743" s="623"/>
      <c r="W743" s="623"/>
      <c r="X743" s="623"/>
      <c r="Y743" s="623"/>
      <c r="Z743" s="623"/>
      <c r="AA743" s="623"/>
      <c r="AB743" s="623"/>
      <c r="AC743" s="623"/>
      <c r="AD743" s="623"/>
      <c r="AE743" s="623"/>
      <c r="AF743" s="623"/>
      <c r="AG743" s="623"/>
      <c r="AH743" s="623"/>
      <c r="AI743" s="623"/>
      <c r="AJ743" s="623"/>
      <c r="AK743" s="623"/>
      <c r="AL743" s="623"/>
      <c r="AM743" s="623"/>
      <c r="AN743" s="623"/>
      <c r="AO743" s="623"/>
      <c r="AP743" s="623"/>
      <c r="AQ743" s="623"/>
      <c r="AR743" s="623"/>
      <c r="AS743" s="623"/>
      <c r="AT743" s="623"/>
      <c r="AU743" s="623"/>
      <c r="AV743" s="623"/>
      <c r="AW743" s="623"/>
      <c r="AX743" s="623"/>
      <c r="AY743" s="623"/>
      <c r="AZ743" s="623"/>
      <c r="BA743" s="623"/>
    </row>
    <row r="744">
      <c r="A744" s="623"/>
      <c r="B744" s="623"/>
      <c r="C744" s="623"/>
      <c r="D744" s="623"/>
      <c r="E744" s="623"/>
      <c r="F744" s="623"/>
      <c r="G744" s="623"/>
      <c r="H744" s="623"/>
      <c r="I744" s="623"/>
      <c r="J744" s="623"/>
      <c r="K744" s="623"/>
      <c r="L744" s="623"/>
      <c r="M744" s="623"/>
      <c r="N744" s="623"/>
      <c r="O744" s="623"/>
      <c r="P744" s="623"/>
      <c r="Q744" s="623"/>
      <c r="R744" s="623"/>
      <c r="S744" s="623"/>
      <c r="T744" s="623"/>
      <c r="U744" s="623"/>
      <c r="V744" s="623"/>
      <c r="W744" s="623"/>
      <c r="X744" s="623"/>
      <c r="Y744" s="623"/>
      <c r="Z744" s="623"/>
      <c r="AA744" s="623"/>
      <c r="AB744" s="623"/>
      <c r="AC744" s="623"/>
      <c r="AD744" s="623"/>
      <c r="AE744" s="623"/>
      <c r="AF744" s="623"/>
      <c r="AG744" s="623"/>
      <c r="AH744" s="623"/>
      <c r="AI744" s="623"/>
      <c r="AJ744" s="623"/>
      <c r="AK744" s="623"/>
      <c r="AL744" s="623"/>
      <c r="AM744" s="623"/>
      <c r="AN744" s="623"/>
      <c r="AO744" s="623"/>
      <c r="AP744" s="623"/>
      <c r="AQ744" s="623"/>
      <c r="AR744" s="623"/>
      <c r="AS744" s="623"/>
      <c r="AT744" s="623"/>
      <c r="AU744" s="623"/>
      <c r="AV744" s="623"/>
      <c r="AW744" s="623"/>
      <c r="AX744" s="623"/>
      <c r="AY744" s="623"/>
      <c r="AZ744" s="623"/>
      <c r="BA744" s="623"/>
    </row>
    <row r="745">
      <c r="A745" s="623"/>
      <c r="B745" s="623"/>
      <c r="C745" s="623"/>
      <c r="D745" s="623"/>
      <c r="E745" s="623"/>
      <c r="F745" s="623"/>
      <c r="G745" s="623"/>
      <c r="H745" s="623"/>
      <c r="I745" s="623"/>
      <c r="J745" s="623"/>
      <c r="K745" s="623"/>
      <c r="L745" s="623"/>
      <c r="M745" s="623"/>
      <c r="N745" s="623"/>
      <c r="O745" s="623"/>
      <c r="P745" s="623"/>
      <c r="Q745" s="623"/>
      <c r="R745" s="623"/>
      <c r="S745" s="623"/>
      <c r="T745" s="623"/>
      <c r="U745" s="623"/>
      <c r="V745" s="623"/>
      <c r="W745" s="623"/>
      <c r="X745" s="623"/>
      <c r="Y745" s="623"/>
      <c r="Z745" s="623"/>
      <c r="AA745" s="623"/>
      <c r="AB745" s="623"/>
      <c r="AC745" s="623"/>
      <c r="AD745" s="623"/>
      <c r="AE745" s="623"/>
      <c r="AF745" s="623"/>
      <c r="AG745" s="623"/>
      <c r="AH745" s="623"/>
      <c r="AI745" s="623"/>
      <c r="AJ745" s="623"/>
      <c r="AK745" s="623"/>
      <c r="AL745" s="623"/>
      <c r="AM745" s="623"/>
      <c r="AN745" s="623"/>
      <c r="AO745" s="623"/>
      <c r="AP745" s="623"/>
      <c r="AQ745" s="623"/>
      <c r="AR745" s="623"/>
      <c r="AS745" s="623"/>
      <c r="AT745" s="623"/>
      <c r="AU745" s="623"/>
      <c r="AV745" s="623"/>
      <c r="AW745" s="623"/>
      <c r="AX745" s="623"/>
      <c r="AY745" s="623"/>
      <c r="AZ745" s="623"/>
      <c r="BA745" s="623"/>
    </row>
    <row r="746">
      <c r="A746" s="623"/>
      <c r="B746" s="623"/>
      <c r="C746" s="623"/>
      <c r="D746" s="623"/>
      <c r="E746" s="623"/>
      <c r="F746" s="623"/>
      <c r="G746" s="623"/>
      <c r="H746" s="623"/>
      <c r="I746" s="623"/>
      <c r="J746" s="623"/>
      <c r="K746" s="623"/>
      <c r="L746" s="623"/>
      <c r="M746" s="623"/>
      <c r="N746" s="623"/>
      <c r="O746" s="623"/>
      <c r="P746" s="623"/>
      <c r="Q746" s="623"/>
      <c r="R746" s="623"/>
      <c r="S746" s="623"/>
      <c r="T746" s="623"/>
      <c r="U746" s="623"/>
      <c r="V746" s="623"/>
      <c r="W746" s="623"/>
      <c r="X746" s="623"/>
      <c r="Y746" s="623"/>
      <c r="Z746" s="623"/>
      <c r="AA746" s="623"/>
      <c r="AB746" s="623"/>
      <c r="AC746" s="623"/>
      <c r="AD746" s="623"/>
      <c r="AE746" s="623"/>
      <c r="AF746" s="623"/>
      <c r="AG746" s="623"/>
      <c r="AH746" s="623"/>
      <c r="AI746" s="623"/>
      <c r="AJ746" s="623"/>
      <c r="AK746" s="623"/>
      <c r="AL746" s="623"/>
      <c r="AM746" s="623"/>
      <c r="AN746" s="623"/>
      <c r="AO746" s="623"/>
      <c r="AP746" s="623"/>
      <c r="AQ746" s="623"/>
      <c r="AR746" s="623"/>
      <c r="AS746" s="623"/>
      <c r="AT746" s="623"/>
      <c r="AU746" s="623"/>
      <c r="AV746" s="623"/>
      <c r="AW746" s="623"/>
      <c r="AX746" s="623"/>
      <c r="AY746" s="623"/>
      <c r="AZ746" s="623"/>
      <c r="BA746" s="623"/>
    </row>
    <row r="747">
      <c r="A747" s="623"/>
      <c r="B747" s="623"/>
      <c r="C747" s="623"/>
      <c r="D747" s="623"/>
      <c r="E747" s="623"/>
      <c r="F747" s="623"/>
      <c r="G747" s="623"/>
      <c r="H747" s="623"/>
      <c r="I747" s="623"/>
      <c r="J747" s="623"/>
      <c r="K747" s="623"/>
      <c r="L747" s="623"/>
      <c r="M747" s="623"/>
      <c r="N747" s="623"/>
      <c r="O747" s="623"/>
      <c r="P747" s="623"/>
      <c r="Q747" s="623"/>
      <c r="R747" s="623"/>
      <c r="S747" s="623"/>
      <c r="T747" s="623"/>
      <c r="U747" s="623"/>
      <c r="V747" s="623"/>
      <c r="W747" s="623"/>
      <c r="X747" s="623"/>
      <c r="Y747" s="623"/>
      <c r="Z747" s="623"/>
      <c r="AA747" s="623"/>
      <c r="AB747" s="623"/>
      <c r="AC747" s="623"/>
      <c r="AD747" s="623"/>
      <c r="AE747" s="623"/>
      <c r="AF747" s="623"/>
      <c r="AG747" s="623"/>
      <c r="AH747" s="623"/>
      <c r="AI747" s="623"/>
      <c r="AJ747" s="623"/>
      <c r="AK747" s="623"/>
      <c r="AL747" s="623"/>
      <c r="AM747" s="623"/>
      <c r="AN747" s="623"/>
      <c r="AO747" s="623"/>
      <c r="AP747" s="623"/>
      <c r="AQ747" s="623"/>
      <c r="AR747" s="623"/>
      <c r="AS747" s="623"/>
      <c r="AT747" s="623"/>
      <c r="AU747" s="623"/>
      <c r="AV747" s="623"/>
      <c r="AW747" s="623"/>
      <c r="AX747" s="623"/>
      <c r="AY747" s="623"/>
      <c r="AZ747" s="623"/>
      <c r="BA747" s="623"/>
    </row>
    <row r="748">
      <c r="A748" s="623"/>
      <c r="B748" s="623"/>
      <c r="C748" s="623"/>
      <c r="D748" s="623"/>
      <c r="E748" s="623"/>
      <c r="F748" s="623"/>
      <c r="G748" s="623"/>
      <c r="H748" s="623"/>
      <c r="I748" s="623"/>
      <c r="J748" s="623"/>
      <c r="K748" s="623"/>
      <c r="L748" s="623"/>
      <c r="M748" s="623"/>
      <c r="N748" s="623"/>
      <c r="O748" s="623"/>
      <c r="P748" s="623"/>
      <c r="Q748" s="623"/>
      <c r="R748" s="623"/>
      <c r="S748" s="623"/>
      <c r="T748" s="623"/>
      <c r="U748" s="623"/>
      <c r="V748" s="623"/>
      <c r="W748" s="623"/>
      <c r="X748" s="623"/>
      <c r="Y748" s="623"/>
      <c r="Z748" s="623"/>
      <c r="AA748" s="623"/>
      <c r="AB748" s="623"/>
      <c r="AC748" s="623"/>
      <c r="AD748" s="623"/>
      <c r="AE748" s="623"/>
      <c r="AF748" s="623"/>
      <c r="AG748" s="623"/>
      <c r="AH748" s="623"/>
      <c r="AI748" s="623"/>
      <c r="AJ748" s="623"/>
      <c r="AK748" s="623"/>
      <c r="AL748" s="623"/>
      <c r="AM748" s="623"/>
      <c r="AN748" s="623"/>
      <c r="AO748" s="623"/>
      <c r="AP748" s="623"/>
      <c r="AQ748" s="623"/>
      <c r="AR748" s="623"/>
      <c r="AS748" s="623"/>
      <c r="AT748" s="623"/>
      <c r="AU748" s="623"/>
      <c r="AV748" s="623"/>
      <c r="AW748" s="623"/>
      <c r="AX748" s="623"/>
      <c r="AY748" s="623"/>
      <c r="AZ748" s="623"/>
      <c r="BA748" s="623"/>
    </row>
    <row r="749">
      <c r="A749" s="623"/>
      <c r="B749" s="623"/>
      <c r="C749" s="623"/>
      <c r="D749" s="623"/>
      <c r="E749" s="623"/>
      <c r="F749" s="623"/>
      <c r="G749" s="623"/>
      <c r="H749" s="623"/>
      <c r="I749" s="623"/>
      <c r="J749" s="623"/>
      <c r="K749" s="623"/>
      <c r="L749" s="623"/>
      <c r="M749" s="623"/>
      <c r="N749" s="623"/>
      <c r="O749" s="623"/>
      <c r="P749" s="623"/>
      <c r="Q749" s="623"/>
      <c r="R749" s="623"/>
      <c r="S749" s="623"/>
      <c r="T749" s="623"/>
      <c r="U749" s="623"/>
      <c r="V749" s="623"/>
      <c r="W749" s="623"/>
      <c r="X749" s="623"/>
      <c r="Y749" s="623"/>
      <c r="Z749" s="623"/>
      <c r="AA749" s="623"/>
      <c r="AB749" s="623"/>
      <c r="AC749" s="623"/>
      <c r="AD749" s="623"/>
      <c r="AE749" s="623"/>
      <c r="AF749" s="623"/>
      <c r="AG749" s="623"/>
      <c r="AH749" s="623"/>
      <c r="AI749" s="623"/>
      <c r="AJ749" s="623"/>
      <c r="AK749" s="623"/>
      <c r="AL749" s="623"/>
      <c r="AM749" s="623"/>
      <c r="AN749" s="623"/>
      <c r="AO749" s="623"/>
      <c r="AP749" s="623"/>
      <c r="AQ749" s="623"/>
      <c r="AR749" s="623"/>
      <c r="AS749" s="623"/>
      <c r="AT749" s="623"/>
      <c r="AU749" s="623"/>
      <c r="AV749" s="623"/>
      <c r="AW749" s="623"/>
      <c r="AX749" s="623"/>
      <c r="AY749" s="623"/>
      <c r="AZ749" s="623"/>
      <c r="BA749" s="623"/>
    </row>
    <row r="750">
      <c r="A750" s="623"/>
      <c r="B750" s="623"/>
      <c r="C750" s="623"/>
      <c r="D750" s="623"/>
      <c r="E750" s="623"/>
      <c r="F750" s="623"/>
      <c r="G750" s="623"/>
      <c r="H750" s="623"/>
      <c r="I750" s="623"/>
      <c r="J750" s="623"/>
      <c r="K750" s="623"/>
      <c r="L750" s="623"/>
      <c r="M750" s="623"/>
      <c r="N750" s="623"/>
      <c r="O750" s="623"/>
      <c r="P750" s="623"/>
      <c r="Q750" s="623"/>
      <c r="R750" s="623"/>
      <c r="S750" s="623"/>
      <c r="T750" s="623"/>
      <c r="U750" s="623"/>
      <c r="V750" s="623"/>
      <c r="W750" s="623"/>
      <c r="X750" s="623"/>
      <c r="Y750" s="623"/>
      <c r="Z750" s="623"/>
      <c r="AA750" s="623"/>
      <c r="AB750" s="623"/>
      <c r="AC750" s="623"/>
      <c r="AD750" s="623"/>
      <c r="AE750" s="623"/>
      <c r="AF750" s="623"/>
      <c r="AG750" s="623"/>
      <c r="AH750" s="623"/>
      <c r="AI750" s="623"/>
      <c r="AJ750" s="623"/>
      <c r="AK750" s="623"/>
      <c r="AL750" s="623"/>
      <c r="AM750" s="623"/>
      <c r="AN750" s="623"/>
      <c r="AO750" s="623"/>
      <c r="AP750" s="623"/>
      <c r="AQ750" s="623"/>
      <c r="AR750" s="623"/>
      <c r="AS750" s="623"/>
      <c r="AT750" s="623"/>
      <c r="AU750" s="623"/>
      <c r="AV750" s="623"/>
      <c r="AW750" s="623"/>
      <c r="AX750" s="623"/>
      <c r="AY750" s="623"/>
      <c r="AZ750" s="623"/>
      <c r="BA750" s="623"/>
    </row>
    <row r="751">
      <c r="A751" s="623"/>
      <c r="B751" s="623"/>
      <c r="C751" s="623"/>
      <c r="D751" s="623"/>
      <c r="E751" s="623"/>
      <c r="F751" s="623"/>
      <c r="G751" s="623"/>
      <c r="H751" s="623"/>
      <c r="I751" s="623"/>
      <c r="J751" s="623"/>
      <c r="K751" s="623"/>
      <c r="L751" s="623"/>
      <c r="M751" s="623"/>
      <c r="N751" s="623"/>
      <c r="O751" s="623"/>
      <c r="P751" s="623"/>
      <c r="Q751" s="623"/>
      <c r="R751" s="623"/>
      <c r="S751" s="623"/>
      <c r="T751" s="623"/>
      <c r="U751" s="623"/>
      <c r="V751" s="623"/>
      <c r="W751" s="623"/>
      <c r="X751" s="623"/>
      <c r="Y751" s="623"/>
      <c r="Z751" s="623"/>
      <c r="AA751" s="623"/>
      <c r="AB751" s="623"/>
      <c r="AC751" s="623"/>
      <c r="AD751" s="623"/>
      <c r="AE751" s="623"/>
      <c r="AF751" s="623"/>
      <c r="AG751" s="623"/>
      <c r="AH751" s="623"/>
      <c r="AI751" s="623"/>
      <c r="AJ751" s="623"/>
      <c r="AK751" s="623"/>
      <c r="AL751" s="623"/>
      <c r="AM751" s="623"/>
      <c r="AN751" s="623"/>
      <c r="AO751" s="623"/>
      <c r="AP751" s="623"/>
      <c r="AQ751" s="623"/>
      <c r="AR751" s="623"/>
      <c r="AS751" s="623"/>
      <c r="AT751" s="623"/>
      <c r="AU751" s="623"/>
      <c r="AV751" s="623"/>
      <c r="AW751" s="623"/>
      <c r="AX751" s="623"/>
      <c r="AY751" s="623"/>
      <c r="AZ751" s="623"/>
      <c r="BA751" s="623"/>
    </row>
    <row r="752">
      <c r="A752" s="623"/>
      <c r="B752" s="623"/>
      <c r="C752" s="623"/>
      <c r="D752" s="623"/>
      <c r="E752" s="623"/>
      <c r="F752" s="623"/>
      <c r="G752" s="623"/>
      <c r="H752" s="623"/>
      <c r="I752" s="623"/>
      <c r="J752" s="623"/>
      <c r="K752" s="623"/>
      <c r="L752" s="623"/>
      <c r="M752" s="623"/>
      <c r="N752" s="623"/>
      <c r="O752" s="623"/>
      <c r="P752" s="623"/>
      <c r="Q752" s="623"/>
      <c r="R752" s="623"/>
      <c r="S752" s="623"/>
      <c r="T752" s="623"/>
      <c r="U752" s="623"/>
      <c r="V752" s="623"/>
      <c r="W752" s="623"/>
      <c r="X752" s="623"/>
      <c r="Y752" s="623"/>
      <c r="Z752" s="623"/>
      <c r="AA752" s="623"/>
      <c r="AB752" s="623"/>
      <c r="AC752" s="623"/>
      <c r="AD752" s="623"/>
      <c r="AE752" s="623"/>
      <c r="AF752" s="623"/>
      <c r="AG752" s="623"/>
      <c r="AH752" s="623"/>
      <c r="AI752" s="623"/>
      <c r="AJ752" s="623"/>
      <c r="AK752" s="623"/>
      <c r="AL752" s="623"/>
      <c r="AM752" s="623"/>
      <c r="AN752" s="623"/>
      <c r="AO752" s="623"/>
      <c r="AP752" s="623"/>
      <c r="AQ752" s="623"/>
      <c r="AR752" s="623"/>
      <c r="AS752" s="623"/>
      <c r="AT752" s="623"/>
      <c r="AU752" s="623"/>
      <c r="AV752" s="623"/>
      <c r="AW752" s="623"/>
      <c r="AX752" s="623"/>
      <c r="AY752" s="623"/>
      <c r="AZ752" s="623"/>
      <c r="BA752" s="623"/>
    </row>
    <row r="753">
      <c r="A753" s="623"/>
      <c r="B753" s="623"/>
      <c r="C753" s="623"/>
      <c r="D753" s="623"/>
      <c r="E753" s="623"/>
      <c r="F753" s="623"/>
      <c r="G753" s="623"/>
      <c r="H753" s="623"/>
      <c r="I753" s="623"/>
      <c r="J753" s="623"/>
      <c r="K753" s="623"/>
      <c r="L753" s="623"/>
      <c r="M753" s="623"/>
      <c r="N753" s="623"/>
      <c r="O753" s="623"/>
      <c r="P753" s="623"/>
      <c r="Q753" s="623"/>
      <c r="R753" s="623"/>
      <c r="S753" s="623"/>
      <c r="T753" s="623"/>
      <c r="U753" s="623"/>
      <c r="V753" s="623"/>
      <c r="W753" s="623"/>
      <c r="X753" s="623"/>
      <c r="Y753" s="623"/>
      <c r="Z753" s="623"/>
      <c r="AA753" s="623"/>
      <c r="AB753" s="623"/>
      <c r="AC753" s="623"/>
      <c r="AD753" s="623"/>
      <c r="AE753" s="623"/>
      <c r="AF753" s="623"/>
      <c r="AG753" s="623"/>
      <c r="AH753" s="623"/>
      <c r="AI753" s="623"/>
      <c r="AJ753" s="623"/>
      <c r="AK753" s="623"/>
      <c r="AL753" s="623"/>
      <c r="AM753" s="623"/>
      <c r="AN753" s="623"/>
      <c r="AO753" s="623"/>
      <c r="AP753" s="623"/>
      <c r="AQ753" s="623"/>
      <c r="AR753" s="623"/>
      <c r="AS753" s="623"/>
      <c r="AT753" s="623"/>
      <c r="AU753" s="623"/>
      <c r="AV753" s="623"/>
      <c r="AW753" s="623"/>
      <c r="AX753" s="623"/>
      <c r="AY753" s="623"/>
      <c r="AZ753" s="623"/>
      <c r="BA753" s="623"/>
    </row>
    <row r="754">
      <c r="A754" s="623"/>
      <c r="B754" s="623"/>
      <c r="C754" s="623"/>
      <c r="D754" s="623"/>
      <c r="E754" s="623"/>
      <c r="F754" s="623"/>
      <c r="G754" s="623"/>
      <c r="H754" s="623"/>
      <c r="I754" s="623"/>
      <c r="J754" s="623"/>
      <c r="K754" s="623"/>
      <c r="L754" s="623"/>
      <c r="M754" s="623"/>
      <c r="N754" s="623"/>
      <c r="O754" s="623"/>
      <c r="P754" s="623"/>
      <c r="Q754" s="623"/>
      <c r="R754" s="623"/>
      <c r="S754" s="623"/>
      <c r="T754" s="623"/>
      <c r="U754" s="623"/>
      <c r="V754" s="623"/>
      <c r="W754" s="623"/>
      <c r="X754" s="623"/>
      <c r="Y754" s="623"/>
      <c r="Z754" s="623"/>
      <c r="AA754" s="623"/>
      <c r="AB754" s="623"/>
      <c r="AC754" s="623"/>
      <c r="AD754" s="623"/>
      <c r="AE754" s="623"/>
      <c r="AF754" s="623"/>
      <c r="AG754" s="623"/>
      <c r="AH754" s="623"/>
      <c r="AI754" s="623"/>
      <c r="AJ754" s="623"/>
      <c r="AK754" s="623"/>
      <c r="AL754" s="623"/>
      <c r="AM754" s="623"/>
      <c r="AN754" s="623"/>
      <c r="AO754" s="623"/>
      <c r="AP754" s="623"/>
      <c r="AQ754" s="623"/>
      <c r="AR754" s="623"/>
      <c r="AS754" s="623"/>
      <c r="AT754" s="623"/>
      <c r="AU754" s="623"/>
      <c r="AV754" s="623"/>
      <c r="AW754" s="623"/>
      <c r="AX754" s="623"/>
      <c r="AY754" s="623"/>
      <c r="AZ754" s="623"/>
      <c r="BA754" s="623"/>
    </row>
    <row r="755">
      <c r="A755" s="623"/>
      <c r="B755" s="623"/>
      <c r="C755" s="623"/>
      <c r="D755" s="623"/>
      <c r="E755" s="623"/>
      <c r="F755" s="623"/>
      <c r="G755" s="623"/>
      <c r="H755" s="623"/>
      <c r="I755" s="623"/>
      <c r="J755" s="623"/>
      <c r="K755" s="623"/>
      <c r="L755" s="623"/>
      <c r="M755" s="623"/>
      <c r="N755" s="623"/>
      <c r="O755" s="623"/>
      <c r="P755" s="623"/>
      <c r="Q755" s="623"/>
      <c r="R755" s="623"/>
      <c r="S755" s="623"/>
      <c r="T755" s="623"/>
      <c r="U755" s="623"/>
      <c r="V755" s="623"/>
      <c r="W755" s="623"/>
      <c r="X755" s="623"/>
      <c r="Y755" s="623"/>
      <c r="Z755" s="623"/>
      <c r="AA755" s="623"/>
      <c r="AB755" s="623"/>
      <c r="AC755" s="623"/>
      <c r="AD755" s="623"/>
      <c r="AE755" s="623"/>
      <c r="AF755" s="623"/>
      <c r="AG755" s="623"/>
      <c r="AH755" s="623"/>
      <c r="AI755" s="623"/>
      <c r="AJ755" s="623"/>
      <c r="AK755" s="623"/>
      <c r="AL755" s="623"/>
      <c r="AM755" s="623"/>
      <c r="AN755" s="623"/>
      <c r="AO755" s="623"/>
      <c r="AP755" s="623"/>
      <c r="AQ755" s="623"/>
      <c r="AR755" s="623"/>
      <c r="AS755" s="623"/>
      <c r="AT755" s="623"/>
      <c r="AU755" s="623"/>
      <c r="AV755" s="623"/>
      <c r="AW755" s="623"/>
      <c r="AX755" s="623"/>
      <c r="AY755" s="623"/>
      <c r="AZ755" s="623"/>
      <c r="BA755" s="623"/>
    </row>
    <row r="756">
      <c r="A756" s="623"/>
      <c r="B756" s="623"/>
      <c r="C756" s="623"/>
      <c r="D756" s="623"/>
      <c r="E756" s="623"/>
      <c r="F756" s="623"/>
      <c r="G756" s="623"/>
      <c r="H756" s="623"/>
      <c r="I756" s="623"/>
      <c r="J756" s="623"/>
      <c r="K756" s="623"/>
      <c r="L756" s="623"/>
      <c r="M756" s="623"/>
      <c r="N756" s="623"/>
      <c r="O756" s="623"/>
      <c r="P756" s="623"/>
      <c r="Q756" s="623"/>
      <c r="R756" s="623"/>
      <c r="S756" s="623"/>
      <c r="T756" s="623"/>
      <c r="U756" s="623"/>
      <c r="V756" s="623"/>
      <c r="W756" s="623"/>
      <c r="X756" s="623"/>
      <c r="Y756" s="623"/>
      <c r="Z756" s="623"/>
      <c r="AA756" s="623"/>
      <c r="AB756" s="623"/>
      <c r="AC756" s="623"/>
      <c r="AD756" s="623"/>
      <c r="AE756" s="623"/>
      <c r="AF756" s="623"/>
      <c r="AG756" s="623"/>
      <c r="AH756" s="623"/>
      <c r="AI756" s="623"/>
      <c r="AJ756" s="623"/>
      <c r="AK756" s="623"/>
      <c r="AL756" s="623"/>
      <c r="AM756" s="623"/>
      <c r="AN756" s="623"/>
      <c r="AO756" s="623"/>
      <c r="AP756" s="623"/>
      <c r="AQ756" s="623"/>
      <c r="AR756" s="623"/>
      <c r="AS756" s="623"/>
      <c r="AT756" s="623"/>
      <c r="AU756" s="623"/>
      <c r="AV756" s="623"/>
      <c r="AW756" s="623"/>
      <c r="AX756" s="623"/>
      <c r="AY756" s="623"/>
      <c r="AZ756" s="623"/>
      <c r="BA756" s="623"/>
    </row>
    <row r="757">
      <c r="A757" s="623"/>
      <c r="B757" s="623"/>
      <c r="C757" s="623"/>
      <c r="D757" s="623"/>
      <c r="E757" s="623"/>
      <c r="F757" s="623"/>
      <c r="G757" s="623"/>
      <c r="H757" s="623"/>
      <c r="I757" s="623"/>
      <c r="J757" s="623"/>
      <c r="K757" s="623"/>
      <c r="L757" s="623"/>
      <c r="M757" s="623"/>
      <c r="N757" s="623"/>
      <c r="O757" s="623"/>
      <c r="P757" s="623"/>
      <c r="Q757" s="623"/>
      <c r="R757" s="623"/>
      <c r="S757" s="623"/>
      <c r="T757" s="623"/>
      <c r="U757" s="623"/>
      <c r="V757" s="623"/>
      <c r="W757" s="623"/>
      <c r="X757" s="623"/>
      <c r="Y757" s="623"/>
      <c r="Z757" s="623"/>
      <c r="AA757" s="623"/>
      <c r="AB757" s="623"/>
      <c r="AC757" s="623"/>
      <c r="AD757" s="623"/>
      <c r="AE757" s="623"/>
      <c r="AF757" s="623"/>
      <c r="AG757" s="623"/>
      <c r="AH757" s="623"/>
      <c r="AI757" s="623"/>
      <c r="AJ757" s="623"/>
      <c r="AK757" s="623"/>
      <c r="AL757" s="623"/>
      <c r="AM757" s="623"/>
      <c r="AN757" s="623"/>
      <c r="AO757" s="623"/>
      <c r="AP757" s="623"/>
      <c r="AQ757" s="623"/>
      <c r="AR757" s="623"/>
      <c r="AS757" s="623"/>
      <c r="AT757" s="623"/>
      <c r="AU757" s="623"/>
      <c r="AV757" s="623"/>
      <c r="AW757" s="623"/>
      <c r="AX757" s="623"/>
      <c r="AY757" s="623"/>
      <c r="AZ757" s="623"/>
      <c r="BA757" s="623"/>
    </row>
    <row r="758">
      <c r="A758" s="623"/>
      <c r="B758" s="623"/>
      <c r="C758" s="623"/>
      <c r="D758" s="623"/>
      <c r="E758" s="623"/>
      <c r="F758" s="623"/>
      <c r="G758" s="623"/>
      <c r="H758" s="623"/>
      <c r="I758" s="623"/>
      <c r="J758" s="623"/>
      <c r="K758" s="623"/>
      <c r="L758" s="623"/>
      <c r="M758" s="623"/>
      <c r="N758" s="623"/>
      <c r="O758" s="623"/>
      <c r="P758" s="623"/>
      <c r="Q758" s="623"/>
      <c r="R758" s="623"/>
      <c r="S758" s="623"/>
      <c r="T758" s="623"/>
      <c r="U758" s="623"/>
      <c r="V758" s="623"/>
      <c r="W758" s="623"/>
      <c r="X758" s="623"/>
      <c r="Y758" s="623"/>
      <c r="Z758" s="623"/>
      <c r="AA758" s="623"/>
      <c r="AB758" s="623"/>
      <c r="AC758" s="623"/>
      <c r="AD758" s="623"/>
      <c r="AE758" s="623"/>
      <c r="AF758" s="623"/>
      <c r="AG758" s="623"/>
      <c r="AH758" s="623"/>
      <c r="AI758" s="623"/>
      <c r="AJ758" s="623"/>
      <c r="AK758" s="623"/>
      <c r="AL758" s="623"/>
      <c r="AM758" s="623"/>
      <c r="AN758" s="623"/>
      <c r="AO758" s="623"/>
      <c r="AP758" s="623"/>
      <c r="AQ758" s="623"/>
      <c r="AR758" s="623"/>
      <c r="AS758" s="623"/>
      <c r="AT758" s="623"/>
      <c r="AU758" s="623"/>
      <c r="AV758" s="623"/>
      <c r="AW758" s="623"/>
      <c r="AX758" s="623"/>
      <c r="AY758" s="623"/>
      <c r="AZ758" s="623"/>
      <c r="BA758" s="623"/>
    </row>
    <row r="759">
      <c r="A759" s="623"/>
      <c r="B759" s="623"/>
      <c r="C759" s="623"/>
      <c r="D759" s="623"/>
      <c r="E759" s="623"/>
      <c r="F759" s="623"/>
      <c r="G759" s="623"/>
      <c r="H759" s="623"/>
      <c r="I759" s="623"/>
      <c r="J759" s="623"/>
      <c r="K759" s="623"/>
      <c r="L759" s="623"/>
      <c r="M759" s="623"/>
      <c r="N759" s="623"/>
      <c r="O759" s="623"/>
      <c r="P759" s="623"/>
      <c r="Q759" s="623"/>
      <c r="R759" s="623"/>
      <c r="S759" s="623"/>
      <c r="T759" s="623"/>
      <c r="U759" s="623"/>
      <c r="V759" s="623"/>
      <c r="W759" s="623"/>
      <c r="X759" s="623"/>
      <c r="Y759" s="623"/>
      <c r="Z759" s="623"/>
      <c r="AA759" s="623"/>
      <c r="AB759" s="623"/>
      <c r="AC759" s="623"/>
      <c r="AD759" s="623"/>
      <c r="AE759" s="623"/>
      <c r="AF759" s="623"/>
      <c r="AG759" s="623"/>
      <c r="AH759" s="623"/>
      <c r="AI759" s="623"/>
      <c r="AJ759" s="623"/>
      <c r="AK759" s="623"/>
      <c r="AL759" s="623"/>
      <c r="AM759" s="623"/>
      <c r="AN759" s="623"/>
      <c r="AO759" s="623"/>
      <c r="AP759" s="623"/>
      <c r="AQ759" s="623"/>
      <c r="AR759" s="623"/>
      <c r="AS759" s="623"/>
      <c r="AT759" s="623"/>
      <c r="AU759" s="623"/>
      <c r="AV759" s="623"/>
      <c r="AW759" s="623"/>
      <c r="AX759" s="623"/>
      <c r="AY759" s="623"/>
      <c r="AZ759" s="623"/>
      <c r="BA759" s="623"/>
    </row>
    <row r="760">
      <c r="A760" s="623"/>
      <c r="B760" s="623"/>
      <c r="C760" s="623"/>
      <c r="D760" s="623"/>
      <c r="E760" s="623"/>
      <c r="F760" s="623"/>
      <c r="G760" s="623"/>
      <c r="H760" s="623"/>
      <c r="I760" s="623"/>
      <c r="J760" s="623"/>
      <c r="K760" s="623"/>
      <c r="L760" s="623"/>
      <c r="M760" s="623"/>
      <c r="N760" s="623"/>
      <c r="O760" s="623"/>
      <c r="P760" s="623"/>
      <c r="Q760" s="623"/>
      <c r="R760" s="623"/>
      <c r="S760" s="623"/>
      <c r="T760" s="623"/>
      <c r="U760" s="623"/>
      <c r="V760" s="623"/>
      <c r="W760" s="623"/>
      <c r="X760" s="623"/>
      <c r="Y760" s="623"/>
      <c r="Z760" s="623"/>
      <c r="AA760" s="623"/>
      <c r="AB760" s="623"/>
      <c r="AC760" s="623"/>
      <c r="AD760" s="623"/>
      <c r="AE760" s="623"/>
      <c r="AF760" s="623"/>
      <c r="AG760" s="623"/>
      <c r="AH760" s="623"/>
      <c r="AI760" s="623"/>
      <c r="AJ760" s="623"/>
      <c r="AK760" s="623"/>
      <c r="AL760" s="623"/>
      <c r="AM760" s="623"/>
      <c r="AN760" s="623"/>
      <c r="AO760" s="623"/>
      <c r="AP760" s="623"/>
      <c r="AQ760" s="623"/>
      <c r="AR760" s="623"/>
      <c r="AS760" s="623"/>
      <c r="AT760" s="623"/>
      <c r="AU760" s="623"/>
      <c r="AV760" s="623"/>
      <c r="AW760" s="623"/>
      <c r="AX760" s="623"/>
      <c r="AY760" s="623"/>
      <c r="AZ760" s="623"/>
      <c r="BA760" s="623"/>
    </row>
    <row r="761">
      <c r="A761" s="623"/>
      <c r="B761" s="623"/>
      <c r="C761" s="623"/>
      <c r="D761" s="623"/>
      <c r="E761" s="623"/>
      <c r="F761" s="623"/>
      <c r="G761" s="623"/>
      <c r="H761" s="623"/>
      <c r="I761" s="623"/>
      <c r="J761" s="623"/>
      <c r="K761" s="623"/>
      <c r="L761" s="623"/>
      <c r="M761" s="623"/>
      <c r="N761" s="623"/>
      <c r="O761" s="623"/>
      <c r="P761" s="623"/>
      <c r="Q761" s="623"/>
      <c r="R761" s="623"/>
      <c r="S761" s="623"/>
      <c r="T761" s="623"/>
      <c r="U761" s="623"/>
      <c r="V761" s="623"/>
      <c r="W761" s="623"/>
      <c r="X761" s="623"/>
      <c r="Y761" s="623"/>
      <c r="Z761" s="623"/>
      <c r="AA761" s="623"/>
      <c r="AB761" s="623"/>
      <c r="AC761" s="623"/>
      <c r="AD761" s="623"/>
      <c r="AE761" s="623"/>
      <c r="AF761" s="623"/>
      <c r="AG761" s="623"/>
      <c r="AH761" s="623"/>
      <c r="AI761" s="623"/>
      <c r="AJ761" s="623"/>
      <c r="AK761" s="623"/>
      <c r="AL761" s="623"/>
      <c r="AM761" s="623"/>
      <c r="AN761" s="623"/>
      <c r="AO761" s="623"/>
      <c r="AP761" s="623"/>
      <c r="AQ761" s="623"/>
      <c r="AR761" s="623"/>
      <c r="AS761" s="623"/>
      <c r="AT761" s="623"/>
      <c r="AU761" s="623"/>
      <c r="AV761" s="623"/>
      <c r="AW761" s="623"/>
      <c r="AX761" s="623"/>
      <c r="AY761" s="623"/>
      <c r="AZ761" s="623"/>
      <c r="BA761" s="623"/>
    </row>
    <row r="762">
      <c r="A762" s="623"/>
      <c r="B762" s="623"/>
      <c r="C762" s="623"/>
      <c r="D762" s="623"/>
      <c r="E762" s="623"/>
      <c r="F762" s="623"/>
      <c r="G762" s="623"/>
      <c r="H762" s="623"/>
      <c r="I762" s="623"/>
      <c r="J762" s="623"/>
      <c r="K762" s="623"/>
      <c r="L762" s="623"/>
      <c r="M762" s="623"/>
      <c r="N762" s="623"/>
      <c r="O762" s="623"/>
      <c r="P762" s="623"/>
      <c r="Q762" s="623"/>
      <c r="R762" s="623"/>
      <c r="S762" s="623"/>
      <c r="T762" s="623"/>
      <c r="U762" s="623"/>
      <c r="V762" s="623"/>
      <c r="W762" s="623"/>
      <c r="X762" s="623"/>
      <c r="Y762" s="623"/>
      <c r="Z762" s="623"/>
      <c r="AA762" s="623"/>
      <c r="AB762" s="623"/>
      <c r="AC762" s="623"/>
      <c r="AD762" s="623"/>
      <c r="AE762" s="623"/>
      <c r="AF762" s="623"/>
      <c r="AG762" s="623"/>
      <c r="AH762" s="623"/>
      <c r="AI762" s="623"/>
      <c r="AJ762" s="623"/>
      <c r="AK762" s="623"/>
      <c r="AL762" s="623"/>
      <c r="AM762" s="623"/>
      <c r="AN762" s="623"/>
      <c r="AO762" s="623"/>
      <c r="AP762" s="623"/>
      <c r="AQ762" s="623"/>
      <c r="AR762" s="623"/>
      <c r="AS762" s="623"/>
      <c r="AT762" s="623"/>
      <c r="AU762" s="623"/>
      <c r="AV762" s="623"/>
      <c r="AW762" s="623"/>
      <c r="AX762" s="623"/>
      <c r="AY762" s="623"/>
      <c r="AZ762" s="623"/>
      <c r="BA762" s="623"/>
    </row>
    <row r="763">
      <c r="A763" s="623"/>
      <c r="B763" s="623"/>
      <c r="C763" s="623"/>
      <c r="D763" s="623"/>
      <c r="E763" s="623"/>
      <c r="F763" s="623"/>
      <c r="G763" s="623"/>
      <c r="H763" s="623"/>
      <c r="I763" s="623"/>
      <c r="J763" s="623"/>
      <c r="K763" s="623"/>
      <c r="L763" s="623"/>
      <c r="M763" s="623"/>
      <c r="N763" s="623"/>
      <c r="O763" s="623"/>
      <c r="P763" s="623"/>
      <c r="Q763" s="623"/>
      <c r="R763" s="623"/>
      <c r="S763" s="623"/>
      <c r="T763" s="623"/>
      <c r="U763" s="623"/>
      <c r="V763" s="623"/>
      <c r="W763" s="623"/>
      <c r="X763" s="623"/>
      <c r="Y763" s="623"/>
      <c r="Z763" s="623"/>
      <c r="AA763" s="623"/>
      <c r="AB763" s="623"/>
      <c r="AC763" s="623"/>
      <c r="AD763" s="623"/>
      <c r="AE763" s="623"/>
      <c r="AF763" s="623"/>
      <c r="AG763" s="623"/>
      <c r="AH763" s="623"/>
      <c r="AI763" s="623"/>
      <c r="AJ763" s="623"/>
      <c r="AK763" s="623"/>
      <c r="AL763" s="623"/>
      <c r="AM763" s="623"/>
      <c r="AN763" s="623"/>
      <c r="AO763" s="623"/>
      <c r="AP763" s="623"/>
      <c r="AQ763" s="623"/>
      <c r="AR763" s="623"/>
      <c r="AS763" s="623"/>
      <c r="AT763" s="623"/>
      <c r="AU763" s="623"/>
      <c r="AV763" s="623"/>
      <c r="AW763" s="623"/>
      <c r="AX763" s="623"/>
      <c r="AY763" s="623"/>
      <c r="AZ763" s="623"/>
      <c r="BA763" s="623"/>
    </row>
    <row r="764">
      <c r="A764" s="623"/>
      <c r="B764" s="623"/>
      <c r="C764" s="623"/>
      <c r="D764" s="623"/>
      <c r="E764" s="623"/>
      <c r="F764" s="623"/>
      <c r="G764" s="623"/>
      <c r="H764" s="623"/>
      <c r="I764" s="623"/>
      <c r="J764" s="623"/>
      <c r="K764" s="623"/>
      <c r="L764" s="623"/>
      <c r="M764" s="623"/>
      <c r="N764" s="623"/>
      <c r="O764" s="623"/>
      <c r="P764" s="623"/>
      <c r="Q764" s="623"/>
      <c r="R764" s="623"/>
      <c r="S764" s="623"/>
      <c r="T764" s="623"/>
      <c r="U764" s="623"/>
      <c r="V764" s="623"/>
      <c r="W764" s="623"/>
      <c r="X764" s="623"/>
      <c r="Y764" s="623"/>
      <c r="Z764" s="623"/>
      <c r="AA764" s="623"/>
      <c r="AB764" s="623"/>
      <c r="AC764" s="623"/>
      <c r="AD764" s="623"/>
      <c r="AE764" s="623"/>
      <c r="AF764" s="623"/>
      <c r="AG764" s="623"/>
      <c r="AH764" s="623"/>
      <c r="AI764" s="623"/>
      <c r="AJ764" s="623"/>
      <c r="AK764" s="623"/>
      <c r="AL764" s="623"/>
      <c r="AM764" s="623"/>
      <c r="AN764" s="623"/>
      <c r="AO764" s="623"/>
      <c r="AP764" s="623"/>
      <c r="AQ764" s="623"/>
      <c r="AR764" s="623"/>
      <c r="AS764" s="623"/>
      <c r="AT764" s="623"/>
      <c r="AU764" s="623"/>
      <c r="AV764" s="623"/>
      <c r="AW764" s="623"/>
      <c r="AX764" s="623"/>
      <c r="AY764" s="623"/>
      <c r="AZ764" s="623"/>
      <c r="BA764" s="623"/>
    </row>
    <row r="765">
      <c r="A765" s="623"/>
      <c r="B765" s="623"/>
      <c r="C765" s="623"/>
      <c r="D765" s="623"/>
      <c r="E765" s="623"/>
      <c r="F765" s="623"/>
      <c r="G765" s="623"/>
      <c r="H765" s="623"/>
      <c r="I765" s="623"/>
      <c r="J765" s="623"/>
      <c r="K765" s="623"/>
      <c r="L765" s="623"/>
      <c r="M765" s="623"/>
      <c r="N765" s="623"/>
      <c r="O765" s="623"/>
      <c r="P765" s="623"/>
      <c r="Q765" s="623"/>
      <c r="R765" s="623"/>
      <c r="S765" s="623"/>
      <c r="T765" s="623"/>
      <c r="U765" s="623"/>
      <c r="V765" s="623"/>
      <c r="W765" s="623"/>
      <c r="X765" s="623"/>
      <c r="Y765" s="623"/>
      <c r="Z765" s="623"/>
      <c r="AA765" s="623"/>
      <c r="AB765" s="623"/>
      <c r="AC765" s="623"/>
      <c r="AD765" s="623"/>
      <c r="AE765" s="623"/>
      <c r="AF765" s="623"/>
      <c r="AG765" s="623"/>
      <c r="AH765" s="623"/>
      <c r="AI765" s="623"/>
      <c r="AJ765" s="623"/>
      <c r="AK765" s="623"/>
      <c r="AL765" s="623"/>
      <c r="AM765" s="623"/>
      <c r="AN765" s="623"/>
      <c r="AO765" s="623"/>
      <c r="AP765" s="623"/>
      <c r="AQ765" s="623"/>
      <c r="AR765" s="623"/>
      <c r="AS765" s="623"/>
      <c r="AT765" s="623"/>
      <c r="AU765" s="623"/>
      <c r="AV765" s="623"/>
      <c r="AW765" s="623"/>
      <c r="AX765" s="623"/>
      <c r="AY765" s="623"/>
      <c r="AZ765" s="623"/>
      <c r="BA765" s="623"/>
    </row>
    <row r="766">
      <c r="A766" s="623"/>
      <c r="B766" s="623"/>
      <c r="C766" s="623"/>
      <c r="D766" s="623"/>
      <c r="E766" s="623"/>
      <c r="F766" s="623"/>
      <c r="G766" s="623"/>
      <c r="H766" s="623"/>
      <c r="I766" s="623"/>
      <c r="J766" s="623"/>
      <c r="K766" s="623"/>
      <c r="L766" s="623"/>
      <c r="M766" s="623"/>
      <c r="N766" s="623"/>
      <c r="O766" s="623"/>
      <c r="P766" s="623"/>
      <c r="Q766" s="623"/>
      <c r="R766" s="623"/>
      <c r="S766" s="623"/>
      <c r="T766" s="623"/>
      <c r="U766" s="623"/>
      <c r="V766" s="623"/>
      <c r="W766" s="623"/>
      <c r="X766" s="623"/>
      <c r="Y766" s="623"/>
      <c r="Z766" s="623"/>
      <c r="AA766" s="623"/>
      <c r="AB766" s="623"/>
      <c r="AC766" s="623"/>
      <c r="AD766" s="623"/>
      <c r="AE766" s="623"/>
      <c r="AF766" s="623"/>
      <c r="AG766" s="623"/>
      <c r="AH766" s="623"/>
      <c r="AI766" s="623"/>
      <c r="AJ766" s="623"/>
      <c r="AK766" s="623"/>
      <c r="AL766" s="623"/>
      <c r="AM766" s="623"/>
      <c r="AN766" s="623"/>
      <c r="AO766" s="623"/>
      <c r="AP766" s="623"/>
      <c r="AQ766" s="623"/>
      <c r="AR766" s="623"/>
      <c r="AS766" s="623"/>
      <c r="AT766" s="623"/>
      <c r="AU766" s="623"/>
      <c r="AV766" s="623"/>
      <c r="AW766" s="623"/>
      <c r="AX766" s="623"/>
      <c r="AY766" s="623"/>
      <c r="AZ766" s="623"/>
      <c r="BA766" s="623"/>
    </row>
    <row r="767">
      <c r="A767" s="623"/>
      <c r="B767" s="623"/>
      <c r="C767" s="623"/>
      <c r="D767" s="623"/>
      <c r="E767" s="623"/>
      <c r="F767" s="623"/>
      <c r="G767" s="623"/>
      <c r="H767" s="623"/>
      <c r="I767" s="623"/>
      <c r="J767" s="623"/>
      <c r="K767" s="623"/>
      <c r="L767" s="623"/>
      <c r="M767" s="623"/>
      <c r="N767" s="623"/>
      <c r="O767" s="623"/>
      <c r="P767" s="623"/>
      <c r="Q767" s="623"/>
      <c r="R767" s="623"/>
      <c r="S767" s="623"/>
      <c r="T767" s="623"/>
      <c r="U767" s="623"/>
      <c r="V767" s="623"/>
      <c r="W767" s="623"/>
      <c r="X767" s="623"/>
      <c r="Y767" s="623"/>
      <c r="Z767" s="623"/>
      <c r="AA767" s="623"/>
      <c r="AB767" s="623"/>
      <c r="AC767" s="623"/>
      <c r="AD767" s="623"/>
      <c r="AE767" s="623"/>
      <c r="AF767" s="623"/>
      <c r="AG767" s="623"/>
      <c r="AH767" s="623"/>
      <c r="AI767" s="623"/>
      <c r="AJ767" s="623"/>
      <c r="AK767" s="623"/>
      <c r="AL767" s="623"/>
      <c r="AM767" s="623"/>
      <c r="AN767" s="623"/>
      <c r="AO767" s="623"/>
      <c r="AP767" s="623"/>
      <c r="AQ767" s="623"/>
      <c r="AR767" s="623"/>
      <c r="AS767" s="623"/>
      <c r="AT767" s="623"/>
      <c r="AU767" s="623"/>
      <c r="AV767" s="623"/>
      <c r="AW767" s="623"/>
      <c r="AX767" s="623"/>
      <c r="AY767" s="623"/>
      <c r="AZ767" s="623"/>
      <c r="BA767" s="623"/>
    </row>
    <row r="768">
      <c r="A768" s="623"/>
      <c r="B768" s="623"/>
      <c r="C768" s="623"/>
      <c r="D768" s="623"/>
      <c r="E768" s="623"/>
      <c r="F768" s="623"/>
      <c r="G768" s="623"/>
      <c r="H768" s="623"/>
      <c r="I768" s="623"/>
      <c r="J768" s="623"/>
      <c r="K768" s="623"/>
      <c r="L768" s="623"/>
      <c r="M768" s="623"/>
      <c r="N768" s="623"/>
      <c r="O768" s="623"/>
      <c r="P768" s="623"/>
      <c r="Q768" s="623"/>
      <c r="R768" s="623"/>
      <c r="S768" s="623"/>
      <c r="T768" s="623"/>
      <c r="U768" s="623"/>
      <c r="V768" s="623"/>
      <c r="W768" s="623"/>
      <c r="X768" s="623"/>
      <c r="Y768" s="623"/>
      <c r="Z768" s="623"/>
      <c r="AA768" s="623"/>
      <c r="AB768" s="623"/>
      <c r="AC768" s="623"/>
      <c r="AD768" s="623"/>
      <c r="AE768" s="623"/>
      <c r="AF768" s="623"/>
      <c r="AG768" s="623"/>
      <c r="AH768" s="623"/>
      <c r="AI768" s="623"/>
      <c r="AJ768" s="623"/>
      <c r="AK768" s="623"/>
      <c r="AL768" s="623"/>
      <c r="AM768" s="623"/>
      <c r="AN768" s="623"/>
      <c r="AO768" s="623"/>
      <c r="AP768" s="623"/>
      <c r="AQ768" s="623"/>
      <c r="AR768" s="623"/>
      <c r="AS768" s="623"/>
      <c r="AT768" s="623"/>
      <c r="AU768" s="623"/>
      <c r="AV768" s="623"/>
      <c r="AW768" s="623"/>
      <c r="AX768" s="623"/>
      <c r="AY768" s="623"/>
      <c r="AZ768" s="623"/>
      <c r="BA768" s="623"/>
    </row>
    <row r="769">
      <c r="A769" s="623"/>
      <c r="B769" s="623"/>
      <c r="C769" s="623"/>
      <c r="D769" s="623"/>
      <c r="E769" s="623"/>
      <c r="F769" s="623"/>
      <c r="G769" s="623"/>
      <c r="H769" s="623"/>
      <c r="I769" s="623"/>
      <c r="J769" s="623"/>
      <c r="K769" s="623"/>
      <c r="L769" s="623"/>
      <c r="M769" s="623"/>
      <c r="N769" s="623"/>
      <c r="O769" s="623"/>
      <c r="P769" s="623"/>
      <c r="Q769" s="623"/>
      <c r="R769" s="623"/>
      <c r="S769" s="623"/>
      <c r="T769" s="623"/>
      <c r="U769" s="623"/>
      <c r="V769" s="623"/>
      <c r="W769" s="623"/>
      <c r="X769" s="623"/>
      <c r="Y769" s="623"/>
      <c r="Z769" s="623"/>
      <c r="AA769" s="623"/>
      <c r="AB769" s="623"/>
      <c r="AC769" s="623"/>
      <c r="AD769" s="623"/>
      <c r="AE769" s="623"/>
      <c r="AF769" s="623"/>
      <c r="AG769" s="623"/>
      <c r="AH769" s="623"/>
      <c r="AI769" s="623"/>
      <c r="AJ769" s="623"/>
      <c r="AK769" s="623"/>
      <c r="AL769" s="623"/>
      <c r="AM769" s="623"/>
      <c r="AN769" s="623"/>
      <c r="AO769" s="623"/>
      <c r="AP769" s="623"/>
      <c r="AQ769" s="623"/>
      <c r="AR769" s="623"/>
      <c r="AS769" s="623"/>
      <c r="AT769" s="623"/>
      <c r="AU769" s="623"/>
      <c r="AV769" s="623"/>
      <c r="AW769" s="623"/>
      <c r="AX769" s="623"/>
      <c r="AY769" s="623"/>
      <c r="AZ769" s="623"/>
      <c r="BA769" s="623"/>
    </row>
    <row r="770">
      <c r="A770" s="623"/>
      <c r="B770" s="623"/>
      <c r="C770" s="623"/>
      <c r="D770" s="623"/>
      <c r="E770" s="623"/>
      <c r="F770" s="623"/>
      <c r="G770" s="623"/>
      <c r="H770" s="623"/>
      <c r="I770" s="623"/>
      <c r="J770" s="623"/>
      <c r="K770" s="623"/>
      <c r="L770" s="623"/>
      <c r="M770" s="623"/>
      <c r="N770" s="623"/>
      <c r="O770" s="623"/>
      <c r="P770" s="623"/>
      <c r="Q770" s="623"/>
      <c r="R770" s="623"/>
      <c r="S770" s="623"/>
      <c r="T770" s="623"/>
      <c r="U770" s="623"/>
      <c r="V770" s="623"/>
      <c r="W770" s="623"/>
      <c r="X770" s="623"/>
      <c r="Y770" s="623"/>
      <c r="Z770" s="623"/>
      <c r="AA770" s="623"/>
      <c r="AB770" s="623"/>
      <c r="AC770" s="623"/>
      <c r="AD770" s="623"/>
      <c r="AE770" s="623"/>
      <c r="AF770" s="623"/>
      <c r="AG770" s="623"/>
      <c r="AH770" s="623"/>
      <c r="AI770" s="623"/>
      <c r="AJ770" s="623"/>
      <c r="AK770" s="623"/>
      <c r="AL770" s="623"/>
      <c r="AM770" s="623"/>
      <c r="AN770" s="623"/>
      <c r="AO770" s="623"/>
      <c r="AP770" s="623"/>
      <c r="AQ770" s="623"/>
      <c r="AR770" s="623"/>
      <c r="AS770" s="623"/>
      <c r="AT770" s="623"/>
      <c r="AU770" s="623"/>
      <c r="AV770" s="623"/>
      <c r="AW770" s="623"/>
      <c r="AX770" s="623"/>
      <c r="AY770" s="623"/>
      <c r="AZ770" s="623"/>
      <c r="BA770" s="623"/>
    </row>
    <row r="771">
      <c r="A771" s="623"/>
      <c r="B771" s="623"/>
      <c r="C771" s="623"/>
      <c r="D771" s="623"/>
      <c r="E771" s="623"/>
      <c r="F771" s="623"/>
      <c r="G771" s="623"/>
      <c r="H771" s="623"/>
      <c r="I771" s="623"/>
      <c r="J771" s="623"/>
      <c r="K771" s="623"/>
      <c r="L771" s="623"/>
      <c r="M771" s="623"/>
      <c r="N771" s="623"/>
      <c r="O771" s="623"/>
      <c r="P771" s="623"/>
      <c r="Q771" s="623"/>
      <c r="R771" s="623"/>
      <c r="S771" s="623"/>
      <c r="T771" s="623"/>
      <c r="U771" s="623"/>
      <c r="V771" s="623"/>
      <c r="W771" s="623"/>
      <c r="X771" s="623"/>
      <c r="Y771" s="623"/>
      <c r="Z771" s="623"/>
      <c r="AA771" s="623"/>
      <c r="AB771" s="623"/>
      <c r="AC771" s="623"/>
      <c r="AD771" s="623"/>
      <c r="AE771" s="623"/>
      <c r="AF771" s="623"/>
      <c r="AG771" s="623"/>
      <c r="AH771" s="623"/>
      <c r="AI771" s="623"/>
      <c r="AJ771" s="623"/>
      <c r="AK771" s="623"/>
      <c r="AL771" s="623"/>
      <c r="AM771" s="623"/>
      <c r="AN771" s="623"/>
      <c r="AO771" s="623"/>
      <c r="AP771" s="623"/>
      <c r="AQ771" s="623"/>
      <c r="AR771" s="623"/>
      <c r="AS771" s="623"/>
      <c r="AT771" s="623"/>
      <c r="AU771" s="623"/>
      <c r="AV771" s="623"/>
      <c r="AW771" s="623"/>
      <c r="AX771" s="623"/>
      <c r="AY771" s="623"/>
      <c r="AZ771" s="623"/>
      <c r="BA771" s="623"/>
    </row>
    <row r="772">
      <c r="A772" s="623"/>
      <c r="B772" s="623"/>
      <c r="C772" s="623"/>
      <c r="D772" s="623"/>
      <c r="E772" s="623"/>
      <c r="F772" s="623"/>
      <c r="G772" s="623"/>
      <c r="H772" s="623"/>
      <c r="I772" s="623"/>
      <c r="J772" s="623"/>
      <c r="K772" s="623"/>
      <c r="L772" s="623"/>
      <c r="M772" s="623"/>
      <c r="N772" s="623"/>
      <c r="O772" s="623"/>
      <c r="P772" s="623"/>
      <c r="Q772" s="623"/>
      <c r="R772" s="623"/>
      <c r="S772" s="623"/>
      <c r="T772" s="623"/>
      <c r="U772" s="623"/>
      <c r="V772" s="623"/>
      <c r="W772" s="623"/>
      <c r="X772" s="623"/>
      <c r="Y772" s="623"/>
      <c r="Z772" s="623"/>
      <c r="AA772" s="623"/>
      <c r="AB772" s="623"/>
      <c r="AC772" s="623"/>
      <c r="AD772" s="623"/>
      <c r="AE772" s="623"/>
      <c r="AF772" s="623"/>
      <c r="AG772" s="623"/>
      <c r="AH772" s="623"/>
      <c r="AI772" s="623"/>
      <c r="AJ772" s="623"/>
      <c r="AK772" s="623"/>
      <c r="AL772" s="623"/>
      <c r="AM772" s="623"/>
      <c r="AN772" s="623"/>
      <c r="AO772" s="623"/>
      <c r="AP772" s="623"/>
      <c r="AQ772" s="623"/>
      <c r="AR772" s="623"/>
      <c r="AS772" s="623"/>
      <c r="AT772" s="623"/>
      <c r="AU772" s="623"/>
      <c r="AV772" s="623"/>
      <c r="AW772" s="623"/>
      <c r="AX772" s="623"/>
      <c r="AY772" s="623"/>
      <c r="AZ772" s="623"/>
      <c r="BA772" s="623"/>
    </row>
    <row r="773">
      <c r="A773" s="623"/>
      <c r="B773" s="623"/>
      <c r="C773" s="623"/>
      <c r="D773" s="623"/>
      <c r="E773" s="623"/>
      <c r="F773" s="623"/>
      <c r="G773" s="623"/>
      <c r="H773" s="623"/>
      <c r="I773" s="623"/>
      <c r="J773" s="623"/>
      <c r="K773" s="623"/>
      <c r="L773" s="623"/>
      <c r="M773" s="623"/>
      <c r="N773" s="623"/>
      <c r="O773" s="623"/>
      <c r="P773" s="623"/>
      <c r="Q773" s="623"/>
      <c r="R773" s="623"/>
      <c r="S773" s="623"/>
      <c r="T773" s="623"/>
      <c r="U773" s="623"/>
      <c r="V773" s="623"/>
      <c r="W773" s="623"/>
      <c r="X773" s="623"/>
      <c r="Y773" s="623"/>
      <c r="Z773" s="623"/>
      <c r="AA773" s="623"/>
      <c r="AB773" s="623"/>
      <c r="AC773" s="623"/>
      <c r="AD773" s="623"/>
      <c r="AE773" s="623"/>
      <c r="AF773" s="623"/>
      <c r="AG773" s="623"/>
      <c r="AH773" s="623"/>
      <c r="AI773" s="623"/>
      <c r="AJ773" s="623"/>
      <c r="AK773" s="623"/>
      <c r="AL773" s="623"/>
      <c r="AM773" s="623"/>
      <c r="AN773" s="623"/>
      <c r="AO773" s="623"/>
      <c r="AP773" s="623"/>
      <c r="AQ773" s="623"/>
      <c r="AR773" s="623"/>
      <c r="AS773" s="623"/>
      <c r="AT773" s="623"/>
      <c r="AU773" s="623"/>
      <c r="AV773" s="623"/>
      <c r="AW773" s="623"/>
      <c r="AX773" s="623"/>
      <c r="AY773" s="623"/>
      <c r="AZ773" s="623"/>
      <c r="BA773" s="623"/>
    </row>
    <row r="774">
      <c r="A774" s="623"/>
      <c r="B774" s="623"/>
      <c r="C774" s="623"/>
      <c r="D774" s="623"/>
      <c r="E774" s="623"/>
      <c r="F774" s="623"/>
      <c r="G774" s="623"/>
      <c r="H774" s="623"/>
      <c r="I774" s="623"/>
      <c r="J774" s="623"/>
      <c r="K774" s="623"/>
      <c r="L774" s="623"/>
      <c r="M774" s="623"/>
      <c r="N774" s="623"/>
      <c r="O774" s="623"/>
      <c r="P774" s="623"/>
      <c r="Q774" s="623"/>
      <c r="R774" s="623"/>
      <c r="S774" s="623"/>
      <c r="T774" s="623"/>
      <c r="U774" s="623"/>
      <c r="V774" s="623"/>
      <c r="W774" s="623"/>
      <c r="X774" s="623"/>
      <c r="Y774" s="623"/>
      <c r="Z774" s="623"/>
      <c r="AA774" s="623"/>
      <c r="AB774" s="623"/>
      <c r="AC774" s="623"/>
      <c r="AD774" s="623"/>
      <c r="AE774" s="623"/>
      <c r="AF774" s="623"/>
      <c r="AG774" s="623"/>
      <c r="AH774" s="623"/>
      <c r="AI774" s="623"/>
      <c r="AJ774" s="623"/>
      <c r="AK774" s="623"/>
      <c r="AL774" s="623"/>
      <c r="AM774" s="623"/>
      <c r="AN774" s="623"/>
      <c r="AO774" s="623"/>
      <c r="AP774" s="623"/>
      <c r="AQ774" s="623"/>
      <c r="AR774" s="623"/>
      <c r="AS774" s="623"/>
      <c r="AT774" s="623"/>
      <c r="AU774" s="623"/>
      <c r="AV774" s="623"/>
      <c r="AW774" s="623"/>
      <c r="AX774" s="623"/>
      <c r="AY774" s="623"/>
      <c r="AZ774" s="623"/>
      <c r="BA774" s="623"/>
    </row>
    <row r="775">
      <c r="A775" s="623"/>
      <c r="B775" s="623"/>
      <c r="C775" s="623"/>
      <c r="D775" s="623"/>
      <c r="E775" s="623"/>
      <c r="F775" s="623"/>
      <c r="G775" s="623"/>
      <c r="H775" s="623"/>
      <c r="I775" s="623"/>
      <c r="J775" s="623"/>
      <c r="K775" s="623"/>
      <c r="L775" s="623"/>
      <c r="M775" s="623"/>
      <c r="N775" s="623"/>
      <c r="O775" s="623"/>
      <c r="P775" s="623"/>
      <c r="Q775" s="623"/>
      <c r="R775" s="623"/>
      <c r="S775" s="623"/>
      <c r="T775" s="623"/>
      <c r="U775" s="623"/>
      <c r="V775" s="623"/>
      <c r="W775" s="623"/>
      <c r="X775" s="623"/>
      <c r="Y775" s="623"/>
      <c r="Z775" s="623"/>
      <c r="AA775" s="623"/>
      <c r="AB775" s="623"/>
      <c r="AC775" s="623"/>
      <c r="AD775" s="623"/>
      <c r="AE775" s="623"/>
      <c r="AF775" s="623"/>
      <c r="AG775" s="623"/>
      <c r="AH775" s="623"/>
      <c r="AI775" s="623"/>
      <c r="AJ775" s="623"/>
      <c r="AK775" s="623"/>
      <c r="AL775" s="623"/>
      <c r="AM775" s="623"/>
      <c r="AN775" s="623"/>
      <c r="AO775" s="623"/>
      <c r="AP775" s="623"/>
      <c r="AQ775" s="623"/>
      <c r="AR775" s="623"/>
      <c r="AS775" s="623"/>
      <c r="AT775" s="623"/>
      <c r="AU775" s="623"/>
      <c r="AV775" s="623"/>
      <c r="AW775" s="623"/>
      <c r="AX775" s="623"/>
      <c r="AY775" s="623"/>
      <c r="AZ775" s="623"/>
      <c r="BA775" s="623"/>
    </row>
    <row r="776">
      <c r="A776" s="623"/>
      <c r="B776" s="623"/>
      <c r="C776" s="623"/>
      <c r="D776" s="623"/>
      <c r="E776" s="623"/>
      <c r="F776" s="623"/>
      <c r="G776" s="623"/>
      <c r="H776" s="623"/>
      <c r="I776" s="623"/>
      <c r="J776" s="623"/>
      <c r="K776" s="623"/>
      <c r="L776" s="623"/>
      <c r="M776" s="623"/>
      <c r="N776" s="623"/>
      <c r="O776" s="623"/>
      <c r="P776" s="623"/>
      <c r="Q776" s="623"/>
      <c r="R776" s="623"/>
      <c r="S776" s="623"/>
      <c r="T776" s="623"/>
      <c r="U776" s="623"/>
      <c r="V776" s="623"/>
      <c r="W776" s="623"/>
      <c r="X776" s="623"/>
      <c r="Y776" s="623"/>
      <c r="Z776" s="623"/>
      <c r="AA776" s="623"/>
      <c r="AB776" s="623"/>
      <c r="AC776" s="623"/>
      <c r="AD776" s="623"/>
      <c r="AE776" s="623"/>
      <c r="AF776" s="623"/>
      <c r="AG776" s="623"/>
      <c r="AH776" s="623"/>
      <c r="AI776" s="623"/>
      <c r="AJ776" s="623"/>
      <c r="AK776" s="623"/>
      <c r="AL776" s="623"/>
      <c r="AM776" s="623"/>
      <c r="AN776" s="623"/>
      <c r="AO776" s="623"/>
      <c r="AP776" s="623"/>
      <c r="AQ776" s="623"/>
      <c r="AR776" s="623"/>
      <c r="AS776" s="623"/>
      <c r="AT776" s="623"/>
      <c r="AU776" s="623"/>
      <c r="AV776" s="623"/>
      <c r="AW776" s="623"/>
      <c r="AX776" s="623"/>
      <c r="AY776" s="623"/>
      <c r="AZ776" s="623"/>
      <c r="BA776" s="623"/>
    </row>
    <row r="777">
      <c r="A777" s="623"/>
      <c r="B777" s="623"/>
      <c r="C777" s="623"/>
      <c r="D777" s="623"/>
      <c r="E777" s="623"/>
      <c r="F777" s="623"/>
      <c r="G777" s="623"/>
      <c r="H777" s="623"/>
      <c r="I777" s="623"/>
      <c r="J777" s="623"/>
      <c r="K777" s="623"/>
      <c r="L777" s="623"/>
      <c r="M777" s="623"/>
      <c r="N777" s="623"/>
      <c r="O777" s="623"/>
      <c r="P777" s="623"/>
      <c r="Q777" s="623"/>
      <c r="R777" s="623"/>
      <c r="S777" s="623"/>
      <c r="T777" s="623"/>
      <c r="U777" s="623"/>
      <c r="V777" s="623"/>
      <c r="W777" s="623"/>
      <c r="X777" s="623"/>
      <c r="Y777" s="623"/>
      <c r="Z777" s="623"/>
      <c r="AA777" s="623"/>
      <c r="AB777" s="623"/>
      <c r="AC777" s="623"/>
      <c r="AD777" s="623"/>
      <c r="AE777" s="623"/>
      <c r="AF777" s="623"/>
      <c r="AG777" s="623"/>
      <c r="AH777" s="623"/>
      <c r="AI777" s="623"/>
      <c r="AJ777" s="623"/>
      <c r="AK777" s="623"/>
      <c r="AL777" s="623"/>
      <c r="AM777" s="623"/>
      <c r="AN777" s="623"/>
      <c r="AO777" s="623"/>
      <c r="AP777" s="623"/>
      <c r="AQ777" s="623"/>
      <c r="AR777" s="623"/>
      <c r="AS777" s="623"/>
      <c r="AT777" s="623"/>
      <c r="AU777" s="623"/>
      <c r="AV777" s="623"/>
      <c r="AW777" s="623"/>
      <c r="AX777" s="623"/>
      <c r="AY777" s="623"/>
      <c r="AZ777" s="623"/>
      <c r="BA777" s="623"/>
    </row>
    <row r="778">
      <c r="A778" s="623"/>
      <c r="B778" s="623"/>
      <c r="C778" s="623"/>
      <c r="D778" s="623"/>
      <c r="E778" s="623"/>
      <c r="F778" s="623"/>
      <c r="G778" s="623"/>
      <c r="H778" s="623"/>
      <c r="I778" s="623"/>
      <c r="J778" s="623"/>
      <c r="K778" s="623"/>
      <c r="L778" s="623"/>
      <c r="M778" s="623"/>
      <c r="N778" s="623"/>
      <c r="O778" s="623"/>
      <c r="P778" s="623"/>
      <c r="Q778" s="623"/>
      <c r="R778" s="623"/>
      <c r="S778" s="623"/>
      <c r="T778" s="623"/>
      <c r="U778" s="623"/>
      <c r="V778" s="623"/>
      <c r="W778" s="623"/>
      <c r="X778" s="623"/>
      <c r="Y778" s="623"/>
      <c r="Z778" s="623"/>
      <c r="AA778" s="623"/>
      <c r="AB778" s="623"/>
      <c r="AC778" s="623"/>
      <c r="AD778" s="623"/>
      <c r="AE778" s="623"/>
      <c r="AF778" s="623"/>
      <c r="AG778" s="623"/>
      <c r="AH778" s="623"/>
      <c r="AI778" s="623"/>
      <c r="AJ778" s="623"/>
      <c r="AK778" s="623"/>
      <c r="AL778" s="623"/>
      <c r="AM778" s="623"/>
      <c r="AN778" s="623"/>
      <c r="AO778" s="623"/>
      <c r="AP778" s="623"/>
      <c r="AQ778" s="623"/>
      <c r="AR778" s="623"/>
      <c r="AS778" s="623"/>
      <c r="AT778" s="623"/>
      <c r="AU778" s="623"/>
      <c r="AV778" s="623"/>
      <c r="AW778" s="623"/>
      <c r="AX778" s="623"/>
      <c r="AY778" s="623"/>
      <c r="AZ778" s="623"/>
      <c r="BA778" s="623"/>
    </row>
    <row r="779">
      <c r="A779" s="623"/>
      <c r="B779" s="623"/>
      <c r="C779" s="623"/>
      <c r="D779" s="623"/>
      <c r="E779" s="623"/>
      <c r="F779" s="623"/>
      <c r="G779" s="623"/>
      <c r="H779" s="623"/>
      <c r="I779" s="623"/>
      <c r="J779" s="623"/>
      <c r="K779" s="623"/>
      <c r="L779" s="623"/>
      <c r="M779" s="623"/>
      <c r="N779" s="623"/>
      <c r="O779" s="623"/>
      <c r="P779" s="623"/>
      <c r="Q779" s="623"/>
      <c r="R779" s="623"/>
      <c r="S779" s="623"/>
      <c r="T779" s="623"/>
      <c r="U779" s="623"/>
      <c r="V779" s="623"/>
      <c r="W779" s="623"/>
      <c r="X779" s="623"/>
      <c r="Y779" s="623"/>
      <c r="Z779" s="623"/>
      <c r="AA779" s="623"/>
      <c r="AB779" s="623"/>
      <c r="AC779" s="623"/>
      <c r="AD779" s="623"/>
      <c r="AE779" s="623"/>
      <c r="AF779" s="623"/>
      <c r="AG779" s="623"/>
      <c r="AH779" s="623"/>
      <c r="AI779" s="623"/>
      <c r="AJ779" s="623"/>
      <c r="AK779" s="623"/>
      <c r="AL779" s="623"/>
      <c r="AM779" s="623"/>
      <c r="AN779" s="623"/>
      <c r="AO779" s="623"/>
      <c r="AP779" s="623"/>
      <c r="AQ779" s="623"/>
      <c r="AR779" s="623"/>
      <c r="AS779" s="623"/>
      <c r="AT779" s="623"/>
      <c r="AU779" s="623"/>
      <c r="AV779" s="623"/>
      <c r="AW779" s="623"/>
      <c r="AX779" s="623"/>
      <c r="AY779" s="623"/>
      <c r="AZ779" s="623"/>
      <c r="BA779" s="623"/>
    </row>
    <row r="780">
      <c r="A780" s="623"/>
      <c r="B780" s="623"/>
      <c r="C780" s="623"/>
      <c r="D780" s="623"/>
      <c r="E780" s="623"/>
      <c r="F780" s="623"/>
      <c r="G780" s="623"/>
      <c r="H780" s="623"/>
      <c r="I780" s="623"/>
      <c r="J780" s="623"/>
      <c r="K780" s="623"/>
      <c r="L780" s="623"/>
      <c r="M780" s="623"/>
      <c r="N780" s="623"/>
      <c r="O780" s="623"/>
      <c r="P780" s="623"/>
      <c r="Q780" s="623"/>
      <c r="R780" s="623"/>
      <c r="S780" s="623"/>
      <c r="T780" s="623"/>
      <c r="U780" s="623"/>
      <c r="V780" s="623"/>
      <c r="W780" s="623"/>
      <c r="X780" s="623"/>
      <c r="Y780" s="623"/>
      <c r="Z780" s="623"/>
      <c r="AA780" s="623"/>
      <c r="AB780" s="623"/>
      <c r="AC780" s="623"/>
      <c r="AD780" s="623"/>
      <c r="AE780" s="623"/>
      <c r="AF780" s="623"/>
      <c r="AG780" s="623"/>
      <c r="AH780" s="623"/>
      <c r="AI780" s="623"/>
      <c r="AJ780" s="623"/>
      <c r="AK780" s="623"/>
      <c r="AL780" s="623"/>
      <c r="AM780" s="623"/>
      <c r="AN780" s="623"/>
      <c r="AO780" s="623"/>
      <c r="AP780" s="623"/>
      <c r="AQ780" s="623"/>
      <c r="AR780" s="623"/>
      <c r="AS780" s="623"/>
      <c r="AT780" s="623"/>
      <c r="AU780" s="623"/>
      <c r="AV780" s="623"/>
      <c r="AW780" s="623"/>
      <c r="AX780" s="623"/>
      <c r="AY780" s="623"/>
      <c r="AZ780" s="623"/>
      <c r="BA780" s="623"/>
    </row>
    <row r="781">
      <c r="A781" s="623"/>
      <c r="B781" s="623"/>
      <c r="C781" s="623"/>
      <c r="D781" s="623"/>
      <c r="E781" s="623"/>
      <c r="F781" s="623"/>
      <c r="G781" s="623"/>
      <c r="H781" s="623"/>
      <c r="I781" s="623"/>
      <c r="J781" s="623"/>
      <c r="K781" s="623"/>
      <c r="L781" s="623"/>
      <c r="M781" s="623"/>
      <c r="N781" s="623"/>
      <c r="O781" s="623"/>
      <c r="P781" s="623"/>
      <c r="Q781" s="623"/>
      <c r="R781" s="623"/>
      <c r="S781" s="623"/>
      <c r="T781" s="623"/>
      <c r="U781" s="623"/>
      <c r="V781" s="623"/>
      <c r="W781" s="623"/>
      <c r="X781" s="623"/>
      <c r="Y781" s="623"/>
      <c r="Z781" s="623"/>
      <c r="AA781" s="623"/>
      <c r="AB781" s="623"/>
      <c r="AC781" s="623"/>
      <c r="AD781" s="623"/>
      <c r="AE781" s="623"/>
      <c r="AF781" s="623"/>
      <c r="AG781" s="623"/>
      <c r="AH781" s="623"/>
      <c r="AI781" s="623"/>
      <c r="AJ781" s="623"/>
      <c r="AK781" s="623"/>
      <c r="AL781" s="623"/>
      <c r="AM781" s="623"/>
      <c r="AN781" s="623"/>
      <c r="AO781" s="623"/>
      <c r="AP781" s="623"/>
      <c r="AQ781" s="623"/>
      <c r="AR781" s="623"/>
      <c r="AS781" s="623"/>
      <c r="AT781" s="623"/>
      <c r="AU781" s="623"/>
      <c r="AV781" s="623"/>
      <c r="AW781" s="623"/>
      <c r="AX781" s="623"/>
      <c r="AY781" s="623"/>
      <c r="AZ781" s="623"/>
      <c r="BA781" s="623"/>
    </row>
    <row r="782">
      <c r="A782" s="623"/>
      <c r="B782" s="623"/>
      <c r="C782" s="623"/>
      <c r="D782" s="623"/>
      <c r="E782" s="623"/>
      <c r="F782" s="623"/>
      <c r="G782" s="623"/>
      <c r="H782" s="623"/>
      <c r="I782" s="623"/>
      <c r="J782" s="623"/>
      <c r="K782" s="623"/>
      <c r="L782" s="623"/>
      <c r="M782" s="623"/>
      <c r="N782" s="623"/>
      <c r="O782" s="623"/>
      <c r="P782" s="623"/>
      <c r="Q782" s="623"/>
      <c r="R782" s="623"/>
      <c r="S782" s="623"/>
      <c r="T782" s="623"/>
      <c r="U782" s="623"/>
      <c r="V782" s="623"/>
      <c r="W782" s="623"/>
      <c r="X782" s="623"/>
      <c r="Y782" s="623"/>
      <c r="Z782" s="623"/>
      <c r="AA782" s="623"/>
      <c r="AB782" s="623"/>
      <c r="AC782" s="623"/>
      <c r="AD782" s="623"/>
      <c r="AE782" s="623"/>
      <c r="AF782" s="623"/>
      <c r="AG782" s="623"/>
      <c r="AH782" s="623"/>
      <c r="AI782" s="623"/>
      <c r="AJ782" s="623"/>
      <c r="AK782" s="623"/>
      <c r="AL782" s="623"/>
      <c r="AM782" s="623"/>
      <c r="AN782" s="623"/>
      <c r="AO782" s="623"/>
      <c r="AP782" s="623"/>
      <c r="AQ782" s="623"/>
      <c r="AR782" s="623"/>
      <c r="AS782" s="623"/>
      <c r="AT782" s="623"/>
      <c r="AU782" s="623"/>
      <c r="AV782" s="623"/>
      <c r="AW782" s="623"/>
      <c r="AX782" s="623"/>
      <c r="AY782" s="623"/>
      <c r="AZ782" s="623"/>
      <c r="BA782" s="623"/>
    </row>
    <row r="783">
      <c r="A783" s="623"/>
      <c r="B783" s="623"/>
      <c r="C783" s="623"/>
      <c r="D783" s="623"/>
      <c r="E783" s="623"/>
      <c r="F783" s="623"/>
      <c r="G783" s="623"/>
      <c r="H783" s="623"/>
      <c r="I783" s="623"/>
      <c r="J783" s="623"/>
      <c r="K783" s="623"/>
      <c r="L783" s="623"/>
      <c r="M783" s="623"/>
      <c r="N783" s="623"/>
      <c r="O783" s="623"/>
      <c r="P783" s="623"/>
      <c r="Q783" s="623"/>
      <c r="R783" s="623"/>
      <c r="S783" s="623"/>
      <c r="T783" s="623"/>
      <c r="U783" s="623"/>
      <c r="V783" s="623"/>
      <c r="W783" s="623"/>
      <c r="X783" s="623"/>
      <c r="Y783" s="623"/>
      <c r="Z783" s="623"/>
      <c r="AA783" s="623"/>
      <c r="AB783" s="623"/>
      <c r="AC783" s="623"/>
      <c r="AD783" s="623"/>
      <c r="AE783" s="623"/>
      <c r="AF783" s="623"/>
      <c r="AG783" s="623"/>
      <c r="AH783" s="623"/>
      <c r="AI783" s="623"/>
      <c r="AJ783" s="623"/>
      <c r="AK783" s="623"/>
      <c r="AL783" s="623"/>
      <c r="AM783" s="623"/>
      <c r="AN783" s="623"/>
      <c r="AO783" s="623"/>
      <c r="AP783" s="623"/>
      <c r="AQ783" s="623"/>
      <c r="AR783" s="623"/>
      <c r="AS783" s="623"/>
      <c r="AT783" s="623"/>
      <c r="AU783" s="623"/>
      <c r="AV783" s="623"/>
      <c r="AW783" s="623"/>
      <c r="AX783" s="623"/>
      <c r="AY783" s="623"/>
      <c r="AZ783" s="623"/>
      <c r="BA783" s="623"/>
    </row>
    <row r="784">
      <c r="A784" s="623"/>
      <c r="B784" s="623"/>
      <c r="C784" s="623"/>
      <c r="D784" s="623"/>
      <c r="E784" s="623"/>
      <c r="F784" s="623"/>
      <c r="G784" s="623"/>
      <c r="H784" s="623"/>
      <c r="I784" s="623"/>
      <c r="J784" s="623"/>
      <c r="K784" s="623"/>
      <c r="L784" s="623"/>
      <c r="M784" s="623"/>
      <c r="N784" s="623"/>
      <c r="O784" s="623"/>
      <c r="P784" s="623"/>
      <c r="Q784" s="623"/>
      <c r="R784" s="623"/>
      <c r="S784" s="623"/>
      <c r="T784" s="623"/>
      <c r="U784" s="623"/>
      <c r="V784" s="623"/>
      <c r="W784" s="623"/>
      <c r="X784" s="623"/>
      <c r="Y784" s="623"/>
      <c r="Z784" s="623"/>
      <c r="AA784" s="623"/>
      <c r="AB784" s="623"/>
      <c r="AC784" s="623"/>
      <c r="AD784" s="623"/>
      <c r="AE784" s="623"/>
      <c r="AF784" s="623"/>
      <c r="AG784" s="623"/>
      <c r="AH784" s="623"/>
      <c r="AI784" s="623"/>
      <c r="AJ784" s="623"/>
      <c r="AK784" s="623"/>
      <c r="AL784" s="623"/>
      <c r="AM784" s="623"/>
      <c r="AN784" s="623"/>
      <c r="AO784" s="623"/>
      <c r="AP784" s="623"/>
      <c r="AQ784" s="623"/>
      <c r="AR784" s="623"/>
      <c r="AS784" s="623"/>
      <c r="AT784" s="623"/>
      <c r="AU784" s="623"/>
      <c r="AV784" s="623"/>
      <c r="AW784" s="623"/>
      <c r="AX784" s="623"/>
      <c r="AY784" s="623"/>
      <c r="AZ784" s="623"/>
      <c r="BA784" s="623"/>
    </row>
    <row r="785">
      <c r="A785" s="623"/>
      <c r="B785" s="623"/>
      <c r="C785" s="623"/>
      <c r="D785" s="623"/>
      <c r="E785" s="623"/>
      <c r="F785" s="623"/>
      <c r="G785" s="623"/>
      <c r="H785" s="623"/>
      <c r="I785" s="623"/>
      <c r="J785" s="623"/>
      <c r="K785" s="623"/>
      <c r="L785" s="623"/>
      <c r="M785" s="623"/>
      <c r="N785" s="623"/>
      <c r="O785" s="623"/>
      <c r="P785" s="623"/>
      <c r="Q785" s="623"/>
      <c r="R785" s="623"/>
      <c r="S785" s="623"/>
      <c r="T785" s="623"/>
      <c r="U785" s="623"/>
      <c r="V785" s="623"/>
      <c r="W785" s="623"/>
      <c r="X785" s="623"/>
      <c r="Y785" s="623"/>
      <c r="Z785" s="623"/>
      <c r="AA785" s="623"/>
      <c r="AB785" s="623"/>
      <c r="AC785" s="623"/>
      <c r="AD785" s="623"/>
      <c r="AE785" s="623"/>
      <c r="AF785" s="623"/>
      <c r="AG785" s="623"/>
      <c r="AH785" s="623"/>
      <c r="AI785" s="623"/>
      <c r="AJ785" s="623"/>
      <c r="AK785" s="623"/>
      <c r="AL785" s="623"/>
      <c r="AM785" s="623"/>
      <c r="AN785" s="623"/>
      <c r="AO785" s="623"/>
      <c r="AP785" s="623"/>
      <c r="AQ785" s="623"/>
      <c r="AR785" s="623"/>
      <c r="AS785" s="623"/>
      <c r="AT785" s="623"/>
      <c r="AU785" s="623"/>
      <c r="AV785" s="623"/>
      <c r="AW785" s="623"/>
      <c r="AX785" s="623"/>
      <c r="AY785" s="623"/>
      <c r="AZ785" s="623"/>
      <c r="BA785" s="623"/>
    </row>
    <row r="786">
      <c r="A786" s="623"/>
      <c r="B786" s="623"/>
      <c r="C786" s="623"/>
      <c r="D786" s="623"/>
      <c r="E786" s="623"/>
      <c r="F786" s="623"/>
      <c r="G786" s="623"/>
      <c r="H786" s="623"/>
      <c r="I786" s="623"/>
      <c r="J786" s="623"/>
      <c r="K786" s="623"/>
      <c r="L786" s="623"/>
      <c r="M786" s="623"/>
      <c r="N786" s="623"/>
      <c r="O786" s="623"/>
      <c r="P786" s="623"/>
      <c r="Q786" s="623"/>
      <c r="R786" s="623"/>
      <c r="S786" s="623"/>
      <c r="T786" s="623"/>
      <c r="U786" s="623"/>
      <c r="V786" s="623"/>
      <c r="W786" s="623"/>
      <c r="X786" s="623"/>
      <c r="Y786" s="623"/>
      <c r="Z786" s="623"/>
      <c r="AA786" s="623"/>
      <c r="AB786" s="623"/>
      <c r="AC786" s="623"/>
      <c r="AD786" s="623"/>
      <c r="AE786" s="623"/>
      <c r="AF786" s="623"/>
      <c r="AG786" s="623"/>
      <c r="AH786" s="623"/>
      <c r="AI786" s="623"/>
      <c r="AJ786" s="623"/>
      <c r="AK786" s="623"/>
      <c r="AL786" s="623"/>
      <c r="AM786" s="623"/>
      <c r="AN786" s="623"/>
      <c r="AO786" s="623"/>
      <c r="AP786" s="623"/>
      <c r="AQ786" s="623"/>
      <c r="AR786" s="623"/>
      <c r="AS786" s="623"/>
      <c r="AT786" s="623"/>
      <c r="AU786" s="623"/>
      <c r="AV786" s="623"/>
      <c r="AW786" s="623"/>
      <c r="AX786" s="623"/>
      <c r="AY786" s="623"/>
      <c r="AZ786" s="623"/>
      <c r="BA786" s="623"/>
    </row>
    <row r="787">
      <c r="A787" s="623"/>
      <c r="B787" s="623"/>
      <c r="C787" s="623"/>
      <c r="D787" s="623"/>
      <c r="E787" s="623"/>
      <c r="F787" s="623"/>
      <c r="G787" s="623"/>
      <c r="H787" s="623"/>
      <c r="I787" s="623"/>
      <c r="J787" s="623"/>
      <c r="K787" s="623"/>
      <c r="L787" s="623"/>
      <c r="M787" s="623"/>
      <c r="N787" s="623"/>
      <c r="O787" s="623"/>
      <c r="P787" s="623"/>
      <c r="Q787" s="623"/>
      <c r="R787" s="623"/>
      <c r="S787" s="623"/>
      <c r="T787" s="623"/>
      <c r="U787" s="623"/>
      <c r="V787" s="623"/>
      <c r="W787" s="623"/>
      <c r="X787" s="623"/>
      <c r="Y787" s="623"/>
      <c r="Z787" s="623"/>
      <c r="AA787" s="623"/>
      <c r="AB787" s="623"/>
      <c r="AC787" s="623"/>
      <c r="AD787" s="623"/>
      <c r="AE787" s="623"/>
      <c r="AF787" s="623"/>
      <c r="AG787" s="623"/>
      <c r="AH787" s="623"/>
      <c r="AI787" s="623"/>
      <c r="AJ787" s="623"/>
      <c r="AK787" s="623"/>
      <c r="AL787" s="623"/>
      <c r="AM787" s="623"/>
      <c r="AN787" s="623"/>
      <c r="AO787" s="623"/>
      <c r="AP787" s="623"/>
      <c r="AQ787" s="623"/>
      <c r="AR787" s="623"/>
      <c r="AS787" s="623"/>
      <c r="AT787" s="623"/>
      <c r="AU787" s="623"/>
      <c r="AV787" s="623"/>
      <c r="AW787" s="623"/>
      <c r="AX787" s="623"/>
      <c r="AY787" s="623"/>
      <c r="AZ787" s="623"/>
      <c r="BA787" s="623"/>
    </row>
    <row r="788">
      <c r="A788" s="623"/>
      <c r="B788" s="623"/>
      <c r="C788" s="623"/>
      <c r="D788" s="623"/>
      <c r="E788" s="623"/>
      <c r="F788" s="623"/>
      <c r="G788" s="623"/>
      <c r="H788" s="623"/>
      <c r="I788" s="623"/>
      <c r="J788" s="623"/>
      <c r="K788" s="623"/>
      <c r="L788" s="623"/>
      <c r="M788" s="623"/>
      <c r="N788" s="623"/>
      <c r="O788" s="623"/>
      <c r="P788" s="623"/>
      <c r="Q788" s="623"/>
      <c r="R788" s="623"/>
      <c r="S788" s="623"/>
      <c r="T788" s="623"/>
      <c r="U788" s="623"/>
      <c r="V788" s="623"/>
      <c r="W788" s="623"/>
      <c r="X788" s="623"/>
      <c r="Y788" s="623"/>
      <c r="Z788" s="623"/>
      <c r="AA788" s="623"/>
      <c r="AB788" s="623"/>
      <c r="AC788" s="623"/>
      <c r="AD788" s="623"/>
      <c r="AE788" s="623"/>
      <c r="AF788" s="623"/>
      <c r="AG788" s="623"/>
      <c r="AH788" s="623"/>
      <c r="AI788" s="623"/>
      <c r="AJ788" s="623"/>
      <c r="AK788" s="623"/>
      <c r="AL788" s="623"/>
      <c r="AM788" s="623"/>
      <c r="AN788" s="623"/>
      <c r="AO788" s="623"/>
      <c r="AP788" s="623"/>
      <c r="AQ788" s="623"/>
      <c r="AR788" s="623"/>
      <c r="AS788" s="623"/>
      <c r="AT788" s="623"/>
      <c r="AU788" s="623"/>
      <c r="AV788" s="623"/>
      <c r="AW788" s="623"/>
      <c r="AX788" s="623"/>
      <c r="AY788" s="623"/>
      <c r="AZ788" s="623"/>
      <c r="BA788" s="623"/>
    </row>
    <row r="789">
      <c r="A789" s="623"/>
      <c r="B789" s="623"/>
      <c r="C789" s="623"/>
      <c r="D789" s="623"/>
      <c r="E789" s="623"/>
      <c r="F789" s="623"/>
      <c r="G789" s="623"/>
      <c r="H789" s="623"/>
      <c r="I789" s="623"/>
      <c r="J789" s="623"/>
      <c r="K789" s="623"/>
      <c r="L789" s="623"/>
      <c r="M789" s="623"/>
      <c r="N789" s="623"/>
      <c r="O789" s="623"/>
      <c r="P789" s="623"/>
      <c r="Q789" s="623"/>
      <c r="R789" s="623"/>
      <c r="S789" s="623"/>
      <c r="T789" s="623"/>
      <c r="U789" s="623"/>
      <c r="V789" s="623"/>
      <c r="W789" s="623"/>
      <c r="X789" s="623"/>
      <c r="Y789" s="623"/>
      <c r="Z789" s="623"/>
      <c r="AA789" s="623"/>
      <c r="AB789" s="623"/>
      <c r="AC789" s="623"/>
      <c r="AD789" s="623"/>
      <c r="AE789" s="623"/>
      <c r="AF789" s="623"/>
      <c r="AG789" s="623"/>
      <c r="AH789" s="623"/>
      <c r="AI789" s="623"/>
      <c r="AJ789" s="623"/>
      <c r="AK789" s="623"/>
      <c r="AL789" s="623"/>
      <c r="AM789" s="623"/>
      <c r="AN789" s="623"/>
      <c r="AO789" s="623"/>
      <c r="AP789" s="623"/>
      <c r="AQ789" s="623"/>
      <c r="AR789" s="623"/>
      <c r="AS789" s="623"/>
      <c r="AT789" s="623"/>
      <c r="AU789" s="623"/>
      <c r="AV789" s="623"/>
      <c r="AW789" s="623"/>
      <c r="AX789" s="623"/>
      <c r="AY789" s="623"/>
      <c r="AZ789" s="623"/>
      <c r="BA789" s="623"/>
    </row>
    <row r="790">
      <c r="A790" s="623"/>
      <c r="B790" s="623"/>
      <c r="C790" s="623"/>
      <c r="D790" s="623"/>
      <c r="E790" s="623"/>
      <c r="F790" s="623"/>
      <c r="G790" s="623"/>
      <c r="H790" s="623"/>
      <c r="I790" s="623"/>
      <c r="J790" s="623"/>
      <c r="K790" s="623"/>
      <c r="L790" s="623"/>
      <c r="M790" s="623"/>
      <c r="N790" s="623"/>
      <c r="O790" s="623"/>
      <c r="P790" s="623"/>
      <c r="Q790" s="623"/>
      <c r="R790" s="623"/>
      <c r="S790" s="623"/>
      <c r="T790" s="623"/>
      <c r="U790" s="623"/>
      <c r="V790" s="623"/>
      <c r="W790" s="623"/>
      <c r="X790" s="623"/>
      <c r="Y790" s="623"/>
      <c r="Z790" s="623"/>
      <c r="AA790" s="623"/>
      <c r="AB790" s="623"/>
      <c r="AC790" s="623"/>
      <c r="AD790" s="623"/>
      <c r="AE790" s="623"/>
      <c r="AF790" s="623"/>
      <c r="AG790" s="623"/>
      <c r="AH790" s="623"/>
      <c r="AI790" s="623"/>
      <c r="AJ790" s="623"/>
      <c r="AK790" s="623"/>
      <c r="AL790" s="623"/>
      <c r="AM790" s="623"/>
      <c r="AN790" s="623"/>
      <c r="AO790" s="623"/>
      <c r="AP790" s="623"/>
      <c r="AQ790" s="623"/>
      <c r="AR790" s="623"/>
      <c r="AS790" s="623"/>
      <c r="AT790" s="623"/>
      <c r="AU790" s="623"/>
      <c r="AV790" s="623"/>
      <c r="AW790" s="623"/>
      <c r="AX790" s="623"/>
      <c r="AY790" s="623"/>
      <c r="AZ790" s="623"/>
      <c r="BA790" s="623"/>
    </row>
    <row r="791">
      <c r="A791" s="623"/>
      <c r="B791" s="623"/>
      <c r="C791" s="623"/>
      <c r="D791" s="623"/>
      <c r="E791" s="623"/>
      <c r="F791" s="623"/>
      <c r="G791" s="623"/>
      <c r="H791" s="623"/>
      <c r="I791" s="623"/>
      <c r="J791" s="623"/>
      <c r="K791" s="623"/>
      <c r="L791" s="623"/>
      <c r="M791" s="623"/>
      <c r="N791" s="623"/>
      <c r="O791" s="623"/>
      <c r="P791" s="623"/>
      <c r="Q791" s="623"/>
      <c r="R791" s="623"/>
      <c r="S791" s="623"/>
      <c r="T791" s="623"/>
      <c r="U791" s="623"/>
      <c r="V791" s="623"/>
      <c r="W791" s="623"/>
      <c r="X791" s="623"/>
      <c r="Y791" s="623"/>
      <c r="Z791" s="623"/>
      <c r="AA791" s="623"/>
      <c r="AB791" s="623"/>
      <c r="AC791" s="623"/>
      <c r="AD791" s="623"/>
      <c r="AE791" s="623"/>
      <c r="AF791" s="623"/>
      <c r="AG791" s="623"/>
      <c r="AH791" s="623"/>
      <c r="AI791" s="623"/>
      <c r="AJ791" s="623"/>
      <c r="AK791" s="623"/>
      <c r="AL791" s="623"/>
      <c r="AM791" s="623"/>
      <c r="AN791" s="623"/>
      <c r="AO791" s="623"/>
      <c r="AP791" s="623"/>
      <c r="AQ791" s="623"/>
      <c r="AR791" s="623"/>
      <c r="AS791" s="623"/>
      <c r="AT791" s="623"/>
      <c r="AU791" s="623"/>
      <c r="AV791" s="623"/>
      <c r="AW791" s="623"/>
      <c r="AX791" s="623"/>
      <c r="AY791" s="623"/>
      <c r="AZ791" s="623"/>
      <c r="BA791" s="623"/>
    </row>
    <row r="792">
      <c r="A792" s="623"/>
      <c r="B792" s="623"/>
      <c r="C792" s="623"/>
      <c r="D792" s="623"/>
      <c r="E792" s="623"/>
      <c r="F792" s="623"/>
      <c r="G792" s="623"/>
      <c r="H792" s="623"/>
      <c r="I792" s="623"/>
      <c r="J792" s="623"/>
      <c r="K792" s="623"/>
      <c r="L792" s="623"/>
      <c r="M792" s="623"/>
      <c r="N792" s="623"/>
      <c r="O792" s="623"/>
      <c r="P792" s="623"/>
      <c r="Q792" s="623"/>
      <c r="R792" s="623"/>
      <c r="S792" s="623"/>
      <c r="T792" s="623"/>
      <c r="U792" s="623"/>
      <c r="V792" s="623"/>
      <c r="W792" s="623"/>
      <c r="X792" s="623"/>
      <c r="Y792" s="623"/>
      <c r="Z792" s="623"/>
      <c r="AA792" s="623"/>
      <c r="AB792" s="623"/>
      <c r="AC792" s="623"/>
      <c r="AD792" s="623"/>
      <c r="AE792" s="623"/>
      <c r="AF792" s="623"/>
      <c r="AG792" s="623"/>
      <c r="AH792" s="623"/>
      <c r="AI792" s="623"/>
      <c r="AJ792" s="623"/>
      <c r="AK792" s="623"/>
      <c r="AL792" s="623"/>
      <c r="AM792" s="623"/>
      <c r="AN792" s="623"/>
      <c r="AO792" s="623"/>
      <c r="AP792" s="623"/>
      <c r="AQ792" s="623"/>
      <c r="AR792" s="623"/>
      <c r="AS792" s="623"/>
      <c r="AT792" s="623"/>
      <c r="AU792" s="623"/>
      <c r="AV792" s="623"/>
      <c r="AW792" s="623"/>
      <c r="AX792" s="623"/>
      <c r="AY792" s="623"/>
      <c r="AZ792" s="623"/>
      <c r="BA792" s="623"/>
    </row>
    <row r="793">
      <c r="A793" s="623"/>
      <c r="B793" s="623"/>
      <c r="C793" s="623"/>
      <c r="D793" s="623"/>
      <c r="E793" s="623"/>
      <c r="F793" s="623"/>
      <c r="G793" s="623"/>
      <c r="H793" s="623"/>
      <c r="I793" s="623"/>
      <c r="J793" s="623"/>
      <c r="K793" s="623"/>
      <c r="L793" s="623"/>
      <c r="M793" s="623"/>
      <c r="N793" s="623"/>
      <c r="O793" s="623"/>
      <c r="P793" s="623"/>
      <c r="Q793" s="623"/>
      <c r="R793" s="623"/>
      <c r="S793" s="623"/>
      <c r="T793" s="623"/>
      <c r="U793" s="623"/>
      <c r="V793" s="623"/>
      <c r="W793" s="623"/>
      <c r="X793" s="623"/>
      <c r="Y793" s="623"/>
      <c r="Z793" s="623"/>
      <c r="AA793" s="623"/>
      <c r="AB793" s="623"/>
      <c r="AC793" s="623"/>
      <c r="AD793" s="623"/>
      <c r="AE793" s="623"/>
      <c r="AF793" s="623"/>
      <c r="AG793" s="623"/>
      <c r="AH793" s="623"/>
      <c r="AI793" s="623"/>
      <c r="AJ793" s="623"/>
      <c r="AK793" s="623"/>
      <c r="AL793" s="623"/>
      <c r="AM793" s="623"/>
      <c r="AN793" s="623"/>
      <c r="AO793" s="623"/>
      <c r="AP793" s="623"/>
      <c r="AQ793" s="623"/>
      <c r="AR793" s="623"/>
      <c r="AS793" s="623"/>
      <c r="AT793" s="623"/>
      <c r="AU793" s="623"/>
      <c r="AV793" s="623"/>
      <c r="AW793" s="623"/>
      <c r="AX793" s="623"/>
      <c r="AY793" s="623"/>
      <c r="AZ793" s="623"/>
      <c r="BA793" s="623"/>
    </row>
    <row r="794">
      <c r="A794" s="623"/>
      <c r="B794" s="623"/>
      <c r="C794" s="623"/>
      <c r="D794" s="623"/>
      <c r="E794" s="623"/>
      <c r="F794" s="623"/>
      <c r="G794" s="623"/>
      <c r="H794" s="623"/>
      <c r="I794" s="623"/>
      <c r="J794" s="623"/>
      <c r="K794" s="623"/>
      <c r="L794" s="623"/>
      <c r="M794" s="623"/>
      <c r="N794" s="623"/>
      <c r="O794" s="623"/>
      <c r="P794" s="623"/>
      <c r="Q794" s="623"/>
      <c r="R794" s="623"/>
      <c r="S794" s="623"/>
      <c r="T794" s="623"/>
      <c r="U794" s="623"/>
      <c r="V794" s="623"/>
      <c r="W794" s="623"/>
      <c r="X794" s="623"/>
      <c r="Y794" s="623"/>
      <c r="Z794" s="623"/>
      <c r="AA794" s="623"/>
      <c r="AB794" s="623"/>
      <c r="AC794" s="623"/>
      <c r="AD794" s="623"/>
      <c r="AE794" s="623"/>
      <c r="AF794" s="623"/>
      <c r="AG794" s="623"/>
      <c r="AH794" s="623"/>
      <c r="AI794" s="623"/>
      <c r="AJ794" s="623"/>
      <c r="AK794" s="623"/>
      <c r="AL794" s="623"/>
      <c r="AM794" s="623"/>
      <c r="AN794" s="623"/>
      <c r="AO794" s="623"/>
      <c r="AP794" s="623"/>
      <c r="AQ794" s="623"/>
      <c r="AR794" s="623"/>
      <c r="AS794" s="623"/>
      <c r="AT794" s="623"/>
      <c r="AU794" s="623"/>
      <c r="AV794" s="623"/>
      <c r="AW794" s="623"/>
      <c r="AX794" s="623"/>
      <c r="AY794" s="623"/>
      <c r="AZ794" s="623"/>
      <c r="BA794" s="623"/>
    </row>
    <row r="795">
      <c r="A795" s="623"/>
      <c r="B795" s="623"/>
      <c r="C795" s="623"/>
      <c r="D795" s="623"/>
      <c r="E795" s="623"/>
      <c r="F795" s="623"/>
      <c r="G795" s="623"/>
      <c r="H795" s="623"/>
      <c r="I795" s="623"/>
      <c r="J795" s="623"/>
      <c r="K795" s="623"/>
      <c r="L795" s="623"/>
      <c r="M795" s="623"/>
      <c r="N795" s="623"/>
      <c r="O795" s="623"/>
      <c r="P795" s="623"/>
      <c r="Q795" s="623"/>
      <c r="R795" s="623"/>
      <c r="S795" s="623"/>
      <c r="T795" s="623"/>
      <c r="U795" s="623"/>
      <c r="V795" s="623"/>
      <c r="W795" s="623"/>
      <c r="X795" s="623"/>
      <c r="Y795" s="623"/>
      <c r="Z795" s="623"/>
      <c r="AA795" s="623"/>
      <c r="AB795" s="623"/>
      <c r="AC795" s="623"/>
      <c r="AD795" s="623"/>
      <c r="AE795" s="623"/>
      <c r="AF795" s="623"/>
      <c r="AG795" s="623"/>
      <c r="AH795" s="623"/>
      <c r="AI795" s="623"/>
      <c r="AJ795" s="623"/>
      <c r="AK795" s="623"/>
      <c r="AL795" s="623"/>
      <c r="AM795" s="623"/>
      <c r="AN795" s="623"/>
      <c r="AO795" s="623"/>
      <c r="AP795" s="623"/>
      <c r="AQ795" s="623"/>
      <c r="AR795" s="623"/>
      <c r="AS795" s="623"/>
      <c r="AT795" s="623"/>
      <c r="AU795" s="623"/>
      <c r="AV795" s="623"/>
      <c r="AW795" s="623"/>
      <c r="AX795" s="623"/>
      <c r="AY795" s="623"/>
      <c r="AZ795" s="623"/>
      <c r="BA795" s="623"/>
    </row>
    <row r="796">
      <c r="A796" s="623"/>
      <c r="B796" s="623"/>
      <c r="C796" s="623"/>
      <c r="D796" s="623"/>
      <c r="E796" s="623"/>
      <c r="F796" s="623"/>
      <c r="G796" s="623"/>
      <c r="H796" s="623"/>
      <c r="I796" s="623"/>
      <c r="J796" s="623"/>
      <c r="K796" s="623"/>
      <c r="L796" s="623"/>
      <c r="M796" s="623"/>
      <c r="N796" s="623"/>
      <c r="O796" s="623"/>
      <c r="P796" s="623"/>
      <c r="Q796" s="623"/>
      <c r="R796" s="623"/>
      <c r="S796" s="623"/>
      <c r="T796" s="623"/>
      <c r="U796" s="623"/>
      <c r="V796" s="623"/>
      <c r="W796" s="623"/>
      <c r="X796" s="623"/>
      <c r="Y796" s="623"/>
      <c r="Z796" s="623"/>
      <c r="AA796" s="623"/>
      <c r="AB796" s="623"/>
      <c r="AC796" s="623"/>
      <c r="AD796" s="623"/>
      <c r="AE796" s="623"/>
      <c r="AF796" s="623"/>
      <c r="AG796" s="623"/>
      <c r="AH796" s="623"/>
      <c r="AI796" s="623"/>
      <c r="AJ796" s="623"/>
      <c r="AK796" s="623"/>
      <c r="AL796" s="623"/>
      <c r="AM796" s="623"/>
      <c r="AN796" s="623"/>
      <c r="AO796" s="623"/>
      <c r="AP796" s="623"/>
      <c r="AQ796" s="623"/>
      <c r="AR796" s="623"/>
      <c r="AS796" s="623"/>
      <c r="AT796" s="623"/>
      <c r="AU796" s="623"/>
      <c r="AV796" s="623"/>
      <c r="AW796" s="623"/>
      <c r="AX796" s="623"/>
      <c r="AY796" s="623"/>
      <c r="AZ796" s="623"/>
      <c r="BA796" s="623"/>
    </row>
    <row r="797">
      <c r="A797" s="623"/>
      <c r="B797" s="623"/>
      <c r="C797" s="623"/>
      <c r="D797" s="623"/>
      <c r="E797" s="623"/>
      <c r="F797" s="623"/>
      <c r="G797" s="623"/>
      <c r="H797" s="623"/>
      <c r="I797" s="623"/>
      <c r="J797" s="623"/>
      <c r="K797" s="623"/>
      <c r="L797" s="623"/>
      <c r="M797" s="623"/>
      <c r="N797" s="623"/>
      <c r="O797" s="623"/>
      <c r="P797" s="623"/>
      <c r="Q797" s="623"/>
      <c r="R797" s="623"/>
      <c r="S797" s="623"/>
      <c r="T797" s="623"/>
      <c r="U797" s="623"/>
      <c r="V797" s="623"/>
      <c r="W797" s="623"/>
      <c r="X797" s="623"/>
      <c r="Y797" s="623"/>
      <c r="Z797" s="623"/>
      <c r="AA797" s="623"/>
      <c r="AB797" s="623"/>
      <c r="AC797" s="623"/>
      <c r="AD797" s="623"/>
      <c r="AE797" s="623"/>
      <c r="AF797" s="623"/>
      <c r="AG797" s="623"/>
      <c r="AH797" s="623"/>
      <c r="AI797" s="623"/>
      <c r="AJ797" s="623"/>
      <c r="AK797" s="623"/>
      <c r="AL797" s="623"/>
      <c r="AM797" s="623"/>
      <c r="AN797" s="623"/>
      <c r="AO797" s="623"/>
      <c r="AP797" s="623"/>
      <c r="AQ797" s="623"/>
      <c r="AR797" s="623"/>
      <c r="AS797" s="623"/>
      <c r="AT797" s="623"/>
      <c r="AU797" s="623"/>
      <c r="AV797" s="623"/>
      <c r="AW797" s="623"/>
      <c r="AX797" s="623"/>
      <c r="AY797" s="623"/>
      <c r="AZ797" s="623"/>
      <c r="BA797" s="623"/>
    </row>
    <row r="798">
      <c r="A798" s="623"/>
      <c r="B798" s="623"/>
      <c r="C798" s="623"/>
      <c r="D798" s="623"/>
      <c r="E798" s="623"/>
      <c r="F798" s="623"/>
      <c r="G798" s="623"/>
      <c r="H798" s="623"/>
      <c r="I798" s="623"/>
      <c r="J798" s="623"/>
      <c r="K798" s="623"/>
      <c r="L798" s="623"/>
      <c r="M798" s="623"/>
      <c r="N798" s="623"/>
      <c r="O798" s="623"/>
      <c r="P798" s="623"/>
      <c r="Q798" s="623"/>
      <c r="R798" s="623"/>
      <c r="S798" s="623"/>
      <c r="T798" s="623"/>
      <c r="U798" s="623"/>
      <c r="V798" s="623"/>
      <c r="W798" s="623"/>
      <c r="X798" s="623"/>
      <c r="Y798" s="623"/>
      <c r="Z798" s="623"/>
      <c r="AA798" s="623"/>
      <c r="AB798" s="623"/>
      <c r="AC798" s="623"/>
      <c r="AD798" s="623"/>
      <c r="AE798" s="623"/>
      <c r="AF798" s="623"/>
      <c r="AG798" s="623"/>
      <c r="AH798" s="623"/>
      <c r="AI798" s="623"/>
      <c r="AJ798" s="623"/>
      <c r="AK798" s="623"/>
      <c r="AL798" s="623"/>
      <c r="AM798" s="623"/>
      <c r="AN798" s="623"/>
      <c r="AO798" s="623"/>
      <c r="AP798" s="623"/>
      <c r="AQ798" s="623"/>
      <c r="AR798" s="623"/>
      <c r="AS798" s="623"/>
      <c r="AT798" s="623"/>
      <c r="AU798" s="623"/>
      <c r="AV798" s="623"/>
      <c r="AW798" s="623"/>
      <c r="AX798" s="623"/>
      <c r="AY798" s="623"/>
      <c r="AZ798" s="623"/>
      <c r="BA798" s="623"/>
    </row>
    <row r="799">
      <c r="A799" s="623"/>
      <c r="B799" s="623"/>
      <c r="C799" s="623"/>
      <c r="D799" s="623"/>
      <c r="E799" s="623"/>
      <c r="F799" s="623"/>
      <c r="G799" s="623"/>
      <c r="H799" s="623"/>
      <c r="I799" s="623"/>
      <c r="J799" s="623"/>
      <c r="K799" s="623"/>
      <c r="L799" s="623"/>
      <c r="M799" s="623"/>
      <c r="N799" s="623"/>
      <c r="O799" s="623"/>
      <c r="P799" s="623"/>
      <c r="Q799" s="623"/>
      <c r="R799" s="623"/>
      <c r="S799" s="623"/>
      <c r="T799" s="623"/>
      <c r="U799" s="623"/>
      <c r="V799" s="623"/>
      <c r="W799" s="623"/>
      <c r="X799" s="623"/>
      <c r="Y799" s="623"/>
      <c r="Z799" s="623"/>
      <c r="AA799" s="623"/>
      <c r="AB799" s="623"/>
      <c r="AC799" s="623"/>
      <c r="AD799" s="623"/>
      <c r="AE799" s="623"/>
      <c r="AF799" s="623"/>
      <c r="AG799" s="623"/>
      <c r="AH799" s="623"/>
      <c r="AI799" s="623"/>
      <c r="AJ799" s="623"/>
      <c r="AK799" s="623"/>
      <c r="AL799" s="623"/>
      <c r="AM799" s="623"/>
      <c r="AN799" s="623"/>
      <c r="AO799" s="623"/>
      <c r="AP799" s="623"/>
      <c r="AQ799" s="623"/>
      <c r="AR799" s="623"/>
      <c r="AS799" s="623"/>
      <c r="AT799" s="623"/>
      <c r="AU799" s="623"/>
      <c r="AV799" s="623"/>
      <c r="AW799" s="623"/>
      <c r="AX799" s="623"/>
      <c r="AY799" s="623"/>
      <c r="AZ799" s="623"/>
      <c r="BA799" s="623"/>
    </row>
    <row r="800">
      <c r="A800" s="623"/>
      <c r="B800" s="623"/>
      <c r="C800" s="623"/>
      <c r="D800" s="623"/>
      <c r="E800" s="623"/>
      <c r="F800" s="623"/>
      <c r="G800" s="623"/>
      <c r="H800" s="623"/>
      <c r="I800" s="623"/>
      <c r="J800" s="623"/>
      <c r="K800" s="623"/>
      <c r="L800" s="623"/>
      <c r="M800" s="623"/>
      <c r="N800" s="623"/>
      <c r="O800" s="623"/>
      <c r="P800" s="623"/>
      <c r="Q800" s="623"/>
      <c r="R800" s="623"/>
      <c r="S800" s="623"/>
      <c r="T800" s="623"/>
      <c r="U800" s="623"/>
      <c r="V800" s="623"/>
      <c r="W800" s="623"/>
      <c r="X800" s="623"/>
      <c r="Y800" s="623"/>
      <c r="Z800" s="623"/>
      <c r="AA800" s="623"/>
      <c r="AB800" s="623"/>
      <c r="AC800" s="623"/>
      <c r="AD800" s="623"/>
      <c r="AE800" s="623"/>
      <c r="AF800" s="623"/>
      <c r="AG800" s="623"/>
      <c r="AH800" s="623"/>
      <c r="AI800" s="623"/>
      <c r="AJ800" s="623"/>
      <c r="AK800" s="623"/>
      <c r="AL800" s="623"/>
      <c r="AM800" s="623"/>
      <c r="AN800" s="623"/>
      <c r="AO800" s="623"/>
      <c r="AP800" s="623"/>
      <c r="AQ800" s="623"/>
      <c r="AR800" s="623"/>
      <c r="AS800" s="623"/>
      <c r="AT800" s="623"/>
      <c r="AU800" s="623"/>
      <c r="AV800" s="623"/>
      <c r="AW800" s="623"/>
      <c r="AX800" s="623"/>
      <c r="AY800" s="623"/>
      <c r="AZ800" s="623"/>
      <c r="BA800" s="623"/>
    </row>
    <row r="801">
      <c r="A801" s="623"/>
      <c r="B801" s="623"/>
      <c r="C801" s="623"/>
      <c r="D801" s="623"/>
      <c r="E801" s="623"/>
      <c r="F801" s="623"/>
      <c r="G801" s="623"/>
      <c r="H801" s="623"/>
      <c r="I801" s="623"/>
      <c r="J801" s="623"/>
      <c r="K801" s="623"/>
      <c r="L801" s="623"/>
      <c r="M801" s="623"/>
      <c r="N801" s="623"/>
      <c r="O801" s="623"/>
      <c r="P801" s="623"/>
      <c r="Q801" s="623"/>
      <c r="R801" s="623"/>
      <c r="S801" s="623"/>
      <c r="T801" s="623"/>
      <c r="U801" s="623"/>
      <c r="V801" s="623"/>
      <c r="W801" s="623"/>
      <c r="X801" s="623"/>
      <c r="Y801" s="623"/>
      <c r="Z801" s="623"/>
      <c r="AA801" s="623"/>
      <c r="AB801" s="623"/>
      <c r="AC801" s="623"/>
      <c r="AD801" s="623"/>
      <c r="AE801" s="623"/>
      <c r="AF801" s="623"/>
      <c r="AG801" s="623"/>
      <c r="AH801" s="623"/>
      <c r="AI801" s="623"/>
      <c r="AJ801" s="623"/>
      <c r="AK801" s="623"/>
      <c r="AL801" s="623"/>
      <c r="AM801" s="623"/>
      <c r="AN801" s="623"/>
      <c r="AO801" s="623"/>
      <c r="AP801" s="623"/>
      <c r="AQ801" s="623"/>
      <c r="AR801" s="623"/>
      <c r="AS801" s="623"/>
      <c r="AT801" s="623"/>
      <c r="AU801" s="623"/>
      <c r="AV801" s="623"/>
      <c r="AW801" s="623"/>
      <c r="AX801" s="623"/>
      <c r="AY801" s="623"/>
      <c r="AZ801" s="623"/>
      <c r="BA801" s="623"/>
    </row>
    <row r="802">
      <c r="A802" s="623"/>
      <c r="B802" s="623"/>
      <c r="C802" s="623"/>
      <c r="D802" s="623"/>
      <c r="E802" s="623"/>
      <c r="F802" s="623"/>
      <c r="G802" s="623"/>
      <c r="H802" s="623"/>
      <c r="I802" s="623"/>
      <c r="J802" s="623"/>
      <c r="K802" s="623"/>
      <c r="L802" s="623"/>
      <c r="M802" s="623"/>
      <c r="N802" s="623"/>
      <c r="O802" s="623"/>
      <c r="P802" s="623"/>
      <c r="Q802" s="623"/>
      <c r="R802" s="623"/>
      <c r="S802" s="623"/>
      <c r="T802" s="623"/>
      <c r="U802" s="623"/>
      <c r="V802" s="623"/>
      <c r="W802" s="623"/>
      <c r="X802" s="623"/>
      <c r="Y802" s="623"/>
      <c r="Z802" s="623"/>
      <c r="AA802" s="623"/>
      <c r="AB802" s="623"/>
      <c r="AC802" s="623"/>
      <c r="AD802" s="623"/>
      <c r="AE802" s="623"/>
      <c r="AF802" s="623"/>
      <c r="AG802" s="623"/>
      <c r="AH802" s="623"/>
      <c r="AI802" s="623"/>
      <c r="AJ802" s="623"/>
      <c r="AK802" s="623"/>
      <c r="AL802" s="623"/>
      <c r="AM802" s="623"/>
      <c r="AN802" s="623"/>
      <c r="AO802" s="623"/>
      <c r="AP802" s="623"/>
      <c r="AQ802" s="623"/>
      <c r="AR802" s="623"/>
      <c r="AS802" s="623"/>
      <c r="AT802" s="623"/>
      <c r="AU802" s="623"/>
      <c r="AV802" s="623"/>
      <c r="AW802" s="623"/>
      <c r="AX802" s="623"/>
      <c r="AY802" s="623"/>
      <c r="AZ802" s="623"/>
      <c r="BA802" s="623"/>
    </row>
    <row r="803">
      <c r="A803" s="623"/>
      <c r="B803" s="623"/>
      <c r="C803" s="623"/>
      <c r="D803" s="623"/>
      <c r="E803" s="623"/>
      <c r="F803" s="623"/>
      <c r="G803" s="623"/>
      <c r="H803" s="623"/>
      <c r="I803" s="623"/>
      <c r="J803" s="623"/>
      <c r="K803" s="623"/>
      <c r="L803" s="623"/>
      <c r="M803" s="623"/>
      <c r="N803" s="623"/>
      <c r="O803" s="623"/>
      <c r="P803" s="623"/>
      <c r="Q803" s="623"/>
      <c r="R803" s="623"/>
      <c r="S803" s="623"/>
      <c r="T803" s="623"/>
      <c r="U803" s="623"/>
      <c r="V803" s="623"/>
      <c r="W803" s="623"/>
      <c r="X803" s="623"/>
      <c r="Y803" s="623"/>
      <c r="Z803" s="623"/>
      <c r="AA803" s="623"/>
      <c r="AB803" s="623"/>
      <c r="AC803" s="623"/>
      <c r="AD803" s="623"/>
      <c r="AE803" s="623"/>
      <c r="AF803" s="623"/>
      <c r="AG803" s="623"/>
      <c r="AH803" s="623"/>
      <c r="AI803" s="623"/>
      <c r="AJ803" s="623"/>
      <c r="AK803" s="623"/>
      <c r="AL803" s="623"/>
      <c r="AM803" s="623"/>
      <c r="AN803" s="623"/>
      <c r="AO803" s="623"/>
      <c r="AP803" s="623"/>
      <c r="AQ803" s="623"/>
      <c r="AR803" s="623"/>
      <c r="AS803" s="623"/>
      <c r="AT803" s="623"/>
      <c r="AU803" s="623"/>
      <c r="AV803" s="623"/>
      <c r="AW803" s="623"/>
      <c r="AX803" s="623"/>
      <c r="AY803" s="623"/>
      <c r="AZ803" s="623"/>
      <c r="BA803" s="623"/>
    </row>
    <row r="804">
      <c r="A804" s="623"/>
      <c r="B804" s="623"/>
      <c r="C804" s="623"/>
      <c r="D804" s="623"/>
      <c r="E804" s="623"/>
      <c r="F804" s="623"/>
      <c r="G804" s="623"/>
      <c r="H804" s="623"/>
      <c r="I804" s="623"/>
      <c r="J804" s="623"/>
      <c r="K804" s="623"/>
      <c r="L804" s="623"/>
      <c r="M804" s="623"/>
      <c r="N804" s="623"/>
      <c r="O804" s="623"/>
      <c r="P804" s="623"/>
      <c r="Q804" s="623"/>
      <c r="R804" s="623"/>
      <c r="S804" s="623"/>
      <c r="T804" s="623"/>
      <c r="U804" s="623"/>
      <c r="V804" s="623"/>
      <c r="W804" s="623"/>
      <c r="X804" s="623"/>
      <c r="Y804" s="623"/>
      <c r="Z804" s="623"/>
      <c r="AA804" s="623"/>
      <c r="AB804" s="623"/>
      <c r="AC804" s="623"/>
      <c r="AD804" s="623"/>
      <c r="AE804" s="623"/>
      <c r="AF804" s="623"/>
      <c r="AG804" s="623"/>
      <c r="AH804" s="623"/>
      <c r="AI804" s="623"/>
      <c r="AJ804" s="623"/>
      <c r="AK804" s="623"/>
      <c r="AL804" s="623"/>
      <c r="AM804" s="623"/>
      <c r="AN804" s="623"/>
      <c r="AO804" s="623"/>
      <c r="AP804" s="623"/>
      <c r="AQ804" s="623"/>
      <c r="AR804" s="623"/>
      <c r="AS804" s="623"/>
      <c r="AT804" s="623"/>
      <c r="AU804" s="623"/>
      <c r="AV804" s="623"/>
      <c r="AW804" s="623"/>
      <c r="AX804" s="623"/>
      <c r="AY804" s="623"/>
      <c r="AZ804" s="623"/>
      <c r="BA804" s="623"/>
    </row>
    <row r="805">
      <c r="A805" s="623"/>
      <c r="B805" s="623"/>
      <c r="C805" s="623"/>
      <c r="D805" s="623"/>
      <c r="E805" s="623"/>
      <c r="F805" s="623"/>
      <c r="G805" s="623"/>
      <c r="H805" s="623"/>
      <c r="I805" s="623"/>
      <c r="J805" s="623"/>
      <c r="K805" s="623"/>
      <c r="L805" s="623"/>
      <c r="M805" s="623"/>
      <c r="N805" s="623"/>
      <c r="O805" s="623"/>
      <c r="P805" s="623"/>
      <c r="Q805" s="623"/>
      <c r="R805" s="623"/>
      <c r="S805" s="623"/>
      <c r="T805" s="623"/>
      <c r="U805" s="623"/>
      <c r="V805" s="623"/>
      <c r="W805" s="623"/>
      <c r="X805" s="623"/>
      <c r="Y805" s="623"/>
      <c r="Z805" s="623"/>
      <c r="AA805" s="623"/>
      <c r="AB805" s="623"/>
      <c r="AC805" s="623"/>
      <c r="AD805" s="623"/>
      <c r="AE805" s="623"/>
      <c r="AF805" s="623"/>
      <c r="AG805" s="623"/>
      <c r="AH805" s="623"/>
      <c r="AI805" s="623"/>
      <c r="AJ805" s="623"/>
      <c r="AK805" s="623"/>
      <c r="AL805" s="623"/>
      <c r="AM805" s="623"/>
      <c r="AN805" s="623"/>
      <c r="AO805" s="623"/>
      <c r="AP805" s="623"/>
      <c r="AQ805" s="623"/>
      <c r="AR805" s="623"/>
      <c r="AS805" s="623"/>
      <c r="AT805" s="623"/>
      <c r="AU805" s="623"/>
      <c r="AV805" s="623"/>
      <c r="AW805" s="623"/>
      <c r="AX805" s="623"/>
      <c r="AY805" s="623"/>
      <c r="AZ805" s="623"/>
      <c r="BA805" s="623"/>
    </row>
    <row r="806">
      <c r="A806" s="623"/>
      <c r="B806" s="623"/>
      <c r="C806" s="623"/>
      <c r="D806" s="623"/>
      <c r="E806" s="623"/>
      <c r="F806" s="623"/>
      <c r="G806" s="623"/>
      <c r="H806" s="623"/>
      <c r="I806" s="623"/>
      <c r="J806" s="623"/>
      <c r="K806" s="623"/>
      <c r="L806" s="623"/>
      <c r="M806" s="623"/>
      <c r="N806" s="623"/>
      <c r="O806" s="623"/>
      <c r="P806" s="623"/>
      <c r="Q806" s="623"/>
      <c r="R806" s="623"/>
      <c r="S806" s="623"/>
      <c r="T806" s="623"/>
      <c r="U806" s="623"/>
      <c r="V806" s="623"/>
      <c r="W806" s="623"/>
      <c r="X806" s="623"/>
      <c r="Y806" s="623"/>
      <c r="Z806" s="623"/>
      <c r="AA806" s="623"/>
      <c r="AB806" s="623"/>
      <c r="AC806" s="623"/>
      <c r="AD806" s="623"/>
      <c r="AE806" s="623"/>
      <c r="AF806" s="623"/>
      <c r="AG806" s="623"/>
      <c r="AH806" s="623"/>
      <c r="AI806" s="623"/>
      <c r="AJ806" s="623"/>
      <c r="AK806" s="623"/>
      <c r="AL806" s="623"/>
      <c r="AM806" s="623"/>
      <c r="AN806" s="623"/>
      <c r="AO806" s="623"/>
      <c r="AP806" s="623"/>
      <c r="AQ806" s="623"/>
      <c r="AR806" s="623"/>
      <c r="AS806" s="623"/>
      <c r="AT806" s="623"/>
      <c r="AU806" s="623"/>
      <c r="AV806" s="623"/>
      <c r="AW806" s="623"/>
      <c r="AX806" s="623"/>
      <c r="AY806" s="623"/>
      <c r="AZ806" s="623"/>
      <c r="BA806" s="623"/>
    </row>
    <row r="807">
      <c r="A807" s="623"/>
      <c r="B807" s="623"/>
      <c r="C807" s="623"/>
      <c r="D807" s="623"/>
      <c r="E807" s="623"/>
      <c r="F807" s="623"/>
      <c r="G807" s="623"/>
      <c r="H807" s="623"/>
      <c r="I807" s="623"/>
      <c r="J807" s="623"/>
      <c r="K807" s="623"/>
      <c r="L807" s="623"/>
      <c r="M807" s="623"/>
      <c r="N807" s="623"/>
      <c r="O807" s="623"/>
      <c r="P807" s="623"/>
      <c r="Q807" s="623"/>
      <c r="R807" s="623"/>
      <c r="S807" s="623"/>
      <c r="T807" s="623"/>
      <c r="U807" s="623"/>
      <c r="V807" s="623"/>
      <c r="W807" s="623"/>
      <c r="X807" s="623"/>
      <c r="Y807" s="623"/>
      <c r="Z807" s="623"/>
      <c r="AA807" s="623"/>
      <c r="AB807" s="623"/>
      <c r="AC807" s="623"/>
      <c r="AD807" s="623"/>
      <c r="AE807" s="623"/>
      <c r="AF807" s="623"/>
      <c r="AG807" s="623"/>
      <c r="AH807" s="623"/>
      <c r="AI807" s="623"/>
      <c r="AJ807" s="623"/>
      <c r="AK807" s="623"/>
      <c r="AL807" s="623"/>
      <c r="AM807" s="623"/>
      <c r="AN807" s="623"/>
      <c r="AO807" s="623"/>
      <c r="AP807" s="623"/>
      <c r="AQ807" s="623"/>
      <c r="AR807" s="623"/>
      <c r="AS807" s="623"/>
      <c r="AT807" s="623"/>
      <c r="AU807" s="623"/>
      <c r="AV807" s="623"/>
      <c r="AW807" s="623"/>
      <c r="AX807" s="623"/>
      <c r="AY807" s="623"/>
      <c r="AZ807" s="623"/>
      <c r="BA807" s="623"/>
    </row>
    <row r="808">
      <c r="A808" s="623"/>
      <c r="B808" s="623"/>
      <c r="C808" s="623"/>
      <c r="D808" s="623"/>
      <c r="E808" s="623"/>
      <c r="F808" s="623"/>
      <c r="G808" s="623"/>
      <c r="H808" s="623"/>
      <c r="I808" s="623"/>
      <c r="J808" s="623"/>
      <c r="K808" s="623"/>
      <c r="L808" s="623"/>
      <c r="M808" s="623"/>
      <c r="N808" s="623"/>
      <c r="O808" s="623"/>
      <c r="P808" s="623"/>
      <c r="Q808" s="623"/>
      <c r="R808" s="623"/>
      <c r="S808" s="623"/>
      <c r="T808" s="623"/>
      <c r="U808" s="623"/>
      <c r="V808" s="623"/>
      <c r="W808" s="623"/>
      <c r="X808" s="623"/>
      <c r="Y808" s="623"/>
      <c r="Z808" s="623"/>
      <c r="AA808" s="623"/>
      <c r="AB808" s="623"/>
      <c r="AC808" s="623"/>
      <c r="AD808" s="623"/>
      <c r="AE808" s="623"/>
      <c r="AF808" s="623"/>
      <c r="AG808" s="623"/>
      <c r="AH808" s="623"/>
      <c r="AI808" s="623"/>
      <c r="AJ808" s="623"/>
      <c r="AK808" s="623"/>
      <c r="AL808" s="623"/>
      <c r="AM808" s="623"/>
      <c r="AN808" s="623"/>
      <c r="AO808" s="623"/>
      <c r="AP808" s="623"/>
      <c r="AQ808" s="623"/>
      <c r="AR808" s="623"/>
      <c r="AS808" s="623"/>
      <c r="AT808" s="623"/>
      <c r="AU808" s="623"/>
      <c r="AV808" s="623"/>
      <c r="AW808" s="623"/>
      <c r="AX808" s="623"/>
      <c r="AY808" s="623"/>
      <c r="AZ808" s="623"/>
      <c r="BA808" s="623"/>
    </row>
    <row r="809">
      <c r="A809" s="623"/>
      <c r="B809" s="623"/>
      <c r="C809" s="623"/>
      <c r="D809" s="623"/>
      <c r="E809" s="623"/>
      <c r="F809" s="623"/>
      <c r="G809" s="623"/>
      <c r="H809" s="623"/>
      <c r="I809" s="623"/>
      <c r="J809" s="623"/>
      <c r="K809" s="623"/>
      <c r="L809" s="623"/>
      <c r="M809" s="623"/>
      <c r="N809" s="623"/>
      <c r="O809" s="623"/>
      <c r="P809" s="623"/>
      <c r="Q809" s="623"/>
      <c r="R809" s="623"/>
      <c r="S809" s="623"/>
      <c r="T809" s="623"/>
      <c r="U809" s="623"/>
      <c r="V809" s="623"/>
      <c r="W809" s="623"/>
      <c r="X809" s="623"/>
      <c r="Y809" s="623"/>
      <c r="Z809" s="623"/>
      <c r="AA809" s="623"/>
      <c r="AB809" s="623"/>
      <c r="AC809" s="623"/>
      <c r="AD809" s="623"/>
      <c r="AE809" s="623"/>
      <c r="AF809" s="623"/>
      <c r="AG809" s="623"/>
      <c r="AH809" s="623"/>
      <c r="AI809" s="623"/>
      <c r="AJ809" s="623"/>
      <c r="AK809" s="623"/>
      <c r="AL809" s="623"/>
      <c r="AM809" s="623"/>
      <c r="AN809" s="623"/>
      <c r="AO809" s="623"/>
      <c r="AP809" s="623"/>
      <c r="AQ809" s="623"/>
      <c r="AR809" s="623"/>
      <c r="AS809" s="623"/>
      <c r="AT809" s="623"/>
      <c r="AU809" s="623"/>
      <c r="AV809" s="623"/>
      <c r="AW809" s="623"/>
      <c r="AX809" s="623"/>
      <c r="AY809" s="623"/>
      <c r="AZ809" s="623"/>
      <c r="BA809" s="623"/>
    </row>
    <row r="810">
      <c r="A810" s="623"/>
      <c r="B810" s="623"/>
      <c r="C810" s="623"/>
      <c r="D810" s="623"/>
      <c r="E810" s="623"/>
      <c r="F810" s="623"/>
      <c r="G810" s="623"/>
      <c r="H810" s="623"/>
      <c r="I810" s="623"/>
      <c r="J810" s="623"/>
      <c r="K810" s="623"/>
      <c r="L810" s="623"/>
      <c r="M810" s="623"/>
      <c r="N810" s="623"/>
      <c r="O810" s="623"/>
      <c r="P810" s="623"/>
      <c r="Q810" s="623"/>
      <c r="R810" s="623"/>
      <c r="S810" s="623"/>
      <c r="T810" s="623"/>
      <c r="U810" s="623"/>
      <c r="V810" s="623"/>
      <c r="W810" s="623"/>
      <c r="X810" s="623"/>
      <c r="Y810" s="623"/>
      <c r="Z810" s="623"/>
      <c r="AA810" s="623"/>
      <c r="AB810" s="623"/>
      <c r="AC810" s="623"/>
      <c r="AD810" s="623"/>
      <c r="AE810" s="623"/>
      <c r="AF810" s="623"/>
      <c r="AG810" s="623"/>
      <c r="AH810" s="623"/>
      <c r="AI810" s="623"/>
      <c r="AJ810" s="623"/>
      <c r="AK810" s="623"/>
      <c r="AL810" s="623"/>
      <c r="AM810" s="623"/>
      <c r="AN810" s="623"/>
      <c r="AO810" s="623"/>
      <c r="AP810" s="623"/>
      <c r="AQ810" s="623"/>
      <c r="AR810" s="623"/>
      <c r="AS810" s="623"/>
      <c r="AT810" s="623"/>
      <c r="AU810" s="623"/>
      <c r="AV810" s="623"/>
      <c r="AW810" s="623"/>
      <c r="AX810" s="623"/>
      <c r="AY810" s="623"/>
      <c r="AZ810" s="623"/>
      <c r="BA810" s="623"/>
    </row>
    <row r="811">
      <c r="A811" s="623"/>
      <c r="B811" s="623"/>
      <c r="C811" s="623"/>
      <c r="D811" s="623"/>
      <c r="E811" s="623"/>
      <c r="F811" s="623"/>
      <c r="G811" s="623"/>
      <c r="H811" s="623"/>
      <c r="I811" s="623"/>
      <c r="J811" s="623"/>
      <c r="K811" s="623"/>
      <c r="L811" s="623"/>
      <c r="M811" s="623"/>
      <c r="N811" s="623"/>
      <c r="O811" s="623"/>
      <c r="P811" s="623"/>
      <c r="Q811" s="623"/>
      <c r="R811" s="623"/>
      <c r="S811" s="623"/>
      <c r="T811" s="623"/>
      <c r="U811" s="623"/>
      <c r="V811" s="623"/>
      <c r="W811" s="623"/>
      <c r="X811" s="623"/>
      <c r="Y811" s="623"/>
      <c r="Z811" s="623"/>
      <c r="AA811" s="623"/>
      <c r="AB811" s="623"/>
      <c r="AC811" s="623"/>
      <c r="AD811" s="623"/>
      <c r="AE811" s="623"/>
      <c r="AF811" s="623"/>
      <c r="AG811" s="623"/>
      <c r="AH811" s="623"/>
      <c r="AI811" s="623"/>
      <c r="AJ811" s="623"/>
      <c r="AK811" s="623"/>
      <c r="AL811" s="623"/>
      <c r="AM811" s="623"/>
      <c r="AN811" s="623"/>
      <c r="AO811" s="623"/>
      <c r="AP811" s="623"/>
      <c r="AQ811" s="623"/>
      <c r="AR811" s="623"/>
      <c r="AS811" s="623"/>
      <c r="AT811" s="623"/>
      <c r="AU811" s="623"/>
      <c r="AV811" s="623"/>
      <c r="AW811" s="623"/>
      <c r="AX811" s="623"/>
      <c r="AY811" s="623"/>
      <c r="AZ811" s="623"/>
      <c r="BA811" s="623"/>
    </row>
    <row r="812">
      <c r="A812" s="623"/>
      <c r="B812" s="623"/>
      <c r="C812" s="623"/>
      <c r="D812" s="623"/>
      <c r="E812" s="623"/>
      <c r="F812" s="623"/>
      <c r="G812" s="623"/>
      <c r="H812" s="623"/>
      <c r="I812" s="623"/>
      <c r="J812" s="623"/>
      <c r="K812" s="623"/>
      <c r="L812" s="623"/>
      <c r="M812" s="623"/>
      <c r="N812" s="623"/>
      <c r="O812" s="623"/>
      <c r="P812" s="623"/>
      <c r="Q812" s="623"/>
      <c r="R812" s="623"/>
      <c r="S812" s="623"/>
      <c r="T812" s="623"/>
      <c r="U812" s="623"/>
      <c r="V812" s="623"/>
      <c r="W812" s="623"/>
      <c r="X812" s="623"/>
      <c r="Y812" s="623"/>
      <c r="Z812" s="623"/>
      <c r="AA812" s="623"/>
      <c r="AB812" s="623"/>
      <c r="AC812" s="623"/>
      <c r="AD812" s="623"/>
      <c r="AE812" s="623"/>
      <c r="AF812" s="623"/>
      <c r="AG812" s="623"/>
      <c r="AH812" s="623"/>
      <c r="AI812" s="623"/>
      <c r="AJ812" s="623"/>
      <c r="AK812" s="623"/>
      <c r="AL812" s="623"/>
      <c r="AM812" s="623"/>
      <c r="AN812" s="623"/>
      <c r="AO812" s="623"/>
      <c r="AP812" s="623"/>
      <c r="AQ812" s="623"/>
      <c r="AR812" s="623"/>
      <c r="AS812" s="623"/>
      <c r="AT812" s="623"/>
      <c r="AU812" s="623"/>
      <c r="AV812" s="623"/>
      <c r="AW812" s="623"/>
      <c r="AX812" s="623"/>
      <c r="AY812" s="623"/>
      <c r="AZ812" s="623"/>
      <c r="BA812" s="623"/>
    </row>
    <row r="813">
      <c r="A813" s="623"/>
      <c r="B813" s="623"/>
      <c r="C813" s="623"/>
      <c r="D813" s="623"/>
      <c r="E813" s="623"/>
      <c r="F813" s="623"/>
      <c r="G813" s="623"/>
      <c r="H813" s="623"/>
      <c r="I813" s="623"/>
      <c r="J813" s="623"/>
      <c r="K813" s="623"/>
      <c r="L813" s="623"/>
      <c r="M813" s="623"/>
      <c r="N813" s="623"/>
      <c r="O813" s="623"/>
      <c r="P813" s="623"/>
      <c r="Q813" s="623"/>
      <c r="R813" s="623"/>
      <c r="S813" s="623"/>
      <c r="T813" s="623"/>
      <c r="U813" s="623"/>
      <c r="V813" s="623"/>
      <c r="W813" s="623"/>
      <c r="X813" s="623"/>
      <c r="Y813" s="623"/>
      <c r="Z813" s="623"/>
      <c r="AA813" s="623"/>
      <c r="AB813" s="623"/>
      <c r="AC813" s="623"/>
      <c r="AD813" s="623"/>
      <c r="AE813" s="623"/>
      <c r="AF813" s="623"/>
      <c r="AG813" s="623"/>
      <c r="AH813" s="623"/>
      <c r="AI813" s="623"/>
      <c r="AJ813" s="623"/>
      <c r="AK813" s="623"/>
      <c r="AL813" s="623"/>
      <c r="AM813" s="623"/>
      <c r="AN813" s="623"/>
      <c r="AO813" s="623"/>
      <c r="AP813" s="623"/>
      <c r="AQ813" s="623"/>
      <c r="AR813" s="623"/>
      <c r="AS813" s="623"/>
      <c r="AT813" s="623"/>
      <c r="AU813" s="623"/>
      <c r="AV813" s="623"/>
      <c r="AW813" s="623"/>
      <c r="AX813" s="623"/>
      <c r="AY813" s="623"/>
      <c r="AZ813" s="623"/>
      <c r="BA813" s="623"/>
    </row>
    <row r="814">
      <c r="A814" s="623"/>
      <c r="B814" s="623"/>
      <c r="C814" s="623"/>
      <c r="D814" s="623"/>
      <c r="E814" s="623"/>
      <c r="F814" s="623"/>
      <c r="G814" s="623"/>
      <c r="H814" s="623"/>
      <c r="I814" s="623"/>
      <c r="J814" s="623"/>
      <c r="K814" s="623"/>
      <c r="L814" s="623"/>
      <c r="M814" s="623"/>
      <c r="N814" s="623"/>
      <c r="O814" s="623"/>
      <c r="P814" s="623"/>
      <c r="Q814" s="623"/>
      <c r="R814" s="623"/>
      <c r="S814" s="623"/>
      <c r="T814" s="623"/>
      <c r="U814" s="623"/>
      <c r="V814" s="623"/>
      <c r="W814" s="623"/>
      <c r="X814" s="623"/>
      <c r="Y814" s="623"/>
      <c r="Z814" s="623"/>
      <c r="AA814" s="623"/>
      <c r="AB814" s="623"/>
      <c r="AC814" s="623"/>
      <c r="AD814" s="623"/>
      <c r="AE814" s="623"/>
      <c r="AF814" s="623"/>
      <c r="AG814" s="623"/>
      <c r="AH814" s="623"/>
      <c r="AI814" s="623"/>
      <c r="AJ814" s="623"/>
      <c r="AK814" s="623"/>
      <c r="AL814" s="623"/>
      <c r="AM814" s="623"/>
      <c r="AN814" s="623"/>
      <c r="AO814" s="623"/>
      <c r="AP814" s="623"/>
      <c r="AQ814" s="623"/>
      <c r="AR814" s="623"/>
      <c r="AS814" s="623"/>
      <c r="AT814" s="623"/>
      <c r="AU814" s="623"/>
      <c r="AV814" s="623"/>
      <c r="AW814" s="623"/>
      <c r="AX814" s="623"/>
      <c r="AY814" s="623"/>
      <c r="AZ814" s="623"/>
      <c r="BA814" s="623"/>
    </row>
    <row r="815">
      <c r="A815" s="623"/>
      <c r="B815" s="623"/>
      <c r="C815" s="623"/>
      <c r="D815" s="623"/>
      <c r="E815" s="623"/>
      <c r="F815" s="623"/>
      <c r="G815" s="623"/>
      <c r="H815" s="623"/>
      <c r="I815" s="623"/>
      <c r="J815" s="623"/>
      <c r="K815" s="623"/>
      <c r="L815" s="623"/>
      <c r="M815" s="623"/>
      <c r="N815" s="623"/>
      <c r="O815" s="623"/>
      <c r="P815" s="623"/>
      <c r="Q815" s="623"/>
      <c r="R815" s="623"/>
      <c r="S815" s="623"/>
      <c r="T815" s="623"/>
      <c r="U815" s="623"/>
      <c r="V815" s="623"/>
      <c r="W815" s="623"/>
      <c r="X815" s="623"/>
      <c r="Y815" s="623"/>
      <c r="Z815" s="623"/>
      <c r="AA815" s="623"/>
      <c r="AB815" s="623"/>
      <c r="AC815" s="623"/>
      <c r="AD815" s="623"/>
      <c r="AE815" s="623"/>
      <c r="AF815" s="623"/>
      <c r="AG815" s="623"/>
      <c r="AH815" s="623"/>
      <c r="AI815" s="623"/>
      <c r="AJ815" s="623"/>
      <c r="AK815" s="623"/>
      <c r="AL815" s="623"/>
      <c r="AM815" s="623"/>
      <c r="AN815" s="623"/>
      <c r="AO815" s="623"/>
      <c r="AP815" s="623"/>
      <c r="AQ815" s="623"/>
      <c r="AR815" s="623"/>
      <c r="AS815" s="623"/>
      <c r="AT815" s="623"/>
      <c r="AU815" s="623"/>
      <c r="AV815" s="623"/>
      <c r="AW815" s="623"/>
      <c r="AX815" s="623"/>
      <c r="AY815" s="623"/>
      <c r="AZ815" s="623"/>
      <c r="BA815" s="623"/>
    </row>
    <row r="816">
      <c r="A816" s="623"/>
      <c r="B816" s="623"/>
      <c r="C816" s="623"/>
      <c r="D816" s="623"/>
      <c r="E816" s="623"/>
      <c r="F816" s="623"/>
      <c r="G816" s="623"/>
      <c r="H816" s="623"/>
      <c r="I816" s="623"/>
      <c r="J816" s="623"/>
      <c r="K816" s="623"/>
      <c r="L816" s="623"/>
      <c r="M816" s="623"/>
      <c r="N816" s="623"/>
      <c r="O816" s="623"/>
      <c r="P816" s="623"/>
      <c r="Q816" s="623"/>
      <c r="R816" s="623"/>
      <c r="S816" s="623"/>
      <c r="T816" s="623"/>
      <c r="U816" s="623"/>
      <c r="V816" s="623"/>
      <c r="W816" s="623"/>
      <c r="X816" s="623"/>
      <c r="Y816" s="623"/>
      <c r="Z816" s="623"/>
      <c r="AA816" s="623"/>
      <c r="AB816" s="623"/>
      <c r="AC816" s="623"/>
      <c r="AD816" s="623"/>
      <c r="AE816" s="623"/>
      <c r="AF816" s="623"/>
      <c r="AG816" s="623"/>
      <c r="AH816" s="623"/>
      <c r="AI816" s="623"/>
      <c r="AJ816" s="623"/>
      <c r="AK816" s="623"/>
      <c r="AL816" s="623"/>
      <c r="AM816" s="623"/>
      <c r="AN816" s="623"/>
      <c r="AO816" s="623"/>
      <c r="AP816" s="623"/>
      <c r="AQ816" s="623"/>
      <c r="AR816" s="623"/>
      <c r="AS816" s="623"/>
      <c r="AT816" s="623"/>
      <c r="AU816" s="623"/>
      <c r="AV816" s="623"/>
      <c r="AW816" s="623"/>
      <c r="AX816" s="623"/>
      <c r="AY816" s="623"/>
      <c r="AZ816" s="623"/>
      <c r="BA816" s="623"/>
    </row>
    <row r="817">
      <c r="A817" s="623"/>
      <c r="B817" s="623"/>
      <c r="C817" s="623"/>
      <c r="D817" s="623"/>
      <c r="E817" s="623"/>
      <c r="F817" s="623"/>
      <c r="G817" s="623"/>
      <c r="H817" s="623"/>
      <c r="I817" s="623"/>
      <c r="J817" s="623"/>
      <c r="K817" s="623"/>
      <c r="L817" s="623"/>
      <c r="M817" s="623"/>
      <c r="N817" s="623"/>
      <c r="O817" s="623"/>
      <c r="P817" s="623"/>
      <c r="Q817" s="623"/>
      <c r="R817" s="623"/>
      <c r="S817" s="623"/>
      <c r="T817" s="623"/>
      <c r="U817" s="623"/>
      <c r="V817" s="623"/>
      <c r="W817" s="623"/>
      <c r="X817" s="623"/>
      <c r="Y817" s="623"/>
      <c r="Z817" s="623"/>
      <c r="AA817" s="623"/>
      <c r="AB817" s="623"/>
      <c r="AC817" s="623"/>
      <c r="AD817" s="623"/>
      <c r="AE817" s="623"/>
      <c r="AF817" s="623"/>
      <c r="AG817" s="623"/>
      <c r="AH817" s="623"/>
      <c r="AI817" s="623"/>
      <c r="AJ817" s="623"/>
      <c r="AK817" s="623"/>
      <c r="AL817" s="623"/>
      <c r="AM817" s="623"/>
      <c r="AN817" s="623"/>
      <c r="AO817" s="623"/>
      <c r="AP817" s="623"/>
      <c r="AQ817" s="623"/>
      <c r="AR817" s="623"/>
      <c r="AS817" s="623"/>
      <c r="AT817" s="623"/>
      <c r="AU817" s="623"/>
      <c r="AV817" s="623"/>
      <c r="AW817" s="623"/>
      <c r="AX817" s="623"/>
      <c r="AY817" s="623"/>
      <c r="AZ817" s="623"/>
      <c r="BA817" s="623"/>
    </row>
    <row r="818">
      <c r="A818" s="623"/>
      <c r="B818" s="623"/>
      <c r="C818" s="623"/>
      <c r="D818" s="623"/>
      <c r="E818" s="623"/>
      <c r="F818" s="623"/>
      <c r="G818" s="623"/>
      <c r="H818" s="623"/>
      <c r="I818" s="623"/>
      <c r="J818" s="623"/>
      <c r="K818" s="623"/>
      <c r="L818" s="623"/>
      <c r="M818" s="623"/>
      <c r="N818" s="623"/>
      <c r="O818" s="623"/>
      <c r="P818" s="623"/>
      <c r="Q818" s="623"/>
      <c r="R818" s="623"/>
      <c r="S818" s="623"/>
      <c r="T818" s="623"/>
      <c r="U818" s="623"/>
      <c r="V818" s="623"/>
      <c r="W818" s="623"/>
      <c r="X818" s="623"/>
      <c r="Y818" s="623"/>
      <c r="Z818" s="623"/>
      <c r="AA818" s="623"/>
      <c r="AB818" s="623"/>
      <c r="AC818" s="623"/>
      <c r="AD818" s="623"/>
      <c r="AE818" s="623"/>
      <c r="AF818" s="623"/>
      <c r="AG818" s="623"/>
      <c r="AH818" s="623"/>
      <c r="AI818" s="623"/>
      <c r="AJ818" s="623"/>
      <c r="AK818" s="623"/>
      <c r="AL818" s="623"/>
      <c r="AM818" s="623"/>
      <c r="AN818" s="623"/>
      <c r="AO818" s="623"/>
      <c r="AP818" s="623"/>
      <c r="AQ818" s="623"/>
      <c r="AR818" s="623"/>
      <c r="AS818" s="623"/>
      <c r="AT818" s="623"/>
      <c r="AU818" s="623"/>
      <c r="AV818" s="623"/>
      <c r="AW818" s="623"/>
      <c r="AX818" s="623"/>
      <c r="AY818" s="623"/>
      <c r="AZ818" s="623"/>
      <c r="BA818" s="623"/>
    </row>
    <row r="819">
      <c r="A819" s="623"/>
      <c r="B819" s="623"/>
      <c r="C819" s="623"/>
      <c r="D819" s="623"/>
      <c r="E819" s="623"/>
      <c r="F819" s="623"/>
      <c r="G819" s="623"/>
      <c r="H819" s="623"/>
      <c r="I819" s="623"/>
      <c r="J819" s="623"/>
      <c r="K819" s="623"/>
      <c r="L819" s="623"/>
      <c r="M819" s="623"/>
      <c r="N819" s="623"/>
      <c r="O819" s="623"/>
      <c r="P819" s="623"/>
      <c r="Q819" s="623"/>
      <c r="R819" s="623"/>
      <c r="S819" s="623"/>
      <c r="T819" s="623"/>
      <c r="U819" s="623"/>
      <c r="V819" s="623"/>
      <c r="W819" s="623"/>
      <c r="X819" s="623"/>
      <c r="Y819" s="623"/>
      <c r="Z819" s="623"/>
      <c r="AA819" s="623"/>
      <c r="AB819" s="623"/>
      <c r="AC819" s="623"/>
      <c r="AD819" s="623"/>
      <c r="AE819" s="623"/>
      <c r="AF819" s="623"/>
      <c r="AG819" s="623"/>
      <c r="AH819" s="623"/>
      <c r="AI819" s="623"/>
      <c r="AJ819" s="623"/>
      <c r="AK819" s="623"/>
      <c r="AL819" s="623"/>
      <c r="AM819" s="623"/>
      <c r="AN819" s="623"/>
      <c r="AO819" s="623"/>
      <c r="AP819" s="623"/>
      <c r="AQ819" s="623"/>
      <c r="AR819" s="623"/>
      <c r="AS819" s="623"/>
      <c r="AT819" s="623"/>
      <c r="AU819" s="623"/>
      <c r="AV819" s="623"/>
      <c r="AW819" s="623"/>
      <c r="AX819" s="623"/>
      <c r="AY819" s="623"/>
      <c r="AZ819" s="623"/>
      <c r="BA819" s="623"/>
    </row>
    <row r="820">
      <c r="A820" s="623"/>
      <c r="B820" s="623"/>
      <c r="C820" s="623"/>
      <c r="D820" s="623"/>
      <c r="E820" s="623"/>
      <c r="F820" s="623"/>
      <c r="G820" s="623"/>
      <c r="H820" s="623"/>
      <c r="I820" s="623"/>
      <c r="J820" s="623"/>
      <c r="K820" s="623"/>
      <c r="L820" s="623"/>
      <c r="M820" s="623"/>
      <c r="N820" s="623"/>
      <c r="O820" s="623"/>
      <c r="P820" s="623"/>
      <c r="Q820" s="623"/>
      <c r="R820" s="623"/>
      <c r="S820" s="623"/>
      <c r="T820" s="623"/>
      <c r="U820" s="623"/>
      <c r="V820" s="623"/>
      <c r="W820" s="623"/>
      <c r="X820" s="623"/>
      <c r="Y820" s="623"/>
      <c r="Z820" s="623"/>
      <c r="AA820" s="623"/>
      <c r="AB820" s="623"/>
      <c r="AC820" s="623"/>
      <c r="AD820" s="623"/>
      <c r="AE820" s="623"/>
      <c r="AF820" s="623"/>
      <c r="AG820" s="623"/>
      <c r="AH820" s="623"/>
      <c r="AI820" s="623"/>
      <c r="AJ820" s="623"/>
      <c r="AK820" s="623"/>
      <c r="AL820" s="623"/>
      <c r="AM820" s="623"/>
      <c r="AN820" s="623"/>
      <c r="AO820" s="623"/>
      <c r="AP820" s="623"/>
      <c r="AQ820" s="623"/>
      <c r="AR820" s="623"/>
      <c r="AS820" s="623"/>
      <c r="AT820" s="623"/>
      <c r="AU820" s="623"/>
      <c r="AV820" s="623"/>
      <c r="AW820" s="623"/>
      <c r="AX820" s="623"/>
      <c r="AY820" s="623"/>
      <c r="AZ820" s="623"/>
      <c r="BA820" s="623"/>
    </row>
    <row r="821">
      <c r="A821" s="623"/>
      <c r="B821" s="623"/>
      <c r="C821" s="623"/>
      <c r="D821" s="623"/>
      <c r="E821" s="623"/>
      <c r="F821" s="623"/>
      <c r="G821" s="623"/>
      <c r="H821" s="623"/>
      <c r="I821" s="623"/>
      <c r="J821" s="623"/>
      <c r="K821" s="623"/>
      <c r="L821" s="623"/>
      <c r="M821" s="623"/>
      <c r="N821" s="623"/>
      <c r="O821" s="623"/>
      <c r="P821" s="623"/>
      <c r="Q821" s="623"/>
      <c r="R821" s="623"/>
      <c r="S821" s="623"/>
      <c r="T821" s="623"/>
      <c r="U821" s="623"/>
      <c r="V821" s="623"/>
      <c r="W821" s="623"/>
      <c r="X821" s="623"/>
      <c r="Y821" s="623"/>
      <c r="Z821" s="623"/>
      <c r="AA821" s="623"/>
      <c r="AB821" s="623"/>
      <c r="AC821" s="623"/>
      <c r="AD821" s="623"/>
      <c r="AE821" s="623"/>
      <c r="AF821" s="623"/>
      <c r="AG821" s="623"/>
      <c r="AH821" s="623"/>
      <c r="AI821" s="623"/>
      <c r="AJ821" s="623"/>
      <c r="AK821" s="623"/>
      <c r="AL821" s="623"/>
      <c r="AM821" s="623"/>
      <c r="AN821" s="623"/>
      <c r="AO821" s="623"/>
      <c r="AP821" s="623"/>
      <c r="AQ821" s="623"/>
      <c r="AR821" s="623"/>
      <c r="AS821" s="623"/>
      <c r="AT821" s="623"/>
      <c r="AU821" s="623"/>
      <c r="AV821" s="623"/>
      <c r="AW821" s="623"/>
      <c r="AX821" s="623"/>
      <c r="AY821" s="623"/>
      <c r="AZ821" s="623"/>
      <c r="BA821" s="623"/>
    </row>
    <row r="822">
      <c r="A822" s="623"/>
      <c r="B822" s="623"/>
      <c r="C822" s="623"/>
      <c r="D822" s="623"/>
      <c r="E822" s="623"/>
      <c r="F822" s="623"/>
      <c r="G822" s="623"/>
      <c r="H822" s="623"/>
      <c r="I822" s="623"/>
      <c r="J822" s="623"/>
      <c r="K822" s="623"/>
      <c r="L822" s="623"/>
      <c r="M822" s="623"/>
      <c r="N822" s="623"/>
      <c r="O822" s="623"/>
      <c r="P822" s="623"/>
      <c r="Q822" s="623"/>
      <c r="R822" s="623"/>
      <c r="S822" s="623"/>
      <c r="T822" s="623"/>
      <c r="U822" s="623"/>
      <c r="V822" s="623"/>
      <c r="W822" s="623"/>
      <c r="X822" s="623"/>
      <c r="Y822" s="623"/>
      <c r="Z822" s="623"/>
      <c r="AA822" s="623"/>
      <c r="AB822" s="623"/>
      <c r="AC822" s="623"/>
      <c r="AD822" s="623"/>
      <c r="AE822" s="623"/>
      <c r="AF822" s="623"/>
      <c r="AG822" s="623"/>
      <c r="AH822" s="623"/>
      <c r="AI822" s="623"/>
      <c r="AJ822" s="623"/>
      <c r="AK822" s="623"/>
      <c r="AL822" s="623"/>
      <c r="AM822" s="623"/>
      <c r="AN822" s="623"/>
      <c r="AO822" s="623"/>
      <c r="AP822" s="623"/>
      <c r="AQ822" s="623"/>
      <c r="AR822" s="623"/>
      <c r="AS822" s="623"/>
      <c r="AT822" s="623"/>
      <c r="AU822" s="623"/>
      <c r="AV822" s="623"/>
      <c r="AW822" s="623"/>
      <c r="AX822" s="623"/>
      <c r="AY822" s="623"/>
      <c r="AZ822" s="623"/>
      <c r="BA822" s="623"/>
    </row>
    <row r="823">
      <c r="A823" s="623"/>
      <c r="B823" s="623"/>
      <c r="C823" s="623"/>
      <c r="D823" s="623"/>
      <c r="E823" s="623"/>
      <c r="F823" s="623"/>
      <c r="G823" s="623"/>
      <c r="H823" s="623"/>
      <c r="I823" s="623"/>
      <c r="J823" s="623"/>
      <c r="K823" s="623"/>
      <c r="L823" s="623"/>
      <c r="M823" s="623"/>
      <c r="N823" s="623"/>
      <c r="O823" s="623"/>
      <c r="P823" s="623"/>
      <c r="Q823" s="623"/>
      <c r="R823" s="623"/>
      <c r="S823" s="623"/>
      <c r="T823" s="623"/>
      <c r="U823" s="623"/>
      <c r="V823" s="623"/>
      <c r="W823" s="623"/>
      <c r="X823" s="623"/>
      <c r="Y823" s="623"/>
      <c r="Z823" s="623"/>
      <c r="AA823" s="623"/>
      <c r="AB823" s="623"/>
      <c r="AC823" s="623"/>
      <c r="AD823" s="623"/>
      <c r="AE823" s="623"/>
      <c r="AF823" s="623"/>
      <c r="AG823" s="623"/>
      <c r="AH823" s="623"/>
      <c r="AI823" s="623"/>
      <c r="AJ823" s="623"/>
      <c r="AK823" s="623"/>
      <c r="AL823" s="623"/>
      <c r="AM823" s="623"/>
      <c r="AN823" s="623"/>
      <c r="AO823" s="623"/>
      <c r="AP823" s="623"/>
      <c r="AQ823" s="623"/>
      <c r="AR823" s="623"/>
      <c r="AS823" s="623"/>
      <c r="AT823" s="623"/>
      <c r="AU823" s="623"/>
      <c r="AV823" s="623"/>
      <c r="AW823" s="623"/>
      <c r="AX823" s="623"/>
      <c r="AY823" s="623"/>
      <c r="AZ823" s="623"/>
      <c r="BA823" s="623"/>
    </row>
    <row r="824">
      <c r="A824" s="623"/>
      <c r="B824" s="623"/>
      <c r="C824" s="623"/>
      <c r="D824" s="623"/>
      <c r="E824" s="623"/>
      <c r="F824" s="623"/>
      <c r="G824" s="623"/>
      <c r="H824" s="623"/>
      <c r="I824" s="623"/>
      <c r="J824" s="623"/>
      <c r="K824" s="623"/>
      <c r="L824" s="623"/>
      <c r="M824" s="623"/>
      <c r="N824" s="623"/>
      <c r="O824" s="623"/>
      <c r="P824" s="623"/>
      <c r="Q824" s="623"/>
      <c r="R824" s="623"/>
      <c r="S824" s="623"/>
      <c r="T824" s="623"/>
      <c r="U824" s="623"/>
      <c r="V824" s="623"/>
      <c r="W824" s="623"/>
      <c r="X824" s="623"/>
      <c r="Y824" s="623"/>
      <c r="Z824" s="623"/>
      <c r="AA824" s="623"/>
      <c r="AB824" s="623"/>
      <c r="AC824" s="623"/>
      <c r="AD824" s="623"/>
      <c r="AE824" s="623"/>
      <c r="AF824" s="623"/>
      <c r="AG824" s="623"/>
      <c r="AH824" s="623"/>
      <c r="AI824" s="623"/>
      <c r="AJ824" s="623"/>
      <c r="AK824" s="623"/>
      <c r="AL824" s="623"/>
      <c r="AM824" s="623"/>
      <c r="AN824" s="623"/>
      <c r="AO824" s="623"/>
      <c r="AP824" s="623"/>
      <c r="AQ824" s="623"/>
      <c r="AR824" s="623"/>
      <c r="AS824" s="623"/>
      <c r="AT824" s="623"/>
      <c r="AU824" s="623"/>
      <c r="AV824" s="623"/>
      <c r="AW824" s="623"/>
      <c r="AX824" s="623"/>
      <c r="AY824" s="623"/>
      <c r="AZ824" s="623"/>
      <c r="BA824" s="623"/>
    </row>
    <row r="825">
      <c r="A825" s="623"/>
      <c r="B825" s="623"/>
      <c r="C825" s="623"/>
      <c r="D825" s="623"/>
      <c r="E825" s="623"/>
      <c r="F825" s="623"/>
      <c r="G825" s="623"/>
      <c r="H825" s="623"/>
      <c r="I825" s="623"/>
      <c r="J825" s="623"/>
      <c r="K825" s="623"/>
      <c r="L825" s="623"/>
      <c r="M825" s="623"/>
      <c r="N825" s="623"/>
      <c r="O825" s="623"/>
      <c r="P825" s="623"/>
      <c r="Q825" s="623"/>
      <c r="R825" s="623"/>
      <c r="S825" s="623"/>
      <c r="T825" s="623"/>
      <c r="U825" s="623"/>
      <c r="V825" s="623"/>
      <c r="W825" s="623"/>
      <c r="X825" s="623"/>
      <c r="Y825" s="623"/>
      <c r="Z825" s="623"/>
      <c r="AA825" s="623"/>
      <c r="AB825" s="623"/>
      <c r="AC825" s="623"/>
      <c r="AD825" s="623"/>
      <c r="AE825" s="623"/>
      <c r="AF825" s="623"/>
      <c r="AG825" s="623"/>
      <c r="AH825" s="623"/>
      <c r="AI825" s="623"/>
      <c r="AJ825" s="623"/>
      <c r="AK825" s="623"/>
      <c r="AL825" s="623"/>
      <c r="AM825" s="623"/>
      <c r="AN825" s="623"/>
      <c r="AO825" s="623"/>
      <c r="AP825" s="623"/>
      <c r="AQ825" s="623"/>
      <c r="AR825" s="623"/>
      <c r="AS825" s="623"/>
      <c r="AT825" s="623"/>
      <c r="AU825" s="623"/>
      <c r="AV825" s="623"/>
      <c r="AW825" s="623"/>
      <c r="AX825" s="623"/>
      <c r="AY825" s="623"/>
      <c r="AZ825" s="623"/>
      <c r="BA825" s="623"/>
    </row>
    <row r="826">
      <c r="A826" s="623"/>
      <c r="B826" s="623"/>
      <c r="C826" s="623"/>
      <c r="D826" s="623"/>
      <c r="E826" s="623"/>
      <c r="F826" s="623"/>
      <c r="G826" s="623"/>
      <c r="H826" s="623"/>
      <c r="I826" s="623"/>
      <c r="J826" s="623"/>
      <c r="K826" s="623"/>
      <c r="L826" s="623"/>
      <c r="M826" s="623"/>
      <c r="N826" s="623"/>
      <c r="O826" s="623"/>
      <c r="P826" s="623"/>
      <c r="Q826" s="623"/>
      <c r="R826" s="623"/>
      <c r="S826" s="623"/>
      <c r="T826" s="623"/>
      <c r="U826" s="623"/>
      <c r="V826" s="623"/>
      <c r="W826" s="623"/>
      <c r="X826" s="623"/>
      <c r="Y826" s="623"/>
      <c r="Z826" s="623"/>
      <c r="AA826" s="623"/>
      <c r="AB826" s="623"/>
      <c r="AC826" s="623"/>
      <c r="AD826" s="623"/>
      <c r="AE826" s="623"/>
      <c r="AF826" s="623"/>
      <c r="AG826" s="623"/>
      <c r="AH826" s="623"/>
      <c r="AI826" s="623"/>
      <c r="AJ826" s="623"/>
      <c r="AK826" s="623"/>
      <c r="AL826" s="623"/>
      <c r="AM826" s="623"/>
      <c r="AN826" s="623"/>
      <c r="AO826" s="623"/>
      <c r="AP826" s="623"/>
      <c r="AQ826" s="623"/>
      <c r="AR826" s="623"/>
      <c r="AS826" s="623"/>
      <c r="AT826" s="623"/>
      <c r="AU826" s="623"/>
      <c r="AV826" s="623"/>
      <c r="AW826" s="623"/>
      <c r="AX826" s="623"/>
      <c r="AY826" s="623"/>
      <c r="AZ826" s="623"/>
      <c r="BA826" s="623"/>
    </row>
    <row r="827">
      <c r="A827" s="623"/>
      <c r="B827" s="623"/>
      <c r="C827" s="623"/>
      <c r="D827" s="623"/>
      <c r="E827" s="623"/>
      <c r="F827" s="623"/>
      <c r="G827" s="623"/>
      <c r="H827" s="623"/>
      <c r="I827" s="623"/>
      <c r="J827" s="623"/>
      <c r="K827" s="623"/>
      <c r="L827" s="623"/>
      <c r="M827" s="623"/>
      <c r="N827" s="623"/>
      <c r="O827" s="623"/>
      <c r="P827" s="623"/>
      <c r="Q827" s="623"/>
      <c r="R827" s="623"/>
      <c r="S827" s="623"/>
      <c r="T827" s="623"/>
      <c r="U827" s="623"/>
      <c r="V827" s="623"/>
      <c r="W827" s="623"/>
      <c r="X827" s="623"/>
      <c r="Y827" s="623"/>
      <c r="Z827" s="623"/>
      <c r="AA827" s="623"/>
      <c r="AB827" s="623"/>
      <c r="AC827" s="623"/>
      <c r="AD827" s="623"/>
      <c r="AE827" s="623"/>
      <c r="AF827" s="623"/>
      <c r="AG827" s="623"/>
      <c r="AH827" s="623"/>
      <c r="AI827" s="623"/>
      <c r="AJ827" s="623"/>
      <c r="AK827" s="623"/>
      <c r="AL827" s="623"/>
      <c r="AM827" s="623"/>
      <c r="AN827" s="623"/>
      <c r="AO827" s="623"/>
      <c r="AP827" s="623"/>
      <c r="AQ827" s="623"/>
      <c r="AR827" s="623"/>
      <c r="AS827" s="623"/>
      <c r="AT827" s="623"/>
      <c r="AU827" s="623"/>
      <c r="AV827" s="623"/>
      <c r="AW827" s="623"/>
      <c r="AX827" s="623"/>
      <c r="AY827" s="623"/>
      <c r="AZ827" s="623"/>
      <c r="BA827" s="623"/>
    </row>
    <row r="828">
      <c r="A828" s="623"/>
      <c r="B828" s="623"/>
      <c r="C828" s="623"/>
      <c r="D828" s="623"/>
      <c r="E828" s="623"/>
      <c r="F828" s="623"/>
      <c r="G828" s="623"/>
      <c r="H828" s="623"/>
      <c r="I828" s="623"/>
      <c r="J828" s="623"/>
      <c r="K828" s="623"/>
      <c r="L828" s="623"/>
      <c r="M828" s="623"/>
      <c r="N828" s="623"/>
      <c r="O828" s="623"/>
      <c r="P828" s="623"/>
      <c r="Q828" s="623"/>
      <c r="R828" s="623"/>
      <c r="S828" s="623"/>
      <c r="T828" s="623"/>
      <c r="U828" s="623"/>
      <c r="V828" s="623"/>
      <c r="W828" s="623"/>
      <c r="X828" s="623"/>
      <c r="Y828" s="623"/>
      <c r="Z828" s="623"/>
      <c r="AA828" s="623"/>
      <c r="AB828" s="623"/>
      <c r="AC828" s="623"/>
      <c r="AD828" s="623"/>
      <c r="AE828" s="623"/>
      <c r="AF828" s="623"/>
      <c r="AG828" s="623"/>
      <c r="AH828" s="623"/>
      <c r="AI828" s="623"/>
      <c r="AJ828" s="623"/>
      <c r="AK828" s="623"/>
      <c r="AL828" s="623"/>
      <c r="AM828" s="623"/>
      <c r="AN828" s="623"/>
      <c r="AO828" s="623"/>
      <c r="AP828" s="623"/>
      <c r="AQ828" s="623"/>
      <c r="AR828" s="623"/>
      <c r="AS828" s="623"/>
      <c r="AT828" s="623"/>
      <c r="AU828" s="623"/>
      <c r="AV828" s="623"/>
      <c r="AW828" s="623"/>
      <c r="AX828" s="623"/>
      <c r="AY828" s="623"/>
      <c r="AZ828" s="623"/>
      <c r="BA828" s="623"/>
    </row>
    <row r="829">
      <c r="A829" s="623"/>
      <c r="B829" s="623"/>
      <c r="C829" s="623"/>
      <c r="D829" s="623"/>
      <c r="E829" s="623"/>
      <c r="F829" s="623"/>
      <c r="G829" s="623"/>
      <c r="H829" s="623"/>
      <c r="I829" s="623"/>
      <c r="J829" s="623"/>
      <c r="K829" s="623"/>
      <c r="L829" s="623"/>
      <c r="M829" s="623"/>
      <c r="N829" s="623"/>
      <c r="O829" s="623"/>
      <c r="P829" s="623"/>
      <c r="Q829" s="623"/>
      <c r="R829" s="623"/>
      <c r="S829" s="623"/>
      <c r="T829" s="623"/>
      <c r="U829" s="623"/>
      <c r="V829" s="623"/>
      <c r="W829" s="623"/>
      <c r="X829" s="623"/>
      <c r="Y829" s="623"/>
      <c r="Z829" s="623"/>
      <c r="AA829" s="623"/>
      <c r="AB829" s="623"/>
      <c r="AC829" s="623"/>
      <c r="AD829" s="623"/>
      <c r="AE829" s="623"/>
      <c r="AF829" s="623"/>
      <c r="AG829" s="623"/>
      <c r="AH829" s="623"/>
      <c r="AI829" s="623"/>
      <c r="AJ829" s="623"/>
      <c r="AK829" s="623"/>
      <c r="AL829" s="623"/>
      <c r="AM829" s="623"/>
      <c r="AN829" s="623"/>
      <c r="AO829" s="623"/>
      <c r="AP829" s="623"/>
      <c r="AQ829" s="623"/>
      <c r="AR829" s="623"/>
      <c r="AS829" s="623"/>
      <c r="AT829" s="623"/>
      <c r="AU829" s="623"/>
      <c r="AV829" s="623"/>
      <c r="AW829" s="623"/>
      <c r="AX829" s="623"/>
      <c r="AY829" s="623"/>
      <c r="AZ829" s="623"/>
      <c r="BA829" s="623"/>
    </row>
    <row r="830">
      <c r="A830" s="623"/>
      <c r="B830" s="623"/>
      <c r="C830" s="623"/>
      <c r="D830" s="623"/>
      <c r="E830" s="623"/>
      <c r="F830" s="623"/>
      <c r="G830" s="623"/>
      <c r="H830" s="623"/>
      <c r="I830" s="623"/>
      <c r="J830" s="623"/>
      <c r="K830" s="623"/>
      <c r="L830" s="623"/>
      <c r="M830" s="623"/>
      <c r="N830" s="623"/>
      <c r="O830" s="623"/>
      <c r="P830" s="623"/>
      <c r="Q830" s="623"/>
      <c r="R830" s="623"/>
      <c r="S830" s="623"/>
      <c r="T830" s="623"/>
      <c r="U830" s="623"/>
      <c r="V830" s="623"/>
      <c r="W830" s="623"/>
      <c r="X830" s="623"/>
      <c r="Y830" s="623"/>
      <c r="Z830" s="623"/>
      <c r="AA830" s="623"/>
      <c r="AB830" s="623"/>
      <c r="AC830" s="623"/>
      <c r="AD830" s="623"/>
      <c r="AE830" s="623"/>
      <c r="AF830" s="623"/>
      <c r="AG830" s="623"/>
      <c r="AH830" s="623"/>
      <c r="AI830" s="623"/>
      <c r="AJ830" s="623"/>
      <c r="AK830" s="623"/>
      <c r="AL830" s="623"/>
      <c r="AM830" s="623"/>
      <c r="AN830" s="623"/>
      <c r="AO830" s="623"/>
      <c r="AP830" s="623"/>
      <c r="AQ830" s="623"/>
      <c r="AR830" s="623"/>
      <c r="AS830" s="623"/>
      <c r="AT830" s="623"/>
      <c r="AU830" s="623"/>
      <c r="AV830" s="623"/>
      <c r="AW830" s="623"/>
      <c r="AX830" s="623"/>
      <c r="AY830" s="623"/>
      <c r="AZ830" s="623"/>
      <c r="BA830" s="623"/>
    </row>
    <row r="831">
      <c r="A831" s="623"/>
      <c r="B831" s="623"/>
      <c r="C831" s="623"/>
      <c r="D831" s="623"/>
      <c r="E831" s="623"/>
      <c r="F831" s="623"/>
      <c r="G831" s="623"/>
      <c r="H831" s="623"/>
      <c r="I831" s="623"/>
      <c r="J831" s="623"/>
      <c r="K831" s="623"/>
      <c r="L831" s="623"/>
      <c r="M831" s="623"/>
      <c r="N831" s="623"/>
      <c r="O831" s="623"/>
      <c r="P831" s="623"/>
      <c r="Q831" s="623"/>
      <c r="R831" s="623"/>
      <c r="S831" s="623"/>
      <c r="T831" s="623"/>
      <c r="U831" s="623"/>
      <c r="V831" s="623"/>
      <c r="W831" s="623"/>
      <c r="X831" s="623"/>
      <c r="Y831" s="623"/>
      <c r="Z831" s="623"/>
      <c r="AA831" s="623"/>
      <c r="AB831" s="623"/>
      <c r="AC831" s="623"/>
      <c r="AD831" s="623"/>
      <c r="AE831" s="623"/>
      <c r="AF831" s="623"/>
      <c r="AG831" s="623"/>
      <c r="AH831" s="623"/>
      <c r="AI831" s="623"/>
      <c r="AJ831" s="623"/>
      <c r="AK831" s="623"/>
      <c r="AL831" s="623"/>
      <c r="AM831" s="623"/>
      <c r="AN831" s="623"/>
      <c r="AO831" s="623"/>
      <c r="AP831" s="623"/>
      <c r="AQ831" s="623"/>
      <c r="AR831" s="623"/>
      <c r="AS831" s="623"/>
      <c r="AT831" s="623"/>
      <c r="AU831" s="623"/>
      <c r="AV831" s="623"/>
      <c r="AW831" s="623"/>
      <c r="AX831" s="623"/>
      <c r="AY831" s="623"/>
      <c r="AZ831" s="623"/>
      <c r="BA831" s="623"/>
    </row>
    <row r="832">
      <c r="A832" s="623"/>
      <c r="B832" s="623"/>
      <c r="C832" s="623"/>
      <c r="D832" s="623"/>
      <c r="E832" s="623"/>
      <c r="F832" s="623"/>
      <c r="G832" s="623"/>
      <c r="H832" s="623"/>
      <c r="I832" s="623"/>
      <c r="J832" s="623"/>
      <c r="K832" s="623"/>
      <c r="L832" s="623"/>
      <c r="M832" s="623"/>
      <c r="N832" s="623"/>
      <c r="O832" s="623"/>
      <c r="P832" s="623"/>
      <c r="Q832" s="623"/>
      <c r="R832" s="623"/>
      <c r="S832" s="623"/>
      <c r="T832" s="623"/>
      <c r="U832" s="623"/>
      <c r="V832" s="623"/>
      <c r="W832" s="623"/>
      <c r="X832" s="623"/>
      <c r="Y832" s="623"/>
      <c r="Z832" s="623"/>
      <c r="AA832" s="623"/>
      <c r="AB832" s="623"/>
      <c r="AC832" s="623"/>
      <c r="AD832" s="623"/>
      <c r="AE832" s="623"/>
      <c r="AF832" s="623"/>
      <c r="AG832" s="623"/>
      <c r="AH832" s="623"/>
      <c r="AI832" s="623"/>
      <c r="AJ832" s="623"/>
      <c r="AK832" s="623"/>
      <c r="AL832" s="623"/>
      <c r="AM832" s="623"/>
      <c r="AN832" s="623"/>
      <c r="AO832" s="623"/>
      <c r="AP832" s="623"/>
      <c r="AQ832" s="623"/>
      <c r="AR832" s="623"/>
      <c r="AS832" s="623"/>
      <c r="AT832" s="623"/>
      <c r="AU832" s="623"/>
      <c r="AV832" s="623"/>
      <c r="AW832" s="623"/>
      <c r="AX832" s="623"/>
      <c r="AY832" s="623"/>
      <c r="AZ832" s="623"/>
      <c r="BA832" s="623"/>
    </row>
    <row r="833">
      <c r="A833" s="623"/>
      <c r="B833" s="623"/>
      <c r="C833" s="623"/>
      <c r="D833" s="623"/>
      <c r="E833" s="623"/>
      <c r="F833" s="623"/>
      <c r="G833" s="623"/>
      <c r="H833" s="623"/>
      <c r="I833" s="623"/>
      <c r="J833" s="623"/>
      <c r="K833" s="623"/>
      <c r="L833" s="623"/>
      <c r="M833" s="623"/>
      <c r="N833" s="623"/>
      <c r="O833" s="623"/>
      <c r="P833" s="623"/>
      <c r="Q833" s="623"/>
      <c r="R833" s="623"/>
      <c r="S833" s="623"/>
      <c r="T833" s="623"/>
      <c r="U833" s="623"/>
      <c r="V833" s="623"/>
      <c r="W833" s="623"/>
      <c r="X833" s="623"/>
      <c r="Y833" s="623"/>
      <c r="Z833" s="623"/>
      <c r="AA833" s="623"/>
      <c r="AB833" s="623"/>
      <c r="AC833" s="623"/>
      <c r="AD833" s="623"/>
      <c r="AE833" s="623"/>
      <c r="AF833" s="623"/>
      <c r="AG833" s="623"/>
      <c r="AH833" s="623"/>
      <c r="AI833" s="623"/>
      <c r="AJ833" s="623"/>
      <c r="AK833" s="623"/>
      <c r="AL833" s="623"/>
      <c r="AM833" s="623"/>
      <c r="AN833" s="623"/>
      <c r="AO833" s="623"/>
      <c r="AP833" s="623"/>
      <c r="AQ833" s="623"/>
      <c r="AR833" s="623"/>
      <c r="AS833" s="623"/>
      <c r="AT833" s="623"/>
      <c r="AU833" s="623"/>
      <c r="AV833" s="623"/>
      <c r="AW833" s="623"/>
      <c r="AX833" s="623"/>
      <c r="AY833" s="623"/>
      <c r="AZ833" s="623"/>
      <c r="BA833" s="623"/>
    </row>
    <row r="834">
      <c r="A834" s="623"/>
      <c r="B834" s="623"/>
      <c r="C834" s="623"/>
      <c r="D834" s="623"/>
      <c r="E834" s="623"/>
      <c r="F834" s="623"/>
      <c r="G834" s="623"/>
      <c r="H834" s="623"/>
      <c r="I834" s="623"/>
      <c r="J834" s="623"/>
      <c r="K834" s="623"/>
      <c r="L834" s="623"/>
      <c r="M834" s="623"/>
      <c r="N834" s="623"/>
      <c r="O834" s="623"/>
      <c r="P834" s="623"/>
      <c r="Q834" s="623"/>
      <c r="R834" s="623"/>
      <c r="S834" s="623"/>
      <c r="T834" s="623"/>
      <c r="U834" s="623"/>
      <c r="V834" s="623"/>
      <c r="W834" s="623"/>
      <c r="X834" s="623"/>
      <c r="Y834" s="623"/>
      <c r="Z834" s="623"/>
      <c r="AA834" s="623"/>
      <c r="AB834" s="623"/>
      <c r="AC834" s="623"/>
      <c r="AD834" s="623"/>
      <c r="AE834" s="623"/>
      <c r="AF834" s="623"/>
      <c r="AG834" s="623"/>
      <c r="AH834" s="623"/>
      <c r="AI834" s="623"/>
      <c r="AJ834" s="623"/>
      <c r="AK834" s="623"/>
      <c r="AL834" s="623"/>
      <c r="AM834" s="623"/>
      <c r="AN834" s="623"/>
      <c r="AO834" s="623"/>
      <c r="AP834" s="623"/>
      <c r="AQ834" s="623"/>
      <c r="AR834" s="623"/>
      <c r="AS834" s="623"/>
      <c r="AT834" s="623"/>
      <c r="AU834" s="623"/>
      <c r="AV834" s="623"/>
      <c r="AW834" s="623"/>
      <c r="AX834" s="623"/>
      <c r="AY834" s="623"/>
      <c r="AZ834" s="623"/>
      <c r="BA834" s="623"/>
    </row>
    <row r="835">
      <c r="A835" s="623"/>
      <c r="B835" s="623"/>
      <c r="C835" s="623"/>
      <c r="D835" s="623"/>
      <c r="E835" s="623"/>
      <c r="F835" s="623"/>
      <c r="G835" s="623"/>
      <c r="H835" s="623"/>
      <c r="I835" s="623"/>
      <c r="J835" s="623"/>
      <c r="K835" s="623"/>
      <c r="L835" s="623"/>
      <c r="M835" s="623"/>
      <c r="N835" s="623"/>
      <c r="O835" s="623"/>
      <c r="P835" s="623"/>
      <c r="Q835" s="623"/>
      <c r="R835" s="623"/>
      <c r="S835" s="623"/>
      <c r="T835" s="623"/>
      <c r="U835" s="623"/>
      <c r="V835" s="623"/>
      <c r="W835" s="623"/>
      <c r="X835" s="623"/>
      <c r="Y835" s="623"/>
      <c r="Z835" s="623"/>
      <c r="AA835" s="623"/>
      <c r="AB835" s="623"/>
      <c r="AC835" s="623"/>
      <c r="AD835" s="623"/>
      <c r="AE835" s="623"/>
      <c r="AF835" s="623"/>
      <c r="AG835" s="623"/>
      <c r="AH835" s="623"/>
      <c r="AI835" s="623"/>
      <c r="AJ835" s="623"/>
      <c r="AK835" s="623"/>
      <c r="AL835" s="623"/>
      <c r="AM835" s="623"/>
      <c r="AN835" s="623"/>
      <c r="AO835" s="623"/>
      <c r="AP835" s="623"/>
      <c r="AQ835" s="623"/>
      <c r="AR835" s="623"/>
      <c r="AS835" s="623"/>
      <c r="AT835" s="623"/>
      <c r="AU835" s="623"/>
      <c r="AV835" s="623"/>
      <c r="AW835" s="623"/>
      <c r="AX835" s="623"/>
      <c r="AY835" s="623"/>
      <c r="AZ835" s="623"/>
      <c r="BA835" s="623"/>
    </row>
    <row r="836">
      <c r="A836" s="623"/>
      <c r="B836" s="623"/>
      <c r="C836" s="623"/>
      <c r="D836" s="623"/>
      <c r="E836" s="623"/>
      <c r="F836" s="623"/>
      <c r="G836" s="623"/>
      <c r="H836" s="623"/>
      <c r="I836" s="623"/>
      <c r="J836" s="623"/>
      <c r="K836" s="623"/>
      <c r="L836" s="623"/>
      <c r="M836" s="623"/>
      <c r="N836" s="623"/>
      <c r="O836" s="623"/>
      <c r="P836" s="623"/>
      <c r="Q836" s="623"/>
      <c r="R836" s="623"/>
      <c r="S836" s="623"/>
      <c r="T836" s="623"/>
      <c r="U836" s="623"/>
      <c r="V836" s="623"/>
      <c r="W836" s="623"/>
      <c r="X836" s="623"/>
      <c r="Y836" s="623"/>
      <c r="Z836" s="623"/>
      <c r="AA836" s="623"/>
      <c r="AB836" s="623"/>
      <c r="AC836" s="623"/>
      <c r="AD836" s="623"/>
      <c r="AE836" s="623"/>
      <c r="AF836" s="623"/>
      <c r="AG836" s="623"/>
      <c r="AH836" s="623"/>
      <c r="AI836" s="623"/>
      <c r="AJ836" s="623"/>
      <c r="AK836" s="623"/>
      <c r="AL836" s="623"/>
      <c r="AM836" s="623"/>
      <c r="AN836" s="623"/>
      <c r="AO836" s="623"/>
      <c r="AP836" s="623"/>
      <c r="AQ836" s="623"/>
      <c r="AR836" s="623"/>
      <c r="AS836" s="623"/>
      <c r="AT836" s="623"/>
      <c r="AU836" s="623"/>
      <c r="AV836" s="623"/>
      <c r="AW836" s="623"/>
      <c r="AX836" s="623"/>
      <c r="AY836" s="623"/>
      <c r="AZ836" s="623"/>
      <c r="BA836" s="623"/>
    </row>
    <row r="837">
      <c r="A837" s="623"/>
      <c r="B837" s="623"/>
      <c r="C837" s="623"/>
      <c r="D837" s="623"/>
      <c r="E837" s="623"/>
      <c r="F837" s="623"/>
      <c r="G837" s="623"/>
      <c r="H837" s="623"/>
      <c r="I837" s="623"/>
      <c r="J837" s="623"/>
      <c r="K837" s="623"/>
      <c r="L837" s="623"/>
      <c r="M837" s="623"/>
      <c r="N837" s="623"/>
      <c r="O837" s="623"/>
      <c r="P837" s="623"/>
      <c r="Q837" s="623"/>
      <c r="R837" s="623"/>
      <c r="S837" s="623"/>
      <c r="T837" s="623"/>
      <c r="U837" s="623"/>
      <c r="V837" s="623"/>
      <c r="W837" s="623"/>
      <c r="X837" s="623"/>
      <c r="Y837" s="623"/>
      <c r="Z837" s="623"/>
      <c r="AA837" s="623"/>
      <c r="AB837" s="623"/>
      <c r="AC837" s="623"/>
      <c r="AD837" s="623"/>
      <c r="AE837" s="623"/>
      <c r="AF837" s="623"/>
      <c r="AG837" s="623"/>
      <c r="AH837" s="623"/>
      <c r="AI837" s="623"/>
      <c r="AJ837" s="623"/>
      <c r="AK837" s="623"/>
      <c r="AL837" s="623"/>
      <c r="AM837" s="623"/>
      <c r="AN837" s="623"/>
      <c r="AO837" s="623"/>
      <c r="AP837" s="623"/>
      <c r="AQ837" s="623"/>
      <c r="AR837" s="623"/>
      <c r="AS837" s="623"/>
      <c r="AT837" s="623"/>
      <c r="AU837" s="623"/>
      <c r="AV837" s="623"/>
      <c r="AW837" s="623"/>
      <c r="AX837" s="623"/>
      <c r="AY837" s="623"/>
      <c r="AZ837" s="623"/>
      <c r="BA837" s="623"/>
    </row>
    <row r="838">
      <c r="A838" s="623"/>
      <c r="B838" s="623"/>
      <c r="C838" s="623"/>
      <c r="D838" s="623"/>
      <c r="E838" s="623"/>
      <c r="F838" s="623"/>
      <c r="G838" s="623"/>
      <c r="H838" s="623"/>
      <c r="I838" s="623"/>
      <c r="J838" s="623"/>
      <c r="K838" s="623"/>
      <c r="L838" s="623"/>
      <c r="M838" s="623"/>
      <c r="N838" s="623"/>
      <c r="O838" s="623"/>
      <c r="P838" s="623"/>
      <c r="Q838" s="623"/>
      <c r="R838" s="623"/>
      <c r="S838" s="623"/>
      <c r="T838" s="623"/>
      <c r="U838" s="623"/>
      <c r="V838" s="623"/>
      <c r="W838" s="623"/>
      <c r="X838" s="623"/>
      <c r="Y838" s="623"/>
      <c r="Z838" s="623"/>
      <c r="AA838" s="623"/>
      <c r="AB838" s="623"/>
      <c r="AC838" s="623"/>
      <c r="AD838" s="623"/>
      <c r="AE838" s="623"/>
      <c r="AF838" s="623"/>
      <c r="AG838" s="623"/>
      <c r="AH838" s="623"/>
      <c r="AI838" s="623"/>
      <c r="AJ838" s="623"/>
      <c r="AK838" s="623"/>
      <c r="AL838" s="623"/>
      <c r="AM838" s="623"/>
      <c r="AN838" s="623"/>
      <c r="AO838" s="623"/>
      <c r="AP838" s="623"/>
      <c r="AQ838" s="623"/>
      <c r="AR838" s="623"/>
      <c r="AS838" s="623"/>
      <c r="AT838" s="623"/>
      <c r="AU838" s="623"/>
      <c r="AV838" s="623"/>
      <c r="AW838" s="623"/>
      <c r="AX838" s="623"/>
      <c r="AY838" s="623"/>
      <c r="AZ838" s="623"/>
      <c r="BA838" s="623"/>
    </row>
    <row r="839">
      <c r="A839" s="623"/>
      <c r="B839" s="623"/>
      <c r="C839" s="623"/>
      <c r="D839" s="623"/>
      <c r="E839" s="623"/>
      <c r="F839" s="623"/>
      <c r="G839" s="623"/>
      <c r="H839" s="623"/>
      <c r="I839" s="623"/>
      <c r="J839" s="623"/>
      <c r="K839" s="623"/>
      <c r="L839" s="623"/>
      <c r="M839" s="623"/>
      <c r="N839" s="623"/>
      <c r="O839" s="623"/>
      <c r="P839" s="623"/>
      <c r="Q839" s="623"/>
      <c r="R839" s="623"/>
      <c r="S839" s="623"/>
      <c r="T839" s="623"/>
      <c r="U839" s="623"/>
      <c r="V839" s="623"/>
      <c r="W839" s="623"/>
      <c r="X839" s="623"/>
      <c r="Y839" s="623"/>
      <c r="Z839" s="623"/>
      <c r="AA839" s="623"/>
      <c r="AB839" s="623"/>
      <c r="AC839" s="623"/>
      <c r="AD839" s="623"/>
      <c r="AE839" s="623"/>
      <c r="AF839" s="623"/>
      <c r="AG839" s="623"/>
      <c r="AH839" s="623"/>
      <c r="AI839" s="623"/>
      <c r="AJ839" s="623"/>
      <c r="AK839" s="623"/>
      <c r="AL839" s="623"/>
      <c r="AM839" s="623"/>
      <c r="AN839" s="623"/>
      <c r="AO839" s="623"/>
      <c r="AP839" s="623"/>
      <c r="AQ839" s="623"/>
      <c r="AR839" s="623"/>
      <c r="AS839" s="623"/>
      <c r="AT839" s="623"/>
      <c r="AU839" s="623"/>
      <c r="AV839" s="623"/>
      <c r="AW839" s="623"/>
      <c r="AX839" s="623"/>
      <c r="AY839" s="623"/>
      <c r="AZ839" s="623"/>
      <c r="BA839" s="623"/>
    </row>
    <row r="840">
      <c r="A840" s="623"/>
      <c r="B840" s="623"/>
      <c r="C840" s="623"/>
      <c r="D840" s="623"/>
      <c r="E840" s="623"/>
      <c r="F840" s="623"/>
      <c r="G840" s="623"/>
      <c r="H840" s="623"/>
      <c r="I840" s="623"/>
      <c r="J840" s="623"/>
      <c r="K840" s="623"/>
      <c r="L840" s="623"/>
      <c r="M840" s="623"/>
      <c r="N840" s="623"/>
      <c r="O840" s="623"/>
      <c r="P840" s="623"/>
      <c r="Q840" s="623"/>
      <c r="R840" s="623"/>
      <c r="S840" s="623"/>
      <c r="T840" s="623"/>
      <c r="U840" s="623"/>
      <c r="V840" s="623"/>
      <c r="W840" s="623"/>
      <c r="X840" s="623"/>
      <c r="Y840" s="623"/>
      <c r="Z840" s="623"/>
      <c r="AA840" s="623"/>
      <c r="AB840" s="623"/>
      <c r="AC840" s="623"/>
      <c r="AD840" s="623"/>
      <c r="AE840" s="623"/>
      <c r="AF840" s="623"/>
      <c r="AG840" s="623"/>
      <c r="AH840" s="623"/>
      <c r="AI840" s="623"/>
      <c r="AJ840" s="623"/>
      <c r="AK840" s="623"/>
      <c r="AL840" s="623"/>
      <c r="AM840" s="623"/>
      <c r="AN840" s="623"/>
      <c r="AO840" s="623"/>
      <c r="AP840" s="623"/>
      <c r="AQ840" s="623"/>
      <c r="AR840" s="623"/>
      <c r="AS840" s="623"/>
      <c r="AT840" s="623"/>
      <c r="AU840" s="623"/>
      <c r="AV840" s="623"/>
      <c r="AW840" s="623"/>
      <c r="AX840" s="623"/>
      <c r="AY840" s="623"/>
      <c r="AZ840" s="623"/>
      <c r="BA840" s="623"/>
    </row>
    <row r="841">
      <c r="A841" s="623"/>
      <c r="B841" s="623"/>
      <c r="C841" s="623"/>
      <c r="D841" s="623"/>
      <c r="E841" s="623"/>
      <c r="F841" s="623"/>
      <c r="G841" s="623"/>
      <c r="H841" s="623"/>
      <c r="I841" s="623"/>
      <c r="J841" s="623"/>
      <c r="K841" s="623"/>
      <c r="L841" s="623"/>
      <c r="M841" s="623"/>
      <c r="N841" s="623"/>
      <c r="O841" s="623"/>
      <c r="P841" s="623"/>
      <c r="Q841" s="623"/>
      <c r="R841" s="623"/>
      <c r="S841" s="623"/>
      <c r="T841" s="623"/>
      <c r="U841" s="623"/>
      <c r="V841" s="623"/>
      <c r="W841" s="623"/>
      <c r="X841" s="623"/>
      <c r="Y841" s="623"/>
      <c r="Z841" s="623"/>
      <c r="AA841" s="623"/>
      <c r="AB841" s="623"/>
      <c r="AC841" s="623"/>
      <c r="AD841" s="623"/>
      <c r="AE841" s="623"/>
      <c r="AF841" s="623"/>
      <c r="AG841" s="623"/>
      <c r="AH841" s="623"/>
      <c r="AI841" s="623"/>
      <c r="AJ841" s="623"/>
      <c r="AK841" s="623"/>
      <c r="AL841" s="623"/>
      <c r="AM841" s="623"/>
      <c r="AN841" s="623"/>
      <c r="AO841" s="623"/>
      <c r="AP841" s="623"/>
      <c r="AQ841" s="623"/>
      <c r="AR841" s="623"/>
      <c r="AS841" s="623"/>
      <c r="AT841" s="623"/>
      <c r="AU841" s="623"/>
      <c r="AV841" s="623"/>
      <c r="AW841" s="623"/>
      <c r="AX841" s="623"/>
      <c r="AY841" s="623"/>
      <c r="AZ841" s="623"/>
      <c r="BA841" s="623"/>
    </row>
    <row r="842">
      <c r="A842" s="623"/>
      <c r="B842" s="623"/>
      <c r="C842" s="623"/>
      <c r="D842" s="623"/>
      <c r="E842" s="623"/>
      <c r="F842" s="623"/>
      <c r="G842" s="623"/>
      <c r="H842" s="623"/>
      <c r="I842" s="623"/>
      <c r="J842" s="623"/>
      <c r="K842" s="623"/>
      <c r="L842" s="623"/>
      <c r="M842" s="623"/>
      <c r="N842" s="623"/>
      <c r="O842" s="623"/>
      <c r="P842" s="623"/>
      <c r="Q842" s="623"/>
      <c r="R842" s="623"/>
      <c r="S842" s="623"/>
      <c r="T842" s="623"/>
      <c r="U842" s="623"/>
      <c r="V842" s="623"/>
      <c r="W842" s="623"/>
      <c r="X842" s="623"/>
      <c r="Y842" s="623"/>
      <c r="Z842" s="623"/>
      <c r="AA842" s="623"/>
      <c r="AB842" s="623"/>
      <c r="AC842" s="623"/>
      <c r="AD842" s="623"/>
      <c r="AE842" s="623"/>
      <c r="AF842" s="623"/>
      <c r="AG842" s="623"/>
      <c r="AH842" s="623"/>
      <c r="AI842" s="623"/>
      <c r="AJ842" s="623"/>
      <c r="AK842" s="623"/>
      <c r="AL842" s="623"/>
      <c r="AM842" s="623"/>
      <c r="AN842" s="623"/>
      <c r="AO842" s="623"/>
      <c r="AP842" s="623"/>
      <c r="AQ842" s="623"/>
      <c r="AR842" s="623"/>
      <c r="AS842" s="623"/>
      <c r="AT842" s="623"/>
      <c r="AU842" s="623"/>
      <c r="AV842" s="623"/>
      <c r="AW842" s="623"/>
      <c r="AX842" s="623"/>
      <c r="AY842" s="623"/>
      <c r="AZ842" s="623"/>
      <c r="BA842" s="623"/>
    </row>
    <row r="843">
      <c r="A843" s="623"/>
      <c r="B843" s="623"/>
      <c r="C843" s="623"/>
      <c r="D843" s="623"/>
      <c r="E843" s="623"/>
      <c r="F843" s="623"/>
      <c r="G843" s="623"/>
      <c r="H843" s="623"/>
      <c r="I843" s="623"/>
      <c r="J843" s="623"/>
      <c r="K843" s="623"/>
      <c r="L843" s="623"/>
      <c r="M843" s="623"/>
      <c r="N843" s="623"/>
      <c r="O843" s="623"/>
      <c r="P843" s="623"/>
      <c r="Q843" s="623"/>
      <c r="R843" s="623"/>
      <c r="S843" s="623"/>
      <c r="T843" s="623"/>
      <c r="U843" s="623"/>
      <c r="V843" s="623"/>
      <c r="W843" s="623"/>
      <c r="X843" s="623"/>
      <c r="Y843" s="623"/>
      <c r="Z843" s="623"/>
      <c r="AA843" s="623"/>
      <c r="AB843" s="623"/>
      <c r="AC843" s="623"/>
      <c r="AD843" s="623"/>
      <c r="AE843" s="623"/>
      <c r="AF843" s="623"/>
      <c r="AG843" s="623"/>
      <c r="AH843" s="623"/>
      <c r="AI843" s="623"/>
      <c r="AJ843" s="623"/>
      <c r="AK843" s="623"/>
      <c r="AL843" s="623"/>
      <c r="AM843" s="623"/>
      <c r="AN843" s="623"/>
      <c r="AO843" s="623"/>
      <c r="AP843" s="623"/>
      <c r="AQ843" s="623"/>
      <c r="AR843" s="623"/>
      <c r="AS843" s="623"/>
      <c r="AT843" s="623"/>
      <c r="AU843" s="623"/>
      <c r="AV843" s="623"/>
      <c r="AW843" s="623"/>
      <c r="AX843" s="623"/>
      <c r="AY843" s="623"/>
      <c r="AZ843" s="623"/>
      <c r="BA843" s="623"/>
    </row>
    <row r="844">
      <c r="A844" s="623"/>
      <c r="B844" s="623"/>
      <c r="C844" s="623"/>
      <c r="D844" s="623"/>
      <c r="E844" s="623"/>
      <c r="F844" s="623"/>
      <c r="G844" s="623"/>
      <c r="H844" s="623"/>
      <c r="I844" s="623"/>
      <c r="J844" s="623"/>
      <c r="K844" s="623"/>
      <c r="L844" s="623"/>
      <c r="M844" s="623"/>
      <c r="N844" s="623"/>
      <c r="O844" s="623"/>
      <c r="P844" s="623"/>
      <c r="Q844" s="623"/>
      <c r="R844" s="623"/>
      <c r="S844" s="623"/>
      <c r="T844" s="623"/>
      <c r="U844" s="623"/>
      <c r="V844" s="623"/>
      <c r="W844" s="623"/>
      <c r="X844" s="623"/>
      <c r="Y844" s="623"/>
      <c r="Z844" s="623"/>
      <c r="AA844" s="623"/>
      <c r="AB844" s="623"/>
      <c r="AC844" s="623"/>
      <c r="AD844" s="623"/>
      <c r="AE844" s="623"/>
      <c r="AF844" s="623"/>
      <c r="AG844" s="623"/>
      <c r="AH844" s="623"/>
      <c r="AI844" s="623"/>
      <c r="AJ844" s="623"/>
      <c r="AK844" s="623"/>
      <c r="AL844" s="623"/>
      <c r="AM844" s="623"/>
      <c r="AN844" s="623"/>
      <c r="AO844" s="623"/>
      <c r="AP844" s="623"/>
      <c r="AQ844" s="623"/>
      <c r="AR844" s="623"/>
      <c r="AS844" s="623"/>
      <c r="AT844" s="623"/>
      <c r="AU844" s="623"/>
      <c r="AV844" s="623"/>
      <c r="AW844" s="623"/>
      <c r="AX844" s="623"/>
      <c r="AY844" s="623"/>
      <c r="AZ844" s="623"/>
      <c r="BA844" s="623"/>
    </row>
    <row r="845">
      <c r="A845" s="623"/>
      <c r="B845" s="623"/>
      <c r="C845" s="623"/>
      <c r="D845" s="623"/>
      <c r="E845" s="623"/>
      <c r="F845" s="623"/>
      <c r="G845" s="623"/>
      <c r="H845" s="623"/>
      <c r="I845" s="623"/>
      <c r="J845" s="623"/>
      <c r="K845" s="623"/>
      <c r="L845" s="623"/>
      <c r="M845" s="623"/>
      <c r="N845" s="623"/>
      <c r="O845" s="623"/>
      <c r="P845" s="623"/>
      <c r="Q845" s="623"/>
      <c r="R845" s="623"/>
      <c r="S845" s="623"/>
      <c r="T845" s="623"/>
      <c r="U845" s="623"/>
      <c r="V845" s="623"/>
      <c r="W845" s="623"/>
      <c r="X845" s="623"/>
      <c r="Y845" s="623"/>
      <c r="Z845" s="623"/>
      <c r="AA845" s="623"/>
      <c r="AB845" s="623"/>
      <c r="AC845" s="623"/>
      <c r="AD845" s="623"/>
      <c r="AE845" s="623"/>
      <c r="AF845" s="623"/>
      <c r="AG845" s="623"/>
      <c r="AH845" s="623"/>
      <c r="AI845" s="623"/>
      <c r="AJ845" s="623"/>
      <c r="AK845" s="623"/>
      <c r="AL845" s="623"/>
      <c r="AM845" s="623"/>
      <c r="AN845" s="623"/>
      <c r="AO845" s="623"/>
      <c r="AP845" s="623"/>
      <c r="AQ845" s="623"/>
      <c r="AR845" s="623"/>
      <c r="AS845" s="623"/>
      <c r="AT845" s="623"/>
      <c r="AU845" s="623"/>
      <c r="AV845" s="623"/>
      <c r="AW845" s="623"/>
      <c r="AX845" s="623"/>
      <c r="AY845" s="623"/>
      <c r="AZ845" s="623"/>
      <c r="BA845" s="623"/>
    </row>
    <row r="846">
      <c r="A846" s="623"/>
      <c r="B846" s="623"/>
      <c r="C846" s="623"/>
      <c r="D846" s="623"/>
      <c r="E846" s="623"/>
      <c r="F846" s="623"/>
      <c r="G846" s="623"/>
      <c r="H846" s="623"/>
      <c r="I846" s="623"/>
      <c r="J846" s="623"/>
      <c r="K846" s="623"/>
      <c r="L846" s="623"/>
      <c r="M846" s="623"/>
      <c r="N846" s="623"/>
      <c r="O846" s="623"/>
      <c r="P846" s="623"/>
      <c r="Q846" s="623"/>
      <c r="R846" s="623"/>
      <c r="S846" s="623"/>
      <c r="T846" s="623"/>
      <c r="U846" s="623"/>
      <c r="V846" s="623"/>
      <c r="W846" s="623"/>
      <c r="X846" s="623"/>
      <c r="Y846" s="623"/>
      <c r="Z846" s="623"/>
      <c r="AA846" s="623"/>
      <c r="AB846" s="623"/>
      <c r="AC846" s="623"/>
      <c r="AD846" s="623"/>
      <c r="AE846" s="623"/>
      <c r="AF846" s="623"/>
      <c r="AG846" s="623"/>
      <c r="AH846" s="623"/>
      <c r="AI846" s="623"/>
      <c r="AJ846" s="623"/>
      <c r="AK846" s="623"/>
      <c r="AL846" s="623"/>
      <c r="AM846" s="623"/>
      <c r="AN846" s="623"/>
      <c r="AO846" s="623"/>
      <c r="AP846" s="623"/>
      <c r="AQ846" s="623"/>
      <c r="AR846" s="623"/>
      <c r="AS846" s="623"/>
      <c r="AT846" s="623"/>
      <c r="AU846" s="623"/>
      <c r="AV846" s="623"/>
      <c r="AW846" s="623"/>
      <c r="AX846" s="623"/>
      <c r="AY846" s="623"/>
      <c r="AZ846" s="623"/>
      <c r="BA846" s="623"/>
    </row>
    <row r="847">
      <c r="A847" s="623"/>
      <c r="B847" s="623"/>
      <c r="C847" s="623"/>
      <c r="D847" s="623"/>
      <c r="E847" s="623"/>
      <c r="F847" s="623"/>
      <c r="G847" s="623"/>
      <c r="H847" s="623"/>
      <c r="I847" s="623"/>
      <c r="J847" s="623"/>
      <c r="K847" s="623"/>
      <c r="L847" s="623"/>
      <c r="M847" s="623"/>
      <c r="N847" s="623"/>
      <c r="O847" s="623"/>
      <c r="P847" s="623"/>
      <c r="Q847" s="623"/>
      <c r="R847" s="623"/>
      <c r="S847" s="623"/>
      <c r="T847" s="623"/>
      <c r="U847" s="623"/>
      <c r="V847" s="623"/>
      <c r="W847" s="623"/>
      <c r="X847" s="623"/>
      <c r="Y847" s="623"/>
      <c r="Z847" s="623"/>
      <c r="AA847" s="623"/>
      <c r="AB847" s="623"/>
      <c r="AC847" s="623"/>
      <c r="AD847" s="623"/>
      <c r="AE847" s="623"/>
      <c r="AF847" s="623"/>
      <c r="AG847" s="623"/>
      <c r="AH847" s="623"/>
      <c r="AI847" s="623"/>
      <c r="AJ847" s="623"/>
      <c r="AK847" s="623"/>
      <c r="AL847" s="623"/>
      <c r="AM847" s="623"/>
      <c r="AN847" s="623"/>
      <c r="AO847" s="623"/>
      <c r="AP847" s="623"/>
      <c r="AQ847" s="623"/>
      <c r="AR847" s="623"/>
      <c r="AS847" s="623"/>
      <c r="AT847" s="623"/>
      <c r="AU847" s="623"/>
      <c r="AV847" s="623"/>
      <c r="AW847" s="623"/>
      <c r="AX847" s="623"/>
      <c r="AY847" s="623"/>
      <c r="AZ847" s="623"/>
      <c r="BA847" s="623"/>
    </row>
    <row r="848">
      <c r="A848" s="623"/>
      <c r="B848" s="623"/>
      <c r="C848" s="623"/>
      <c r="D848" s="623"/>
      <c r="E848" s="623"/>
      <c r="F848" s="623"/>
      <c r="G848" s="623"/>
      <c r="H848" s="623"/>
      <c r="I848" s="623"/>
      <c r="J848" s="623"/>
      <c r="K848" s="623"/>
      <c r="L848" s="623"/>
      <c r="M848" s="623"/>
      <c r="N848" s="623"/>
      <c r="O848" s="623"/>
      <c r="P848" s="623"/>
      <c r="Q848" s="623"/>
      <c r="R848" s="623"/>
      <c r="S848" s="623"/>
      <c r="T848" s="623"/>
      <c r="U848" s="623"/>
      <c r="V848" s="623"/>
      <c r="W848" s="623"/>
      <c r="X848" s="623"/>
      <c r="Y848" s="623"/>
      <c r="Z848" s="623"/>
      <c r="AA848" s="623"/>
      <c r="AB848" s="623"/>
      <c r="AC848" s="623"/>
      <c r="AD848" s="623"/>
      <c r="AE848" s="623"/>
      <c r="AF848" s="623"/>
      <c r="AG848" s="623"/>
      <c r="AH848" s="623"/>
      <c r="AI848" s="623"/>
      <c r="AJ848" s="623"/>
      <c r="AK848" s="623"/>
      <c r="AL848" s="623"/>
      <c r="AM848" s="623"/>
      <c r="AN848" s="623"/>
      <c r="AO848" s="623"/>
      <c r="AP848" s="623"/>
      <c r="AQ848" s="623"/>
      <c r="AR848" s="623"/>
      <c r="AS848" s="623"/>
      <c r="AT848" s="623"/>
      <c r="AU848" s="623"/>
      <c r="AV848" s="623"/>
      <c r="AW848" s="623"/>
      <c r="AX848" s="623"/>
      <c r="AY848" s="623"/>
      <c r="AZ848" s="623"/>
      <c r="BA848" s="623"/>
    </row>
    <row r="849">
      <c r="A849" s="623"/>
      <c r="B849" s="623"/>
      <c r="C849" s="623"/>
      <c r="D849" s="623"/>
      <c r="E849" s="623"/>
      <c r="F849" s="623"/>
      <c r="G849" s="623"/>
      <c r="H849" s="623"/>
      <c r="I849" s="623"/>
      <c r="J849" s="623"/>
      <c r="K849" s="623"/>
      <c r="L849" s="623"/>
      <c r="M849" s="623"/>
      <c r="N849" s="623"/>
      <c r="O849" s="623"/>
      <c r="P849" s="623"/>
      <c r="Q849" s="623"/>
      <c r="R849" s="623"/>
      <c r="S849" s="623"/>
      <c r="T849" s="623"/>
      <c r="U849" s="623"/>
      <c r="V849" s="623"/>
      <c r="W849" s="623"/>
      <c r="X849" s="623"/>
      <c r="Y849" s="623"/>
      <c r="Z849" s="623"/>
      <c r="AA849" s="623"/>
      <c r="AB849" s="623"/>
      <c r="AC849" s="623"/>
      <c r="AD849" s="623"/>
      <c r="AE849" s="623"/>
      <c r="AF849" s="623"/>
      <c r="AG849" s="623"/>
      <c r="AH849" s="623"/>
      <c r="AI849" s="623"/>
      <c r="AJ849" s="623"/>
      <c r="AK849" s="623"/>
      <c r="AL849" s="623"/>
      <c r="AM849" s="623"/>
      <c r="AN849" s="623"/>
      <c r="AO849" s="623"/>
      <c r="AP849" s="623"/>
      <c r="AQ849" s="623"/>
      <c r="AR849" s="623"/>
      <c r="AS849" s="623"/>
      <c r="AT849" s="623"/>
      <c r="AU849" s="623"/>
      <c r="AV849" s="623"/>
      <c r="AW849" s="623"/>
      <c r="AX849" s="623"/>
      <c r="AY849" s="623"/>
      <c r="AZ849" s="623"/>
      <c r="BA849" s="623"/>
    </row>
    <row r="850">
      <c r="A850" s="623"/>
      <c r="B850" s="623"/>
      <c r="C850" s="623"/>
      <c r="D850" s="623"/>
      <c r="E850" s="623"/>
      <c r="F850" s="623"/>
      <c r="G850" s="623"/>
      <c r="H850" s="623"/>
      <c r="I850" s="623"/>
      <c r="J850" s="623"/>
      <c r="K850" s="623"/>
      <c r="L850" s="623"/>
      <c r="M850" s="623"/>
      <c r="N850" s="623"/>
      <c r="O850" s="623"/>
      <c r="P850" s="623"/>
      <c r="Q850" s="623"/>
      <c r="R850" s="623"/>
      <c r="S850" s="623"/>
      <c r="T850" s="623"/>
      <c r="U850" s="623"/>
      <c r="V850" s="623"/>
      <c r="W850" s="623"/>
      <c r="X850" s="623"/>
      <c r="Y850" s="623"/>
      <c r="Z850" s="623"/>
      <c r="AA850" s="623"/>
      <c r="AB850" s="623"/>
      <c r="AC850" s="623"/>
      <c r="AD850" s="623"/>
      <c r="AE850" s="623"/>
      <c r="AF850" s="623"/>
      <c r="AG850" s="623"/>
      <c r="AH850" s="623"/>
      <c r="AI850" s="623"/>
      <c r="AJ850" s="623"/>
      <c r="AK850" s="623"/>
      <c r="AL850" s="623"/>
      <c r="AM850" s="623"/>
      <c r="AN850" s="623"/>
      <c r="AO850" s="623"/>
      <c r="AP850" s="623"/>
      <c r="AQ850" s="623"/>
      <c r="AR850" s="623"/>
      <c r="AS850" s="623"/>
      <c r="AT850" s="623"/>
      <c r="AU850" s="623"/>
      <c r="AV850" s="623"/>
      <c r="AW850" s="623"/>
      <c r="AX850" s="623"/>
      <c r="AY850" s="623"/>
      <c r="AZ850" s="623"/>
      <c r="BA850" s="623"/>
    </row>
    <row r="851">
      <c r="A851" s="623"/>
      <c r="B851" s="623"/>
      <c r="C851" s="623"/>
      <c r="D851" s="623"/>
      <c r="E851" s="623"/>
      <c r="F851" s="623"/>
      <c r="G851" s="623"/>
      <c r="H851" s="623"/>
      <c r="I851" s="623"/>
      <c r="J851" s="623"/>
      <c r="K851" s="623"/>
      <c r="L851" s="623"/>
      <c r="M851" s="623"/>
      <c r="N851" s="623"/>
      <c r="O851" s="623"/>
      <c r="P851" s="623"/>
      <c r="Q851" s="623"/>
      <c r="R851" s="623"/>
      <c r="S851" s="623"/>
      <c r="T851" s="623"/>
      <c r="U851" s="623"/>
      <c r="V851" s="623"/>
      <c r="W851" s="623"/>
      <c r="X851" s="623"/>
      <c r="Y851" s="623"/>
      <c r="Z851" s="623"/>
      <c r="AA851" s="623"/>
      <c r="AB851" s="623"/>
      <c r="AC851" s="623"/>
      <c r="AD851" s="623"/>
      <c r="AE851" s="623"/>
      <c r="AF851" s="623"/>
      <c r="AG851" s="623"/>
      <c r="AH851" s="623"/>
      <c r="AI851" s="623"/>
      <c r="AJ851" s="623"/>
      <c r="AK851" s="623"/>
      <c r="AL851" s="623"/>
      <c r="AM851" s="623"/>
      <c r="AN851" s="623"/>
      <c r="AO851" s="623"/>
      <c r="AP851" s="623"/>
      <c r="AQ851" s="623"/>
      <c r="AR851" s="623"/>
      <c r="AS851" s="623"/>
      <c r="AT851" s="623"/>
      <c r="AU851" s="623"/>
      <c r="AV851" s="623"/>
      <c r="AW851" s="623"/>
      <c r="AX851" s="623"/>
      <c r="AY851" s="623"/>
      <c r="AZ851" s="623"/>
      <c r="BA851" s="623"/>
    </row>
    <row r="852">
      <c r="A852" s="623"/>
      <c r="B852" s="623"/>
      <c r="C852" s="623"/>
      <c r="D852" s="623"/>
      <c r="E852" s="623"/>
      <c r="F852" s="623"/>
      <c r="G852" s="623"/>
      <c r="H852" s="623"/>
      <c r="I852" s="623"/>
      <c r="J852" s="623"/>
      <c r="K852" s="623"/>
      <c r="L852" s="623"/>
      <c r="M852" s="623"/>
      <c r="N852" s="623"/>
      <c r="O852" s="623"/>
      <c r="P852" s="623"/>
      <c r="Q852" s="623"/>
      <c r="R852" s="623"/>
      <c r="S852" s="623"/>
      <c r="T852" s="623"/>
      <c r="U852" s="623"/>
      <c r="V852" s="623"/>
      <c r="W852" s="623"/>
      <c r="X852" s="623"/>
      <c r="Y852" s="623"/>
      <c r="Z852" s="623"/>
      <c r="AA852" s="623"/>
      <c r="AB852" s="623"/>
      <c r="AC852" s="623"/>
      <c r="AD852" s="623"/>
      <c r="AE852" s="623"/>
      <c r="AF852" s="623"/>
      <c r="AG852" s="623"/>
      <c r="AH852" s="623"/>
      <c r="AI852" s="623"/>
      <c r="AJ852" s="623"/>
      <c r="AK852" s="623"/>
      <c r="AL852" s="623"/>
      <c r="AM852" s="623"/>
      <c r="AN852" s="623"/>
      <c r="AO852" s="623"/>
      <c r="AP852" s="623"/>
      <c r="AQ852" s="623"/>
      <c r="AR852" s="623"/>
      <c r="AS852" s="623"/>
      <c r="AT852" s="623"/>
      <c r="AU852" s="623"/>
      <c r="AV852" s="623"/>
      <c r="AW852" s="623"/>
      <c r="AX852" s="623"/>
      <c r="AY852" s="623"/>
      <c r="AZ852" s="623"/>
      <c r="BA852" s="623"/>
    </row>
    <row r="853">
      <c r="A853" s="623"/>
      <c r="B853" s="623"/>
      <c r="C853" s="623"/>
      <c r="D853" s="623"/>
      <c r="E853" s="623"/>
      <c r="F853" s="623"/>
      <c r="G853" s="623"/>
      <c r="H853" s="623"/>
      <c r="I853" s="623"/>
      <c r="J853" s="623"/>
      <c r="K853" s="623"/>
      <c r="L853" s="623"/>
      <c r="M853" s="623"/>
      <c r="N853" s="623"/>
      <c r="O853" s="623"/>
      <c r="P853" s="623"/>
      <c r="Q853" s="623"/>
      <c r="R853" s="623"/>
      <c r="S853" s="623"/>
      <c r="T853" s="623"/>
      <c r="U853" s="623"/>
      <c r="V853" s="623"/>
      <c r="W853" s="623"/>
      <c r="X853" s="623"/>
      <c r="Y853" s="623"/>
      <c r="Z853" s="623"/>
      <c r="AA853" s="623"/>
      <c r="AB853" s="623"/>
      <c r="AC853" s="623"/>
      <c r="AD853" s="623"/>
      <c r="AE853" s="623"/>
      <c r="AF853" s="623"/>
      <c r="AG853" s="623"/>
      <c r="AH853" s="623"/>
      <c r="AI853" s="623"/>
      <c r="AJ853" s="623"/>
      <c r="AK853" s="623"/>
      <c r="AL853" s="623"/>
      <c r="AM853" s="623"/>
      <c r="AN853" s="623"/>
      <c r="AO853" s="623"/>
      <c r="AP853" s="623"/>
      <c r="AQ853" s="623"/>
      <c r="AR853" s="623"/>
      <c r="AS853" s="623"/>
      <c r="AT853" s="623"/>
      <c r="AU853" s="623"/>
      <c r="AV853" s="623"/>
      <c r="AW853" s="623"/>
      <c r="AX853" s="623"/>
      <c r="AY853" s="623"/>
      <c r="AZ853" s="623"/>
      <c r="BA853" s="623"/>
    </row>
    <row r="854">
      <c r="A854" s="623"/>
      <c r="B854" s="623"/>
      <c r="C854" s="623"/>
      <c r="D854" s="623"/>
      <c r="E854" s="623"/>
      <c r="F854" s="623"/>
      <c r="G854" s="623"/>
      <c r="H854" s="623"/>
      <c r="I854" s="623"/>
      <c r="J854" s="623"/>
      <c r="K854" s="623"/>
      <c r="L854" s="623"/>
      <c r="M854" s="623"/>
      <c r="N854" s="623"/>
      <c r="O854" s="623"/>
      <c r="P854" s="623"/>
      <c r="Q854" s="623"/>
      <c r="R854" s="623"/>
      <c r="S854" s="623"/>
      <c r="T854" s="623"/>
      <c r="U854" s="623"/>
      <c r="V854" s="623"/>
      <c r="W854" s="623"/>
      <c r="X854" s="623"/>
      <c r="Y854" s="623"/>
      <c r="Z854" s="623"/>
      <c r="AA854" s="623"/>
      <c r="AB854" s="623"/>
      <c r="AC854" s="623"/>
      <c r="AD854" s="623"/>
      <c r="AE854" s="623"/>
      <c r="AF854" s="623"/>
      <c r="AG854" s="623"/>
      <c r="AH854" s="623"/>
      <c r="AI854" s="623"/>
      <c r="AJ854" s="623"/>
      <c r="AK854" s="623"/>
      <c r="AL854" s="623"/>
      <c r="AM854" s="623"/>
      <c r="AN854" s="623"/>
      <c r="AO854" s="623"/>
      <c r="AP854" s="623"/>
      <c r="AQ854" s="623"/>
      <c r="AR854" s="623"/>
      <c r="AS854" s="623"/>
      <c r="AT854" s="623"/>
      <c r="AU854" s="623"/>
      <c r="AV854" s="623"/>
      <c r="AW854" s="623"/>
      <c r="AX854" s="623"/>
      <c r="AY854" s="623"/>
      <c r="AZ854" s="623"/>
      <c r="BA854" s="623"/>
    </row>
    <row r="855">
      <c r="A855" s="623"/>
      <c r="B855" s="623"/>
      <c r="C855" s="623"/>
      <c r="D855" s="623"/>
      <c r="E855" s="623"/>
      <c r="F855" s="623"/>
      <c r="G855" s="623"/>
      <c r="H855" s="623"/>
      <c r="I855" s="623"/>
      <c r="J855" s="623"/>
      <c r="K855" s="623"/>
      <c r="L855" s="623"/>
      <c r="M855" s="623"/>
      <c r="N855" s="623"/>
      <c r="O855" s="623"/>
      <c r="P855" s="623"/>
      <c r="Q855" s="623"/>
      <c r="R855" s="623"/>
      <c r="S855" s="623"/>
      <c r="T855" s="623"/>
      <c r="U855" s="623"/>
      <c r="V855" s="623"/>
      <c r="W855" s="623"/>
      <c r="X855" s="623"/>
      <c r="Y855" s="623"/>
      <c r="Z855" s="623"/>
      <c r="AA855" s="623"/>
      <c r="AB855" s="623"/>
      <c r="AC855" s="623"/>
      <c r="AD855" s="623"/>
      <c r="AE855" s="623"/>
      <c r="AF855" s="623"/>
      <c r="AG855" s="623"/>
      <c r="AH855" s="623"/>
      <c r="AI855" s="623"/>
      <c r="AJ855" s="623"/>
      <c r="AK855" s="623"/>
      <c r="AL855" s="623"/>
      <c r="AM855" s="623"/>
      <c r="AN855" s="623"/>
      <c r="AO855" s="623"/>
      <c r="AP855" s="623"/>
      <c r="AQ855" s="623"/>
      <c r="AR855" s="623"/>
      <c r="AS855" s="623"/>
      <c r="AT855" s="623"/>
      <c r="AU855" s="623"/>
      <c r="AV855" s="623"/>
      <c r="AW855" s="623"/>
      <c r="AX855" s="623"/>
      <c r="AY855" s="623"/>
      <c r="AZ855" s="623"/>
      <c r="BA855" s="623"/>
    </row>
    <row r="856">
      <c r="A856" s="623"/>
      <c r="B856" s="623"/>
      <c r="C856" s="623"/>
      <c r="D856" s="623"/>
      <c r="E856" s="623"/>
      <c r="F856" s="623"/>
      <c r="G856" s="623"/>
      <c r="H856" s="623"/>
      <c r="I856" s="623"/>
      <c r="J856" s="623"/>
      <c r="K856" s="623"/>
      <c r="L856" s="623"/>
      <c r="M856" s="623"/>
      <c r="N856" s="623"/>
      <c r="O856" s="623"/>
      <c r="P856" s="623"/>
      <c r="Q856" s="623"/>
      <c r="R856" s="623"/>
      <c r="S856" s="623"/>
      <c r="T856" s="623"/>
      <c r="U856" s="623"/>
      <c r="V856" s="623"/>
      <c r="W856" s="623"/>
      <c r="X856" s="623"/>
      <c r="Y856" s="623"/>
      <c r="Z856" s="623"/>
      <c r="AA856" s="623"/>
      <c r="AB856" s="623"/>
      <c r="AC856" s="623"/>
      <c r="AD856" s="623"/>
      <c r="AE856" s="623"/>
      <c r="AF856" s="623"/>
      <c r="AG856" s="623"/>
      <c r="AH856" s="623"/>
      <c r="AI856" s="623"/>
      <c r="AJ856" s="623"/>
      <c r="AK856" s="623"/>
      <c r="AL856" s="623"/>
      <c r="AM856" s="623"/>
      <c r="AN856" s="623"/>
      <c r="AO856" s="623"/>
      <c r="AP856" s="623"/>
      <c r="AQ856" s="623"/>
      <c r="AR856" s="623"/>
      <c r="AS856" s="623"/>
      <c r="AT856" s="623"/>
      <c r="AU856" s="623"/>
      <c r="AV856" s="623"/>
      <c r="AW856" s="623"/>
      <c r="AX856" s="623"/>
      <c r="AY856" s="623"/>
      <c r="AZ856" s="623"/>
      <c r="BA856" s="623"/>
    </row>
    <row r="857">
      <c r="A857" s="623"/>
      <c r="B857" s="623"/>
      <c r="C857" s="623"/>
      <c r="D857" s="623"/>
      <c r="E857" s="623"/>
      <c r="F857" s="623"/>
      <c r="G857" s="623"/>
      <c r="H857" s="623"/>
      <c r="I857" s="623"/>
      <c r="J857" s="623"/>
      <c r="K857" s="623"/>
      <c r="L857" s="623"/>
      <c r="M857" s="623"/>
      <c r="N857" s="623"/>
      <c r="O857" s="623"/>
      <c r="P857" s="623"/>
      <c r="Q857" s="623"/>
      <c r="R857" s="623"/>
      <c r="S857" s="623"/>
      <c r="T857" s="623"/>
      <c r="U857" s="623"/>
      <c r="V857" s="623"/>
      <c r="W857" s="623"/>
      <c r="X857" s="623"/>
      <c r="Y857" s="623"/>
      <c r="Z857" s="623"/>
      <c r="AA857" s="623"/>
      <c r="AB857" s="623"/>
      <c r="AC857" s="623"/>
      <c r="AD857" s="623"/>
      <c r="AE857" s="623"/>
      <c r="AF857" s="623"/>
      <c r="AG857" s="623"/>
      <c r="AH857" s="623"/>
      <c r="AI857" s="623"/>
      <c r="AJ857" s="623"/>
      <c r="AK857" s="623"/>
      <c r="AL857" s="623"/>
      <c r="AM857" s="623"/>
      <c r="AN857" s="623"/>
      <c r="AO857" s="623"/>
      <c r="AP857" s="623"/>
      <c r="AQ857" s="623"/>
      <c r="AR857" s="623"/>
      <c r="AS857" s="623"/>
      <c r="AT857" s="623"/>
      <c r="AU857" s="623"/>
      <c r="AV857" s="623"/>
      <c r="AW857" s="623"/>
      <c r="AX857" s="623"/>
      <c r="AY857" s="623"/>
      <c r="AZ857" s="623"/>
      <c r="BA857" s="623"/>
    </row>
    <row r="858">
      <c r="A858" s="623"/>
      <c r="B858" s="623"/>
      <c r="C858" s="623"/>
      <c r="D858" s="623"/>
      <c r="E858" s="623"/>
      <c r="F858" s="623"/>
      <c r="G858" s="623"/>
      <c r="H858" s="623"/>
      <c r="I858" s="623"/>
      <c r="J858" s="623"/>
      <c r="K858" s="623"/>
      <c r="L858" s="623"/>
      <c r="M858" s="623"/>
      <c r="N858" s="623"/>
      <c r="O858" s="623"/>
      <c r="P858" s="623"/>
      <c r="Q858" s="623"/>
      <c r="R858" s="623"/>
      <c r="S858" s="623"/>
      <c r="T858" s="623"/>
      <c r="U858" s="623"/>
      <c r="V858" s="623"/>
      <c r="W858" s="623"/>
      <c r="X858" s="623"/>
      <c r="Y858" s="623"/>
      <c r="Z858" s="623"/>
      <c r="AA858" s="623"/>
      <c r="AB858" s="623"/>
      <c r="AC858" s="623"/>
      <c r="AD858" s="623"/>
      <c r="AE858" s="623"/>
      <c r="AF858" s="623"/>
      <c r="AG858" s="623"/>
      <c r="AH858" s="623"/>
      <c r="AI858" s="623"/>
      <c r="AJ858" s="623"/>
      <c r="AK858" s="623"/>
      <c r="AL858" s="623"/>
      <c r="AM858" s="623"/>
      <c r="AN858" s="623"/>
      <c r="AO858" s="623"/>
      <c r="AP858" s="623"/>
      <c r="AQ858" s="623"/>
      <c r="AR858" s="623"/>
      <c r="AS858" s="623"/>
      <c r="AT858" s="623"/>
      <c r="AU858" s="623"/>
      <c r="AV858" s="623"/>
      <c r="AW858" s="623"/>
      <c r="AX858" s="623"/>
      <c r="AY858" s="623"/>
      <c r="AZ858" s="623"/>
      <c r="BA858" s="623"/>
    </row>
    <row r="859">
      <c r="A859" s="623"/>
      <c r="B859" s="623"/>
      <c r="C859" s="623"/>
      <c r="D859" s="623"/>
      <c r="E859" s="623"/>
      <c r="F859" s="623"/>
      <c r="G859" s="623"/>
      <c r="H859" s="623"/>
      <c r="I859" s="623"/>
      <c r="J859" s="623"/>
      <c r="K859" s="623"/>
      <c r="L859" s="623"/>
      <c r="M859" s="623"/>
      <c r="N859" s="623"/>
      <c r="O859" s="623"/>
      <c r="P859" s="623"/>
      <c r="Q859" s="623"/>
      <c r="R859" s="623"/>
      <c r="S859" s="623"/>
      <c r="T859" s="623"/>
      <c r="U859" s="623"/>
      <c r="V859" s="623"/>
      <c r="W859" s="623"/>
      <c r="X859" s="623"/>
      <c r="Y859" s="623"/>
      <c r="Z859" s="623"/>
      <c r="AA859" s="623"/>
      <c r="AB859" s="623"/>
      <c r="AC859" s="623"/>
      <c r="AD859" s="623"/>
      <c r="AE859" s="623"/>
      <c r="AF859" s="623"/>
      <c r="AG859" s="623"/>
      <c r="AH859" s="623"/>
      <c r="AI859" s="623"/>
      <c r="AJ859" s="623"/>
      <c r="AK859" s="623"/>
      <c r="AL859" s="623"/>
      <c r="AM859" s="623"/>
      <c r="AN859" s="623"/>
      <c r="AO859" s="623"/>
      <c r="AP859" s="623"/>
      <c r="AQ859" s="623"/>
      <c r="AR859" s="623"/>
      <c r="AS859" s="623"/>
      <c r="AT859" s="623"/>
      <c r="AU859" s="623"/>
      <c r="AV859" s="623"/>
      <c r="AW859" s="623"/>
      <c r="AX859" s="623"/>
      <c r="AY859" s="623"/>
      <c r="AZ859" s="623"/>
      <c r="BA859" s="623"/>
    </row>
    <row r="860">
      <c r="A860" s="623"/>
      <c r="B860" s="623"/>
      <c r="C860" s="623"/>
      <c r="D860" s="623"/>
      <c r="E860" s="623"/>
      <c r="F860" s="623"/>
      <c r="G860" s="623"/>
      <c r="H860" s="623"/>
      <c r="I860" s="623"/>
      <c r="J860" s="623"/>
      <c r="K860" s="623"/>
      <c r="L860" s="623"/>
      <c r="M860" s="623"/>
      <c r="N860" s="623"/>
      <c r="O860" s="623"/>
      <c r="P860" s="623"/>
      <c r="Q860" s="623"/>
      <c r="R860" s="623"/>
      <c r="S860" s="623"/>
      <c r="T860" s="623"/>
      <c r="U860" s="623"/>
      <c r="V860" s="623"/>
      <c r="W860" s="623"/>
      <c r="X860" s="623"/>
      <c r="Y860" s="623"/>
      <c r="Z860" s="623"/>
      <c r="AA860" s="623"/>
      <c r="AB860" s="623"/>
      <c r="AC860" s="623"/>
      <c r="AD860" s="623"/>
      <c r="AE860" s="623"/>
      <c r="AF860" s="623"/>
      <c r="AG860" s="623"/>
      <c r="AH860" s="623"/>
      <c r="AI860" s="623"/>
      <c r="AJ860" s="623"/>
      <c r="AK860" s="623"/>
      <c r="AL860" s="623"/>
      <c r="AM860" s="623"/>
      <c r="AN860" s="623"/>
      <c r="AO860" s="623"/>
      <c r="AP860" s="623"/>
      <c r="AQ860" s="623"/>
      <c r="AR860" s="623"/>
      <c r="AS860" s="623"/>
      <c r="AT860" s="623"/>
      <c r="AU860" s="623"/>
      <c r="AV860" s="623"/>
      <c r="AW860" s="623"/>
      <c r="AX860" s="623"/>
      <c r="AY860" s="623"/>
      <c r="AZ860" s="623"/>
      <c r="BA860" s="623"/>
    </row>
    <row r="861">
      <c r="A861" s="623"/>
      <c r="B861" s="623"/>
      <c r="C861" s="623"/>
      <c r="D861" s="623"/>
      <c r="E861" s="623"/>
      <c r="F861" s="623"/>
      <c r="G861" s="623"/>
      <c r="H861" s="623"/>
      <c r="I861" s="623"/>
      <c r="J861" s="623"/>
      <c r="K861" s="623"/>
      <c r="L861" s="623"/>
      <c r="M861" s="623"/>
      <c r="N861" s="623"/>
      <c r="O861" s="623"/>
      <c r="P861" s="623"/>
      <c r="Q861" s="623"/>
      <c r="R861" s="623"/>
      <c r="S861" s="623"/>
      <c r="T861" s="623"/>
      <c r="U861" s="623"/>
      <c r="V861" s="623"/>
      <c r="W861" s="623"/>
      <c r="X861" s="623"/>
      <c r="Y861" s="623"/>
      <c r="Z861" s="623"/>
      <c r="AA861" s="623"/>
      <c r="AB861" s="623"/>
      <c r="AC861" s="623"/>
      <c r="AD861" s="623"/>
      <c r="AE861" s="623"/>
      <c r="AF861" s="623"/>
      <c r="AG861" s="623"/>
      <c r="AH861" s="623"/>
      <c r="AI861" s="623"/>
      <c r="AJ861" s="623"/>
      <c r="AK861" s="623"/>
      <c r="AL861" s="623"/>
      <c r="AM861" s="623"/>
      <c r="AN861" s="623"/>
      <c r="AO861" s="623"/>
      <c r="AP861" s="623"/>
      <c r="AQ861" s="623"/>
      <c r="AR861" s="623"/>
      <c r="AS861" s="623"/>
      <c r="AT861" s="623"/>
      <c r="AU861" s="623"/>
      <c r="AV861" s="623"/>
      <c r="AW861" s="623"/>
      <c r="AX861" s="623"/>
      <c r="AY861" s="623"/>
      <c r="AZ861" s="623"/>
      <c r="BA861" s="623"/>
    </row>
    <row r="862">
      <c r="A862" s="623"/>
      <c r="B862" s="623"/>
      <c r="C862" s="623"/>
      <c r="D862" s="623"/>
      <c r="E862" s="623"/>
      <c r="F862" s="623"/>
      <c r="G862" s="623"/>
      <c r="H862" s="623"/>
      <c r="I862" s="623"/>
      <c r="J862" s="623"/>
      <c r="K862" s="623"/>
      <c r="L862" s="623"/>
      <c r="M862" s="623"/>
      <c r="N862" s="623"/>
      <c r="O862" s="623"/>
      <c r="P862" s="623"/>
      <c r="Q862" s="623"/>
      <c r="R862" s="623"/>
      <c r="S862" s="623"/>
      <c r="T862" s="623"/>
      <c r="U862" s="623"/>
      <c r="V862" s="623"/>
      <c r="W862" s="623"/>
      <c r="X862" s="623"/>
      <c r="Y862" s="623"/>
      <c r="Z862" s="623"/>
      <c r="AA862" s="623"/>
      <c r="AB862" s="623"/>
      <c r="AC862" s="623"/>
      <c r="AD862" s="623"/>
      <c r="AE862" s="623"/>
      <c r="AF862" s="623"/>
      <c r="AG862" s="623"/>
      <c r="AH862" s="623"/>
      <c r="AI862" s="623"/>
      <c r="AJ862" s="623"/>
      <c r="AK862" s="623"/>
      <c r="AL862" s="623"/>
      <c r="AM862" s="623"/>
      <c r="AN862" s="623"/>
      <c r="AO862" s="623"/>
      <c r="AP862" s="623"/>
      <c r="AQ862" s="623"/>
      <c r="AR862" s="623"/>
      <c r="AS862" s="623"/>
      <c r="AT862" s="623"/>
      <c r="AU862" s="623"/>
      <c r="AV862" s="623"/>
      <c r="AW862" s="623"/>
      <c r="AX862" s="623"/>
      <c r="AY862" s="623"/>
      <c r="AZ862" s="623"/>
      <c r="BA862" s="623"/>
    </row>
    <row r="863">
      <c r="A863" s="623"/>
      <c r="B863" s="623"/>
      <c r="C863" s="623"/>
      <c r="D863" s="623"/>
      <c r="E863" s="623"/>
      <c r="F863" s="623"/>
      <c r="G863" s="623"/>
      <c r="H863" s="623"/>
      <c r="I863" s="623"/>
      <c r="J863" s="623"/>
      <c r="K863" s="623"/>
      <c r="L863" s="623"/>
      <c r="M863" s="623"/>
      <c r="N863" s="623"/>
      <c r="O863" s="623"/>
      <c r="P863" s="623"/>
      <c r="Q863" s="623"/>
      <c r="R863" s="623"/>
      <c r="S863" s="623"/>
      <c r="T863" s="623"/>
      <c r="U863" s="623"/>
      <c r="V863" s="623"/>
      <c r="W863" s="623"/>
      <c r="X863" s="623"/>
      <c r="Y863" s="623"/>
      <c r="Z863" s="623"/>
      <c r="AA863" s="623"/>
      <c r="AB863" s="623"/>
      <c r="AC863" s="623"/>
      <c r="AD863" s="623"/>
      <c r="AE863" s="623"/>
      <c r="AF863" s="623"/>
      <c r="AG863" s="623"/>
      <c r="AH863" s="623"/>
      <c r="AI863" s="623"/>
      <c r="AJ863" s="623"/>
      <c r="AK863" s="623"/>
      <c r="AL863" s="623"/>
      <c r="AM863" s="623"/>
      <c r="AN863" s="623"/>
      <c r="AO863" s="623"/>
      <c r="AP863" s="623"/>
      <c r="AQ863" s="623"/>
      <c r="AR863" s="623"/>
      <c r="AS863" s="623"/>
      <c r="AT863" s="623"/>
      <c r="AU863" s="623"/>
      <c r="AV863" s="623"/>
      <c r="AW863" s="623"/>
      <c r="AX863" s="623"/>
      <c r="AY863" s="623"/>
      <c r="AZ863" s="623"/>
      <c r="BA863" s="623"/>
    </row>
    <row r="864">
      <c r="A864" s="623"/>
      <c r="B864" s="623"/>
      <c r="C864" s="623"/>
      <c r="D864" s="623"/>
      <c r="E864" s="623"/>
      <c r="F864" s="623"/>
      <c r="G864" s="623"/>
      <c r="H864" s="623"/>
      <c r="I864" s="623"/>
      <c r="J864" s="623"/>
      <c r="K864" s="623"/>
      <c r="L864" s="623"/>
      <c r="M864" s="623"/>
      <c r="N864" s="623"/>
      <c r="O864" s="623"/>
      <c r="P864" s="623"/>
      <c r="Q864" s="623"/>
      <c r="R864" s="623"/>
      <c r="S864" s="623"/>
      <c r="T864" s="623"/>
      <c r="U864" s="623"/>
      <c r="V864" s="623"/>
      <c r="W864" s="623"/>
      <c r="X864" s="623"/>
      <c r="Y864" s="623"/>
      <c r="Z864" s="623"/>
      <c r="AA864" s="623"/>
      <c r="AB864" s="623"/>
      <c r="AC864" s="623"/>
      <c r="AD864" s="623"/>
      <c r="AE864" s="623"/>
      <c r="AF864" s="623"/>
      <c r="AG864" s="623"/>
      <c r="AH864" s="623"/>
      <c r="AI864" s="623"/>
      <c r="AJ864" s="623"/>
      <c r="AK864" s="623"/>
      <c r="AL864" s="623"/>
      <c r="AM864" s="623"/>
      <c r="AN864" s="623"/>
      <c r="AO864" s="623"/>
      <c r="AP864" s="623"/>
      <c r="AQ864" s="623"/>
      <c r="AR864" s="623"/>
      <c r="AS864" s="623"/>
      <c r="AT864" s="623"/>
      <c r="AU864" s="623"/>
      <c r="AV864" s="623"/>
      <c r="AW864" s="623"/>
      <c r="AX864" s="623"/>
      <c r="AY864" s="623"/>
      <c r="AZ864" s="623"/>
      <c r="BA864" s="623"/>
    </row>
    <row r="865">
      <c r="A865" s="623"/>
      <c r="B865" s="623"/>
      <c r="C865" s="623"/>
      <c r="D865" s="623"/>
      <c r="E865" s="623"/>
      <c r="F865" s="623"/>
      <c r="G865" s="623"/>
      <c r="H865" s="623"/>
      <c r="I865" s="623"/>
      <c r="J865" s="623"/>
      <c r="K865" s="623"/>
      <c r="L865" s="623"/>
      <c r="M865" s="623"/>
      <c r="N865" s="623"/>
      <c r="O865" s="623"/>
      <c r="P865" s="623"/>
      <c r="Q865" s="623"/>
      <c r="R865" s="623"/>
      <c r="S865" s="623"/>
      <c r="T865" s="623"/>
      <c r="U865" s="623"/>
      <c r="V865" s="623"/>
      <c r="W865" s="623"/>
      <c r="X865" s="623"/>
      <c r="Y865" s="623"/>
      <c r="Z865" s="623"/>
      <c r="AA865" s="623"/>
      <c r="AB865" s="623"/>
      <c r="AC865" s="623"/>
      <c r="AD865" s="623"/>
      <c r="AE865" s="623"/>
      <c r="AF865" s="623"/>
      <c r="AG865" s="623"/>
      <c r="AH865" s="623"/>
      <c r="AI865" s="623"/>
      <c r="AJ865" s="623"/>
      <c r="AK865" s="623"/>
      <c r="AL865" s="623"/>
      <c r="AM865" s="623"/>
      <c r="AN865" s="623"/>
      <c r="AO865" s="623"/>
      <c r="AP865" s="623"/>
      <c r="AQ865" s="623"/>
      <c r="AR865" s="623"/>
      <c r="AS865" s="623"/>
      <c r="AT865" s="623"/>
      <c r="AU865" s="623"/>
      <c r="AV865" s="623"/>
      <c r="AW865" s="623"/>
      <c r="AX865" s="623"/>
      <c r="AY865" s="623"/>
      <c r="AZ865" s="623"/>
      <c r="BA865" s="623"/>
    </row>
    <row r="866">
      <c r="A866" s="623"/>
      <c r="B866" s="623"/>
      <c r="C866" s="623"/>
      <c r="D866" s="623"/>
      <c r="E866" s="623"/>
      <c r="F866" s="623"/>
      <c r="G866" s="623"/>
      <c r="H866" s="623"/>
      <c r="I866" s="623"/>
      <c r="J866" s="623"/>
      <c r="K866" s="623"/>
      <c r="L866" s="623"/>
      <c r="M866" s="623"/>
      <c r="N866" s="623"/>
      <c r="O866" s="623"/>
      <c r="P866" s="623"/>
      <c r="Q866" s="623"/>
      <c r="R866" s="623"/>
      <c r="S866" s="623"/>
      <c r="T866" s="623"/>
      <c r="U866" s="623"/>
      <c r="V866" s="623"/>
      <c r="W866" s="623"/>
      <c r="X866" s="623"/>
      <c r="Y866" s="623"/>
      <c r="Z866" s="623"/>
      <c r="AA866" s="623"/>
      <c r="AB866" s="623"/>
      <c r="AC866" s="623"/>
      <c r="AD866" s="623"/>
      <c r="AE866" s="623"/>
      <c r="AF866" s="623"/>
      <c r="AG866" s="623"/>
      <c r="AH866" s="623"/>
      <c r="AI866" s="623"/>
      <c r="AJ866" s="623"/>
      <c r="AK866" s="623"/>
      <c r="AL866" s="623"/>
      <c r="AM866" s="623"/>
      <c r="AN866" s="623"/>
      <c r="AO866" s="623"/>
      <c r="AP866" s="623"/>
      <c r="AQ866" s="623"/>
      <c r="AR866" s="623"/>
      <c r="AS866" s="623"/>
      <c r="AT866" s="623"/>
      <c r="AU866" s="623"/>
      <c r="AV866" s="623"/>
      <c r="AW866" s="623"/>
      <c r="AX866" s="623"/>
      <c r="AY866" s="623"/>
      <c r="AZ866" s="623"/>
      <c r="BA866" s="623"/>
    </row>
    <row r="867">
      <c r="A867" s="623"/>
      <c r="B867" s="623"/>
      <c r="C867" s="623"/>
      <c r="D867" s="623"/>
      <c r="E867" s="623"/>
      <c r="F867" s="623"/>
      <c r="G867" s="623"/>
      <c r="H867" s="623"/>
      <c r="I867" s="623"/>
      <c r="J867" s="623"/>
      <c r="K867" s="623"/>
      <c r="L867" s="623"/>
      <c r="M867" s="623"/>
      <c r="N867" s="623"/>
      <c r="O867" s="623"/>
      <c r="P867" s="623"/>
      <c r="Q867" s="623"/>
      <c r="R867" s="623"/>
      <c r="S867" s="623"/>
      <c r="T867" s="623"/>
      <c r="U867" s="623"/>
      <c r="V867" s="623"/>
      <c r="W867" s="623"/>
      <c r="X867" s="623"/>
      <c r="Y867" s="623"/>
      <c r="Z867" s="623"/>
      <c r="AA867" s="623"/>
      <c r="AB867" s="623"/>
      <c r="AC867" s="623"/>
      <c r="AD867" s="623"/>
      <c r="AE867" s="623"/>
      <c r="AF867" s="623"/>
      <c r="AG867" s="623"/>
      <c r="AH867" s="623"/>
      <c r="AI867" s="623"/>
      <c r="AJ867" s="623"/>
      <c r="AK867" s="623"/>
      <c r="AL867" s="623"/>
      <c r="AM867" s="623"/>
      <c r="AN867" s="623"/>
      <c r="AO867" s="623"/>
      <c r="AP867" s="623"/>
      <c r="AQ867" s="623"/>
      <c r="AR867" s="623"/>
      <c r="AS867" s="623"/>
      <c r="AT867" s="623"/>
      <c r="AU867" s="623"/>
      <c r="AV867" s="623"/>
      <c r="AW867" s="623"/>
      <c r="AX867" s="623"/>
      <c r="AY867" s="623"/>
      <c r="AZ867" s="623"/>
      <c r="BA867" s="623"/>
    </row>
    <row r="868">
      <c r="A868" s="623"/>
      <c r="B868" s="623"/>
      <c r="C868" s="623"/>
      <c r="D868" s="623"/>
      <c r="E868" s="623"/>
      <c r="F868" s="623"/>
      <c r="G868" s="623"/>
      <c r="H868" s="623"/>
      <c r="I868" s="623"/>
      <c r="J868" s="623"/>
      <c r="K868" s="623"/>
      <c r="L868" s="623"/>
      <c r="M868" s="623"/>
      <c r="N868" s="623"/>
      <c r="O868" s="623"/>
      <c r="P868" s="623"/>
      <c r="Q868" s="623"/>
      <c r="R868" s="623"/>
      <c r="S868" s="623"/>
      <c r="T868" s="623"/>
      <c r="U868" s="623"/>
      <c r="V868" s="623"/>
      <c r="W868" s="623"/>
      <c r="X868" s="623"/>
      <c r="Y868" s="623"/>
      <c r="Z868" s="623"/>
      <c r="AA868" s="623"/>
      <c r="AB868" s="623"/>
      <c r="AC868" s="623"/>
      <c r="AD868" s="623"/>
      <c r="AE868" s="623"/>
      <c r="AF868" s="623"/>
      <c r="AG868" s="623"/>
      <c r="AH868" s="623"/>
      <c r="AI868" s="623"/>
      <c r="AJ868" s="623"/>
      <c r="AK868" s="623"/>
      <c r="AL868" s="623"/>
      <c r="AM868" s="623"/>
      <c r="AN868" s="623"/>
      <c r="AO868" s="623"/>
      <c r="AP868" s="623"/>
      <c r="AQ868" s="623"/>
      <c r="AR868" s="623"/>
      <c r="AS868" s="623"/>
      <c r="AT868" s="623"/>
      <c r="AU868" s="623"/>
      <c r="AV868" s="623"/>
      <c r="AW868" s="623"/>
      <c r="AX868" s="623"/>
      <c r="AY868" s="623"/>
      <c r="AZ868" s="623"/>
      <c r="BA868" s="623"/>
    </row>
    <row r="869">
      <c r="A869" s="623"/>
      <c r="B869" s="623"/>
      <c r="C869" s="623"/>
      <c r="D869" s="623"/>
      <c r="E869" s="623"/>
      <c r="F869" s="623"/>
      <c r="G869" s="623"/>
      <c r="H869" s="623"/>
      <c r="I869" s="623"/>
      <c r="J869" s="623"/>
      <c r="K869" s="623"/>
      <c r="L869" s="623"/>
      <c r="M869" s="623"/>
      <c r="N869" s="623"/>
      <c r="O869" s="623"/>
      <c r="P869" s="623"/>
      <c r="Q869" s="623"/>
      <c r="R869" s="623"/>
      <c r="S869" s="623"/>
      <c r="T869" s="623"/>
      <c r="U869" s="623"/>
      <c r="V869" s="623"/>
      <c r="W869" s="623"/>
      <c r="X869" s="623"/>
      <c r="Y869" s="623"/>
      <c r="Z869" s="623"/>
      <c r="AA869" s="623"/>
      <c r="AB869" s="623"/>
      <c r="AC869" s="623"/>
      <c r="AD869" s="623"/>
      <c r="AE869" s="623"/>
      <c r="AF869" s="623"/>
      <c r="AG869" s="623"/>
      <c r="AH869" s="623"/>
      <c r="AI869" s="623"/>
      <c r="AJ869" s="623"/>
      <c r="AK869" s="623"/>
      <c r="AL869" s="623"/>
      <c r="AM869" s="623"/>
      <c r="AN869" s="623"/>
      <c r="AO869" s="623"/>
      <c r="AP869" s="623"/>
      <c r="AQ869" s="623"/>
      <c r="AR869" s="623"/>
      <c r="AS869" s="623"/>
      <c r="AT869" s="623"/>
      <c r="AU869" s="623"/>
      <c r="AV869" s="623"/>
      <c r="AW869" s="623"/>
      <c r="AX869" s="623"/>
      <c r="AY869" s="623"/>
      <c r="AZ869" s="623"/>
      <c r="BA869" s="623"/>
    </row>
    <row r="870">
      <c r="A870" s="623"/>
      <c r="B870" s="623"/>
      <c r="C870" s="623"/>
      <c r="D870" s="623"/>
      <c r="E870" s="623"/>
      <c r="F870" s="623"/>
      <c r="G870" s="623"/>
      <c r="H870" s="623"/>
      <c r="I870" s="623"/>
      <c r="J870" s="623"/>
      <c r="K870" s="623"/>
      <c r="L870" s="623"/>
      <c r="M870" s="623"/>
      <c r="N870" s="623"/>
      <c r="O870" s="623"/>
      <c r="P870" s="623"/>
      <c r="Q870" s="623"/>
      <c r="R870" s="623"/>
      <c r="S870" s="623"/>
      <c r="T870" s="623"/>
      <c r="U870" s="623"/>
      <c r="V870" s="623"/>
      <c r="W870" s="623"/>
      <c r="X870" s="623"/>
      <c r="Y870" s="623"/>
      <c r="Z870" s="623"/>
      <c r="AA870" s="623"/>
      <c r="AB870" s="623"/>
      <c r="AC870" s="623"/>
      <c r="AD870" s="623"/>
      <c r="AE870" s="623"/>
      <c r="AF870" s="623"/>
      <c r="AG870" s="623"/>
      <c r="AH870" s="623"/>
      <c r="AI870" s="623"/>
      <c r="AJ870" s="623"/>
      <c r="AK870" s="623"/>
      <c r="AL870" s="623"/>
      <c r="AM870" s="623"/>
      <c r="AN870" s="623"/>
      <c r="AO870" s="623"/>
      <c r="AP870" s="623"/>
      <c r="AQ870" s="623"/>
      <c r="AR870" s="623"/>
      <c r="AS870" s="623"/>
      <c r="AT870" s="623"/>
      <c r="AU870" s="623"/>
      <c r="AV870" s="623"/>
      <c r="AW870" s="623"/>
      <c r="AX870" s="623"/>
      <c r="AY870" s="623"/>
      <c r="AZ870" s="623"/>
      <c r="BA870" s="623"/>
    </row>
    <row r="871">
      <c r="A871" s="623"/>
      <c r="B871" s="623"/>
      <c r="C871" s="623"/>
      <c r="D871" s="623"/>
      <c r="E871" s="623"/>
      <c r="F871" s="623"/>
      <c r="G871" s="623"/>
      <c r="H871" s="623"/>
      <c r="I871" s="623"/>
      <c r="J871" s="623"/>
      <c r="K871" s="623"/>
      <c r="L871" s="623"/>
      <c r="M871" s="623"/>
      <c r="N871" s="623"/>
      <c r="O871" s="623"/>
      <c r="P871" s="623"/>
      <c r="Q871" s="623"/>
      <c r="R871" s="623"/>
      <c r="S871" s="623"/>
      <c r="T871" s="623"/>
      <c r="U871" s="623"/>
      <c r="V871" s="623"/>
      <c r="W871" s="623"/>
      <c r="X871" s="623"/>
      <c r="Y871" s="623"/>
      <c r="Z871" s="623"/>
      <c r="AA871" s="623"/>
      <c r="AB871" s="623"/>
      <c r="AC871" s="623"/>
      <c r="AD871" s="623"/>
      <c r="AE871" s="623"/>
      <c r="AF871" s="623"/>
      <c r="AG871" s="623"/>
      <c r="AH871" s="623"/>
      <c r="AI871" s="623"/>
      <c r="AJ871" s="623"/>
      <c r="AK871" s="623"/>
      <c r="AL871" s="623"/>
      <c r="AM871" s="623"/>
      <c r="AN871" s="623"/>
      <c r="AO871" s="623"/>
      <c r="AP871" s="623"/>
      <c r="AQ871" s="623"/>
      <c r="AR871" s="623"/>
      <c r="AS871" s="623"/>
      <c r="AT871" s="623"/>
      <c r="AU871" s="623"/>
      <c r="AV871" s="623"/>
      <c r="AW871" s="623"/>
      <c r="AX871" s="623"/>
      <c r="AY871" s="623"/>
      <c r="AZ871" s="623"/>
      <c r="BA871" s="623"/>
    </row>
    <row r="872">
      <c r="A872" s="623"/>
      <c r="B872" s="623"/>
      <c r="C872" s="623"/>
      <c r="D872" s="623"/>
      <c r="E872" s="623"/>
      <c r="F872" s="623"/>
      <c r="G872" s="623"/>
      <c r="H872" s="623"/>
      <c r="I872" s="623"/>
      <c r="J872" s="623"/>
      <c r="K872" s="623"/>
      <c r="L872" s="623"/>
      <c r="M872" s="623"/>
      <c r="N872" s="623"/>
      <c r="O872" s="623"/>
      <c r="P872" s="623"/>
      <c r="Q872" s="623"/>
      <c r="R872" s="623"/>
      <c r="S872" s="623"/>
      <c r="T872" s="623"/>
      <c r="U872" s="623"/>
      <c r="V872" s="623"/>
      <c r="W872" s="623"/>
      <c r="X872" s="623"/>
      <c r="Y872" s="623"/>
      <c r="Z872" s="623"/>
      <c r="AA872" s="623"/>
      <c r="AB872" s="623"/>
      <c r="AC872" s="623"/>
      <c r="AD872" s="623"/>
      <c r="AE872" s="623"/>
      <c r="AF872" s="623"/>
      <c r="AG872" s="623"/>
      <c r="AH872" s="623"/>
      <c r="AI872" s="623"/>
      <c r="AJ872" s="623"/>
      <c r="AK872" s="623"/>
      <c r="AL872" s="623"/>
      <c r="AM872" s="623"/>
      <c r="AN872" s="623"/>
      <c r="AO872" s="623"/>
      <c r="AP872" s="623"/>
      <c r="AQ872" s="623"/>
      <c r="AR872" s="623"/>
      <c r="AS872" s="623"/>
      <c r="AT872" s="623"/>
      <c r="AU872" s="623"/>
      <c r="AV872" s="623"/>
      <c r="AW872" s="623"/>
      <c r="AX872" s="623"/>
      <c r="AY872" s="623"/>
      <c r="AZ872" s="623"/>
      <c r="BA872" s="623"/>
    </row>
    <row r="873">
      <c r="A873" s="623"/>
      <c r="B873" s="623"/>
      <c r="C873" s="623"/>
      <c r="D873" s="623"/>
      <c r="E873" s="623"/>
      <c r="F873" s="623"/>
      <c r="G873" s="623"/>
      <c r="H873" s="623"/>
      <c r="I873" s="623"/>
      <c r="J873" s="623"/>
      <c r="K873" s="623"/>
      <c r="L873" s="623"/>
      <c r="M873" s="623"/>
      <c r="N873" s="623"/>
      <c r="O873" s="623"/>
      <c r="P873" s="623"/>
      <c r="Q873" s="623"/>
      <c r="R873" s="623"/>
      <c r="S873" s="623"/>
      <c r="T873" s="623"/>
      <c r="U873" s="623"/>
      <c r="V873" s="623"/>
      <c r="W873" s="623"/>
      <c r="X873" s="623"/>
      <c r="Y873" s="623"/>
      <c r="Z873" s="623"/>
      <c r="AA873" s="623"/>
      <c r="AB873" s="623"/>
      <c r="AC873" s="623"/>
      <c r="AD873" s="623"/>
      <c r="AE873" s="623"/>
      <c r="AF873" s="623"/>
      <c r="AG873" s="623"/>
      <c r="AH873" s="623"/>
      <c r="AI873" s="623"/>
      <c r="AJ873" s="623"/>
      <c r="AK873" s="623"/>
      <c r="AL873" s="623"/>
      <c r="AM873" s="623"/>
      <c r="AN873" s="623"/>
      <c r="AO873" s="623"/>
      <c r="AP873" s="623"/>
      <c r="AQ873" s="623"/>
      <c r="AR873" s="623"/>
      <c r="AS873" s="623"/>
      <c r="AT873" s="623"/>
      <c r="AU873" s="623"/>
      <c r="AV873" s="623"/>
      <c r="AW873" s="623"/>
      <c r="AX873" s="623"/>
      <c r="AY873" s="623"/>
      <c r="AZ873" s="623"/>
      <c r="BA873" s="623"/>
    </row>
    <row r="874">
      <c r="A874" s="623"/>
      <c r="B874" s="623"/>
      <c r="C874" s="623"/>
      <c r="D874" s="623"/>
      <c r="E874" s="623"/>
      <c r="F874" s="623"/>
      <c r="G874" s="623"/>
      <c r="H874" s="623"/>
      <c r="I874" s="623"/>
      <c r="J874" s="623"/>
      <c r="K874" s="623"/>
      <c r="L874" s="623"/>
      <c r="M874" s="623"/>
      <c r="N874" s="623"/>
      <c r="O874" s="623"/>
      <c r="P874" s="623"/>
      <c r="Q874" s="623"/>
      <c r="R874" s="623"/>
      <c r="S874" s="623"/>
      <c r="T874" s="623"/>
      <c r="U874" s="623"/>
      <c r="V874" s="623"/>
      <c r="W874" s="623"/>
      <c r="X874" s="623"/>
      <c r="Y874" s="623"/>
      <c r="Z874" s="623"/>
      <c r="AA874" s="623"/>
      <c r="AB874" s="623"/>
      <c r="AC874" s="623"/>
      <c r="AD874" s="623"/>
      <c r="AE874" s="623"/>
      <c r="AF874" s="623"/>
      <c r="AG874" s="623"/>
      <c r="AH874" s="623"/>
      <c r="AI874" s="623"/>
      <c r="AJ874" s="623"/>
      <c r="AK874" s="623"/>
      <c r="AL874" s="623"/>
      <c r="AM874" s="623"/>
      <c r="AN874" s="623"/>
      <c r="AO874" s="623"/>
      <c r="AP874" s="623"/>
      <c r="AQ874" s="623"/>
      <c r="AR874" s="623"/>
      <c r="AS874" s="623"/>
      <c r="AT874" s="623"/>
      <c r="AU874" s="623"/>
      <c r="AV874" s="623"/>
      <c r="AW874" s="623"/>
      <c r="AX874" s="623"/>
      <c r="AY874" s="623"/>
      <c r="AZ874" s="623"/>
      <c r="BA874" s="623"/>
    </row>
    <row r="875">
      <c r="A875" s="623"/>
      <c r="B875" s="623"/>
      <c r="C875" s="623"/>
      <c r="D875" s="623"/>
      <c r="E875" s="623"/>
      <c r="F875" s="623"/>
      <c r="G875" s="623"/>
      <c r="H875" s="623"/>
      <c r="I875" s="623"/>
      <c r="J875" s="623"/>
      <c r="K875" s="623"/>
      <c r="L875" s="623"/>
      <c r="M875" s="623"/>
      <c r="N875" s="623"/>
      <c r="O875" s="623"/>
      <c r="P875" s="623"/>
      <c r="Q875" s="623"/>
      <c r="R875" s="623"/>
      <c r="S875" s="623"/>
      <c r="T875" s="623"/>
      <c r="U875" s="623"/>
      <c r="V875" s="623"/>
      <c r="W875" s="623"/>
      <c r="X875" s="623"/>
      <c r="Y875" s="623"/>
      <c r="Z875" s="623"/>
      <c r="AA875" s="623"/>
      <c r="AB875" s="623"/>
      <c r="AC875" s="623"/>
      <c r="AD875" s="623"/>
      <c r="AE875" s="623"/>
      <c r="AF875" s="623"/>
      <c r="AG875" s="623"/>
      <c r="AH875" s="623"/>
      <c r="AI875" s="623"/>
      <c r="AJ875" s="623"/>
      <c r="AK875" s="623"/>
      <c r="AL875" s="623"/>
      <c r="AM875" s="623"/>
      <c r="AN875" s="623"/>
      <c r="AO875" s="623"/>
      <c r="AP875" s="623"/>
      <c r="AQ875" s="623"/>
      <c r="AR875" s="623"/>
      <c r="AS875" s="623"/>
      <c r="AT875" s="623"/>
      <c r="AU875" s="623"/>
      <c r="AV875" s="623"/>
      <c r="AW875" s="623"/>
      <c r="AX875" s="623"/>
      <c r="AY875" s="623"/>
      <c r="AZ875" s="623"/>
      <c r="BA875" s="623"/>
    </row>
    <row r="876">
      <c r="A876" s="623"/>
      <c r="B876" s="623"/>
      <c r="C876" s="623"/>
      <c r="D876" s="623"/>
      <c r="E876" s="623"/>
      <c r="F876" s="623"/>
      <c r="G876" s="623"/>
      <c r="H876" s="623"/>
      <c r="I876" s="623"/>
      <c r="J876" s="623"/>
      <c r="K876" s="623"/>
      <c r="L876" s="623"/>
      <c r="M876" s="623"/>
      <c r="N876" s="623"/>
      <c r="O876" s="623"/>
      <c r="P876" s="623"/>
      <c r="Q876" s="623"/>
      <c r="R876" s="623"/>
      <c r="S876" s="623"/>
      <c r="T876" s="623"/>
      <c r="U876" s="623"/>
      <c r="V876" s="623"/>
      <c r="W876" s="623"/>
      <c r="X876" s="623"/>
      <c r="Y876" s="623"/>
      <c r="Z876" s="623"/>
      <c r="AA876" s="623"/>
      <c r="AB876" s="623"/>
      <c r="AC876" s="623"/>
      <c r="AD876" s="623"/>
      <c r="AE876" s="623"/>
      <c r="AF876" s="623"/>
      <c r="AG876" s="623"/>
      <c r="AH876" s="623"/>
      <c r="AI876" s="623"/>
      <c r="AJ876" s="623"/>
      <c r="AK876" s="623"/>
      <c r="AL876" s="623"/>
      <c r="AM876" s="623"/>
      <c r="AN876" s="623"/>
      <c r="AO876" s="623"/>
      <c r="AP876" s="623"/>
      <c r="AQ876" s="623"/>
      <c r="AR876" s="623"/>
      <c r="AS876" s="623"/>
      <c r="AT876" s="623"/>
      <c r="AU876" s="623"/>
      <c r="AV876" s="623"/>
      <c r="AW876" s="623"/>
      <c r="AX876" s="623"/>
      <c r="AY876" s="623"/>
      <c r="AZ876" s="623"/>
      <c r="BA876" s="623"/>
    </row>
    <row r="877">
      <c r="A877" s="623"/>
      <c r="B877" s="623"/>
      <c r="C877" s="623"/>
      <c r="D877" s="623"/>
      <c r="E877" s="623"/>
      <c r="F877" s="623"/>
      <c r="G877" s="623"/>
      <c r="H877" s="623"/>
      <c r="I877" s="623"/>
      <c r="J877" s="623"/>
      <c r="K877" s="623"/>
      <c r="L877" s="623"/>
      <c r="M877" s="623"/>
      <c r="N877" s="623"/>
      <c r="O877" s="623"/>
      <c r="P877" s="623"/>
      <c r="Q877" s="623"/>
      <c r="R877" s="623"/>
      <c r="S877" s="623"/>
      <c r="T877" s="623"/>
      <c r="U877" s="623"/>
      <c r="V877" s="623"/>
      <c r="W877" s="623"/>
      <c r="X877" s="623"/>
      <c r="Y877" s="623"/>
      <c r="Z877" s="623"/>
      <c r="AA877" s="623"/>
      <c r="AB877" s="623"/>
      <c r="AC877" s="623"/>
      <c r="AD877" s="623"/>
      <c r="AE877" s="623"/>
      <c r="AF877" s="623"/>
      <c r="AG877" s="623"/>
      <c r="AH877" s="623"/>
      <c r="AI877" s="623"/>
      <c r="AJ877" s="623"/>
      <c r="AK877" s="623"/>
      <c r="AL877" s="623"/>
      <c r="AM877" s="623"/>
      <c r="AN877" s="623"/>
      <c r="AO877" s="623"/>
      <c r="AP877" s="623"/>
      <c r="AQ877" s="623"/>
      <c r="AR877" s="623"/>
      <c r="AS877" s="623"/>
      <c r="AT877" s="623"/>
      <c r="AU877" s="623"/>
      <c r="AV877" s="623"/>
      <c r="AW877" s="623"/>
      <c r="AX877" s="623"/>
      <c r="AY877" s="623"/>
      <c r="AZ877" s="623"/>
      <c r="BA877" s="623"/>
    </row>
    <row r="878">
      <c r="A878" s="623"/>
      <c r="B878" s="623"/>
      <c r="C878" s="623"/>
      <c r="D878" s="623"/>
      <c r="E878" s="623"/>
      <c r="F878" s="623"/>
      <c r="G878" s="623"/>
      <c r="H878" s="623"/>
      <c r="I878" s="623"/>
      <c r="J878" s="623"/>
      <c r="K878" s="623"/>
      <c r="L878" s="623"/>
      <c r="M878" s="623"/>
      <c r="N878" s="623"/>
      <c r="O878" s="623"/>
      <c r="P878" s="623"/>
      <c r="Q878" s="623"/>
      <c r="R878" s="623"/>
      <c r="S878" s="623"/>
      <c r="T878" s="623"/>
      <c r="U878" s="623"/>
      <c r="V878" s="623"/>
      <c r="W878" s="623"/>
      <c r="X878" s="623"/>
      <c r="Y878" s="623"/>
      <c r="Z878" s="623"/>
      <c r="AA878" s="623"/>
      <c r="AB878" s="623"/>
      <c r="AC878" s="623"/>
      <c r="AD878" s="623"/>
      <c r="AE878" s="623"/>
      <c r="AF878" s="623"/>
      <c r="AG878" s="623"/>
      <c r="AH878" s="623"/>
      <c r="AI878" s="623"/>
      <c r="AJ878" s="623"/>
      <c r="AK878" s="623"/>
      <c r="AL878" s="623"/>
      <c r="AM878" s="623"/>
      <c r="AN878" s="623"/>
      <c r="AO878" s="623"/>
      <c r="AP878" s="623"/>
      <c r="AQ878" s="623"/>
      <c r="AR878" s="623"/>
      <c r="AS878" s="623"/>
      <c r="AT878" s="623"/>
      <c r="AU878" s="623"/>
      <c r="AV878" s="623"/>
      <c r="AW878" s="623"/>
      <c r="AX878" s="623"/>
      <c r="AY878" s="623"/>
      <c r="AZ878" s="623"/>
      <c r="BA878" s="623"/>
    </row>
    <row r="879">
      <c r="A879" s="623"/>
      <c r="B879" s="623"/>
      <c r="C879" s="623"/>
      <c r="D879" s="623"/>
      <c r="E879" s="623"/>
      <c r="F879" s="623"/>
      <c r="G879" s="623"/>
      <c r="H879" s="623"/>
      <c r="I879" s="623"/>
      <c r="J879" s="623"/>
      <c r="K879" s="623"/>
      <c r="L879" s="623"/>
      <c r="M879" s="623"/>
      <c r="N879" s="623"/>
      <c r="O879" s="623"/>
      <c r="P879" s="623"/>
      <c r="Q879" s="623"/>
      <c r="R879" s="623"/>
      <c r="S879" s="623"/>
      <c r="T879" s="623"/>
      <c r="U879" s="623"/>
      <c r="V879" s="623"/>
      <c r="W879" s="623"/>
      <c r="X879" s="623"/>
      <c r="Y879" s="623"/>
      <c r="Z879" s="623"/>
      <c r="AA879" s="623"/>
      <c r="AB879" s="623"/>
      <c r="AC879" s="623"/>
      <c r="AD879" s="623"/>
      <c r="AE879" s="623"/>
      <c r="AF879" s="623"/>
      <c r="AG879" s="623"/>
      <c r="AH879" s="623"/>
      <c r="AI879" s="623"/>
      <c r="AJ879" s="623"/>
      <c r="AK879" s="623"/>
      <c r="AL879" s="623"/>
      <c r="AM879" s="623"/>
      <c r="AN879" s="623"/>
      <c r="AO879" s="623"/>
      <c r="AP879" s="623"/>
      <c r="AQ879" s="623"/>
      <c r="AR879" s="623"/>
      <c r="AS879" s="623"/>
      <c r="AT879" s="623"/>
      <c r="AU879" s="623"/>
      <c r="AV879" s="623"/>
      <c r="AW879" s="623"/>
      <c r="AX879" s="623"/>
      <c r="AY879" s="623"/>
      <c r="AZ879" s="623"/>
      <c r="BA879" s="623"/>
    </row>
    <row r="880">
      <c r="A880" s="623"/>
      <c r="B880" s="623"/>
      <c r="C880" s="623"/>
      <c r="D880" s="623"/>
      <c r="E880" s="623"/>
      <c r="F880" s="623"/>
      <c r="G880" s="623"/>
      <c r="H880" s="623"/>
      <c r="I880" s="623"/>
      <c r="J880" s="623"/>
      <c r="K880" s="623"/>
      <c r="L880" s="623"/>
      <c r="M880" s="623"/>
      <c r="N880" s="623"/>
      <c r="O880" s="623"/>
      <c r="P880" s="623"/>
      <c r="Q880" s="623"/>
      <c r="R880" s="623"/>
      <c r="S880" s="623"/>
      <c r="T880" s="623"/>
      <c r="U880" s="623"/>
      <c r="V880" s="623"/>
      <c r="W880" s="623"/>
      <c r="X880" s="623"/>
      <c r="Y880" s="623"/>
      <c r="Z880" s="623"/>
      <c r="AA880" s="623"/>
      <c r="AB880" s="623"/>
      <c r="AC880" s="623"/>
      <c r="AD880" s="623"/>
      <c r="AE880" s="623"/>
      <c r="AF880" s="623"/>
      <c r="AG880" s="623"/>
      <c r="AH880" s="623"/>
      <c r="AI880" s="623"/>
      <c r="AJ880" s="623"/>
      <c r="AK880" s="623"/>
      <c r="AL880" s="623"/>
      <c r="AM880" s="623"/>
      <c r="AN880" s="623"/>
      <c r="AO880" s="623"/>
      <c r="AP880" s="623"/>
      <c r="AQ880" s="623"/>
      <c r="AR880" s="623"/>
      <c r="AS880" s="623"/>
      <c r="AT880" s="623"/>
      <c r="AU880" s="623"/>
      <c r="AV880" s="623"/>
      <c r="AW880" s="623"/>
      <c r="AX880" s="623"/>
      <c r="AY880" s="623"/>
      <c r="AZ880" s="623"/>
      <c r="BA880" s="623"/>
    </row>
    <row r="881">
      <c r="A881" s="623"/>
      <c r="B881" s="623"/>
      <c r="C881" s="623"/>
      <c r="D881" s="623"/>
      <c r="E881" s="623"/>
      <c r="F881" s="623"/>
      <c r="G881" s="623"/>
      <c r="H881" s="623"/>
      <c r="I881" s="623"/>
      <c r="J881" s="623"/>
      <c r="K881" s="623"/>
      <c r="L881" s="623"/>
      <c r="M881" s="623"/>
      <c r="N881" s="623"/>
      <c r="O881" s="623"/>
      <c r="P881" s="623"/>
      <c r="Q881" s="623"/>
      <c r="R881" s="623"/>
      <c r="S881" s="623"/>
      <c r="T881" s="623"/>
      <c r="U881" s="623"/>
      <c r="V881" s="623"/>
      <c r="W881" s="623"/>
      <c r="X881" s="623"/>
      <c r="Y881" s="623"/>
      <c r="Z881" s="623"/>
      <c r="AA881" s="623"/>
      <c r="AB881" s="623"/>
      <c r="AC881" s="623"/>
      <c r="AD881" s="623"/>
      <c r="AE881" s="623"/>
      <c r="AF881" s="623"/>
      <c r="AG881" s="623"/>
      <c r="AH881" s="623"/>
      <c r="AI881" s="623"/>
      <c r="AJ881" s="623"/>
      <c r="AK881" s="623"/>
      <c r="AL881" s="623"/>
      <c r="AM881" s="623"/>
      <c r="AN881" s="623"/>
      <c r="AO881" s="623"/>
      <c r="AP881" s="623"/>
      <c r="AQ881" s="623"/>
      <c r="AR881" s="623"/>
      <c r="AS881" s="623"/>
      <c r="AT881" s="623"/>
      <c r="AU881" s="623"/>
      <c r="AV881" s="623"/>
      <c r="AW881" s="623"/>
      <c r="AX881" s="623"/>
      <c r="AY881" s="623"/>
      <c r="AZ881" s="623"/>
      <c r="BA881" s="623"/>
    </row>
    <row r="882">
      <c r="A882" s="623"/>
      <c r="B882" s="623"/>
      <c r="C882" s="623"/>
      <c r="D882" s="623"/>
      <c r="E882" s="623"/>
      <c r="F882" s="623"/>
      <c r="G882" s="623"/>
      <c r="H882" s="623"/>
      <c r="I882" s="623"/>
      <c r="J882" s="623"/>
      <c r="K882" s="623"/>
      <c r="L882" s="623"/>
      <c r="M882" s="623"/>
      <c r="N882" s="623"/>
      <c r="O882" s="623"/>
      <c r="P882" s="623"/>
      <c r="Q882" s="623"/>
      <c r="R882" s="623"/>
      <c r="S882" s="623"/>
      <c r="T882" s="623"/>
      <c r="U882" s="623"/>
      <c r="V882" s="623"/>
      <c r="W882" s="623"/>
      <c r="X882" s="623"/>
      <c r="Y882" s="623"/>
      <c r="Z882" s="623"/>
      <c r="AA882" s="623"/>
      <c r="AB882" s="623"/>
      <c r="AC882" s="623"/>
      <c r="AD882" s="623"/>
      <c r="AE882" s="623"/>
      <c r="AF882" s="623"/>
      <c r="AG882" s="623"/>
      <c r="AH882" s="623"/>
      <c r="AI882" s="623"/>
      <c r="AJ882" s="623"/>
      <c r="AK882" s="623"/>
      <c r="AL882" s="623"/>
      <c r="AM882" s="623"/>
      <c r="AN882" s="623"/>
      <c r="AO882" s="623"/>
      <c r="AP882" s="623"/>
      <c r="AQ882" s="623"/>
      <c r="AR882" s="623"/>
      <c r="AS882" s="623"/>
      <c r="AT882" s="623"/>
      <c r="AU882" s="623"/>
      <c r="AV882" s="623"/>
      <c r="AW882" s="623"/>
      <c r="AX882" s="623"/>
      <c r="AY882" s="623"/>
      <c r="AZ882" s="623"/>
      <c r="BA882" s="623"/>
    </row>
    <row r="883">
      <c r="A883" s="623"/>
      <c r="B883" s="623"/>
      <c r="C883" s="623"/>
      <c r="D883" s="623"/>
      <c r="E883" s="623"/>
      <c r="F883" s="623"/>
      <c r="G883" s="623"/>
      <c r="H883" s="623"/>
      <c r="I883" s="623"/>
      <c r="J883" s="623"/>
      <c r="K883" s="623"/>
      <c r="L883" s="623"/>
      <c r="M883" s="623"/>
      <c r="N883" s="623"/>
      <c r="O883" s="623"/>
      <c r="P883" s="623"/>
      <c r="Q883" s="623"/>
      <c r="R883" s="623"/>
      <c r="S883" s="623"/>
      <c r="T883" s="623"/>
      <c r="U883" s="623"/>
      <c r="V883" s="623"/>
      <c r="W883" s="623"/>
      <c r="X883" s="623"/>
      <c r="Y883" s="623"/>
      <c r="Z883" s="623"/>
      <c r="AA883" s="623"/>
      <c r="AB883" s="623"/>
      <c r="AC883" s="623"/>
      <c r="AD883" s="623"/>
      <c r="AE883" s="623"/>
      <c r="AF883" s="623"/>
      <c r="AG883" s="623"/>
      <c r="AH883" s="623"/>
      <c r="AI883" s="623"/>
      <c r="AJ883" s="623"/>
      <c r="AK883" s="623"/>
      <c r="AL883" s="623"/>
      <c r="AM883" s="623"/>
      <c r="AN883" s="623"/>
      <c r="AO883" s="623"/>
      <c r="AP883" s="623"/>
      <c r="AQ883" s="623"/>
      <c r="AR883" s="623"/>
      <c r="AS883" s="623"/>
      <c r="AT883" s="623"/>
      <c r="AU883" s="623"/>
      <c r="AV883" s="623"/>
      <c r="AW883" s="623"/>
      <c r="AX883" s="623"/>
      <c r="AY883" s="623"/>
      <c r="AZ883" s="623"/>
      <c r="BA883" s="623"/>
    </row>
    <row r="884">
      <c r="A884" s="623"/>
      <c r="B884" s="623"/>
      <c r="C884" s="623"/>
      <c r="D884" s="623"/>
      <c r="E884" s="623"/>
      <c r="F884" s="623"/>
      <c r="G884" s="623"/>
      <c r="H884" s="623"/>
      <c r="I884" s="623"/>
      <c r="J884" s="623"/>
      <c r="K884" s="623"/>
      <c r="L884" s="623"/>
      <c r="M884" s="623"/>
      <c r="N884" s="623"/>
      <c r="O884" s="623"/>
      <c r="P884" s="623"/>
      <c r="Q884" s="623"/>
      <c r="R884" s="623"/>
      <c r="S884" s="623"/>
      <c r="T884" s="623"/>
      <c r="U884" s="623"/>
      <c r="V884" s="623"/>
      <c r="W884" s="623"/>
      <c r="X884" s="623"/>
      <c r="Y884" s="623"/>
      <c r="Z884" s="623"/>
      <c r="AA884" s="623"/>
      <c r="AB884" s="623"/>
      <c r="AC884" s="623"/>
      <c r="AD884" s="623"/>
      <c r="AE884" s="623"/>
      <c r="AF884" s="623"/>
      <c r="AG884" s="623"/>
      <c r="AH884" s="623"/>
      <c r="AI884" s="623"/>
      <c r="AJ884" s="623"/>
      <c r="AK884" s="623"/>
      <c r="AL884" s="623"/>
      <c r="AM884" s="623"/>
      <c r="AN884" s="623"/>
      <c r="AO884" s="623"/>
      <c r="AP884" s="623"/>
      <c r="AQ884" s="623"/>
      <c r="AR884" s="623"/>
      <c r="AS884" s="623"/>
      <c r="AT884" s="623"/>
      <c r="AU884" s="623"/>
      <c r="AV884" s="623"/>
      <c r="AW884" s="623"/>
      <c r="AX884" s="623"/>
      <c r="AY884" s="623"/>
      <c r="AZ884" s="623"/>
      <c r="BA884" s="623"/>
    </row>
    <row r="885">
      <c r="A885" s="623"/>
      <c r="B885" s="623"/>
      <c r="C885" s="623"/>
      <c r="D885" s="623"/>
      <c r="E885" s="623"/>
      <c r="F885" s="623"/>
      <c r="G885" s="623"/>
      <c r="H885" s="623"/>
      <c r="I885" s="623"/>
      <c r="J885" s="623"/>
      <c r="K885" s="623"/>
      <c r="L885" s="623"/>
      <c r="M885" s="623"/>
      <c r="N885" s="623"/>
      <c r="O885" s="623"/>
      <c r="P885" s="623"/>
      <c r="Q885" s="623"/>
      <c r="R885" s="623"/>
      <c r="S885" s="623"/>
      <c r="T885" s="623"/>
      <c r="U885" s="623"/>
      <c r="V885" s="623"/>
      <c r="W885" s="623"/>
      <c r="X885" s="623"/>
      <c r="Y885" s="623"/>
      <c r="Z885" s="623"/>
      <c r="AA885" s="623"/>
      <c r="AB885" s="623"/>
      <c r="AC885" s="623"/>
      <c r="AD885" s="623"/>
      <c r="AE885" s="623"/>
      <c r="AF885" s="623"/>
      <c r="AG885" s="623"/>
      <c r="AH885" s="623"/>
      <c r="AI885" s="623"/>
      <c r="AJ885" s="623"/>
      <c r="AK885" s="623"/>
      <c r="AL885" s="623"/>
      <c r="AM885" s="623"/>
      <c r="AN885" s="623"/>
      <c r="AO885" s="623"/>
      <c r="AP885" s="623"/>
      <c r="AQ885" s="623"/>
      <c r="AR885" s="623"/>
      <c r="AS885" s="623"/>
      <c r="AT885" s="623"/>
      <c r="AU885" s="623"/>
      <c r="AV885" s="623"/>
      <c r="AW885" s="623"/>
      <c r="AX885" s="623"/>
      <c r="AY885" s="623"/>
      <c r="AZ885" s="623"/>
      <c r="BA885" s="623"/>
    </row>
    <row r="886">
      <c r="A886" s="623"/>
      <c r="B886" s="623"/>
      <c r="C886" s="623"/>
      <c r="D886" s="623"/>
      <c r="E886" s="623"/>
      <c r="F886" s="623"/>
      <c r="G886" s="623"/>
      <c r="H886" s="623"/>
      <c r="I886" s="623"/>
      <c r="J886" s="623"/>
      <c r="K886" s="623"/>
      <c r="L886" s="623"/>
      <c r="M886" s="623"/>
      <c r="N886" s="623"/>
      <c r="O886" s="623"/>
      <c r="P886" s="623"/>
      <c r="Q886" s="623"/>
      <c r="R886" s="623"/>
      <c r="S886" s="623"/>
      <c r="T886" s="623"/>
      <c r="U886" s="623"/>
      <c r="V886" s="623"/>
      <c r="W886" s="623"/>
      <c r="X886" s="623"/>
      <c r="Y886" s="623"/>
      <c r="Z886" s="623"/>
      <c r="AA886" s="623"/>
      <c r="AB886" s="623"/>
      <c r="AC886" s="623"/>
      <c r="AD886" s="623"/>
      <c r="AE886" s="623"/>
      <c r="AF886" s="623"/>
      <c r="AG886" s="623"/>
      <c r="AH886" s="623"/>
      <c r="AI886" s="623"/>
      <c r="AJ886" s="623"/>
      <c r="AK886" s="623"/>
      <c r="AL886" s="623"/>
      <c r="AM886" s="623"/>
      <c r="AN886" s="623"/>
      <c r="AO886" s="623"/>
      <c r="AP886" s="623"/>
      <c r="AQ886" s="623"/>
      <c r="AR886" s="623"/>
      <c r="AS886" s="623"/>
      <c r="AT886" s="623"/>
      <c r="AU886" s="623"/>
      <c r="AV886" s="623"/>
      <c r="AW886" s="623"/>
      <c r="AX886" s="623"/>
      <c r="AY886" s="623"/>
      <c r="AZ886" s="623"/>
      <c r="BA886" s="623"/>
    </row>
    <row r="887">
      <c r="A887" s="623"/>
      <c r="B887" s="623"/>
      <c r="C887" s="623"/>
      <c r="D887" s="623"/>
      <c r="E887" s="623"/>
      <c r="F887" s="623"/>
      <c r="G887" s="623"/>
      <c r="H887" s="623"/>
      <c r="I887" s="623"/>
      <c r="J887" s="623"/>
      <c r="K887" s="623"/>
      <c r="L887" s="623"/>
      <c r="M887" s="623"/>
      <c r="N887" s="623"/>
      <c r="O887" s="623"/>
      <c r="P887" s="623"/>
      <c r="Q887" s="623"/>
      <c r="R887" s="623"/>
      <c r="S887" s="623"/>
      <c r="T887" s="623"/>
      <c r="U887" s="623"/>
      <c r="V887" s="623"/>
      <c r="W887" s="623"/>
      <c r="X887" s="623"/>
      <c r="Y887" s="623"/>
      <c r="Z887" s="623"/>
      <c r="AA887" s="623"/>
      <c r="AB887" s="623"/>
      <c r="AC887" s="623"/>
      <c r="AD887" s="623"/>
      <c r="AE887" s="623"/>
      <c r="AF887" s="623"/>
      <c r="AG887" s="623"/>
      <c r="AH887" s="623"/>
      <c r="AI887" s="623"/>
      <c r="AJ887" s="623"/>
      <c r="AK887" s="623"/>
      <c r="AL887" s="623"/>
      <c r="AM887" s="623"/>
      <c r="AN887" s="623"/>
      <c r="AO887" s="623"/>
      <c r="AP887" s="623"/>
      <c r="AQ887" s="623"/>
      <c r="AR887" s="623"/>
      <c r="AS887" s="623"/>
      <c r="AT887" s="623"/>
      <c r="AU887" s="623"/>
      <c r="AV887" s="623"/>
      <c r="AW887" s="623"/>
      <c r="AX887" s="623"/>
      <c r="AY887" s="623"/>
      <c r="AZ887" s="623"/>
      <c r="BA887" s="623"/>
    </row>
    <row r="888">
      <c r="A888" s="623"/>
      <c r="B888" s="623"/>
      <c r="C888" s="623"/>
      <c r="D888" s="623"/>
      <c r="E888" s="623"/>
      <c r="F888" s="623"/>
      <c r="G888" s="623"/>
      <c r="H888" s="623"/>
      <c r="I888" s="623"/>
      <c r="J888" s="623"/>
      <c r="K888" s="623"/>
      <c r="L888" s="623"/>
      <c r="M888" s="623"/>
      <c r="N888" s="623"/>
      <c r="O888" s="623"/>
      <c r="P888" s="623"/>
      <c r="Q888" s="623"/>
      <c r="R888" s="623"/>
      <c r="S888" s="623"/>
      <c r="T888" s="623"/>
      <c r="U888" s="623"/>
      <c r="V888" s="623"/>
      <c r="W888" s="623"/>
      <c r="X888" s="623"/>
      <c r="Y888" s="623"/>
      <c r="Z888" s="623"/>
      <c r="AA888" s="623"/>
      <c r="AB888" s="623"/>
      <c r="AC888" s="623"/>
      <c r="AD888" s="623"/>
      <c r="AE888" s="623"/>
      <c r="AF888" s="623"/>
      <c r="AG888" s="623"/>
      <c r="AH888" s="623"/>
      <c r="AI888" s="623"/>
      <c r="AJ888" s="623"/>
      <c r="AK888" s="623"/>
      <c r="AL888" s="623"/>
      <c r="AM888" s="623"/>
      <c r="AN888" s="623"/>
      <c r="AO888" s="623"/>
      <c r="AP888" s="623"/>
      <c r="AQ888" s="623"/>
      <c r="AR888" s="623"/>
      <c r="AS888" s="623"/>
      <c r="AT888" s="623"/>
      <c r="AU888" s="623"/>
      <c r="AV888" s="623"/>
      <c r="AW888" s="623"/>
      <c r="AX888" s="623"/>
      <c r="AY888" s="623"/>
      <c r="AZ888" s="623"/>
      <c r="BA888" s="623"/>
    </row>
    <row r="889">
      <c r="A889" s="623"/>
      <c r="B889" s="623"/>
      <c r="C889" s="623"/>
      <c r="D889" s="623"/>
      <c r="E889" s="623"/>
      <c r="F889" s="623"/>
      <c r="G889" s="623"/>
      <c r="H889" s="623"/>
      <c r="I889" s="623"/>
      <c r="J889" s="623"/>
      <c r="K889" s="623"/>
      <c r="L889" s="623"/>
      <c r="M889" s="623"/>
      <c r="N889" s="623"/>
      <c r="O889" s="623"/>
      <c r="P889" s="623"/>
      <c r="Q889" s="623"/>
      <c r="R889" s="623"/>
      <c r="S889" s="623"/>
      <c r="T889" s="623"/>
      <c r="U889" s="623"/>
      <c r="V889" s="623"/>
      <c r="W889" s="623"/>
      <c r="X889" s="623"/>
      <c r="Y889" s="623"/>
      <c r="Z889" s="623"/>
      <c r="AA889" s="623"/>
      <c r="AB889" s="623"/>
      <c r="AC889" s="623"/>
      <c r="AD889" s="623"/>
      <c r="AE889" s="623"/>
      <c r="AF889" s="623"/>
      <c r="AG889" s="623"/>
      <c r="AH889" s="623"/>
      <c r="AI889" s="623"/>
      <c r="AJ889" s="623"/>
      <c r="AK889" s="623"/>
      <c r="AL889" s="623"/>
      <c r="AM889" s="623"/>
      <c r="AN889" s="623"/>
      <c r="AO889" s="623"/>
      <c r="AP889" s="623"/>
      <c r="AQ889" s="623"/>
      <c r="AR889" s="623"/>
      <c r="AS889" s="623"/>
      <c r="AT889" s="623"/>
      <c r="AU889" s="623"/>
      <c r="AV889" s="623"/>
      <c r="AW889" s="623"/>
      <c r="AX889" s="623"/>
      <c r="AY889" s="623"/>
      <c r="AZ889" s="623"/>
      <c r="BA889" s="623"/>
    </row>
    <row r="890">
      <c r="A890" s="623"/>
      <c r="B890" s="623"/>
      <c r="C890" s="623"/>
      <c r="D890" s="623"/>
      <c r="E890" s="623"/>
      <c r="F890" s="623"/>
      <c r="G890" s="623"/>
      <c r="H890" s="623"/>
      <c r="I890" s="623"/>
      <c r="J890" s="623"/>
      <c r="K890" s="623"/>
      <c r="L890" s="623"/>
      <c r="M890" s="623"/>
      <c r="N890" s="623"/>
      <c r="O890" s="623"/>
      <c r="P890" s="623"/>
      <c r="Q890" s="623"/>
      <c r="R890" s="623"/>
      <c r="S890" s="623"/>
      <c r="T890" s="623"/>
      <c r="U890" s="623"/>
      <c r="V890" s="623"/>
      <c r="W890" s="623"/>
      <c r="X890" s="623"/>
      <c r="Y890" s="623"/>
      <c r="Z890" s="623"/>
      <c r="AA890" s="623"/>
      <c r="AB890" s="623"/>
      <c r="AC890" s="623"/>
      <c r="AD890" s="623"/>
      <c r="AE890" s="623"/>
      <c r="AF890" s="623"/>
      <c r="AG890" s="623"/>
      <c r="AH890" s="623"/>
      <c r="AI890" s="623"/>
      <c r="AJ890" s="623"/>
      <c r="AK890" s="623"/>
      <c r="AL890" s="623"/>
      <c r="AM890" s="623"/>
      <c r="AN890" s="623"/>
      <c r="AO890" s="623"/>
      <c r="AP890" s="623"/>
      <c r="AQ890" s="623"/>
      <c r="AR890" s="623"/>
      <c r="AS890" s="623"/>
      <c r="AT890" s="623"/>
      <c r="AU890" s="623"/>
      <c r="AV890" s="623"/>
      <c r="AW890" s="623"/>
      <c r="AX890" s="623"/>
      <c r="AY890" s="623"/>
      <c r="AZ890" s="623"/>
      <c r="BA890" s="623"/>
    </row>
    <row r="891">
      <c r="A891" s="623"/>
      <c r="B891" s="623"/>
      <c r="C891" s="623"/>
      <c r="D891" s="623"/>
      <c r="E891" s="623"/>
      <c r="F891" s="623"/>
      <c r="G891" s="623"/>
      <c r="H891" s="623"/>
      <c r="I891" s="623"/>
      <c r="J891" s="623"/>
      <c r="K891" s="623"/>
      <c r="L891" s="623"/>
      <c r="M891" s="623"/>
      <c r="N891" s="623"/>
      <c r="O891" s="623"/>
      <c r="P891" s="623"/>
      <c r="Q891" s="623"/>
      <c r="R891" s="623"/>
      <c r="S891" s="623"/>
      <c r="T891" s="623"/>
      <c r="U891" s="623"/>
      <c r="V891" s="623"/>
      <c r="W891" s="623"/>
      <c r="X891" s="623"/>
      <c r="Y891" s="623"/>
      <c r="Z891" s="623"/>
      <c r="AA891" s="623"/>
      <c r="AB891" s="623"/>
      <c r="AC891" s="623"/>
      <c r="AD891" s="623"/>
      <c r="AE891" s="623"/>
      <c r="AF891" s="623"/>
      <c r="AG891" s="623"/>
      <c r="AH891" s="623"/>
      <c r="AI891" s="623"/>
      <c r="AJ891" s="623"/>
      <c r="AK891" s="623"/>
      <c r="AL891" s="623"/>
      <c r="AM891" s="623"/>
      <c r="AN891" s="623"/>
      <c r="AO891" s="623"/>
      <c r="AP891" s="623"/>
      <c r="AQ891" s="623"/>
      <c r="AR891" s="623"/>
      <c r="AS891" s="623"/>
      <c r="AT891" s="623"/>
      <c r="AU891" s="623"/>
      <c r="AV891" s="623"/>
      <c r="AW891" s="623"/>
      <c r="AX891" s="623"/>
      <c r="AY891" s="623"/>
      <c r="AZ891" s="623"/>
      <c r="BA891" s="623"/>
    </row>
    <row r="892">
      <c r="A892" s="623"/>
      <c r="B892" s="623"/>
      <c r="C892" s="623"/>
      <c r="D892" s="623"/>
      <c r="E892" s="623"/>
      <c r="F892" s="623"/>
      <c r="G892" s="623"/>
      <c r="H892" s="623"/>
      <c r="I892" s="623"/>
      <c r="J892" s="623"/>
      <c r="K892" s="623"/>
      <c r="L892" s="623"/>
      <c r="M892" s="623"/>
      <c r="N892" s="623"/>
      <c r="O892" s="623"/>
      <c r="P892" s="623"/>
      <c r="Q892" s="623"/>
      <c r="R892" s="623"/>
      <c r="S892" s="623"/>
      <c r="T892" s="623"/>
      <c r="U892" s="623"/>
      <c r="V892" s="623"/>
      <c r="W892" s="623"/>
      <c r="X892" s="623"/>
      <c r="Y892" s="623"/>
      <c r="Z892" s="623"/>
      <c r="AA892" s="623"/>
      <c r="AB892" s="623"/>
      <c r="AC892" s="623"/>
      <c r="AD892" s="623"/>
      <c r="AE892" s="623"/>
      <c r="AF892" s="623"/>
      <c r="AG892" s="623"/>
      <c r="AH892" s="623"/>
      <c r="AI892" s="623"/>
      <c r="AJ892" s="623"/>
      <c r="AK892" s="623"/>
      <c r="AL892" s="623"/>
      <c r="AM892" s="623"/>
      <c r="AN892" s="623"/>
      <c r="AO892" s="623"/>
      <c r="AP892" s="623"/>
      <c r="AQ892" s="623"/>
      <c r="AR892" s="623"/>
      <c r="AS892" s="623"/>
      <c r="AT892" s="623"/>
      <c r="AU892" s="623"/>
      <c r="AV892" s="623"/>
      <c r="AW892" s="623"/>
      <c r="AX892" s="623"/>
      <c r="AY892" s="623"/>
      <c r="AZ892" s="623"/>
      <c r="BA892" s="623"/>
    </row>
    <row r="893">
      <c r="A893" s="623"/>
      <c r="B893" s="623"/>
      <c r="C893" s="623"/>
      <c r="D893" s="623"/>
      <c r="E893" s="623"/>
      <c r="F893" s="623"/>
      <c r="G893" s="623"/>
      <c r="H893" s="623"/>
      <c r="I893" s="623"/>
      <c r="J893" s="623"/>
      <c r="K893" s="623"/>
      <c r="L893" s="623"/>
      <c r="M893" s="623"/>
      <c r="N893" s="623"/>
      <c r="O893" s="623"/>
      <c r="P893" s="623"/>
      <c r="Q893" s="623"/>
      <c r="R893" s="623"/>
      <c r="S893" s="623"/>
      <c r="T893" s="623"/>
      <c r="U893" s="623"/>
      <c r="V893" s="623"/>
      <c r="W893" s="623"/>
      <c r="X893" s="623"/>
      <c r="Y893" s="623"/>
      <c r="Z893" s="623"/>
      <c r="AA893" s="623"/>
      <c r="AB893" s="623"/>
      <c r="AC893" s="623"/>
      <c r="AD893" s="623"/>
      <c r="AE893" s="623"/>
      <c r="AF893" s="623"/>
      <c r="AG893" s="623"/>
      <c r="AH893" s="623"/>
      <c r="AI893" s="623"/>
      <c r="AJ893" s="623"/>
      <c r="AK893" s="623"/>
      <c r="AL893" s="623"/>
      <c r="AM893" s="623"/>
      <c r="AN893" s="623"/>
      <c r="AO893" s="623"/>
      <c r="AP893" s="623"/>
      <c r="AQ893" s="623"/>
      <c r="AR893" s="623"/>
      <c r="AS893" s="623"/>
      <c r="AT893" s="623"/>
      <c r="AU893" s="623"/>
      <c r="AV893" s="623"/>
      <c r="AW893" s="623"/>
      <c r="AX893" s="623"/>
      <c r="AY893" s="623"/>
      <c r="AZ893" s="623"/>
      <c r="BA893" s="623"/>
    </row>
    <row r="894">
      <c r="A894" s="623"/>
      <c r="B894" s="623"/>
      <c r="C894" s="623"/>
      <c r="D894" s="623"/>
      <c r="E894" s="623"/>
      <c r="F894" s="623"/>
      <c r="G894" s="623"/>
      <c r="H894" s="623"/>
      <c r="I894" s="623"/>
      <c r="J894" s="623"/>
      <c r="K894" s="623"/>
      <c r="L894" s="623"/>
      <c r="M894" s="623"/>
      <c r="N894" s="623"/>
      <c r="O894" s="623"/>
      <c r="P894" s="623"/>
      <c r="Q894" s="623"/>
      <c r="R894" s="623"/>
      <c r="S894" s="623"/>
      <c r="T894" s="623"/>
      <c r="U894" s="623"/>
      <c r="V894" s="623"/>
      <c r="W894" s="623"/>
      <c r="X894" s="623"/>
      <c r="Y894" s="623"/>
      <c r="Z894" s="623"/>
      <c r="AA894" s="623"/>
      <c r="AB894" s="623"/>
      <c r="AC894" s="623"/>
      <c r="AD894" s="623"/>
      <c r="AE894" s="623"/>
      <c r="AF894" s="623"/>
      <c r="AG894" s="623"/>
      <c r="AH894" s="623"/>
      <c r="AI894" s="623"/>
      <c r="AJ894" s="623"/>
      <c r="AK894" s="623"/>
      <c r="AL894" s="623"/>
      <c r="AM894" s="623"/>
      <c r="AN894" s="623"/>
      <c r="AO894" s="623"/>
      <c r="AP894" s="623"/>
      <c r="AQ894" s="623"/>
      <c r="AR894" s="623"/>
      <c r="AS894" s="623"/>
      <c r="AT894" s="623"/>
      <c r="AU894" s="623"/>
      <c r="AV894" s="623"/>
      <c r="AW894" s="623"/>
      <c r="AX894" s="623"/>
      <c r="AY894" s="623"/>
      <c r="AZ894" s="623"/>
      <c r="BA894" s="623"/>
    </row>
    <row r="895">
      <c r="A895" s="623"/>
      <c r="B895" s="623"/>
      <c r="C895" s="623"/>
      <c r="D895" s="623"/>
      <c r="E895" s="623"/>
      <c r="F895" s="623"/>
      <c r="G895" s="623"/>
      <c r="H895" s="623"/>
      <c r="I895" s="623"/>
      <c r="J895" s="623"/>
      <c r="K895" s="623"/>
      <c r="L895" s="623"/>
      <c r="M895" s="623"/>
      <c r="N895" s="623"/>
      <c r="O895" s="623"/>
      <c r="P895" s="623"/>
      <c r="Q895" s="623"/>
      <c r="R895" s="623"/>
      <c r="S895" s="623"/>
      <c r="T895" s="623"/>
      <c r="U895" s="623"/>
      <c r="V895" s="623"/>
      <c r="W895" s="623"/>
      <c r="X895" s="623"/>
      <c r="Y895" s="623"/>
      <c r="Z895" s="623"/>
      <c r="AA895" s="623"/>
      <c r="AB895" s="623"/>
      <c r="AC895" s="623"/>
      <c r="AD895" s="623"/>
      <c r="AE895" s="623"/>
      <c r="AF895" s="623"/>
      <c r="AG895" s="623"/>
      <c r="AH895" s="623"/>
      <c r="AI895" s="623"/>
      <c r="AJ895" s="623"/>
      <c r="AK895" s="623"/>
      <c r="AL895" s="623"/>
      <c r="AM895" s="623"/>
      <c r="AN895" s="623"/>
      <c r="AO895" s="623"/>
      <c r="AP895" s="623"/>
      <c r="AQ895" s="623"/>
      <c r="AR895" s="623"/>
      <c r="AS895" s="623"/>
      <c r="AT895" s="623"/>
      <c r="AU895" s="623"/>
      <c r="AV895" s="623"/>
      <c r="AW895" s="623"/>
      <c r="AX895" s="623"/>
      <c r="AY895" s="623"/>
      <c r="AZ895" s="623"/>
      <c r="BA895" s="623"/>
    </row>
    <row r="896">
      <c r="A896" s="623"/>
      <c r="B896" s="623"/>
      <c r="C896" s="623"/>
      <c r="D896" s="623"/>
      <c r="E896" s="623"/>
      <c r="F896" s="623"/>
      <c r="G896" s="623"/>
      <c r="H896" s="623"/>
      <c r="I896" s="623"/>
      <c r="J896" s="623"/>
      <c r="K896" s="623"/>
      <c r="L896" s="623"/>
      <c r="M896" s="623"/>
      <c r="N896" s="623"/>
      <c r="O896" s="623"/>
      <c r="P896" s="623"/>
      <c r="Q896" s="623"/>
      <c r="R896" s="623"/>
      <c r="S896" s="623"/>
      <c r="T896" s="623"/>
      <c r="U896" s="623"/>
      <c r="V896" s="623"/>
      <c r="W896" s="623"/>
      <c r="X896" s="623"/>
      <c r="Y896" s="623"/>
      <c r="Z896" s="623"/>
      <c r="AA896" s="623"/>
      <c r="AB896" s="623"/>
      <c r="AC896" s="623"/>
      <c r="AD896" s="623"/>
      <c r="AE896" s="623"/>
      <c r="AF896" s="623"/>
      <c r="AG896" s="623"/>
      <c r="AH896" s="623"/>
      <c r="AI896" s="623"/>
      <c r="AJ896" s="623"/>
      <c r="AK896" s="623"/>
      <c r="AL896" s="623"/>
      <c r="AM896" s="623"/>
      <c r="AN896" s="623"/>
      <c r="AO896" s="623"/>
      <c r="AP896" s="623"/>
      <c r="AQ896" s="623"/>
      <c r="AR896" s="623"/>
      <c r="AS896" s="623"/>
      <c r="AT896" s="623"/>
      <c r="AU896" s="623"/>
      <c r="AV896" s="623"/>
      <c r="AW896" s="623"/>
      <c r="AX896" s="623"/>
      <c r="AY896" s="623"/>
      <c r="AZ896" s="623"/>
      <c r="BA896" s="623"/>
    </row>
    <row r="897">
      <c r="A897" s="623"/>
      <c r="B897" s="623"/>
      <c r="C897" s="623"/>
      <c r="D897" s="623"/>
      <c r="E897" s="623"/>
      <c r="F897" s="623"/>
      <c r="G897" s="623"/>
      <c r="H897" s="623"/>
      <c r="I897" s="623"/>
      <c r="J897" s="623"/>
      <c r="K897" s="623"/>
      <c r="L897" s="623"/>
      <c r="M897" s="623"/>
      <c r="N897" s="623"/>
      <c r="O897" s="623"/>
      <c r="P897" s="623"/>
      <c r="Q897" s="623"/>
      <c r="R897" s="623"/>
      <c r="S897" s="623"/>
      <c r="T897" s="623"/>
      <c r="U897" s="623"/>
      <c r="V897" s="623"/>
      <c r="W897" s="623"/>
      <c r="X897" s="623"/>
      <c r="Y897" s="623"/>
      <c r="Z897" s="623"/>
      <c r="AA897" s="623"/>
      <c r="AB897" s="623"/>
      <c r="AC897" s="623"/>
      <c r="AD897" s="623"/>
      <c r="AE897" s="623"/>
      <c r="AF897" s="623"/>
      <c r="AG897" s="623"/>
      <c r="AH897" s="623"/>
      <c r="AI897" s="623"/>
      <c r="AJ897" s="623"/>
      <c r="AK897" s="623"/>
      <c r="AL897" s="623"/>
      <c r="AM897" s="623"/>
      <c r="AN897" s="623"/>
      <c r="AO897" s="623"/>
      <c r="AP897" s="623"/>
      <c r="AQ897" s="623"/>
      <c r="AR897" s="623"/>
      <c r="AS897" s="623"/>
      <c r="AT897" s="623"/>
      <c r="AU897" s="623"/>
      <c r="AV897" s="623"/>
      <c r="AW897" s="623"/>
      <c r="AX897" s="623"/>
      <c r="AY897" s="623"/>
      <c r="AZ897" s="623"/>
      <c r="BA897" s="623"/>
    </row>
    <row r="898">
      <c r="A898" s="623"/>
      <c r="B898" s="623"/>
      <c r="C898" s="623"/>
      <c r="D898" s="623"/>
      <c r="E898" s="623"/>
      <c r="F898" s="623"/>
      <c r="G898" s="623"/>
      <c r="H898" s="623"/>
      <c r="I898" s="623"/>
      <c r="J898" s="623"/>
      <c r="K898" s="623"/>
      <c r="L898" s="623"/>
      <c r="M898" s="623"/>
      <c r="N898" s="623"/>
      <c r="O898" s="623"/>
      <c r="P898" s="623"/>
      <c r="Q898" s="623"/>
      <c r="R898" s="623"/>
      <c r="S898" s="623"/>
      <c r="T898" s="623"/>
      <c r="U898" s="623"/>
      <c r="V898" s="623"/>
      <c r="W898" s="623"/>
      <c r="X898" s="623"/>
      <c r="Y898" s="623"/>
      <c r="Z898" s="623"/>
      <c r="AA898" s="623"/>
      <c r="AB898" s="623"/>
      <c r="AC898" s="623"/>
      <c r="AD898" s="623"/>
      <c r="AE898" s="623"/>
      <c r="AF898" s="623"/>
      <c r="AG898" s="623"/>
      <c r="AH898" s="623"/>
      <c r="AI898" s="623"/>
      <c r="AJ898" s="623"/>
      <c r="AK898" s="623"/>
      <c r="AL898" s="623"/>
      <c r="AM898" s="623"/>
      <c r="AN898" s="623"/>
      <c r="AO898" s="623"/>
      <c r="AP898" s="623"/>
      <c r="AQ898" s="623"/>
      <c r="AR898" s="623"/>
      <c r="AS898" s="623"/>
      <c r="AT898" s="623"/>
      <c r="AU898" s="623"/>
      <c r="AV898" s="623"/>
      <c r="AW898" s="623"/>
      <c r="AX898" s="623"/>
      <c r="AY898" s="623"/>
      <c r="AZ898" s="623"/>
      <c r="BA898" s="623"/>
    </row>
    <row r="899">
      <c r="A899" s="623"/>
      <c r="B899" s="623"/>
      <c r="C899" s="623"/>
      <c r="D899" s="623"/>
      <c r="E899" s="623"/>
      <c r="F899" s="623"/>
      <c r="G899" s="623"/>
      <c r="H899" s="623"/>
      <c r="I899" s="623"/>
      <c r="J899" s="623"/>
      <c r="K899" s="623"/>
      <c r="L899" s="623"/>
      <c r="M899" s="623"/>
      <c r="N899" s="623"/>
      <c r="O899" s="623"/>
      <c r="P899" s="623"/>
      <c r="Q899" s="623"/>
      <c r="R899" s="623"/>
      <c r="S899" s="623"/>
      <c r="T899" s="623"/>
      <c r="U899" s="623"/>
      <c r="V899" s="623"/>
      <c r="W899" s="623"/>
      <c r="X899" s="623"/>
      <c r="Y899" s="623"/>
      <c r="Z899" s="623"/>
      <c r="AA899" s="623"/>
      <c r="AB899" s="623"/>
      <c r="AC899" s="623"/>
      <c r="AD899" s="623"/>
      <c r="AE899" s="623"/>
      <c r="AF899" s="623"/>
      <c r="AG899" s="623"/>
      <c r="AH899" s="623"/>
      <c r="AI899" s="623"/>
      <c r="AJ899" s="623"/>
      <c r="AK899" s="623"/>
      <c r="AL899" s="623"/>
      <c r="AM899" s="623"/>
      <c r="AN899" s="623"/>
      <c r="AO899" s="623"/>
      <c r="AP899" s="623"/>
      <c r="AQ899" s="623"/>
      <c r="AR899" s="623"/>
      <c r="AS899" s="623"/>
      <c r="AT899" s="623"/>
      <c r="AU899" s="623"/>
      <c r="AV899" s="623"/>
      <c r="AW899" s="623"/>
      <c r="AX899" s="623"/>
      <c r="AY899" s="623"/>
      <c r="AZ899" s="623"/>
      <c r="BA899" s="623"/>
    </row>
    <row r="900">
      <c r="A900" s="623"/>
      <c r="B900" s="623"/>
      <c r="C900" s="623"/>
      <c r="D900" s="623"/>
      <c r="E900" s="623"/>
      <c r="F900" s="623"/>
      <c r="G900" s="623"/>
      <c r="H900" s="623"/>
      <c r="I900" s="623"/>
      <c r="J900" s="623"/>
      <c r="K900" s="623"/>
      <c r="L900" s="623"/>
      <c r="M900" s="623"/>
      <c r="N900" s="623"/>
      <c r="O900" s="623"/>
      <c r="P900" s="623"/>
      <c r="Q900" s="623"/>
      <c r="R900" s="623"/>
      <c r="S900" s="623"/>
      <c r="T900" s="623"/>
      <c r="U900" s="623"/>
      <c r="V900" s="623"/>
      <c r="W900" s="623"/>
      <c r="X900" s="623"/>
      <c r="Y900" s="623"/>
      <c r="Z900" s="623"/>
      <c r="AA900" s="623"/>
      <c r="AB900" s="623"/>
      <c r="AC900" s="623"/>
      <c r="AD900" s="623"/>
      <c r="AE900" s="623"/>
      <c r="AF900" s="623"/>
      <c r="AG900" s="623"/>
      <c r="AH900" s="623"/>
      <c r="AI900" s="623"/>
      <c r="AJ900" s="623"/>
      <c r="AK900" s="623"/>
      <c r="AL900" s="623"/>
      <c r="AM900" s="623"/>
      <c r="AN900" s="623"/>
      <c r="AO900" s="623"/>
      <c r="AP900" s="623"/>
      <c r="AQ900" s="623"/>
      <c r="AR900" s="623"/>
      <c r="AS900" s="623"/>
      <c r="AT900" s="623"/>
      <c r="AU900" s="623"/>
      <c r="AV900" s="623"/>
      <c r="AW900" s="623"/>
      <c r="AX900" s="623"/>
      <c r="AY900" s="623"/>
      <c r="AZ900" s="623"/>
      <c r="BA900" s="623"/>
    </row>
    <row r="901">
      <c r="A901" s="623"/>
      <c r="B901" s="623"/>
      <c r="C901" s="623"/>
      <c r="D901" s="623"/>
      <c r="E901" s="623"/>
      <c r="F901" s="623"/>
      <c r="G901" s="623"/>
      <c r="H901" s="623"/>
      <c r="I901" s="623"/>
      <c r="J901" s="623"/>
      <c r="K901" s="623"/>
      <c r="L901" s="623"/>
      <c r="M901" s="623"/>
      <c r="N901" s="623"/>
      <c r="O901" s="623"/>
      <c r="P901" s="623"/>
      <c r="Q901" s="623"/>
      <c r="R901" s="623"/>
      <c r="S901" s="623"/>
      <c r="T901" s="623"/>
      <c r="U901" s="623"/>
      <c r="V901" s="623"/>
      <c r="W901" s="623"/>
      <c r="X901" s="623"/>
      <c r="Y901" s="623"/>
      <c r="Z901" s="623"/>
      <c r="AA901" s="623"/>
      <c r="AB901" s="623"/>
      <c r="AC901" s="623"/>
      <c r="AD901" s="623"/>
      <c r="AE901" s="623"/>
      <c r="AF901" s="623"/>
      <c r="AG901" s="623"/>
      <c r="AH901" s="623"/>
      <c r="AI901" s="623"/>
      <c r="AJ901" s="623"/>
      <c r="AK901" s="623"/>
      <c r="AL901" s="623"/>
      <c r="AM901" s="623"/>
      <c r="AN901" s="623"/>
      <c r="AO901" s="623"/>
      <c r="AP901" s="623"/>
      <c r="AQ901" s="623"/>
      <c r="AR901" s="623"/>
      <c r="AS901" s="623"/>
      <c r="AT901" s="623"/>
      <c r="AU901" s="623"/>
      <c r="AV901" s="623"/>
      <c r="AW901" s="623"/>
      <c r="AX901" s="623"/>
      <c r="AY901" s="623"/>
      <c r="AZ901" s="623"/>
      <c r="BA901" s="623"/>
    </row>
    <row r="902">
      <c r="A902" s="623"/>
      <c r="B902" s="623"/>
      <c r="C902" s="623"/>
      <c r="D902" s="623"/>
      <c r="E902" s="623"/>
      <c r="F902" s="623"/>
      <c r="G902" s="623"/>
      <c r="H902" s="623"/>
      <c r="I902" s="623"/>
      <c r="J902" s="623"/>
      <c r="K902" s="623"/>
      <c r="L902" s="623"/>
      <c r="M902" s="623"/>
      <c r="N902" s="623"/>
      <c r="O902" s="623"/>
      <c r="P902" s="623"/>
      <c r="Q902" s="623"/>
      <c r="R902" s="623"/>
      <c r="S902" s="623"/>
      <c r="T902" s="623"/>
      <c r="U902" s="623"/>
      <c r="V902" s="623"/>
      <c r="W902" s="623"/>
      <c r="X902" s="623"/>
      <c r="Y902" s="623"/>
      <c r="Z902" s="623"/>
      <c r="AA902" s="623"/>
      <c r="AB902" s="623"/>
      <c r="AC902" s="623"/>
      <c r="AD902" s="623"/>
      <c r="AE902" s="623"/>
      <c r="AF902" s="623"/>
      <c r="AG902" s="623"/>
      <c r="AH902" s="623"/>
      <c r="AI902" s="623"/>
      <c r="AJ902" s="623"/>
      <c r="AK902" s="623"/>
      <c r="AL902" s="623"/>
      <c r="AM902" s="623"/>
      <c r="AN902" s="623"/>
      <c r="AO902" s="623"/>
      <c r="AP902" s="623"/>
      <c r="AQ902" s="623"/>
      <c r="AR902" s="623"/>
      <c r="AS902" s="623"/>
      <c r="AT902" s="623"/>
      <c r="AU902" s="623"/>
      <c r="AV902" s="623"/>
      <c r="AW902" s="623"/>
      <c r="AX902" s="623"/>
      <c r="AY902" s="623"/>
      <c r="AZ902" s="623"/>
      <c r="BA902" s="623"/>
    </row>
    <row r="903">
      <c r="A903" s="623"/>
      <c r="B903" s="623"/>
      <c r="C903" s="623"/>
      <c r="D903" s="623"/>
      <c r="E903" s="623"/>
      <c r="F903" s="623"/>
      <c r="G903" s="623"/>
      <c r="H903" s="623"/>
      <c r="I903" s="623"/>
      <c r="J903" s="623"/>
      <c r="K903" s="623"/>
      <c r="L903" s="623"/>
      <c r="M903" s="623"/>
      <c r="N903" s="623"/>
      <c r="O903" s="623"/>
      <c r="P903" s="623"/>
      <c r="Q903" s="623"/>
      <c r="R903" s="623"/>
      <c r="S903" s="623"/>
      <c r="T903" s="623"/>
      <c r="U903" s="623"/>
      <c r="V903" s="623"/>
      <c r="W903" s="623"/>
      <c r="X903" s="623"/>
      <c r="Y903" s="623"/>
      <c r="Z903" s="623"/>
      <c r="AA903" s="623"/>
      <c r="AB903" s="623"/>
      <c r="AC903" s="623"/>
      <c r="AD903" s="623"/>
      <c r="AE903" s="623"/>
      <c r="AF903" s="623"/>
      <c r="AG903" s="623"/>
      <c r="AH903" s="623"/>
      <c r="AI903" s="623"/>
      <c r="AJ903" s="623"/>
      <c r="AK903" s="623"/>
      <c r="AL903" s="623"/>
      <c r="AM903" s="623"/>
      <c r="AN903" s="623"/>
      <c r="AO903" s="623"/>
      <c r="AP903" s="623"/>
      <c r="AQ903" s="623"/>
      <c r="AR903" s="623"/>
      <c r="AS903" s="623"/>
      <c r="AT903" s="623"/>
      <c r="AU903" s="623"/>
      <c r="AV903" s="623"/>
      <c r="AW903" s="623"/>
      <c r="AX903" s="623"/>
      <c r="AY903" s="623"/>
      <c r="AZ903" s="623"/>
      <c r="BA903" s="623"/>
    </row>
    <row r="904">
      <c r="A904" s="623"/>
      <c r="B904" s="623"/>
      <c r="C904" s="623"/>
      <c r="D904" s="623"/>
      <c r="E904" s="623"/>
      <c r="F904" s="623"/>
      <c r="G904" s="623"/>
      <c r="H904" s="623"/>
      <c r="I904" s="623"/>
      <c r="J904" s="623"/>
      <c r="K904" s="623"/>
      <c r="L904" s="623"/>
      <c r="M904" s="623"/>
      <c r="N904" s="623"/>
      <c r="O904" s="623"/>
      <c r="P904" s="623"/>
      <c r="Q904" s="623"/>
      <c r="R904" s="623"/>
      <c r="S904" s="623"/>
      <c r="T904" s="623"/>
      <c r="U904" s="623"/>
      <c r="V904" s="623"/>
      <c r="W904" s="623"/>
      <c r="X904" s="623"/>
      <c r="Y904" s="623"/>
      <c r="Z904" s="623"/>
      <c r="AA904" s="623"/>
      <c r="AB904" s="623"/>
      <c r="AC904" s="623"/>
      <c r="AD904" s="623"/>
      <c r="AE904" s="623"/>
      <c r="AF904" s="623"/>
      <c r="AG904" s="623"/>
      <c r="AH904" s="623"/>
      <c r="AI904" s="623"/>
      <c r="AJ904" s="623"/>
      <c r="AK904" s="623"/>
      <c r="AL904" s="623"/>
      <c r="AM904" s="623"/>
      <c r="AN904" s="623"/>
      <c r="AO904" s="623"/>
      <c r="AP904" s="623"/>
      <c r="AQ904" s="623"/>
      <c r="AR904" s="623"/>
      <c r="AS904" s="623"/>
      <c r="AT904" s="623"/>
      <c r="AU904" s="623"/>
      <c r="AV904" s="623"/>
      <c r="AW904" s="623"/>
      <c r="AX904" s="623"/>
      <c r="AY904" s="623"/>
      <c r="AZ904" s="623"/>
      <c r="BA904" s="623"/>
    </row>
    <row r="905">
      <c r="A905" s="623"/>
      <c r="B905" s="623"/>
      <c r="C905" s="623"/>
      <c r="D905" s="623"/>
      <c r="E905" s="623"/>
      <c r="F905" s="623"/>
      <c r="G905" s="623"/>
      <c r="H905" s="623"/>
      <c r="I905" s="623"/>
      <c r="J905" s="623"/>
      <c r="K905" s="623"/>
      <c r="L905" s="623"/>
      <c r="M905" s="623"/>
      <c r="N905" s="623"/>
      <c r="O905" s="623"/>
      <c r="P905" s="623"/>
      <c r="Q905" s="623"/>
      <c r="R905" s="623"/>
      <c r="S905" s="623"/>
      <c r="T905" s="623"/>
      <c r="U905" s="623"/>
      <c r="V905" s="623"/>
      <c r="W905" s="623"/>
      <c r="X905" s="623"/>
      <c r="Y905" s="623"/>
      <c r="Z905" s="623"/>
      <c r="AA905" s="623"/>
      <c r="AB905" s="623"/>
      <c r="AC905" s="623"/>
      <c r="AD905" s="623"/>
      <c r="AE905" s="623"/>
      <c r="AF905" s="623"/>
      <c r="AG905" s="623"/>
      <c r="AH905" s="623"/>
      <c r="AI905" s="623"/>
      <c r="AJ905" s="623"/>
      <c r="AK905" s="623"/>
      <c r="AL905" s="623"/>
      <c r="AM905" s="623"/>
      <c r="AN905" s="623"/>
      <c r="AO905" s="623"/>
      <c r="AP905" s="623"/>
      <c r="AQ905" s="623"/>
      <c r="AR905" s="623"/>
      <c r="AS905" s="623"/>
      <c r="AT905" s="623"/>
      <c r="AU905" s="623"/>
      <c r="AV905" s="623"/>
      <c r="AW905" s="623"/>
      <c r="AX905" s="623"/>
      <c r="AY905" s="623"/>
      <c r="AZ905" s="623"/>
      <c r="BA905" s="623"/>
    </row>
    <row r="906">
      <c r="A906" s="623"/>
      <c r="B906" s="623"/>
      <c r="C906" s="623"/>
      <c r="D906" s="623"/>
      <c r="E906" s="623"/>
      <c r="F906" s="623"/>
      <c r="G906" s="623"/>
      <c r="H906" s="623"/>
      <c r="I906" s="623"/>
      <c r="J906" s="623"/>
      <c r="K906" s="623"/>
      <c r="L906" s="623"/>
      <c r="M906" s="623"/>
      <c r="N906" s="623"/>
      <c r="O906" s="623"/>
      <c r="P906" s="623"/>
      <c r="Q906" s="623"/>
      <c r="R906" s="623"/>
      <c r="S906" s="623"/>
      <c r="T906" s="623"/>
      <c r="U906" s="623"/>
      <c r="V906" s="623"/>
      <c r="W906" s="623"/>
      <c r="X906" s="623"/>
      <c r="Y906" s="623"/>
      <c r="Z906" s="623"/>
      <c r="AA906" s="623"/>
      <c r="AB906" s="623"/>
      <c r="AC906" s="623"/>
      <c r="AD906" s="623"/>
      <c r="AE906" s="623"/>
      <c r="AF906" s="623"/>
      <c r="AG906" s="623"/>
      <c r="AH906" s="623"/>
      <c r="AI906" s="623"/>
      <c r="AJ906" s="623"/>
      <c r="AK906" s="623"/>
      <c r="AL906" s="623"/>
      <c r="AM906" s="623"/>
      <c r="AN906" s="623"/>
      <c r="AO906" s="623"/>
      <c r="AP906" s="623"/>
      <c r="AQ906" s="623"/>
      <c r="AR906" s="623"/>
      <c r="AS906" s="623"/>
      <c r="AT906" s="623"/>
      <c r="AU906" s="623"/>
      <c r="AV906" s="623"/>
      <c r="AW906" s="623"/>
      <c r="AX906" s="623"/>
      <c r="AY906" s="623"/>
      <c r="AZ906" s="623"/>
      <c r="BA906" s="623"/>
    </row>
    <row r="907">
      <c r="A907" s="623"/>
      <c r="B907" s="623"/>
      <c r="C907" s="623"/>
      <c r="D907" s="623"/>
      <c r="E907" s="623"/>
      <c r="F907" s="623"/>
      <c r="G907" s="623"/>
      <c r="H907" s="623"/>
      <c r="I907" s="623"/>
      <c r="J907" s="623"/>
      <c r="K907" s="623"/>
      <c r="L907" s="623"/>
      <c r="M907" s="623"/>
      <c r="N907" s="623"/>
      <c r="O907" s="623"/>
      <c r="P907" s="623"/>
      <c r="Q907" s="623"/>
      <c r="R907" s="623"/>
      <c r="S907" s="623"/>
      <c r="T907" s="623"/>
      <c r="U907" s="623"/>
      <c r="V907" s="623"/>
      <c r="W907" s="623"/>
      <c r="X907" s="623"/>
      <c r="Y907" s="623"/>
      <c r="Z907" s="623"/>
      <c r="AA907" s="623"/>
      <c r="AB907" s="623"/>
      <c r="AC907" s="623"/>
      <c r="AD907" s="623"/>
      <c r="AE907" s="623"/>
      <c r="AF907" s="623"/>
      <c r="AG907" s="623"/>
      <c r="AH907" s="623"/>
      <c r="AI907" s="623"/>
      <c r="AJ907" s="623"/>
      <c r="AK907" s="623"/>
      <c r="AL907" s="623"/>
      <c r="AM907" s="623"/>
      <c r="AN907" s="623"/>
      <c r="AO907" s="623"/>
      <c r="AP907" s="623"/>
      <c r="AQ907" s="623"/>
      <c r="AR907" s="623"/>
      <c r="AS907" s="623"/>
      <c r="AT907" s="623"/>
      <c r="AU907" s="623"/>
      <c r="AV907" s="623"/>
      <c r="AW907" s="623"/>
      <c r="AX907" s="623"/>
      <c r="AY907" s="623"/>
      <c r="AZ907" s="623"/>
      <c r="BA907" s="623"/>
    </row>
    <row r="908">
      <c r="A908" s="623"/>
      <c r="B908" s="623"/>
      <c r="C908" s="623"/>
      <c r="D908" s="623"/>
      <c r="E908" s="623"/>
      <c r="F908" s="623"/>
      <c r="G908" s="623"/>
      <c r="H908" s="623"/>
      <c r="I908" s="623"/>
      <c r="J908" s="623"/>
      <c r="K908" s="623"/>
      <c r="L908" s="623"/>
      <c r="M908" s="623"/>
      <c r="N908" s="623"/>
      <c r="O908" s="623"/>
      <c r="P908" s="623"/>
      <c r="Q908" s="623"/>
      <c r="R908" s="623"/>
      <c r="S908" s="623"/>
      <c r="T908" s="623"/>
      <c r="U908" s="623"/>
      <c r="V908" s="623"/>
      <c r="W908" s="623"/>
      <c r="X908" s="623"/>
      <c r="Y908" s="623"/>
      <c r="Z908" s="623"/>
      <c r="AA908" s="623"/>
      <c r="AB908" s="623"/>
      <c r="AC908" s="623"/>
      <c r="AD908" s="623"/>
      <c r="AE908" s="623"/>
      <c r="AF908" s="623"/>
      <c r="AG908" s="623"/>
      <c r="AH908" s="623"/>
      <c r="AI908" s="623"/>
      <c r="AJ908" s="623"/>
      <c r="AK908" s="623"/>
      <c r="AL908" s="623"/>
      <c r="AM908" s="623"/>
      <c r="AN908" s="623"/>
      <c r="AO908" s="623"/>
      <c r="AP908" s="623"/>
      <c r="AQ908" s="623"/>
      <c r="AR908" s="623"/>
      <c r="AS908" s="623"/>
      <c r="AT908" s="623"/>
      <c r="AU908" s="623"/>
      <c r="AV908" s="623"/>
      <c r="AW908" s="623"/>
      <c r="AX908" s="623"/>
      <c r="AY908" s="623"/>
      <c r="AZ908" s="623"/>
      <c r="BA908" s="623"/>
    </row>
    <row r="909">
      <c r="A909" s="623"/>
      <c r="B909" s="623"/>
      <c r="C909" s="623"/>
      <c r="D909" s="623"/>
      <c r="E909" s="623"/>
      <c r="F909" s="623"/>
      <c r="G909" s="623"/>
      <c r="H909" s="623"/>
      <c r="I909" s="623"/>
      <c r="J909" s="623"/>
      <c r="K909" s="623"/>
      <c r="L909" s="623"/>
      <c r="M909" s="623"/>
      <c r="N909" s="623"/>
      <c r="O909" s="623"/>
      <c r="P909" s="623"/>
      <c r="Q909" s="623"/>
      <c r="R909" s="623"/>
      <c r="S909" s="623"/>
      <c r="T909" s="623"/>
      <c r="U909" s="623"/>
      <c r="V909" s="623"/>
      <c r="W909" s="623"/>
      <c r="X909" s="623"/>
      <c r="Y909" s="623"/>
      <c r="Z909" s="623"/>
      <c r="AA909" s="623"/>
      <c r="AB909" s="623"/>
      <c r="AC909" s="623"/>
      <c r="AD909" s="623"/>
      <c r="AE909" s="623"/>
      <c r="AF909" s="623"/>
      <c r="AG909" s="623"/>
      <c r="AH909" s="623"/>
      <c r="AI909" s="623"/>
      <c r="AJ909" s="623"/>
      <c r="AK909" s="623"/>
      <c r="AL909" s="623"/>
      <c r="AM909" s="623"/>
      <c r="AN909" s="623"/>
      <c r="AO909" s="623"/>
      <c r="AP909" s="623"/>
      <c r="AQ909" s="623"/>
      <c r="AR909" s="623"/>
      <c r="AS909" s="623"/>
      <c r="AT909" s="623"/>
      <c r="AU909" s="623"/>
      <c r="AV909" s="623"/>
      <c r="AW909" s="623"/>
      <c r="AX909" s="623"/>
      <c r="AY909" s="623"/>
      <c r="AZ909" s="623"/>
      <c r="BA909" s="623"/>
    </row>
    <row r="910">
      <c r="A910" s="623"/>
      <c r="B910" s="623"/>
      <c r="C910" s="623"/>
      <c r="D910" s="623"/>
      <c r="E910" s="623"/>
      <c r="F910" s="623"/>
      <c r="G910" s="623"/>
      <c r="H910" s="623"/>
      <c r="I910" s="623"/>
      <c r="J910" s="623"/>
      <c r="K910" s="623"/>
      <c r="L910" s="623"/>
      <c r="M910" s="623"/>
      <c r="N910" s="623"/>
      <c r="O910" s="623"/>
      <c r="P910" s="623"/>
      <c r="Q910" s="623"/>
      <c r="R910" s="623"/>
      <c r="S910" s="623"/>
      <c r="T910" s="623"/>
      <c r="U910" s="623"/>
      <c r="V910" s="623"/>
      <c r="W910" s="623"/>
      <c r="X910" s="623"/>
      <c r="Y910" s="623"/>
      <c r="Z910" s="623"/>
      <c r="AA910" s="623"/>
      <c r="AB910" s="623"/>
      <c r="AC910" s="623"/>
      <c r="AD910" s="623"/>
      <c r="AE910" s="623"/>
      <c r="AF910" s="623"/>
      <c r="AG910" s="623"/>
      <c r="AH910" s="623"/>
      <c r="AI910" s="623"/>
      <c r="AJ910" s="623"/>
      <c r="AK910" s="623"/>
      <c r="AL910" s="623"/>
      <c r="AM910" s="623"/>
      <c r="AN910" s="623"/>
      <c r="AO910" s="623"/>
      <c r="AP910" s="623"/>
      <c r="AQ910" s="623"/>
      <c r="AR910" s="623"/>
      <c r="AS910" s="623"/>
      <c r="AT910" s="623"/>
      <c r="AU910" s="623"/>
      <c r="AV910" s="623"/>
      <c r="AW910" s="623"/>
      <c r="AX910" s="623"/>
      <c r="AY910" s="623"/>
      <c r="AZ910" s="623"/>
      <c r="BA910" s="623"/>
    </row>
    <row r="911">
      <c r="A911" s="623"/>
      <c r="B911" s="623"/>
      <c r="C911" s="623"/>
      <c r="D911" s="623"/>
      <c r="E911" s="623"/>
      <c r="F911" s="623"/>
      <c r="G911" s="623"/>
      <c r="H911" s="623"/>
      <c r="I911" s="623"/>
      <c r="J911" s="623"/>
      <c r="K911" s="623"/>
      <c r="L911" s="623"/>
      <c r="M911" s="623"/>
      <c r="N911" s="623"/>
      <c r="O911" s="623"/>
      <c r="P911" s="623"/>
      <c r="Q911" s="623"/>
      <c r="R911" s="623"/>
      <c r="S911" s="623"/>
      <c r="T911" s="623"/>
      <c r="U911" s="623"/>
      <c r="V911" s="623"/>
      <c r="W911" s="623"/>
      <c r="X911" s="623"/>
      <c r="Y911" s="623"/>
      <c r="Z911" s="623"/>
      <c r="AA911" s="623"/>
      <c r="AB911" s="623"/>
      <c r="AC911" s="623"/>
      <c r="AD911" s="623"/>
      <c r="AE911" s="623"/>
      <c r="AF911" s="623"/>
      <c r="AG911" s="623"/>
      <c r="AH911" s="623"/>
      <c r="AI911" s="623"/>
      <c r="AJ911" s="623"/>
      <c r="AK911" s="623"/>
      <c r="AL911" s="623"/>
      <c r="AM911" s="623"/>
      <c r="AN911" s="623"/>
      <c r="AO911" s="623"/>
      <c r="AP911" s="623"/>
      <c r="AQ911" s="623"/>
      <c r="AR911" s="623"/>
      <c r="AS911" s="623"/>
      <c r="AT911" s="623"/>
      <c r="AU911" s="623"/>
      <c r="AV911" s="623"/>
      <c r="AW911" s="623"/>
      <c r="AX911" s="623"/>
      <c r="AY911" s="623"/>
      <c r="AZ911" s="623"/>
      <c r="BA911" s="623"/>
    </row>
    <row r="912">
      <c r="A912" s="623"/>
      <c r="B912" s="623"/>
      <c r="C912" s="623"/>
      <c r="D912" s="623"/>
      <c r="E912" s="623"/>
      <c r="F912" s="623"/>
      <c r="G912" s="623"/>
      <c r="H912" s="623"/>
      <c r="I912" s="623"/>
      <c r="J912" s="623"/>
      <c r="K912" s="623"/>
      <c r="L912" s="623"/>
      <c r="M912" s="623"/>
      <c r="N912" s="623"/>
      <c r="O912" s="623"/>
      <c r="P912" s="623"/>
      <c r="Q912" s="623"/>
      <c r="R912" s="623"/>
      <c r="S912" s="623"/>
      <c r="T912" s="623"/>
      <c r="U912" s="623"/>
      <c r="V912" s="623"/>
      <c r="W912" s="623"/>
      <c r="X912" s="623"/>
      <c r="Y912" s="623"/>
      <c r="Z912" s="623"/>
      <c r="AA912" s="623"/>
      <c r="AB912" s="623"/>
      <c r="AC912" s="623"/>
      <c r="AD912" s="623"/>
      <c r="AE912" s="623"/>
      <c r="AF912" s="623"/>
      <c r="AG912" s="623"/>
      <c r="AH912" s="623"/>
      <c r="AI912" s="623"/>
      <c r="AJ912" s="623"/>
      <c r="AK912" s="623"/>
      <c r="AL912" s="623"/>
      <c r="AM912" s="623"/>
      <c r="AN912" s="623"/>
      <c r="AO912" s="623"/>
      <c r="AP912" s="623"/>
      <c r="AQ912" s="623"/>
      <c r="AR912" s="623"/>
      <c r="AS912" s="623"/>
      <c r="AT912" s="623"/>
      <c r="AU912" s="623"/>
      <c r="AV912" s="623"/>
      <c r="AW912" s="623"/>
      <c r="AX912" s="623"/>
      <c r="AY912" s="623"/>
      <c r="AZ912" s="623"/>
      <c r="BA912" s="623"/>
    </row>
    <row r="913">
      <c r="A913" s="623"/>
      <c r="B913" s="623"/>
      <c r="C913" s="623"/>
      <c r="D913" s="623"/>
      <c r="E913" s="623"/>
      <c r="F913" s="623"/>
      <c r="G913" s="623"/>
      <c r="H913" s="623"/>
      <c r="I913" s="623"/>
      <c r="J913" s="623"/>
      <c r="K913" s="623"/>
      <c r="L913" s="623"/>
      <c r="M913" s="623"/>
      <c r="N913" s="623"/>
      <c r="O913" s="623"/>
      <c r="P913" s="623"/>
      <c r="Q913" s="623"/>
      <c r="R913" s="623"/>
      <c r="S913" s="623"/>
      <c r="T913" s="623"/>
      <c r="U913" s="623"/>
      <c r="V913" s="623"/>
      <c r="W913" s="623"/>
      <c r="X913" s="623"/>
      <c r="Y913" s="623"/>
      <c r="Z913" s="623"/>
      <c r="AA913" s="623"/>
      <c r="AB913" s="623"/>
      <c r="AC913" s="623"/>
      <c r="AD913" s="623"/>
      <c r="AE913" s="623"/>
      <c r="AF913" s="623"/>
      <c r="AG913" s="623"/>
      <c r="AH913" s="623"/>
      <c r="AI913" s="623"/>
      <c r="AJ913" s="623"/>
      <c r="AK913" s="623"/>
      <c r="AL913" s="623"/>
      <c r="AM913" s="623"/>
      <c r="AN913" s="623"/>
      <c r="AO913" s="623"/>
      <c r="AP913" s="623"/>
      <c r="AQ913" s="623"/>
      <c r="AR913" s="623"/>
      <c r="AS913" s="623"/>
      <c r="AT913" s="623"/>
      <c r="AU913" s="623"/>
      <c r="AV913" s="623"/>
      <c r="AW913" s="623"/>
      <c r="AX913" s="623"/>
      <c r="AY913" s="623"/>
      <c r="AZ913" s="623"/>
      <c r="BA913" s="623"/>
    </row>
    <row r="914">
      <c r="A914" s="623"/>
      <c r="B914" s="623"/>
      <c r="C914" s="623"/>
      <c r="D914" s="623"/>
      <c r="E914" s="623"/>
      <c r="F914" s="623"/>
      <c r="G914" s="623"/>
      <c r="H914" s="623"/>
      <c r="I914" s="623"/>
      <c r="J914" s="623"/>
      <c r="K914" s="623"/>
      <c r="L914" s="623"/>
      <c r="M914" s="623"/>
      <c r="N914" s="623"/>
      <c r="O914" s="623"/>
      <c r="P914" s="623"/>
      <c r="Q914" s="623"/>
      <c r="R914" s="623"/>
      <c r="S914" s="623"/>
      <c r="T914" s="623"/>
      <c r="U914" s="623"/>
      <c r="V914" s="623"/>
      <c r="W914" s="623"/>
      <c r="X914" s="623"/>
      <c r="Y914" s="623"/>
      <c r="Z914" s="623"/>
      <c r="AA914" s="623"/>
      <c r="AB914" s="623"/>
      <c r="AC914" s="623"/>
      <c r="AD914" s="623"/>
      <c r="AE914" s="623"/>
      <c r="AF914" s="623"/>
      <c r="AG914" s="623"/>
      <c r="AH914" s="623"/>
      <c r="AI914" s="623"/>
      <c r="AJ914" s="623"/>
      <c r="AK914" s="623"/>
      <c r="AL914" s="623"/>
      <c r="AM914" s="623"/>
      <c r="AN914" s="623"/>
      <c r="AO914" s="623"/>
      <c r="AP914" s="623"/>
      <c r="AQ914" s="623"/>
      <c r="AR914" s="623"/>
      <c r="AS914" s="623"/>
      <c r="AT914" s="623"/>
      <c r="AU914" s="623"/>
      <c r="AV914" s="623"/>
      <c r="AW914" s="623"/>
      <c r="AX914" s="623"/>
      <c r="AY914" s="623"/>
      <c r="AZ914" s="623"/>
      <c r="BA914" s="623"/>
    </row>
    <row r="915">
      <c r="A915" s="623"/>
      <c r="B915" s="623"/>
      <c r="C915" s="623"/>
      <c r="D915" s="623"/>
      <c r="E915" s="623"/>
      <c r="F915" s="623"/>
      <c r="G915" s="623"/>
      <c r="H915" s="623"/>
      <c r="I915" s="623"/>
      <c r="J915" s="623"/>
      <c r="K915" s="623"/>
      <c r="L915" s="623"/>
      <c r="M915" s="623"/>
      <c r="N915" s="623"/>
      <c r="O915" s="623"/>
      <c r="P915" s="623"/>
      <c r="Q915" s="623"/>
      <c r="R915" s="623"/>
      <c r="S915" s="623"/>
      <c r="T915" s="623"/>
      <c r="U915" s="623"/>
      <c r="V915" s="623"/>
      <c r="W915" s="623"/>
      <c r="X915" s="623"/>
      <c r="Y915" s="623"/>
      <c r="Z915" s="623"/>
      <c r="AA915" s="623"/>
      <c r="AB915" s="623"/>
      <c r="AC915" s="623"/>
      <c r="AD915" s="623"/>
      <c r="AE915" s="623"/>
      <c r="AF915" s="623"/>
      <c r="AG915" s="623"/>
      <c r="AH915" s="623"/>
      <c r="AI915" s="623"/>
      <c r="AJ915" s="623"/>
      <c r="AK915" s="623"/>
      <c r="AL915" s="623"/>
      <c r="AM915" s="623"/>
      <c r="AN915" s="623"/>
      <c r="AO915" s="623"/>
      <c r="AP915" s="623"/>
      <c r="AQ915" s="623"/>
      <c r="AR915" s="623"/>
      <c r="AS915" s="623"/>
      <c r="AT915" s="623"/>
      <c r="AU915" s="623"/>
      <c r="AV915" s="623"/>
      <c r="AW915" s="623"/>
      <c r="AX915" s="623"/>
      <c r="AY915" s="623"/>
      <c r="AZ915" s="623"/>
      <c r="BA915" s="623"/>
    </row>
    <row r="916">
      <c r="A916" s="623"/>
      <c r="B916" s="623"/>
      <c r="C916" s="623"/>
      <c r="D916" s="623"/>
      <c r="E916" s="623"/>
      <c r="F916" s="623"/>
      <c r="G916" s="623"/>
      <c r="H916" s="623"/>
      <c r="I916" s="623"/>
      <c r="J916" s="623"/>
      <c r="K916" s="623"/>
      <c r="L916" s="623"/>
      <c r="M916" s="623"/>
      <c r="N916" s="623"/>
      <c r="O916" s="623"/>
      <c r="P916" s="623"/>
      <c r="Q916" s="623"/>
      <c r="R916" s="623"/>
      <c r="S916" s="623"/>
      <c r="T916" s="623"/>
      <c r="U916" s="623"/>
      <c r="V916" s="623"/>
      <c r="W916" s="623"/>
      <c r="X916" s="623"/>
      <c r="Y916" s="623"/>
      <c r="Z916" s="623"/>
      <c r="AA916" s="623"/>
      <c r="AB916" s="623"/>
      <c r="AC916" s="623"/>
      <c r="AD916" s="623"/>
      <c r="AE916" s="623"/>
      <c r="AF916" s="623"/>
      <c r="AG916" s="623"/>
      <c r="AH916" s="623"/>
      <c r="AI916" s="623"/>
      <c r="AJ916" s="623"/>
      <c r="AK916" s="623"/>
      <c r="AL916" s="623"/>
      <c r="AM916" s="623"/>
      <c r="AN916" s="623"/>
      <c r="AO916" s="623"/>
      <c r="AP916" s="623"/>
      <c r="AQ916" s="623"/>
      <c r="AR916" s="623"/>
      <c r="AS916" s="623"/>
      <c r="AT916" s="623"/>
      <c r="AU916" s="623"/>
      <c r="AV916" s="623"/>
      <c r="AW916" s="623"/>
      <c r="AX916" s="623"/>
      <c r="AY916" s="623"/>
      <c r="AZ916" s="623"/>
      <c r="BA916" s="623"/>
    </row>
    <row r="917">
      <c r="A917" s="623"/>
      <c r="B917" s="623"/>
      <c r="C917" s="623"/>
      <c r="D917" s="623"/>
      <c r="E917" s="623"/>
      <c r="F917" s="623"/>
      <c r="G917" s="623"/>
      <c r="H917" s="623"/>
      <c r="I917" s="623"/>
      <c r="J917" s="623"/>
      <c r="K917" s="623"/>
      <c r="L917" s="623"/>
      <c r="M917" s="623"/>
      <c r="N917" s="623"/>
      <c r="O917" s="623"/>
      <c r="P917" s="623"/>
      <c r="Q917" s="623"/>
      <c r="R917" s="623"/>
      <c r="S917" s="623"/>
      <c r="T917" s="623"/>
      <c r="U917" s="623"/>
      <c r="V917" s="623"/>
      <c r="W917" s="623"/>
      <c r="X917" s="623"/>
      <c r="Y917" s="623"/>
      <c r="Z917" s="623"/>
      <c r="AA917" s="623"/>
      <c r="AB917" s="623"/>
      <c r="AC917" s="623"/>
      <c r="AD917" s="623"/>
      <c r="AE917" s="623"/>
      <c r="AF917" s="623"/>
      <c r="AG917" s="623"/>
      <c r="AH917" s="623"/>
      <c r="AI917" s="623"/>
      <c r="AJ917" s="623"/>
      <c r="AK917" s="623"/>
      <c r="AL917" s="623"/>
      <c r="AM917" s="623"/>
      <c r="AN917" s="623"/>
      <c r="AO917" s="623"/>
      <c r="AP917" s="623"/>
      <c r="AQ917" s="623"/>
      <c r="AR917" s="623"/>
      <c r="AS917" s="623"/>
      <c r="AT917" s="623"/>
      <c r="AU917" s="623"/>
      <c r="AV917" s="623"/>
      <c r="AW917" s="623"/>
      <c r="AX917" s="623"/>
      <c r="AY917" s="623"/>
      <c r="AZ917" s="623"/>
      <c r="BA917" s="623"/>
    </row>
    <row r="918">
      <c r="A918" s="623"/>
      <c r="B918" s="623"/>
      <c r="C918" s="623"/>
      <c r="D918" s="623"/>
      <c r="E918" s="623"/>
      <c r="F918" s="623"/>
      <c r="G918" s="623"/>
      <c r="H918" s="623"/>
      <c r="I918" s="623"/>
      <c r="J918" s="623"/>
      <c r="K918" s="623"/>
      <c r="L918" s="623"/>
      <c r="M918" s="623"/>
      <c r="N918" s="623"/>
      <c r="O918" s="623"/>
      <c r="P918" s="623"/>
      <c r="Q918" s="623"/>
      <c r="R918" s="623"/>
      <c r="S918" s="623"/>
      <c r="T918" s="623"/>
      <c r="U918" s="623"/>
      <c r="V918" s="623"/>
      <c r="W918" s="623"/>
      <c r="X918" s="623"/>
      <c r="Y918" s="623"/>
      <c r="Z918" s="623"/>
      <c r="AA918" s="623"/>
      <c r="AB918" s="623"/>
      <c r="AC918" s="623"/>
      <c r="AD918" s="623"/>
      <c r="AE918" s="623"/>
      <c r="AF918" s="623"/>
      <c r="AG918" s="623"/>
      <c r="AH918" s="623"/>
      <c r="AI918" s="623"/>
      <c r="AJ918" s="623"/>
      <c r="AK918" s="623"/>
      <c r="AL918" s="623"/>
      <c r="AM918" s="623"/>
      <c r="AN918" s="623"/>
      <c r="AO918" s="623"/>
      <c r="AP918" s="623"/>
      <c r="AQ918" s="623"/>
      <c r="AR918" s="623"/>
      <c r="AS918" s="623"/>
      <c r="AT918" s="623"/>
      <c r="AU918" s="623"/>
      <c r="AV918" s="623"/>
      <c r="AW918" s="623"/>
      <c r="AX918" s="623"/>
      <c r="AY918" s="623"/>
      <c r="AZ918" s="623"/>
      <c r="BA918" s="623"/>
    </row>
    <row r="919">
      <c r="A919" s="623"/>
      <c r="B919" s="623"/>
      <c r="C919" s="623"/>
      <c r="D919" s="623"/>
      <c r="E919" s="623"/>
      <c r="F919" s="623"/>
      <c r="G919" s="623"/>
      <c r="H919" s="623"/>
      <c r="I919" s="623"/>
      <c r="J919" s="623"/>
      <c r="K919" s="623"/>
      <c r="L919" s="623"/>
      <c r="M919" s="623"/>
      <c r="N919" s="623"/>
      <c r="O919" s="623"/>
      <c r="P919" s="623"/>
      <c r="Q919" s="623"/>
      <c r="R919" s="623"/>
      <c r="S919" s="623"/>
      <c r="T919" s="623"/>
      <c r="U919" s="623"/>
      <c r="V919" s="623"/>
      <c r="W919" s="623"/>
      <c r="X919" s="623"/>
      <c r="Y919" s="623"/>
      <c r="Z919" s="623"/>
      <c r="AA919" s="623"/>
      <c r="AB919" s="623"/>
      <c r="AC919" s="623"/>
      <c r="AD919" s="623"/>
      <c r="AE919" s="623"/>
      <c r="AF919" s="623"/>
      <c r="AG919" s="623"/>
      <c r="AH919" s="623"/>
      <c r="AI919" s="623"/>
      <c r="AJ919" s="623"/>
      <c r="AK919" s="623"/>
      <c r="AL919" s="623"/>
      <c r="AM919" s="623"/>
      <c r="AN919" s="623"/>
      <c r="AO919" s="623"/>
      <c r="AP919" s="623"/>
      <c r="AQ919" s="623"/>
      <c r="AR919" s="623"/>
      <c r="AS919" s="623"/>
      <c r="AT919" s="623"/>
      <c r="AU919" s="623"/>
      <c r="AV919" s="623"/>
      <c r="AW919" s="623"/>
      <c r="AX919" s="623"/>
      <c r="AY919" s="623"/>
      <c r="AZ919" s="623"/>
      <c r="BA919" s="623"/>
    </row>
    <row r="920">
      <c r="A920" s="623"/>
      <c r="B920" s="623"/>
      <c r="C920" s="623"/>
      <c r="D920" s="623"/>
      <c r="E920" s="623"/>
      <c r="F920" s="623"/>
      <c r="G920" s="623"/>
      <c r="H920" s="623"/>
      <c r="I920" s="623"/>
      <c r="J920" s="623"/>
      <c r="K920" s="623"/>
      <c r="L920" s="623"/>
      <c r="M920" s="623"/>
      <c r="N920" s="623"/>
      <c r="O920" s="623"/>
      <c r="P920" s="623"/>
      <c r="Q920" s="623"/>
      <c r="R920" s="623"/>
      <c r="S920" s="623"/>
      <c r="T920" s="623"/>
      <c r="U920" s="623"/>
      <c r="V920" s="623"/>
      <c r="W920" s="623"/>
      <c r="X920" s="623"/>
      <c r="Y920" s="623"/>
      <c r="Z920" s="623"/>
      <c r="AA920" s="623"/>
      <c r="AB920" s="623"/>
      <c r="AC920" s="623"/>
      <c r="AD920" s="623"/>
      <c r="AE920" s="623"/>
      <c r="AF920" s="623"/>
      <c r="AG920" s="623"/>
      <c r="AH920" s="623"/>
      <c r="AI920" s="623"/>
      <c r="AJ920" s="623"/>
      <c r="AK920" s="623"/>
      <c r="AL920" s="623"/>
      <c r="AM920" s="623"/>
      <c r="AN920" s="623"/>
      <c r="AO920" s="623"/>
      <c r="AP920" s="623"/>
      <c r="AQ920" s="623"/>
      <c r="AR920" s="623"/>
      <c r="AS920" s="623"/>
      <c r="AT920" s="623"/>
      <c r="AU920" s="623"/>
      <c r="AV920" s="623"/>
      <c r="AW920" s="623"/>
      <c r="AX920" s="623"/>
      <c r="AY920" s="623"/>
      <c r="AZ920" s="623"/>
      <c r="BA920" s="623"/>
    </row>
    <row r="921">
      <c r="A921" s="623"/>
      <c r="B921" s="623"/>
      <c r="C921" s="623"/>
      <c r="D921" s="623"/>
      <c r="E921" s="623"/>
      <c r="F921" s="623"/>
      <c r="G921" s="623"/>
      <c r="H921" s="623"/>
      <c r="I921" s="623"/>
      <c r="J921" s="623"/>
      <c r="K921" s="623"/>
      <c r="L921" s="623"/>
      <c r="M921" s="623"/>
      <c r="N921" s="623"/>
      <c r="O921" s="623"/>
      <c r="P921" s="623"/>
      <c r="Q921" s="623"/>
      <c r="R921" s="623"/>
      <c r="S921" s="623"/>
      <c r="T921" s="623"/>
      <c r="U921" s="623"/>
      <c r="V921" s="623"/>
      <c r="W921" s="623"/>
      <c r="X921" s="623"/>
      <c r="Y921" s="623"/>
      <c r="Z921" s="623"/>
      <c r="AA921" s="623"/>
      <c r="AB921" s="623"/>
      <c r="AC921" s="623"/>
      <c r="AD921" s="623"/>
      <c r="AE921" s="623"/>
      <c r="AF921" s="623"/>
      <c r="AG921" s="623"/>
      <c r="AH921" s="623"/>
      <c r="AI921" s="623"/>
      <c r="AJ921" s="623"/>
      <c r="AK921" s="623"/>
      <c r="AL921" s="623"/>
      <c r="AM921" s="623"/>
      <c r="AN921" s="623"/>
      <c r="AO921" s="623"/>
      <c r="AP921" s="623"/>
      <c r="AQ921" s="623"/>
      <c r="AR921" s="623"/>
      <c r="AS921" s="623"/>
      <c r="AT921" s="623"/>
      <c r="AU921" s="623"/>
      <c r="AV921" s="623"/>
      <c r="AW921" s="623"/>
      <c r="AX921" s="623"/>
      <c r="AY921" s="623"/>
      <c r="AZ921" s="623"/>
      <c r="BA921" s="623"/>
    </row>
    <row r="922">
      <c r="A922" s="623"/>
      <c r="B922" s="623"/>
      <c r="C922" s="623"/>
      <c r="D922" s="623"/>
      <c r="E922" s="623"/>
      <c r="F922" s="623"/>
      <c r="G922" s="623"/>
      <c r="H922" s="623"/>
      <c r="I922" s="623"/>
      <c r="J922" s="623"/>
      <c r="K922" s="623"/>
      <c r="L922" s="623"/>
      <c r="M922" s="623"/>
      <c r="N922" s="623"/>
      <c r="O922" s="623"/>
      <c r="P922" s="623"/>
      <c r="Q922" s="623"/>
      <c r="R922" s="623"/>
      <c r="S922" s="623"/>
      <c r="T922" s="623"/>
      <c r="U922" s="623"/>
      <c r="V922" s="623"/>
      <c r="W922" s="623"/>
      <c r="X922" s="623"/>
      <c r="Y922" s="623"/>
      <c r="Z922" s="623"/>
      <c r="AA922" s="623"/>
      <c r="AB922" s="623"/>
      <c r="AC922" s="623"/>
      <c r="AD922" s="623"/>
      <c r="AE922" s="623"/>
      <c r="AF922" s="623"/>
      <c r="AG922" s="623"/>
      <c r="AH922" s="623"/>
      <c r="AI922" s="623"/>
      <c r="AJ922" s="623"/>
      <c r="AK922" s="623"/>
      <c r="AL922" s="623"/>
      <c r="AM922" s="623"/>
      <c r="AN922" s="623"/>
      <c r="AO922" s="623"/>
      <c r="AP922" s="623"/>
      <c r="AQ922" s="623"/>
      <c r="AR922" s="623"/>
      <c r="AS922" s="623"/>
      <c r="AT922" s="623"/>
      <c r="AU922" s="623"/>
      <c r="AV922" s="623"/>
      <c r="AW922" s="623"/>
      <c r="AX922" s="623"/>
      <c r="AY922" s="623"/>
      <c r="AZ922" s="623"/>
      <c r="BA922" s="623"/>
    </row>
    <row r="923">
      <c r="A923" s="623"/>
      <c r="B923" s="623"/>
      <c r="C923" s="623"/>
      <c r="D923" s="623"/>
      <c r="E923" s="623"/>
      <c r="F923" s="623"/>
      <c r="G923" s="623"/>
      <c r="H923" s="623"/>
      <c r="I923" s="623"/>
      <c r="J923" s="623"/>
      <c r="K923" s="623"/>
      <c r="L923" s="623"/>
      <c r="M923" s="623"/>
      <c r="N923" s="623"/>
      <c r="O923" s="623"/>
      <c r="P923" s="623"/>
      <c r="Q923" s="623"/>
      <c r="R923" s="623"/>
      <c r="S923" s="623"/>
      <c r="T923" s="623"/>
      <c r="U923" s="623"/>
      <c r="V923" s="623"/>
      <c r="W923" s="623"/>
      <c r="X923" s="623"/>
      <c r="Y923" s="623"/>
      <c r="Z923" s="623"/>
      <c r="AA923" s="623"/>
      <c r="AB923" s="623"/>
      <c r="AC923" s="623"/>
      <c r="AD923" s="623"/>
      <c r="AE923" s="623"/>
      <c r="AF923" s="623"/>
      <c r="AG923" s="623"/>
      <c r="AH923" s="623"/>
      <c r="AI923" s="623"/>
      <c r="AJ923" s="623"/>
      <c r="AK923" s="623"/>
      <c r="AL923" s="623"/>
      <c r="AM923" s="623"/>
      <c r="AN923" s="623"/>
      <c r="AO923" s="623"/>
      <c r="AP923" s="623"/>
      <c r="AQ923" s="623"/>
      <c r="AR923" s="623"/>
      <c r="AS923" s="623"/>
      <c r="AT923" s="623"/>
      <c r="AU923" s="623"/>
      <c r="AV923" s="623"/>
      <c r="AW923" s="623"/>
      <c r="AX923" s="623"/>
      <c r="AY923" s="623"/>
      <c r="AZ923" s="623"/>
      <c r="BA923" s="623"/>
    </row>
    <row r="924">
      <c r="A924" s="623"/>
      <c r="B924" s="623"/>
      <c r="C924" s="623"/>
      <c r="D924" s="623"/>
      <c r="E924" s="623"/>
      <c r="F924" s="623"/>
      <c r="G924" s="623"/>
      <c r="H924" s="623"/>
      <c r="I924" s="623"/>
      <c r="J924" s="623"/>
      <c r="K924" s="623"/>
      <c r="L924" s="623"/>
      <c r="M924" s="623"/>
      <c r="N924" s="623"/>
      <c r="O924" s="623"/>
      <c r="P924" s="623"/>
      <c r="Q924" s="623"/>
      <c r="R924" s="623"/>
      <c r="S924" s="623"/>
      <c r="T924" s="623"/>
      <c r="U924" s="623"/>
      <c r="V924" s="623"/>
      <c r="W924" s="623"/>
      <c r="X924" s="623"/>
      <c r="Y924" s="623"/>
      <c r="Z924" s="623"/>
      <c r="AA924" s="623"/>
      <c r="AB924" s="623"/>
      <c r="AC924" s="623"/>
      <c r="AD924" s="623"/>
      <c r="AE924" s="623"/>
      <c r="AF924" s="623"/>
      <c r="AG924" s="623"/>
      <c r="AH924" s="623"/>
      <c r="AI924" s="623"/>
      <c r="AJ924" s="623"/>
      <c r="AK924" s="623"/>
      <c r="AL924" s="623"/>
      <c r="AM924" s="623"/>
      <c r="AN924" s="623"/>
      <c r="AO924" s="623"/>
      <c r="AP924" s="623"/>
      <c r="AQ924" s="623"/>
      <c r="AR924" s="623"/>
      <c r="AS924" s="623"/>
      <c r="AT924" s="623"/>
      <c r="AU924" s="623"/>
      <c r="AV924" s="623"/>
      <c r="AW924" s="623"/>
      <c r="AX924" s="623"/>
      <c r="AY924" s="623"/>
      <c r="AZ924" s="623"/>
      <c r="BA924" s="623"/>
    </row>
    <row r="925">
      <c r="A925" s="623"/>
      <c r="B925" s="623"/>
      <c r="C925" s="623"/>
      <c r="D925" s="623"/>
      <c r="E925" s="623"/>
      <c r="F925" s="623"/>
      <c r="G925" s="623"/>
      <c r="H925" s="623"/>
      <c r="I925" s="623"/>
      <c r="J925" s="623"/>
      <c r="K925" s="623"/>
      <c r="L925" s="623"/>
      <c r="M925" s="623"/>
      <c r="N925" s="623"/>
      <c r="O925" s="623"/>
      <c r="P925" s="623"/>
      <c r="Q925" s="623"/>
      <c r="R925" s="623"/>
      <c r="S925" s="623"/>
      <c r="T925" s="623"/>
      <c r="U925" s="623"/>
      <c r="V925" s="623"/>
      <c r="W925" s="623"/>
      <c r="X925" s="623"/>
      <c r="Y925" s="623"/>
      <c r="Z925" s="623"/>
      <c r="AA925" s="623"/>
      <c r="AB925" s="623"/>
      <c r="AC925" s="623"/>
      <c r="AD925" s="623"/>
      <c r="AE925" s="623"/>
      <c r="AF925" s="623"/>
      <c r="AG925" s="623"/>
      <c r="AH925" s="623"/>
      <c r="AI925" s="623"/>
      <c r="AJ925" s="623"/>
      <c r="AK925" s="623"/>
      <c r="AL925" s="623"/>
      <c r="AM925" s="623"/>
      <c r="AN925" s="623"/>
      <c r="AO925" s="623"/>
      <c r="AP925" s="623"/>
      <c r="AQ925" s="623"/>
      <c r="AR925" s="623"/>
      <c r="AS925" s="623"/>
      <c r="AT925" s="623"/>
      <c r="AU925" s="623"/>
      <c r="AV925" s="623"/>
      <c r="AW925" s="623"/>
      <c r="AX925" s="623"/>
      <c r="AY925" s="623"/>
      <c r="AZ925" s="623"/>
      <c r="BA925" s="623"/>
    </row>
    <row r="926">
      <c r="A926" s="623"/>
      <c r="B926" s="623"/>
      <c r="C926" s="623"/>
      <c r="D926" s="623"/>
      <c r="E926" s="623"/>
      <c r="F926" s="623"/>
      <c r="G926" s="623"/>
      <c r="H926" s="623"/>
      <c r="I926" s="623"/>
      <c r="J926" s="623"/>
      <c r="K926" s="623"/>
      <c r="L926" s="623"/>
      <c r="M926" s="623"/>
      <c r="N926" s="623"/>
      <c r="O926" s="623"/>
      <c r="P926" s="623"/>
      <c r="Q926" s="623"/>
      <c r="R926" s="623"/>
      <c r="S926" s="623"/>
      <c r="T926" s="623"/>
      <c r="U926" s="623"/>
      <c r="V926" s="623"/>
      <c r="W926" s="623"/>
      <c r="X926" s="623"/>
      <c r="Y926" s="623"/>
      <c r="Z926" s="623"/>
      <c r="AA926" s="623"/>
      <c r="AB926" s="623"/>
      <c r="AC926" s="623"/>
      <c r="AD926" s="623"/>
      <c r="AE926" s="623"/>
      <c r="AF926" s="623"/>
      <c r="AG926" s="623"/>
      <c r="AH926" s="623"/>
      <c r="AI926" s="623"/>
      <c r="AJ926" s="623"/>
      <c r="AK926" s="623"/>
      <c r="AL926" s="623"/>
      <c r="AM926" s="623"/>
      <c r="AN926" s="623"/>
      <c r="AO926" s="623"/>
      <c r="AP926" s="623"/>
      <c r="AQ926" s="623"/>
      <c r="AR926" s="623"/>
      <c r="AS926" s="623"/>
      <c r="AT926" s="623"/>
      <c r="AU926" s="623"/>
      <c r="AV926" s="623"/>
      <c r="AW926" s="623"/>
      <c r="AX926" s="623"/>
      <c r="AY926" s="623"/>
      <c r="AZ926" s="623"/>
      <c r="BA926" s="623"/>
    </row>
    <row r="927">
      <c r="A927" s="623"/>
      <c r="B927" s="623"/>
      <c r="C927" s="623"/>
      <c r="D927" s="623"/>
      <c r="E927" s="623"/>
      <c r="F927" s="623"/>
      <c r="G927" s="623"/>
      <c r="H927" s="623"/>
      <c r="I927" s="623"/>
      <c r="J927" s="623"/>
      <c r="K927" s="623"/>
      <c r="L927" s="623"/>
      <c r="M927" s="623"/>
      <c r="N927" s="623"/>
      <c r="O927" s="623"/>
      <c r="P927" s="623"/>
      <c r="Q927" s="623"/>
      <c r="R927" s="623"/>
      <c r="S927" s="623"/>
      <c r="T927" s="623"/>
      <c r="U927" s="623"/>
      <c r="V927" s="623"/>
      <c r="W927" s="623"/>
      <c r="X927" s="623"/>
      <c r="Y927" s="623"/>
      <c r="Z927" s="623"/>
      <c r="AA927" s="623"/>
      <c r="AB927" s="623"/>
      <c r="AC927" s="623"/>
      <c r="AD927" s="623"/>
      <c r="AE927" s="623"/>
      <c r="AF927" s="623"/>
      <c r="AG927" s="623"/>
      <c r="AH927" s="623"/>
      <c r="AI927" s="623"/>
      <c r="AJ927" s="623"/>
      <c r="AK927" s="623"/>
      <c r="AL927" s="623"/>
      <c r="AM927" s="623"/>
      <c r="AN927" s="623"/>
      <c r="AO927" s="623"/>
      <c r="AP927" s="623"/>
      <c r="AQ927" s="623"/>
      <c r="AR927" s="623"/>
      <c r="AS927" s="623"/>
      <c r="AT927" s="623"/>
      <c r="AU927" s="623"/>
      <c r="AV927" s="623"/>
      <c r="AW927" s="623"/>
      <c r="AX927" s="623"/>
      <c r="AY927" s="623"/>
      <c r="AZ927" s="623"/>
      <c r="BA927" s="623"/>
    </row>
    <row r="928">
      <c r="A928" s="623"/>
      <c r="B928" s="623"/>
      <c r="C928" s="623"/>
      <c r="D928" s="623"/>
      <c r="E928" s="623"/>
      <c r="F928" s="623"/>
      <c r="G928" s="623"/>
      <c r="H928" s="623"/>
      <c r="I928" s="623"/>
      <c r="J928" s="623"/>
      <c r="K928" s="623"/>
      <c r="L928" s="623"/>
      <c r="M928" s="623"/>
      <c r="N928" s="623"/>
      <c r="O928" s="623"/>
      <c r="P928" s="623"/>
      <c r="Q928" s="623"/>
      <c r="R928" s="623"/>
      <c r="S928" s="623"/>
      <c r="T928" s="623"/>
      <c r="U928" s="623"/>
      <c r="V928" s="623"/>
      <c r="W928" s="623"/>
      <c r="X928" s="623"/>
      <c r="Y928" s="623"/>
      <c r="Z928" s="623"/>
      <c r="AA928" s="623"/>
      <c r="AB928" s="623"/>
      <c r="AC928" s="623"/>
      <c r="AD928" s="623"/>
      <c r="AE928" s="623"/>
      <c r="AF928" s="623"/>
      <c r="AG928" s="623"/>
      <c r="AH928" s="623"/>
      <c r="AI928" s="623"/>
      <c r="AJ928" s="623"/>
      <c r="AK928" s="623"/>
      <c r="AL928" s="623"/>
      <c r="AM928" s="623"/>
      <c r="AN928" s="623"/>
      <c r="AO928" s="623"/>
      <c r="AP928" s="623"/>
      <c r="AQ928" s="623"/>
      <c r="AR928" s="623"/>
      <c r="AS928" s="623"/>
      <c r="AT928" s="623"/>
      <c r="AU928" s="623"/>
      <c r="AV928" s="623"/>
      <c r="AW928" s="623"/>
      <c r="AX928" s="623"/>
      <c r="AY928" s="623"/>
      <c r="AZ928" s="623"/>
      <c r="BA928" s="623"/>
    </row>
    <row r="929">
      <c r="A929" s="623"/>
      <c r="B929" s="623"/>
      <c r="C929" s="623"/>
      <c r="D929" s="623"/>
      <c r="E929" s="623"/>
      <c r="F929" s="623"/>
      <c r="G929" s="623"/>
      <c r="H929" s="623"/>
      <c r="I929" s="623"/>
      <c r="J929" s="623"/>
      <c r="K929" s="623"/>
      <c r="L929" s="623"/>
      <c r="M929" s="623"/>
      <c r="N929" s="623"/>
      <c r="O929" s="623"/>
      <c r="P929" s="623"/>
      <c r="Q929" s="623"/>
      <c r="R929" s="623"/>
      <c r="S929" s="623"/>
      <c r="T929" s="623"/>
      <c r="U929" s="623"/>
      <c r="V929" s="623"/>
      <c r="W929" s="623"/>
      <c r="X929" s="623"/>
      <c r="Y929" s="623"/>
      <c r="Z929" s="623"/>
      <c r="AA929" s="623"/>
      <c r="AB929" s="623"/>
      <c r="AC929" s="623"/>
      <c r="AD929" s="623"/>
      <c r="AE929" s="623"/>
      <c r="AF929" s="623"/>
      <c r="AG929" s="623"/>
      <c r="AH929" s="623"/>
      <c r="AI929" s="623"/>
      <c r="AJ929" s="623"/>
      <c r="AK929" s="623"/>
      <c r="AL929" s="623"/>
      <c r="AM929" s="623"/>
      <c r="AN929" s="623"/>
      <c r="AO929" s="623"/>
      <c r="AP929" s="623"/>
      <c r="AQ929" s="623"/>
      <c r="AR929" s="623"/>
      <c r="AS929" s="623"/>
      <c r="AT929" s="623"/>
      <c r="AU929" s="623"/>
      <c r="AV929" s="623"/>
      <c r="AW929" s="623"/>
      <c r="AX929" s="623"/>
      <c r="AY929" s="623"/>
      <c r="AZ929" s="623"/>
      <c r="BA929" s="623"/>
    </row>
    <row r="930">
      <c r="A930" s="623"/>
      <c r="B930" s="623"/>
      <c r="C930" s="623"/>
      <c r="D930" s="623"/>
      <c r="E930" s="623"/>
      <c r="F930" s="623"/>
      <c r="G930" s="623"/>
      <c r="H930" s="623"/>
      <c r="I930" s="623"/>
      <c r="J930" s="623"/>
      <c r="K930" s="623"/>
      <c r="L930" s="623"/>
      <c r="M930" s="623"/>
      <c r="N930" s="623"/>
      <c r="O930" s="623"/>
      <c r="P930" s="623"/>
      <c r="Q930" s="623"/>
      <c r="R930" s="623"/>
      <c r="S930" s="623"/>
      <c r="T930" s="623"/>
      <c r="U930" s="623"/>
      <c r="V930" s="623"/>
      <c r="W930" s="623"/>
      <c r="X930" s="623"/>
      <c r="Y930" s="623"/>
      <c r="Z930" s="623"/>
      <c r="AA930" s="623"/>
      <c r="AB930" s="623"/>
      <c r="AC930" s="623"/>
      <c r="AD930" s="623"/>
      <c r="AE930" s="623"/>
      <c r="AF930" s="623"/>
      <c r="AG930" s="623"/>
      <c r="AH930" s="623"/>
      <c r="AI930" s="623"/>
      <c r="AJ930" s="623"/>
      <c r="AK930" s="623"/>
      <c r="AL930" s="623"/>
      <c r="AM930" s="623"/>
      <c r="AN930" s="623"/>
      <c r="AO930" s="623"/>
      <c r="AP930" s="623"/>
      <c r="AQ930" s="623"/>
      <c r="AR930" s="623"/>
      <c r="AS930" s="623"/>
      <c r="AT930" s="623"/>
      <c r="AU930" s="623"/>
      <c r="AV930" s="623"/>
      <c r="AW930" s="623"/>
      <c r="AX930" s="623"/>
      <c r="AY930" s="623"/>
      <c r="AZ930" s="623"/>
      <c r="BA930" s="623"/>
    </row>
    <row r="931">
      <c r="A931" s="623"/>
      <c r="B931" s="623"/>
      <c r="C931" s="623"/>
      <c r="D931" s="623"/>
      <c r="E931" s="623"/>
      <c r="F931" s="623"/>
      <c r="G931" s="623"/>
      <c r="H931" s="623"/>
      <c r="I931" s="623"/>
      <c r="J931" s="623"/>
      <c r="K931" s="623"/>
      <c r="L931" s="623"/>
      <c r="M931" s="623"/>
      <c r="N931" s="623"/>
      <c r="O931" s="623"/>
      <c r="P931" s="623"/>
      <c r="Q931" s="623"/>
      <c r="R931" s="623"/>
      <c r="S931" s="623"/>
      <c r="T931" s="623"/>
      <c r="U931" s="623"/>
      <c r="V931" s="623"/>
      <c r="W931" s="623"/>
      <c r="X931" s="623"/>
      <c r="Y931" s="623"/>
      <c r="Z931" s="623"/>
      <c r="AA931" s="623"/>
      <c r="AB931" s="623"/>
      <c r="AC931" s="623"/>
      <c r="AD931" s="623"/>
      <c r="AE931" s="623"/>
      <c r="AF931" s="623"/>
      <c r="AG931" s="623"/>
      <c r="AH931" s="623"/>
      <c r="AI931" s="623"/>
      <c r="AJ931" s="623"/>
      <c r="AK931" s="623"/>
      <c r="AL931" s="623"/>
      <c r="AM931" s="623"/>
      <c r="AN931" s="623"/>
      <c r="AO931" s="623"/>
      <c r="AP931" s="623"/>
      <c r="AQ931" s="623"/>
      <c r="AR931" s="623"/>
      <c r="AS931" s="623"/>
      <c r="AT931" s="623"/>
      <c r="AU931" s="623"/>
      <c r="AV931" s="623"/>
      <c r="AW931" s="623"/>
      <c r="AX931" s="623"/>
      <c r="AY931" s="623"/>
      <c r="AZ931" s="623"/>
      <c r="BA931" s="623"/>
    </row>
    <row r="932">
      <c r="A932" s="623"/>
      <c r="B932" s="623"/>
      <c r="C932" s="623"/>
      <c r="D932" s="623"/>
      <c r="E932" s="623"/>
      <c r="F932" s="623"/>
      <c r="G932" s="623"/>
      <c r="H932" s="623"/>
      <c r="I932" s="623"/>
      <c r="J932" s="623"/>
      <c r="K932" s="623"/>
      <c r="L932" s="623"/>
      <c r="M932" s="623"/>
      <c r="N932" s="623"/>
      <c r="O932" s="623"/>
      <c r="P932" s="623"/>
      <c r="Q932" s="623"/>
      <c r="R932" s="623"/>
      <c r="S932" s="623"/>
      <c r="T932" s="623"/>
      <c r="U932" s="623"/>
      <c r="V932" s="623"/>
      <c r="W932" s="623"/>
      <c r="X932" s="623"/>
      <c r="Y932" s="623"/>
      <c r="Z932" s="623"/>
      <c r="AA932" s="623"/>
      <c r="AB932" s="623"/>
      <c r="AC932" s="623"/>
      <c r="AD932" s="623"/>
      <c r="AE932" s="623"/>
      <c r="AF932" s="623"/>
      <c r="AG932" s="623"/>
      <c r="AH932" s="623"/>
      <c r="AI932" s="623"/>
      <c r="AJ932" s="623"/>
      <c r="AK932" s="623"/>
      <c r="AL932" s="623"/>
      <c r="AM932" s="623"/>
      <c r="AN932" s="623"/>
      <c r="AO932" s="623"/>
      <c r="AP932" s="623"/>
      <c r="AQ932" s="623"/>
      <c r="AR932" s="623"/>
      <c r="AS932" s="623"/>
      <c r="AT932" s="623"/>
      <c r="AU932" s="623"/>
      <c r="AV932" s="623"/>
      <c r="AW932" s="623"/>
      <c r="AX932" s="623"/>
      <c r="AY932" s="623"/>
      <c r="AZ932" s="623"/>
      <c r="BA932" s="623"/>
    </row>
    <row r="933">
      <c r="A933" s="623"/>
      <c r="B933" s="623"/>
      <c r="C933" s="623"/>
      <c r="D933" s="623"/>
      <c r="E933" s="623"/>
      <c r="F933" s="623"/>
      <c r="G933" s="623"/>
      <c r="H933" s="623"/>
      <c r="I933" s="623"/>
      <c r="J933" s="623"/>
      <c r="K933" s="623"/>
      <c r="L933" s="623"/>
      <c r="M933" s="623"/>
      <c r="N933" s="623"/>
      <c r="O933" s="623"/>
      <c r="P933" s="623"/>
      <c r="Q933" s="623"/>
      <c r="R933" s="623"/>
      <c r="S933" s="623"/>
      <c r="T933" s="623"/>
      <c r="U933" s="623"/>
      <c r="V933" s="623"/>
      <c r="W933" s="623"/>
      <c r="X933" s="623"/>
      <c r="Y933" s="623"/>
      <c r="Z933" s="623"/>
      <c r="AA933" s="623"/>
      <c r="AB933" s="623"/>
      <c r="AC933" s="623"/>
      <c r="AD933" s="623"/>
      <c r="AE933" s="623"/>
      <c r="AF933" s="623"/>
      <c r="AG933" s="623"/>
      <c r="AH933" s="623"/>
      <c r="AI933" s="623"/>
      <c r="AJ933" s="623"/>
      <c r="AK933" s="623"/>
      <c r="AL933" s="623"/>
      <c r="AM933" s="623"/>
      <c r="AN933" s="623"/>
      <c r="AO933" s="623"/>
      <c r="AP933" s="623"/>
      <c r="AQ933" s="623"/>
      <c r="AR933" s="623"/>
      <c r="AS933" s="623"/>
      <c r="AT933" s="623"/>
      <c r="AU933" s="623"/>
      <c r="AV933" s="623"/>
      <c r="AW933" s="623"/>
      <c r="AX933" s="623"/>
      <c r="AY933" s="623"/>
      <c r="AZ933" s="623"/>
      <c r="BA933" s="623"/>
    </row>
    <row r="934">
      <c r="A934" s="623"/>
      <c r="B934" s="623"/>
      <c r="C934" s="623"/>
      <c r="D934" s="623"/>
      <c r="E934" s="623"/>
      <c r="F934" s="623"/>
      <c r="G934" s="623"/>
      <c r="H934" s="623"/>
      <c r="I934" s="623"/>
      <c r="J934" s="623"/>
      <c r="K934" s="623"/>
      <c r="L934" s="623"/>
      <c r="M934" s="623"/>
      <c r="N934" s="623"/>
      <c r="O934" s="623"/>
      <c r="P934" s="623"/>
      <c r="Q934" s="623"/>
      <c r="R934" s="623"/>
      <c r="S934" s="623"/>
      <c r="T934" s="623"/>
      <c r="U934" s="623"/>
      <c r="V934" s="623"/>
      <c r="W934" s="623"/>
      <c r="X934" s="623"/>
      <c r="Y934" s="623"/>
      <c r="Z934" s="623"/>
      <c r="AA934" s="623"/>
      <c r="AB934" s="623"/>
      <c r="AC934" s="623"/>
      <c r="AD934" s="623"/>
      <c r="AE934" s="623"/>
      <c r="AF934" s="623"/>
      <c r="AG934" s="623"/>
      <c r="AH934" s="623"/>
      <c r="AI934" s="623"/>
      <c r="AJ934" s="623"/>
      <c r="AK934" s="623"/>
      <c r="AL934" s="623"/>
      <c r="AM934" s="623"/>
      <c r="AN934" s="623"/>
      <c r="AO934" s="623"/>
      <c r="AP934" s="623"/>
      <c r="AQ934" s="623"/>
      <c r="AR934" s="623"/>
      <c r="AS934" s="623"/>
      <c r="AT934" s="623"/>
      <c r="AU934" s="623"/>
      <c r="AV934" s="623"/>
      <c r="AW934" s="623"/>
      <c r="AX934" s="623"/>
      <c r="AY934" s="623"/>
      <c r="AZ934" s="623"/>
      <c r="BA934" s="623"/>
    </row>
    <row r="935">
      <c r="A935" s="623"/>
      <c r="B935" s="623"/>
      <c r="C935" s="623"/>
      <c r="D935" s="623"/>
      <c r="E935" s="623"/>
      <c r="F935" s="623"/>
      <c r="G935" s="623"/>
      <c r="H935" s="623"/>
      <c r="I935" s="623"/>
      <c r="J935" s="623"/>
      <c r="K935" s="623"/>
      <c r="L935" s="623"/>
      <c r="M935" s="623"/>
      <c r="N935" s="623"/>
      <c r="O935" s="623"/>
      <c r="P935" s="623"/>
      <c r="Q935" s="623"/>
      <c r="R935" s="623"/>
      <c r="S935" s="623"/>
      <c r="T935" s="623"/>
      <c r="U935" s="623"/>
      <c r="V935" s="623"/>
      <c r="W935" s="623"/>
      <c r="X935" s="623"/>
      <c r="Y935" s="623"/>
      <c r="Z935" s="623"/>
      <c r="AA935" s="623"/>
      <c r="AB935" s="623"/>
      <c r="AC935" s="623"/>
      <c r="AD935" s="623"/>
      <c r="AE935" s="623"/>
      <c r="AF935" s="623"/>
      <c r="AG935" s="623"/>
      <c r="AH935" s="623"/>
      <c r="AI935" s="623"/>
      <c r="AJ935" s="623"/>
      <c r="AK935" s="623"/>
      <c r="AL935" s="623"/>
      <c r="AM935" s="623"/>
      <c r="AN935" s="623"/>
      <c r="AO935" s="623"/>
      <c r="AP935" s="623"/>
      <c r="AQ935" s="623"/>
      <c r="AR935" s="623"/>
      <c r="AS935" s="623"/>
      <c r="AT935" s="623"/>
      <c r="AU935" s="623"/>
      <c r="AV935" s="623"/>
      <c r="AW935" s="623"/>
      <c r="AX935" s="623"/>
      <c r="AY935" s="623"/>
      <c r="AZ935" s="623"/>
      <c r="BA935" s="623"/>
    </row>
    <row r="936">
      <c r="A936" s="623"/>
      <c r="B936" s="623"/>
      <c r="C936" s="623"/>
      <c r="D936" s="623"/>
      <c r="E936" s="623"/>
      <c r="F936" s="623"/>
      <c r="G936" s="623"/>
      <c r="H936" s="623"/>
      <c r="I936" s="623"/>
      <c r="J936" s="623"/>
      <c r="K936" s="623"/>
      <c r="L936" s="623"/>
      <c r="M936" s="623"/>
      <c r="N936" s="623"/>
      <c r="O936" s="623"/>
      <c r="P936" s="623"/>
      <c r="Q936" s="623"/>
      <c r="R936" s="623"/>
      <c r="S936" s="623"/>
      <c r="T936" s="623"/>
      <c r="U936" s="623"/>
      <c r="V936" s="623"/>
      <c r="W936" s="623"/>
      <c r="X936" s="623"/>
      <c r="Y936" s="623"/>
      <c r="Z936" s="623"/>
      <c r="AA936" s="623"/>
      <c r="AB936" s="623"/>
      <c r="AC936" s="623"/>
      <c r="AD936" s="623"/>
      <c r="AE936" s="623"/>
      <c r="AF936" s="623"/>
      <c r="AG936" s="623"/>
      <c r="AH936" s="623"/>
      <c r="AI936" s="623"/>
      <c r="AJ936" s="623"/>
      <c r="AK936" s="623"/>
      <c r="AL936" s="623"/>
      <c r="AM936" s="623"/>
      <c r="AN936" s="623"/>
      <c r="AO936" s="623"/>
      <c r="AP936" s="623"/>
      <c r="AQ936" s="623"/>
      <c r="AR936" s="623"/>
      <c r="AS936" s="623"/>
      <c r="AT936" s="623"/>
      <c r="AU936" s="623"/>
      <c r="AV936" s="623"/>
      <c r="AW936" s="623"/>
      <c r="AX936" s="623"/>
      <c r="AY936" s="623"/>
      <c r="AZ936" s="623"/>
      <c r="BA936" s="623"/>
    </row>
    <row r="937">
      <c r="A937" s="623"/>
      <c r="B937" s="623"/>
      <c r="C937" s="623"/>
      <c r="D937" s="623"/>
      <c r="E937" s="623"/>
      <c r="F937" s="623"/>
      <c r="G937" s="623"/>
      <c r="H937" s="623"/>
      <c r="I937" s="623"/>
      <c r="J937" s="623"/>
      <c r="K937" s="623"/>
      <c r="L937" s="623"/>
      <c r="M937" s="623"/>
      <c r="N937" s="623"/>
      <c r="O937" s="623"/>
      <c r="P937" s="623"/>
      <c r="Q937" s="623"/>
      <c r="R937" s="623"/>
      <c r="S937" s="623"/>
      <c r="T937" s="623"/>
      <c r="U937" s="623"/>
      <c r="V937" s="623"/>
      <c r="W937" s="623"/>
      <c r="X937" s="623"/>
      <c r="Y937" s="623"/>
      <c r="Z937" s="623"/>
      <c r="AA937" s="623"/>
      <c r="AB937" s="623"/>
      <c r="AC937" s="623"/>
      <c r="AD937" s="623"/>
      <c r="AE937" s="623"/>
      <c r="AF937" s="623"/>
      <c r="AG937" s="623"/>
      <c r="AH937" s="623"/>
      <c r="AI937" s="623"/>
      <c r="AJ937" s="623"/>
      <c r="AK937" s="623"/>
      <c r="AL937" s="623"/>
      <c r="AM937" s="623"/>
      <c r="AN937" s="623"/>
      <c r="AO937" s="623"/>
      <c r="AP937" s="623"/>
      <c r="AQ937" s="623"/>
      <c r="AR937" s="623"/>
      <c r="AS937" s="623"/>
      <c r="AT937" s="623"/>
      <c r="AU937" s="623"/>
      <c r="AV937" s="623"/>
      <c r="AW937" s="623"/>
      <c r="AX937" s="623"/>
      <c r="AY937" s="623"/>
      <c r="AZ937" s="623"/>
      <c r="BA937" s="623"/>
    </row>
    <row r="938">
      <c r="A938" s="623"/>
      <c r="B938" s="623"/>
      <c r="C938" s="623"/>
      <c r="D938" s="623"/>
      <c r="E938" s="623"/>
      <c r="F938" s="623"/>
      <c r="G938" s="623"/>
      <c r="H938" s="623"/>
      <c r="I938" s="623"/>
      <c r="J938" s="623"/>
      <c r="K938" s="623"/>
      <c r="L938" s="623"/>
      <c r="M938" s="623"/>
      <c r="N938" s="623"/>
      <c r="O938" s="623"/>
      <c r="P938" s="623"/>
      <c r="Q938" s="623"/>
      <c r="R938" s="623"/>
      <c r="S938" s="623"/>
      <c r="T938" s="623"/>
      <c r="U938" s="623"/>
      <c r="V938" s="623"/>
      <c r="W938" s="623"/>
      <c r="X938" s="623"/>
      <c r="Y938" s="623"/>
      <c r="Z938" s="623"/>
      <c r="AA938" s="623"/>
      <c r="AB938" s="623"/>
      <c r="AC938" s="623"/>
      <c r="AD938" s="623"/>
      <c r="AE938" s="623"/>
      <c r="AF938" s="623"/>
      <c r="AG938" s="623"/>
      <c r="AH938" s="623"/>
      <c r="AI938" s="623"/>
      <c r="AJ938" s="623"/>
      <c r="AK938" s="623"/>
      <c r="AL938" s="623"/>
      <c r="AM938" s="623"/>
      <c r="AN938" s="623"/>
      <c r="AO938" s="623"/>
      <c r="AP938" s="623"/>
      <c r="AQ938" s="623"/>
      <c r="AR938" s="623"/>
      <c r="AS938" s="623"/>
      <c r="AT938" s="623"/>
      <c r="AU938" s="623"/>
      <c r="AV938" s="623"/>
      <c r="AW938" s="623"/>
      <c r="AX938" s="623"/>
      <c r="AY938" s="623"/>
      <c r="AZ938" s="623"/>
      <c r="BA938" s="623"/>
    </row>
    <row r="939">
      <c r="A939" s="623"/>
      <c r="B939" s="623"/>
      <c r="C939" s="623"/>
      <c r="D939" s="623"/>
      <c r="E939" s="623"/>
      <c r="F939" s="623"/>
      <c r="G939" s="623"/>
      <c r="H939" s="623"/>
      <c r="I939" s="623"/>
      <c r="J939" s="623"/>
      <c r="K939" s="623"/>
      <c r="L939" s="623"/>
      <c r="M939" s="623"/>
      <c r="N939" s="623"/>
      <c r="O939" s="623"/>
      <c r="P939" s="623"/>
      <c r="Q939" s="623"/>
      <c r="R939" s="623"/>
      <c r="S939" s="623"/>
      <c r="T939" s="623"/>
      <c r="U939" s="623"/>
      <c r="V939" s="623"/>
      <c r="W939" s="623"/>
      <c r="X939" s="623"/>
      <c r="Y939" s="623"/>
      <c r="Z939" s="623"/>
      <c r="AA939" s="623"/>
      <c r="AB939" s="623"/>
      <c r="AC939" s="623"/>
      <c r="AD939" s="623"/>
      <c r="AE939" s="623"/>
      <c r="AF939" s="623"/>
      <c r="AG939" s="623"/>
      <c r="AH939" s="623"/>
      <c r="AI939" s="623"/>
      <c r="AJ939" s="623"/>
      <c r="AK939" s="623"/>
      <c r="AL939" s="623"/>
      <c r="AM939" s="623"/>
      <c r="AN939" s="623"/>
      <c r="AO939" s="623"/>
      <c r="AP939" s="623"/>
      <c r="AQ939" s="623"/>
      <c r="AR939" s="623"/>
      <c r="AS939" s="623"/>
      <c r="AT939" s="623"/>
      <c r="AU939" s="623"/>
      <c r="AV939" s="623"/>
      <c r="AW939" s="623"/>
      <c r="AX939" s="623"/>
      <c r="AY939" s="623"/>
      <c r="AZ939" s="623"/>
      <c r="BA939" s="623"/>
    </row>
    <row r="940">
      <c r="A940" s="623"/>
      <c r="B940" s="623"/>
      <c r="C940" s="623"/>
      <c r="D940" s="623"/>
      <c r="E940" s="623"/>
      <c r="F940" s="623"/>
      <c r="G940" s="623"/>
      <c r="H940" s="623"/>
      <c r="I940" s="623"/>
      <c r="J940" s="623"/>
      <c r="K940" s="623"/>
      <c r="L940" s="623"/>
      <c r="M940" s="623"/>
      <c r="N940" s="623"/>
      <c r="O940" s="623"/>
      <c r="P940" s="623"/>
      <c r="Q940" s="623"/>
      <c r="R940" s="623"/>
      <c r="S940" s="623"/>
      <c r="T940" s="623"/>
      <c r="U940" s="623"/>
      <c r="V940" s="623"/>
      <c r="W940" s="623"/>
      <c r="X940" s="623"/>
      <c r="Y940" s="623"/>
      <c r="Z940" s="623"/>
      <c r="AA940" s="623"/>
      <c r="AB940" s="623"/>
      <c r="AC940" s="623"/>
      <c r="AD940" s="623"/>
      <c r="AE940" s="623"/>
      <c r="AF940" s="623"/>
      <c r="AG940" s="623"/>
      <c r="AH940" s="623"/>
      <c r="AI940" s="623"/>
      <c r="AJ940" s="623"/>
      <c r="AK940" s="623"/>
      <c r="AL940" s="623"/>
      <c r="AM940" s="623"/>
      <c r="AN940" s="623"/>
      <c r="AO940" s="623"/>
      <c r="AP940" s="623"/>
      <c r="AQ940" s="623"/>
      <c r="AR940" s="623"/>
      <c r="AS940" s="623"/>
      <c r="AT940" s="623"/>
      <c r="AU940" s="623"/>
      <c r="AV940" s="623"/>
      <c r="AW940" s="623"/>
      <c r="AX940" s="623"/>
      <c r="AY940" s="623"/>
      <c r="AZ940" s="623"/>
      <c r="BA940" s="623"/>
    </row>
    <row r="941">
      <c r="A941" s="623"/>
      <c r="B941" s="623"/>
      <c r="C941" s="623"/>
      <c r="D941" s="623"/>
      <c r="E941" s="623"/>
      <c r="F941" s="623"/>
      <c r="G941" s="623"/>
      <c r="H941" s="623"/>
      <c r="I941" s="623"/>
      <c r="J941" s="623"/>
      <c r="K941" s="623"/>
      <c r="L941" s="623"/>
      <c r="M941" s="623"/>
      <c r="N941" s="623"/>
      <c r="O941" s="623"/>
      <c r="P941" s="623"/>
      <c r="Q941" s="623"/>
      <c r="R941" s="623"/>
      <c r="S941" s="623"/>
      <c r="T941" s="623"/>
      <c r="U941" s="623"/>
      <c r="V941" s="623"/>
      <c r="W941" s="623"/>
      <c r="X941" s="623"/>
      <c r="Y941" s="623"/>
      <c r="Z941" s="623"/>
      <c r="AA941" s="623"/>
      <c r="AB941" s="623"/>
      <c r="AC941" s="623"/>
      <c r="AD941" s="623"/>
      <c r="AE941" s="623"/>
      <c r="AF941" s="623"/>
      <c r="AG941" s="623"/>
      <c r="AH941" s="623"/>
      <c r="AI941" s="623"/>
      <c r="AJ941" s="623"/>
      <c r="AK941" s="623"/>
      <c r="AL941" s="623"/>
      <c r="AM941" s="623"/>
      <c r="AN941" s="623"/>
      <c r="AO941" s="623"/>
      <c r="AP941" s="623"/>
      <c r="AQ941" s="623"/>
      <c r="AR941" s="623"/>
      <c r="AS941" s="623"/>
      <c r="AT941" s="623"/>
      <c r="AU941" s="623"/>
      <c r="AV941" s="623"/>
      <c r="AW941" s="623"/>
      <c r="AX941" s="623"/>
      <c r="AY941" s="623"/>
      <c r="AZ941" s="623"/>
      <c r="BA941" s="623"/>
    </row>
    <row r="942">
      <c r="A942" s="623"/>
      <c r="B942" s="623"/>
      <c r="C942" s="623"/>
      <c r="D942" s="623"/>
      <c r="E942" s="623"/>
      <c r="F942" s="623"/>
      <c r="G942" s="623"/>
      <c r="H942" s="623"/>
      <c r="I942" s="623"/>
      <c r="J942" s="623"/>
      <c r="K942" s="623"/>
      <c r="L942" s="623"/>
      <c r="M942" s="623"/>
      <c r="N942" s="623"/>
      <c r="O942" s="623"/>
      <c r="P942" s="623"/>
      <c r="Q942" s="623"/>
      <c r="R942" s="623"/>
      <c r="S942" s="623"/>
      <c r="T942" s="623"/>
      <c r="U942" s="623"/>
      <c r="V942" s="623"/>
      <c r="W942" s="623"/>
      <c r="X942" s="623"/>
      <c r="Y942" s="623"/>
      <c r="Z942" s="623"/>
      <c r="AA942" s="623"/>
      <c r="AB942" s="623"/>
      <c r="AC942" s="623"/>
      <c r="AD942" s="623"/>
      <c r="AE942" s="623"/>
      <c r="AF942" s="623"/>
      <c r="AG942" s="623"/>
      <c r="AH942" s="623"/>
      <c r="AI942" s="623"/>
      <c r="AJ942" s="623"/>
      <c r="AK942" s="623"/>
      <c r="AL942" s="623"/>
      <c r="AM942" s="623"/>
      <c r="AN942" s="623"/>
      <c r="AO942" s="623"/>
      <c r="AP942" s="623"/>
      <c r="AQ942" s="623"/>
      <c r="AR942" s="623"/>
      <c r="AS942" s="623"/>
      <c r="AT942" s="623"/>
      <c r="AU942" s="623"/>
      <c r="AV942" s="623"/>
      <c r="AW942" s="623"/>
      <c r="AX942" s="623"/>
      <c r="AY942" s="623"/>
      <c r="AZ942" s="623"/>
      <c r="BA942" s="623"/>
    </row>
    <row r="943">
      <c r="A943" s="623"/>
      <c r="B943" s="623"/>
      <c r="C943" s="623"/>
      <c r="D943" s="623"/>
      <c r="E943" s="623"/>
      <c r="F943" s="623"/>
      <c r="G943" s="623"/>
      <c r="H943" s="623"/>
      <c r="I943" s="623"/>
      <c r="J943" s="623"/>
      <c r="K943" s="623"/>
      <c r="L943" s="623"/>
      <c r="M943" s="623"/>
      <c r="N943" s="623"/>
      <c r="O943" s="623"/>
      <c r="P943" s="623"/>
      <c r="Q943" s="623"/>
      <c r="R943" s="623"/>
      <c r="S943" s="623"/>
      <c r="T943" s="623"/>
      <c r="U943" s="623"/>
      <c r="V943" s="623"/>
      <c r="W943" s="623"/>
      <c r="X943" s="623"/>
      <c r="Y943" s="623"/>
      <c r="Z943" s="623"/>
      <c r="AA943" s="623"/>
      <c r="AB943" s="623"/>
      <c r="AC943" s="623"/>
      <c r="AD943" s="623"/>
      <c r="AE943" s="623"/>
      <c r="AF943" s="623"/>
      <c r="AG943" s="623"/>
      <c r="AH943" s="623"/>
      <c r="AI943" s="623"/>
      <c r="AJ943" s="623"/>
      <c r="AK943" s="623"/>
      <c r="AL943" s="623"/>
      <c r="AM943" s="623"/>
      <c r="AN943" s="623"/>
      <c r="AO943" s="623"/>
      <c r="AP943" s="623"/>
      <c r="AQ943" s="623"/>
      <c r="AR943" s="623"/>
      <c r="AS943" s="623"/>
      <c r="AT943" s="623"/>
      <c r="AU943" s="623"/>
      <c r="AV943" s="623"/>
      <c r="AW943" s="623"/>
      <c r="AX943" s="623"/>
      <c r="AY943" s="623"/>
      <c r="AZ943" s="623"/>
      <c r="BA943" s="623"/>
    </row>
    <row r="944">
      <c r="A944" s="623"/>
      <c r="B944" s="623"/>
      <c r="C944" s="623"/>
      <c r="D944" s="623"/>
      <c r="E944" s="623"/>
      <c r="F944" s="623"/>
      <c r="G944" s="623"/>
      <c r="H944" s="623"/>
      <c r="I944" s="623"/>
      <c r="J944" s="623"/>
      <c r="K944" s="623"/>
      <c r="L944" s="623"/>
      <c r="M944" s="623"/>
      <c r="N944" s="623"/>
      <c r="O944" s="623"/>
      <c r="P944" s="623"/>
      <c r="Q944" s="623"/>
      <c r="R944" s="623"/>
      <c r="S944" s="623"/>
      <c r="T944" s="623"/>
      <c r="U944" s="623"/>
      <c r="V944" s="623"/>
      <c r="W944" s="623"/>
      <c r="X944" s="623"/>
      <c r="Y944" s="623"/>
      <c r="Z944" s="623"/>
      <c r="AA944" s="623"/>
      <c r="AB944" s="623"/>
      <c r="AC944" s="623"/>
      <c r="AD944" s="623"/>
      <c r="AE944" s="623"/>
      <c r="AF944" s="623"/>
      <c r="AG944" s="623"/>
      <c r="AH944" s="623"/>
      <c r="AI944" s="623"/>
      <c r="AJ944" s="623"/>
      <c r="AK944" s="623"/>
      <c r="AL944" s="623"/>
      <c r="AM944" s="623"/>
      <c r="AN944" s="623"/>
      <c r="AO944" s="623"/>
      <c r="AP944" s="623"/>
      <c r="AQ944" s="623"/>
      <c r="AR944" s="623"/>
      <c r="AS944" s="623"/>
      <c r="AT944" s="623"/>
      <c r="AU944" s="623"/>
      <c r="AV944" s="623"/>
      <c r="AW944" s="623"/>
      <c r="AX944" s="623"/>
      <c r="AY944" s="623"/>
      <c r="AZ944" s="623"/>
      <c r="BA944" s="623"/>
    </row>
    <row r="945">
      <c r="A945" s="623"/>
      <c r="B945" s="623"/>
      <c r="C945" s="623"/>
      <c r="D945" s="623"/>
      <c r="E945" s="623"/>
      <c r="F945" s="623"/>
      <c r="G945" s="623"/>
      <c r="H945" s="623"/>
      <c r="I945" s="623"/>
      <c r="J945" s="623"/>
      <c r="K945" s="623"/>
      <c r="L945" s="623"/>
      <c r="M945" s="623"/>
      <c r="N945" s="623"/>
      <c r="O945" s="623"/>
      <c r="P945" s="623"/>
      <c r="Q945" s="623"/>
      <c r="R945" s="623"/>
      <c r="S945" s="623"/>
      <c r="T945" s="623"/>
      <c r="U945" s="623"/>
      <c r="V945" s="623"/>
      <c r="W945" s="623"/>
      <c r="X945" s="623"/>
      <c r="Y945" s="623"/>
      <c r="Z945" s="623"/>
      <c r="AA945" s="623"/>
      <c r="AB945" s="623"/>
      <c r="AC945" s="623"/>
      <c r="AD945" s="623"/>
      <c r="AE945" s="623"/>
      <c r="AF945" s="623"/>
      <c r="AG945" s="623"/>
      <c r="AH945" s="623"/>
      <c r="AI945" s="623"/>
      <c r="AJ945" s="623"/>
      <c r="AK945" s="623"/>
      <c r="AL945" s="623"/>
      <c r="AM945" s="623"/>
      <c r="AN945" s="623"/>
      <c r="AO945" s="623"/>
      <c r="AP945" s="623"/>
      <c r="AQ945" s="623"/>
      <c r="AR945" s="623"/>
      <c r="AS945" s="623"/>
      <c r="AT945" s="623"/>
      <c r="AU945" s="623"/>
      <c r="AV945" s="623"/>
      <c r="AW945" s="623"/>
      <c r="AX945" s="623"/>
      <c r="AY945" s="623"/>
      <c r="AZ945" s="623"/>
      <c r="BA945" s="623"/>
    </row>
    <row r="946">
      <c r="A946" s="623"/>
      <c r="B946" s="623"/>
      <c r="C946" s="623"/>
      <c r="D946" s="623"/>
      <c r="E946" s="623"/>
      <c r="F946" s="623"/>
      <c r="G946" s="623"/>
      <c r="H946" s="623"/>
      <c r="I946" s="623"/>
      <c r="J946" s="623"/>
      <c r="K946" s="623"/>
      <c r="L946" s="623"/>
      <c r="M946" s="623"/>
      <c r="N946" s="623"/>
      <c r="O946" s="623"/>
      <c r="P946" s="623"/>
      <c r="Q946" s="623"/>
      <c r="R946" s="623"/>
      <c r="S946" s="623"/>
      <c r="T946" s="623"/>
      <c r="U946" s="623"/>
      <c r="V946" s="623"/>
      <c r="W946" s="623"/>
      <c r="X946" s="623"/>
      <c r="Y946" s="623"/>
      <c r="Z946" s="623"/>
      <c r="AA946" s="623"/>
      <c r="AB946" s="623"/>
      <c r="AC946" s="623"/>
      <c r="AD946" s="623"/>
      <c r="AE946" s="623"/>
      <c r="AF946" s="623"/>
      <c r="AG946" s="623"/>
      <c r="AH946" s="623"/>
      <c r="AI946" s="623"/>
      <c r="AJ946" s="623"/>
      <c r="AK946" s="623"/>
      <c r="AL946" s="623"/>
      <c r="AM946" s="623"/>
      <c r="AN946" s="623"/>
      <c r="AO946" s="623"/>
      <c r="AP946" s="623"/>
      <c r="AQ946" s="623"/>
      <c r="AR946" s="623"/>
      <c r="AS946" s="623"/>
      <c r="AT946" s="623"/>
      <c r="AU946" s="623"/>
      <c r="AV946" s="623"/>
      <c r="AW946" s="623"/>
      <c r="AX946" s="623"/>
      <c r="AY946" s="623"/>
      <c r="AZ946" s="623"/>
      <c r="BA946" s="623"/>
    </row>
    <row r="947">
      <c r="A947" s="623"/>
      <c r="B947" s="623"/>
      <c r="C947" s="623"/>
      <c r="D947" s="623"/>
      <c r="E947" s="623"/>
      <c r="F947" s="623"/>
      <c r="G947" s="623"/>
      <c r="H947" s="623"/>
      <c r="I947" s="623"/>
      <c r="J947" s="623"/>
      <c r="K947" s="623"/>
      <c r="L947" s="623"/>
      <c r="M947" s="623"/>
      <c r="N947" s="623"/>
      <c r="O947" s="623"/>
      <c r="P947" s="623"/>
      <c r="Q947" s="623"/>
      <c r="R947" s="623"/>
      <c r="S947" s="623"/>
      <c r="T947" s="623"/>
      <c r="U947" s="623"/>
      <c r="V947" s="623"/>
      <c r="W947" s="623"/>
      <c r="X947" s="623"/>
      <c r="Y947" s="623"/>
      <c r="Z947" s="623"/>
      <c r="AA947" s="623"/>
      <c r="AB947" s="623"/>
      <c r="AC947" s="623"/>
      <c r="AD947" s="623"/>
      <c r="AE947" s="623"/>
      <c r="AF947" s="623"/>
      <c r="AG947" s="623"/>
      <c r="AH947" s="623"/>
      <c r="AI947" s="623"/>
      <c r="AJ947" s="623"/>
      <c r="AK947" s="623"/>
      <c r="AL947" s="623"/>
      <c r="AM947" s="623"/>
      <c r="AN947" s="623"/>
      <c r="AO947" s="623"/>
      <c r="AP947" s="623"/>
      <c r="AQ947" s="623"/>
      <c r="AR947" s="623"/>
      <c r="AS947" s="623"/>
      <c r="AT947" s="623"/>
      <c r="AU947" s="623"/>
      <c r="AV947" s="623"/>
      <c r="AW947" s="623"/>
      <c r="AX947" s="623"/>
      <c r="AY947" s="623"/>
      <c r="AZ947" s="623"/>
      <c r="BA947" s="623"/>
    </row>
    <row r="948">
      <c r="A948" s="623"/>
      <c r="B948" s="623"/>
      <c r="C948" s="623"/>
      <c r="D948" s="623"/>
      <c r="E948" s="623"/>
      <c r="F948" s="623"/>
      <c r="G948" s="623"/>
      <c r="H948" s="623"/>
      <c r="I948" s="623"/>
      <c r="J948" s="623"/>
      <c r="K948" s="623"/>
      <c r="L948" s="623"/>
      <c r="M948" s="623"/>
      <c r="N948" s="623"/>
      <c r="O948" s="623"/>
      <c r="P948" s="623"/>
      <c r="Q948" s="623"/>
      <c r="R948" s="623"/>
      <c r="S948" s="623"/>
      <c r="T948" s="623"/>
      <c r="U948" s="623"/>
      <c r="V948" s="623"/>
      <c r="W948" s="623"/>
      <c r="X948" s="623"/>
      <c r="Y948" s="623"/>
      <c r="Z948" s="623"/>
      <c r="AA948" s="623"/>
      <c r="AB948" s="623"/>
      <c r="AC948" s="623"/>
      <c r="AD948" s="623"/>
      <c r="AE948" s="623"/>
      <c r="AF948" s="623"/>
      <c r="AG948" s="623"/>
      <c r="AH948" s="623"/>
      <c r="AI948" s="623"/>
      <c r="AJ948" s="623"/>
      <c r="AK948" s="623"/>
      <c r="AL948" s="623"/>
      <c r="AM948" s="623"/>
      <c r="AN948" s="623"/>
      <c r="AO948" s="623"/>
      <c r="AP948" s="623"/>
      <c r="AQ948" s="623"/>
      <c r="AR948" s="623"/>
      <c r="AS948" s="623"/>
      <c r="AT948" s="623"/>
      <c r="AU948" s="623"/>
      <c r="AV948" s="623"/>
      <c r="AW948" s="623"/>
      <c r="AX948" s="623"/>
      <c r="AY948" s="623"/>
      <c r="AZ948" s="623"/>
      <c r="BA948" s="623"/>
    </row>
    <row r="949">
      <c r="A949" s="623"/>
      <c r="B949" s="623"/>
      <c r="C949" s="623"/>
      <c r="D949" s="623"/>
      <c r="E949" s="623"/>
      <c r="F949" s="623"/>
      <c r="G949" s="623"/>
      <c r="H949" s="623"/>
      <c r="I949" s="623"/>
      <c r="J949" s="623"/>
      <c r="K949" s="623"/>
      <c r="L949" s="623"/>
      <c r="M949" s="623"/>
      <c r="N949" s="623"/>
      <c r="O949" s="623"/>
      <c r="P949" s="623"/>
      <c r="Q949" s="623"/>
      <c r="R949" s="623"/>
      <c r="S949" s="623"/>
      <c r="T949" s="623"/>
      <c r="U949" s="623"/>
      <c r="V949" s="623"/>
      <c r="W949" s="623"/>
      <c r="X949" s="623"/>
      <c r="Y949" s="623"/>
      <c r="Z949" s="623"/>
      <c r="AA949" s="623"/>
      <c r="AB949" s="623"/>
      <c r="AC949" s="623"/>
      <c r="AD949" s="623"/>
      <c r="AE949" s="623"/>
      <c r="AF949" s="623"/>
      <c r="AG949" s="623"/>
      <c r="AH949" s="623"/>
      <c r="AI949" s="623"/>
      <c r="AJ949" s="623"/>
      <c r="AK949" s="623"/>
      <c r="AL949" s="623"/>
      <c r="AM949" s="623"/>
      <c r="AN949" s="623"/>
      <c r="AO949" s="623"/>
      <c r="AP949" s="623"/>
      <c r="AQ949" s="623"/>
      <c r="AR949" s="623"/>
      <c r="AS949" s="623"/>
      <c r="AT949" s="623"/>
      <c r="AU949" s="623"/>
      <c r="AV949" s="623"/>
      <c r="AW949" s="623"/>
      <c r="AX949" s="623"/>
      <c r="AY949" s="623"/>
      <c r="AZ949" s="623"/>
      <c r="BA949" s="623"/>
    </row>
    <row r="950">
      <c r="A950" s="623"/>
      <c r="B950" s="623"/>
      <c r="C950" s="623"/>
      <c r="D950" s="623"/>
      <c r="E950" s="623"/>
      <c r="F950" s="623"/>
      <c r="G950" s="623"/>
      <c r="H950" s="623"/>
      <c r="I950" s="623"/>
      <c r="J950" s="623"/>
      <c r="K950" s="623"/>
      <c r="L950" s="623"/>
      <c r="M950" s="623"/>
      <c r="N950" s="623"/>
      <c r="O950" s="623"/>
      <c r="P950" s="623"/>
      <c r="Q950" s="623"/>
      <c r="R950" s="623"/>
      <c r="S950" s="623"/>
      <c r="T950" s="623"/>
      <c r="U950" s="623"/>
      <c r="V950" s="623"/>
      <c r="W950" s="623"/>
      <c r="X950" s="623"/>
      <c r="Y950" s="623"/>
      <c r="Z950" s="623"/>
      <c r="AA950" s="623"/>
      <c r="AB950" s="623"/>
      <c r="AC950" s="623"/>
      <c r="AD950" s="623"/>
      <c r="AE950" s="623"/>
      <c r="AF950" s="623"/>
      <c r="AG950" s="623"/>
      <c r="AH950" s="623"/>
      <c r="AI950" s="623"/>
      <c r="AJ950" s="623"/>
      <c r="AK950" s="623"/>
      <c r="AL950" s="623"/>
      <c r="AM950" s="623"/>
      <c r="AN950" s="623"/>
      <c r="AO950" s="623"/>
      <c r="AP950" s="623"/>
      <c r="AQ950" s="623"/>
      <c r="AR950" s="623"/>
      <c r="AS950" s="623"/>
      <c r="AT950" s="623"/>
      <c r="AU950" s="623"/>
      <c r="AV950" s="623"/>
      <c r="AW950" s="623"/>
      <c r="AX950" s="623"/>
      <c r="AY950" s="623"/>
      <c r="AZ950" s="623"/>
      <c r="BA950" s="623"/>
    </row>
    <row r="951">
      <c r="A951" s="623"/>
      <c r="B951" s="623"/>
      <c r="C951" s="623"/>
      <c r="D951" s="623"/>
      <c r="E951" s="623"/>
      <c r="F951" s="623"/>
      <c r="G951" s="623"/>
      <c r="H951" s="623"/>
      <c r="I951" s="623"/>
      <c r="J951" s="623"/>
      <c r="K951" s="623"/>
      <c r="L951" s="623"/>
      <c r="M951" s="623"/>
      <c r="N951" s="623"/>
      <c r="O951" s="623"/>
      <c r="P951" s="623"/>
      <c r="Q951" s="623"/>
      <c r="R951" s="623"/>
      <c r="S951" s="623"/>
      <c r="T951" s="623"/>
      <c r="U951" s="623"/>
      <c r="V951" s="623"/>
      <c r="W951" s="623"/>
      <c r="X951" s="623"/>
      <c r="Y951" s="623"/>
      <c r="Z951" s="623"/>
      <c r="AA951" s="623"/>
      <c r="AB951" s="623"/>
      <c r="AC951" s="623"/>
      <c r="AD951" s="623"/>
      <c r="AE951" s="623"/>
      <c r="AF951" s="623"/>
      <c r="AG951" s="623"/>
      <c r="AH951" s="623"/>
      <c r="AI951" s="623"/>
      <c r="AJ951" s="623"/>
      <c r="AK951" s="623"/>
      <c r="AL951" s="623"/>
      <c r="AM951" s="623"/>
      <c r="AN951" s="623"/>
      <c r="AO951" s="623"/>
      <c r="AP951" s="623"/>
      <c r="AQ951" s="623"/>
      <c r="AR951" s="623"/>
      <c r="AS951" s="623"/>
      <c r="AT951" s="623"/>
      <c r="AU951" s="623"/>
      <c r="AV951" s="623"/>
      <c r="AW951" s="623"/>
      <c r="AX951" s="623"/>
      <c r="AY951" s="623"/>
      <c r="AZ951" s="623"/>
      <c r="BA951" s="623"/>
    </row>
    <row r="952">
      <c r="A952" s="623"/>
      <c r="B952" s="623"/>
      <c r="C952" s="623"/>
      <c r="D952" s="623"/>
      <c r="E952" s="623"/>
      <c r="F952" s="623"/>
      <c r="G952" s="623"/>
      <c r="H952" s="623"/>
      <c r="I952" s="623"/>
      <c r="J952" s="623"/>
      <c r="K952" s="623"/>
      <c r="L952" s="623"/>
      <c r="M952" s="623"/>
      <c r="N952" s="623"/>
      <c r="O952" s="623"/>
      <c r="P952" s="623"/>
      <c r="Q952" s="623"/>
      <c r="R952" s="623"/>
      <c r="S952" s="623"/>
      <c r="T952" s="623"/>
      <c r="U952" s="623"/>
      <c r="V952" s="623"/>
      <c r="W952" s="623"/>
      <c r="X952" s="623"/>
      <c r="Y952" s="623"/>
      <c r="Z952" s="623"/>
      <c r="AA952" s="623"/>
      <c r="AB952" s="623"/>
      <c r="AC952" s="623"/>
      <c r="AD952" s="623"/>
      <c r="AE952" s="623"/>
      <c r="AF952" s="623"/>
      <c r="AG952" s="623"/>
      <c r="AH952" s="623"/>
      <c r="AI952" s="623"/>
      <c r="AJ952" s="623"/>
      <c r="AK952" s="623"/>
      <c r="AL952" s="623"/>
      <c r="AM952" s="623"/>
      <c r="AN952" s="623"/>
      <c r="AO952" s="623"/>
      <c r="AP952" s="623"/>
      <c r="AQ952" s="623"/>
      <c r="AR952" s="623"/>
      <c r="AS952" s="623"/>
      <c r="AT952" s="623"/>
      <c r="AU952" s="623"/>
      <c r="AV952" s="623"/>
      <c r="AW952" s="623"/>
      <c r="AX952" s="623"/>
      <c r="AY952" s="623"/>
      <c r="AZ952" s="623"/>
      <c r="BA952" s="623"/>
    </row>
    <row r="953">
      <c r="A953" s="623"/>
      <c r="B953" s="623"/>
      <c r="C953" s="623"/>
      <c r="D953" s="623"/>
      <c r="E953" s="623"/>
      <c r="F953" s="623"/>
      <c r="G953" s="623"/>
      <c r="H953" s="623"/>
      <c r="I953" s="623"/>
      <c r="J953" s="623"/>
      <c r="K953" s="623"/>
      <c r="L953" s="623"/>
      <c r="M953" s="623"/>
      <c r="N953" s="623"/>
      <c r="O953" s="623"/>
      <c r="P953" s="623"/>
      <c r="Q953" s="623"/>
      <c r="R953" s="623"/>
      <c r="S953" s="623"/>
      <c r="T953" s="623"/>
      <c r="U953" s="623"/>
      <c r="V953" s="623"/>
      <c r="W953" s="623"/>
      <c r="X953" s="623"/>
      <c r="Y953" s="623"/>
      <c r="Z953" s="623"/>
      <c r="AA953" s="623"/>
      <c r="AB953" s="623"/>
      <c r="AC953" s="623"/>
      <c r="AD953" s="623"/>
      <c r="AE953" s="623"/>
      <c r="AF953" s="623"/>
      <c r="AG953" s="623"/>
      <c r="AH953" s="623"/>
      <c r="AI953" s="623"/>
      <c r="AJ953" s="623"/>
      <c r="AK953" s="623"/>
      <c r="AL953" s="623"/>
      <c r="AM953" s="623"/>
      <c r="AN953" s="623"/>
      <c r="AO953" s="623"/>
      <c r="AP953" s="623"/>
      <c r="AQ953" s="623"/>
      <c r="AR953" s="623"/>
      <c r="AS953" s="623"/>
      <c r="AT953" s="623"/>
      <c r="AU953" s="623"/>
      <c r="AV953" s="623"/>
      <c r="AW953" s="623"/>
      <c r="AX953" s="623"/>
      <c r="AY953" s="623"/>
      <c r="AZ953" s="623"/>
      <c r="BA953" s="623"/>
    </row>
    <row r="954">
      <c r="A954" s="623"/>
      <c r="B954" s="623"/>
      <c r="C954" s="623"/>
      <c r="D954" s="623"/>
      <c r="E954" s="623"/>
      <c r="F954" s="623"/>
      <c r="G954" s="623"/>
      <c r="H954" s="623"/>
      <c r="I954" s="623"/>
      <c r="J954" s="623"/>
      <c r="K954" s="623"/>
      <c r="L954" s="623"/>
      <c r="M954" s="623"/>
      <c r="N954" s="623"/>
      <c r="O954" s="623"/>
      <c r="P954" s="623"/>
      <c r="Q954" s="623"/>
      <c r="R954" s="623"/>
      <c r="S954" s="623"/>
      <c r="T954" s="623"/>
      <c r="U954" s="623"/>
      <c r="V954" s="623"/>
      <c r="W954" s="623"/>
      <c r="X954" s="623"/>
      <c r="Y954" s="623"/>
      <c r="Z954" s="623"/>
      <c r="AA954" s="623"/>
      <c r="AB954" s="623"/>
      <c r="AC954" s="623"/>
      <c r="AD954" s="623"/>
      <c r="AE954" s="623"/>
      <c r="AF954" s="623"/>
      <c r="AG954" s="623"/>
      <c r="AH954" s="623"/>
      <c r="AI954" s="623"/>
      <c r="AJ954" s="623"/>
      <c r="AK954" s="623"/>
      <c r="AL954" s="623"/>
      <c r="AM954" s="623"/>
      <c r="AN954" s="623"/>
      <c r="AO954" s="623"/>
      <c r="AP954" s="623"/>
      <c r="AQ954" s="623"/>
      <c r="AR954" s="623"/>
      <c r="AS954" s="623"/>
      <c r="AT954" s="623"/>
      <c r="AU954" s="623"/>
      <c r="AV954" s="623"/>
      <c r="AW954" s="623"/>
      <c r="AX954" s="623"/>
      <c r="AY954" s="623"/>
      <c r="AZ954" s="623"/>
      <c r="BA954" s="623"/>
    </row>
    <row r="955">
      <c r="A955" s="623"/>
      <c r="B955" s="623"/>
      <c r="C955" s="623"/>
      <c r="D955" s="623"/>
      <c r="E955" s="623"/>
      <c r="F955" s="623"/>
      <c r="G955" s="623"/>
      <c r="H955" s="623"/>
      <c r="I955" s="623"/>
      <c r="J955" s="623"/>
      <c r="K955" s="623"/>
      <c r="L955" s="623"/>
      <c r="M955" s="623"/>
      <c r="N955" s="623"/>
      <c r="O955" s="623"/>
      <c r="P955" s="623"/>
      <c r="Q955" s="623"/>
      <c r="R955" s="623"/>
      <c r="S955" s="623"/>
      <c r="T955" s="623"/>
      <c r="U955" s="623"/>
      <c r="V955" s="623"/>
      <c r="W955" s="623"/>
      <c r="X955" s="623"/>
      <c r="Y955" s="623"/>
      <c r="Z955" s="623"/>
      <c r="AA955" s="623"/>
      <c r="AB955" s="623"/>
      <c r="AC955" s="623"/>
      <c r="AD955" s="623"/>
      <c r="AE955" s="623"/>
      <c r="AF955" s="623"/>
      <c r="AG955" s="623"/>
      <c r="AH955" s="623"/>
      <c r="AI955" s="623"/>
      <c r="AJ955" s="623"/>
      <c r="AK955" s="623"/>
      <c r="AL955" s="623"/>
      <c r="AM955" s="623"/>
      <c r="AN955" s="623"/>
      <c r="AO955" s="623"/>
      <c r="AP955" s="623"/>
      <c r="AQ955" s="623"/>
      <c r="AR955" s="623"/>
      <c r="AS955" s="623"/>
      <c r="AT955" s="623"/>
      <c r="AU955" s="623"/>
      <c r="AV955" s="623"/>
      <c r="AW955" s="623"/>
      <c r="AX955" s="623"/>
      <c r="AY955" s="623"/>
      <c r="AZ955" s="623"/>
      <c r="BA955" s="623"/>
    </row>
    <row r="956">
      <c r="A956" s="623"/>
      <c r="B956" s="623"/>
      <c r="C956" s="623"/>
      <c r="D956" s="623"/>
      <c r="E956" s="623"/>
      <c r="F956" s="623"/>
      <c r="G956" s="623"/>
      <c r="H956" s="623"/>
      <c r="I956" s="623"/>
      <c r="J956" s="623"/>
      <c r="K956" s="623"/>
      <c r="L956" s="623"/>
      <c r="M956" s="623"/>
      <c r="N956" s="623"/>
      <c r="O956" s="623"/>
      <c r="P956" s="623"/>
      <c r="Q956" s="623"/>
      <c r="R956" s="623"/>
      <c r="S956" s="623"/>
      <c r="T956" s="623"/>
      <c r="U956" s="623"/>
      <c r="V956" s="623"/>
      <c r="W956" s="623"/>
      <c r="X956" s="623"/>
      <c r="Y956" s="623"/>
      <c r="Z956" s="623"/>
      <c r="AA956" s="623"/>
      <c r="AB956" s="623"/>
      <c r="AC956" s="623"/>
      <c r="AD956" s="623"/>
      <c r="AE956" s="623"/>
      <c r="AF956" s="623"/>
      <c r="AG956" s="623"/>
      <c r="AH956" s="623"/>
      <c r="AI956" s="623"/>
      <c r="AJ956" s="623"/>
      <c r="AK956" s="623"/>
      <c r="AL956" s="623"/>
      <c r="AM956" s="623"/>
      <c r="AN956" s="623"/>
      <c r="AO956" s="623"/>
      <c r="AP956" s="623"/>
      <c r="AQ956" s="623"/>
      <c r="AR956" s="623"/>
      <c r="AS956" s="623"/>
      <c r="AT956" s="623"/>
      <c r="AU956" s="623"/>
      <c r="AV956" s="623"/>
      <c r="AW956" s="623"/>
      <c r="AX956" s="623"/>
      <c r="AY956" s="623"/>
      <c r="AZ956" s="623"/>
      <c r="BA956" s="623"/>
    </row>
    <row r="957">
      <c r="A957" s="623"/>
      <c r="B957" s="623"/>
      <c r="C957" s="623"/>
      <c r="D957" s="623"/>
      <c r="E957" s="623"/>
      <c r="F957" s="623"/>
      <c r="G957" s="623"/>
      <c r="H957" s="623"/>
      <c r="I957" s="623"/>
      <c r="J957" s="623"/>
      <c r="K957" s="623"/>
      <c r="L957" s="623"/>
      <c r="M957" s="623"/>
      <c r="N957" s="623"/>
      <c r="O957" s="623"/>
      <c r="P957" s="623"/>
      <c r="Q957" s="623"/>
      <c r="R957" s="623"/>
      <c r="S957" s="623"/>
      <c r="T957" s="623"/>
      <c r="U957" s="623"/>
      <c r="V957" s="623"/>
      <c r="W957" s="623"/>
      <c r="X957" s="623"/>
      <c r="Y957" s="623"/>
      <c r="Z957" s="623"/>
      <c r="AA957" s="623"/>
      <c r="AB957" s="623"/>
      <c r="AC957" s="623"/>
      <c r="AD957" s="623"/>
      <c r="AE957" s="623"/>
      <c r="AF957" s="623"/>
      <c r="AG957" s="623"/>
      <c r="AH957" s="623"/>
      <c r="AI957" s="623"/>
      <c r="AJ957" s="623"/>
      <c r="AK957" s="623"/>
      <c r="AL957" s="623"/>
      <c r="AM957" s="623"/>
      <c r="AN957" s="623"/>
      <c r="AO957" s="623"/>
      <c r="AP957" s="623"/>
      <c r="AQ957" s="623"/>
      <c r="AR957" s="623"/>
      <c r="AS957" s="623"/>
      <c r="AT957" s="623"/>
      <c r="AU957" s="623"/>
      <c r="AV957" s="623"/>
      <c r="AW957" s="623"/>
      <c r="AX957" s="623"/>
      <c r="AY957" s="623"/>
      <c r="AZ957" s="623"/>
      <c r="BA957" s="623"/>
    </row>
    <row r="958">
      <c r="A958" s="623"/>
      <c r="B958" s="623"/>
      <c r="C958" s="623"/>
      <c r="D958" s="623"/>
      <c r="E958" s="623"/>
      <c r="F958" s="623"/>
      <c r="G958" s="623"/>
      <c r="H958" s="623"/>
      <c r="I958" s="623"/>
      <c r="J958" s="623"/>
      <c r="K958" s="623"/>
      <c r="L958" s="623"/>
      <c r="M958" s="623"/>
      <c r="N958" s="623"/>
      <c r="O958" s="623"/>
      <c r="P958" s="623"/>
      <c r="Q958" s="623"/>
      <c r="R958" s="623"/>
      <c r="S958" s="623"/>
      <c r="T958" s="623"/>
      <c r="U958" s="623"/>
      <c r="V958" s="623"/>
      <c r="W958" s="623"/>
      <c r="X958" s="623"/>
      <c r="Y958" s="623"/>
      <c r="Z958" s="623"/>
      <c r="AA958" s="623"/>
      <c r="AB958" s="623"/>
      <c r="AC958" s="623"/>
      <c r="AD958" s="623"/>
      <c r="AE958" s="623"/>
      <c r="AF958" s="623"/>
      <c r="AG958" s="623"/>
      <c r="AH958" s="623"/>
      <c r="AI958" s="623"/>
      <c r="AJ958" s="623"/>
      <c r="AK958" s="623"/>
      <c r="AL958" s="623"/>
      <c r="AM958" s="623"/>
      <c r="AN958" s="623"/>
      <c r="AO958" s="623"/>
      <c r="AP958" s="623"/>
      <c r="AQ958" s="623"/>
      <c r="AR958" s="623"/>
      <c r="AS958" s="623"/>
      <c r="AT958" s="623"/>
      <c r="AU958" s="623"/>
      <c r="AV958" s="623"/>
      <c r="AW958" s="623"/>
      <c r="AX958" s="623"/>
      <c r="AY958" s="623"/>
      <c r="AZ958" s="623"/>
      <c r="BA958" s="623"/>
    </row>
    <row r="959">
      <c r="A959" s="623"/>
      <c r="B959" s="623"/>
      <c r="C959" s="623"/>
      <c r="D959" s="623"/>
      <c r="E959" s="623"/>
      <c r="F959" s="623"/>
      <c r="G959" s="623"/>
      <c r="H959" s="623"/>
      <c r="I959" s="623"/>
      <c r="J959" s="623"/>
      <c r="K959" s="623"/>
      <c r="L959" s="623"/>
      <c r="M959" s="623"/>
      <c r="N959" s="623"/>
      <c r="O959" s="623"/>
      <c r="P959" s="623"/>
      <c r="Q959" s="623"/>
      <c r="R959" s="623"/>
      <c r="S959" s="623"/>
      <c r="T959" s="623"/>
      <c r="U959" s="623"/>
      <c r="V959" s="623"/>
      <c r="W959" s="623"/>
      <c r="X959" s="623"/>
      <c r="Y959" s="623"/>
      <c r="Z959" s="623"/>
      <c r="AA959" s="623"/>
      <c r="AB959" s="623"/>
      <c r="AC959" s="623"/>
      <c r="AD959" s="623"/>
      <c r="AE959" s="623"/>
      <c r="AF959" s="623"/>
      <c r="AG959" s="623"/>
      <c r="AH959" s="623"/>
      <c r="AI959" s="623"/>
      <c r="AJ959" s="623"/>
      <c r="AK959" s="623"/>
      <c r="AL959" s="623"/>
      <c r="AM959" s="623"/>
      <c r="AN959" s="623"/>
      <c r="AO959" s="623"/>
      <c r="AP959" s="623"/>
      <c r="AQ959" s="623"/>
      <c r="AR959" s="623"/>
      <c r="AS959" s="623"/>
      <c r="AT959" s="623"/>
      <c r="AU959" s="623"/>
      <c r="AV959" s="623"/>
      <c r="AW959" s="623"/>
      <c r="AX959" s="623"/>
      <c r="AY959" s="623"/>
      <c r="AZ959" s="623"/>
      <c r="BA959" s="623"/>
    </row>
    <row r="960">
      <c r="A960" s="623"/>
      <c r="B960" s="623"/>
      <c r="C960" s="623"/>
      <c r="D960" s="623"/>
      <c r="E960" s="623"/>
      <c r="F960" s="623"/>
      <c r="G960" s="623"/>
      <c r="H960" s="623"/>
      <c r="I960" s="623"/>
      <c r="J960" s="623"/>
      <c r="K960" s="623"/>
      <c r="L960" s="623"/>
      <c r="M960" s="623"/>
      <c r="N960" s="623"/>
      <c r="O960" s="623"/>
      <c r="P960" s="623"/>
      <c r="Q960" s="623"/>
      <c r="R960" s="623"/>
      <c r="S960" s="623"/>
      <c r="T960" s="623"/>
      <c r="U960" s="623"/>
      <c r="V960" s="623"/>
      <c r="W960" s="623"/>
      <c r="X960" s="623"/>
      <c r="Y960" s="623"/>
      <c r="Z960" s="623"/>
      <c r="AA960" s="623"/>
      <c r="AB960" s="623"/>
      <c r="AC960" s="623"/>
      <c r="AD960" s="623"/>
      <c r="AE960" s="623"/>
      <c r="AF960" s="623"/>
      <c r="AG960" s="623"/>
      <c r="AH960" s="623"/>
      <c r="AI960" s="623"/>
      <c r="AJ960" s="623"/>
      <c r="AK960" s="623"/>
      <c r="AL960" s="623"/>
      <c r="AM960" s="623"/>
      <c r="AN960" s="623"/>
      <c r="AO960" s="623"/>
      <c r="AP960" s="623"/>
      <c r="AQ960" s="623"/>
      <c r="AR960" s="623"/>
      <c r="AS960" s="623"/>
      <c r="AT960" s="623"/>
      <c r="AU960" s="623"/>
      <c r="AV960" s="623"/>
      <c r="AW960" s="623"/>
      <c r="AX960" s="623"/>
      <c r="AY960" s="623"/>
      <c r="AZ960" s="623"/>
      <c r="BA960" s="623"/>
    </row>
    <row r="961">
      <c r="A961" s="623"/>
      <c r="B961" s="623"/>
      <c r="C961" s="623"/>
      <c r="D961" s="623"/>
      <c r="E961" s="623"/>
      <c r="F961" s="623"/>
      <c r="G961" s="623"/>
      <c r="H961" s="623"/>
      <c r="I961" s="623"/>
      <c r="J961" s="623"/>
      <c r="K961" s="623"/>
      <c r="L961" s="623"/>
      <c r="M961" s="623"/>
      <c r="N961" s="623"/>
      <c r="O961" s="623"/>
      <c r="P961" s="623"/>
      <c r="Q961" s="623"/>
      <c r="R961" s="623"/>
      <c r="S961" s="623"/>
      <c r="T961" s="623"/>
      <c r="U961" s="623"/>
      <c r="V961" s="623"/>
      <c r="W961" s="623"/>
      <c r="X961" s="623"/>
      <c r="Y961" s="623"/>
      <c r="Z961" s="623"/>
      <c r="AA961" s="623"/>
      <c r="AB961" s="623"/>
      <c r="AC961" s="623"/>
      <c r="AD961" s="623"/>
      <c r="AE961" s="623"/>
      <c r="AF961" s="623"/>
      <c r="AG961" s="623"/>
      <c r="AH961" s="623"/>
      <c r="AI961" s="623"/>
      <c r="AJ961" s="623"/>
      <c r="AK961" s="623"/>
      <c r="AL961" s="623"/>
      <c r="AM961" s="623"/>
      <c r="AN961" s="623"/>
      <c r="AO961" s="623"/>
      <c r="AP961" s="623"/>
      <c r="AQ961" s="623"/>
      <c r="AR961" s="623"/>
      <c r="AS961" s="623"/>
      <c r="AT961" s="623"/>
      <c r="AU961" s="623"/>
      <c r="AV961" s="623"/>
      <c r="AW961" s="623"/>
      <c r="AX961" s="623"/>
      <c r="AY961" s="623"/>
      <c r="AZ961" s="623"/>
      <c r="BA961" s="623"/>
    </row>
    <row r="962">
      <c r="A962" s="623"/>
      <c r="B962" s="623"/>
      <c r="C962" s="623"/>
      <c r="D962" s="623"/>
      <c r="E962" s="623"/>
      <c r="F962" s="623"/>
      <c r="G962" s="623"/>
      <c r="H962" s="623"/>
      <c r="I962" s="623"/>
      <c r="J962" s="623"/>
      <c r="K962" s="623"/>
      <c r="L962" s="623"/>
      <c r="M962" s="623"/>
      <c r="N962" s="623"/>
      <c r="O962" s="623"/>
      <c r="P962" s="623"/>
      <c r="Q962" s="623"/>
      <c r="R962" s="623"/>
      <c r="S962" s="623"/>
      <c r="T962" s="623"/>
      <c r="U962" s="623"/>
      <c r="V962" s="623"/>
      <c r="W962" s="623"/>
      <c r="X962" s="623"/>
      <c r="Y962" s="623"/>
      <c r="Z962" s="623"/>
      <c r="AA962" s="623"/>
      <c r="AB962" s="623"/>
      <c r="AC962" s="623"/>
      <c r="AD962" s="623"/>
      <c r="AE962" s="623"/>
      <c r="AF962" s="623"/>
      <c r="AG962" s="623"/>
      <c r="AH962" s="623"/>
      <c r="AI962" s="623"/>
      <c r="AJ962" s="623"/>
      <c r="AK962" s="623"/>
      <c r="AL962" s="623"/>
      <c r="AM962" s="623"/>
      <c r="AN962" s="623"/>
      <c r="AO962" s="623"/>
      <c r="AP962" s="623"/>
      <c r="AQ962" s="623"/>
      <c r="AR962" s="623"/>
      <c r="AS962" s="623"/>
      <c r="AT962" s="623"/>
      <c r="AU962" s="623"/>
      <c r="AV962" s="623"/>
      <c r="AW962" s="623"/>
      <c r="AX962" s="623"/>
      <c r="AY962" s="623"/>
      <c r="AZ962" s="623"/>
      <c r="BA962" s="623"/>
    </row>
    <row r="963">
      <c r="A963" s="623"/>
      <c r="B963" s="623"/>
      <c r="C963" s="623"/>
      <c r="D963" s="623"/>
      <c r="E963" s="623"/>
      <c r="F963" s="623"/>
      <c r="G963" s="623"/>
      <c r="H963" s="623"/>
      <c r="I963" s="623"/>
      <c r="J963" s="623"/>
      <c r="K963" s="623"/>
      <c r="L963" s="623"/>
      <c r="M963" s="623"/>
      <c r="N963" s="623"/>
      <c r="O963" s="623"/>
      <c r="P963" s="623"/>
      <c r="Q963" s="623"/>
      <c r="R963" s="623"/>
      <c r="S963" s="623"/>
      <c r="T963" s="623"/>
      <c r="U963" s="623"/>
      <c r="V963" s="623"/>
      <c r="W963" s="623"/>
      <c r="X963" s="623"/>
      <c r="Y963" s="623"/>
      <c r="Z963" s="623"/>
      <c r="AA963" s="623"/>
      <c r="AB963" s="623"/>
      <c r="AC963" s="623"/>
      <c r="AD963" s="623"/>
      <c r="AE963" s="623"/>
      <c r="AF963" s="623"/>
      <c r="AG963" s="623"/>
      <c r="AH963" s="623"/>
      <c r="AI963" s="623"/>
      <c r="AJ963" s="623"/>
      <c r="AK963" s="623"/>
      <c r="AL963" s="623"/>
      <c r="AM963" s="623"/>
      <c r="AN963" s="623"/>
      <c r="AO963" s="623"/>
      <c r="AP963" s="623"/>
      <c r="AQ963" s="623"/>
      <c r="AR963" s="623"/>
      <c r="AS963" s="623"/>
      <c r="AT963" s="623"/>
      <c r="AU963" s="623"/>
      <c r="AV963" s="623"/>
      <c r="AW963" s="623"/>
      <c r="AX963" s="623"/>
      <c r="AY963" s="623"/>
      <c r="AZ963" s="623"/>
      <c r="BA963" s="623"/>
    </row>
    <row r="964">
      <c r="A964" s="623"/>
      <c r="B964" s="623"/>
      <c r="C964" s="623"/>
      <c r="D964" s="623"/>
      <c r="E964" s="623"/>
      <c r="F964" s="623"/>
      <c r="G964" s="623"/>
      <c r="H964" s="623"/>
      <c r="I964" s="623"/>
      <c r="J964" s="623"/>
      <c r="K964" s="623"/>
      <c r="L964" s="623"/>
      <c r="M964" s="623"/>
      <c r="N964" s="623"/>
      <c r="O964" s="623"/>
      <c r="P964" s="623"/>
      <c r="Q964" s="623"/>
      <c r="R964" s="623"/>
      <c r="S964" s="623"/>
      <c r="T964" s="623"/>
      <c r="U964" s="623"/>
      <c r="V964" s="623"/>
      <c r="W964" s="623"/>
      <c r="X964" s="623"/>
      <c r="Y964" s="623"/>
      <c r="Z964" s="623"/>
      <c r="AA964" s="623"/>
      <c r="AB964" s="623"/>
      <c r="AC964" s="623"/>
      <c r="AD964" s="623"/>
      <c r="AE964" s="623"/>
      <c r="AF964" s="623"/>
      <c r="AG964" s="623"/>
      <c r="AH964" s="623"/>
      <c r="AI964" s="623"/>
      <c r="AJ964" s="623"/>
      <c r="AK964" s="623"/>
      <c r="AL964" s="623"/>
      <c r="AM964" s="623"/>
      <c r="AN964" s="623"/>
      <c r="AO964" s="623"/>
      <c r="AP964" s="623"/>
      <c r="AQ964" s="623"/>
      <c r="AR964" s="623"/>
      <c r="AS964" s="623"/>
      <c r="AT964" s="623"/>
      <c r="AU964" s="623"/>
      <c r="AV964" s="623"/>
      <c r="AW964" s="623"/>
      <c r="AX964" s="623"/>
      <c r="AY964" s="623"/>
      <c r="AZ964" s="623"/>
      <c r="BA964" s="623"/>
    </row>
    <row r="965">
      <c r="A965" s="623"/>
      <c r="B965" s="623"/>
      <c r="C965" s="623"/>
      <c r="D965" s="623"/>
      <c r="E965" s="623"/>
      <c r="F965" s="623"/>
      <c r="G965" s="623"/>
      <c r="H965" s="623"/>
      <c r="I965" s="623"/>
      <c r="J965" s="623"/>
      <c r="K965" s="623"/>
      <c r="L965" s="623"/>
      <c r="M965" s="623"/>
      <c r="N965" s="623"/>
      <c r="O965" s="623"/>
      <c r="P965" s="623"/>
      <c r="Q965" s="623"/>
      <c r="R965" s="623"/>
      <c r="S965" s="623"/>
      <c r="T965" s="623"/>
      <c r="U965" s="623"/>
      <c r="V965" s="623"/>
      <c r="W965" s="623"/>
      <c r="X965" s="623"/>
      <c r="Y965" s="623"/>
      <c r="Z965" s="623"/>
      <c r="AA965" s="623"/>
      <c r="AB965" s="623"/>
      <c r="AC965" s="623"/>
      <c r="AD965" s="623"/>
      <c r="AE965" s="623"/>
      <c r="AF965" s="623"/>
      <c r="AG965" s="623"/>
      <c r="AH965" s="623"/>
      <c r="AI965" s="623"/>
      <c r="AJ965" s="623"/>
      <c r="AK965" s="623"/>
      <c r="AL965" s="623"/>
      <c r="AM965" s="623"/>
      <c r="AN965" s="623"/>
      <c r="AO965" s="623"/>
      <c r="AP965" s="623"/>
      <c r="AQ965" s="623"/>
      <c r="AR965" s="623"/>
      <c r="AS965" s="623"/>
      <c r="AT965" s="623"/>
      <c r="AU965" s="623"/>
      <c r="AV965" s="623"/>
      <c r="AW965" s="623"/>
      <c r="AX965" s="623"/>
      <c r="AY965" s="623"/>
      <c r="AZ965" s="623"/>
      <c r="BA965" s="623"/>
    </row>
    <row r="966">
      <c r="A966" s="623"/>
      <c r="B966" s="623"/>
      <c r="C966" s="623"/>
      <c r="D966" s="623"/>
      <c r="E966" s="623"/>
      <c r="F966" s="623"/>
      <c r="G966" s="623"/>
      <c r="H966" s="623"/>
      <c r="I966" s="623"/>
      <c r="J966" s="623"/>
      <c r="K966" s="623"/>
      <c r="L966" s="623"/>
      <c r="M966" s="623"/>
      <c r="N966" s="623"/>
      <c r="O966" s="623"/>
      <c r="P966" s="623"/>
      <c r="Q966" s="623"/>
      <c r="R966" s="623"/>
      <c r="S966" s="623"/>
      <c r="T966" s="623"/>
      <c r="U966" s="623"/>
      <c r="V966" s="623"/>
      <c r="W966" s="623"/>
      <c r="X966" s="623"/>
      <c r="Y966" s="623"/>
      <c r="Z966" s="623"/>
      <c r="AA966" s="623"/>
      <c r="AB966" s="623"/>
      <c r="AC966" s="623"/>
      <c r="AD966" s="623"/>
      <c r="AE966" s="623"/>
      <c r="AF966" s="623"/>
      <c r="AG966" s="623"/>
      <c r="AH966" s="623"/>
      <c r="AI966" s="623"/>
      <c r="AJ966" s="623"/>
      <c r="AK966" s="623"/>
      <c r="AL966" s="623"/>
      <c r="AM966" s="623"/>
      <c r="AN966" s="623"/>
      <c r="AO966" s="623"/>
      <c r="AP966" s="623"/>
      <c r="AQ966" s="623"/>
      <c r="AR966" s="623"/>
      <c r="AS966" s="623"/>
      <c r="AT966" s="623"/>
      <c r="AU966" s="623"/>
      <c r="AV966" s="623"/>
      <c r="AW966" s="623"/>
      <c r="AX966" s="623"/>
      <c r="AY966" s="623"/>
      <c r="AZ966" s="623"/>
      <c r="BA966" s="623"/>
    </row>
    <row r="967">
      <c r="A967" s="623"/>
      <c r="B967" s="623"/>
      <c r="C967" s="623"/>
      <c r="D967" s="623"/>
      <c r="E967" s="623"/>
      <c r="F967" s="623"/>
      <c r="G967" s="623"/>
      <c r="H967" s="623"/>
      <c r="I967" s="623"/>
      <c r="J967" s="623"/>
      <c r="K967" s="623"/>
      <c r="L967" s="623"/>
      <c r="M967" s="623"/>
      <c r="N967" s="623"/>
      <c r="O967" s="623"/>
      <c r="P967" s="623"/>
      <c r="Q967" s="623"/>
      <c r="R967" s="623"/>
      <c r="S967" s="623"/>
      <c r="T967" s="623"/>
      <c r="U967" s="623"/>
      <c r="V967" s="623"/>
      <c r="W967" s="623"/>
      <c r="X967" s="623"/>
      <c r="Y967" s="623"/>
      <c r="Z967" s="623"/>
      <c r="AA967" s="623"/>
      <c r="AB967" s="623"/>
      <c r="AC967" s="623"/>
      <c r="AD967" s="623"/>
      <c r="AE967" s="623"/>
      <c r="AF967" s="623"/>
      <c r="AG967" s="623"/>
      <c r="AH967" s="623"/>
      <c r="AI967" s="623"/>
      <c r="AJ967" s="623"/>
      <c r="AK967" s="623"/>
      <c r="AL967" s="623"/>
      <c r="AM967" s="623"/>
      <c r="AN967" s="623"/>
      <c r="AO967" s="623"/>
      <c r="AP967" s="623"/>
      <c r="AQ967" s="623"/>
      <c r="AR967" s="623"/>
      <c r="AS967" s="623"/>
      <c r="AT967" s="623"/>
      <c r="AU967" s="623"/>
      <c r="AV967" s="623"/>
      <c r="AW967" s="623"/>
      <c r="AX967" s="623"/>
      <c r="AY967" s="623"/>
      <c r="AZ967" s="623"/>
      <c r="BA967" s="623"/>
    </row>
    <row r="968">
      <c r="A968" s="623"/>
      <c r="B968" s="623"/>
      <c r="C968" s="623"/>
      <c r="D968" s="623"/>
      <c r="E968" s="623"/>
      <c r="F968" s="623"/>
      <c r="G968" s="623"/>
      <c r="H968" s="623"/>
      <c r="I968" s="623"/>
      <c r="J968" s="623"/>
      <c r="K968" s="623"/>
      <c r="L968" s="623"/>
      <c r="M968" s="623"/>
      <c r="N968" s="623"/>
      <c r="O968" s="623"/>
      <c r="P968" s="623"/>
      <c r="Q968" s="623"/>
      <c r="R968" s="623"/>
      <c r="S968" s="623"/>
      <c r="T968" s="623"/>
      <c r="U968" s="623"/>
      <c r="V968" s="623"/>
      <c r="W968" s="623"/>
      <c r="X968" s="623"/>
      <c r="Y968" s="623"/>
      <c r="Z968" s="623"/>
      <c r="AA968" s="623"/>
      <c r="AB968" s="623"/>
      <c r="AC968" s="623"/>
      <c r="AD968" s="623"/>
      <c r="AE968" s="623"/>
      <c r="AF968" s="623"/>
      <c r="AG968" s="623"/>
      <c r="AH968" s="623"/>
      <c r="AI968" s="623"/>
      <c r="AJ968" s="623"/>
      <c r="AK968" s="623"/>
      <c r="AL968" s="623"/>
      <c r="AM968" s="623"/>
      <c r="AN968" s="623"/>
      <c r="AO968" s="623"/>
      <c r="AP968" s="623"/>
      <c r="AQ968" s="623"/>
      <c r="AR968" s="623"/>
      <c r="AS968" s="623"/>
      <c r="AT968" s="623"/>
      <c r="AU968" s="623"/>
      <c r="AV968" s="623"/>
      <c r="AW968" s="623"/>
      <c r="AX968" s="623"/>
      <c r="AY968" s="623"/>
      <c r="AZ968" s="623"/>
      <c r="BA968" s="623"/>
    </row>
    <row r="969">
      <c r="A969" s="623"/>
      <c r="B969" s="623"/>
      <c r="C969" s="623"/>
      <c r="D969" s="623"/>
      <c r="E969" s="623"/>
      <c r="F969" s="623"/>
      <c r="G969" s="623"/>
      <c r="H969" s="623"/>
      <c r="I969" s="623"/>
      <c r="J969" s="623"/>
      <c r="K969" s="623"/>
      <c r="L969" s="623"/>
      <c r="M969" s="623"/>
      <c r="N969" s="623"/>
      <c r="O969" s="623"/>
      <c r="P969" s="623"/>
      <c r="Q969" s="623"/>
      <c r="R969" s="623"/>
      <c r="S969" s="623"/>
      <c r="T969" s="623"/>
      <c r="U969" s="623"/>
      <c r="V969" s="623"/>
      <c r="W969" s="623"/>
      <c r="X969" s="623"/>
      <c r="Y969" s="623"/>
      <c r="Z969" s="623"/>
      <c r="AA969" s="623"/>
      <c r="AB969" s="623"/>
      <c r="AC969" s="623"/>
      <c r="AD969" s="623"/>
      <c r="AE969" s="623"/>
      <c r="AF969" s="623"/>
      <c r="AG969" s="623"/>
      <c r="AH969" s="623"/>
      <c r="AI969" s="623"/>
      <c r="AJ969" s="623"/>
      <c r="AK969" s="623"/>
      <c r="AL969" s="623"/>
      <c r="AM969" s="623"/>
      <c r="AN969" s="623"/>
      <c r="AO969" s="623"/>
      <c r="AP969" s="623"/>
      <c r="AQ969" s="623"/>
      <c r="AR969" s="623"/>
      <c r="AS969" s="623"/>
      <c r="AT969" s="623"/>
      <c r="AU969" s="623"/>
      <c r="AV969" s="623"/>
      <c r="AW969" s="623"/>
      <c r="AX969" s="623"/>
      <c r="AY969" s="623"/>
      <c r="AZ969" s="623"/>
      <c r="BA969" s="623"/>
    </row>
    <row r="970">
      <c r="A970" s="623"/>
      <c r="B970" s="623"/>
      <c r="C970" s="623"/>
      <c r="D970" s="623"/>
      <c r="E970" s="623"/>
      <c r="F970" s="623"/>
      <c r="G970" s="623"/>
      <c r="H970" s="623"/>
      <c r="I970" s="623"/>
      <c r="J970" s="623"/>
      <c r="K970" s="623"/>
      <c r="L970" s="623"/>
      <c r="M970" s="623"/>
      <c r="N970" s="623"/>
      <c r="O970" s="623"/>
      <c r="P970" s="623"/>
      <c r="Q970" s="623"/>
      <c r="R970" s="623"/>
      <c r="S970" s="623"/>
      <c r="T970" s="623"/>
      <c r="U970" s="623"/>
      <c r="V970" s="623"/>
      <c r="W970" s="623"/>
      <c r="X970" s="623"/>
      <c r="Y970" s="623"/>
      <c r="Z970" s="623"/>
      <c r="AA970" s="623"/>
      <c r="AB970" s="623"/>
      <c r="AC970" s="623"/>
      <c r="AD970" s="623"/>
      <c r="AE970" s="623"/>
      <c r="AF970" s="623"/>
      <c r="AG970" s="623"/>
      <c r="AH970" s="623"/>
      <c r="AI970" s="623"/>
      <c r="AJ970" s="623"/>
      <c r="AK970" s="623"/>
      <c r="AL970" s="623"/>
      <c r="AM970" s="623"/>
      <c r="AN970" s="623"/>
      <c r="AO970" s="623"/>
      <c r="AP970" s="623"/>
      <c r="AQ970" s="623"/>
      <c r="AR970" s="623"/>
      <c r="AS970" s="623"/>
      <c r="AT970" s="623"/>
      <c r="AU970" s="623"/>
      <c r="AV970" s="623"/>
      <c r="AW970" s="623"/>
      <c r="AX970" s="623"/>
      <c r="AY970" s="623"/>
      <c r="AZ970" s="623"/>
      <c r="BA970" s="623"/>
    </row>
    <row r="971">
      <c r="A971" s="623"/>
      <c r="B971" s="623"/>
      <c r="C971" s="623"/>
      <c r="D971" s="623"/>
      <c r="E971" s="623"/>
      <c r="F971" s="623"/>
      <c r="G971" s="623"/>
      <c r="H971" s="623"/>
      <c r="I971" s="623"/>
      <c r="J971" s="623"/>
      <c r="K971" s="623"/>
      <c r="L971" s="623"/>
      <c r="M971" s="623"/>
      <c r="N971" s="623"/>
      <c r="O971" s="623"/>
      <c r="P971" s="623"/>
      <c r="Q971" s="623"/>
      <c r="R971" s="623"/>
      <c r="S971" s="623"/>
      <c r="T971" s="623"/>
      <c r="U971" s="623"/>
      <c r="V971" s="623"/>
      <c r="W971" s="623"/>
      <c r="X971" s="623"/>
      <c r="Y971" s="623"/>
      <c r="Z971" s="623"/>
      <c r="AA971" s="623"/>
      <c r="AB971" s="623"/>
      <c r="AC971" s="623"/>
      <c r="AD971" s="623"/>
      <c r="AE971" s="623"/>
      <c r="AF971" s="623"/>
      <c r="AG971" s="623"/>
      <c r="AH971" s="623"/>
      <c r="AI971" s="623"/>
      <c r="AJ971" s="623"/>
      <c r="AK971" s="623"/>
      <c r="AL971" s="623"/>
      <c r="AM971" s="623"/>
      <c r="AN971" s="623"/>
      <c r="AO971" s="623"/>
      <c r="AP971" s="623"/>
      <c r="AQ971" s="623"/>
      <c r="AR971" s="623"/>
      <c r="AS971" s="623"/>
      <c r="AT971" s="623"/>
      <c r="AU971" s="623"/>
      <c r="AV971" s="623"/>
      <c r="AW971" s="623"/>
      <c r="AX971" s="623"/>
      <c r="AY971" s="623"/>
      <c r="AZ971" s="623"/>
      <c r="BA971" s="623"/>
    </row>
    <row r="972">
      <c r="A972" s="623"/>
      <c r="B972" s="623"/>
      <c r="C972" s="623"/>
      <c r="D972" s="623"/>
      <c r="E972" s="623"/>
      <c r="F972" s="623"/>
      <c r="G972" s="623"/>
      <c r="H972" s="623"/>
      <c r="I972" s="623"/>
      <c r="J972" s="623"/>
      <c r="K972" s="623"/>
      <c r="L972" s="623"/>
      <c r="M972" s="623"/>
      <c r="N972" s="623"/>
      <c r="O972" s="623"/>
      <c r="P972" s="623"/>
      <c r="Q972" s="623"/>
      <c r="R972" s="623"/>
      <c r="S972" s="623"/>
      <c r="T972" s="623"/>
      <c r="U972" s="623"/>
      <c r="V972" s="623"/>
      <c r="W972" s="623"/>
      <c r="X972" s="623"/>
      <c r="Y972" s="623"/>
      <c r="Z972" s="623"/>
      <c r="AA972" s="623"/>
      <c r="AB972" s="623"/>
      <c r="AC972" s="623"/>
      <c r="AD972" s="623"/>
      <c r="AE972" s="623"/>
      <c r="AF972" s="623"/>
      <c r="AG972" s="623"/>
      <c r="AH972" s="623"/>
      <c r="AI972" s="623"/>
      <c r="AJ972" s="623"/>
      <c r="AK972" s="623"/>
      <c r="AL972" s="623"/>
      <c r="AM972" s="623"/>
      <c r="AN972" s="623"/>
      <c r="AO972" s="623"/>
      <c r="AP972" s="623"/>
      <c r="AQ972" s="623"/>
      <c r="AR972" s="623"/>
      <c r="AS972" s="623"/>
      <c r="AT972" s="623"/>
      <c r="AU972" s="623"/>
      <c r="AV972" s="623"/>
      <c r="AW972" s="623"/>
      <c r="AX972" s="623"/>
      <c r="AY972" s="623"/>
      <c r="AZ972" s="623"/>
      <c r="BA972" s="623"/>
    </row>
    <row r="973">
      <c r="A973" s="623"/>
      <c r="B973" s="623"/>
      <c r="C973" s="623"/>
      <c r="D973" s="623"/>
      <c r="E973" s="623"/>
      <c r="F973" s="623"/>
      <c r="G973" s="623"/>
      <c r="H973" s="623"/>
      <c r="I973" s="623"/>
      <c r="J973" s="623"/>
      <c r="K973" s="623"/>
      <c r="L973" s="623"/>
      <c r="M973" s="623"/>
      <c r="N973" s="623"/>
      <c r="O973" s="623"/>
      <c r="P973" s="623"/>
      <c r="Q973" s="623"/>
      <c r="R973" s="623"/>
      <c r="S973" s="623"/>
      <c r="T973" s="623"/>
      <c r="U973" s="623"/>
      <c r="V973" s="623"/>
      <c r="W973" s="623"/>
      <c r="X973" s="623"/>
      <c r="Y973" s="623"/>
      <c r="Z973" s="623"/>
      <c r="AA973" s="623"/>
      <c r="AB973" s="623"/>
      <c r="AC973" s="623"/>
      <c r="AD973" s="623"/>
      <c r="AE973" s="623"/>
      <c r="AF973" s="623"/>
      <c r="AG973" s="623"/>
      <c r="AH973" s="623"/>
      <c r="AI973" s="623"/>
      <c r="AJ973" s="623"/>
      <c r="AK973" s="623"/>
      <c r="AL973" s="623"/>
      <c r="AM973" s="623"/>
      <c r="AN973" s="623"/>
      <c r="AO973" s="623"/>
      <c r="AP973" s="623"/>
      <c r="AQ973" s="623"/>
      <c r="AR973" s="623"/>
      <c r="AS973" s="623"/>
      <c r="AT973" s="623"/>
      <c r="AU973" s="623"/>
      <c r="AV973" s="623"/>
      <c r="AW973" s="623"/>
      <c r="AX973" s="623"/>
      <c r="AY973" s="623"/>
      <c r="AZ973" s="623"/>
      <c r="BA973" s="623"/>
    </row>
    <row r="974">
      <c r="A974" s="623"/>
      <c r="B974" s="623"/>
      <c r="C974" s="623"/>
      <c r="D974" s="623"/>
      <c r="E974" s="623"/>
      <c r="F974" s="623"/>
      <c r="G974" s="623"/>
      <c r="H974" s="623"/>
      <c r="I974" s="623"/>
      <c r="J974" s="623"/>
      <c r="K974" s="623"/>
      <c r="L974" s="623"/>
      <c r="M974" s="623"/>
      <c r="N974" s="623"/>
      <c r="O974" s="623"/>
      <c r="P974" s="623"/>
      <c r="Q974" s="623"/>
      <c r="R974" s="623"/>
      <c r="S974" s="623"/>
      <c r="T974" s="623"/>
      <c r="U974" s="623"/>
      <c r="V974" s="623"/>
      <c r="W974" s="623"/>
      <c r="X974" s="623"/>
      <c r="Y974" s="623"/>
      <c r="Z974" s="623"/>
      <c r="AA974" s="623"/>
      <c r="AB974" s="623"/>
      <c r="AC974" s="623"/>
      <c r="AD974" s="623"/>
      <c r="AE974" s="623"/>
      <c r="AF974" s="623"/>
      <c r="AG974" s="623"/>
      <c r="AH974" s="623"/>
      <c r="AI974" s="623"/>
      <c r="AJ974" s="623"/>
      <c r="AK974" s="623"/>
      <c r="AL974" s="623"/>
      <c r="AM974" s="623"/>
      <c r="AN974" s="623"/>
      <c r="AO974" s="623"/>
      <c r="AP974" s="623"/>
      <c r="AQ974" s="623"/>
      <c r="AR974" s="623"/>
      <c r="AS974" s="623"/>
      <c r="AT974" s="623"/>
      <c r="AU974" s="623"/>
      <c r="AV974" s="623"/>
      <c r="AW974" s="623"/>
      <c r="AX974" s="623"/>
      <c r="AY974" s="623"/>
      <c r="AZ974" s="623"/>
      <c r="BA974" s="623"/>
    </row>
    <row r="975">
      <c r="A975" s="623"/>
      <c r="B975" s="623"/>
      <c r="C975" s="623"/>
      <c r="D975" s="623"/>
      <c r="E975" s="623"/>
      <c r="F975" s="623"/>
      <c r="G975" s="623"/>
      <c r="H975" s="623"/>
      <c r="I975" s="623"/>
      <c r="J975" s="623"/>
      <c r="K975" s="623"/>
      <c r="L975" s="623"/>
      <c r="M975" s="623"/>
      <c r="N975" s="623"/>
      <c r="O975" s="623"/>
      <c r="P975" s="623"/>
      <c r="Q975" s="623"/>
      <c r="R975" s="623"/>
      <c r="S975" s="623"/>
      <c r="T975" s="623"/>
      <c r="U975" s="623"/>
      <c r="V975" s="623"/>
      <c r="W975" s="623"/>
      <c r="X975" s="623"/>
      <c r="Y975" s="623"/>
      <c r="Z975" s="623"/>
      <c r="AA975" s="623"/>
      <c r="AB975" s="623"/>
      <c r="AC975" s="623"/>
      <c r="AD975" s="623"/>
      <c r="AE975" s="623"/>
      <c r="AF975" s="623"/>
      <c r="AG975" s="623"/>
      <c r="AH975" s="623"/>
      <c r="AI975" s="623"/>
      <c r="AJ975" s="623"/>
      <c r="AK975" s="623"/>
      <c r="AL975" s="623"/>
      <c r="AM975" s="623"/>
      <c r="AN975" s="623"/>
      <c r="AO975" s="623"/>
      <c r="AP975" s="623"/>
      <c r="AQ975" s="623"/>
      <c r="AR975" s="623"/>
      <c r="AS975" s="623"/>
      <c r="AT975" s="623"/>
      <c r="AU975" s="623"/>
      <c r="AV975" s="623"/>
      <c r="AW975" s="623"/>
      <c r="AX975" s="623"/>
      <c r="AY975" s="623"/>
      <c r="AZ975" s="623"/>
      <c r="BA975" s="623"/>
    </row>
    <row r="976">
      <c r="A976" s="623"/>
      <c r="B976" s="623"/>
      <c r="C976" s="623"/>
      <c r="D976" s="623"/>
      <c r="E976" s="623"/>
      <c r="F976" s="623"/>
      <c r="G976" s="623"/>
      <c r="H976" s="623"/>
      <c r="I976" s="623"/>
      <c r="J976" s="623"/>
      <c r="K976" s="623"/>
      <c r="L976" s="623"/>
      <c r="M976" s="623"/>
      <c r="N976" s="623"/>
      <c r="O976" s="623"/>
      <c r="P976" s="623"/>
      <c r="Q976" s="623"/>
      <c r="R976" s="623"/>
      <c r="S976" s="623"/>
      <c r="T976" s="623"/>
      <c r="U976" s="623"/>
      <c r="V976" s="623"/>
      <c r="W976" s="623"/>
      <c r="X976" s="623"/>
      <c r="Y976" s="623"/>
      <c r="Z976" s="623"/>
      <c r="AA976" s="623"/>
      <c r="AB976" s="623"/>
      <c r="AC976" s="623"/>
      <c r="AD976" s="623"/>
      <c r="AE976" s="623"/>
      <c r="AF976" s="623"/>
      <c r="AG976" s="623"/>
      <c r="AH976" s="623"/>
      <c r="AI976" s="623"/>
      <c r="AJ976" s="623"/>
      <c r="AK976" s="623"/>
      <c r="AL976" s="623"/>
      <c r="AM976" s="623"/>
      <c r="AN976" s="623"/>
      <c r="AO976" s="623"/>
      <c r="AP976" s="623"/>
      <c r="AQ976" s="623"/>
      <c r="AR976" s="623"/>
      <c r="AS976" s="623"/>
      <c r="AT976" s="623"/>
      <c r="AU976" s="623"/>
      <c r="AV976" s="623"/>
      <c r="AW976" s="623"/>
      <c r="AX976" s="623"/>
      <c r="AY976" s="623"/>
      <c r="AZ976" s="623"/>
      <c r="BA976" s="623"/>
    </row>
    <row r="977">
      <c r="A977" s="623"/>
      <c r="B977" s="623"/>
      <c r="C977" s="623"/>
      <c r="D977" s="623"/>
      <c r="E977" s="623"/>
      <c r="F977" s="623"/>
      <c r="G977" s="623"/>
      <c r="H977" s="623"/>
      <c r="I977" s="623"/>
      <c r="J977" s="623"/>
      <c r="K977" s="623"/>
      <c r="L977" s="623"/>
      <c r="M977" s="623"/>
      <c r="N977" s="623"/>
      <c r="O977" s="623"/>
      <c r="P977" s="623"/>
      <c r="Q977" s="623"/>
      <c r="R977" s="623"/>
      <c r="S977" s="623"/>
      <c r="T977" s="623"/>
      <c r="U977" s="623"/>
      <c r="V977" s="623"/>
      <c r="W977" s="623"/>
      <c r="X977" s="623"/>
      <c r="Y977" s="623"/>
      <c r="Z977" s="623"/>
      <c r="AA977" s="623"/>
      <c r="AB977" s="623"/>
      <c r="AC977" s="623"/>
      <c r="AD977" s="623"/>
      <c r="AE977" s="623"/>
      <c r="AF977" s="623"/>
      <c r="AG977" s="623"/>
      <c r="AH977" s="623"/>
      <c r="AI977" s="623"/>
      <c r="AJ977" s="623"/>
      <c r="AK977" s="623"/>
      <c r="AL977" s="623"/>
      <c r="AM977" s="623"/>
      <c r="AN977" s="623"/>
      <c r="AO977" s="623"/>
      <c r="AP977" s="623"/>
      <c r="AQ977" s="623"/>
      <c r="AR977" s="623"/>
      <c r="AS977" s="623"/>
      <c r="AT977" s="623"/>
      <c r="AU977" s="623"/>
      <c r="AV977" s="623"/>
      <c r="AW977" s="623"/>
      <c r="AX977" s="623"/>
      <c r="AY977" s="623"/>
      <c r="AZ977" s="623"/>
      <c r="BA977" s="623"/>
    </row>
    <row r="978">
      <c r="A978" s="623"/>
      <c r="B978" s="623"/>
      <c r="C978" s="623"/>
      <c r="D978" s="623"/>
      <c r="E978" s="623"/>
      <c r="F978" s="623"/>
      <c r="G978" s="623"/>
      <c r="H978" s="623"/>
      <c r="I978" s="623"/>
      <c r="J978" s="623"/>
      <c r="K978" s="623"/>
      <c r="L978" s="623"/>
      <c r="M978" s="623"/>
      <c r="N978" s="623"/>
      <c r="O978" s="623"/>
      <c r="P978" s="623"/>
      <c r="Q978" s="623"/>
      <c r="R978" s="623"/>
      <c r="S978" s="623"/>
      <c r="T978" s="623"/>
      <c r="U978" s="623"/>
      <c r="V978" s="623"/>
      <c r="W978" s="623"/>
      <c r="X978" s="623"/>
      <c r="Y978" s="623"/>
      <c r="Z978" s="623"/>
      <c r="AA978" s="623"/>
      <c r="AB978" s="623"/>
      <c r="AC978" s="623"/>
      <c r="AD978" s="623"/>
      <c r="AE978" s="623"/>
      <c r="AF978" s="623"/>
      <c r="AG978" s="623"/>
      <c r="AH978" s="623"/>
      <c r="AI978" s="623"/>
      <c r="AJ978" s="623"/>
      <c r="AK978" s="623"/>
      <c r="AL978" s="623"/>
      <c r="AM978" s="623"/>
      <c r="AN978" s="623"/>
      <c r="AO978" s="623"/>
      <c r="AP978" s="623"/>
      <c r="AQ978" s="623"/>
      <c r="AR978" s="623"/>
      <c r="AS978" s="623"/>
      <c r="AT978" s="623"/>
      <c r="AU978" s="623"/>
      <c r="AV978" s="623"/>
      <c r="AW978" s="623"/>
      <c r="AX978" s="623"/>
      <c r="AY978" s="623"/>
      <c r="AZ978" s="623"/>
      <c r="BA978" s="623"/>
    </row>
    <row r="979">
      <c r="A979" s="623"/>
      <c r="B979" s="623"/>
      <c r="C979" s="623"/>
      <c r="D979" s="623"/>
      <c r="E979" s="623"/>
      <c r="F979" s="623"/>
      <c r="G979" s="623"/>
      <c r="H979" s="623"/>
      <c r="I979" s="623"/>
      <c r="J979" s="623"/>
      <c r="K979" s="623"/>
      <c r="L979" s="623"/>
      <c r="M979" s="623"/>
      <c r="N979" s="623"/>
      <c r="O979" s="623"/>
      <c r="P979" s="623"/>
      <c r="Q979" s="623"/>
      <c r="R979" s="623"/>
      <c r="S979" s="623"/>
      <c r="T979" s="623"/>
      <c r="U979" s="623"/>
      <c r="V979" s="623"/>
      <c r="W979" s="623"/>
      <c r="X979" s="623"/>
      <c r="Y979" s="623"/>
      <c r="Z979" s="623"/>
      <c r="AA979" s="623"/>
      <c r="AB979" s="623"/>
      <c r="AC979" s="623"/>
      <c r="AD979" s="623"/>
      <c r="AE979" s="623"/>
      <c r="AF979" s="623"/>
      <c r="AG979" s="623"/>
      <c r="AH979" s="623"/>
      <c r="AI979" s="623"/>
      <c r="AJ979" s="623"/>
      <c r="AK979" s="623"/>
      <c r="AL979" s="623"/>
      <c r="AM979" s="623"/>
      <c r="AN979" s="623"/>
      <c r="AO979" s="623"/>
      <c r="AP979" s="623"/>
      <c r="AQ979" s="623"/>
      <c r="AR979" s="623"/>
      <c r="AS979" s="623"/>
      <c r="AT979" s="623"/>
      <c r="AU979" s="623"/>
      <c r="AV979" s="623"/>
      <c r="AW979" s="623"/>
      <c r="AX979" s="623"/>
      <c r="AY979" s="623"/>
      <c r="AZ979" s="623"/>
      <c r="BA979" s="623"/>
    </row>
    <row r="980">
      <c r="A980" s="623"/>
      <c r="B980" s="623"/>
      <c r="C980" s="623"/>
      <c r="D980" s="623"/>
      <c r="E980" s="623"/>
      <c r="F980" s="623"/>
      <c r="G980" s="623"/>
      <c r="H980" s="623"/>
      <c r="I980" s="623"/>
      <c r="J980" s="623"/>
      <c r="K980" s="623"/>
      <c r="L980" s="623"/>
      <c r="M980" s="623"/>
      <c r="N980" s="623"/>
      <c r="O980" s="623"/>
      <c r="P980" s="623"/>
      <c r="Q980" s="623"/>
      <c r="R980" s="623"/>
      <c r="S980" s="623"/>
      <c r="T980" s="623"/>
      <c r="U980" s="623"/>
      <c r="V980" s="623"/>
      <c r="W980" s="623"/>
      <c r="X980" s="623"/>
      <c r="Y980" s="623"/>
      <c r="Z980" s="623"/>
      <c r="AA980" s="623"/>
      <c r="AB980" s="623"/>
      <c r="AC980" s="623"/>
      <c r="AD980" s="623"/>
      <c r="AE980" s="623"/>
      <c r="AF980" s="623"/>
      <c r="AG980" s="623"/>
      <c r="AH980" s="623"/>
      <c r="AI980" s="623"/>
      <c r="AJ980" s="623"/>
      <c r="AK980" s="623"/>
      <c r="AL980" s="623"/>
      <c r="AM980" s="623"/>
      <c r="AN980" s="623"/>
      <c r="AO980" s="623"/>
      <c r="AP980" s="623"/>
      <c r="AQ980" s="623"/>
      <c r="AR980" s="623"/>
      <c r="AS980" s="623"/>
      <c r="AT980" s="623"/>
      <c r="AU980" s="623"/>
      <c r="AV980" s="623"/>
      <c r="AW980" s="623"/>
      <c r="AX980" s="623"/>
      <c r="AY980" s="623"/>
      <c r="AZ980" s="623"/>
      <c r="BA980" s="623"/>
    </row>
    <row r="981">
      <c r="A981" s="623"/>
      <c r="B981" s="623"/>
      <c r="C981" s="623"/>
      <c r="D981" s="623"/>
      <c r="E981" s="623"/>
      <c r="F981" s="623"/>
      <c r="G981" s="623"/>
      <c r="H981" s="623"/>
      <c r="I981" s="623"/>
      <c r="J981" s="623"/>
      <c r="K981" s="623"/>
      <c r="L981" s="623"/>
      <c r="M981" s="623"/>
      <c r="N981" s="623"/>
      <c r="O981" s="623"/>
      <c r="P981" s="623"/>
      <c r="Q981" s="623"/>
      <c r="R981" s="623"/>
      <c r="S981" s="623"/>
      <c r="T981" s="623"/>
      <c r="U981" s="623"/>
      <c r="V981" s="623"/>
      <c r="W981" s="623"/>
      <c r="X981" s="623"/>
      <c r="Y981" s="623"/>
      <c r="Z981" s="623"/>
      <c r="AA981" s="623"/>
      <c r="AB981" s="623"/>
      <c r="AC981" s="623"/>
      <c r="AD981" s="623"/>
      <c r="AE981" s="623"/>
      <c r="AF981" s="623"/>
      <c r="AG981" s="623"/>
      <c r="AH981" s="623"/>
      <c r="AI981" s="623"/>
      <c r="AJ981" s="623"/>
      <c r="AK981" s="623"/>
      <c r="AL981" s="623"/>
      <c r="AM981" s="623"/>
      <c r="AN981" s="623"/>
      <c r="AO981" s="623"/>
      <c r="AP981" s="623"/>
      <c r="AQ981" s="623"/>
      <c r="AR981" s="623"/>
      <c r="AS981" s="623"/>
      <c r="AT981" s="623"/>
      <c r="AU981" s="623"/>
      <c r="AV981" s="623"/>
      <c r="AW981" s="623"/>
      <c r="AX981" s="623"/>
      <c r="AY981" s="623"/>
      <c r="AZ981" s="623"/>
      <c r="BA981" s="623"/>
    </row>
    <row r="982">
      <c r="A982" s="623"/>
      <c r="B982" s="623"/>
      <c r="C982" s="623"/>
      <c r="D982" s="623"/>
      <c r="E982" s="623"/>
      <c r="F982" s="623"/>
      <c r="G982" s="623"/>
      <c r="H982" s="623"/>
      <c r="I982" s="623"/>
      <c r="J982" s="623"/>
      <c r="K982" s="623"/>
      <c r="L982" s="623"/>
      <c r="M982" s="623"/>
      <c r="N982" s="623"/>
      <c r="O982" s="623"/>
      <c r="P982" s="623"/>
      <c r="Q982" s="623"/>
      <c r="R982" s="623"/>
      <c r="S982" s="623"/>
      <c r="T982" s="623"/>
      <c r="U982" s="623"/>
      <c r="V982" s="623"/>
      <c r="W982" s="623"/>
      <c r="X982" s="623"/>
      <c r="Y982" s="623"/>
      <c r="Z982" s="623"/>
      <c r="AA982" s="623"/>
      <c r="AB982" s="623"/>
      <c r="AC982" s="623"/>
      <c r="AD982" s="623"/>
      <c r="AE982" s="623"/>
      <c r="AF982" s="623"/>
      <c r="AG982" s="623"/>
      <c r="AH982" s="623"/>
      <c r="AI982" s="623"/>
      <c r="AJ982" s="623"/>
      <c r="AK982" s="623"/>
      <c r="AL982" s="623"/>
      <c r="AM982" s="623"/>
      <c r="AN982" s="623"/>
      <c r="AO982" s="623"/>
      <c r="AP982" s="623"/>
      <c r="AQ982" s="623"/>
      <c r="AR982" s="623"/>
      <c r="AS982" s="623"/>
      <c r="AT982" s="623"/>
      <c r="AU982" s="623"/>
      <c r="AV982" s="623"/>
      <c r="AW982" s="623"/>
      <c r="AX982" s="623"/>
      <c r="AY982" s="623"/>
      <c r="AZ982" s="623"/>
      <c r="BA982" s="623"/>
    </row>
    <row r="983">
      <c r="A983" s="623"/>
      <c r="B983" s="623"/>
      <c r="C983" s="623"/>
      <c r="D983" s="623"/>
      <c r="E983" s="623"/>
      <c r="F983" s="623"/>
      <c r="G983" s="623"/>
      <c r="H983" s="623"/>
      <c r="I983" s="623"/>
      <c r="J983" s="623"/>
      <c r="K983" s="623"/>
      <c r="L983" s="623"/>
      <c r="M983" s="623"/>
      <c r="N983" s="623"/>
      <c r="O983" s="623"/>
      <c r="P983" s="623"/>
      <c r="Q983" s="623"/>
      <c r="R983" s="623"/>
      <c r="S983" s="623"/>
      <c r="T983" s="623"/>
      <c r="U983" s="623"/>
      <c r="V983" s="623"/>
      <c r="W983" s="623"/>
      <c r="X983" s="623"/>
      <c r="Y983" s="623"/>
      <c r="Z983" s="623"/>
      <c r="AA983" s="623"/>
      <c r="AB983" s="623"/>
      <c r="AC983" s="623"/>
      <c r="AD983" s="623"/>
      <c r="AE983" s="623"/>
      <c r="AF983" s="623"/>
      <c r="AG983" s="623"/>
      <c r="AH983" s="623"/>
      <c r="AI983" s="623"/>
      <c r="AJ983" s="623"/>
      <c r="AK983" s="623"/>
      <c r="AL983" s="623"/>
      <c r="AM983" s="623"/>
      <c r="AN983" s="623"/>
      <c r="AO983" s="623"/>
      <c r="AP983" s="623"/>
      <c r="AQ983" s="623"/>
      <c r="AR983" s="623"/>
      <c r="AS983" s="623"/>
      <c r="AT983" s="623"/>
      <c r="AU983" s="623"/>
      <c r="AV983" s="623"/>
      <c r="AW983" s="623"/>
      <c r="AX983" s="623"/>
      <c r="AY983" s="623"/>
      <c r="AZ983" s="623"/>
      <c r="BA983" s="623"/>
    </row>
    <row r="984">
      <c r="A984" s="623"/>
      <c r="B984" s="623"/>
      <c r="C984" s="623"/>
      <c r="D984" s="623"/>
      <c r="E984" s="623"/>
      <c r="F984" s="623"/>
      <c r="G984" s="623"/>
      <c r="H984" s="623"/>
      <c r="I984" s="623"/>
      <c r="J984" s="623"/>
      <c r="K984" s="623"/>
      <c r="L984" s="623"/>
      <c r="M984" s="623"/>
      <c r="N984" s="623"/>
      <c r="O984" s="623"/>
      <c r="P984" s="623"/>
      <c r="Q984" s="623"/>
      <c r="R984" s="623"/>
      <c r="S984" s="623"/>
      <c r="T984" s="623"/>
      <c r="U984" s="623"/>
      <c r="V984" s="623"/>
      <c r="W984" s="623"/>
      <c r="X984" s="623"/>
      <c r="Y984" s="623"/>
      <c r="Z984" s="623"/>
      <c r="AA984" s="623"/>
      <c r="AB984" s="623"/>
      <c r="AC984" s="623"/>
      <c r="AD984" s="623"/>
      <c r="AE984" s="623"/>
      <c r="AF984" s="623"/>
      <c r="AG984" s="623"/>
      <c r="AH984" s="623"/>
      <c r="AI984" s="623"/>
      <c r="AJ984" s="623"/>
      <c r="AK984" s="623"/>
      <c r="AL984" s="623"/>
      <c r="AM984" s="623"/>
      <c r="AN984" s="623"/>
      <c r="AO984" s="623"/>
      <c r="AP984" s="623"/>
      <c r="AQ984" s="623"/>
      <c r="AR984" s="623"/>
      <c r="AS984" s="623"/>
      <c r="AT984" s="623"/>
      <c r="AU984" s="623"/>
      <c r="AV984" s="623"/>
      <c r="AW984" s="623"/>
      <c r="AX984" s="623"/>
      <c r="AY984" s="623"/>
      <c r="AZ984" s="623"/>
      <c r="BA984" s="623"/>
    </row>
    <row r="985">
      <c r="A985" s="623"/>
      <c r="B985" s="623"/>
      <c r="C985" s="623"/>
      <c r="D985" s="623"/>
      <c r="E985" s="623"/>
      <c r="F985" s="623"/>
      <c r="G985" s="623"/>
      <c r="H985" s="623"/>
      <c r="I985" s="623"/>
      <c r="J985" s="623"/>
      <c r="K985" s="623"/>
      <c r="L985" s="623"/>
      <c r="M985" s="623"/>
      <c r="N985" s="623"/>
      <c r="O985" s="623"/>
      <c r="P985" s="623"/>
      <c r="Q985" s="623"/>
      <c r="R985" s="623"/>
      <c r="S985" s="623"/>
      <c r="T985" s="623"/>
      <c r="U985" s="623"/>
      <c r="V985" s="623"/>
      <c r="W985" s="623"/>
      <c r="X985" s="623"/>
      <c r="Y985" s="623"/>
      <c r="Z985" s="623"/>
      <c r="AA985" s="623"/>
      <c r="AB985" s="623"/>
      <c r="AC985" s="623"/>
      <c r="AD985" s="623"/>
      <c r="AE985" s="623"/>
      <c r="AF985" s="623"/>
      <c r="AG985" s="623"/>
      <c r="AH985" s="623"/>
      <c r="AI985" s="623"/>
      <c r="AJ985" s="623"/>
      <c r="AK985" s="623"/>
      <c r="AL985" s="623"/>
      <c r="AM985" s="623"/>
      <c r="AN985" s="623"/>
      <c r="AO985" s="623"/>
      <c r="AP985" s="623"/>
      <c r="AQ985" s="623"/>
      <c r="AR985" s="623"/>
      <c r="AS985" s="623"/>
      <c r="AT985" s="623"/>
      <c r="AU985" s="623"/>
      <c r="AV985" s="623"/>
      <c r="AW985" s="623"/>
      <c r="AX985" s="623"/>
      <c r="AY985" s="623"/>
      <c r="AZ985" s="623"/>
      <c r="BA985" s="623"/>
    </row>
    <row r="986">
      <c r="A986" s="623"/>
      <c r="B986" s="623"/>
      <c r="C986" s="623"/>
      <c r="D986" s="623"/>
      <c r="E986" s="623"/>
      <c r="F986" s="623"/>
      <c r="G986" s="623"/>
      <c r="H986" s="623"/>
      <c r="I986" s="623"/>
      <c r="J986" s="623"/>
      <c r="K986" s="623"/>
      <c r="L986" s="623"/>
      <c r="M986" s="623"/>
      <c r="N986" s="623"/>
      <c r="O986" s="623"/>
      <c r="P986" s="623"/>
      <c r="Q986" s="623"/>
      <c r="R986" s="623"/>
      <c r="S986" s="623"/>
      <c r="T986" s="623"/>
      <c r="U986" s="623"/>
      <c r="V986" s="623"/>
      <c r="W986" s="623"/>
      <c r="X986" s="623"/>
      <c r="Y986" s="623"/>
      <c r="Z986" s="623"/>
      <c r="AA986" s="623"/>
      <c r="AB986" s="623"/>
      <c r="AC986" s="623"/>
      <c r="AD986" s="623"/>
      <c r="AE986" s="623"/>
      <c r="AF986" s="623"/>
      <c r="AG986" s="623"/>
      <c r="AH986" s="623"/>
      <c r="AI986" s="623"/>
      <c r="AJ986" s="623"/>
      <c r="AK986" s="623"/>
      <c r="AL986" s="623"/>
      <c r="AM986" s="623"/>
      <c r="AN986" s="623"/>
      <c r="AO986" s="623"/>
      <c r="AP986" s="623"/>
      <c r="AQ986" s="623"/>
      <c r="AR986" s="623"/>
      <c r="AS986" s="623"/>
      <c r="AT986" s="623"/>
      <c r="AU986" s="623"/>
      <c r="AV986" s="623"/>
      <c r="AW986" s="623"/>
      <c r="AX986" s="623"/>
      <c r="AY986" s="623"/>
      <c r="AZ986" s="623"/>
      <c r="BA986" s="623"/>
    </row>
    <row r="987">
      <c r="A987" s="623"/>
      <c r="B987" s="623"/>
      <c r="C987" s="623"/>
      <c r="D987" s="623"/>
      <c r="E987" s="623"/>
      <c r="F987" s="623"/>
      <c r="G987" s="623"/>
      <c r="H987" s="623"/>
      <c r="I987" s="623"/>
      <c r="J987" s="623"/>
      <c r="K987" s="623"/>
      <c r="L987" s="623"/>
      <c r="M987" s="623"/>
      <c r="N987" s="623"/>
      <c r="O987" s="623"/>
      <c r="P987" s="623"/>
      <c r="Q987" s="623"/>
      <c r="R987" s="623"/>
      <c r="S987" s="623"/>
      <c r="T987" s="623"/>
      <c r="U987" s="623"/>
      <c r="V987" s="623"/>
      <c r="W987" s="623"/>
      <c r="X987" s="623"/>
      <c r="Y987" s="623"/>
      <c r="Z987" s="623"/>
      <c r="AA987" s="623"/>
      <c r="AB987" s="623"/>
      <c r="AC987" s="623"/>
      <c r="AD987" s="623"/>
      <c r="AE987" s="623"/>
      <c r="AF987" s="623"/>
      <c r="AG987" s="623"/>
      <c r="AH987" s="623"/>
      <c r="AI987" s="623"/>
      <c r="AJ987" s="623"/>
      <c r="AK987" s="623"/>
      <c r="AL987" s="623"/>
      <c r="AM987" s="623"/>
      <c r="AN987" s="623"/>
      <c r="AO987" s="623"/>
      <c r="AP987" s="623"/>
      <c r="AQ987" s="623"/>
      <c r="AR987" s="623"/>
      <c r="AS987" s="623"/>
      <c r="AT987" s="623"/>
      <c r="AU987" s="623"/>
      <c r="AV987" s="623"/>
      <c r="AW987" s="623"/>
      <c r="AX987" s="623"/>
      <c r="AY987" s="623"/>
      <c r="AZ987" s="623"/>
      <c r="BA987" s="623"/>
    </row>
    <row r="988">
      <c r="A988" s="623"/>
      <c r="B988" s="623"/>
      <c r="C988" s="623"/>
      <c r="D988" s="623"/>
      <c r="E988" s="623"/>
      <c r="F988" s="623"/>
      <c r="G988" s="623"/>
      <c r="H988" s="623"/>
      <c r="I988" s="623"/>
      <c r="J988" s="623"/>
      <c r="K988" s="623"/>
      <c r="L988" s="623"/>
      <c r="M988" s="623"/>
      <c r="N988" s="623"/>
      <c r="O988" s="623"/>
      <c r="P988" s="623"/>
      <c r="Q988" s="623"/>
      <c r="R988" s="623"/>
      <c r="S988" s="623"/>
      <c r="T988" s="623"/>
      <c r="U988" s="623"/>
      <c r="V988" s="623"/>
      <c r="W988" s="623"/>
      <c r="X988" s="623"/>
      <c r="Y988" s="623"/>
      <c r="Z988" s="623"/>
      <c r="AA988" s="623"/>
      <c r="AB988" s="623"/>
      <c r="AC988" s="623"/>
      <c r="AD988" s="623"/>
      <c r="AE988" s="623"/>
      <c r="AF988" s="623"/>
      <c r="AG988" s="623"/>
      <c r="AH988" s="623"/>
      <c r="AI988" s="623"/>
      <c r="AJ988" s="623"/>
      <c r="AK988" s="623"/>
      <c r="AL988" s="623"/>
      <c r="AM988" s="623"/>
      <c r="AN988" s="623"/>
      <c r="AO988" s="623"/>
      <c r="AP988" s="623"/>
      <c r="AQ988" s="623"/>
      <c r="AR988" s="623"/>
      <c r="AS988" s="623"/>
      <c r="AT988" s="623"/>
      <c r="AU988" s="623"/>
      <c r="AV988" s="623"/>
      <c r="AW988" s="623"/>
      <c r="AX988" s="623"/>
      <c r="AY988" s="623"/>
      <c r="AZ988" s="623"/>
      <c r="BA988" s="623"/>
    </row>
    <row r="989">
      <c r="A989" s="623"/>
      <c r="B989" s="623"/>
      <c r="C989" s="623"/>
      <c r="D989" s="623"/>
      <c r="E989" s="623"/>
      <c r="F989" s="623"/>
      <c r="G989" s="623"/>
      <c r="H989" s="623"/>
      <c r="I989" s="623"/>
      <c r="J989" s="623"/>
      <c r="K989" s="623"/>
      <c r="L989" s="623"/>
      <c r="M989" s="623"/>
      <c r="N989" s="623"/>
      <c r="O989" s="623"/>
      <c r="P989" s="623"/>
      <c r="Q989" s="623"/>
      <c r="R989" s="623"/>
      <c r="S989" s="623"/>
      <c r="T989" s="623"/>
      <c r="U989" s="623"/>
      <c r="V989" s="623"/>
      <c r="W989" s="623"/>
      <c r="X989" s="623"/>
      <c r="Y989" s="623"/>
      <c r="Z989" s="623"/>
      <c r="AA989" s="623"/>
      <c r="AB989" s="623"/>
      <c r="AC989" s="623"/>
      <c r="AD989" s="623"/>
      <c r="AE989" s="623"/>
      <c r="AF989" s="623"/>
      <c r="AG989" s="623"/>
      <c r="AH989" s="623"/>
      <c r="AI989" s="623"/>
      <c r="AJ989" s="623"/>
      <c r="AK989" s="623"/>
      <c r="AL989" s="623"/>
      <c r="AM989" s="623"/>
      <c r="AN989" s="623"/>
      <c r="AO989" s="623"/>
      <c r="AP989" s="623"/>
      <c r="AQ989" s="623"/>
      <c r="AR989" s="623"/>
      <c r="AS989" s="623"/>
      <c r="AT989" s="623"/>
      <c r="AU989" s="623"/>
      <c r="AV989" s="623"/>
      <c r="AW989" s="623"/>
      <c r="AX989" s="623"/>
      <c r="AY989" s="623"/>
      <c r="AZ989" s="623"/>
      <c r="BA989" s="623"/>
    </row>
    <row r="990">
      <c r="A990" s="623"/>
      <c r="B990" s="623"/>
      <c r="C990" s="623"/>
      <c r="D990" s="623"/>
      <c r="E990" s="623"/>
      <c r="F990" s="623"/>
      <c r="G990" s="623"/>
      <c r="H990" s="623"/>
      <c r="I990" s="623"/>
      <c r="J990" s="623"/>
      <c r="K990" s="623"/>
      <c r="L990" s="623"/>
      <c r="M990" s="623"/>
      <c r="N990" s="623"/>
      <c r="O990" s="623"/>
      <c r="P990" s="623"/>
      <c r="Q990" s="623"/>
      <c r="R990" s="623"/>
      <c r="S990" s="623"/>
      <c r="T990" s="623"/>
      <c r="U990" s="623"/>
      <c r="V990" s="623"/>
      <c r="W990" s="623"/>
      <c r="X990" s="623"/>
      <c r="Y990" s="623"/>
      <c r="Z990" s="623"/>
      <c r="AA990" s="623"/>
      <c r="AB990" s="623"/>
      <c r="AC990" s="623"/>
      <c r="AD990" s="623"/>
      <c r="AE990" s="623"/>
      <c r="AF990" s="623"/>
      <c r="AG990" s="623"/>
      <c r="AH990" s="623"/>
      <c r="AI990" s="623"/>
      <c r="AJ990" s="623"/>
      <c r="AK990" s="623"/>
      <c r="AL990" s="623"/>
      <c r="AM990" s="623"/>
      <c r="AN990" s="623"/>
      <c r="AO990" s="623"/>
      <c r="AP990" s="623"/>
      <c r="AQ990" s="623"/>
      <c r="AR990" s="623"/>
      <c r="AS990" s="623"/>
      <c r="AT990" s="623"/>
      <c r="AU990" s="623"/>
      <c r="AV990" s="623"/>
      <c r="AW990" s="623"/>
      <c r="AX990" s="623"/>
      <c r="AY990" s="623"/>
      <c r="AZ990" s="623"/>
      <c r="BA990" s="623"/>
    </row>
    <row r="991">
      <c r="A991" s="623"/>
      <c r="B991" s="623"/>
      <c r="C991" s="623"/>
      <c r="D991" s="623"/>
      <c r="E991" s="623"/>
      <c r="F991" s="623"/>
      <c r="G991" s="623"/>
      <c r="H991" s="623"/>
      <c r="I991" s="623"/>
      <c r="J991" s="623"/>
      <c r="K991" s="623"/>
      <c r="L991" s="623"/>
      <c r="M991" s="623"/>
      <c r="N991" s="623"/>
      <c r="O991" s="623"/>
      <c r="P991" s="623"/>
      <c r="Q991" s="623"/>
      <c r="R991" s="623"/>
      <c r="S991" s="623"/>
      <c r="T991" s="623"/>
      <c r="U991" s="623"/>
      <c r="V991" s="623"/>
      <c r="W991" s="623"/>
      <c r="X991" s="623"/>
      <c r="Y991" s="623"/>
      <c r="Z991" s="623"/>
      <c r="AA991" s="623"/>
      <c r="AB991" s="623"/>
      <c r="AC991" s="623"/>
      <c r="AD991" s="623"/>
      <c r="AE991" s="623"/>
      <c r="AF991" s="623"/>
      <c r="AG991" s="623"/>
      <c r="AH991" s="623"/>
      <c r="AI991" s="623"/>
      <c r="AJ991" s="623"/>
      <c r="AK991" s="623"/>
      <c r="AL991" s="623"/>
      <c r="AM991" s="623"/>
      <c r="AN991" s="623"/>
      <c r="AO991" s="623"/>
      <c r="AP991" s="623"/>
      <c r="AQ991" s="623"/>
      <c r="AR991" s="623"/>
      <c r="AS991" s="623"/>
      <c r="AT991" s="623"/>
      <c r="AU991" s="623"/>
      <c r="AV991" s="623"/>
      <c r="AW991" s="623"/>
      <c r="AX991" s="623"/>
      <c r="AY991" s="623"/>
      <c r="AZ991" s="623"/>
      <c r="BA991" s="623"/>
    </row>
    <row r="992">
      <c r="A992" s="623"/>
      <c r="B992" s="623"/>
      <c r="C992" s="623"/>
      <c r="D992" s="623"/>
      <c r="E992" s="623"/>
      <c r="F992" s="623"/>
      <c r="G992" s="623"/>
      <c r="H992" s="623"/>
      <c r="I992" s="623"/>
      <c r="J992" s="623"/>
      <c r="K992" s="623"/>
      <c r="L992" s="623"/>
      <c r="M992" s="623"/>
      <c r="N992" s="623"/>
      <c r="O992" s="623"/>
      <c r="P992" s="623"/>
      <c r="Q992" s="623"/>
      <c r="R992" s="623"/>
      <c r="S992" s="623"/>
      <c r="T992" s="623"/>
      <c r="U992" s="623"/>
      <c r="V992" s="623"/>
      <c r="W992" s="623"/>
      <c r="X992" s="623"/>
      <c r="Y992" s="623"/>
      <c r="Z992" s="623"/>
      <c r="AA992" s="623"/>
      <c r="AB992" s="623"/>
      <c r="AC992" s="623"/>
      <c r="AD992" s="623"/>
      <c r="AE992" s="623"/>
      <c r="AF992" s="623"/>
      <c r="AG992" s="623"/>
      <c r="AH992" s="623"/>
      <c r="AI992" s="623"/>
      <c r="AJ992" s="623"/>
      <c r="AK992" s="623"/>
      <c r="AL992" s="623"/>
      <c r="AM992" s="623"/>
      <c r="AN992" s="623"/>
      <c r="AO992" s="623"/>
      <c r="AP992" s="623"/>
      <c r="AQ992" s="623"/>
      <c r="AR992" s="623"/>
      <c r="AS992" s="623"/>
      <c r="AT992" s="623"/>
      <c r="AU992" s="623"/>
      <c r="AV992" s="623"/>
      <c r="AW992" s="623"/>
      <c r="AX992" s="623"/>
      <c r="AY992" s="623"/>
      <c r="AZ992" s="623"/>
      <c r="BA992" s="623"/>
    </row>
    <row r="993">
      <c r="A993" s="623"/>
      <c r="B993" s="623"/>
      <c r="C993" s="623"/>
      <c r="D993" s="623"/>
      <c r="E993" s="623"/>
      <c r="F993" s="623"/>
      <c r="G993" s="623"/>
      <c r="H993" s="623"/>
      <c r="I993" s="623"/>
      <c r="J993" s="623"/>
      <c r="K993" s="623"/>
      <c r="L993" s="623"/>
      <c r="M993" s="623"/>
      <c r="N993" s="623"/>
      <c r="O993" s="623"/>
      <c r="P993" s="623"/>
      <c r="Q993" s="623"/>
      <c r="R993" s="623"/>
      <c r="S993" s="623"/>
      <c r="T993" s="623"/>
      <c r="U993" s="623"/>
      <c r="V993" s="623"/>
      <c r="W993" s="623"/>
      <c r="X993" s="623"/>
      <c r="Y993" s="623"/>
      <c r="Z993" s="623"/>
      <c r="AA993" s="623"/>
      <c r="AB993" s="623"/>
      <c r="AC993" s="623"/>
      <c r="AD993" s="623"/>
      <c r="AE993" s="623"/>
      <c r="AF993" s="623"/>
      <c r="AG993" s="623"/>
      <c r="AH993" s="623"/>
      <c r="AI993" s="623"/>
      <c r="AJ993" s="623"/>
      <c r="AK993" s="623"/>
      <c r="AL993" s="623"/>
      <c r="AM993" s="623"/>
      <c r="AN993" s="623"/>
      <c r="AO993" s="623"/>
      <c r="AP993" s="623"/>
      <c r="AQ993" s="623"/>
      <c r="AR993" s="623"/>
      <c r="AS993" s="623"/>
      <c r="AT993" s="623"/>
      <c r="AU993" s="623"/>
      <c r="AV993" s="623"/>
      <c r="AW993" s="623"/>
      <c r="AX993" s="623"/>
      <c r="AY993" s="623"/>
      <c r="AZ993" s="623"/>
      <c r="BA993" s="623"/>
    </row>
    <row r="994">
      <c r="A994" s="623"/>
      <c r="B994" s="623"/>
      <c r="C994" s="623"/>
      <c r="D994" s="623"/>
      <c r="E994" s="623"/>
      <c r="F994" s="623"/>
      <c r="G994" s="623"/>
      <c r="H994" s="623"/>
      <c r="I994" s="623"/>
      <c r="J994" s="623"/>
      <c r="K994" s="623"/>
      <c r="L994" s="623"/>
      <c r="M994" s="623"/>
      <c r="N994" s="623"/>
      <c r="O994" s="623"/>
      <c r="P994" s="623"/>
      <c r="Q994" s="623"/>
      <c r="R994" s="623"/>
      <c r="S994" s="623"/>
      <c r="T994" s="623"/>
      <c r="U994" s="623"/>
      <c r="V994" s="623"/>
      <c r="W994" s="623"/>
      <c r="X994" s="623"/>
      <c r="Y994" s="623"/>
      <c r="Z994" s="623"/>
      <c r="AA994" s="623"/>
      <c r="AB994" s="623"/>
      <c r="AC994" s="623"/>
      <c r="AD994" s="623"/>
      <c r="AE994" s="623"/>
      <c r="AF994" s="623"/>
      <c r="AG994" s="623"/>
      <c r="AH994" s="623"/>
      <c r="AI994" s="623"/>
      <c r="AJ994" s="623"/>
      <c r="AK994" s="623"/>
      <c r="AL994" s="623"/>
      <c r="AM994" s="623"/>
      <c r="AN994" s="623"/>
      <c r="AO994" s="623"/>
      <c r="AP994" s="623"/>
      <c r="AQ994" s="623"/>
      <c r="AR994" s="623"/>
      <c r="AS994" s="623"/>
      <c r="AT994" s="623"/>
      <c r="AU994" s="623"/>
      <c r="AV994" s="623"/>
      <c r="AW994" s="623"/>
      <c r="AX994" s="623"/>
      <c r="AY994" s="623"/>
      <c r="AZ994" s="623"/>
      <c r="BA994" s="623"/>
    </row>
    <row r="995">
      <c r="A995" s="623"/>
      <c r="B995" s="623"/>
      <c r="C995" s="623"/>
      <c r="D995" s="623"/>
      <c r="E995" s="623"/>
      <c r="F995" s="623"/>
      <c r="G995" s="623"/>
      <c r="H995" s="623"/>
      <c r="I995" s="623"/>
      <c r="J995" s="623"/>
      <c r="K995" s="623"/>
      <c r="L995" s="623"/>
      <c r="M995" s="623"/>
      <c r="N995" s="623"/>
      <c r="O995" s="623"/>
      <c r="P995" s="623"/>
      <c r="Q995" s="623"/>
      <c r="R995" s="623"/>
      <c r="S995" s="623"/>
      <c r="T995" s="623"/>
      <c r="U995" s="623"/>
      <c r="V995" s="623"/>
      <c r="W995" s="623"/>
      <c r="X995" s="623"/>
      <c r="Y995" s="623"/>
      <c r="Z995" s="623"/>
      <c r="AA995" s="623"/>
      <c r="AB995" s="623"/>
      <c r="AC995" s="623"/>
      <c r="AD995" s="623"/>
      <c r="AE995" s="623"/>
      <c r="AF995" s="623"/>
      <c r="AG995" s="623"/>
      <c r="AH995" s="623"/>
      <c r="AI995" s="623"/>
      <c r="AJ995" s="623"/>
      <c r="AK995" s="623"/>
      <c r="AL995" s="623"/>
      <c r="AM995" s="623"/>
      <c r="AN995" s="623"/>
      <c r="AO995" s="623"/>
      <c r="AP995" s="623"/>
      <c r="AQ995" s="623"/>
      <c r="AR995" s="623"/>
      <c r="AS995" s="623"/>
      <c r="AT995" s="623"/>
      <c r="AU995" s="623"/>
      <c r="AV995" s="623"/>
      <c r="AW995" s="623"/>
      <c r="AX995" s="623"/>
      <c r="AY995" s="623"/>
      <c r="AZ995" s="623"/>
      <c r="BA995" s="623"/>
    </row>
    <row r="996">
      <c r="A996" s="623"/>
      <c r="B996" s="623"/>
      <c r="C996" s="623"/>
      <c r="D996" s="623"/>
      <c r="E996" s="623"/>
      <c r="F996" s="623"/>
      <c r="G996" s="623"/>
      <c r="H996" s="623"/>
      <c r="I996" s="623"/>
      <c r="J996" s="623"/>
      <c r="K996" s="623"/>
      <c r="L996" s="623"/>
      <c r="M996" s="623"/>
      <c r="N996" s="623"/>
      <c r="O996" s="623"/>
      <c r="P996" s="623"/>
      <c r="Q996" s="623"/>
      <c r="R996" s="623"/>
      <c r="S996" s="623"/>
      <c r="T996" s="623"/>
      <c r="U996" s="623"/>
      <c r="V996" s="623"/>
      <c r="W996" s="623"/>
      <c r="X996" s="623"/>
      <c r="Y996" s="623"/>
      <c r="Z996" s="623"/>
      <c r="AA996" s="623"/>
      <c r="AB996" s="623"/>
      <c r="AC996" s="623"/>
      <c r="AD996" s="623"/>
      <c r="AE996" s="623"/>
      <c r="AF996" s="623"/>
      <c r="AG996" s="623"/>
      <c r="AH996" s="623"/>
      <c r="AI996" s="623"/>
      <c r="AJ996" s="623"/>
      <c r="AK996" s="623"/>
      <c r="AL996" s="623"/>
      <c r="AM996" s="623"/>
      <c r="AN996" s="623"/>
      <c r="AO996" s="623"/>
      <c r="AP996" s="623"/>
      <c r="AQ996" s="623"/>
      <c r="AR996" s="623"/>
      <c r="AS996" s="623"/>
      <c r="AT996" s="623"/>
      <c r="AU996" s="623"/>
      <c r="AV996" s="623"/>
      <c r="AW996" s="623"/>
      <c r="AX996" s="623"/>
      <c r="AY996" s="623"/>
      <c r="AZ996" s="623"/>
      <c r="BA996" s="623"/>
    </row>
    <row r="997">
      <c r="A997" s="623"/>
      <c r="B997" s="623"/>
      <c r="C997" s="623"/>
      <c r="D997" s="623"/>
      <c r="E997" s="623"/>
      <c r="F997" s="623"/>
      <c r="G997" s="623"/>
      <c r="H997" s="623"/>
      <c r="I997" s="623"/>
      <c r="J997" s="623"/>
      <c r="K997" s="623"/>
      <c r="L997" s="623"/>
      <c r="M997" s="623"/>
      <c r="N997" s="623"/>
      <c r="O997" s="623"/>
      <c r="P997" s="623"/>
      <c r="Q997" s="623"/>
      <c r="R997" s="623"/>
      <c r="S997" s="623"/>
      <c r="T997" s="623"/>
      <c r="U997" s="623"/>
      <c r="V997" s="623"/>
      <c r="W997" s="623"/>
      <c r="X997" s="623"/>
      <c r="Y997" s="623"/>
      <c r="Z997" s="623"/>
      <c r="AA997" s="623"/>
      <c r="AB997" s="623"/>
      <c r="AC997" s="623"/>
      <c r="AD997" s="623"/>
      <c r="AE997" s="623"/>
      <c r="AF997" s="623"/>
      <c r="AG997" s="623"/>
      <c r="AH997" s="623"/>
      <c r="AI997" s="623"/>
      <c r="AJ997" s="623"/>
      <c r="AK997" s="623"/>
      <c r="AL997" s="623"/>
      <c r="AM997" s="623"/>
      <c r="AN997" s="623"/>
      <c r="AO997" s="623"/>
      <c r="AP997" s="623"/>
      <c r="AQ997" s="623"/>
      <c r="AR997" s="623"/>
      <c r="AS997" s="623"/>
      <c r="AT997" s="623"/>
      <c r="AU997" s="623"/>
      <c r="AV997" s="623"/>
      <c r="AW997" s="623"/>
      <c r="AX997" s="623"/>
      <c r="AY997" s="623"/>
      <c r="AZ997" s="623"/>
      <c r="BA997" s="623"/>
    </row>
    <row r="998">
      <c r="A998" s="623"/>
      <c r="B998" s="623"/>
      <c r="C998" s="623"/>
      <c r="D998" s="623"/>
      <c r="E998" s="623"/>
      <c r="F998" s="623"/>
      <c r="G998" s="623"/>
      <c r="H998" s="623"/>
      <c r="I998" s="623"/>
      <c r="J998" s="623"/>
      <c r="K998" s="623"/>
      <c r="L998" s="623"/>
      <c r="M998" s="623"/>
      <c r="N998" s="623"/>
      <c r="O998" s="623"/>
      <c r="P998" s="623"/>
      <c r="Q998" s="623"/>
      <c r="R998" s="623"/>
      <c r="S998" s="623"/>
      <c r="T998" s="623"/>
      <c r="U998" s="623"/>
      <c r="V998" s="623"/>
      <c r="W998" s="623"/>
      <c r="X998" s="623"/>
      <c r="Y998" s="623"/>
      <c r="Z998" s="623"/>
      <c r="AA998" s="623"/>
      <c r="AB998" s="623"/>
      <c r="AC998" s="623"/>
      <c r="AD998" s="623"/>
      <c r="AE998" s="623"/>
      <c r="AF998" s="623"/>
      <c r="AG998" s="623"/>
      <c r="AH998" s="623"/>
      <c r="AI998" s="623"/>
      <c r="AJ998" s="623"/>
      <c r="AK998" s="623"/>
      <c r="AL998" s="623"/>
      <c r="AM998" s="623"/>
      <c r="AN998" s="623"/>
      <c r="AO998" s="623"/>
      <c r="AP998" s="623"/>
      <c r="AQ998" s="623"/>
      <c r="AR998" s="623"/>
      <c r="AS998" s="623"/>
      <c r="AT998" s="623"/>
      <c r="AU998" s="623"/>
      <c r="AV998" s="623"/>
      <c r="AW998" s="623"/>
      <c r="AX998" s="623"/>
      <c r="AY998" s="623"/>
      <c r="AZ998" s="623"/>
      <c r="BA998" s="623"/>
    </row>
    <row r="999">
      <c r="A999" s="623"/>
      <c r="B999" s="623"/>
      <c r="C999" s="623"/>
      <c r="D999" s="623"/>
      <c r="E999" s="623"/>
      <c r="F999" s="623"/>
      <c r="G999" s="623"/>
      <c r="H999" s="623"/>
      <c r="I999" s="623"/>
      <c r="J999" s="623"/>
      <c r="K999" s="623"/>
      <c r="L999" s="623"/>
      <c r="M999" s="623"/>
      <c r="N999" s="623"/>
      <c r="O999" s="623"/>
      <c r="P999" s="623"/>
      <c r="Q999" s="623"/>
      <c r="R999" s="623"/>
      <c r="S999" s="623"/>
      <c r="T999" s="623"/>
      <c r="U999" s="623"/>
      <c r="V999" s="623"/>
      <c r="W999" s="623"/>
      <c r="X999" s="623"/>
      <c r="Y999" s="623"/>
      <c r="Z999" s="623"/>
      <c r="AA999" s="623"/>
      <c r="AB999" s="623"/>
      <c r="AC999" s="623"/>
      <c r="AD999" s="623"/>
      <c r="AE999" s="623"/>
      <c r="AF999" s="623"/>
      <c r="AG999" s="623"/>
      <c r="AH999" s="623"/>
      <c r="AI999" s="623"/>
      <c r="AJ999" s="623"/>
      <c r="AK999" s="623"/>
      <c r="AL999" s="623"/>
      <c r="AM999" s="623"/>
      <c r="AN999" s="623"/>
      <c r="AO999" s="623"/>
      <c r="AP999" s="623"/>
      <c r="AQ999" s="623"/>
      <c r="AR999" s="623"/>
      <c r="AS999" s="623"/>
      <c r="AT999" s="623"/>
      <c r="AU999" s="623"/>
      <c r="AV999" s="623"/>
      <c r="AW999" s="623"/>
      <c r="AX999" s="623"/>
      <c r="AY999" s="623"/>
      <c r="AZ999" s="623"/>
      <c r="BA999" s="623"/>
    </row>
    <row r="1000">
      <c r="A1000" s="623"/>
      <c r="B1000" s="623"/>
      <c r="C1000" s="623"/>
      <c r="D1000" s="623"/>
      <c r="E1000" s="623"/>
      <c r="F1000" s="623"/>
      <c r="G1000" s="623"/>
      <c r="H1000" s="623"/>
      <c r="I1000" s="623"/>
      <c r="J1000" s="623"/>
      <c r="K1000" s="623"/>
      <c r="L1000" s="623"/>
      <c r="M1000" s="623"/>
      <c r="N1000" s="623"/>
      <c r="O1000" s="623"/>
      <c r="P1000" s="623"/>
      <c r="Q1000" s="623"/>
      <c r="R1000" s="623"/>
      <c r="S1000" s="623"/>
      <c r="T1000" s="623"/>
      <c r="U1000" s="623"/>
      <c r="V1000" s="623"/>
      <c r="W1000" s="623"/>
      <c r="X1000" s="623"/>
      <c r="Y1000" s="623"/>
      <c r="Z1000" s="623"/>
      <c r="AA1000" s="623"/>
      <c r="AB1000" s="623"/>
      <c r="AC1000" s="623"/>
      <c r="AD1000" s="623"/>
      <c r="AE1000" s="623"/>
      <c r="AF1000" s="623"/>
      <c r="AG1000" s="623"/>
      <c r="AH1000" s="623"/>
      <c r="AI1000" s="623"/>
      <c r="AJ1000" s="623"/>
      <c r="AK1000" s="623"/>
      <c r="AL1000" s="623"/>
      <c r="AM1000" s="623"/>
      <c r="AN1000" s="623"/>
      <c r="AO1000" s="623"/>
      <c r="AP1000" s="623"/>
      <c r="AQ1000" s="623"/>
      <c r="AR1000" s="623"/>
      <c r="AS1000" s="623"/>
      <c r="AT1000" s="623"/>
      <c r="AU1000" s="623"/>
      <c r="AV1000" s="623"/>
      <c r="AW1000" s="623"/>
      <c r="AX1000" s="623"/>
      <c r="AY1000" s="623"/>
      <c r="AZ1000" s="623"/>
      <c r="BA1000" s="623"/>
    </row>
  </sheetData>
  <drawing r:id="rId1"/>
</worksheet>
</file>